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Bryan\Desktop\Files\Data Science\COMPFEST Data Science Academy\Final Project\"/>
    </mc:Choice>
  </mc:AlternateContent>
  <xr:revisionPtr revIDLastSave="0" documentId="13_ncr:1_{BF94BF41-6A06-4661-AAE7-AE87A3FC55F4}" xr6:coauthVersionLast="47" xr6:coauthVersionMax="47" xr10:uidLastSave="{00000000-0000-0000-0000-000000000000}"/>
  <bookViews>
    <workbookView xWindow="-108" yWindow="-108" windowWidth="23256" windowHeight="12456" activeTab="1" xr2:uid="{00000000-000D-0000-FFFF-FFFF00000000}"/>
  </bookViews>
  <sheets>
    <sheet name="Data Jakarta" sheetId="1" r:id="rId1"/>
    <sheet name="Mobility" sheetId="11" r:id="rId2"/>
    <sheet name="Data Indonesia dan Jakarta" sheetId="2" r:id="rId3"/>
    <sheet name="Data Suspek dll (Jakarta)" sheetId="3" r:id="rId4"/>
    <sheet name="RDT Ab" sheetId="4" r:id="rId5"/>
    <sheet name="RDT Ag" sheetId="5" r:id="rId6"/>
    <sheet name="Hasil Lab" sheetId="6" r:id="rId7"/>
    <sheet name="Pemakaman" sheetId="7" r:id="rId8"/>
    <sheet name="Vaksinasi" sheetId="8" r:id="rId9"/>
    <sheet name="Vaksinasi Indonesia" sheetId="12" r:id="rId10"/>
    <sheet name="Vaksinasi Wilayah" sheetId="9" r:id="rId11"/>
    <sheet name="Daily Vaksinasi Wilayah" sheetId="10" r:id="rId12"/>
  </sheets>
  <definedNames>
    <definedName name="Z_00C237F5_F3CC_48E1_A3A4_C8F3DF834E3F_.wvu.FilterData" localSheetId="10" hidden="1">'Vaksinasi Wilayah'!$BO$11</definedName>
    <definedName name="Z_02DED7C3_D288_42ED_97E6_AEC0AA6349A2_.wvu.FilterData" localSheetId="10" hidden="1">'Vaksinasi Wilayah'!$A$1:$BD$46</definedName>
    <definedName name="Z_08986CF3_CB90_4E16_83B9_47A2080D6A71_.wvu.FilterData" localSheetId="10" hidden="1">'Vaksinasi Wilayah'!$A$1:$HY$46</definedName>
    <definedName name="Z_0FB4F1E0_A14B_48E7_A54C_AA86F88BCB74_.wvu.FilterData" localSheetId="10" hidden="1">'Vaksinasi Wilayah'!$A$1:$GX$46</definedName>
    <definedName name="Z_126227C9_DF69_4F48_BE89_4082141BCF6D_.wvu.FilterData" localSheetId="10" hidden="1">'Vaksinasi Wilayah'!$A$1:$GF$46</definedName>
    <definedName name="Z_127F791D_2ECB_4D8F_B404_3A39C628CD87_.wvu.FilterData" localSheetId="10" hidden="1">'Vaksinasi Wilayah'!$A$1:$DR$46</definedName>
    <definedName name="Z_129D7826_857E_4362_8A95_453A519FB2AD_.wvu.FilterData" localSheetId="10" hidden="1">'Vaksinasi Wilayah'!$A$1:$ES$46</definedName>
    <definedName name="Z_13BDB258_F11B_4CC6_BFDC_FC3E0FB11CB3_.wvu.FilterData" localSheetId="10" hidden="1">'Vaksinasi Wilayah'!$C$1:$C$909</definedName>
    <definedName name="Z_1401D7C2_085D_4E54_9BF6_4FAA80CA1147_.wvu.FilterData" localSheetId="10" hidden="1">'Vaksinasi Wilayah'!$J$12</definedName>
    <definedName name="Z_1653CE0C_5394_4633_8A08_76C6C61D0EB0_.wvu.FilterData" localSheetId="10" hidden="1">'Vaksinasi Wilayah'!$A$1:$CE$46</definedName>
    <definedName name="Z_19A37948_1CFC_47D9_87C2_E2DC2DE49B05_.wvu.FilterData" localSheetId="10" hidden="1">'Vaksinasi Wilayah'!$A$1:$Z$46</definedName>
    <definedName name="Z_19F411A4_E16E_4724_B67F_43F012517E5D_.wvu.FilterData" localSheetId="10" hidden="1">'Vaksinasi Wilayah'!$BO$11</definedName>
    <definedName name="Z_1A775F9D_5345_4B10_A373_0FE547F11229_.wvu.FilterData" localSheetId="10" hidden="1">'Vaksinasi Wilayah'!$A$1:$FH$46</definedName>
    <definedName name="Z_1B3A2916_8B8F_4E18_85DE_9E4A608C8873_.wvu.FilterData" localSheetId="10" hidden="1">'Vaksinasi Wilayah'!$A$1:$IK$46</definedName>
    <definedName name="Z_1C84FD7A_F3F2_4926_92BA_3C62991DD82B_.wvu.FilterData" localSheetId="10" hidden="1">'Vaksinasi Wilayah'!$AV$12</definedName>
    <definedName name="Z_1C8B6568_FB02_45DB_A382_A1A02BACFC9C_.wvu.FilterData" localSheetId="10" hidden="1">'Vaksinasi Wilayah'!$A$1:$CT$46</definedName>
    <definedName name="Z_1D3A4E67_714D_47EA_A6E0_2DC9F4FBEC4E_.wvu.FilterData" localSheetId="10" hidden="1">'Vaksinasi Wilayah'!$A$1:$EJ$46</definedName>
    <definedName name="Z_20482FED_91E5_446A_A852_B8D73D03880D_.wvu.FilterData" localSheetId="10" hidden="1">'Vaksinasi Wilayah'!$A$1:$AO$46</definedName>
    <definedName name="Z_25A76D96_52B1_40EC_8748_39136AC78C3F_.wvu.FilterData" localSheetId="10" hidden="1">'Vaksinasi Wilayah'!$A$1:$IB$46</definedName>
    <definedName name="Z_277B0670_E5D2_4B01_9C06_BEBBE06C7A28_.wvu.FilterData" localSheetId="10" hidden="1">'Vaksinasi Wilayah'!$A$1:$HM$46</definedName>
    <definedName name="Z_29092CAF_8A68_4B16_85EA_BB6B24B3A04F_.wvu.FilterData" localSheetId="10" hidden="1">'Vaksinasi Wilayah'!$BP$12</definedName>
    <definedName name="Z_296C8782_600B_472A_929A_A7689C6F3A4C_.wvu.FilterData" localSheetId="10" hidden="1">'Vaksinasi Wilayah'!$A$1:$BP$46</definedName>
    <definedName name="Z_2A0F7540_5265_4761_950E_E1166E49E782_.wvu.FilterData" localSheetId="10" hidden="1">'Vaksinasi Wilayah'!$K$19</definedName>
    <definedName name="Z_2B87DE61_F291_43D2_A0C5_A940D99F8AA6_.wvu.FilterData" localSheetId="10" hidden="1">'Vaksinasi Wilayah'!$A$1:$ED$46</definedName>
    <definedName name="Z_2C63ACF2_CB3E_41B5_912C_A661677AA16C_.wvu.FilterData" localSheetId="10" hidden="1">'Vaksinasi Wilayah'!$A$1:$HD$46</definedName>
    <definedName name="Z_2D4710FC_897B_4DC6_8A8F_A24DD29B7ABE_.wvu.FilterData" localSheetId="10" hidden="1">'Vaksinasi Wilayah'!$A$1:$AX$46</definedName>
    <definedName name="Z_2D770047_2B53_47B5_859A_3B5CE695EED6_.wvu.FilterData" localSheetId="10" hidden="1">'Vaksinasi Wilayah'!$A$1:$CK$46</definedName>
    <definedName name="Z_2F422AC6_450C_47F1_AE34_2AD2F0CF99A6_.wvu.FilterData" localSheetId="10" hidden="1">'Vaksinasi Wilayah'!$A$1:$BY$46</definedName>
    <definedName name="Z_318474EC_1DFE_438A_92E5_C565F8A56368_.wvu.FilterData" localSheetId="10" hidden="1">'Vaksinasi Wilayah'!$A$1:$BV$46</definedName>
    <definedName name="Z_32A7637D_DDA1_415B_9669_74C4FF01C9CA_.wvu.FilterData" localSheetId="10" hidden="1">'Vaksinasi Wilayah'!$A$1:$ES$46</definedName>
    <definedName name="Z_32C6C37A_DE20_47A8_9A58_1BFB34D22D5E_.wvu.FilterData" localSheetId="10" hidden="1">'Vaksinasi Wilayah'!$A$1:$GU$46</definedName>
    <definedName name="Z_3B6883D8_F13B_4E46_AA9D_E61ED11716EF_.wvu.FilterData" localSheetId="10" hidden="1">'Vaksinasi Wilayah'!$A$1:$DF$46</definedName>
    <definedName name="Z_3B7A29F3_FE7C_4DEF_9D68_4844C80E86B2_.wvu.FilterData" localSheetId="10" hidden="1">'Vaksinasi Wilayah'!$A$1:$AX$46</definedName>
    <definedName name="Z_3C502C0F_1AA8_4CC9_AFC7_1E188C793102_.wvu.FilterData" localSheetId="10" hidden="1">'Vaksinasi Wilayah'!$A$1:$FZ$46</definedName>
    <definedName name="Z_3CA94127_0FC1_42EF_8CB2_C154827529A1_.wvu.FilterData" localSheetId="10" hidden="1">'Vaksinasi Wilayah'!$BP$12</definedName>
    <definedName name="Z_4066FB57_667E_4820_A903_A573C64BA5EB_.wvu.FilterData" localSheetId="10" hidden="1">'Vaksinasi Wilayah'!$A$1:$GI$46</definedName>
    <definedName name="Z_40E3D437_398B_487D_B59C_6996D861582A_.wvu.FilterData" localSheetId="10" hidden="1">'Vaksinasi Wilayah'!$A$1:$CB$46</definedName>
    <definedName name="Z_43D6D94B_9B99_47B5_A7C3_F6DEE3B63FE4_.wvu.FilterData" localSheetId="10" hidden="1">'Vaksinasi Wilayah'!$BO$11</definedName>
    <definedName name="Z_453E0314_F563_4D2A_8118_821835F7BED4_.wvu.FilterData" localSheetId="10" hidden="1">'Vaksinasi Wilayah'!$A$1:$BY$46</definedName>
    <definedName name="Z_48748C1D_2E83_44D7_B04D_E7DC40A435EF_.wvu.FilterData" localSheetId="10" hidden="1">'Vaksinasi Wilayah'!$A$1:$GR$46</definedName>
    <definedName name="Z_491003A0_1635_4F3D_AFE8_A0D4BC5B2C6F_.wvu.FilterData" localSheetId="10" hidden="1">'Vaksinasi Wilayah'!$A$1:$BV$46</definedName>
    <definedName name="Z_4AB1324C_506D_4766_8A9A_B006604816DF_.wvu.FilterData" localSheetId="10" hidden="1">'Vaksinasi Wilayah'!$K$19</definedName>
    <definedName name="Z_4CDADE31_F6D5_4D7C_ACF0_5133C26EF30C_.wvu.FilterData" localSheetId="10" hidden="1">'Vaksinasi Wilayah'!$A$1:$GI$46</definedName>
    <definedName name="Z_4CF78C0A_F126_4A78_8F2A_0DB30A15E205_.wvu.FilterData" localSheetId="10" hidden="1">'Vaksinasi Wilayah'!$A$1:$CH$46</definedName>
    <definedName name="Z_4D4360CB_D166_4D12_AD74_FF1F91A86A7B_.wvu.FilterData" localSheetId="10" hidden="1">'Vaksinasi Wilayah'!$A$1:$HJ$46</definedName>
    <definedName name="Z_4F1A6E12_F5BC_4904_865A_59FFE9E20A21_.wvu.FilterData" localSheetId="10" hidden="1">'Vaksinasi Wilayah'!$A$1:$AF$46</definedName>
    <definedName name="Z_51BDF3D7_3135_4594_AFBF_61735B14EEC2_.wvu.FilterData" localSheetId="10" hidden="1">'Vaksinasi Wilayah'!$A$1:$DX$46</definedName>
    <definedName name="Z_52B351AD_3F43_480F_B770_31F768E34A16_.wvu.FilterData" localSheetId="10" hidden="1">'Vaksinasi Wilayah'!$A$1:$HA$46</definedName>
    <definedName name="Z_56BD578C_40BA_4044_9C43_DCDE78C7E350_.wvu.FilterData" localSheetId="10" hidden="1">'Vaksinasi Wilayah'!$BP$12</definedName>
    <definedName name="Z_5841691C_ECB4_4F7D_B81C_1E1A35B8A4B0_.wvu.FilterData" localSheetId="10" hidden="1">'Vaksinasi Wilayah'!$A$1:$CQ$46</definedName>
    <definedName name="Z_5F40B028_0BE2_4821_9336_5669A5E885C5_.wvu.FilterData" localSheetId="10" hidden="1">'Vaksinasi Wilayah'!$A$1:$BY$46</definedName>
    <definedName name="Z_5F70E172_316C_44C1_A518_0438FFA08FD3_.wvu.FilterData" localSheetId="10" hidden="1">'Vaksinasi Wilayah'!$A$1:$DL$46</definedName>
    <definedName name="Z_616C9644_7BF6_464E_864E_CF9C7C4E8B7B_.wvu.FilterData" localSheetId="10" hidden="1">'Vaksinasi Wilayah'!$BO$11</definedName>
    <definedName name="Z_61E1C12E_F545_4520_8531_14ED612F4289_.wvu.FilterData" localSheetId="10" hidden="1">'Vaksinasi Wilayah'!$A$1:$BS$46</definedName>
    <definedName name="Z_64ABD64E_DBE2_4923_B538_5F36357B1294_.wvu.FilterData" localSheetId="10" hidden="1">'Vaksinasi Wilayah'!$A$2:$T$46</definedName>
    <definedName name="Z_66CBDA55_9F0B_45E6_B3A5_CCABACFA51D3_.wvu.FilterData" localSheetId="10" hidden="1">'Vaksinasi Wilayah'!$J$10</definedName>
    <definedName name="Z_66DE35CD_8627_4A19_9487_DB0961AA1DE4_.wvu.FilterData" localSheetId="10" hidden="1">'Vaksinasi Wilayah'!$A$1:$EY$46</definedName>
    <definedName name="Z_6782B8DA_728E_4920_9F1B_BFC83AB94171_.wvu.FilterData" localSheetId="10" hidden="1">'Vaksinasi Wilayah'!$A$1:$GO$46</definedName>
    <definedName name="Z_67DAC65E_3006_4D9B_82B1_40367D6F95E4_.wvu.FilterData" localSheetId="10" hidden="1">'Vaksinasi Wilayah'!$AU$3:$AU$46</definedName>
    <definedName name="Z_692B6C40_6CAD_4C16_9549_460FF4B4DFED_.wvu.FilterData" localSheetId="10" hidden="1">'Vaksinasi Wilayah'!$A$1:$Z$46</definedName>
    <definedName name="Z_6DCCA54E_101C_4F01_9370_2BA677AC4127_.wvu.FilterData" localSheetId="10" hidden="1">'Vaksinasi Wilayah'!$A$1:$DO$46</definedName>
    <definedName name="Z_6FE2B26E_194D_40FD_9B5B_FFB7D17E01A0_.wvu.FilterData" localSheetId="10" hidden="1">'Vaksinasi Wilayah'!$A$1:$AI$46</definedName>
    <definedName name="Z_715991D4_BC94_4F37_ADA8_C0DCA9CFDA22_.wvu.FilterData" localSheetId="10" hidden="1">'Vaksinasi Wilayah'!$C$1:$W$46</definedName>
    <definedName name="Z_716F2223_E4AA_43D3_8F22_66801EB3EA32_.wvu.FilterData" localSheetId="10" hidden="1">'Vaksinasi Wilayah'!$A$1:$CN$46</definedName>
    <definedName name="Z_72C7ED7B_2D20_4764_B38A_4930F1C85279_.wvu.FilterData" localSheetId="10" hidden="1">'Vaksinasi Wilayah'!$A$1:$HV$46</definedName>
    <definedName name="Z_74229A4C_8848_4E66_B361_DD202DED8E5F_.wvu.FilterData" localSheetId="10" hidden="1">'Vaksinasi Wilayah'!$A$1:$BM$46</definedName>
    <definedName name="Z_744C2544_C5FB_498D_B8BE_E4C5F3A81830_.wvu.FilterData" localSheetId="10" hidden="1">'Vaksinasi Wilayah'!$A$1:$BS$46</definedName>
    <definedName name="Z_75FF4ECD_49D8_471A_AB3D_84A443717501_.wvu.FilterData" localSheetId="10" hidden="1">'Vaksinasi Wilayah'!$A$1:$HS$46</definedName>
    <definedName name="Z_77F2C9BD_D661_4BCE_B73C_CB429C4B4B99_.wvu.FilterData" localSheetId="10" hidden="1">'Vaksinasi Wilayah'!$A$1:$FB$46</definedName>
    <definedName name="Z_7ACF27DA_8817_47F5_B844_E15665860813_.wvu.FilterData" localSheetId="10" hidden="1">'Vaksinasi Wilayah'!$A$1:$IN$46</definedName>
    <definedName name="Z_7E24D468_DF16_41D4_964C_28B2A1C6CB41_.wvu.FilterData" localSheetId="10" hidden="1">'Vaksinasi Wilayah'!$J$12</definedName>
    <definedName name="Z_7E3553DE_73F2_4DCC_A254_3357BE83043F_.wvu.FilterData" localSheetId="10" hidden="1">'Vaksinasi Wilayah'!$A$1:$IH$46</definedName>
    <definedName name="Z_8005D9E6_56B6_4A20_B24B_E51A72BC5D93_.wvu.FilterData" localSheetId="10" hidden="1">'Vaksinasi Wilayah'!$BO$11</definedName>
    <definedName name="Z_8020C7D8_5803_4A35_99A2_D5CC254530F6_.wvu.FilterData" localSheetId="10" hidden="1">'Vaksinasi Wilayah'!$A$1:$AO$46</definedName>
    <definedName name="Z_802A00BC_96E1_4E84_839C_240D9C4193DD_.wvu.FilterData" localSheetId="10" hidden="1">'Vaksinasi Wilayah'!$A$1:$EP$46</definedName>
    <definedName name="Z_81CE9938_D3E4_45C5_9B84_1660E90CC8C2_.wvu.FilterData" localSheetId="10" hidden="1">'Vaksinasi Wilayah'!$A$1:$EG$46</definedName>
    <definedName name="Z_82E82A01_E167_4433_920E_69F55D673C93_.wvu.FilterData" localSheetId="10" hidden="1">'Vaksinasi Wilayah'!$A$1:$ES$46</definedName>
    <definedName name="Z_8697D240_617A_4303_B518_0A60453DD0BA_.wvu.FilterData" localSheetId="10" hidden="1">'Vaksinasi Wilayah'!$A$2:$AJ$46</definedName>
    <definedName name="Z_8BDC8A37_AB2E_4BC3_A2DC_958244635F38_.wvu.FilterData" localSheetId="10" hidden="1">'Vaksinasi Wilayah'!$AU$3:$AU$46</definedName>
    <definedName name="Z_8E4C71AB_4005_426E_A1B5_BECDD9723299_.wvu.FilterData" localSheetId="10" hidden="1">'Vaksinasi Wilayah'!$A$1:$FE$47</definedName>
    <definedName name="Z_8EE2156B_F979_4629_8DB4_124ABDF0B678_.wvu.FilterData" localSheetId="10" hidden="1">'Vaksinasi Wilayah'!$BT$3:$BT$46</definedName>
    <definedName name="Z_9017B621_C8FF_48C0_8DA9_358754724B80_.wvu.FilterData" localSheetId="10" hidden="1">'Vaksinasi Wilayah'!$A$1:$EJ$46</definedName>
    <definedName name="Z_902095C8_FCAD_4D48_B325_33BBD273A6ED_.wvu.FilterData" localSheetId="10" hidden="1">'Vaksinasi Wilayah'!$A$1:$EV$46</definedName>
    <definedName name="Z_9089B0D1_76E1_4906_8F00_FBAF85AB6B68_.wvu.FilterData" localSheetId="10" hidden="1">'Vaksinasi Wilayah'!$A$1:$BV$46</definedName>
    <definedName name="Z_91418433_C1B7_4041_BCC2_368775701D7E_.wvu.FilterData" localSheetId="10" hidden="1">'Vaksinasi Wilayah'!$J$5</definedName>
    <definedName name="Z_91B08F99_216D_4856_A656_8C8B2E45C3E1_.wvu.FilterData" localSheetId="10" hidden="1">'Vaksinasi Wilayah'!$A$1:$IN$46</definedName>
    <definedName name="Z_92394D3C_6B43_4925_A1B9_8A9CCCACFF32_.wvu.FilterData" localSheetId="10" hidden="1">'Vaksinasi Wilayah'!$A$1:$CE$46</definedName>
    <definedName name="Z_952B179B_9792_4160_9D46_4FAF8162597D_.wvu.FilterData" localSheetId="10" hidden="1">'Vaksinasi Wilayah'!$A$1:$FW$46</definedName>
    <definedName name="Z_96C8671C_C666_4DC6_9514_0B5488158933_.wvu.FilterData" localSheetId="10" hidden="1">'Vaksinasi Wilayah'!$A$1:$DC$46</definedName>
    <definedName name="Z_97D40C87_7D14_4A2E_82BF_89C50BA9F160_.wvu.FilterData" localSheetId="10" hidden="1">'Vaksinasi Wilayah'!$A$1:$CH$46</definedName>
    <definedName name="Z_9CED777C_6CDC_4A46_9A67_6C34EA604F54_.wvu.FilterData" localSheetId="10" hidden="1">'Vaksinasi Wilayah'!$J$12</definedName>
    <definedName name="Z_9D8F4405_7C5B_4A06_A890_221CDE5E9F9A_.wvu.FilterData" localSheetId="10" hidden="1">'Vaksinasi Wilayah'!$A$1:$IE$46</definedName>
    <definedName name="Z_9D9D1104_3A09_4D38_BA8E_447F35F56DEE_.wvu.FilterData" localSheetId="10" hidden="1">'Vaksinasi Wilayah'!$A$1:$AX$46</definedName>
    <definedName name="Z_A4272730_DA5C_4248_89B8_D2D2B8AB70A1_.wvu.FilterData" localSheetId="10" hidden="1">'Vaksinasi Wilayah'!$A$1:$BY$46</definedName>
    <definedName name="Z_A629EAA0_EC84_468A_B510_C175F133C777_.wvu.FilterData" localSheetId="10" hidden="1">'Vaksinasi Wilayah'!$A$1:$FN$46</definedName>
    <definedName name="Z_A73EA648_CC7C_4E44_9E3D_DE3A88BFC5FF_.wvu.FilterData" localSheetId="10" hidden="1">'Vaksinasi Wilayah'!$A$1:$CK$46</definedName>
    <definedName name="Z_A7552801_A8C6_458B_BCE0_EA1878D944F6_.wvu.FilterData" localSheetId="10" hidden="1">'Vaksinasi Wilayah'!$A$1:$GC$46</definedName>
    <definedName name="Z_AD9D77DF_C347_471E_ADAC_C0C7C3AD6A57_.wvu.FilterData" localSheetId="10" hidden="1">'Vaksinasi Wilayah'!$AU$3:$AU$46</definedName>
    <definedName name="Z_ADF96328_03A0_4D46_A6CB_42B5371D6BB5_.wvu.FilterData" localSheetId="10" hidden="1">'Vaksinasi Wilayah'!$A$1:$AI$46</definedName>
    <definedName name="Z_B18FEB3A_C64D_481D_8A1D_BBF9538E088F_.wvu.FilterData" localSheetId="10" hidden="1">'Vaksinasi Wilayah'!$BP$12</definedName>
    <definedName name="Z_B1954814_91B9_4F47_88F3_6EE43757CAB2_.wvu.FilterData" localSheetId="10" hidden="1">'Vaksinasi Wilayah'!$BB$3:$BB$46</definedName>
    <definedName name="Z_B197E880_BB85_42F3_B5D5_E7458C6D1AD7_.wvu.FilterData" localSheetId="10" hidden="1">'Vaksinasi Wilayah'!$A$1:$HG$46</definedName>
    <definedName name="Z_B20986D9_F4A0_4866_BDBD_2C8D584B019B_.wvu.FilterData" localSheetId="10" hidden="1">'Vaksinasi Wilayah'!$A$1:$BJ$46</definedName>
    <definedName name="Z_B686A446_DBB8_4B8D_9B73_B85FC1318D16_.wvu.FilterData" localSheetId="10" hidden="1">'Vaksinasi Wilayah'!$A$1:$BJ$46</definedName>
    <definedName name="Z_B85B4828_23F3_4AD6_89CD_7FB8FBC1A2DA_.wvu.FilterData" localSheetId="10" hidden="1">'Vaksinasi Wilayah'!$BB$3:$BB$46</definedName>
    <definedName name="Z_BCF8C26E_16D7_461D_B25A_A7B96132586C_.wvu.FilterData" localSheetId="10" hidden="1">'Vaksinasi Wilayah'!$A$1:$CW$46</definedName>
    <definedName name="Z_BCFBE4F5_1BE2_41D4_8804_462E6F8F2BB5_.wvu.FilterData" localSheetId="10" hidden="1">'Vaksinasi Wilayah'!$A$1:$EA$46</definedName>
    <definedName name="Z_C0115176_FA44_435D_94DD_252C5C18DC2F_.wvu.FilterData" localSheetId="10" hidden="1">'Vaksinasi Wilayah'!$BP$12</definedName>
    <definedName name="Z_C6B31D65_1B6A_4841_BE9C_FE6E61E8EA95_.wvu.FilterData" localSheetId="10" hidden="1">'Vaksinasi Wilayah'!$A$1:$DU$46</definedName>
    <definedName name="Z_C7086DA6_B781_41AB_A250_3D0A3E3C0D63_.wvu.FilterData" localSheetId="10" hidden="1">'Vaksinasi Wilayah'!$A$1:$HP$46</definedName>
    <definedName name="Z_C73488EE_DFF3_40C0_9DAF_FF862899203F_.wvu.FilterData" localSheetId="10" hidden="1">'Vaksinasi Wilayah'!$A$1:$EJ$46</definedName>
    <definedName name="Z_C835A174_9D12_4E25_956F_E244C739405B_.wvu.FilterData" localSheetId="10" hidden="1">'Vaksinasi Wilayah'!$BP$12</definedName>
    <definedName name="Z_C865DFFD_A2F1_4F30_B318_42A2113FA8D5_.wvu.FilterData" localSheetId="10" hidden="1">'Vaksinasi Wilayah'!$A$1:$CZ$46</definedName>
    <definedName name="Z_CC97CA64_F79F_4450_A3AA_7FE2986362A9_.wvu.FilterData" localSheetId="10" hidden="1">'Vaksinasi Wilayah'!$A$1:$GL$46</definedName>
    <definedName name="Z_CEB9E376_88CE_4053_A2ED_C13C0D1FCFDE_.wvu.FilterData" localSheetId="10" hidden="1">'Vaksinasi Wilayah'!$A$1:$BD$46</definedName>
    <definedName name="Z_CF739B01_29BF_4D8A_B865_5E9A1C845B09_.wvu.FilterData" localSheetId="10" hidden="1">'Vaksinasi Wilayah'!$A$2:$AO$46</definedName>
    <definedName name="Z_CFF98D2D_257A_421D_AE70_D910519A14E6_.wvu.FilterData" localSheetId="10" hidden="1">'Vaksinasi Wilayah'!$A$1:$HY$46</definedName>
    <definedName name="Z_D05A9C30_1594_4124_9C6F_152DC7FC6BA1_.wvu.FilterData" localSheetId="10" hidden="1">'Vaksinasi Wilayah'!$A$1:$EM$46</definedName>
    <definedName name="Z_D1C9FABF_DBFE_49C6_BC94_389F017C4A16_.wvu.FilterData" localSheetId="10" hidden="1">'Vaksinasi Wilayah'!$A$1:$DU$46</definedName>
    <definedName name="Z_DD1E4880_A714_46F1_9EA5_BD5D0CA13355_.wvu.FilterData" localSheetId="10" hidden="1">'Vaksinasi Wilayah'!$BP$12</definedName>
    <definedName name="Z_E3CD1556_FB71_480D_8D33_FA7824537920_.wvu.FilterData" localSheetId="10" hidden="1">'Vaksinasi Wilayah'!$J$12</definedName>
    <definedName name="Z_E703B642_8E38_4CF6_9B1B_158B49A610BA_.wvu.FilterData" localSheetId="10" hidden="1">'Vaksinasi Wilayah'!$A$1:$FK$46</definedName>
    <definedName name="Z_ED26FE2B_4CF1_4588_9345_815C6A3BE2B7_.wvu.FilterData" localSheetId="10" hidden="1">'Vaksinasi Wilayah'!$A$1:$DI$46</definedName>
    <definedName name="Z_F4F4AB36_21C8_46BE_B841_28827667E4BD_.wvu.FilterData" localSheetId="10" hidden="1">'Vaksinasi Wilayah'!$O$3:$O$46</definedName>
    <definedName name="Z_F7F9ED2E_69E3_4538_AEBE_2FB40FE1FBC3_.wvu.FilterData" localSheetId="10" hidden="1">'Vaksinasi Wilayah'!$O$3:$O$46</definedName>
    <definedName name="Z_F8BC058F_B652_49D7_BDC6_F7D3149A91E6_.wvu.FilterData" localSheetId="10" hidden="1">'Vaksinasi Wilayah'!$A$1:$AX$46</definedName>
    <definedName name="Z_FE83F856_2373_494A_84BD_E9E79A2A1C90_.wvu.FilterData" localSheetId="10" hidden="1">'Vaksinasi Wilayah'!$J$12</definedName>
  </definedNames>
  <calcPr calcId="181029"/>
  <customWorkbookViews>
    <customWorkbookView name="Filter 43" guid="{DD1E4880-A714-46F1-9EA5-BD5D0CA13355}" maximized="1" windowWidth="0" windowHeight="0" activeSheetId="0"/>
    <customWorkbookView name="Filter 42" guid="{29092CAF-8A68-4B16-85EA-BB6B24B3A04F}" maximized="1" windowWidth="0" windowHeight="0" activeSheetId="0"/>
    <customWorkbookView name="Filter 41" guid="{56BD578C-40BA-4044-9C43-DCDE78C7E350}" maximized="1" windowWidth="0" windowHeight="0" activeSheetId="0"/>
    <customWorkbookView name="Filter 40" guid="{3CA94127-0FC1-42EF-8CB2-C154827529A1}" maximized="1" windowWidth="0" windowHeight="0" activeSheetId="0"/>
    <customWorkbookView name="Filter 49" guid="{43D6D94B-9B99-47B5-A7C3-F6DEE3B63FE4}" maximized="1" windowWidth="0" windowHeight="0" activeSheetId="0"/>
    <customWorkbookView name="Filter 48" guid="{19F411A4-E16E-4724-B67F-43F012517E5D}" maximized="1" windowWidth="0" windowHeight="0" activeSheetId="0"/>
    <customWorkbookView name="Filter 47" guid="{00C237F5-F3CC-48E1-A3A4-C8F3DF834E3F}" maximized="1" windowWidth="0" windowHeight="0" activeSheetId="0"/>
    <customWorkbookView name="Filter 46" guid="{616C9644-7BF6-464E-864E-CF9C7C4E8B7B}" maximized="1" windowWidth="0" windowHeight="0" activeSheetId="0"/>
    <customWorkbookView name="Filter 45" guid="{61E1C12E-F545-4520-8531-14ED612F4289}" maximized="1" windowWidth="0" windowHeight="0" activeSheetId="0"/>
    <customWorkbookView name="Filter 44" guid="{B18FEB3A-C64D-481D-8A1D-BBF9538E088F}" maximized="1" windowWidth="0" windowHeight="0" activeSheetId="0"/>
    <customWorkbookView name="Filter 54" guid="{491003A0-1635-4F3D-AFE8-A0D4BC5B2C6F}" maximized="1" windowWidth="0" windowHeight="0" activeSheetId="0"/>
    <customWorkbookView name="Filter 53" guid="{F4F4AB36-21C8-46BE-B841-28827667E4BD}" maximized="1" windowWidth="0" windowHeight="0" activeSheetId="0"/>
    <customWorkbookView name="Filter 52" guid="{F7F9ED2E-69E3-4538-AEBE-2FB40FE1FBC3}" maximized="1" windowWidth="0" windowHeight="0" activeSheetId="0"/>
    <customWorkbookView name="Filter 51" guid="{744C2544-C5FB-498D-B8BE-E4C5F3A81830}" maximized="1" windowWidth="0" windowHeight="0" activeSheetId="0"/>
    <customWorkbookView name="Filter 50" guid="{8005D9E6-56B6-4A20-B24B-E51A72BC5D93}" maximized="1" windowWidth="0" windowHeight="0" activeSheetId="0"/>
    <customWorkbookView name="Filter 59" guid="{5F40B028-0BE2-4821-9336-5669A5E885C5}" maximized="1" windowWidth="0" windowHeight="0" activeSheetId="0"/>
    <customWorkbookView name="Filter 58" guid="{A4272730-DA5C-4248-89B8-D2D2B8AB70A1}" maximized="1" windowWidth="0" windowHeight="0" activeSheetId="0"/>
    <customWorkbookView name="Filter 57" guid="{8EE2156B-F979-4629-8DB4-124ABDF0B678}" maximized="1" windowWidth="0" windowHeight="0" activeSheetId="0"/>
    <customWorkbookView name="Filter 56" guid="{318474EC-1DFE-438A-92E5-C565F8A56368}" maximized="1" windowWidth="0" windowHeight="0" activeSheetId="0"/>
    <customWorkbookView name="Filter 55" guid="{9089B0D1-76E1-4906-8F00-FBAF85AB6B68}" maximized="1" windowWidth="0" windowHeight="0" activeSheetId="0"/>
    <customWorkbookView name="Filter 118" guid="{75FF4ECD-49D8-471A-AB3D-84A443717501}" maximized="1" windowWidth="0" windowHeight="0" activeSheetId="0"/>
    <customWorkbookView name="Filter 119" guid="{72C7ED7B-2D20-4764-B38A-4930F1C85279}" maximized="1" windowWidth="0" windowHeight="0" activeSheetId="0"/>
    <customWorkbookView name="Filter 110" guid="{32C6C37A-DE20-47A8-9A58-1BFB34D22D5E}" maximized="1" windowWidth="0" windowHeight="0" activeSheetId="0"/>
    <customWorkbookView name="Filter 65" guid="{97D40C87-7D14-4A2E-82BF-89C50BA9F160}" maximized="1" windowWidth="0" windowHeight="0" activeSheetId="0"/>
    <customWorkbookView name="Filter 111" guid="{0FB4F1E0-A14B-48E7-A54C-AA86F88BCB74}" maximized="1" windowWidth="0" windowHeight="0" activeSheetId="0"/>
    <customWorkbookView name="Filter 64" guid="{92394D3C-6B43-4925-A1B9-8A9CCCACFF32}" maximized="1" windowWidth="0" windowHeight="0" activeSheetId="0"/>
    <customWorkbookView name="Filter 63" guid="{1653CE0C-5394-4633-8A08-76C6C61D0EB0}" maximized="1" windowWidth="0" windowHeight="0" activeSheetId="0"/>
    <customWorkbookView name="Filter 112" guid="{52B351AD-3F43-480F-B770-31F768E34A16}" maximized="1" windowWidth="0" windowHeight="0" activeSheetId="0"/>
    <customWorkbookView name="Filter 113" guid="{2C63ACF2-CB3E-41B5-912C-A661677AA16C}" maximized="1" windowWidth="0" windowHeight="0" activeSheetId="0"/>
    <customWorkbookView name="Filter 62" guid="{40E3D437-398B-487D-B59C-6996D861582A}" maximized="1" windowWidth="0" windowHeight="0" activeSheetId="0"/>
    <customWorkbookView name="Filter 114" guid="{B197E880-BB85-42F3-B5D5-E7458C6D1AD7}" maximized="1" windowWidth="0" windowHeight="0" activeSheetId="0"/>
    <customWorkbookView name="Filter 61" guid="{453E0314-F563-4D2A-8118-821835F7BED4}" maximized="1" windowWidth="0" windowHeight="0" activeSheetId="0"/>
    <customWorkbookView name="Filter 115" guid="{4D4360CB-D166-4D12-AD74-FF1F91A86A7B}" maximized="1" windowWidth="0" windowHeight="0" activeSheetId="0"/>
    <customWorkbookView name="Filter 60" guid="{2F422AC6-450C-47F1-AE34-2AD2F0CF99A6}" maximized="1" windowWidth="0" windowHeight="0" activeSheetId="0"/>
    <customWorkbookView name="Filter 116" guid="{277B0670-E5D2-4B01-9C06-BEBBE06C7A28}" maximized="1" windowWidth="0" windowHeight="0" activeSheetId="0"/>
    <customWorkbookView name="Filter 117" guid="{C7086DA6-B781-41AB-A250-3D0A3E3C0D63}" maximized="1" windowWidth="0" windowHeight="0" activeSheetId="0"/>
    <customWorkbookView name="Filter 69" guid="{716F2223-E4AA-43D3-8F22-66801EB3EA32}" maximized="1" windowWidth="0" windowHeight="0" activeSheetId="0"/>
    <customWorkbookView name="Filter 68" guid="{2D770047-2B53-47B5-859A-3B5CE695EED6}" maximized="1" windowWidth="0" windowHeight="0" activeSheetId="0"/>
    <customWorkbookView name="Filter 67" guid="{A73EA648-CC7C-4E44-9E3D-DE3A88BFC5FF}" maximized="1" windowWidth="0" windowHeight="0" activeSheetId="0"/>
    <customWorkbookView name="Filter 66" guid="{4CF78C0A-F126-4A78-8F2A-0DB30A15E205}" maximized="1" windowWidth="0" windowHeight="0" activeSheetId="0"/>
    <customWorkbookView name="Filter 121" guid="{08986CF3-CB90-4E16-83B9-47A2080D6A71}" maximized="1" windowWidth="0" windowHeight="0" activeSheetId="0"/>
    <customWorkbookView name="Filter 76" guid="{ED26FE2B-4CF1-4588-9345-815C6A3BE2B7}" maximized="1" windowWidth="0" windowHeight="0" activeSheetId="0"/>
    <customWorkbookView name="Filter 122" guid="{25A76D96-52B1-40EC-8748-39136AC78C3F}" maximized="1" windowWidth="0" windowHeight="0" activeSheetId="0"/>
    <customWorkbookView name="Filter 75" guid="{3B6883D8-F13B-4E46-AA9D-E61ED11716EF}" maximized="1" windowWidth="0" windowHeight="0" activeSheetId="0"/>
    <customWorkbookView name="Filter 74" guid="{96C8671C-C666-4DC6-9514-0B5488158933}" maximized="1" windowWidth="0" windowHeight="0" activeSheetId="0"/>
    <customWorkbookView name="Filter 123" guid="{9D8F4405-7C5B-4A06-A890-221CDE5E9F9A}" maximized="1" windowWidth="0" windowHeight="0" activeSheetId="0"/>
    <customWorkbookView name="Filter 73" guid="{C865DFFD-A2F1-4F30-B318-42A2113FA8D5}" maximized="1" windowWidth="0" windowHeight="0" activeSheetId="0"/>
    <customWorkbookView name="Filter 124" guid="{7E3553DE-73F2-4DCC-A254-3357BE83043F}" maximized="1" windowWidth="0" windowHeight="0" activeSheetId="0"/>
    <customWorkbookView name="Filter 125" guid="{1B3A2916-8B8F-4E18-85DE-9E4A608C8873}" maximized="1" windowWidth="0" windowHeight="0" activeSheetId="0"/>
    <customWorkbookView name="Filter 72" guid="{BCF8C26E-16D7-461D-B25A-A7B96132586C}" maximized="1" windowWidth="0" windowHeight="0" activeSheetId="0"/>
    <customWorkbookView name="Filter 126" guid="{91B08F99-216D-4856-A656-8C8B2E45C3E1}" maximized="1" windowWidth="0" windowHeight="0" activeSheetId="0"/>
    <customWorkbookView name="Filter 71" guid="{1C8B6568-FB02-45DB-A382-A1A02BACFC9C}" maximized="1" windowWidth="0" windowHeight="0" activeSheetId="0"/>
    <customWorkbookView name="Filter 70" guid="{5841691C-ECB4-4F7D-B81C-1E1A35B8A4B0}" maximized="1" windowWidth="0" windowHeight="0" activeSheetId="0"/>
    <customWorkbookView name="Filter 127" guid="{7ACF27DA-8817-47F5-B844-E15665860813}" maximized="1" windowWidth="0" windowHeight="0" activeSheetId="0"/>
    <customWorkbookView name="Filter 79" guid="{127F791D-2ECB-4D8F-B404-3A39C628CD87}" maximized="1" windowWidth="0" windowHeight="0" activeSheetId="0"/>
    <customWorkbookView name="Filter 78" guid="{6DCCA54E-101C-4F01-9370-2BA677AC4127}" maximized="1" windowWidth="0" windowHeight="0" activeSheetId="0"/>
    <customWorkbookView name="Filter 120" guid="{CFF98D2D-257A-421D-AE70-D910519A14E6}" maximized="1" windowWidth="0" windowHeight="0" activeSheetId="0"/>
    <customWorkbookView name="Filter 77" guid="{5F70E172-316C-44C1-A518-0438FFA08FD3}" maximized="1" windowWidth="0" windowHeight="0" activeSheetId="0"/>
    <customWorkbookView name="Filter 1" guid="{64ABD64E-DBE2-4923-B538-5F36357B1294}" maximized="1" windowWidth="0" windowHeight="0" activeSheetId="0"/>
    <customWorkbookView name="Filter 90" guid="{802A00BC-96E1-4E84-839C-240D9C4193DD}" maximized="1" windowWidth="0" windowHeight="0" activeSheetId="0"/>
    <customWorkbookView name="Filter 3" guid="{13BDB258-F11B-4CC6-BFDC-FC3E0FB11CB3}" maximized="1" windowWidth="0" windowHeight="0" activeSheetId="0"/>
    <customWorkbookView name="Filter 2" guid="{8697D240-617A-4303-B518-0A60453DD0BA}" maximized="1" windowWidth="0" windowHeight="0" activeSheetId="0"/>
    <customWorkbookView name="Filter 5" guid="{692B6C40-6CAD-4C16-9549-460FF4B4DFED}" maximized="1" windowWidth="0" windowHeight="0" activeSheetId="0"/>
    <customWorkbookView name="Filter 4" guid="{715991D4-BC94-4F37-ADA8-C0DCA9CFDA22}" maximized="1" windowWidth="0" windowHeight="0" activeSheetId="0"/>
    <customWorkbookView name="Filter 7" guid="{4F1A6E12-F5BC-4904-865A-59FFE9E20A21}" maximized="1" windowWidth="0" windowHeight="0" activeSheetId="0"/>
    <customWorkbookView name="Filter 6" guid="{19A37948-1CFC-47D9-87C2-E2DC2DE49B05}" maximized="1" windowWidth="0" windowHeight="0" activeSheetId="0"/>
    <customWorkbookView name="Filter 87" guid="{9017B621-C8FF-48C0-8DA9-358754724B80}" maximized="1" windowWidth="0" windowHeight="0" activeSheetId="0"/>
    <customWorkbookView name="Filter 9" guid="{6FE2B26E-194D-40FD-9B5B-FFB7D17E01A0}" maximized="1" windowWidth="0" windowHeight="0" activeSheetId="0"/>
    <customWorkbookView name="Filter 86" guid="{1D3A4E67-714D-47EA-A6E0-2DC9F4FBEC4E}" maximized="1" windowWidth="0" windowHeight="0" activeSheetId="0"/>
    <customWorkbookView name="Filter 8" guid="{ADF96328-03A0-4D46-A6CB-42B5371D6BB5}" maximized="1" windowWidth="0" windowHeight="0" activeSheetId="0"/>
    <customWorkbookView name="Filter 85" guid="{81CE9938-D3E4-45C5-9B84-1660E90CC8C2}" maximized="1" windowWidth="0" windowHeight="0" activeSheetId="0"/>
    <customWorkbookView name="Filter 84" guid="{2B87DE61-F291-43D2-A0C5-A940D99F8AA6}" maximized="1" windowWidth="0" windowHeight="0" activeSheetId="0"/>
    <customWorkbookView name="Filter 83" guid="{BCFBE4F5-1BE2-41D4-8804-462E6F8F2BB5}" maximized="1" windowWidth="0" windowHeight="0" activeSheetId="0"/>
    <customWorkbookView name="Filter 82" guid="{51BDF3D7-3135-4594-AFBF-61735B14EEC2}" maximized="1" windowWidth="0" windowHeight="0" activeSheetId="0"/>
    <customWorkbookView name="Filter 81" guid="{D1C9FABF-DBFE-49C6-BC94-389F017C4A16}" maximized="1" windowWidth="0" windowHeight="0" activeSheetId="0"/>
    <customWorkbookView name="Filter 80" guid="{C6B31D65-1B6A-4841-BE9C-FE6E61E8EA95}" maximized="1" windowWidth="0" windowHeight="0" activeSheetId="0"/>
    <customWorkbookView name="Filter 89" guid="{D05A9C30-1594-4124-9C6F-152DC7FC6BA1}" maximized="1" windowWidth="0" windowHeight="0" activeSheetId="0"/>
    <customWorkbookView name="Filter 88" guid="{C73488EE-DFF3-40C0-9DAF-FF862899203F}" maximized="1" windowWidth="0" windowHeight="0" activeSheetId="0"/>
    <customWorkbookView name="Filter 19" guid="{4AB1324C-506D-4766-8A9A-B006604816DF}" maximized="1" windowWidth="0" windowHeight="0" activeSheetId="0"/>
    <customWorkbookView name="Filter 107" guid="{CC97CA64-F79F-4450-A3AA-7FE2986362A9}" maximized="1" windowWidth="0" windowHeight="0" activeSheetId="0"/>
    <customWorkbookView name="Filter 108" guid="{6782B8DA-728E-4920-9F1B-BFC83AB94171}" maximized="1" windowWidth="0" windowHeight="0" activeSheetId="0"/>
    <customWorkbookView name="Filter 109" guid="{48748C1D-2E83-44D7-B04D-E7DC40A435EF}" maximized="1" windowWidth="0" windowHeight="0" activeSheetId="0"/>
    <customWorkbookView name="Filter 98" guid="{1A775F9D-5345-4B10-A373-0FE547F11229}" maximized="1" windowWidth="0" windowHeight="0" activeSheetId="0"/>
    <customWorkbookView name="Filter 10" guid="{8020C7D8-5803-4A35-99A2-D5CC254530F6}" maximized="1" windowWidth="0" windowHeight="0" activeSheetId="0"/>
    <customWorkbookView name="Filter 97" guid="{8E4C71AB-4005-426E-A1B5-BECDD9723299}" maximized="1" windowWidth="0" windowHeight="0" activeSheetId="0"/>
    <customWorkbookView name="Filter 100" guid="{A629EAA0-EC84-468A-B510-C175F133C777}" maximized="1" windowWidth="0" windowHeight="0" activeSheetId="0"/>
    <customWorkbookView name="Filter 101" guid="{952B179B-9792-4160-9D46-4FAF8162597D}" maximized="1" windowWidth="0" windowHeight="0" activeSheetId="0"/>
    <customWorkbookView name="Filter 96" guid="{77F2C9BD-D661-4BCE-B73C-CB429C4B4B99}" maximized="1" windowWidth="0" windowHeight="0" activeSheetId="0"/>
    <customWorkbookView name="Filter 95" guid="{66DE35CD-8627-4A19-9487-DB0961AA1DE4}" maximized="1" windowWidth="0" windowHeight="0" activeSheetId="0"/>
    <customWorkbookView name="Filter 102" guid="{3C502C0F-1AA8-4CC9-AFC7-1E188C793102}" maximized="1" windowWidth="0" windowHeight="0" activeSheetId="0"/>
    <customWorkbookView name="Filter 94" guid="{902095C8-FCAD-4D48-B325-33BBD273A6ED}" maximized="1" windowWidth="0" windowHeight="0" activeSheetId="0"/>
    <customWorkbookView name="Filter 103" guid="{A7552801-A8C6-458B-BCE0-EA1878D944F6}" maximized="1" windowWidth="0" windowHeight="0" activeSheetId="0"/>
    <customWorkbookView name="Filter 93" guid="{129D7826-857E-4362-8A95-453A519FB2AD}" maximized="1" windowWidth="0" windowHeight="0" activeSheetId="0"/>
    <customWorkbookView name="Filter 104" guid="{126227C9-DF69-4F48-BE89-4082141BCF6D}" maximized="1" windowWidth="0" windowHeight="0" activeSheetId="0"/>
    <customWorkbookView name="Filter 92" guid="{82E82A01-E167-4433-920E-69F55D673C93}" maximized="1" windowWidth="0" windowHeight="0" activeSheetId="0"/>
    <customWorkbookView name="Filter 105" guid="{4CDADE31-F6D5-4D7C-ACF0-5133C26EF30C}" maximized="1" windowWidth="0" windowHeight="0" activeSheetId="0"/>
    <customWorkbookView name="Filter 91" guid="{32A7637D-DDA1-415B-9669-74C4FF01C9CA}" maximized="1" windowWidth="0" windowHeight="0" activeSheetId="0"/>
    <customWorkbookView name="Filter 106" guid="{4066FB57-667E-4820-A903-A573C64BA5EB}" maximized="1" windowWidth="0" windowHeight="0" activeSheetId="0"/>
    <customWorkbookView name="Filter 18" guid="{91418433-C1B7-4041-BCC2-368775701D7E}" maximized="1" windowWidth="0" windowHeight="0" activeSheetId="0"/>
    <customWorkbookView name="Filter 17" guid="{66CBDA55-9F0B-45E6-B3A5-CCABACFA51D3}" maximized="1" windowWidth="0" windowHeight="0" activeSheetId="0"/>
    <customWorkbookView name="Filter 16" guid="{1401D7C2-085D-4E54-9BF6-4FAA80CA1147}" maximized="1" windowWidth="0" windowHeight="0" activeSheetId="0"/>
    <customWorkbookView name="Filter 15" guid="{E3CD1556-FB71-480D-8D33-FA7824537920}" maximized="1" windowWidth="0" windowHeight="0" activeSheetId="0"/>
    <customWorkbookView name="Filter 14" guid="{9CED777C-6CDC-4A46-9A67-6C34EA604F54}" maximized="1" windowWidth="0" windowHeight="0" activeSheetId="0"/>
    <customWorkbookView name="Filter 13" guid="{7E24D468-DF16-41D4-964C-28B2A1C6CB41}" maximized="1" windowWidth="0" windowHeight="0" activeSheetId="0"/>
    <customWorkbookView name="Filter 12" guid="{FE83F856-2373-494A-84BD-E9E79A2A1C90}" maximized="1" windowWidth="0" windowHeight="0" activeSheetId="0"/>
    <customWorkbookView name="Filter 99" guid="{E703B642-8E38-4CF6-9B1B-158B49A610BA}" maximized="1" windowWidth="0" windowHeight="0" activeSheetId="0"/>
    <customWorkbookView name="Filter 11" guid="{20482FED-91E5-446A-A852-B8D73D03880D}" maximized="1" windowWidth="0" windowHeight="0" activeSheetId="0"/>
    <customWorkbookView name="Filter 21" guid="{CF739B01-29BF-4D8A-B865-5E9A1C845B09}" maximized="1" windowWidth="0" windowHeight="0" activeSheetId="0"/>
    <customWorkbookView name="Filter 20" guid="{2A0F7540-5265-4761-950E-E1166E49E782}" maximized="1" windowWidth="0" windowHeight="0" activeSheetId="0"/>
    <customWorkbookView name="Filter 29" guid="{2D4710FC-897B-4DC6-8A8F-A24DD29B7ABE}" maximized="1" windowWidth="0" windowHeight="0" activeSheetId="0"/>
    <customWorkbookView name="Filter 28" guid="{3B7A29F3-FE7C-4DEF-9D68-4844C80E86B2}" maximized="1" windowWidth="0" windowHeight="0" activeSheetId="0"/>
    <customWorkbookView name="Filter 27" guid="{8BDC8A37-AB2E-4BC3-A2DC-958244635F38}" maximized="1" windowWidth="0" windowHeight="0" activeSheetId="0"/>
    <customWorkbookView name="Filter 26" guid="{67DAC65E-3006-4D9B-82B1-40367D6F95E4}" maximized="1" windowWidth="0" windowHeight="0" activeSheetId="0"/>
    <customWorkbookView name="Filter 25" guid="{AD9D77DF-C347-471E-ADAC-C0C7C3AD6A57}" maximized="1" windowWidth="0" windowHeight="0" activeSheetId="0"/>
    <customWorkbookView name="Filter 24" guid="{F8BC058F-B652-49D7-BDC6-F7D3149A91E6}" maximized="1" windowWidth="0" windowHeight="0" activeSheetId="0"/>
    <customWorkbookView name="Filter 23" guid="{1C84FD7A-F3F2-4926-92BA-3C62991DD82B}" maximized="1" windowWidth="0" windowHeight="0" activeSheetId="0"/>
    <customWorkbookView name="Filter 22" guid="{9D9D1104-3A09-4D38-BA8E-447F35F56DEE}" maximized="1" windowWidth="0" windowHeight="0" activeSheetId="0"/>
    <customWorkbookView name="Filter 32" guid="{B85B4828-23F3-4AD6-89CD-7FB8FBC1A2DA}" maximized="1" windowWidth="0" windowHeight="0" activeSheetId="0"/>
    <customWorkbookView name="Filter 31" guid="{B1954814-91B9-4F47-88F3-6EE43757CAB2}" maximized="1" windowWidth="0" windowHeight="0" activeSheetId="0"/>
    <customWorkbookView name="Filter 30" guid="{CEB9E376-88CE-4053-A2ED-C13C0D1FCFDE}" maximized="1" windowWidth="0" windowHeight="0" activeSheetId="0"/>
    <customWorkbookView name="Filter 39" guid="{C835A174-9D12-4E25-956F-E244C739405B}" maximized="1" windowWidth="0" windowHeight="0" activeSheetId="0"/>
    <customWorkbookView name="Filter 38" guid="{C0115176-FA44-435D-94DD-252C5C18DC2F}" maximized="1" windowWidth="0" windowHeight="0" activeSheetId="0"/>
    <customWorkbookView name="Filter 37" guid="{296C8782-600B-472A-929A-A7689C6F3A4C}" maximized="1" windowWidth="0" windowHeight="0" activeSheetId="0"/>
    <customWorkbookView name="Filter 36" guid="{74229A4C-8848-4E66-B361-DD202DED8E5F}" maximized="1" windowWidth="0" windowHeight="0" activeSheetId="0"/>
    <customWorkbookView name="Filter 35" guid="{B686A446-DBB8-4B8D-9B73-B85FC1318D16}" maximized="1" windowWidth="0" windowHeight="0" activeSheetId="0"/>
    <customWorkbookView name="Filter 34" guid="{B20986D9-F4A0-4866-BDBD-2C8D584B019B}" maximized="1" windowWidth="0" windowHeight="0" activeSheetId="0"/>
    <customWorkbookView name="Filter 33" guid="{02DED7C3-D288-42ED-97E6-AEC0AA6349A2}" maximized="1" windowWidth="0" windowHeight="0" activeSheetId="0"/>
  </customWorkbookViews>
</workbook>
</file>

<file path=xl/calcChain.xml><?xml version="1.0" encoding="utf-8"?>
<calcChain xmlns="http://schemas.openxmlformats.org/spreadsheetml/2006/main">
  <c r="J3" i="6" l="1"/>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2" i="6"/>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3" i="12"/>
  <c r="BB8" i="8"/>
  <c r="BB9" i="8"/>
  <c r="BB10" i="8"/>
  <c r="BB11" i="8"/>
  <c r="BB12" i="8"/>
  <c r="BB13" i="8"/>
  <c r="BB14" i="8"/>
  <c r="BB15" i="8"/>
  <c r="BB16" i="8"/>
  <c r="BB17" i="8"/>
  <c r="BB18" i="8"/>
  <c r="BB19"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2" i="8"/>
  <c r="BB53" i="8"/>
  <c r="BB54" i="8"/>
  <c r="BB55" i="8"/>
  <c r="BB56" i="8"/>
  <c r="BB57" i="8"/>
  <c r="BB58" i="8"/>
  <c r="BB59" i="8"/>
  <c r="BB60" i="8"/>
  <c r="BB61" i="8"/>
  <c r="BB62" i="8"/>
  <c r="BB63" i="8"/>
  <c r="BB64" i="8"/>
  <c r="BB65" i="8"/>
  <c r="BB66" i="8"/>
  <c r="BB67" i="8"/>
  <c r="BB68" i="8"/>
  <c r="BB69" i="8"/>
  <c r="BB70" i="8"/>
  <c r="BB71" i="8"/>
  <c r="BB72" i="8"/>
  <c r="BB73" i="8"/>
  <c r="BB74" i="8"/>
  <c r="BB75" i="8"/>
  <c r="BB76" i="8"/>
  <c r="BB77" i="8"/>
  <c r="BB78" i="8"/>
  <c r="BB79" i="8"/>
  <c r="BB80" i="8"/>
  <c r="BB81" i="8"/>
  <c r="BB82" i="8"/>
  <c r="BB83" i="8"/>
  <c r="BB84" i="8"/>
  <c r="BB85" i="8"/>
  <c r="BB86" i="8"/>
  <c r="BB87" i="8"/>
  <c r="BB88" i="8"/>
  <c r="BB89" i="8"/>
  <c r="BB90" i="8"/>
  <c r="BB91" i="8"/>
  <c r="BB92" i="8"/>
  <c r="BB93" i="8"/>
  <c r="BB94" i="8"/>
  <c r="BB95" i="8"/>
  <c r="BB96" i="8"/>
  <c r="BB97" i="8"/>
  <c r="BB98" i="8"/>
  <c r="BB99" i="8"/>
  <c r="BB100" i="8"/>
  <c r="BB101" i="8"/>
  <c r="BB102" i="8"/>
  <c r="BB103" i="8"/>
  <c r="BB104" i="8"/>
  <c r="BB105" i="8"/>
  <c r="BB106" i="8"/>
  <c r="BB107" i="8"/>
  <c r="BB108" i="8"/>
  <c r="BB109" i="8"/>
  <c r="BB110" i="8"/>
  <c r="BB7" i="8"/>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IJ46" i="9"/>
  <c r="IG46" i="9"/>
  <c r="ID46" i="9"/>
  <c r="IA46" i="9"/>
  <c r="HX46" i="9"/>
  <c r="HU46" i="9"/>
  <c r="HR46" i="9"/>
  <c r="HO46" i="9"/>
  <c r="HL46" i="9"/>
  <c r="HI46" i="9"/>
  <c r="HF46" i="9"/>
  <c r="HC46" i="9"/>
  <c r="GZ46" i="9"/>
  <c r="GW46" i="9"/>
  <c r="GT46" i="9"/>
  <c r="GQ46" i="9"/>
  <c r="GN46" i="9"/>
  <c r="GK46" i="9"/>
  <c r="GH46" i="9"/>
  <c r="GE46" i="9"/>
  <c r="GB46" i="9"/>
  <c r="FY46" i="9"/>
  <c r="FV46" i="9"/>
  <c r="FS46" i="9"/>
  <c r="FP46" i="9"/>
  <c r="FM46" i="9"/>
  <c r="FJ46" i="9"/>
  <c r="FG46" i="9"/>
  <c r="FD46" i="9"/>
  <c r="FA46" i="9"/>
  <c r="EX46" i="9"/>
  <c r="EU46" i="9"/>
  <c r="ER46" i="9"/>
  <c r="EO46" i="9"/>
  <c r="EL46" i="9"/>
  <c r="EI46" i="9"/>
  <c r="EF46" i="9"/>
  <c r="EC46" i="9"/>
  <c r="DZ46" i="9"/>
  <c r="DW46" i="9"/>
  <c r="DT46" i="9"/>
  <c r="DQ46" i="9"/>
  <c r="DN46" i="9"/>
  <c r="DK46" i="9"/>
  <c r="DH46" i="9"/>
  <c r="DE46" i="9"/>
  <c r="DB46" i="9"/>
  <c r="CY46" i="9"/>
  <c r="CV46" i="9"/>
  <c r="CS46" i="9"/>
  <c r="CP46" i="9"/>
  <c r="CM46" i="9"/>
  <c r="CJ46" i="9"/>
  <c r="CG46" i="9"/>
  <c r="CD46" i="9"/>
  <c r="CA46" i="9"/>
  <c r="BX46" i="9"/>
  <c r="BU46" i="9"/>
  <c r="BR46" i="9"/>
  <c r="BO46" i="9"/>
  <c r="BL46" i="9"/>
  <c r="BI46" i="9"/>
  <c r="BF46" i="9"/>
  <c r="BC46" i="9"/>
  <c r="AZ46" i="9"/>
  <c r="AW46" i="9"/>
  <c r="AT46" i="9"/>
  <c r="AQ46" i="9"/>
  <c r="AN46" i="9"/>
  <c r="AK46" i="9"/>
  <c r="AH46" i="9"/>
  <c r="AE46" i="9"/>
  <c r="AB46" i="9"/>
  <c r="Y46" i="9"/>
  <c r="V46" i="9"/>
  <c r="S46" i="9"/>
  <c r="P46" i="9"/>
  <c r="M46" i="9"/>
  <c r="J46" i="9"/>
  <c r="IJ45" i="9"/>
  <c r="IG45" i="9"/>
  <c r="ID45" i="9"/>
  <c r="IA45" i="9"/>
  <c r="HX45" i="9"/>
  <c r="HU45" i="9"/>
  <c r="HR45" i="9"/>
  <c r="HO45" i="9"/>
  <c r="HL45" i="9"/>
  <c r="HI45" i="9"/>
  <c r="HF45" i="9"/>
  <c r="HC45" i="9"/>
  <c r="GZ45" i="9"/>
  <c r="GW45" i="9"/>
  <c r="GT45" i="9"/>
  <c r="GQ45" i="9"/>
  <c r="GN45" i="9"/>
  <c r="GK45" i="9"/>
  <c r="GH45" i="9"/>
  <c r="GE45" i="9"/>
  <c r="GB45" i="9"/>
  <c r="FY45" i="9"/>
  <c r="FV45" i="9"/>
  <c r="FS45" i="9"/>
  <c r="FP45" i="9"/>
  <c r="FM45" i="9"/>
  <c r="FJ45" i="9"/>
  <c r="FG45" i="9"/>
  <c r="FD45" i="9"/>
  <c r="FA45" i="9"/>
  <c r="EX45" i="9"/>
  <c r="EU45" i="9"/>
  <c r="ER45" i="9"/>
  <c r="EO45" i="9"/>
  <c r="EL45" i="9"/>
  <c r="EI45" i="9"/>
  <c r="EF45" i="9"/>
  <c r="EC45" i="9"/>
  <c r="DZ45" i="9"/>
  <c r="DW45" i="9"/>
  <c r="DT45" i="9"/>
  <c r="DQ45" i="9"/>
  <c r="DN45" i="9"/>
  <c r="DK45" i="9"/>
  <c r="DH45" i="9"/>
  <c r="DE45" i="9"/>
  <c r="DB45" i="9"/>
  <c r="CY45" i="9"/>
  <c r="CV45" i="9"/>
  <c r="CS45" i="9"/>
  <c r="CP45" i="9"/>
  <c r="CM45" i="9"/>
  <c r="CJ45" i="9"/>
  <c r="CG45" i="9"/>
  <c r="CD45" i="9"/>
  <c r="CA45" i="9"/>
  <c r="BX45" i="9"/>
  <c r="BU45" i="9"/>
  <c r="BR45" i="9"/>
  <c r="BO45" i="9"/>
  <c r="BL45" i="9"/>
  <c r="BI45" i="9"/>
  <c r="BF45" i="9"/>
  <c r="BC45" i="9"/>
  <c r="AZ45" i="9"/>
  <c r="AW45" i="9"/>
  <c r="AT45" i="9"/>
  <c r="AQ45" i="9"/>
  <c r="AN45" i="9"/>
  <c r="AK45" i="9"/>
  <c r="AH45" i="9"/>
  <c r="AE45" i="9"/>
  <c r="AB45" i="9"/>
  <c r="Y45" i="9"/>
  <c r="V45" i="9"/>
  <c r="S45" i="9"/>
  <c r="P45" i="9"/>
  <c r="M45" i="9"/>
  <c r="J45" i="9"/>
  <c r="IJ44" i="9"/>
  <c r="IG44" i="9"/>
  <c r="ID44" i="9"/>
  <c r="IA44" i="9"/>
  <c r="HX44" i="9"/>
  <c r="HU44" i="9"/>
  <c r="HR44" i="9"/>
  <c r="HO44" i="9"/>
  <c r="HL44" i="9"/>
  <c r="HI44" i="9"/>
  <c r="HF44" i="9"/>
  <c r="HC44" i="9"/>
  <c r="GZ44" i="9"/>
  <c r="GW44" i="9"/>
  <c r="GT44" i="9"/>
  <c r="GQ44" i="9"/>
  <c r="GN44" i="9"/>
  <c r="GK44" i="9"/>
  <c r="GH44" i="9"/>
  <c r="GE44" i="9"/>
  <c r="GB44" i="9"/>
  <c r="FY44" i="9"/>
  <c r="FV44" i="9"/>
  <c r="FS44" i="9"/>
  <c r="FP44" i="9"/>
  <c r="FM44" i="9"/>
  <c r="FJ44" i="9"/>
  <c r="FG44" i="9"/>
  <c r="FD44" i="9"/>
  <c r="FA44" i="9"/>
  <c r="EX44" i="9"/>
  <c r="EU44" i="9"/>
  <c r="ER44" i="9"/>
  <c r="EO44" i="9"/>
  <c r="EL44" i="9"/>
  <c r="EI44" i="9"/>
  <c r="EF44" i="9"/>
  <c r="EC44" i="9"/>
  <c r="DZ44" i="9"/>
  <c r="DW44" i="9"/>
  <c r="DT44" i="9"/>
  <c r="DQ44" i="9"/>
  <c r="DN44" i="9"/>
  <c r="DK44" i="9"/>
  <c r="DH44" i="9"/>
  <c r="DE44" i="9"/>
  <c r="DB44" i="9"/>
  <c r="CY44" i="9"/>
  <c r="CV44" i="9"/>
  <c r="CS44" i="9"/>
  <c r="CP44" i="9"/>
  <c r="CM44" i="9"/>
  <c r="CJ44" i="9"/>
  <c r="CG44" i="9"/>
  <c r="CD44" i="9"/>
  <c r="CA44" i="9"/>
  <c r="BX44" i="9"/>
  <c r="BU44" i="9"/>
  <c r="BR44" i="9"/>
  <c r="BO44" i="9"/>
  <c r="BL44" i="9"/>
  <c r="BI44" i="9"/>
  <c r="BF44" i="9"/>
  <c r="BC44" i="9"/>
  <c r="AZ44" i="9"/>
  <c r="AW44" i="9"/>
  <c r="AT44" i="9"/>
  <c r="AQ44" i="9"/>
  <c r="AN44" i="9"/>
  <c r="AK44" i="9"/>
  <c r="AH44" i="9"/>
  <c r="AE44" i="9"/>
  <c r="AB44" i="9"/>
  <c r="Y44" i="9"/>
  <c r="V44" i="9"/>
  <c r="S44" i="9"/>
  <c r="P44" i="9"/>
  <c r="M44" i="9"/>
  <c r="J44" i="9"/>
  <c r="IJ43" i="9"/>
  <c r="IG43" i="9"/>
  <c r="ID43" i="9"/>
  <c r="IA43" i="9"/>
  <c r="HX43" i="9"/>
  <c r="HU43" i="9"/>
  <c r="HR43" i="9"/>
  <c r="HO43" i="9"/>
  <c r="HL43" i="9"/>
  <c r="HI43" i="9"/>
  <c r="HF43" i="9"/>
  <c r="HC43" i="9"/>
  <c r="GZ43" i="9"/>
  <c r="GW43" i="9"/>
  <c r="GT43" i="9"/>
  <c r="GQ43" i="9"/>
  <c r="GN43" i="9"/>
  <c r="GK43" i="9"/>
  <c r="GH43" i="9"/>
  <c r="GE43" i="9"/>
  <c r="GB43" i="9"/>
  <c r="FY43" i="9"/>
  <c r="FV43" i="9"/>
  <c r="FS43" i="9"/>
  <c r="FP43" i="9"/>
  <c r="FM43" i="9"/>
  <c r="FJ43" i="9"/>
  <c r="FG43" i="9"/>
  <c r="FD43" i="9"/>
  <c r="FA43" i="9"/>
  <c r="EX43" i="9"/>
  <c r="EU43" i="9"/>
  <c r="ER43" i="9"/>
  <c r="EO43" i="9"/>
  <c r="EL43" i="9"/>
  <c r="EI43" i="9"/>
  <c r="EF43" i="9"/>
  <c r="EC43" i="9"/>
  <c r="DZ43" i="9"/>
  <c r="DW43" i="9"/>
  <c r="DT43" i="9"/>
  <c r="DQ43" i="9"/>
  <c r="DN43" i="9"/>
  <c r="DK43" i="9"/>
  <c r="DH43" i="9"/>
  <c r="DE43" i="9"/>
  <c r="DB43" i="9"/>
  <c r="CY43" i="9"/>
  <c r="CV43" i="9"/>
  <c r="CS43" i="9"/>
  <c r="CP43" i="9"/>
  <c r="CM43" i="9"/>
  <c r="CJ43" i="9"/>
  <c r="CG43" i="9"/>
  <c r="CD43" i="9"/>
  <c r="CA43" i="9"/>
  <c r="BX43" i="9"/>
  <c r="BU43" i="9"/>
  <c r="BR43" i="9"/>
  <c r="BO43" i="9"/>
  <c r="BL43" i="9"/>
  <c r="BI43" i="9"/>
  <c r="BF43" i="9"/>
  <c r="BC43" i="9"/>
  <c r="AZ43" i="9"/>
  <c r="AW43" i="9"/>
  <c r="AT43" i="9"/>
  <c r="AQ43" i="9"/>
  <c r="AN43" i="9"/>
  <c r="AK43" i="9"/>
  <c r="AH43" i="9"/>
  <c r="AE43" i="9"/>
  <c r="AB43" i="9"/>
  <c r="Y43" i="9"/>
  <c r="V43" i="9"/>
  <c r="S43" i="9"/>
  <c r="P43" i="9"/>
  <c r="M43" i="9"/>
  <c r="J43" i="9"/>
  <c r="IJ42" i="9"/>
  <c r="IG42" i="9"/>
  <c r="ID42" i="9"/>
  <c r="IA42" i="9"/>
  <c r="HX42" i="9"/>
  <c r="HU42" i="9"/>
  <c r="HR42" i="9"/>
  <c r="HO42" i="9"/>
  <c r="HL42" i="9"/>
  <c r="HI42" i="9"/>
  <c r="HF42" i="9"/>
  <c r="HC42" i="9"/>
  <c r="GZ42" i="9"/>
  <c r="GW42" i="9"/>
  <c r="GT42" i="9"/>
  <c r="GQ42" i="9"/>
  <c r="GN42" i="9"/>
  <c r="GK42" i="9"/>
  <c r="GH42" i="9"/>
  <c r="GE42" i="9"/>
  <c r="GB42" i="9"/>
  <c r="FY42" i="9"/>
  <c r="FV42" i="9"/>
  <c r="FS42" i="9"/>
  <c r="FP42" i="9"/>
  <c r="FM42" i="9"/>
  <c r="FJ42" i="9"/>
  <c r="FG42" i="9"/>
  <c r="FD42" i="9"/>
  <c r="FA42" i="9"/>
  <c r="EX42" i="9"/>
  <c r="EU42" i="9"/>
  <c r="ER42" i="9"/>
  <c r="EO42" i="9"/>
  <c r="EL42" i="9"/>
  <c r="EI42" i="9"/>
  <c r="EF42" i="9"/>
  <c r="EC42" i="9"/>
  <c r="DZ42" i="9"/>
  <c r="DW42" i="9"/>
  <c r="DT42" i="9"/>
  <c r="DQ42" i="9"/>
  <c r="DN42" i="9"/>
  <c r="DK42" i="9"/>
  <c r="DH42" i="9"/>
  <c r="DE42" i="9"/>
  <c r="DB42" i="9"/>
  <c r="CY42" i="9"/>
  <c r="CV42" i="9"/>
  <c r="CS42" i="9"/>
  <c r="CP42" i="9"/>
  <c r="CM42" i="9"/>
  <c r="CJ42" i="9"/>
  <c r="CG42" i="9"/>
  <c r="CD42" i="9"/>
  <c r="CA42" i="9"/>
  <c r="BX42" i="9"/>
  <c r="BU42" i="9"/>
  <c r="BR42" i="9"/>
  <c r="BO42" i="9"/>
  <c r="BL42" i="9"/>
  <c r="BI42" i="9"/>
  <c r="BF42" i="9"/>
  <c r="BC42" i="9"/>
  <c r="AZ42" i="9"/>
  <c r="AW42" i="9"/>
  <c r="AT42" i="9"/>
  <c r="AQ42" i="9"/>
  <c r="AN42" i="9"/>
  <c r="AK42" i="9"/>
  <c r="AH42" i="9"/>
  <c r="AE42" i="9"/>
  <c r="AB42" i="9"/>
  <c r="Y42" i="9"/>
  <c r="V42" i="9"/>
  <c r="S42" i="9"/>
  <c r="P42" i="9"/>
  <c r="M42" i="9"/>
  <c r="J42" i="9"/>
  <c r="IJ41" i="9"/>
  <c r="IG41" i="9"/>
  <c r="ID41" i="9"/>
  <c r="IA41" i="9"/>
  <c r="HX41" i="9"/>
  <c r="HU41" i="9"/>
  <c r="HR41" i="9"/>
  <c r="HO41" i="9"/>
  <c r="HL41" i="9"/>
  <c r="HI41" i="9"/>
  <c r="HF41" i="9"/>
  <c r="HC41" i="9"/>
  <c r="GZ41" i="9"/>
  <c r="GW41" i="9"/>
  <c r="GT41" i="9"/>
  <c r="GQ41" i="9"/>
  <c r="GN41" i="9"/>
  <c r="GK41" i="9"/>
  <c r="GH41" i="9"/>
  <c r="GE41" i="9"/>
  <c r="GB41" i="9"/>
  <c r="FY41" i="9"/>
  <c r="FV41" i="9"/>
  <c r="FS41" i="9"/>
  <c r="FP41" i="9"/>
  <c r="FM41" i="9"/>
  <c r="FJ41" i="9"/>
  <c r="FG41" i="9"/>
  <c r="FD41" i="9"/>
  <c r="FA41" i="9"/>
  <c r="EX41" i="9"/>
  <c r="EU41" i="9"/>
  <c r="ER41" i="9"/>
  <c r="EO41" i="9"/>
  <c r="EL41" i="9"/>
  <c r="EI41" i="9"/>
  <c r="EF41" i="9"/>
  <c r="EC41" i="9"/>
  <c r="DZ41" i="9"/>
  <c r="DW41" i="9"/>
  <c r="DT41" i="9"/>
  <c r="DQ41" i="9"/>
  <c r="DN41" i="9"/>
  <c r="DK41" i="9"/>
  <c r="DH41" i="9"/>
  <c r="DE41" i="9"/>
  <c r="DB41" i="9"/>
  <c r="CY41" i="9"/>
  <c r="CV41" i="9"/>
  <c r="CS41" i="9"/>
  <c r="CP41" i="9"/>
  <c r="CM41" i="9"/>
  <c r="CJ41" i="9"/>
  <c r="CG41" i="9"/>
  <c r="CD41" i="9"/>
  <c r="CA41" i="9"/>
  <c r="BX41" i="9"/>
  <c r="BU41" i="9"/>
  <c r="BR41" i="9"/>
  <c r="BO41" i="9"/>
  <c r="BL41" i="9"/>
  <c r="BI41" i="9"/>
  <c r="BF41" i="9"/>
  <c r="BC41" i="9"/>
  <c r="AZ41" i="9"/>
  <c r="AW41" i="9"/>
  <c r="AT41" i="9"/>
  <c r="AQ41" i="9"/>
  <c r="AN41" i="9"/>
  <c r="AK41" i="9"/>
  <c r="AH41" i="9"/>
  <c r="AE41" i="9"/>
  <c r="AB41" i="9"/>
  <c r="Y41" i="9"/>
  <c r="V41" i="9"/>
  <c r="S41" i="9"/>
  <c r="P41" i="9"/>
  <c r="M41" i="9"/>
  <c r="J41" i="9"/>
  <c r="IJ40" i="9"/>
  <c r="IG40" i="9"/>
  <c r="ID40" i="9"/>
  <c r="IA40" i="9"/>
  <c r="HX40" i="9"/>
  <c r="HU40" i="9"/>
  <c r="HR40" i="9"/>
  <c r="HO40" i="9"/>
  <c r="HL40" i="9"/>
  <c r="HI40" i="9"/>
  <c r="HF40" i="9"/>
  <c r="HC40" i="9"/>
  <c r="GZ40" i="9"/>
  <c r="GW40" i="9"/>
  <c r="GT40" i="9"/>
  <c r="GQ40" i="9"/>
  <c r="GN40" i="9"/>
  <c r="GK40" i="9"/>
  <c r="GH40" i="9"/>
  <c r="GE40" i="9"/>
  <c r="GB40" i="9"/>
  <c r="FY40" i="9"/>
  <c r="FV40" i="9"/>
  <c r="FS40" i="9"/>
  <c r="FP40" i="9"/>
  <c r="FM40" i="9"/>
  <c r="FJ40" i="9"/>
  <c r="FG40" i="9"/>
  <c r="FD40" i="9"/>
  <c r="FA40" i="9"/>
  <c r="EX40" i="9"/>
  <c r="EU40" i="9"/>
  <c r="ER40" i="9"/>
  <c r="EO40" i="9"/>
  <c r="EL40" i="9"/>
  <c r="EI40" i="9"/>
  <c r="EF40" i="9"/>
  <c r="EC40" i="9"/>
  <c r="DZ40" i="9"/>
  <c r="DW40" i="9"/>
  <c r="DT40" i="9"/>
  <c r="DQ40" i="9"/>
  <c r="DN40" i="9"/>
  <c r="DK40" i="9"/>
  <c r="DH40" i="9"/>
  <c r="DE40" i="9"/>
  <c r="DB40" i="9"/>
  <c r="CY40" i="9"/>
  <c r="CV40" i="9"/>
  <c r="CS40" i="9"/>
  <c r="CP40" i="9"/>
  <c r="CM40" i="9"/>
  <c r="CJ40" i="9"/>
  <c r="CG40" i="9"/>
  <c r="CD40" i="9"/>
  <c r="CA40" i="9"/>
  <c r="BX40" i="9"/>
  <c r="BU40" i="9"/>
  <c r="BR40" i="9"/>
  <c r="BO40" i="9"/>
  <c r="BL40" i="9"/>
  <c r="BI40" i="9"/>
  <c r="BF40" i="9"/>
  <c r="BC40" i="9"/>
  <c r="AZ40" i="9"/>
  <c r="AW40" i="9"/>
  <c r="AT40" i="9"/>
  <c r="AQ40" i="9"/>
  <c r="AN40" i="9"/>
  <c r="AK40" i="9"/>
  <c r="AH40" i="9"/>
  <c r="AE40" i="9"/>
  <c r="AB40" i="9"/>
  <c r="Y40" i="9"/>
  <c r="V40" i="9"/>
  <c r="S40" i="9"/>
  <c r="P40" i="9"/>
  <c r="M40" i="9"/>
  <c r="J40" i="9"/>
  <c r="IJ39" i="9"/>
  <c r="IG39" i="9"/>
  <c r="ID39" i="9"/>
  <c r="IA39" i="9"/>
  <c r="HX39" i="9"/>
  <c r="HU39" i="9"/>
  <c r="HR39" i="9"/>
  <c r="HO39" i="9"/>
  <c r="HL39" i="9"/>
  <c r="HI39" i="9"/>
  <c r="HF39" i="9"/>
  <c r="HC39" i="9"/>
  <c r="GZ39" i="9"/>
  <c r="GW39" i="9"/>
  <c r="GT39" i="9"/>
  <c r="GQ39" i="9"/>
  <c r="GN39" i="9"/>
  <c r="GK39" i="9"/>
  <c r="GH39" i="9"/>
  <c r="GE39" i="9"/>
  <c r="GB39" i="9"/>
  <c r="FY39" i="9"/>
  <c r="FV39" i="9"/>
  <c r="FS39" i="9"/>
  <c r="FP39" i="9"/>
  <c r="FM39" i="9"/>
  <c r="FJ39" i="9"/>
  <c r="FG39" i="9"/>
  <c r="FD39" i="9"/>
  <c r="FA39" i="9"/>
  <c r="EX39" i="9"/>
  <c r="EU39" i="9"/>
  <c r="ER39" i="9"/>
  <c r="EO39" i="9"/>
  <c r="EL39" i="9"/>
  <c r="EI39" i="9"/>
  <c r="EF39" i="9"/>
  <c r="EC39" i="9"/>
  <c r="DZ39" i="9"/>
  <c r="DW39" i="9"/>
  <c r="DT39" i="9"/>
  <c r="DQ39" i="9"/>
  <c r="DN39" i="9"/>
  <c r="DK39" i="9"/>
  <c r="DH39" i="9"/>
  <c r="DE39" i="9"/>
  <c r="DB39" i="9"/>
  <c r="CY39" i="9"/>
  <c r="CV39" i="9"/>
  <c r="CS39" i="9"/>
  <c r="CP39" i="9"/>
  <c r="CM39" i="9"/>
  <c r="CJ39" i="9"/>
  <c r="CG39" i="9"/>
  <c r="CD39" i="9"/>
  <c r="CA39" i="9"/>
  <c r="BX39" i="9"/>
  <c r="BU39" i="9"/>
  <c r="BR39" i="9"/>
  <c r="BO39" i="9"/>
  <c r="BL39" i="9"/>
  <c r="BI39" i="9"/>
  <c r="BF39" i="9"/>
  <c r="BC39" i="9"/>
  <c r="AZ39" i="9"/>
  <c r="AW39" i="9"/>
  <c r="AT39" i="9"/>
  <c r="AQ39" i="9"/>
  <c r="AN39" i="9"/>
  <c r="AK39" i="9"/>
  <c r="AH39" i="9"/>
  <c r="AE39" i="9"/>
  <c r="AB39" i="9"/>
  <c r="Y39" i="9"/>
  <c r="V39" i="9"/>
  <c r="S39" i="9"/>
  <c r="P39" i="9"/>
  <c r="M39" i="9"/>
  <c r="J39" i="9"/>
  <c r="IJ38" i="9"/>
  <c r="IG38" i="9"/>
  <c r="ID38" i="9"/>
  <c r="IA38" i="9"/>
  <c r="HX38" i="9"/>
  <c r="HU38" i="9"/>
  <c r="HR38" i="9"/>
  <c r="HO38" i="9"/>
  <c r="HL38" i="9"/>
  <c r="HI38" i="9"/>
  <c r="HF38" i="9"/>
  <c r="HC38" i="9"/>
  <c r="GZ38" i="9"/>
  <c r="GW38" i="9"/>
  <c r="GT38" i="9"/>
  <c r="GQ38" i="9"/>
  <c r="GN38" i="9"/>
  <c r="GK38" i="9"/>
  <c r="GH38" i="9"/>
  <c r="GE38" i="9"/>
  <c r="GB38" i="9"/>
  <c r="FY38" i="9"/>
  <c r="FV38" i="9"/>
  <c r="FS38" i="9"/>
  <c r="FP38" i="9"/>
  <c r="FM38" i="9"/>
  <c r="FJ38" i="9"/>
  <c r="FG38" i="9"/>
  <c r="FD38" i="9"/>
  <c r="FA38" i="9"/>
  <c r="EX38" i="9"/>
  <c r="EU38" i="9"/>
  <c r="ER38" i="9"/>
  <c r="EO38" i="9"/>
  <c r="EL38" i="9"/>
  <c r="EI38" i="9"/>
  <c r="EF38" i="9"/>
  <c r="EC38" i="9"/>
  <c r="DZ38" i="9"/>
  <c r="DW38" i="9"/>
  <c r="DT38" i="9"/>
  <c r="DQ38" i="9"/>
  <c r="DN38" i="9"/>
  <c r="DK38" i="9"/>
  <c r="DH38" i="9"/>
  <c r="DE38" i="9"/>
  <c r="DB38" i="9"/>
  <c r="CY38" i="9"/>
  <c r="CV38" i="9"/>
  <c r="CS38" i="9"/>
  <c r="CP38" i="9"/>
  <c r="CM38" i="9"/>
  <c r="CJ38" i="9"/>
  <c r="CG38" i="9"/>
  <c r="CD38" i="9"/>
  <c r="CA38" i="9"/>
  <c r="BX38" i="9"/>
  <c r="BU38" i="9"/>
  <c r="BR38" i="9"/>
  <c r="BO38" i="9"/>
  <c r="BL38" i="9"/>
  <c r="BI38" i="9"/>
  <c r="BF38" i="9"/>
  <c r="BC38" i="9"/>
  <c r="AZ38" i="9"/>
  <c r="AW38" i="9"/>
  <c r="AT38" i="9"/>
  <c r="AQ38" i="9"/>
  <c r="AN38" i="9"/>
  <c r="AK38" i="9"/>
  <c r="AH38" i="9"/>
  <c r="AE38" i="9"/>
  <c r="AB38" i="9"/>
  <c r="Y38" i="9"/>
  <c r="V38" i="9"/>
  <c r="S38" i="9"/>
  <c r="P38" i="9"/>
  <c r="M38" i="9"/>
  <c r="J38" i="9"/>
  <c r="IJ37" i="9"/>
  <c r="IG37" i="9"/>
  <c r="ID37" i="9"/>
  <c r="IA37" i="9"/>
  <c r="HX37" i="9"/>
  <c r="HU37" i="9"/>
  <c r="HR37" i="9"/>
  <c r="HO37" i="9"/>
  <c r="HL37" i="9"/>
  <c r="HI37" i="9"/>
  <c r="HF37" i="9"/>
  <c r="HC37" i="9"/>
  <c r="GZ37" i="9"/>
  <c r="GW37" i="9"/>
  <c r="GT37" i="9"/>
  <c r="GQ37" i="9"/>
  <c r="GN37" i="9"/>
  <c r="GK37" i="9"/>
  <c r="GH37" i="9"/>
  <c r="GE37" i="9"/>
  <c r="GB37" i="9"/>
  <c r="FY37" i="9"/>
  <c r="FV37" i="9"/>
  <c r="FS37" i="9"/>
  <c r="FP37" i="9"/>
  <c r="FM37" i="9"/>
  <c r="FJ37" i="9"/>
  <c r="FG37" i="9"/>
  <c r="FD37" i="9"/>
  <c r="FA37" i="9"/>
  <c r="EX37" i="9"/>
  <c r="EU37" i="9"/>
  <c r="ER37" i="9"/>
  <c r="EO37" i="9"/>
  <c r="EL37" i="9"/>
  <c r="EI37" i="9"/>
  <c r="EF37" i="9"/>
  <c r="EC37" i="9"/>
  <c r="DZ37" i="9"/>
  <c r="DW37" i="9"/>
  <c r="DT37" i="9"/>
  <c r="DQ37" i="9"/>
  <c r="DN37" i="9"/>
  <c r="DK37" i="9"/>
  <c r="DH37" i="9"/>
  <c r="DE37" i="9"/>
  <c r="DB37" i="9"/>
  <c r="CY37" i="9"/>
  <c r="CV37" i="9"/>
  <c r="CS37" i="9"/>
  <c r="CP37" i="9"/>
  <c r="CM37" i="9"/>
  <c r="CJ37" i="9"/>
  <c r="CG37" i="9"/>
  <c r="CD37" i="9"/>
  <c r="CA37" i="9"/>
  <c r="BX37" i="9"/>
  <c r="BU37" i="9"/>
  <c r="BR37" i="9"/>
  <c r="BO37" i="9"/>
  <c r="BL37" i="9"/>
  <c r="BI37" i="9"/>
  <c r="BF37" i="9"/>
  <c r="BC37" i="9"/>
  <c r="AZ37" i="9"/>
  <c r="AW37" i="9"/>
  <c r="AT37" i="9"/>
  <c r="AQ37" i="9"/>
  <c r="AN37" i="9"/>
  <c r="AK37" i="9"/>
  <c r="AH37" i="9"/>
  <c r="AE37" i="9"/>
  <c r="AB37" i="9"/>
  <c r="Y37" i="9"/>
  <c r="V37" i="9"/>
  <c r="S37" i="9"/>
  <c r="P37" i="9"/>
  <c r="M37" i="9"/>
  <c r="J37" i="9"/>
  <c r="IJ36" i="9"/>
  <c r="IG36" i="9"/>
  <c r="ID36" i="9"/>
  <c r="IA36" i="9"/>
  <c r="HX36" i="9"/>
  <c r="HU36" i="9"/>
  <c r="HR36" i="9"/>
  <c r="HO36" i="9"/>
  <c r="HL36" i="9"/>
  <c r="HI36" i="9"/>
  <c r="HF36" i="9"/>
  <c r="HC36" i="9"/>
  <c r="GZ36" i="9"/>
  <c r="GW36" i="9"/>
  <c r="GT36" i="9"/>
  <c r="GQ36" i="9"/>
  <c r="GN36" i="9"/>
  <c r="GK36" i="9"/>
  <c r="GH36" i="9"/>
  <c r="GE36" i="9"/>
  <c r="GB36" i="9"/>
  <c r="FY36" i="9"/>
  <c r="FV36" i="9"/>
  <c r="FS36" i="9"/>
  <c r="FP36" i="9"/>
  <c r="FM36" i="9"/>
  <c r="FJ36" i="9"/>
  <c r="FG36" i="9"/>
  <c r="FD36" i="9"/>
  <c r="FA36" i="9"/>
  <c r="EX36" i="9"/>
  <c r="EU36" i="9"/>
  <c r="ER36" i="9"/>
  <c r="EO36" i="9"/>
  <c r="EL36" i="9"/>
  <c r="EI36" i="9"/>
  <c r="EF36" i="9"/>
  <c r="EC36" i="9"/>
  <c r="DZ36" i="9"/>
  <c r="DW36" i="9"/>
  <c r="DT36" i="9"/>
  <c r="DQ36" i="9"/>
  <c r="DN36" i="9"/>
  <c r="DK36" i="9"/>
  <c r="DH36" i="9"/>
  <c r="DE36" i="9"/>
  <c r="DB36" i="9"/>
  <c r="CY36" i="9"/>
  <c r="CV36" i="9"/>
  <c r="CS36" i="9"/>
  <c r="CP36" i="9"/>
  <c r="CM36" i="9"/>
  <c r="CJ36" i="9"/>
  <c r="CG36" i="9"/>
  <c r="CD36" i="9"/>
  <c r="CA36" i="9"/>
  <c r="BX36" i="9"/>
  <c r="BU36" i="9"/>
  <c r="BR36" i="9"/>
  <c r="BO36" i="9"/>
  <c r="BL36" i="9"/>
  <c r="BI36" i="9"/>
  <c r="BF36" i="9"/>
  <c r="BC36" i="9"/>
  <c r="AZ36" i="9"/>
  <c r="AW36" i="9"/>
  <c r="AT36" i="9"/>
  <c r="AQ36" i="9"/>
  <c r="AN36" i="9"/>
  <c r="AK36" i="9"/>
  <c r="AH36" i="9"/>
  <c r="AE36" i="9"/>
  <c r="AB36" i="9"/>
  <c r="Y36" i="9"/>
  <c r="V36" i="9"/>
  <c r="S36" i="9"/>
  <c r="P36" i="9"/>
  <c r="M36" i="9"/>
  <c r="J36" i="9"/>
  <c r="IJ35" i="9"/>
  <c r="IG35" i="9"/>
  <c r="ID35" i="9"/>
  <c r="IA35" i="9"/>
  <c r="HX35" i="9"/>
  <c r="HU35" i="9"/>
  <c r="HR35" i="9"/>
  <c r="HO35" i="9"/>
  <c r="HL35" i="9"/>
  <c r="HI35" i="9"/>
  <c r="HF35" i="9"/>
  <c r="HC35" i="9"/>
  <c r="GZ35" i="9"/>
  <c r="GW35" i="9"/>
  <c r="GT35" i="9"/>
  <c r="GQ35" i="9"/>
  <c r="GN35" i="9"/>
  <c r="GK35" i="9"/>
  <c r="GH35" i="9"/>
  <c r="GE35" i="9"/>
  <c r="GB35" i="9"/>
  <c r="FY35" i="9"/>
  <c r="FV35" i="9"/>
  <c r="FS35" i="9"/>
  <c r="FP35" i="9"/>
  <c r="FM35" i="9"/>
  <c r="FJ35" i="9"/>
  <c r="FG35" i="9"/>
  <c r="FD35" i="9"/>
  <c r="FA35" i="9"/>
  <c r="EX35" i="9"/>
  <c r="EU35" i="9"/>
  <c r="ER35" i="9"/>
  <c r="EO35" i="9"/>
  <c r="EL35" i="9"/>
  <c r="EI35" i="9"/>
  <c r="EF35" i="9"/>
  <c r="EC35" i="9"/>
  <c r="DZ35" i="9"/>
  <c r="DW35" i="9"/>
  <c r="DT35" i="9"/>
  <c r="DQ35" i="9"/>
  <c r="DN35" i="9"/>
  <c r="DK35" i="9"/>
  <c r="DH35" i="9"/>
  <c r="DE35" i="9"/>
  <c r="DB35" i="9"/>
  <c r="CY35" i="9"/>
  <c r="CV35" i="9"/>
  <c r="CS35" i="9"/>
  <c r="CP35" i="9"/>
  <c r="CM35" i="9"/>
  <c r="CJ35" i="9"/>
  <c r="CG35" i="9"/>
  <c r="CD35" i="9"/>
  <c r="CA35" i="9"/>
  <c r="BX35" i="9"/>
  <c r="BU35" i="9"/>
  <c r="BR35" i="9"/>
  <c r="BO35" i="9"/>
  <c r="BL35" i="9"/>
  <c r="BI35" i="9"/>
  <c r="BF35" i="9"/>
  <c r="BC35" i="9"/>
  <c r="AZ35" i="9"/>
  <c r="AW35" i="9"/>
  <c r="AT35" i="9"/>
  <c r="AQ35" i="9"/>
  <c r="AN35" i="9"/>
  <c r="AK35" i="9"/>
  <c r="AH35" i="9"/>
  <c r="AE35" i="9"/>
  <c r="AB35" i="9"/>
  <c r="Y35" i="9"/>
  <c r="V35" i="9"/>
  <c r="S35" i="9"/>
  <c r="P35" i="9"/>
  <c r="M35" i="9"/>
  <c r="J35" i="9"/>
  <c r="IJ34" i="9"/>
  <c r="IG34" i="9"/>
  <c r="ID34" i="9"/>
  <c r="IA34" i="9"/>
  <c r="HX34" i="9"/>
  <c r="HU34" i="9"/>
  <c r="HR34" i="9"/>
  <c r="HO34" i="9"/>
  <c r="HL34" i="9"/>
  <c r="HI34" i="9"/>
  <c r="HF34" i="9"/>
  <c r="HC34" i="9"/>
  <c r="GZ34" i="9"/>
  <c r="GW34" i="9"/>
  <c r="GT34" i="9"/>
  <c r="GQ34" i="9"/>
  <c r="GN34" i="9"/>
  <c r="GK34" i="9"/>
  <c r="GH34" i="9"/>
  <c r="GE34" i="9"/>
  <c r="GB34" i="9"/>
  <c r="FY34" i="9"/>
  <c r="FV34" i="9"/>
  <c r="FS34" i="9"/>
  <c r="FP34" i="9"/>
  <c r="FM34" i="9"/>
  <c r="FJ34" i="9"/>
  <c r="FG34" i="9"/>
  <c r="FD34" i="9"/>
  <c r="FA34" i="9"/>
  <c r="EX34" i="9"/>
  <c r="EU34" i="9"/>
  <c r="ER34" i="9"/>
  <c r="EO34" i="9"/>
  <c r="EL34" i="9"/>
  <c r="EI34" i="9"/>
  <c r="EF34" i="9"/>
  <c r="EC34" i="9"/>
  <c r="DZ34" i="9"/>
  <c r="DW34" i="9"/>
  <c r="DT34" i="9"/>
  <c r="DQ34" i="9"/>
  <c r="DN34" i="9"/>
  <c r="DK34" i="9"/>
  <c r="DH34" i="9"/>
  <c r="DE34" i="9"/>
  <c r="DB34" i="9"/>
  <c r="CY34" i="9"/>
  <c r="CV34" i="9"/>
  <c r="CS34" i="9"/>
  <c r="CP34" i="9"/>
  <c r="CM34" i="9"/>
  <c r="CJ34" i="9"/>
  <c r="CG34" i="9"/>
  <c r="CD34" i="9"/>
  <c r="CA34" i="9"/>
  <c r="BX34" i="9"/>
  <c r="BU34" i="9"/>
  <c r="BR34" i="9"/>
  <c r="BO34" i="9"/>
  <c r="BL34" i="9"/>
  <c r="BI34" i="9"/>
  <c r="BF34" i="9"/>
  <c r="BC34" i="9"/>
  <c r="AZ34" i="9"/>
  <c r="AW34" i="9"/>
  <c r="AT34" i="9"/>
  <c r="AQ34" i="9"/>
  <c r="AN34" i="9"/>
  <c r="AK34" i="9"/>
  <c r="AH34" i="9"/>
  <c r="AE34" i="9"/>
  <c r="AB34" i="9"/>
  <c r="Y34" i="9"/>
  <c r="V34" i="9"/>
  <c r="S34" i="9"/>
  <c r="P34" i="9"/>
  <c r="M34" i="9"/>
  <c r="J34" i="9"/>
  <c r="IJ33" i="9"/>
  <c r="IG33" i="9"/>
  <c r="ID33" i="9"/>
  <c r="IA33" i="9"/>
  <c r="HX33" i="9"/>
  <c r="HU33" i="9"/>
  <c r="HR33" i="9"/>
  <c r="HO33" i="9"/>
  <c r="HL33" i="9"/>
  <c r="HI33" i="9"/>
  <c r="HF33" i="9"/>
  <c r="HC33" i="9"/>
  <c r="GZ33" i="9"/>
  <c r="GW33" i="9"/>
  <c r="GT33" i="9"/>
  <c r="GQ33" i="9"/>
  <c r="GN33" i="9"/>
  <c r="GK33" i="9"/>
  <c r="GH33" i="9"/>
  <c r="GE33" i="9"/>
  <c r="GB33" i="9"/>
  <c r="FY33" i="9"/>
  <c r="FV33" i="9"/>
  <c r="FS33" i="9"/>
  <c r="FP33" i="9"/>
  <c r="FM33" i="9"/>
  <c r="FJ33" i="9"/>
  <c r="FG33" i="9"/>
  <c r="FD33" i="9"/>
  <c r="FA33" i="9"/>
  <c r="EX33" i="9"/>
  <c r="EU33" i="9"/>
  <c r="ER33" i="9"/>
  <c r="EO33" i="9"/>
  <c r="EL33" i="9"/>
  <c r="EI33" i="9"/>
  <c r="EF33" i="9"/>
  <c r="EC33" i="9"/>
  <c r="DZ33" i="9"/>
  <c r="DW33" i="9"/>
  <c r="DT33" i="9"/>
  <c r="DQ33" i="9"/>
  <c r="DN33" i="9"/>
  <c r="DK33" i="9"/>
  <c r="DH33" i="9"/>
  <c r="DE33" i="9"/>
  <c r="DB33" i="9"/>
  <c r="CY33" i="9"/>
  <c r="CV33" i="9"/>
  <c r="CS33" i="9"/>
  <c r="CP33" i="9"/>
  <c r="CM33" i="9"/>
  <c r="CJ33" i="9"/>
  <c r="CG33" i="9"/>
  <c r="CD33" i="9"/>
  <c r="CA33" i="9"/>
  <c r="BX33" i="9"/>
  <c r="BU33" i="9"/>
  <c r="BR33" i="9"/>
  <c r="BO33" i="9"/>
  <c r="BL33" i="9"/>
  <c r="BI33" i="9"/>
  <c r="BF33" i="9"/>
  <c r="BC33" i="9"/>
  <c r="AZ33" i="9"/>
  <c r="AW33" i="9"/>
  <c r="AT33" i="9"/>
  <c r="AQ33" i="9"/>
  <c r="AN33" i="9"/>
  <c r="AK33" i="9"/>
  <c r="AH33" i="9"/>
  <c r="AE33" i="9"/>
  <c r="AB33" i="9"/>
  <c r="Y33" i="9"/>
  <c r="V33" i="9"/>
  <c r="S33" i="9"/>
  <c r="P33" i="9"/>
  <c r="M33" i="9"/>
  <c r="J33" i="9"/>
  <c r="IJ32" i="9"/>
  <c r="IG32" i="9"/>
  <c r="ID32" i="9"/>
  <c r="IA32" i="9"/>
  <c r="HX32" i="9"/>
  <c r="HU32" i="9"/>
  <c r="HR32" i="9"/>
  <c r="HO32" i="9"/>
  <c r="HL32" i="9"/>
  <c r="HI32" i="9"/>
  <c r="HF32" i="9"/>
  <c r="HC32" i="9"/>
  <c r="GZ32" i="9"/>
  <c r="GW32" i="9"/>
  <c r="GT32" i="9"/>
  <c r="GQ32" i="9"/>
  <c r="GN32" i="9"/>
  <c r="GK32" i="9"/>
  <c r="GH32" i="9"/>
  <c r="GE32" i="9"/>
  <c r="GB32" i="9"/>
  <c r="FY32" i="9"/>
  <c r="FV32" i="9"/>
  <c r="FS32" i="9"/>
  <c r="FP32" i="9"/>
  <c r="FM32" i="9"/>
  <c r="FJ32" i="9"/>
  <c r="FG32" i="9"/>
  <c r="FD32" i="9"/>
  <c r="FA32" i="9"/>
  <c r="EX32" i="9"/>
  <c r="EU32" i="9"/>
  <c r="ER32" i="9"/>
  <c r="EO32" i="9"/>
  <c r="EL32" i="9"/>
  <c r="EI32" i="9"/>
  <c r="EF32" i="9"/>
  <c r="EC32" i="9"/>
  <c r="DZ32" i="9"/>
  <c r="DW32" i="9"/>
  <c r="DT32" i="9"/>
  <c r="DQ32" i="9"/>
  <c r="DN32" i="9"/>
  <c r="DK32" i="9"/>
  <c r="DH32" i="9"/>
  <c r="DE32" i="9"/>
  <c r="DB32" i="9"/>
  <c r="CY32" i="9"/>
  <c r="CV32" i="9"/>
  <c r="CS32" i="9"/>
  <c r="CP32" i="9"/>
  <c r="CM32" i="9"/>
  <c r="CJ32" i="9"/>
  <c r="CG32" i="9"/>
  <c r="CD32" i="9"/>
  <c r="CA32" i="9"/>
  <c r="BX32" i="9"/>
  <c r="BU32" i="9"/>
  <c r="BR32" i="9"/>
  <c r="BO32" i="9"/>
  <c r="BL32" i="9"/>
  <c r="BI32" i="9"/>
  <c r="BF32" i="9"/>
  <c r="BC32" i="9"/>
  <c r="AZ32" i="9"/>
  <c r="AW32" i="9"/>
  <c r="AT32" i="9"/>
  <c r="AQ32" i="9"/>
  <c r="AN32" i="9"/>
  <c r="AK32" i="9"/>
  <c r="AH32" i="9"/>
  <c r="AE32" i="9"/>
  <c r="AB32" i="9"/>
  <c r="Y32" i="9"/>
  <c r="V32" i="9"/>
  <c r="S32" i="9"/>
  <c r="P32" i="9"/>
  <c r="M32" i="9"/>
  <c r="J32" i="9"/>
  <c r="IJ31" i="9"/>
  <c r="IG31" i="9"/>
  <c r="ID31" i="9"/>
  <c r="IA31" i="9"/>
  <c r="HX31" i="9"/>
  <c r="HU31" i="9"/>
  <c r="HR31" i="9"/>
  <c r="HO31" i="9"/>
  <c r="HL31" i="9"/>
  <c r="HI31" i="9"/>
  <c r="HF31" i="9"/>
  <c r="HC31" i="9"/>
  <c r="GZ31" i="9"/>
  <c r="GW31" i="9"/>
  <c r="GT31" i="9"/>
  <c r="GQ31" i="9"/>
  <c r="GN31" i="9"/>
  <c r="GK31" i="9"/>
  <c r="GH31" i="9"/>
  <c r="GE31" i="9"/>
  <c r="GB31" i="9"/>
  <c r="FY31" i="9"/>
  <c r="FV31" i="9"/>
  <c r="FS31" i="9"/>
  <c r="FP31" i="9"/>
  <c r="FM31" i="9"/>
  <c r="FJ31" i="9"/>
  <c r="FG31" i="9"/>
  <c r="FD31" i="9"/>
  <c r="FA31" i="9"/>
  <c r="EX31" i="9"/>
  <c r="EU31" i="9"/>
  <c r="ER31" i="9"/>
  <c r="EO31" i="9"/>
  <c r="EL31" i="9"/>
  <c r="EI31" i="9"/>
  <c r="EF31" i="9"/>
  <c r="EC31" i="9"/>
  <c r="DZ31" i="9"/>
  <c r="DW31" i="9"/>
  <c r="DT31" i="9"/>
  <c r="DQ31" i="9"/>
  <c r="DN31" i="9"/>
  <c r="DK31" i="9"/>
  <c r="DH31" i="9"/>
  <c r="DE31" i="9"/>
  <c r="DB31" i="9"/>
  <c r="CY31" i="9"/>
  <c r="CV31" i="9"/>
  <c r="CS31" i="9"/>
  <c r="CP31" i="9"/>
  <c r="CM31" i="9"/>
  <c r="CJ31" i="9"/>
  <c r="CG31" i="9"/>
  <c r="CD31" i="9"/>
  <c r="CA31" i="9"/>
  <c r="BX31" i="9"/>
  <c r="BU31" i="9"/>
  <c r="BR31" i="9"/>
  <c r="BO31" i="9"/>
  <c r="BL31" i="9"/>
  <c r="BI31" i="9"/>
  <c r="BF31" i="9"/>
  <c r="BC31" i="9"/>
  <c r="AZ31" i="9"/>
  <c r="AW31" i="9"/>
  <c r="AT31" i="9"/>
  <c r="AQ31" i="9"/>
  <c r="AN31" i="9"/>
  <c r="AK31" i="9"/>
  <c r="AH31" i="9"/>
  <c r="AE31" i="9"/>
  <c r="AB31" i="9"/>
  <c r="Y31" i="9"/>
  <c r="V31" i="9"/>
  <c r="S31" i="9"/>
  <c r="P31" i="9"/>
  <c r="M31" i="9"/>
  <c r="J31" i="9"/>
  <c r="IJ30" i="9"/>
  <c r="IG30" i="9"/>
  <c r="ID30" i="9"/>
  <c r="IA30" i="9"/>
  <c r="HX30" i="9"/>
  <c r="HU30" i="9"/>
  <c r="HR30" i="9"/>
  <c r="HO30" i="9"/>
  <c r="HL30" i="9"/>
  <c r="HI30" i="9"/>
  <c r="HF30" i="9"/>
  <c r="HC30" i="9"/>
  <c r="GZ30" i="9"/>
  <c r="GW30" i="9"/>
  <c r="GT30" i="9"/>
  <c r="GQ30" i="9"/>
  <c r="GN30" i="9"/>
  <c r="GK30" i="9"/>
  <c r="GH30" i="9"/>
  <c r="GE30" i="9"/>
  <c r="GB30" i="9"/>
  <c r="FY30" i="9"/>
  <c r="FV30" i="9"/>
  <c r="FS30" i="9"/>
  <c r="FP30" i="9"/>
  <c r="FM30" i="9"/>
  <c r="FJ30" i="9"/>
  <c r="FG30" i="9"/>
  <c r="FD30" i="9"/>
  <c r="FA30" i="9"/>
  <c r="EX30" i="9"/>
  <c r="EU30" i="9"/>
  <c r="ER30" i="9"/>
  <c r="EO30" i="9"/>
  <c r="EL30" i="9"/>
  <c r="EI30" i="9"/>
  <c r="EF30" i="9"/>
  <c r="EC30" i="9"/>
  <c r="DZ30" i="9"/>
  <c r="DW30" i="9"/>
  <c r="DT30" i="9"/>
  <c r="DQ30" i="9"/>
  <c r="DN30" i="9"/>
  <c r="DK30" i="9"/>
  <c r="DH30" i="9"/>
  <c r="DE30" i="9"/>
  <c r="DB30" i="9"/>
  <c r="CY30" i="9"/>
  <c r="CV30" i="9"/>
  <c r="CS30" i="9"/>
  <c r="CP30" i="9"/>
  <c r="CM30" i="9"/>
  <c r="CJ30" i="9"/>
  <c r="CG30" i="9"/>
  <c r="CD30" i="9"/>
  <c r="CA30" i="9"/>
  <c r="BX30" i="9"/>
  <c r="BU30" i="9"/>
  <c r="BR30" i="9"/>
  <c r="BO30" i="9"/>
  <c r="BL30" i="9"/>
  <c r="BI30" i="9"/>
  <c r="BF30" i="9"/>
  <c r="BC30" i="9"/>
  <c r="AZ30" i="9"/>
  <c r="AW30" i="9"/>
  <c r="AT30" i="9"/>
  <c r="AQ30" i="9"/>
  <c r="AN30" i="9"/>
  <c r="AK30" i="9"/>
  <c r="AH30" i="9"/>
  <c r="AE30" i="9"/>
  <c r="AB30" i="9"/>
  <c r="Y30" i="9"/>
  <c r="V30" i="9"/>
  <c r="S30" i="9"/>
  <c r="P30" i="9"/>
  <c r="M30" i="9"/>
  <c r="J30" i="9"/>
  <c r="IJ29" i="9"/>
  <c r="IG29" i="9"/>
  <c r="ID29" i="9"/>
  <c r="IA29" i="9"/>
  <c r="HX29" i="9"/>
  <c r="HU29" i="9"/>
  <c r="HR29" i="9"/>
  <c r="HO29" i="9"/>
  <c r="HL29" i="9"/>
  <c r="HI29" i="9"/>
  <c r="HF29" i="9"/>
  <c r="HC29" i="9"/>
  <c r="GZ29" i="9"/>
  <c r="GW29" i="9"/>
  <c r="GT29" i="9"/>
  <c r="GQ29" i="9"/>
  <c r="GN29" i="9"/>
  <c r="GK29" i="9"/>
  <c r="GH29" i="9"/>
  <c r="GE29" i="9"/>
  <c r="GB29" i="9"/>
  <c r="FY29" i="9"/>
  <c r="FV29" i="9"/>
  <c r="FS29" i="9"/>
  <c r="FP29" i="9"/>
  <c r="FM29" i="9"/>
  <c r="FJ29" i="9"/>
  <c r="FG29" i="9"/>
  <c r="FD29" i="9"/>
  <c r="FA29" i="9"/>
  <c r="EX29" i="9"/>
  <c r="EU29" i="9"/>
  <c r="ER29" i="9"/>
  <c r="EO29" i="9"/>
  <c r="EL29" i="9"/>
  <c r="EI29" i="9"/>
  <c r="EF29" i="9"/>
  <c r="EC29" i="9"/>
  <c r="DZ29" i="9"/>
  <c r="DW29" i="9"/>
  <c r="DT29" i="9"/>
  <c r="DQ29" i="9"/>
  <c r="DN29" i="9"/>
  <c r="DK29" i="9"/>
  <c r="DH29" i="9"/>
  <c r="DE29" i="9"/>
  <c r="DB29" i="9"/>
  <c r="CY29" i="9"/>
  <c r="CV29" i="9"/>
  <c r="CS29" i="9"/>
  <c r="CP29" i="9"/>
  <c r="CM29" i="9"/>
  <c r="CJ29" i="9"/>
  <c r="CG29" i="9"/>
  <c r="CD29" i="9"/>
  <c r="CA29" i="9"/>
  <c r="BX29" i="9"/>
  <c r="BU29" i="9"/>
  <c r="BR29" i="9"/>
  <c r="BO29" i="9"/>
  <c r="BL29" i="9"/>
  <c r="BI29" i="9"/>
  <c r="BF29" i="9"/>
  <c r="BC29" i="9"/>
  <c r="AZ29" i="9"/>
  <c r="AW29" i="9"/>
  <c r="AT29" i="9"/>
  <c r="AQ29" i="9"/>
  <c r="AN29" i="9"/>
  <c r="AK29" i="9"/>
  <c r="AH29" i="9"/>
  <c r="AE29" i="9"/>
  <c r="AB29" i="9"/>
  <c r="Y29" i="9"/>
  <c r="V29" i="9"/>
  <c r="S29" i="9"/>
  <c r="P29" i="9"/>
  <c r="M29" i="9"/>
  <c r="J29" i="9"/>
  <c r="IJ28" i="9"/>
  <c r="IG28" i="9"/>
  <c r="ID28" i="9"/>
  <c r="IA28" i="9"/>
  <c r="HX28" i="9"/>
  <c r="HU28" i="9"/>
  <c r="HR28" i="9"/>
  <c r="HO28" i="9"/>
  <c r="HL28" i="9"/>
  <c r="HI28" i="9"/>
  <c r="HF28" i="9"/>
  <c r="HC28" i="9"/>
  <c r="GZ28" i="9"/>
  <c r="GW28" i="9"/>
  <c r="GT28" i="9"/>
  <c r="GQ28" i="9"/>
  <c r="GN28" i="9"/>
  <c r="GK28" i="9"/>
  <c r="GH28" i="9"/>
  <c r="GE28" i="9"/>
  <c r="GB28" i="9"/>
  <c r="FY28" i="9"/>
  <c r="FV28" i="9"/>
  <c r="FS28" i="9"/>
  <c r="FP28" i="9"/>
  <c r="FM28" i="9"/>
  <c r="FJ28" i="9"/>
  <c r="FG28" i="9"/>
  <c r="FD28" i="9"/>
  <c r="FA28" i="9"/>
  <c r="EX28" i="9"/>
  <c r="EU28" i="9"/>
  <c r="ER28" i="9"/>
  <c r="EO28" i="9"/>
  <c r="EL28" i="9"/>
  <c r="EI28" i="9"/>
  <c r="EF28" i="9"/>
  <c r="EC28" i="9"/>
  <c r="DZ28" i="9"/>
  <c r="DW28" i="9"/>
  <c r="DT28" i="9"/>
  <c r="DQ28" i="9"/>
  <c r="DN28" i="9"/>
  <c r="DK28" i="9"/>
  <c r="DH28" i="9"/>
  <c r="DE28" i="9"/>
  <c r="DB28" i="9"/>
  <c r="CY28" i="9"/>
  <c r="CV28" i="9"/>
  <c r="CS28" i="9"/>
  <c r="CP28" i="9"/>
  <c r="CM28" i="9"/>
  <c r="CJ28" i="9"/>
  <c r="CG28" i="9"/>
  <c r="CD28" i="9"/>
  <c r="CA28" i="9"/>
  <c r="BX28" i="9"/>
  <c r="BU28" i="9"/>
  <c r="BR28" i="9"/>
  <c r="BO28" i="9"/>
  <c r="BL28" i="9"/>
  <c r="BI28" i="9"/>
  <c r="BF28" i="9"/>
  <c r="BC28" i="9"/>
  <c r="AZ28" i="9"/>
  <c r="AW28" i="9"/>
  <c r="AT28" i="9"/>
  <c r="AQ28" i="9"/>
  <c r="AN28" i="9"/>
  <c r="AK28" i="9"/>
  <c r="AH28" i="9"/>
  <c r="AE28" i="9"/>
  <c r="AB28" i="9"/>
  <c r="Y28" i="9"/>
  <c r="V28" i="9"/>
  <c r="S28" i="9"/>
  <c r="P28" i="9"/>
  <c r="M28" i="9"/>
  <c r="J28" i="9"/>
  <c r="IJ27" i="9"/>
  <c r="IG27" i="9"/>
  <c r="ID27" i="9"/>
  <c r="IA27" i="9"/>
  <c r="HX27" i="9"/>
  <c r="HU27" i="9"/>
  <c r="HR27" i="9"/>
  <c r="HO27" i="9"/>
  <c r="HL27" i="9"/>
  <c r="HI27" i="9"/>
  <c r="HF27" i="9"/>
  <c r="HC27" i="9"/>
  <c r="GZ27" i="9"/>
  <c r="GW27" i="9"/>
  <c r="GT27" i="9"/>
  <c r="GQ27" i="9"/>
  <c r="GN27" i="9"/>
  <c r="GK27" i="9"/>
  <c r="GH27" i="9"/>
  <c r="GE27" i="9"/>
  <c r="GB27" i="9"/>
  <c r="FY27" i="9"/>
  <c r="FV27" i="9"/>
  <c r="FS27" i="9"/>
  <c r="FP27" i="9"/>
  <c r="FM27" i="9"/>
  <c r="FJ27" i="9"/>
  <c r="FG27" i="9"/>
  <c r="FD27" i="9"/>
  <c r="FA27" i="9"/>
  <c r="EX27" i="9"/>
  <c r="EU27" i="9"/>
  <c r="ER27" i="9"/>
  <c r="EO27" i="9"/>
  <c r="EL27" i="9"/>
  <c r="EI27" i="9"/>
  <c r="EF27" i="9"/>
  <c r="EC27" i="9"/>
  <c r="DZ27" i="9"/>
  <c r="DW27" i="9"/>
  <c r="DT27" i="9"/>
  <c r="DQ27" i="9"/>
  <c r="DN27" i="9"/>
  <c r="DK27" i="9"/>
  <c r="DH27" i="9"/>
  <c r="DE27" i="9"/>
  <c r="DB27" i="9"/>
  <c r="CY27" i="9"/>
  <c r="CV27" i="9"/>
  <c r="CS27" i="9"/>
  <c r="CP27" i="9"/>
  <c r="CM27" i="9"/>
  <c r="CJ27" i="9"/>
  <c r="CG27" i="9"/>
  <c r="CD27" i="9"/>
  <c r="CA27" i="9"/>
  <c r="BX27" i="9"/>
  <c r="BU27" i="9"/>
  <c r="BR27" i="9"/>
  <c r="BO27" i="9"/>
  <c r="BL27" i="9"/>
  <c r="BI27" i="9"/>
  <c r="BF27" i="9"/>
  <c r="BC27" i="9"/>
  <c r="AZ27" i="9"/>
  <c r="AW27" i="9"/>
  <c r="AT27" i="9"/>
  <c r="AQ27" i="9"/>
  <c r="AN27" i="9"/>
  <c r="AK27" i="9"/>
  <c r="AH27" i="9"/>
  <c r="AE27" i="9"/>
  <c r="AB27" i="9"/>
  <c r="Y27" i="9"/>
  <c r="V27" i="9"/>
  <c r="S27" i="9"/>
  <c r="P27" i="9"/>
  <c r="M27" i="9"/>
  <c r="J27" i="9"/>
  <c r="IJ26" i="9"/>
  <c r="IG26" i="9"/>
  <c r="ID26" i="9"/>
  <c r="IA26" i="9"/>
  <c r="HX26" i="9"/>
  <c r="HU26" i="9"/>
  <c r="HR26" i="9"/>
  <c r="HO26" i="9"/>
  <c r="HL26" i="9"/>
  <c r="HI26" i="9"/>
  <c r="HF26" i="9"/>
  <c r="HC26" i="9"/>
  <c r="GZ26" i="9"/>
  <c r="GW26" i="9"/>
  <c r="GT26" i="9"/>
  <c r="GQ26" i="9"/>
  <c r="GN26" i="9"/>
  <c r="GK26" i="9"/>
  <c r="GH26" i="9"/>
  <c r="GE26" i="9"/>
  <c r="GB26" i="9"/>
  <c r="FY26" i="9"/>
  <c r="FV26" i="9"/>
  <c r="FS26" i="9"/>
  <c r="FP26" i="9"/>
  <c r="FM26" i="9"/>
  <c r="FJ26" i="9"/>
  <c r="FG26" i="9"/>
  <c r="FD26" i="9"/>
  <c r="FA26" i="9"/>
  <c r="EX26" i="9"/>
  <c r="EU26" i="9"/>
  <c r="ER26" i="9"/>
  <c r="EO26" i="9"/>
  <c r="EL26" i="9"/>
  <c r="EI26" i="9"/>
  <c r="EF26" i="9"/>
  <c r="EC26" i="9"/>
  <c r="DZ26" i="9"/>
  <c r="DW26" i="9"/>
  <c r="DT26" i="9"/>
  <c r="DQ26" i="9"/>
  <c r="DN26" i="9"/>
  <c r="DK26" i="9"/>
  <c r="DH26" i="9"/>
  <c r="DE26" i="9"/>
  <c r="DB26" i="9"/>
  <c r="CY26" i="9"/>
  <c r="CV26" i="9"/>
  <c r="CS26" i="9"/>
  <c r="CP26" i="9"/>
  <c r="CM26" i="9"/>
  <c r="CJ26" i="9"/>
  <c r="CG26" i="9"/>
  <c r="CD26" i="9"/>
  <c r="CA26" i="9"/>
  <c r="BX26" i="9"/>
  <c r="BU26" i="9"/>
  <c r="BR26" i="9"/>
  <c r="BO26" i="9"/>
  <c r="BL26" i="9"/>
  <c r="BI26" i="9"/>
  <c r="BF26" i="9"/>
  <c r="BC26" i="9"/>
  <c r="AZ26" i="9"/>
  <c r="AW26" i="9"/>
  <c r="AT26" i="9"/>
  <c r="AQ26" i="9"/>
  <c r="AN26" i="9"/>
  <c r="AK26" i="9"/>
  <c r="AH26" i="9"/>
  <c r="AE26" i="9"/>
  <c r="AB26" i="9"/>
  <c r="Y26" i="9"/>
  <c r="V26" i="9"/>
  <c r="S26" i="9"/>
  <c r="P26" i="9"/>
  <c r="M26" i="9"/>
  <c r="J26" i="9"/>
  <c r="IJ25" i="9"/>
  <c r="IG25" i="9"/>
  <c r="ID25" i="9"/>
  <c r="IA25" i="9"/>
  <c r="HX25" i="9"/>
  <c r="HU25" i="9"/>
  <c r="HR25" i="9"/>
  <c r="HO25" i="9"/>
  <c r="HL25" i="9"/>
  <c r="HI25" i="9"/>
  <c r="HF25" i="9"/>
  <c r="HC25" i="9"/>
  <c r="GZ25" i="9"/>
  <c r="GW25" i="9"/>
  <c r="GT25" i="9"/>
  <c r="GQ25" i="9"/>
  <c r="GN25" i="9"/>
  <c r="GK25" i="9"/>
  <c r="GH25" i="9"/>
  <c r="GE25" i="9"/>
  <c r="GB25" i="9"/>
  <c r="FY25" i="9"/>
  <c r="FV25" i="9"/>
  <c r="FS25" i="9"/>
  <c r="FP25" i="9"/>
  <c r="FM25" i="9"/>
  <c r="FJ25" i="9"/>
  <c r="FG25" i="9"/>
  <c r="FD25" i="9"/>
  <c r="FA25" i="9"/>
  <c r="EX25" i="9"/>
  <c r="EU25" i="9"/>
  <c r="ER25" i="9"/>
  <c r="EO25" i="9"/>
  <c r="EL25" i="9"/>
  <c r="EI25" i="9"/>
  <c r="EF25" i="9"/>
  <c r="EC25" i="9"/>
  <c r="DZ25" i="9"/>
  <c r="DW25" i="9"/>
  <c r="DT25" i="9"/>
  <c r="DQ25" i="9"/>
  <c r="DN25" i="9"/>
  <c r="DK25" i="9"/>
  <c r="DH25" i="9"/>
  <c r="DE25" i="9"/>
  <c r="DB25" i="9"/>
  <c r="CY25" i="9"/>
  <c r="CV25" i="9"/>
  <c r="CS25" i="9"/>
  <c r="CP25" i="9"/>
  <c r="CM25" i="9"/>
  <c r="CJ25" i="9"/>
  <c r="CG25" i="9"/>
  <c r="CD25" i="9"/>
  <c r="CA25" i="9"/>
  <c r="BX25" i="9"/>
  <c r="BU25" i="9"/>
  <c r="BR25" i="9"/>
  <c r="BO25" i="9"/>
  <c r="BL25" i="9"/>
  <c r="BI25" i="9"/>
  <c r="BF25" i="9"/>
  <c r="BC25" i="9"/>
  <c r="AZ25" i="9"/>
  <c r="AW25" i="9"/>
  <c r="AT25" i="9"/>
  <c r="AQ25" i="9"/>
  <c r="AN25" i="9"/>
  <c r="AK25" i="9"/>
  <c r="AH25" i="9"/>
  <c r="AE25" i="9"/>
  <c r="AB25" i="9"/>
  <c r="Y25" i="9"/>
  <c r="V25" i="9"/>
  <c r="S25" i="9"/>
  <c r="P25" i="9"/>
  <c r="M25" i="9"/>
  <c r="J25" i="9"/>
  <c r="IJ24" i="9"/>
  <c r="IG24" i="9"/>
  <c r="ID24" i="9"/>
  <c r="IA24" i="9"/>
  <c r="HX24" i="9"/>
  <c r="HU24" i="9"/>
  <c r="HR24" i="9"/>
  <c r="HO24" i="9"/>
  <c r="HL24" i="9"/>
  <c r="HI24" i="9"/>
  <c r="HF24" i="9"/>
  <c r="HC24" i="9"/>
  <c r="GZ24" i="9"/>
  <c r="GW24" i="9"/>
  <c r="GT24" i="9"/>
  <c r="GQ24" i="9"/>
  <c r="GN24" i="9"/>
  <c r="GK24" i="9"/>
  <c r="GH24" i="9"/>
  <c r="GE24" i="9"/>
  <c r="GB24" i="9"/>
  <c r="FY24" i="9"/>
  <c r="FV24" i="9"/>
  <c r="FS24" i="9"/>
  <c r="FP24" i="9"/>
  <c r="FM24" i="9"/>
  <c r="FJ24" i="9"/>
  <c r="FG24" i="9"/>
  <c r="FD24" i="9"/>
  <c r="FA24" i="9"/>
  <c r="EX24" i="9"/>
  <c r="EU24" i="9"/>
  <c r="ER24" i="9"/>
  <c r="EO24" i="9"/>
  <c r="EL24" i="9"/>
  <c r="EI24" i="9"/>
  <c r="EF24" i="9"/>
  <c r="EC24" i="9"/>
  <c r="DZ24" i="9"/>
  <c r="DW24" i="9"/>
  <c r="DT24" i="9"/>
  <c r="DQ24" i="9"/>
  <c r="DN24" i="9"/>
  <c r="DK24" i="9"/>
  <c r="DH24" i="9"/>
  <c r="DE24" i="9"/>
  <c r="DB24" i="9"/>
  <c r="CY24" i="9"/>
  <c r="CV24" i="9"/>
  <c r="CS24" i="9"/>
  <c r="CP24" i="9"/>
  <c r="CM24" i="9"/>
  <c r="CJ24" i="9"/>
  <c r="CG24" i="9"/>
  <c r="CD24" i="9"/>
  <c r="CA24" i="9"/>
  <c r="BX24" i="9"/>
  <c r="BU24" i="9"/>
  <c r="BR24" i="9"/>
  <c r="BO24" i="9"/>
  <c r="BL24" i="9"/>
  <c r="BI24" i="9"/>
  <c r="BF24" i="9"/>
  <c r="BC24" i="9"/>
  <c r="AZ24" i="9"/>
  <c r="AW24" i="9"/>
  <c r="AT24" i="9"/>
  <c r="AQ24" i="9"/>
  <c r="AN24" i="9"/>
  <c r="AK24" i="9"/>
  <c r="AH24" i="9"/>
  <c r="AE24" i="9"/>
  <c r="AB24" i="9"/>
  <c r="Y24" i="9"/>
  <c r="V24" i="9"/>
  <c r="S24" i="9"/>
  <c r="P24" i="9"/>
  <c r="M24" i="9"/>
  <c r="J24" i="9"/>
  <c r="IJ23" i="9"/>
  <c r="IG23" i="9"/>
  <c r="ID23" i="9"/>
  <c r="IA23" i="9"/>
  <c r="HX23" i="9"/>
  <c r="HU23" i="9"/>
  <c r="HR23" i="9"/>
  <c r="HO23" i="9"/>
  <c r="HL23" i="9"/>
  <c r="HI23" i="9"/>
  <c r="HF23" i="9"/>
  <c r="HC23" i="9"/>
  <c r="GZ23" i="9"/>
  <c r="GW23" i="9"/>
  <c r="GT23" i="9"/>
  <c r="GQ23" i="9"/>
  <c r="GN23" i="9"/>
  <c r="GK23" i="9"/>
  <c r="GH23" i="9"/>
  <c r="GE23" i="9"/>
  <c r="GB23" i="9"/>
  <c r="FY23" i="9"/>
  <c r="FV23" i="9"/>
  <c r="FS23" i="9"/>
  <c r="FP23" i="9"/>
  <c r="FM23" i="9"/>
  <c r="FJ23" i="9"/>
  <c r="FG23" i="9"/>
  <c r="FD23" i="9"/>
  <c r="FA23" i="9"/>
  <c r="EX23" i="9"/>
  <c r="EU23" i="9"/>
  <c r="ER23" i="9"/>
  <c r="EO23" i="9"/>
  <c r="EL23" i="9"/>
  <c r="EI23" i="9"/>
  <c r="EF23" i="9"/>
  <c r="EC23" i="9"/>
  <c r="DZ23" i="9"/>
  <c r="DW23" i="9"/>
  <c r="DT23" i="9"/>
  <c r="DQ23" i="9"/>
  <c r="DN23" i="9"/>
  <c r="DK23" i="9"/>
  <c r="DH23" i="9"/>
  <c r="DE23" i="9"/>
  <c r="DB23" i="9"/>
  <c r="CY23" i="9"/>
  <c r="CV23" i="9"/>
  <c r="CS23" i="9"/>
  <c r="CP23" i="9"/>
  <c r="CM23" i="9"/>
  <c r="CJ23" i="9"/>
  <c r="CG23" i="9"/>
  <c r="CD23" i="9"/>
  <c r="CA23" i="9"/>
  <c r="BX23" i="9"/>
  <c r="BU23" i="9"/>
  <c r="BR23" i="9"/>
  <c r="BO23" i="9"/>
  <c r="BL23" i="9"/>
  <c r="BI23" i="9"/>
  <c r="BF23" i="9"/>
  <c r="BC23" i="9"/>
  <c r="AZ23" i="9"/>
  <c r="AW23" i="9"/>
  <c r="AT23" i="9"/>
  <c r="AQ23" i="9"/>
  <c r="AN23" i="9"/>
  <c r="AK23" i="9"/>
  <c r="AH23" i="9"/>
  <c r="AE23" i="9"/>
  <c r="AB23" i="9"/>
  <c r="Y23" i="9"/>
  <c r="V23" i="9"/>
  <c r="S23" i="9"/>
  <c r="P23" i="9"/>
  <c r="M23" i="9"/>
  <c r="J23" i="9"/>
  <c r="IJ22" i="9"/>
  <c r="IG22" i="9"/>
  <c r="ID22" i="9"/>
  <c r="IA22" i="9"/>
  <c r="HX22" i="9"/>
  <c r="HU22" i="9"/>
  <c r="HR22" i="9"/>
  <c r="HO22" i="9"/>
  <c r="HL22" i="9"/>
  <c r="HI22" i="9"/>
  <c r="HF22" i="9"/>
  <c r="HC22" i="9"/>
  <c r="GZ22" i="9"/>
  <c r="GW22" i="9"/>
  <c r="GT22" i="9"/>
  <c r="GQ22" i="9"/>
  <c r="GN22" i="9"/>
  <c r="GK22" i="9"/>
  <c r="GH22" i="9"/>
  <c r="GE22" i="9"/>
  <c r="GB22" i="9"/>
  <c r="FY22" i="9"/>
  <c r="FV22" i="9"/>
  <c r="FS22" i="9"/>
  <c r="FP22" i="9"/>
  <c r="FM22" i="9"/>
  <c r="FJ22" i="9"/>
  <c r="FG22" i="9"/>
  <c r="FD22" i="9"/>
  <c r="FA22" i="9"/>
  <c r="EX22" i="9"/>
  <c r="EU22" i="9"/>
  <c r="ER22" i="9"/>
  <c r="EO22" i="9"/>
  <c r="EL22" i="9"/>
  <c r="EI22" i="9"/>
  <c r="EF22" i="9"/>
  <c r="EC22" i="9"/>
  <c r="DZ22" i="9"/>
  <c r="DW22" i="9"/>
  <c r="DT22" i="9"/>
  <c r="DQ22" i="9"/>
  <c r="DN22" i="9"/>
  <c r="DK22" i="9"/>
  <c r="DH22" i="9"/>
  <c r="DE22" i="9"/>
  <c r="DB22" i="9"/>
  <c r="CY22" i="9"/>
  <c r="CV22" i="9"/>
  <c r="CS22" i="9"/>
  <c r="CP22" i="9"/>
  <c r="CM22" i="9"/>
  <c r="CJ22" i="9"/>
  <c r="CG22" i="9"/>
  <c r="CD22" i="9"/>
  <c r="CA22" i="9"/>
  <c r="BX22" i="9"/>
  <c r="BU22" i="9"/>
  <c r="BR22" i="9"/>
  <c r="BO22" i="9"/>
  <c r="BL22" i="9"/>
  <c r="BI22" i="9"/>
  <c r="BF22" i="9"/>
  <c r="BC22" i="9"/>
  <c r="AZ22" i="9"/>
  <c r="AW22" i="9"/>
  <c r="AT22" i="9"/>
  <c r="AQ22" i="9"/>
  <c r="AN22" i="9"/>
  <c r="AK22" i="9"/>
  <c r="AH22" i="9"/>
  <c r="AE22" i="9"/>
  <c r="AB22" i="9"/>
  <c r="Y22" i="9"/>
  <c r="V22" i="9"/>
  <c r="S22" i="9"/>
  <c r="P22" i="9"/>
  <c r="M22" i="9"/>
  <c r="J22" i="9"/>
  <c r="IJ21" i="9"/>
  <c r="IG21" i="9"/>
  <c r="ID21" i="9"/>
  <c r="IA21" i="9"/>
  <c r="HX21" i="9"/>
  <c r="HU21" i="9"/>
  <c r="HR21" i="9"/>
  <c r="HO21" i="9"/>
  <c r="HL21" i="9"/>
  <c r="HI21" i="9"/>
  <c r="HF21" i="9"/>
  <c r="HC21" i="9"/>
  <c r="GZ21" i="9"/>
  <c r="GW21" i="9"/>
  <c r="GT21" i="9"/>
  <c r="GQ21" i="9"/>
  <c r="GN21" i="9"/>
  <c r="GK21" i="9"/>
  <c r="GH21" i="9"/>
  <c r="GE21" i="9"/>
  <c r="GB21" i="9"/>
  <c r="FY21" i="9"/>
  <c r="FV21" i="9"/>
  <c r="FS21" i="9"/>
  <c r="FP21" i="9"/>
  <c r="FM21" i="9"/>
  <c r="FJ21" i="9"/>
  <c r="FG21" i="9"/>
  <c r="FD21" i="9"/>
  <c r="FA21" i="9"/>
  <c r="EX21" i="9"/>
  <c r="EU21" i="9"/>
  <c r="ER21" i="9"/>
  <c r="EO21" i="9"/>
  <c r="EL21" i="9"/>
  <c r="EI21" i="9"/>
  <c r="EF21" i="9"/>
  <c r="EC21" i="9"/>
  <c r="DZ21" i="9"/>
  <c r="DW21" i="9"/>
  <c r="DT21" i="9"/>
  <c r="DQ21" i="9"/>
  <c r="DN21" i="9"/>
  <c r="DK21" i="9"/>
  <c r="DH21" i="9"/>
  <c r="DE21" i="9"/>
  <c r="DB21" i="9"/>
  <c r="CY21" i="9"/>
  <c r="CV21" i="9"/>
  <c r="CS21" i="9"/>
  <c r="CP21" i="9"/>
  <c r="CM21" i="9"/>
  <c r="CJ21" i="9"/>
  <c r="CG21" i="9"/>
  <c r="CD21" i="9"/>
  <c r="CA21" i="9"/>
  <c r="BX21" i="9"/>
  <c r="BU21" i="9"/>
  <c r="BR21" i="9"/>
  <c r="BO21" i="9"/>
  <c r="BL21" i="9"/>
  <c r="BI21" i="9"/>
  <c r="BF21" i="9"/>
  <c r="BC21" i="9"/>
  <c r="AZ21" i="9"/>
  <c r="AW21" i="9"/>
  <c r="AT21" i="9"/>
  <c r="AQ21" i="9"/>
  <c r="AN21" i="9"/>
  <c r="AK21" i="9"/>
  <c r="AH21" i="9"/>
  <c r="AE21" i="9"/>
  <c r="AB21" i="9"/>
  <c r="Y21" i="9"/>
  <c r="V21" i="9"/>
  <c r="S21" i="9"/>
  <c r="P21" i="9"/>
  <c r="M21" i="9"/>
  <c r="J21" i="9"/>
  <c r="IJ20" i="9"/>
  <c r="IG20" i="9"/>
  <c r="ID20" i="9"/>
  <c r="IA20" i="9"/>
  <c r="HX20" i="9"/>
  <c r="HU20" i="9"/>
  <c r="HR20" i="9"/>
  <c r="HO20" i="9"/>
  <c r="HL20" i="9"/>
  <c r="HI20" i="9"/>
  <c r="HF20" i="9"/>
  <c r="HC20" i="9"/>
  <c r="GZ20" i="9"/>
  <c r="GW20" i="9"/>
  <c r="GT20" i="9"/>
  <c r="GQ20" i="9"/>
  <c r="GN20" i="9"/>
  <c r="GK20" i="9"/>
  <c r="GH20" i="9"/>
  <c r="GE20" i="9"/>
  <c r="GB20" i="9"/>
  <c r="FY20" i="9"/>
  <c r="FV20" i="9"/>
  <c r="FS20" i="9"/>
  <c r="FP20" i="9"/>
  <c r="FM20" i="9"/>
  <c r="FJ20" i="9"/>
  <c r="FG20" i="9"/>
  <c r="FD20" i="9"/>
  <c r="FA20" i="9"/>
  <c r="EX20" i="9"/>
  <c r="EU20" i="9"/>
  <c r="ER20" i="9"/>
  <c r="EO20" i="9"/>
  <c r="EL20" i="9"/>
  <c r="EI20" i="9"/>
  <c r="EF20" i="9"/>
  <c r="EC20" i="9"/>
  <c r="DZ20" i="9"/>
  <c r="DW20" i="9"/>
  <c r="DT20" i="9"/>
  <c r="DQ20" i="9"/>
  <c r="DN20" i="9"/>
  <c r="DK20" i="9"/>
  <c r="DH20" i="9"/>
  <c r="DE20" i="9"/>
  <c r="DB20" i="9"/>
  <c r="CY20" i="9"/>
  <c r="CV20" i="9"/>
  <c r="CS20" i="9"/>
  <c r="CP20" i="9"/>
  <c r="CM20" i="9"/>
  <c r="CJ20" i="9"/>
  <c r="CG20" i="9"/>
  <c r="CD20" i="9"/>
  <c r="CA20" i="9"/>
  <c r="BX20" i="9"/>
  <c r="BU20" i="9"/>
  <c r="BR20" i="9"/>
  <c r="BO20" i="9"/>
  <c r="BL20" i="9"/>
  <c r="BI20" i="9"/>
  <c r="BF20" i="9"/>
  <c r="BC20" i="9"/>
  <c r="AZ20" i="9"/>
  <c r="AW20" i="9"/>
  <c r="AT20" i="9"/>
  <c r="AQ20" i="9"/>
  <c r="AN20" i="9"/>
  <c r="AK20" i="9"/>
  <c r="AH20" i="9"/>
  <c r="AE20" i="9"/>
  <c r="AB20" i="9"/>
  <c r="Y20" i="9"/>
  <c r="V20" i="9"/>
  <c r="S20" i="9"/>
  <c r="P20" i="9"/>
  <c r="M20" i="9"/>
  <c r="J20" i="9"/>
  <c r="IJ19" i="9"/>
  <c r="IG19" i="9"/>
  <c r="ID19" i="9"/>
  <c r="IA19" i="9"/>
  <c r="HX19" i="9"/>
  <c r="HU19" i="9"/>
  <c r="HR19" i="9"/>
  <c r="HO19" i="9"/>
  <c r="HL19" i="9"/>
  <c r="HI19" i="9"/>
  <c r="HF19" i="9"/>
  <c r="HC19" i="9"/>
  <c r="GZ19" i="9"/>
  <c r="GW19" i="9"/>
  <c r="GT19" i="9"/>
  <c r="GQ19" i="9"/>
  <c r="GN19" i="9"/>
  <c r="GK19" i="9"/>
  <c r="GH19" i="9"/>
  <c r="GE19" i="9"/>
  <c r="GB19" i="9"/>
  <c r="FY19" i="9"/>
  <c r="FV19" i="9"/>
  <c r="FS19" i="9"/>
  <c r="FP19" i="9"/>
  <c r="FM19" i="9"/>
  <c r="FJ19" i="9"/>
  <c r="FG19" i="9"/>
  <c r="FD19" i="9"/>
  <c r="FA19" i="9"/>
  <c r="EX19" i="9"/>
  <c r="EU19" i="9"/>
  <c r="ER19" i="9"/>
  <c r="EO19" i="9"/>
  <c r="EL19" i="9"/>
  <c r="EI19" i="9"/>
  <c r="EF19" i="9"/>
  <c r="EC19" i="9"/>
  <c r="DZ19" i="9"/>
  <c r="DW19" i="9"/>
  <c r="DT19" i="9"/>
  <c r="DQ19" i="9"/>
  <c r="DN19" i="9"/>
  <c r="DK19" i="9"/>
  <c r="DH19" i="9"/>
  <c r="DE19" i="9"/>
  <c r="DB19" i="9"/>
  <c r="CY19" i="9"/>
  <c r="CV19" i="9"/>
  <c r="CS19" i="9"/>
  <c r="CP19" i="9"/>
  <c r="CM19" i="9"/>
  <c r="CJ19" i="9"/>
  <c r="CG19" i="9"/>
  <c r="CD19" i="9"/>
  <c r="CA19" i="9"/>
  <c r="BX19" i="9"/>
  <c r="BU19" i="9"/>
  <c r="BR19" i="9"/>
  <c r="BO19" i="9"/>
  <c r="BL19" i="9"/>
  <c r="BI19" i="9"/>
  <c r="BF19" i="9"/>
  <c r="BC19" i="9"/>
  <c r="AZ19" i="9"/>
  <c r="AW19" i="9"/>
  <c r="AT19" i="9"/>
  <c r="AQ19" i="9"/>
  <c r="AN19" i="9"/>
  <c r="AK19" i="9"/>
  <c r="AH19" i="9"/>
  <c r="AE19" i="9"/>
  <c r="AB19" i="9"/>
  <c r="Y19" i="9"/>
  <c r="V19" i="9"/>
  <c r="S19" i="9"/>
  <c r="P19" i="9"/>
  <c r="M19" i="9"/>
  <c r="J19" i="9"/>
  <c r="IJ18" i="9"/>
  <c r="IG18" i="9"/>
  <c r="ID18" i="9"/>
  <c r="IA18" i="9"/>
  <c r="HX18" i="9"/>
  <c r="HU18" i="9"/>
  <c r="HR18" i="9"/>
  <c r="HO18" i="9"/>
  <c r="HL18" i="9"/>
  <c r="HI18" i="9"/>
  <c r="HF18" i="9"/>
  <c r="HC18" i="9"/>
  <c r="GZ18" i="9"/>
  <c r="GW18" i="9"/>
  <c r="GT18" i="9"/>
  <c r="GQ18" i="9"/>
  <c r="GN18" i="9"/>
  <c r="GK18" i="9"/>
  <c r="GH18" i="9"/>
  <c r="GE18" i="9"/>
  <c r="GB18" i="9"/>
  <c r="FY18" i="9"/>
  <c r="FV18" i="9"/>
  <c r="FS18" i="9"/>
  <c r="FP18" i="9"/>
  <c r="FM18" i="9"/>
  <c r="FJ18" i="9"/>
  <c r="FG18" i="9"/>
  <c r="FD18" i="9"/>
  <c r="FA18" i="9"/>
  <c r="EX18" i="9"/>
  <c r="EU18" i="9"/>
  <c r="ER18" i="9"/>
  <c r="EO18" i="9"/>
  <c r="EL18" i="9"/>
  <c r="EI18" i="9"/>
  <c r="EF18" i="9"/>
  <c r="EC18" i="9"/>
  <c r="DZ18" i="9"/>
  <c r="DW18" i="9"/>
  <c r="DT18" i="9"/>
  <c r="DQ18" i="9"/>
  <c r="DN18" i="9"/>
  <c r="DK18" i="9"/>
  <c r="DH18" i="9"/>
  <c r="DE18" i="9"/>
  <c r="DB18" i="9"/>
  <c r="CY18" i="9"/>
  <c r="CV18" i="9"/>
  <c r="CS18" i="9"/>
  <c r="CP18" i="9"/>
  <c r="CM18" i="9"/>
  <c r="CJ18" i="9"/>
  <c r="CG18" i="9"/>
  <c r="CD18" i="9"/>
  <c r="CA18" i="9"/>
  <c r="BX18" i="9"/>
  <c r="BU18" i="9"/>
  <c r="BR18" i="9"/>
  <c r="BO18" i="9"/>
  <c r="BL18" i="9"/>
  <c r="BI18" i="9"/>
  <c r="BF18" i="9"/>
  <c r="BC18" i="9"/>
  <c r="AZ18" i="9"/>
  <c r="AW18" i="9"/>
  <c r="AT18" i="9"/>
  <c r="AQ18" i="9"/>
  <c r="AN18" i="9"/>
  <c r="AK18" i="9"/>
  <c r="AH18" i="9"/>
  <c r="AE18" i="9"/>
  <c r="AB18" i="9"/>
  <c r="Y18" i="9"/>
  <c r="V18" i="9"/>
  <c r="S18" i="9"/>
  <c r="P18" i="9"/>
  <c r="M18" i="9"/>
  <c r="J18" i="9"/>
  <c r="IJ17" i="9"/>
  <c r="IG17" i="9"/>
  <c r="ID17" i="9"/>
  <c r="IA17" i="9"/>
  <c r="HX17" i="9"/>
  <c r="HU17" i="9"/>
  <c r="HR17" i="9"/>
  <c r="HO17" i="9"/>
  <c r="HL17" i="9"/>
  <c r="HI17" i="9"/>
  <c r="HF17" i="9"/>
  <c r="HC17" i="9"/>
  <c r="GZ17" i="9"/>
  <c r="GW17" i="9"/>
  <c r="GT17" i="9"/>
  <c r="GQ17" i="9"/>
  <c r="GN17" i="9"/>
  <c r="GK17" i="9"/>
  <c r="GH17" i="9"/>
  <c r="GE17" i="9"/>
  <c r="GB17" i="9"/>
  <c r="FY17" i="9"/>
  <c r="FV17" i="9"/>
  <c r="FS17" i="9"/>
  <c r="FP17" i="9"/>
  <c r="FM17" i="9"/>
  <c r="FJ17" i="9"/>
  <c r="FG17" i="9"/>
  <c r="FD17" i="9"/>
  <c r="FA17" i="9"/>
  <c r="EX17" i="9"/>
  <c r="EU17" i="9"/>
  <c r="ER17" i="9"/>
  <c r="EO17" i="9"/>
  <c r="EL17" i="9"/>
  <c r="EI17" i="9"/>
  <c r="EF17" i="9"/>
  <c r="EC17" i="9"/>
  <c r="DZ17" i="9"/>
  <c r="DW17" i="9"/>
  <c r="DT17" i="9"/>
  <c r="DQ17" i="9"/>
  <c r="DN17" i="9"/>
  <c r="DK17" i="9"/>
  <c r="DH17" i="9"/>
  <c r="DE17" i="9"/>
  <c r="DB17" i="9"/>
  <c r="CY17" i="9"/>
  <c r="CV17" i="9"/>
  <c r="CS17" i="9"/>
  <c r="CP17" i="9"/>
  <c r="CM17" i="9"/>
  <c r="CJ17" i="9"/>
  <c r="CG17" i="9"/>
  <c r="CD17" i="9"/>
  <c r="CA17" i="9"/>
  <c r="BX17" i="9"/>
  <c r="BU17" i="9"/>
  <c r="BR17" i="9"/>
  <c r="BO17" i="9"/>
  <c r="BL17" i="9"/>
  <c r="BI17" i="9"/>
  <c r="BF17" i="9"/>
  <c r="BC17" i="9"/>
  <c r="AZ17" i="9"/>
  <c r="AW17" i="9"/>
  <c r="AT17" i="9"/>
  <c r="AQ17" i="9"/>
  <c r="AN17" i="9"/>
  <c r="AK17" i="9"/>
  <c r="AH17" i="9"/>
  <c r="AE17" i="9"/>
  <c r="AB17" i="9"/>
  <c r="Y17" i="9"/>
  <c r="V17" i="9"/>
  <c r="S17" i="9"/>
  <c r="P17" i="9"/>
  <c r="M17" i="9"/>
  <c r="J17" i="9"/>
  <c r="IJ16" i="9"/>
  <c r="IG16" i="9"/>
  <c r="ID16" i="9"/>
  <c r="IA16" i="9"/>
  <c r="HX16" i="9"/>
  <c r="HU16" i="9"/>
  <c r="HR16" i="9"/>
  <c r="HO16" i="9"/>
  <c r="HL16" i="9"/>
  <c r="HI16" i="9"/>
  <c r="HF16" i="9"/>
  <c r="HC16" i="9"/>
  <c r="GZ16" i="9"/>
  <c r="GW16" i="9"/>
  <c r="GT16" i="9"/>
  <c r="GQ16" i="9"/>
  <c r="GN16" i="9"/>
  <c r="GK16" i="9"/>
  <c r="GH16" i="9"/>
  <c r="GE16" i="9"/>
  <c r="GB16" i="9"/>
  <c r="FY16" i="9"/>
  <c r="FV16" i="9"/>
  <c r="FS16" i="9"/>
  <c r="FP16" i="9"/>
  <c r="FM16" i="9"/>
  <c r="FJ16" i="9"/>
  <c r="FG16" i="9"/>
  <c r="FD16" i="9"/>
  <c r="FA16" i="9"/>
  <c r="EX16" i="9"/>
  <c r="EU16" i="9"/>
  <c r="ER16" i="9"/>
  <c r="EO16" i="9"/>
  <c r="EL16" i="9"/>
  <c r="EI16" i="9"/>
  <c r="EF16" i="9"/>
  <c r="EC16" i="9"/>
  <c r="DZ16" i="9"/>
  <c r="DW16" i="9"/>
  <c r="DT16" i="9"/>
  <c r="DQ16" i="9"/>
  <c r="DN16" i="9"/>
  <c r="DK16" i="9"/>
  <c r="DH16" i="9"/>
  <c r="DE16" i="9"/>
  <c r="DB16" i="9"/>
  <c r="CY16" i="9"/>
  <c r="CV16" i="9"/>
  <c r="CS16" i="9"/>
  <c r="CP16" i="9"/>
  <c r="CM16" i="9"/>
  <c r="CJ16" i="9"/>
  <c r="CG16" i="9"/>
  <c r="CD16" i="9"/>
  <c r="CA16" i="9"/>
  <c r="BX16" i="9"/>
  <c r="BU16" i="9"/>
  <c r="BR16" i="9"/>
  <c r="BO16" i="9"/>
  <c r="BL16" i="9"/>
  <c r="BI16" i="9"/>
  <c r="BF16" i="9"/>
  <c r="BC16" i="9"/>
  <c r="AZ16" i="9"/>
  <c r="AW16" i="9"/>
  <c r="AT16" i="9"/>
  <c r="AQ16" i="9"/>
  <c r="AN16" i="9"/>
  <c r="AK16" i="9"/>
  <c r="AH16" i="9"/>
  <c r="AE16" i="9"/>
  <c r="AB16" i="9"/>
  <c r="Y16" i="9"/>
  <c r="V16" i="9"/>
  <c r="S16" i="9"/>
  <c r="P16" i="9"/>
  <c r="M16" i="9"/>
  <c r="J16" i="9"/>
  <c r="IJ15" i="9"/>
  <c r="IG15" i="9"/>
  <c r="ID15" i="9"/>
  <c r="IA15" i="9"/>
  <c r="HX15" i="9"/>
  <c r="HU15" i="9"/>
  <c r="HR15" i="9"/>
  <c r="HO15" i="9"/>
  <c r="HL15" i="9"/>
  <c r="HI15" i="9"/>
  <c r="HF15" i="9"/>
  <c r="HC15" i="9"/>
  <c r="GZ15" i="9"/>
  <c r="GW15" i="9"/>
  <c r="GT15" i="9"/>
  <c r="GQ15" i="9"/>
  <c r="GN15" i="9"/>
  <c r="GK15" i="9"/>
  <c r="GH15" i="9"/>
  <c r="GE15" i="9"/>
  <c r="GB15" i="9"/>
  <c r="FY15" i="9"/>
  <c r="FV15" i="9"/>
  <c r="FS15" i="9"/>
  <c r="FP15" i="9"/>
  <c r="FM15" i="9"/>
  <c r="FJ15" i="9"/>
  <c r="FG15" i="9"/>
  <c r="FD15" i="9"/>
  <c r="FA15" i="9"/>
  <c r="EX15" i="9"/>
  <c r="EU15" i="9"/>
  <c r="ER15" i="9"/>
  <c r="EO15" i="9"/>
  <c r="EL15" i="9"/>
  <c r="EI15" i="9"/>
  <c r="EF15" i="9"/>
  <c r="EC15" i="9"/>
  <c r="DZ15" i="9"/>
  <c r="DW15" i="9"/>
  <c r="DT15" i="9"/>
  <c r="DQ15" i="9"/>
  <c r="DN15" i="9"/>
  <c r="DK15" i="9"/>
  <c r="DH15" i="9"/>
  <c r="DE15" i="9"/>
  <c r="DB15" i="9"/>
  <c r="CY15" i="9"/>
  <c r="CV15" i="9"/>
  <c r="CS15" i="9"/>
  <c r="CP15" i="9"/>
  <c r="CM15" i="9"/>
  <c r="CJ15" i="9"/>
  <c r="CG15" i="9"/>
  <c r="CD15" i="9"/>
  <c r="CA15" i="9"/>
  <c r="BX15" i="9"/>
  <c r="BU15" i="9"/>
  <c r="BR15" i="9"/>
  <c r="BO15" i="9"/>
  <c r="BL15" i="9"/>
  <c r="BI15" i="9"/>
  <c r="BF15" i="9"/>
  <c r="BC15" i="9"/>
  <c r="AZ15" i="9"/>
  <c r="AW15" i="9"/>
  <c r="AT15" i="9"/>
  <c r="AQ15" i="9"/>
  <c r="AN15" i="9"/>
  <c r="AK15" i="9"/>
  <c r="AH15" i="9"/>
  <c r="AE15" i="9"/>
  <c r="AB15" i="9"/>
  <c r="Y15" i="9"/>
  <c r="V15" i="9"/>
  <c r="S15" i="9"/>
  <c r="P15" i="9"/>
  <c r="M15" i="9"/>
  <c r="J15" i="9"/>
  <c r="IJ14" i="9"/>
  <c r="IG14" i="9"/>
  <c r="ID14" i="9"/>
  <c r="IA14" i="9"/>
  <c r="HX14" i="9"/>
  <c r="HU14" i="9"/>
  <c r="HR14" i="9"/>
  <c r="HO14" i="9"/>
  <c r="HL14" i="9"/>
  <c r="HI14" i="9"/>
  <c r="HF14" i="9"/>
  <c r="HC14" i="9"/>
  <c r="GZ14" i="9"/>
  <c r="GW14" i="9"/>
  <c r="GT14" i="9"/>
  <c r="GQ14" i="9"/>
  <c r="GN14" i="9"/>
  <c r="GK14" i="9"/>
  <c r="GH14" i="9"/>
  <c r="GE14" i="9"/>
  <c r="GB14" i="9"/>
  <c r="FY14" i="9"/>
  <c r="FV14" i="9"/>
  <c r="FS14" i="9"/>
  <c r="FP14" i="9"/>
  <c r="FM14" i="9"/>
  <c r="FJ14" i="9"/>
  <c r="FG14" i="9"/>
  <c r="FD14" i="9"/>
  <c r="FA14" i="9"/>
  <c r="EX14" i="9"/>
  <c r="EU14" i="9"/>
  <c r="ER14" i="9"/>
  <c r="EO14" i="9"/>
  <c r="EL14" i="9"/>
  <c r="EI14" i="9"/>
  <c r="EF14" i="9"/>
  <c r="EC14" i="9"/>
  <c r="DZ14" i="9"/>
  <c r="DW14" i="9"/>
  <c r="DT14" i="9"/>
  <c r="DQ14" i="9"/>
  <c r="DN14" i="9"/>
  <c r="DK14" i="9"/>
  <c r="DH14" i="9"/>
  <c r="DE14" i="9"/>
  <c r="DB14" i="9"/>
  <c r="CY14" i="9"/>
  <c r="CV14" i="9"/>
  <c r="CS14" i="9"/>
  <c r="CP14" i="9"/>
  <c r="CM14" i="9"/>
  <c r="CJ14" i="9"/>
  <c r="CG14" i="9"/>
  <c r="CD14" i="9"/>
  <c r="CA14" i="9"/>
  <c r="BX14" i="9"/>
  <c r="BU14" i="9"/>
  <c r="BR14" i="9"/>
  <c r="BO14" i="9"/>
  <c r="BL14" i="9"/>
  <c r="BI14" i="9"/>
  <c r="BF14" i="9"/>
  <c r="BC14" i="9"/>
  <c r="AZ14" i="9"/>
  <c r="AW14" i="9"/>
  <c r="AT14" i="9"/>
  <c r="AQ14" i="9"/>
  <c r="AN14" i="9"/>
  <c r="AK14" i="9"/>
  <c r="AH14" i="9"/>
  <c r="AE14" i="9"/>
  <c r="AB14" i="9"/>
  <c r="Y14" i="9"/>
  <c r="V14" i="9"/>
  <c r="S14" i="9"/>
  <c r="P14" i="9"/>
  <c r="M14" i="9"/>
  <c r="J14" i="9"/>
  <c r="IJ13" i="9"/>
  <c r="IG13" i="9"/>
  <c r="ID13" i="9"/>
  <c r="IA13" i="9"/>
  <c r="HX13" i="9"/>
  <c r="HU13" i="9"/>
  <c r="HR13" i="9"/>
  <c r="HO13" i="9"/>
  <c r="HL13" i="9"/>
  <c r="HI13" i="9"/>
  <c r="HF13" i="9"/>
  <c r="HC13" i="9"/>
  <c r="GZ13" i="9"/>
  <c r="GW13" i="9"/>
  <c r="GT13" i="9"/>
  <c r="GQ13" i="9"/>
  <c r="GN13" i="9"/>
  <c r="GK13" i="9"/>
  <c r="GH13" i="9"/>
  <c r="GE13" i="9"/>
  <c r="GB13" i="9"/>
  <c r="FY13" i="9"/>
  <c r="FV13" i="9"/>
  <c r="FS13" i="9"/>
  <c r="FP13" i="9"/>
  <c r="FM13" i="9"/>
  <c r="FJ13" i="9"/>
  <c r="FG13" i="9"/>
  <c r="FD13" i="9"/>
  <c r="FA13" i="9"/>
  <c r="EX13" i="9"/>
  <c r="EU13" i="9"/>
  <c r="ER13" i="9"/>
  <c r="EO13" i="9"/>
  <c r="EL13" i="9"/>
  <c r="EI13" i="9"/>
  <c r="EF13" i="9"/>
  <c r="EC13" i="9"/>
  <c r="DZ13" i="9"/>
  <c r="DW13" i="9"/>
  <c r="DT13" i="9"/>
  <c r="DQ13" i="9"/>
  <c r="DN13" i="9"/>
  <c r="DK13" i="9"/>
  <c r="DH13" i="9"/>
  <c r="DE13" i="9"/>
  <c r="DB13" i="9"/>
  <c r="CY13" i="9"/>
  <c r="CV13" i="9"/>
  <c r="CS13" i="9"/>
  <c r="CP13" i="9"/>
  <c r="CM13" i="9"/>
  <c r="CJ13" i="9"/>
  <c r="CG13" i="9"/>
  <c r="CD13" i="9"/>
  <c r="CA13" i="9"/>
  <c r="BX13" i="9"/>
  <c r="BU13" i="9"/>
  <c r="BR13" i="9"/>
  <c r="BO13" i="9"/>
  <c r="BL13" i="9"/>
  <c r="BI13" i="9"/>
  <c r="BF13" i="9"/>
  <c r="BC13" i="9"/>
  <c r="AZ13" i="9"/>
  <c r="AW13" i="9"/>
  <c r="AT13" i="9"/>
  <c r="AQ13" i="9"/>
  <c r="AN13" i="9"/>
  <c r="AK13" i="9"/>
  <c r="AH13" i="9"/>
  <c r="AE13" i="9"/>
  <c r="AB13" i="9"/>
  <c r="Y13" i="9"/>
  <c r="V13" i="9"/>
  <c r="S13" i="9"/>
  <c r="P13" i="9"/>
  <c r="M13" i="9"/>
  <c r="J13" i="9"/>
  <c r="IJ12" i="9"/>
  <c r="IG12" i="9"/>
  <c r="ID12" i="9"/>
  <c r="IA12" i="9"/>
  <c r="HX12" i="9"/>
  <c r="HU12" i="9"/>
  <c r="HR12" i="9"/>
  <c r="HO12" i="9"/>
  <c r="HL12" i="9"/>
  <c r="HI12" i="9"/>
  <c r="HF12" i="9"/>
  <c r="HC12" i="9"/>
  <c r="GZ12" i="9"/>
  <c r="GW12" i="9"/>
  <c r="GT12" i="9"/>
  <c r="GQ12" i="9"/>
  <c r="GN12" i="9"/>
  <c r="GK12" i="9"/>
  <c r="GH12" i="9"/>
  <c r="GE12" i="9"/>
  <c r="GB12" i="9"/>
  <c r="FY12" i="9"/>
  <c r="FV12" i="9"/>
  <c r="FS12" i="9"/>
  <c r="FP12" i="9"/>
  <c r="FM12" i="9"/>
  <c r="FJ12" i="9"/>
  <c r="FG12" i="9"/>
  <c r="FD12" i="9"/>
  <c r="FA12" i="9"/>
  <c r="EX12" i="9"/>
  <c r="EU12" i="9"/>
  <c r="ER12" i="9"/>
  <c r="EO12" i="9"/>
  <c r="EL12" i="9"/>
  <c r="EI12" i="9"/>
  <c r="EF12" i="9"/>
  <c r="EC12" i="9"/>
  <c r="DZ12" i="9"/>
  <c r="DW12" i="9"/>
  <c r="DT12" i="9"/>
  <c r="DQ12" i="9"/>
  <c r="DN12" i="9"/>
  <c r="DK12" i="9"/>
  <c r="DH12" i="9"/>
  <c r="DE12" i="9"/>
  <c r="DB12" i="9"/>
  <c r="CY12" i="9"/>
  <c r="CV12" i="9"/>
  <c r="CS12" i="9"/>
  <c r="CP12" i="9"/>
  <c r="CM12" i="9"/>
  <c r="CJ12" i="9"/>
  <c r="CG12" i="9"/>
  <c r="CD12" i="9"/>
  <c r="CA12" i="9"/>
  <c r="BX12" i="9"/>
  <c r="BU12" i="9"/>
  <c r="BR12" i="9"/>
  <c r="BO12" i="9"/>
  <c r="BL12" i="9"/>
  <c r="BI12" i="9"/>
  <c r="BF12" i="9"/>
  <c r="BC12" i="9"/>
  <c r="AZ12" i="9"/>
  <c r="AW12" i="9"/>
  <c r="AT12" i="9"/>
  <c r="AQ12" i="9"/>
  <c r="AN12" i="9"/>
  <c r="AK12" i="9"/>
  <c r="AH12" i="9"/>
  <c r="AE12" i="9"/>
  <c r="AB12" i="9"/>
  <c r="Y12" i="9"/>
  <c r="V12" i="9"/>
  <c r="S12" i="9"/>
  <c r="P12" i="9"/>
  <c r="M12" i="9"/>
  <c r="J12" i="9"/>
  <c r="IJ11" i="9"/>
  <c r="IG11" i="9"/>
  <c r="ID11" i="9"/>
  <c r="IA11" i="9"/>
  <c r="HX11" i="9"/>
  <c r="HU11" i="9"/>
  <c r="HR11" i="9"/>
  <c r="HO11" i="9"/>
  <c r="HL11" i="9"/>
  <c r="HI11" i="9"/>
  <c r="HF11" i="9"/>
  <c r="HC11" i="9"/>
  <c r="GZ11" i="9"/>
  <c r="GW11" i="9"/>
  <c r="GT11" i="9"/>
  <c r="GQ11" i="9"/>
  <c r="GN11" i="9"/>
  <c r="GK11" i="9"/>
  <c r="GH11" i="9"/>
  <c r="GE11" i="9"/>
  <c r="GB11" i="9"/>
  <c r="FY11" i="9"/>
  <c r="FV11" i="9"/>
  <c r="FS11" i="9"/>
  <c r="FP11" i="9"/>
  <c r="FM11" i="9"/>
  <c r="FJ11" i="9"/>
  <c r="FG11" i="9"/>
  <c r="FD11" i="9"/>
  <c r="FA11" i="9"/>
  <c r="EX11" i="9"/>
  <c r="EU11" i="9"/>
  <c r="ER11" i="9"/>
  <c r="EO11" i="9"/>
  <c r="EL11" i="9"/>
  <c r="EI11" i="9"/>
  <c r="EF11" i="9"/>
  <c r="EC11" i="9"/>
  <c r="DZ11" i="9"/>
  <c r="DW11" i="9"/>
  <c r="DT11" i="9"/>
  <c r="DQ11" i="9"/>
  <c r="DN11" i="9"/>
  <c r="DK11" i="9"/>
  <c r="DH11" i="9"/>
  <c r="DE11" i="9"/>
  <c r="DB11" i="9"/>
  <c r="CY11" i="9"/>
  <c r="CV11" i="9"/>
  <c r="CS11" i="9"/>
  <c r="CP11" i="9"/>
  <c r="CM11" i="9"/>
  <c r="CJ11" i="9"/>
  <c r="CG11" i="9"/>
  <c r="CD11" i="9"/>
  <c r="CA11" i="9"/>
  <c r="BX11" i="9"/>
  <c r="BU11" i="9"/>
  <c r="BR11" i="9"/>
  <c r="BO11" i="9"/>
  <c r="BL11" i="9"/>
  <c r="BI11" i="9"/>
  <c r="BF11" i="9"/>
  <c r="BC11" i="9"/>
  <c r="AZ11" i="9"/>
  <c r="AW11" i="9"/>
  <c r="AT11" i="9"/>
  <c r="AQ11" i="9"/>
  <c r="AN11" i="9"/>
  <c r="AK11" i="9"/>
  <c r="AH11" i="9"/>
  <c r="AE11" i="9"/>
  <c r="AB11" i="9"/>
  <c r="Y11" i="9"/>
  <c r="V11" i="9"/>
  <c r="S11" i="9"/>
  <c r="P11" i="9"/>
  <c r="M11" i="9"/>
  <c r="J11" i="9"/>
  <c r="IJ10" i="9"/>
  <c r="IG10" i="9"/>
  <c r="ID10" i="9"/>
  <c r="IA10" i="9"/>
  <c r="HX10" i="9"/>
  <c r="HU10" i="9"/>
  <c r="HR10" i="9"/>
  <c r="HO10" i="9"/>
  <c r="HL10" i="9"/>
  <c r="HI10" i="9"/>
  <c r="HF10" i="9"/>
  <c r="HC10" i="9"/>
  <c r="GZ10" i="9"/>
  <c r="GW10" i="9"/>
  <c r="GT10" i="9"/>
  <c r="GQ10" i="9"/>
  <c r="GN10" i="9"/>
  <c r="GK10" i="9"/>
  <c r="GH10" i="9"/>
  <c r="GE10" i="9"/>
  <c r="GB10" i="9"/>
  <c r="FY10" i="9"/>
  <c r="FV10" i="9"/>
  <c r="FS10" i="9"/>
  <c r="FP10" i="9"/>
  <c r="FM10" i="9"/>
  <c r="FJ10" i="9"/>
  <c r="FG10" i="9"/>
  <c r="FD10" i="9"/>
  <c r="FA10" i="9"/>
  <c r="EX10" i="9"/>
  <c r="EU10" i="9"/>
  <c r="ER10" i="9"/>
  <c r="EO10" i="9"/>
  <c r="EL10" i="9"/>
  <c r="EI10" i="9"/>
  <c r="EF10" i="9"/>
  <c r="EC10" i="9"/>
  <c r="DZ10" i="9"/>
  <c r="DW10" i="9"/>
  <c r="DT10" i="9"/>
  <c r="DQ10" i="9"/>
  <c r="DN10" i="9"/>
  <c r="DK10" i="9"/>
  <c r="DH10" i="9"/>
  <c r="DE10" i="9"/>
  <c r="DB10" i="9"/>
  <c r="CY10" i="9"/>
  <c r="CV10" i="9"/>
  <c r="CS10" i="9"/>
  <c r="CP10" i="9"/>
  <c r="CM10" i="9"/>
  <c r="CJ10" i="9"/>
  <c r="CG10" i="9"/>
  <c r="CD10" i="9"/>
  <c r="CA10" i="9"/>
  <c r="BX10" i="9"/>
  <c r="BU10" i="9"/>
  <c r="BR10" i="9"/>
  <c r="BO10" i="9"/>
  <c r="BL10" i="9"/>
  <c r="BI10" i="9"/>
  <c r="BF10" i="9"/>
  <c r="BC10" i="9"/>
  <c r="AZ10" i="9"/>
  <c r="AW10" i="9"/>
  <c r="AT10" i="9"/>
  <c r="AQ10" i="9"/>
  <c r="AN10" i="9"/>
  <c r="AK10" i="9"/>
  <c r="AH10" i="9"/>
  <c r="AE10" i="9"/>
  <c r="AB10" i="9"/>
  <c r="Y10" i="9"/>
  <c r="V10" i="9"/>
  <c r="S10" i="9"/>
  <c r="P10" i="9"/>
  <c r="M10" i="9"/>
  <c r="J10" i="9"/>
  <c r="IJ9" i="9"/>
  <c r="IG9" i="9"/>
  <c r="ID9" i="9"/>
  <c r="IA9" i="9"/>
  <c r="HX9" i="9"/>
  <c r="HU9" i="9"/>
  <c r="HR9" i="9"/>
  <c r="HO9" i="9"/>
  <c r="HL9" i="9"/>
  <c r="HI9" i="9"/>
  <c r="HF9" i="9"/>
  <c r="HC9" i="9"/>
  <c r="GZ9" i="9"/>
  <c r="GW9" i="9"/>
  <c r="GT9" i="9"/>
  <c r="GQ9" i="9"/>
  <c r="GN9" i="9"/>
  <c r="GK9" i="9"/>
  <c r="GH9" i="9"/>
  <c r="GE9" i="9"/>
  <c r="GB9" i="9"/>
  <c r="FY9" i="9"/>
  <c r="FV9" i="9"/>
  <c r="FS9" i="9"/>
  <c r="FP9" i="9"/>
  <c r="FM9" i="9"/>
  <c r="FJ9" i="9"/>
  <c r="FG9" i="9"/>
  <c r="FD9" i="9"/>
  <c r="FA9" i="9"/>
  <c r="EX9" i="9"/>
  <c r="EU9" i="9"/>
  <c r="ER9" i="9"/>
  <c r="EO9" i="9"/>
  <c r="EL9" i="9"/>
  <c r="EI9" i="9"/>
  <c r="EF9" i="9"/>
  <c r="EC9" i="9"/>
  <c r="DZ9" i="9"/>
  <c r="DW9" i="9"/>
  <c r="DT9" i="9"/>
  <c r="DQ9" i="9"/>
  <c r="DN9" i="9"/>
  <c r="DK9" i="9"/>
  <c r="DH9" i="9"/>
  <c r="DE9" i="9"/>
  <c r="DB9" i="9"/>
  <c r="CY9" i="9"/>
  <c r="CV9" i="9"/>
  <c r="CS9" i="9"/>
  <c r="CP9" i="9"/>
  <c r="CM9" i="9"/>
  <c r="CJ9" i="9"/>
  <c r="CG9" i="9"/>
  <c r="CD9" i="9"/>
  <c r="CA9" i="9"/>
  <c r="BX9" i="9"/>
  <c r="BU9" i="9"/>
  <c r="BR9" i="9"/>
  <c r="BO9" i="9"/>
  <c r="BL9" i="9"/>
  <c r="BI9" i="9"/>
  <c r="BF9" i="9"/>
  <c r="BC9" i="9"/>
  <c r="AZ9" i="9"/>
  <c r="AW9" i="9"/>
  <c r="AT9" i="9"/>
  <c r="AQ9" i="9"/>
  <c r="AN9" i="9"/>
  <c r="AK9" i="9"/>
  <c r="AH9" i="9"/>
  <c r="AE9" i="9"/>
  <c r="AB9" i="9"/>
  <c r="Y9" i="9"/>
  <c r="V9" i="9"/>
  <c r="S9" i="9"/>
  <c r="P9" i="9"/>
  <c r="M9" i="9"/>
  <c r="J9" i="9"/>
  <c r="IJ8" i="9"/>
  <c r="IG8" i="9"/>
  <c r="ID8" i="9"/>
  <c r="IA8" i="9"/>
  <c r="HX8" i="9"/>
  <c r="HU8" i="9"/>
  <c r="HR8" i="9"/>
  <c r="HO8" i="9"/>
  <c r="HL8" i="9"/>
  <c r="HI8" i="9"/>
  <c r="HF8" i="9"/>
  <c r="HC8" i="9"/>
  <c r="GZ8" i="9"/>
  <c r="GW8" i="9"/>
  <c r="GT8" i="9"/>
  <c r="GQ8" i="9"/>
  <c r="GN8" i="9"/>
  <c r="GK8" i="9"/>
  <c r="GH8" i="9"/>
  <c r="GE8" i="9"/>
  <c r="GB8" i="9"/>
  <c r="FY8" i="9"/>
  <c r="FV8" i="9"/>
  <c r="FS8" i="9"/>
  <c r="FP8" i="9"/>
  <c r="FM8" i="9"/>
  <c r="FJ8" i="9"/>
  <c r="FG8" i="9"/>
  <c r="FD8" i="9"/>
  <c r="FA8" i="9"/>
  <c r="EX8" i="9"/>
  <c r="EU8" i="9"/>
  <c r="ER8" i="9"/>
  <c r="EO8" i="9"/>
  <c r="EL8" i="9"/>
  <c r="EI8" i="9"/>
  <c r="EF8" i="9"/>
  <c r="EC8" i="9"/>
  <c r="DZ8" i="9"/>
  <c r="DW8" i="9"/>
  <c r="DT8" i="9"/>
  <c r="DQ8" i="9"/>
  <c r="DN8" i="9"/>
  <c r="DK8" i="9"/>
  <c r="DH8" i="9"/>
  <c r="DE8" i="9"/>
  <c r="DB8" i="9"/>
  <c r="CY8" i="9"/>
  <c r="CV8" i="9"/>
  <c r="CS8" i="9"/>
  <c r="CP8" i="9"/>
  <c r="CM8" i="9"/>
  <c r="CJ8" i="9"/>
  <c r="CG8" i="9"/>
  <c r="CD8" i="9"/>
  <c r="CA8" i="9"/>
  <c r="BX8" i="9"/>
  <c r="BU8" i="9"/>
  <c r="BR8" i="9"/>
  <c r="BO8" i="9"/>
  <c r="BL8" i="9"/>
  <c r="BI8" i="9"/>
  <c r="BF8" i="9"/>
  <c r="BC8" i="9"/>
  <c r="AZ8" i="9"/>
  <c r="AW8" i="9"/>
  <c r="AT8" i="9"/>
  <c r="AQ8" i="9"/>
  <c r="AN8" i="9"/>
  <c r="AK8" i="9"/>
  <c r="AH8" i="9"/>
  <c r="AE8" i="9"/>
  <c r="AB8" i="9"/>
  <c r="Y8" i="9"/>
  <c r="V8" i="9"/>
  <c r="S8" i="9"/>
  <c r="P8" i="9"/>
  <c r="M8" i="9"/>
  <c r="J8" i="9"/>
  <c r="IJ7" i="9"/>
  <c r="IG7" i="9"/>
  <c r="ID7" i="9"/>
  <c r="IA7" i="9"/>
  <c r="HX7" i="9"/>
  <c r="HU7" i="9"/>
  <c r="HR7" i="9"/>
  <c r="HO7" i="9"/>
  <c r="HL7" i="9"/>
  <c r="HI7" i="9"/>
  <c r="HF7" i="9"/>
  <c r="HC7" i="9"/>
  <c r="GZ7" i="9"/>
  <c r="GW7" i="9"/>
  <c r="GT7" i="9"/>
  <c r="GQ7" i="9"/>
  <c r="GN7" i="9"/>
  <c r="GK7" i="9"/>
  <c r="GH7" i="9"/>
  <c r="GE7" i="9"/>
  <c r="GB7" i="9"/>
  <c r="FY7" i="9"/>
  <c r="FV7" i="9"/>
  <c r="FS7" i="9"/>
  <c r="FP7" i="9"/>
  <c r="FM7" i="9"/>
  <c r="FJ7" i="9"/>
  <c r="FG7" i="9"/>
  <c r="FD7" i="9"/>
  <c r="FA7" i="9"/>
  <c r="EX7" i="9"/>
  <c r="EU7" i="9"/>
  <c r="ER7" i="9"/>
  <c r="EO7" i="9"/>
  <c r="EL7" i="9"/>
  <c r="EI7" i="9"/>
  <c r="EF7" i="9"/>
  <c r="EC7" i="9"/>
  <c r="DZ7" i="9"/>
  <c r="DW7" i="9"/>
  <c r="DT7" i="9"/>
  <c r="DQ7" i="9"/>
  <c r="DN7" i="9"/>
  <c r="DK7" i="9"/>
  <c r="DH7" i="9"/>
  <c r="DE7" i="9"/>
  <c r="DB7" i="9"/>
  <c r="CY7" i="9"/>
  <c r="CV7" i="9"/>
  <c r="CS7" i="9"/>
  <c r="CP7" i="9"/>
  <c r="CM7" i="9"/>
  <c r="CJ7" i="9"/>
  <c r="CG7" i="9"/>
  <c r="CD7" i="9"/>
  <c r="CA7" i="9"/>
  <c r="BX7" i="9"/>
  <c r="BU7" i="9"/>
  <c r="BR7" i="9"/>
  <c r="BO7" i="9"/>
  <c r="BL7" i="9"/>
  <c r="BI7" i="9"/>
  <c r="BF7" i="9"/>
  <c r="BC7" i="9"/>
  <c r="AZ7" i="9"/>
  <c r="AW7" i="9"/>
  <c r="AT7" i="9"/>
  <c r="AQ7" i="9"/>
  <c r="AN7" i="9"/>
  <c r="AK7" i="9"/>
  <c r="AH7" i="9"/>
  <c r="AE7" i="9"/>
  <c r="AB7" i="9"/>
  <c r="Y7" i="9"/>
  <c r="V7" i="9"/>
  <c r="S7" i="9"/>
  <c r="P7" i="9"/>
  <c r="M7" i="9"/>
  <c r="J7" i="9"/>
  <c r="IJ6" i="9"/>
  <c r="IG6" i="9"/>
  <c r="ID6" i="9"/>
  <c r="IA6" i="9"/>
  <c r="HX6" i="9"/>
  <c r="HU6" i="9"/>
  <c r="HR6" i="9"/>
  <c r="HO6" i="9"/>
  <c r="HL6" i="9"/>
  <c r="HI6" i="9"/>
  <c r="HF6" i="9"/>
  <c r="HC6" i="9"/>
  <c r="GZ6" i="9"/>
  <c r="GW6" i="9"/>
  <c r="GT6" i="9"/>
  <c r="GQ6" i="9"/>
  <c r="GN6" i="9"/>
  <c r="GK6" i="9"/>
  <c r="GH6" i="9"/>
  <c r="GE6" i="9"/>
  <c r="GB6" i="9"/>
  <c r="FY6" i="9"/>
  <c r="FV6" i="9"/>
  <c r="FS6" i="9"/>
  <c r="FP6" i="9"/>
  <c r="FM6" i="9"/>
  <c r="FJ6" i="9"/>
  <c r="FG6" i="9"/>
  <c r="FD6" i="9"/>
  <c r="FA6" i="9"/>
  <c r="EX6" i="9"/>
  <c r="EU6" i="9"/>
  <c r="ER6" i="9"/>
  <c r="EO6" i="9"/>
  <c r="EL6" i="9"/>
  <c r="EI6" i="9"/>
  <c r="EF6" i="9"/>
  <c r="EC6" i="9"/>
  <c r="DZ6" i="9"/>
  <c r="DW6" i="9"/>
  <c r="DT6" i="9"/>
  <c r="DQ6" i="9"/>
  <c r="DN6" i="9"/>
  <c r="DK6" i="9"/>
  <c r="DH6" i="9"/>
  <c r="DE6" i="9"/>
  <c r="DB6" i="9"/>
  <c r="CY6" i="9"/>
  <c r="CV6" i="9"/>
  <c r="CS6" i="9"/>
  <c r="CP6" i="9"/>
  <c r="CM6" i="9"/>
  <c r="CJ6" i="9"/>
  <c r="CG6" i="9"/>
  <c r="CD6" i="9"/>
  <c r="CA6" i="9"/>
  <c r="BX6" i="9"/>
  <c r="BU6" i="9"/>
  <c r="BR6" i="9"/>
  <c r="BO6" i="9"/>
  <c r="BL6" i="9"/>
  <c r="BI6" i="9"/>
  <c r="BF6" i="9"/>
  <c r="BC6" i="9"/>
  <c r="AZ6" i="9"/>
  <c r="AW6" i="9"/>
  <c r="AT6" i="9"/>
  <c r="AQ6" i="9"/>
  <c r="AN6" i="9"/>
  <c r="AK6" i="9"/>
  <c r="AH6" i="9"/>
  <c r="AE6" i="9"/>
  <c r="AB6" i="9"/>
  <c r="Y6" i="9"/>
  <c r="V6" i="9"/>
  <c r="S6" i="9"/>
  <c r="P6" i="9"/>
  <c r="M6" i="9"/>
  <c r="J6" i="9"/>
  <c r="IJ5" i="9"/>
  <c r="IG5" i="9"/>
  <c r="ID5" i="9"/>
  <c r="IA5" i="9"/>
  <c r="HX5" i="9"/>
  <c r="HU5" i="9"/>
  <c r="HR5" i="9"/>
  <c r="HO5" i="9"/>
  <c r="HL5" i="9"/>
  <c r="HI5" i="9"/>
  <c r="HF5" i="9"/>
  <c r="HC5" i="9"/>
  <c r="GZ5" i="9"/>
  <c r="GW5" i="9"/>
  <c r="GT5" i="9"/>
  <c r="GQ5" i="9"/>
  <c r="GN5" i="9"/>
  <c r="GK5" i="9"/>
  <c r="GH5" i="9"/>
  <c r="GE5" i="9"/>
  <c r="GB5" i="9"/>
  <c r="FY5" i="9"/>
  <c r="FV5" i="9"/>
  <c r="FS5" i="9"/>
  <c r="FP5" i="9"/>
  <c r="FM5" i="9"/>
  <c r="FJ5" i="9"/>
  <c r="FG5" i="9"/>
  <c r="FD5" i="9"/>
  <c r="FA5" i="9"/>
  <c r="EX5" i="9"/>
  <c r="EU5" i="9"/>
  <c r="ER5" i="9"/>
  <c r="EO5" i="9"/>
  <c r="EL5" i="9"/>
  <c r="EI5" i="9"/>
  <c r="EF5" i="9"/>
  <c r="EC5" i="9"/>
  <c r="DZ5" i="9"/>
  <c r="DW5" i="9"/>
  <c r="DT5" i="9"/>
  <c r="DQ5" i="9"/>
  <c r="DN5" i="9"/>
  <c r="DK5" i="9"/>
  <c r="DH5" i="9"/>
  <c r="DE5" i="9"/>
  <c r="DB5" i="9"/>
  <c r="CY5" i="9"/>
  <c r="CV5" i="9"/>
  <c r="CS5" i="9"/>
  <c r="CP5" i="9"/>
  <c r="CM5" i="9"/>
  <c r="CJ5" i="9"/>
  <c r="CG5" i="9"/>
  <c r="CD5" i="9"/>
  <c r="CA5" i="9"/>
  <c r="BX5" i="9"/>
  <c r="BU5" i="9"/>
  <c r="BR5" i="9"/>
  <c r="BO5" i="9"/>
  <c r="BL5" i="9"/>
  <c r="BI5" i="9"/>
  <c r="BF5" i="9"/>
  <c r="BC5" i="9"/>
  <c r="AZ5" i="9"/>
  <c r="AW5" i="9"/>
  <c r="AT5" i="9"/>
  <c r="AQ5" i="9"/>
  <c r="AN5" i="9"/>
  <c r="AK5" i="9"/>
  <c r="AH5" i="9"/>
  <c r="AE5" i="9"/>
  <c r="AB5" i="9"/>
  <c r="Y5" i="9"/>
  <c r="V5" i="9"/>
  <c r="S5" i="9"/>
  <c r="P5" i="9"/>
  <c r="M5" i="9"/>
  <c r="J5" i="9"/>
  <c r="IJ4" i="9"/>
  <c r="IG4" i="9"/>
  <c r="ID4" i="9"/>
  <c r="IA4" i="9"/>
  <c r="HX4" i="9"/>
  <c r="HU4" i="9"/>
  <c r="HR4" i="9"/>
  <c r="HO4" i="9"/>
  <c r="HL4" i="9"/>
  <c r="HI4" i="9"/>
  <c r="HF4" i="9"/>
  <c r="HC4" i="9"/>
  <c r="GZ4" i="9"/>
  <c r="GW4" i="9"/>
  <c r="GT4" i="9"/>
  <c r="GQ4" i="9"/>
  <c r="GN4" i="9"/>
  <c r="GK4" i="9"/>
  <c r="GH4" i="9"/>
  <c r="GE4" i="9"/>
  <c r="GB4" i="9"/>
  <c r="FY4" i="9"/>
  <c r="FV4" i="9"/>
  <c r="FS4" i="9"/>
  <c r="FP4" i="9"/>
  <c r="FM4" i="9"/>
  <c r="FJ4" i="9"/>
  <c r="FG4" i="9"/>
  <c r="FD4" i="9"/>
  <c r="FA4" i="9"/>
  <c r="EX4" i="9"/>
  <c r="EU4" i="9"/>
  <c r="ER4" i="9"/>
  <c r="EO4" i="9"/>
  <c r="EL4" i="9"/>
  <c r="EI4" i="9"/>
  <c r="EF4" i="9"/>
  <c r="EC4" i="9"/>
  <c r="DZ4" i="9"/>
  <c r="DW4" i="9"/>
  <c r="DT4" i="9"/>
  <c r="DQ4" i="9"/>
  <c r="DN4" i="9"/>
  <c r="DK4" i="9"/>
  <c r="DH4" i="9"/>
  <c r="DE4" i="9"/>
  <c r="DB4" i="9"/>
  <c r="CY4" i="9"/>
  <c r="CV4" i="9"/>
  <c r="CS4" i="9"/>
  <c r="CP4" i="9"/>
  <c r="CM4" i="9"/>
  <c r="CJ4" i="9"/>
  <c r="CG4" i="9"/>
  <c r="CD4" i="9"/>
  <c r="CA4" i="9"/>
  <c r="BX4" i="9"/>
  <c r="BU4" i="9"/>
  <c r="BR4" i="9"/>
  <c r="BO4" i="9"/>
  <c r="BL4" i="9"/>
  <c r="BI4" i="9"/>
  <c r="BF4" i="9"/>
  <c r="BC4" i="9"/>
  <c r="AZ4" i="9"/>
  <c r="AW4" i="9"/>
  <c r="AT4" i="9"/>
  <c r="AQ4" i="9"/>
  <c r="AN4" i="9"/>
  <c r="AK4" i="9"/>
  <c r="AH4" i="9"/>
  <c r="AE4" i="9"/>
  <c r="AB4" i="9"/>
  <c r="Y4" i="9"/>
  <c r="V4" i="9"/>
  <c r="S4" i="9"/>
  <c r="P4" i="9"/>
  <c r="M4" i="9"/>
  <c r="J4" i="9"/>
  <c r="IJ3" i="9"/>
  <c r="IG3" i="9"/>
  <c r="ID3" i="9"/>
  <c r="IA3" i="9"/>
  <c r="HX3" i="9"/>
  <c r="HU3" i="9"/>
  <c r="HR3" i="9"/>
  <c r="HO3" i="9"/>
  <c r="HL3" i="9"/>
  <c r="HI3" i="9"/>
  <c r="HF3" i="9"/>
  <c r="HC3" i="9"/>
  <c r="GZ3" i="9"/>
  <c r="GW3" i="9"/>
  <c r="GT3" i="9"/>
  <c r="GQ3" i="9"/>
  <c r="GN3" i="9"/>
  <c r="GK3" i="9"/>
  <c r="GH3" i="9"/>
  <c r="GE3" i="9"/>
  <c r="GB3" i="9"/>
  <c r="FY3" i="9"/>
  <c r="FV3" i="9"/>
  <c r="FS3" i="9"/>
  <c r="FP3" i="9"/>
  <c r="FM3" i="9"/>
  <c r="FJ3" i="9"/>
  <c r="FG3" i="9"/>
  <c r="FD3" i="9"/>
  <c r="FA3" i="9"/>
  <c r="EX3" i="9"/>
  <c r="EU3" i="9"/>
  <c r="ER3" i="9"/>
  <c r="EO3" i="9"/>
  <c r="EL3" i="9"/>
  <c r="EI3" i="9"/>
  <c r="EF3" i="9"/>
  <c r="EC3" i="9"/>
  <c r="DZ3" i="9"/>
  <c r="DW3" i="9"/>
  <c r="DT3" i="9"/>
  <c r="DQ3" i="9"/>
  <c r="DN3" i="9"/>
  <c r="DK3" i="9"/>
  <c r="DH3" i="9"/>
  <c r="DE3" i="9"/>
  <c r="DB3" i="9"/>
  <c r="CY3" i="9"/>
  <c r="CV3" i="9"/>
  <c r="CS3" i="9"/>
  <c r="CP3" i="9"/>
  <c r="CM3" i="9"/>
  <c r="CJ3" i="9"/>
  <c r="CG3" i="9"/>
  <c r="CD3" i="9"/>
  <c r="CA3" i="9"/>
  <c r="BX3" i="9"/>
  <c r="BU3" i="9"/>
  <c r="BR3" i="9"/>
  <c r="BO3" i="9"/>
  <c r="BL3" i="9"/>
  <c r="BI3" i="9"/>
  <c r="BF3" i="9"/>
  <c r="BC3" i="9"/>
  <c r="AZ3" i="9"/>
  <c r="AW3" i="9"/>
  <c r="AT3" i="9"/>
  <c r="AQ3" i="9"/>
  <c r="AN3" i="9"/>
  <c r="AK3" i="9"/>
  <c r="AH3" i="9"/>
  <c r="AE3" i="9"/>
  <c r="AB3" i="9"/>
  <c r="Y3" i="9"/>
  <c r="V3" i="9"/>
  <c r="S3" i="9"/>
  <c r="P3" i="9"/>
  <c r="M3" i="9"/>
  <c r="J3" i="9"/>
  <c r="BM184" i="8"/>
  <c r="BL184" i="8"/>
  <c r="BF184" i="8"/>
  <c r="BE184" i="8"/>
  <c r="BD184" i="8"/>
  <c r="BC184" i="8"/>
  <c r="BB184" i="8"/>
  <c r="BN184" i="8" s="1"/>
  <c r="BA184" i="8"/>
  <c r="AZ184" i="8"/>
  <c r="AT184" i="8"/>
  <c r="AS184" i="8"/>
  <c r="AG184" i="8"/>
  <c r="AF184" i="8"/>
  <c r="Z184" i="8"/>
  <c r="AB184" i="8" s="1"/>
  <c r="Y184" i="8"/>
  <c r="AA184" i="8" s="1"/>
  <c r="X184" i="8"/>
  <c r="W184" i="8"/>
  <c r="V184" i="8"/>
  <c r="U184" i="8"/>
  <c r="T184" i="8"/>
  <c r="O184" i="8"/>
  <c r="N184" i="8"/>
  <c r="P184" i="8" s="1"/>
  <c r="M184" i="8"/>
  <c r="K184" i="8"/>
  <c r="J184" i="8"/>
  <c r="F184" i="8"/>
  <c r="E184" i="8"/>
  <c r="BO183" i="8"/>
  <c r="BN183" i="8"/>
  <c r="BM183" i="8"/>
  <c r="BL183" i="8"/>
  <c r="BF183" i="8"/>
  <c r="BE183" i="8"/>
  <c r="BD183" i="8"/>
  <c r="BH183" i="8" s="1"/>
  <c r="BC183" i="8"/>
  <c r="BB183" i="8"/>
  <c r="BA183" i="8"/>
  <c r="AZ183" i="8"/>
  <c r="AT183" i="8"/>
  <c r="AS183" i="8"/>
  <c r="AG183" i="8"/>
  <c r="AF183" i="8"/>
  <c r="Z183" i="8"/>
  <c r="Y183" i="8"/>
  <c r="X183" i="8"/>
  <c r="W183" i="8"/>
  <c r="V183" i="8"/>
  <c r="U183" i="8"/>
  <c r="T183" i="8"/>
  <c r="N183" i="8"/>
  <c r="P183" i="8" s="1"/>
  <c r="M183" i="8"/>
  <c r="O183" i="8" s="1"/>
  <c r="K183" i="8"/>
  <c r="J183" i="8"/>
  <c r="F183" i="8"/>
  <c r="E183" i="8"/>
  <c r="BM182" i="8"/>
  <c r="BL182" i="8"/>
  <c r="BF182" i="8"/>
  <c r="BE182" i="8"/>
  <c r="BD182" i="8"/>
  <c r="BC182" i="8"/>
  <c r="BB182" i="8"/>
  <c r="BA182" i="8"/>
  <c r="AZ182" i="8"/>
  <c r="AT182" i="8"/>
  <c r="AS182" i="8"/>
  <c r="AG182" i="8"/>
  <c r="AF182" i="8"/>
  <c r="Z182" i="8"/>
  <c r="AB182" i="8" s="1"/>
  <c r="Y182" i="8"/>
  <c r="X182" i="8"/>
  <c r="W182" i="8"/>
  <c r="V182" i="8"/>
  <c r="U182" i="8"/>
  <c r="T182" i="8"/>
  <c r="N182" i="8"/>
  <c r="P182" i="8" s="1"/>
  <c r="M182" i="8"/>
  <c r="O182" i="8" s="1"/>
  <c r="K182" i="8"/>
  <c r="J182" i="8"/>
  <c r="F182" i="8"/>
  <c r="E182" i="8"/>
  <c r="BM181" i="8"/>
  <c r="BL181" i="8"/>
  <c r="BF181" i="8"/>
  <c r="BH181" i="8" s="1"/>
  <c r="BE181" i="8"/>
  <c r="BG181" i="8" s="1"/>
  <c r="BD181" i="8"/>
  <c r="BC181" i="8"/>
  <c r="BO181" i="8" s="1"/>
  <c r="BB181" i="8"/>
  <c r="BN181" i="8" s="1"/>
  <c r="BA181" i="8"/>
  <c r="AZ181" i="8"/>
  <c r="AT181" i="8"/>
  <c r="AS181" i="8"/>
  <c r="AG181" i="8"/>
  <c r="AF181" i="8"/>
  <c r="Z181" i="8"/>
  <c r="AB181" i="8" s="1"/>
  <c r="Y181" i="8"/>
  <c r="AA181" i="8" s="1"/>
  <c r="X181" i="8"/>
  <c r="W181" i="8"/>
  <c r="V181" i="8"/>
  <c r="U181" i="8"/>
  <c r="T181" i="8"/>
  <c r="N181" i="8"/>
  <c r="P181" i="8" s="1"/>
  <c r="M181" i="8"/>
  <c r="O181" i="8" s="1"/>
  <c r="K181" i="8"/>
  <c r="J181" i="8"/>
  <c r="F181" i="8"/>
  <c r="E181" i="8"/>
  <c r="BM180" i="8"/>
  <c r="BL180" i="8"/>
  <c r="BF180" i="8"/>
  <c r="BE180" i="8"/>
  <c r="BG180" i="8" s="1"/>
  <c r="BD180" i="8"/>
  <c r="BC180" i="8"/>
  <c r="BB180" i="8"/>
  <c r="BA180" i="8"/>
  <c r="AZ180" i="8"/>
  <c r="AT180" i="8"/>
  <c r="AS180" i="8"/>
  <c r="AG180" i="8"/>
  <c r="AF180" i="8"/>
  <c r="AA180" i="8"/>
  <c r="Z180" i="8"/>
  <c r="Y180" i="8"/>
  <c r="X180" i="8"/>
  <c r="W180" i="8"/>
  <c r="BO180" i="8" s="1"/>
  <c r="V180" i="8"/>
  <c r="U180" i="8"/>
  <c r="T180" i="8"/>
  <c r="P180" i="8"/>
  <c r="N180" i="8"/>
  <c r="M180" i="8"/>
  <c r="O180" i="8" s="1"/>
  <c r="K180" i="8"/>
  <c r="J180" i="8"/>
  <c r="F180" i="8"/>
  <c r="E180" i="8"/>
  <c r="BM179" i="8"/>
  <c r="BL179" i="8"/>
  <c r="BF179" i="8"/>
  <c r="BE179" i="8"/>
  <c r="BD179" i="8"/>
  <c r="BH179" i="8" s="1"/>
  <c r="BC179" i="8"/>
  <c r="BO179" i="8" s="1"/>
  <c r="BB179" i="8"/>
  <c r="BA179" i="8"/>
  <c r="AZ179" i="8"/>
  <c r="AT179" i="8"/>
  <c r="AS179" i="8"/>
  <c r="AG179" i="8"/>
  <c r="AF179" i="8"/>
  <c r="AB179" i="8"/>
  <c r="Z179" i="8"/>
  <c r="Y179" i="8"/>
  <c r="X179" i="8"/>
  <c r="W179" i="8"/>
  <c r="V179" i="8"/>
  <c r="BN179" i="8" s="1"/>
  <c r="U179" i="8"/>
  <c r="T179" i="8"/>
  <c r="N179" i="8"/>
  <c r="P179" i="8" s="1"/>
  <c r="M179" i="8"/>
  <c r="O179" i="8" s="1"/>
  <c r="K179" i="8"/>
  <c r="J179" i="8"/>
  <c r="F179" i="8"/>
  <c r="E179" i="8"/>
  <c r="BM178" i="8"/>
  <c r="BL178" i="8"/>
  <c r="BF178" i="8"/>
  <c r="BH178" i="8" s="1"/>
  <c r="BE178" i="8"/>
  <c r="BG178" i="8" s="1"/>
  <c r="BD178" i="8"/>
  <c r="BC178" i="8"/>
  <c r="BB178" i="8"/>
  <c r="BA178" i="8"/>
  <c r="AZ178" i="8"/>
  <c r="AT178" i="8"/>
  <c r="AS178" i="8"/>
  <c r="AG178" i="8"/>
  <c r="AF178" i="8"/>
  <c r="Z178" i="8"/>
  <c r="Y178" i="8"/>
  <c r="X178" i="8"/>
  <c r="AA178" i="8" s="1"/>
  <c r="W178" i="8"/>
  <c r="BO178" i="8" s="1"/>
  <c r="V178" i="8"/>
  <c r="BN178" i="8" s="1"/>
  <c r="U178" i="8"/>
  <c r="T178" i="8"/>
  <c r="N178" i="8"/>
  <c r="P178" i="8" s="1"/>
  <c r="M178" i="8"/>
  <c r="O178" i="8" s="1"/>
  <c r="K178" i="8"/>
  <c r="J178" i="8"/>
  <c r="F178" i="8"/>
  <c r="E178" i="8"/>
  <c r="BM177" i="8"/>
  <c r="BL177" i="8"/>
  <c r="BF177" i="8"/>
  <c r="BH177" i="8" s="1"/>
  <c r="BE177" i="8"/>
  <c r="BG177" i="8" s="1"/>
  <c r="BD177" i="8"/>
  <c r="BC177" i="8"/>
  <c r="BB177" i="8"/>
  <c r="BA177" i="8"/>
  <c r="AZ177" i="8"/>
  <c r="AT177" i="8"/>
  <c r="AS177" i="8"/>
  <c r="AG177" i="8"/>
  <c r="AF177" i="8"/>
  <c r="Z177" i="8"/>
  <c r="AB177" i="8" s="1"/>
  <c r="Y177" i="8"/>
  <c r="AA177" i="8" s="1"/>
  <c r="X177" i="8"/>
  <c r="W177" i="8"/>
  <c r="BO177" i="8" s="1"/>
  <c r="V177" i="8"/>
  <c r="BN177" i="8" s="1"/>
  <c r="U177" i="8"/>
  <c r="T177" i="8"/>
  <c r="N177" i="8"/>
  <c r="P177" i="8" s="1"/>
  <c r="M177" i="8"/>
  <c r="O177" i="8" s="1"/>
  <c r="K177" i="8"/>
  <c r="J177" i="8"/>
  <c r="F177" i="8"/>
  <c r="E177" i="8"/>
  <c r="BM176" i="8"/>
  <c r="BL176" i="8"/>
  <c r="BF176" i="8"/>
  <c r="BH176" i="8" s="1"/>
  <c r="BE176" i="8"/>
  <c r="BG176" i="8" s="1"/>
  <c r="BD176" i="8"/>
  <c r="BC176" i="8"/>
  <c r="BB176" i="8"/>
  <c r="BN176" i="8" s="1"/>
  <c r="BA176" i="8"/>
  <c r="AZ176" i="8"/>
  <c r="AT176" i="8"/>
  <c r="AS176" i="8"/>
  <c r="AG176" i="8"/>
  <c r="AF176" i="8"/>
  <c r="Z176" i="8"/>
  <c r="Y176" i="8"/>
  <c r="X176" i="8"/>
  <c r="W176" i="8"/>
  <c r="BO176" i="8" s="1"/>
  <c r="V176" i="8"/>
  <c r="U176" i="8"/>
  <c r="T176" i="8"/>
  <c r="N176" i="8"/>
  <c r="P176" i="8" s="1"/>
  <c r="M176" i="8"/>
  <c r="O176" i="8" s="1"/>
  <c r="K176" i="8"/>
  <c r="J176" i="8"/>
  <c r="F176" i="8"/>
  <c r="E176" i="8"/>
  <c r="BM175" i="8"/>
  <c r="BL175" i="8"/>
  <c r="BF175" i="8"/>
  <c r="BE175" i="8"/>
  <c r="BD175" i="8"/>
  <c r="BC175" i="8"/>
  <c r="BB175" i="8"/>
  <c r="BA175" i="8"/>
  <c r="AZ175" i="8"/>
  <c r="AT175" i="8"/>
  <c r="AS175" i="8"/>
  <c r="AG175" i="8"/>
  <c r="AF175" i="8"/>
  <c r="Z175" i="8"/>
  <c r="Y175" i="8"/>
  <c r="X175" i="8"/>
  <c r="AB175" i="8" s="1"/>
  <c r="W175" i="8"/>
  <c r="V175" i="8"/>
  <c r="BN175" i="8" s="1"/>
  <c r="U175" i="8"/>
  <c r="T175" i="8"/>
  <c r="N175" i="8"/>
  <c r="P175" i="8" s="1"/>
  <c r="M175" i="8"/>
  <c r="O175" i="8" s="1"/>
  <c r="K175" i="8"/>
  <c r="J175" i="8"/>
  <c r="F175" i="8"/>
  <c r="E175" i="8"/>
  <c r="BM174" i="8"/>
  <c r="BL174" i="8"/>
  <c r="BF174" i="8"/>
  <c r="BH174" i="8" s="1"/>
  <c r="BE174" i="8"/>
  <c r="BG174" i="8" s="1"/>
  <c r="BD174" i="8"/>
  <c r="BC174" i="8"/>
  <c r="BB174" i="8"/>
  <c r="BA174" i="8"/>
  <c r="AZ174" i="8"/>
  <c r="AT174" i="8"/>
  <c r="AS174" i="8"/>
  <c r="AG174" i="8"/>
  <c r="AF174" i="8"/>
  <c r="Z174" i="8"/>
  <c r="Y174" i="8"/>
  <c r="X174" i="8"/>
  <c r="AA174" i="8" s="1"/>
  <c r="W174" i="8"/>
  <c r="BO174" i="8" s="1"/>
  <c r="V174" i="8"/>
  <c r="U174" i="8"/>
  <c r="T174" i="8"/>
  <c r="N174" i="8"/>
  <c r="P174" i="8" s="1"/>
  <c r="M174" i="8"/>
  <c r="O174" i="8" s="1"/>
  <c r="K174" i="8"/>
  <c r="J174" i="8"/>
  <c r="F174" i="8"/>
  <c r="E174" i="8"/>
  <c r="BM173" i="8"/>
  <c r="BL173" i="8"/>
  <c r="BH173" i="8"/>
  <c r="BG173" i="8"/>
  <c r="BF173" i="8"/>
  <c r="BE173" i="8"/>
  <c r="BD173" i="8"/>
  <c r="BC173" i="8"/>
  <c r="BB173" i="8"/>
  <c r="BA173" i="8"/>
  <c r="AZ173" i="8"/>
  <c r="AT173" i="8"/>
  <c r="AS173" i="8"/>
  <c r="AG173" i="8"/>
  <c r="AF173" i="8"/>
  <c r="Z173" i="8"/>
  <c r="Y173" i="8"/>
  <c r="X173" i="8"/>
  <c r="W173" i="8"/>
  <c r="BO173" i="8" s="1"/>
  <c r="V173" i="8"/>
  <c r="BN173" i="8" s="1"/>
  <c r="U173" i="8"/>
  <c r="T173" i="8"/>
  <c r="N173" i="8"/>
  <c r="P173" i="8" s="1"/>
  <c r="M173" i="8"/>
  <c r="O173" i="8" s="1"/>
  <c r="K173" i="8"/>
  <c r="J173" i="8"/>
  <c r="F173" i="8"/>
  <c r="E173" i="8"/>
  <c r="BM172" i="8"/>
  <c r="BL172" i="8"/>
  <c r="BF172" i="8"/>
  <c r="BE172" i="8"/>
  <c r="BD172" i="8"/>
  <c r="BC172" i="8"/>
  <c r="BB172" i="8"/>
  <c r="BN172" i="8" s="1"/>
  <c r="BA172" i="8"/>
  <c r="AZ172" i="8"/>
  <c r="AT172" i="8"/>
  <c r="AS172" i="8"/>
  <c r="AG172" i="8"/>
  <c r="AF172" i="8"/>
  <c r="Z172" i="8"/>
  <c r="AB172" i="8" s="1"/>
  <c r="Y172" i="8"/>
  <c r="AA172" i="8" s="1"/>
  <c r="X172" i="8"/>
  <c r="W172" i="8"/>
  <c r="V172" i="8"/>
  <c r="U172" i="8"/>
  <c r="T172" i="8"/>
  <c r="O172" i="8"/>
  <c r="N172" i="8"/>
  <c r="P172" i="8" s="1"/>
  <c r="M172" i="8"/>
  <c r="K172" i="8"/>
  <c r="J172" i="8"/>
  <c r="F172" i="8"/>
  <c r="E172" i="8"/>
  <c r="BO171" i="8"/>
  <c r="BN171" i="8"/>
  <c r="BM171" i="8"/>
  <c r="BL171" i="8"/>
  <c r="BF171" i="8"/>
  <c r="BE171" i="8"/>
  <c r="BG171" i="8" s="1"/>
  <c r="BD171" i="8"/>
  <c r="BH171" i="8" s="1"/>
  <c r="BC171" i="8"/>
  <c r="BB171" i="8"/>
  <c r="BA171" i="8"/>
  <c r="AZ171" i="8"/>
  <c r="AT171" i="8"/>
  <c r="AS171" i="8"/>
  <c r="AG171" i="8"/>
  <c r="AF171" i="8"/>
  <c r="Z171" i="8"/>
  <c r="Y171" i="8"/>
  <c r="X171" i="8"/>
  <c r="W171" i="8"/>
  <c r="V171" i="8"/>
  <c r="U171" i="8"/>
  <c r="T171" i="8"/>
  <c r="N171" i="8"/>
  <c r="P171" i="8" s="1"/>
  <c r="M171" i="8"/>
  <c r="O171" i="8" s="1"/>
  <c r="K171" i="8"/>
  <c r="J171" i="8"/>
  <c r="F171" i="8"/>
  <c r="E171" i="8"/>
  <c r="BM170" i="8"/>
  <c r="BL170" i="8"/>
  <c r="BF170" i="8"/>
  <c r="BE170" i="8"/>
  <c r="BD170" i="8"/>
  <c r="BC170" i="8"/>
  <c r="BB170" i="8"/>
  <c r="BA170" i="8"/>
  <c r="AZ170" i="8"/>
  <c r="AT170" i="8"/>
  <c r="AS170" i="8"/>
  <c r="AG170" i="8"/>
  <c r="AF170" i="8"/>
  <c r="Z170" i="8"/>
  <c r="AB170" i="8" s="1"/>
  <c r="Y170" i="8"/>
  <c r="X170" i="8"/>
  <c r="W170" i="8"/>
  <c r="V170" i="8"/>
  <c r="U170" i="8"/>
  <c r="T170" i="8"/>
  <c r="N170" i="8"/>
  <c r="P170" i="8" s="1"/>
  <c r="M170" i="8"/>
  <c r="O170" i="8" s="1"/>
  <c r="K170" i="8"/>
  <c r="J170" i="8"/>
  <c r="F170" i="8"/>
  <c r="E170" i="8"/>
  <c r="BN169" i="8"/>
  <c r="BM169" i="8"/>
  <c r="BL169" i="8"/>
  <c r="BF169" i="8"/>
  <c r="BH169" i="8" s="1"/>
  <c r="BE169" i="8"/>
  <c r="BG169" i="8" s="1"/>
  <c r="BD169" i="8"/>
  <c r="BC169" i="8"/>
  <c r="BO169" i="8" s="1"/>
  <c r="BB169" i="8"/>
  <c r="BA169" i="8"/>
  <c r="AZ169" i="8"/>
  <c r="AT169" i="8"/>
  <c r="AS169" i="8"/>
  <c r="AG169" i="8"/>
  <c r="AF169" i="8"/>
  <c r="Z169" i="8"/>
  <c r="Y169" i="8"/>
  <c r="X169" i="8"/>
  <c r="W169" i="8"/>
  <c r="V169" i="8"/>
  <c r="U169" i="8"/>
  <c r="T169" i="8"/>
  <c r="N169" i="8"/>
  <c r="P169" i="8" s="1"/>
  <c r="M169" i="8"/>
  <c r="O169" i="8" s="1"/>
  <c r="K169" i="8"/>
  <c r="J169" i="8"/>
  <c r="F169" i="8"/>
  <c r="E169" i="8"/>
  <c r="BM168" i="8"/>
  <c r="BL168" i="8"/>
  <c r="BF168" i="8"/>
  <c r="BE168" i="8"/>
  <c r="BD168" i="8"/>
  <c r="BC168" i="8"/>
  <c r="BB168" i="8"/>
  <c r="BA168" i="8"/>
  <c r="AZ168" i="8"/>
  <c r="AT168" i="8"/>
  <c r="AS168" i="8"/>
  <c r="AG168" i="8"/>
  <c r="AF168" i="8"/>
  <c r="AA168" i="8"/>
  <c r="Z168" i="8"/>
  <c r="AB168" i="8" s="1"/>
  <c r="Y168" i="8"/>
  <c r="X168" i="8"/>
  <c r="W168" i="8"/>
  <c r="BO168" i="8" s="1"/>
  <c r="V168" i="8"/>
  <c r="U168" i="8"/>
  <c r="T168" i="8"/>
  <c r="P168" i="8"/>
  <c r="O168" i="8"/>
  <c r="N168" i="8"/>
  <c r="M168" i="8"/>
  <c r="K168" i="8"/>
  <c r="J168" i="8"/>
  <c r="F168" i="8"/>
  <c r="E168" i="8"/>
  <c r="BM167" i="8"/>
  <c r="BL167" i="8"/>
  <c r="BF167" i="8"/>
  <c r="BE167" i="8"/>
  <c r="BD167" i="8"/>
  <c r="BH167" i="8" s="1"/>
  <c r="BC167" i="8"/>
  <c r="BO167" i="8" s="1"/>
  <c r="BB167" i="8"/>
  <c r="BA167" i="8"/>
  <c r="AZ167" i="8"/>
  <c r="AT167" i="8"/>
  <c r="AS167" i="8"/>
  <c r="AG167" i="8"/>
  <c r="AF167" i="8"/>
  <c r="AB167" i="8"/>
  <c r="Z167" i="8"/>
  <c r="Y167" i="8"/>
  <c r="AA167" i="8" s="1"/>
  <c r="X167" i="8"/>
  <c r="W167" i="8"/>
  <c r="V167" i="8"/>
  <c r="BN167" i="8" s="1"/>
  <c r="U167" i="8"/>
  <c r="T167" i="8"/>
  <c r="N167" i="8"/>
  <c r="P167" i="8" s="1"/>
  <c r="M167" i="8"/>
  <c r="O167" i="8" s="1"/>
  <c r="K167" i="8"/>
  <c r="J167" i="8"/>
  <c r="F167" i="8"/>
  <c r="E167" i="8"/>
  <c r="BM166" i="8"/>
  <c r="BL166" i="8"/>
  <c r="BF166" i="8"/>
  <c r="BH166" i="8" s="1"/>
  <c r="BE166" i="8"/>
  <c r="BG166" i="8" s="1"/>
  <c r="BD166" i="8"/>
  <c r="BC166" i="8"/>
  <c r="BB166" i="8"/>
  <c r="BA166" i="8"/>
  <c r="AZ166" i="8"/>
  <c r="AT166" i="8"/>
  <c r="AS166" i="8"/>
  <c r="AG166" i="8"/>
  <c r="AF166" i="8"/>
  <c r="Z166" i="8"/>
  <c r="Y166" i="8"/>
  <c r="X166" i="8"/>
  <c r="AA166" i="8" s="1"/>
  <c r="W166" i="8"/>
  <c r="BO166" i="8" s="1"/>
  <c r="V166" i="8"/>
  <c r="BN166" i="8" s="1"/>
  <c r="U166" i="8"/>
  <c r="T166" i="8"/>
  <c r="N166" i="8"/>
  <c r="P166" i="8" s="1"/>
  <c r="M166" i="8"/>
  <c r="O166" i="8" s="1"/>
  <c r="K166" i="8"/>
  <c r="J166" i="8"/>
  <c r="F166" i="8"/>
  <c r="E166" i="8"/>
  <c r="BM165" i="8"/>
  <c r="BL165" i="8"/>
  <c r="BF165" i="8"/>
  <c r="BH165" i="8" s="1"/>
  <c r="BE165" i="8"/>
  <c r="BG165" i="8" s="1"/>
  <c r="BD165" i="8"/>
  <c r="BC165" i="8"/>
  <c r="BB165" i="8"/>
  <c r="BA165" i="8"/>
  <c r="AZ165" i="8"/>
  <c r="AT165" i="8"/>
  <c r="AS165" i="8"/>
  <c r="AG165" i="8"/>
  <c r="AF165" i="8"/>
  <c r="Z165" i="8"/>
  <c r="AB165" i="8" s="1"/>
  <c r="Y165" i="8"/>
  <c r="AA165" i="8" s="1"/>
  <c r="X165" i="8"/>
  <c r="W165" i="8"/>
  <c r="BO165" i="8" s="1"/>
  <c r="V165" i="8"/>
  <c r="BN165" i="8" s="1"/>
  <c r="U165" i="8"/>
  <c r="T165" i="8"/>
  <c r="N165" i="8"/>
  <c r="P165" i="8" s="1"/>
  <c r="M165" i="8"/>
  <c r="O165" i="8" s="1"/>
  <c r="K165" i="8"/>
  <c r="J165" i="8"/>
  <c r="F165" i="8"/>
  <c r="E165" i="8"/>
  <c r="BM164" i="8"/>
  <c r="BL164" i="8"/>
  <c r="BF164" i="8"/>
  <c r="BH164" i="8" s="1"/>
  <c r="BE164" i="8"/>
  <c r="BG164" i="8" s="1"/>
  <c r="BD164" i="8"/>
  <c r="BC164" i="8"/>
  <c r="BB164" i="8"/>
  <c r="BN164" i="8" s="1"/>
  <c r="BA164" i="8"/>
  <c r="AZ164" i="8"/>
  <c r="AT164" i="8"/>
  <c r="AS164" i="8"/>
  <c r="AG164" i="8"/>
  <c r="AF164" i="8"/>
  <c r="Z164" i="8"/>
  <c r="Y164" i="8"/>
  <c r="AA164" i="8" s="1"/>
  <c r="X164" i="8"/>
  <c r="W164" i="8"/>
  <c r="BO164" i="8" s="1"/>
  <c r="V164" i="8"/>
  <c r="U164" i="8"/>
  <c r="T164" i="8"/>
  <c r="N164" i="8"/>
  <c r="P164" i="8" s="1"/>
  <c r="M164" i="8"/>
  <c r="O164" i="8" s="1"/>
  <c r="K164" i="8"/>
  <c r="J164" i="8"/>
  <c r="F164" i="8"/>
  <c r="E164" i="8"/>
  <c r="BM163" i="8"/>
  <c r="BL163" i="8"/>
  <c r="BF163" i="8"/>
  <c r="BE163" i="8"/>
  <c r="BD163" i="8"/>
  <c r="BC163" i="8"/>
  <c r="BB163" i="8"/>
  <c r="BA163" i="8"/>
  <c r="AZ163" i="8"/>
  <c r="AT163" i="8"/>
  <c r="AS163" i="8"/>
  <c r="AG163" i="8"/>
  <c r="AF163" i="8"/>
  <c r="Z163" i="8"/>
  <c r="Y163" i="8"/>
  <c r="X163" i="8"/>
  <c r="AB163" i="8" s="1"/>
  <c r="W163" i="8"/>
  <c r="V163" i="8"/>
  <c r="BN163" i="8" s="1"/>
  <c r="U163" i="8"/>
  <c r="T163" i="8"/>
  <c r="N163" i="8"/>
  <c r="P163" i="8" s="1"/>
  <c r="M163" i="8"/>
  <c r="O163" i="8" s="1"/>
  <c r="K163" i="8"/>
  <c r="J163" i="8"/>
  <c r="F163" i="8"/>
  <c r="E163" i="8"/>
  <c r="BM162" i="8"/>
  <c r="BL162" i="8"/>
  <c r="BF162" i="8"/>
  <c r="BH162" i="8" s="1"/>
  <c r="BE162" i="8"/>
  <c r="BG162" i="8" s="1"/>
  <c r="BD162" i="8"/>
  <c r="BC162" i="8"/>
  <c r="BB162" i="8"/>
  <c r="BA162" i="8"/>
  <c r="AZ162" i="8"/>
  <c r="AT162" i="8"/>
  <c r="AS162" i="8"/>
  <c r="AG162" i="8"/>
  <c r="AF162" i="8"/>
  <c r="Z162" i="8"/>
  <c r="Y162" i="8"/>
  <c r="X162" i="8"/>
  <c r="AA162" i="8" s="1"/>
  <c r="W162" i="8"/>
  <c r="BO162" i="8" s="1"/>
  <c r="V162" i="8"/>
  <c r="U162" i="8"/>
  <c r="T162" i="8"/>
  <c r="N162" i="8"/>
  <c r="P162" i="8" s="1"/>
  <c r="M162" i="8"/>
  <c r="O162" i="8" s="1"/>
  <c r="K162" i="8"/>
  <c r="J162" i="8"/>
  <c r="F162" i="8"/>
  <c r="E162" i="8"/>
  <c r="BM161" i="8"/>
  <c r="BL161" i="8"/>
  <c r="BF161" i="8"/>
  <c r="BH161" i="8" s="1"/>
  <c r="BE161" i="8"/>
  <c r="BG161" i="8" s="1"/>
  <c r="BD161" i="8"/>
  <c r="BC161" i="8"/>
  <c r="BB161" i="8"/>
  <c r="BA161" i="8"/>
  <c r="AZ161" i="8"/>
  <c r="AT161" i="8"/>
  <c r="AS161" i="8"/>
  <c r="AG161" i="8"/>
  <c r="AF161" i="8"/>
  <c r="Z161" i="8"/>
  <c r="AB161" i="8" s="1"/>
  <c r="Y161" i="8"/>
  <c r="AA161" i="8" s="1"/>
  <c r="W161" i="8"/>
  <c r="V161" i="8"/>
  <c r="BN161" i="8" s="1"/>
  <c r="U161" i="8"/>
  <c r="T161" i="8"/>
  <c r="N161" i="8"/>
  <c r="P161" i="8" s="1"/>
  <c r="M161" i="8"/>
  <c r="O161" i="8" s="1"/>
  <c r="K161" i="8"/>
  <c r="J161" i="8"/>
  <c r="F161" i="8"/>
  <c r="E161" i="8"/>
  <c r="BM160" i="8"/>
  <c r="BL160" i="8"/>
  <c r="BH160" i="8"/>
  <c r="BF160" i="8"/>
  <c r="BE160" i="8"/>
  <c r="BG160" i="8" s="1"/>
  <c r="BD160" i="8"/>
  <c r="BC160" i="8"/>
  <c r="BB160" i="8"/>
  <c r="BA160" i="8"/>
  <c r="AZ160" i="8"/>
  <c r="AT160" i="8"/>
  <c r="AS160" i="8"/>
  <c r="AG160" i="8"/>
  <c r="AF160" i="8"/>
  <c r="Z160" i="8"/>
  <c r="AB160" i="8" s="1"/>
  <c r="Y160" i="8"/>
  <c r="AA160" i="8" s="1"/>
  <c r="W160" i="8"/>
  <c r="BO160" i="8" s="1"/>
  <c r="V160" i="8"/>
  <c r="U160" i="8"/>
  <c r="T160" i="8"/>
  <c r="N160" i="8"/>
  <c r="P160" i="8" s="1"/>
  <c r="M160" i="8"/>
  <c r="O160" i="8" s="1"/>
  <c r="K160" i="8"/>
  <c r="J160" i="8"/>
  <c r="F160" i="8"/>
  <c r="E160" i="8"/>
  <c r="BM159" i="8"/>
  <c r="BL159" i="8"/>
  <c r="BF159" i="8"/>
  <c r="BH159" i="8" s="1"/>
  <c r="BE159" i="8"/>
  <c r="BG159" i="8" s="1"/>
  <c r="BD159" i="8"/>
  <c r="BC159" i="8"/>
  <c r="BB159" i="8"/>
  <c r="BN159" i="8" s="1"/>
  <c r="BA159" i="8"/>
  <c r="AZ159" i="8"/>
  <c r="AT159" i="8"/>
  <c r="AS159" i="8"/>
  <c r="AG159" i="8"/>
  <c r="AF159" i="8"/>
  <c r="Z159" i="8"/>
  <c r="AB159" i="8" s="1"/>
  <c r="Y159" i="8"/>
  <c r="AA159" i="8" s="1"/>
  <c r="W159" i="8"/>
  <c r="V159" i="8"/>
  <c r="U159" i="8"/>
  <c r="T159" i="8"/>
  <c r="N159" i="8"/>
  <c r="P159" i="8" s="1"/>
  <c r="M159" i="8"/>
  <c r="O159" i="8" s="1"/>
  <c r="K159" i="8"/>
  <c r="J159" i="8"/>
  <c r="F159" i="8"/>
  <c r="E159" i="8"/>
  <c r="BM158" i="8"/>
  <c r="BL158" i="8"/>
  <c r="BF158" i="8"/>
  <c r="BE158" i="8"/>
  <c r="BD158" i="8"/>
  <c r="BG158" i="8" s="1"/>
  <c r="BC158" i="8"/>
  <c r="BO158" i="8" s="1"/>
  <c r="BB158" i="8"/>
  <c r="BA158" i="8"/>
  <c r="AZ158" i="8"/>
  <c r="AT158" i="8"/>
  <c r="AS158" i="8"/>
  <c r="AG158" i="8"/>
  <c r="AF158" i="8"/>
  <c r="AB158" i="8"/>
  <c r="AA158" i="8"/>
  <c r="Z158" i="8"/>
  <c r="Y158" i="8"/>
  <c r="W158" i="8"/>
  <c r="V158" i="8"/>
  <c r="U158" i="8"/>
  <c r="T158" i="8"/>
  <c r="P158" i="8"/>
  <c r="O158" i="8"/>
  <c r="N158" i="8"/>
  <c r="M158" i="8"/>
  <c r="K158" i="8"/>
  <c r="J158" i="8"/>
  <c r="F158" i="8"/>
  <c r="E158" i="8"/>
  <c r="BM157" i="8"/>
  <c r="BL157" i="8"/>
  <c r="BF157" i="8"/>
  <c r="BE157" i="8"/>
  <c r="BD157" i="8"/>
  <c r="BH157" i="8" s="1"/>
  <c r="BC157" i="8"/>
  <c r="BO157" i="8" s="1"/>
  <c r="BB157" i="8"/>
  <c r="BA157" i="8"/>
  <c r="AZ157" i="8"/>
  <c r="AT157" i="8"/>
  <c r="AS157" i="8"/>
  <c r="AG157" i="8"/>
  <c r="AF157" i="8"/>
  <c r="AB157" i="8"/>
  <c r="Z157" i="8"/>
  <c r="Y157" i="8"/>
  <c r="AA157" i="8" s="1"/>
  <c r="W157" i="8"/>
  <c r="V157" i="8"/>
  <c r="BN157" i="8" s="1"/>
  <c r="U157" i="8"/>
  <c r="T157" i="8"/>
  <c r="N157" i="8"/>
  <c r="P157" i="8" s="1"/>
  <c r="M157" i="8"/>
  <c r="O157" i="8" s="1"/>
  <c r="K157" i="8"/>
  <c r="J157" i="8"/>
  <c r="F157" i="8"/>
  <c r="E157" i="8"/>
  <c r="BM156" i="8"/>
  <c r="BL156" i="8"/>
  <c r="BF156" i="8"/>
  <c r="BH156" i="8" s="1"/>
  <c r="BE156" i="8"/>
  <c r="BG156" i="8" s="1"/>
  <c r="BD156" i="8"/>
  <c r="BC156" i="8"/>
  <c r="BB156" i="8"/>
  <c r="BA156" i="8"/>
  <c r="AZ156" i="8"/>
  <c r="AT156" i="8"/>
  <c r="AS156" i="8"/>
  <c r="AG156" i="8"/>
  <c r="AF156" i="8"/>
  <c r="Z156" i="8"/>
  <c r="AB156" i="8" s="1"/>
  <c r="Y156" i="8"/>
  <c r="AA156" i="8" s="1"/>
  <c r="W156" i="8"/>
  <c r="BO156" i="8" s="1"/>
  <c r="V156" i="8"/>
  <c r="BN156" i="8" s="1"/>
  <c r="U156" i="8"/>
  <c r="T156" i="8"/>
  <c r="N156" i="8"/>
  <c r="P156" i="8" s="1"/>
  <c r="M156" i="8"/>
  <c r="O156" i="8" s="1"/>
  <c r="K156" i="8"/>
  <c r="J156" i="8"/>
  <c r="F156" i="8"/>
  <c r="E156" i="8"/>
  <c r="BM155" i="8"/>
  <c r="BL155" i="8"/>
  <c r="BF155" i="8"/>
  <c r="BH155" i="8" s="1"/>
  <c r="BE155" i="8"/>
  <c r="BG155" i="8" s="1"/>
  <c r="BD155" i="8"/>
  <c r="BC155" i="8"/>
  <c r="BB155" i="8"/>
  <c r="BA155" i="8"/>
  <c r="AZ155" i="8"/>
  <c r="AT155" i="8"/>
  <c r="AS155" i="8"/>
  <c r="AG155" i="8"/>
  <c r="AF155" i="8"/>
  <c r="Z155" i="8"/>
  <c r="AB155" i="8" s="1"/>
  <c r="Y155" i="8"/>
  <c r="AA155" i="8" s="1"/>
  <c r="W155" i="8"/>
  <c r="BO155" i="8" s="1"/>
  <c r="V155" i="8"/>
  <c r="BN155" i="8" s="1"/>
  <c r="U155" i="8"/>
  <c r="T155" i="8"/>
  <c r="N155" i="8"/>
  <c r="P155" i="8" s="1"/>
  <c r="M155" i="8"/>
  <c r="O155" i="8" s="1"/>
  <c r="K155" i="8"/>
  <c r="J155" i="8"/>
  <c r="F155" i="8"/>
  <c r="E155" i="8"/>
  <c r="BM154" i="8"/>
  <c r="BL154" i="8"/>
  <c r="BF154" i="8"/>
  <c r="BE154" i="8"/>
  <c r="BD154" i="8"/>
  <c r="BC154" i="8"/>
  <c r="BB154" i="8"/>
  <c r="BA154" i="8"/>
  <c r="AZ154" i="8"/>
  <c r="AT154" i="8"/>
  <c r="AS154" i="8"/>
  <c r="AG154" i="8"/>
  <c r="AF154" i="8"/>
  <c r="AB154" i="8"/>
  <c r="Z154" i="8"/>
  <c r="Y154" i="8"/>
  <c r="AA154" i="8" s="1"/>
  <c r="W154" i="8"/>
  <c r="V154" i="8"/>
  <c r="U154" i="8"/>
  <c r="T154" i="8"/>
  <c r="N154" i="8"/>
  <c r="P154" i="8" s="1"/>
  <c r="M154" i="8"/>
  <c r="O154" i="8" s="1"/>
  <c r="K154" i="8"/>
  <c r="J154" i="8"/>
  <c r="F154" i="8"/>
  <c r="E154" i="8"/>
  <c r="BM153" i="8"/>
  <c r="BL153" i="8"/>
  <c r="BH153" i="8"/>
  <c r="BG153" i="8"/>
  <c r="BF153" i="8"/>
  <c r="BE153" i="8"/>
  <c r="BD153" i="8"/>
  <c r="BC153" i="8"/>
  <c r="BB153" i="8"/>
  <c r="BA153" i="8"/>
  <c r="AZ153" i="8"/>
  <c r="AT153" i="8"/>
  <c r="AS153" i="8"/>
  <c r="AG153" i="8"/>
  <c r="AF153" i="8"/>
  <c r="Z153" i="8"/>
  <c r="AB153" i="8" s="1"/>
  <c r="Y153" i="8"/>
  <c r="AA153" i="8" s="1"/>
  <c r="W153" i="8"/>
  <c r="BO153" i="8" s="1"/>
  <c r="V153" i="8"/>
  <c r="BN153" i="8" s="1"/>
  <c r="U153" i="8"/>
  <c r="T153" i="8"/>
  <c r="N153" i="8"/>
  <c r="P153" i="8" s="1"/>
  <c r="M153" i="8"/>
  <c r="O153" i="8" s="1"/>
  <c r="K153" i="8"/>
  <c r="J153" i="8"/>
  <c r="F153" i="8"/>
  <c r="E153" i="8"/>
  <c r="BM152" i="8"/>
  <c r="BL152" i="8"/>
  <c r="BF152" i="8"/>
  <c r="BH152" i="8" s="1"/>
  <c r="BE152" i="8"/>
  <c r="BD152" i="8"/>
  <c r="BC152" i="8"/>
  <c r="BB152" i="8"/>
  <c r="BN152" i="8" s="1"/>
  <c r="BA152" i="8"/>
  <c r="AZ152" i="8"/>
  <c r="AT152" i="8"/>
  <c r="AS152" i="8"/>
  <c r="AG152" i="8"/>
  <c r="AF152" i="8"/>
  <c r="Z152" i="8"/>
  <c r="AB152" i="8" s="1"/>
  <c r="Y152" i="8"/>
  <c r="AA152" i="8" s="1"/>
  <c r="W152" i="8"/>
  <c r="V152" i="8"/>
  <c r="U152" i="8"/>
  <c r="T152" i="8"/>
  <c r="N152" i="8"/>
  <c r="P152" i="8" s="1"/>
  <c r="M152" i="8"/>
  <c r="O152" i="8" s="1"/>
  <c r="K152" i="8"/>
  <c r="J152" i="8"/>
  <c r="F152" i="8"/>
  <c r="E152" i="8"/>
  <c r="BM151" i="8"/>
  <c r="BL151" i="8"/>
  <c r="BF151" i="8"/>
  <c r="BE151" i="8"/>
  <c r="BD151" i="8"/>
  <c r="BC151" i="8"/>
  <c r="BO151" i="8" s="1"/>
  <c r="BB151" i="8"/>
  <c r="BN151" i="8" s="1"/>
  <c r="BA151" i="8"/>
  <c r="AZ151" i="8"/>
  <c r="AT151" i="8"/>
  <c r="AS151" i="8"/>
  <c r="AG151" i="8"/>
  <c r="AF151" i="8"/>
  <c r="AA151" i="8"/>
  <c r="Z151" i="8"/>
  <c r="AB151" i="8" s="1"/>
  <c r="Y151" i="8"/>
  <c r="W151" i="8"/>
  <c r="V151" i="8"/>
  <c r="U151" i="8"/>
  <c r="T151" i="8"/>
  <c r="O151" i="8"/>
  <c r="N151" i="8"/>
  <c r="P151" i="8" s="1"/>
  <c r="M151" i="8"/>
  <c r="K151" i="8"/>
  <c r="J151" i="8"/>
  <c r="F151" i="8"/>
  <c r="E151" i="8"/>
  <c r="BN150" i="8"/>
  <c r="BM150" i="8"/>
  <c r="BL150" i="8"/>
  <c r="BF150" i="8"/>
  <c r="BH150" i="8" s="1"/>
  <c r="BE150" i="8"/>
  <c r="BD150" i="8"/>
  <c r="BG150" i="8" s="1"/>
  <c r="BC150" i="8"/>
  <c r="BB150" i="8"/>
  <c r="BA150" i="8"/>
  <c r="AZ150" i="8"/>
  <c r="AT150" i="8"/>
  <c r="AS150" i="8"/>
  <c r="AG150" i="8"/>
  <c r="AF150" i="8"/>
  <c r="Z150" i="8"/>
  <c r="AB150" i="8" s="1"/>
  <c r="Y150" i="8"/>
  <c r="AA150" i="8" s="1"/>
  <c r="W150" i="8"/>
  <c r="V150" i="8"/>
  <c r="U150" i="8"/>
  <c r="T150" i="8"/>
  <c r="N150" i="8"/>
  <c r="P150" i="8" s="1"/>
  <c r="M150" i="8"/>
  <c r="O150" i="8" s="1"/>
  <c r="K150" i="8"/>
  <c r="J150" i="8"/>
  <c r="F150" i="8"/>
  <c r="E150" i="8"/>
  <c r="BM149" i="8"/>
  <c r="BL149" i="8"/>
  <c r="BF149" i="8"/>
  <c r="BE149" i="8"/>
  <c r="BG149" i="8" s="1"/>
  <c r="BD149" i="8"/>
  <c r="BC149" i="8"/>
  <c r="BB149" i="8"/>
  <c r="BA149" i="8"/>
  <c r="AZ149" i="8"/>
  <c r="AT149" i="8"/>
  <c r="AS149" i="8"/>
  <c r="AG149" i="8"/>
  <c r="AF149" i="8"/>
  <c r="Z149" i="8"/>
  <c r="AB149" i="8" s="1"/>
  <c r="Y149" i="8"/>
  <c r="AA149" i="8" s="1"/>
  <c r="W149" i="8"/>
  <c r="BO149" i="8" s="1"/>
  <c r="V149" i="8"/>
  <c r="BN149" i="8" s="1"/>
  <c r="U149" i="8"/>
  <c r="T149" i="8"/>
  <c r="N149" i="8"/>
  <c r="P149" i="8" s="1"/>
  <c r="M149" i="8"/>
  <c r="O149" i="8" s="1"/>
  <c r="K149" i="8"/>
  <c r="J149" i="8"/>
  <c r="F149" i="8"/>
  <c r="E149" i="8"/>
  <c r="BM148" i="8"/>
  <c r="BL148" i="8"/>
  <c r="BF148" i="8"/>
  <c r="BE148" i="8"/>
  <c r="BD148" i="8"/>
  <c r="BC148" i="8"/>
  <c r="BB148" i="8"/>
  <c r="BA148" i="8"/>
  <c r="AZ148" i="8"/>
  <c r="AT148" i="8"/>
  <c r="AS148" i="8"/>
  <c r="AG148" i="8"/>
  <c r="AF148" i="8"/>
  <c r="Z148" i="8"/>
  <c r="AB148" i="8" s="1"/>
  <c r="Y148" i="8"/>
  <c r="AA148" i="8" s="1"/>
  <c r="W148" i="8"/>
  <c r="BO148" i="8" s="1"/>
  <c r="V148" i="8"/>
  <c r="U148" i="8"/>
  <c r="T148" i="8"/>
  <c r="N148" i="8"/>
  <c r="P148" i="8" s="1"/>
  <c r="M148" i="8"/>
  <c r="O148" i="8" s="1"/>
  <c r="K148" i="8"/>
  <c r="J148" i="8"/>
  <c r="F148" i="8"/>
  <c r="E148" i="8"/>
  <c r="BM147" i="8"/>
  <c r="BL147" i="8"/>
  <c r="BF147" i="8"/>
  <c r="BE147" i="8"/>
  <c r="BD147" i="8"/>
  <c r="BC147" i="8"/>
  <c r="BB147" i="8"/>
  <c r="BA147" i="8"/>
  <c r="AZ147" i="8"/>
  <c r="AT147" i="8"/>
  <c r="AS147" i="8"/>
  <c r="AG147" i="8"/>
  <c r="AF147" i="8"/>
  <c r="Z147" i="8"/>
  <c r="AB147" i="8" s="1"/>
  <c r="Y147" i="8"/>
  <c r="X147" i="8"/>
  <c r="W147" i="8"/>
  <c r="V147" i="8"/>
  <c r="BN147" i="8" s="1"/>
  <c r="U147" i="8"/>
  <c r="T147" i="8"/>
  <c r="N147" i="8"/>
  <c r="P147" i="8" s="1"/>
  <c r="M147" i="8"/>
  <c r="O147" i="8" s="1"/>
  <c r="K147" i="8"/>
  <c r="J147" i="8"/>
  <c r="F147" i="8"/>
  <c r="E147" i="8"/>
  <c r="BM146" i="8"/>
  <c r="BL146" i="8"/>
  <c r="BF146" i="8"/>
  <c r="BH146" i="8" s="1"/>
  <c r="BE146" i="8"/>
  <c r="BG146" i="8" s="1"/>
  <c r="BD146" i="8"/>
  <c r="BC146" i="8"/>
  <c r="BO146" i="8" s="1"/>
  <c r="BB146" i="8"/>
  <c r="BN146" i="8" s="1"/>
  <c r="BA146" i="8"/>
  <c r="AZ146" i="8"/>
  <c r="AT146" i="8"/>
  <c r="AS146" i="8"/>
  <c r="AG146" i="8"/>
  <c r="AF146" i="8"/>
  <c r="Z146" i="8"/>
  <c r="AB146" i="8" s="1"/>
  <c r="Y146" i="8"/>
  <c r="AA146" i="8" s="1"/>
  <c r="X146" i="8"/>
  <c r="W146" i="8"/>
  <c r="V146" i="8"/>
  <c r="U146" i="8"/>
  <c r="T146" i="8"/>
  <c r="N146" i="8"/>
  <c r="P146" i="8" s="1"/>
  <c r="M146" i="8"/>
  <c r="O146" i="8" s="1"/>
  <c r="K146" i="8"/>
  <c r="J146" i="8"/>
  <c r="F146" i="8"/>
  <c r="E146" i="8"/>
  <c r="BM145" i="8"/>
  <c r="BL145" i="8"/>
  <c r="BF145" i="8"/>
  <c r="BE145" i="8"/>
  <c r="BG145" i="8" s="1"/>
  <c r="BD145" i="8"/>
  <c r="BC145" i="8"/>
  <c r="BB145" i="8"/>
  <c r="BA145" i="8"/>
  <c r="AZ145" i="8"/>
  <c r="AT145" i="8"/>
  <c r="AS145" i="8"/>
  <c r="AG145" i="8"/>
  <c r="AF145" i="8"/>
  <c r="Z145" i="8"/>
  <c r="Y145" i="8"/>
  <c r="X145" i="8"/>
  <c r="AA145" i="8" s="1"/>
  <c r="W145" i="8"/>
  <c r="BO145" i="8" s="1"/>
  <c r="V145" i="8"/>
  <c r="U145" i="8"/>
  <c r="T145" i="8"/>
  <c r="P145" i="8"/>
  <c r="N145" i="8"/>
  <c r="M145" i="8"/>
  <c r="O145" i="8" s="1"/>
  <c r="K145" i="8"/>
  <c r="J145" i="8"/>
  <c r="F145" i="8"/>
  <c r="E145" i="8"/>
  <c r="BM144" i="8"/>
  <c r="BL144" i="8"/>
  <c r="BF144" i="8"/>
  <c r="BE144" i="8"/>
  <c r="BD144" i="8"/>
  <c r="BH144" i="8" s="1"/>
  <c r="BC144" i="8"/>
  <c r="BO144" i="8" s="1"/>
  <c r="BB144" i="8"/>
  <c r="BA144" i="8"/>
  <c r="AZ144" i="8"/>
  <c r="AT144" i="8"/>
  <c r="AS144" i="8"/>
  <c r="AG144" i="8"/>
  <c r="AF144" i="8"/>
  <c r="AB144" i="8"/>
  <c r="Z144" i="8"/>
  <c r="Y144" i="8"/>
  <c r="AA144" i="8" s="1"/>
  <c r="X144" i="8"/>
  <c r="W144" i="8"/>
  <c r="V144" i="8"/>
  <c r="U144" i="8"/>
  <c r="T144" i="8"/>
  <c r="N144" i="8"/>
  <c r="P144" i="8" s="1"/>
  <c r="M144" i="8"/>
  <c r="O144" i="8" s="1"/>
  <c r="K144" i="8"/>
  <c r="J144" i="8"/>
  <c r="F144" i="8"/>
  <c r="E144" i="8"/>
  <c r="BM143" i="8"/>
  <c r="BL143" i="8"/>
  <c r="BF143" i="8"/>
  <c r="BH143" i="8" s="1"/>
  <c r="BE143" i="8"/>
  <c r="BG143" i="8" s="1"/>
  <c r="BD143" i="8"/>
  <c r="BC143" i="8"/>
  <c r="BB143" i="8"/>
  <c r="BA143" i="8"/>
  <c r="AZ143" i="8"/>
  <c r="AT143" i="8"/>
  <c r="AS143" i="8"/>
  <c r="AG143" i="8"/>
  <c r="AF143" i="8"/>
  <c r="Z143" i="8"/>
  <c r="Y143" i="8"/>
  <c r="X143" i="8"/>
  <c r="AA143" i="8" s="1"/>
  <c r="W143" i="8"/>
  <c r="BO143" i="8" s="1"/>
  <c r="V143" i="8"/>
  <c r="BN143" i="8" s="1"/>
  <c r="U143" i="8"/>
  <c r="T143" i="8"/>
  <c r="P143" i="8"/>
  <c r="N143" i="8"/>
  <c r="M143" i="8"/>
  <c r="O143" i="8" s="1"/>
  <c r="K143" i="8"/>
  <c r="J143" i="8"/>
  <c r="F143" i="8"/>
  <c r="E143" i="8"/>
  <c r="BO142" i="8"/>
  <c r="BM142" i="8"/>
  <c r="BL142" i="8"/>
  <c r="BF142" i="8"/>
  <c r="BH142" i="8" s="1"/>
  <c r="BE142" i="8"/>
  <c r="BG142" i="8" s="1"/>
  <c r="BD142" i="8"/>
  <c r="BC142" i="8"/>
  <c r="BB142" i="8"/>
  <c r="BA142" i="8"/>
  <c r="AZ142" i="8"/>
  <c r="AT142" i="8"/>
  <c r="AS142" i="8"/>
  <c r="AG142" i="8"/>
  <c r="AF142" i="8"/>
  <c r="Z142" i="8"/>
  <c r="Y142" i="8"/>
  <c r="X142" i="8"/>
  <c r="W142" i="8"/>
  <c r="V142" i="8"/>
  <c r="BN142" i="8" s="1"/>
  <c r="U142" i="8"/>
  <c r="T142" i="8"/>
  <c r="N142" i="8"/>
  <c r="P142" i="8" s="1"/>
  <c r="M142" i="8"/>
  <c r="O142" i="8" s="1"/>
  <c r="K142" i="8"/>
  <c r="J142" i="8"/>
  <c r="F142" i="8"/>
  <c r="E142" i="8"/>
  <c r="BM141" i="8"/>
  <c r="BL141" i="8"/>
  <c r="BF141" i="8"/>
  <c r="BH141" i="8" s="1"/>
  <c r="BE141" i="8"/>
  <c r="BG141" i="8" s="1"/>
  <c r="BD141" i="8"/>
  <c r="BC141" i="8"/>
  <c r="BB141" i="8"/>
  <c r="BA141" i="8"/>
  <c r="AZ141" i="8"/>
  <c r="AT141" i="8"/>
  <c r="AS141" i="8"/>
  <c r="AG141" i="8"/>
  <c r="AF141" i="8"/>
  <c r="Z141" i="8"/>
  <c r="Y141" i="8"/>
  <c r="AA141" i="8" s="1"/>
  <c r="X141" i="8"/>
  <c r="W141" i="8"/>
  <c r="BO141" i="8" s="1"/>
  <c r="V141" i="8"/>
  <c r="U141" i="8"/>
  <c r="T141" i="8"/>
  <c r="N141" i="8"/>
  <c r="P141" i="8" s="1"/>
  <c r="M141" i="8"/>
  <c r="O141" i="8" s="1"/>
  <c r="K141" i="8"/>
  <c r="J141" i="8"/>
  <c r="F141" i="8"/>
  <c r="E141" i="8"/>
  <c r="BM140" i="8"/>
  <c r="BL140" i="8"/>
  <c r="BF140" i="8"/>
  <c r="BH140" i="8" s="1"/>
  <c r="BE140" i="8"/>
  <c r="BD140" i="8"/>
  <c r="BC140" i="8"/>
  <c r="BB140" i="8"/>
  <c r="BA140" i="8"/>
  <c r="AZ140" i="8"/>
  <c r="AT140" i="8"/>
  <c r="AS140" i="8"/>
  <c r="AG140" i="8"/>
  <c r="AF140" i="8"/>
  <c r="Z140" i="8"/>
  <c r="AB140" i="8" s="1"/>
  <c r="Y140" i="8"/>
  <c r="X140" i="8"/>
  <c r="W140" i="8"/>
  <c r="V140" i="8"/>
  <c r="BN140" i="8" s="1"/>
  <c r="U140" i="8"/>
  <c r="T140" i="8"/>
  <c r="N140" i="8"/>
  <c r="P140" i="8" s="1"/>
  <c r="M140" i="8"/>
  <c r="O140" i="8" s="1"/>
  <c r="K140" i="8"/>
  <c r="J140" i="8"/>
  <c r="F140" i="8"/>
  <c r="E140" i="8"/>
  <c r="BM139" i="8"/>
  <c r="BL139" i="8"/>
  <c r="BF139" i="8"/>
  <c r="BE139" i="8"/>
  <c r="BD139" i="8"/>
  <c r="BC139" i="8"/>
  <c r="BB139" i="8"/>
  <c r="BA139" i="8"/>
  <c r="AZ139" i="8"/>
  <c r="AT139" i="8"/>
  <c r="AS139" i="8"/>
  <c r="AG139" i="8"/>
  <c r="AF139" i="8"/>
  <c r="Z139" i="8"/>
  <c r="Y139" i="8"/>
  <c r="X139" i="8"/>
  <c r="W139" i="8"/>
  <c r="V139" i="8"/>
  <c r="U139" i="8"/>
  <c r="T139" i="8"/>
  <c r="N139" i="8"/>
  <c r="P139" i="8" s="1"/>
  <c r="M139" i="8"/>
  <c r="O139" i="8" s="1"/>
  <c r="K139" i="8"/>
  <c r="J139" i="8"/>
  <c r="F139" i="8"/>
  <c r="E139" i="8"/>
  <c r="BL138" i="8"/>
  <c r="BK138" i="8"/>
  <c r="BE138" i="8"/>
  <c r="BG138" i="8" s="1"/>
  <c r="BD138" i="8"/>
  <c r="BC138" i="8"/>
  <c r="BB138" i="8"/>
  <c r="BA138" i="8"/>
  <c r="AZ138" i="8"/>
  <c r="AT138" i="8"/>
  <c r="AS138" i="8"/>
  <c r="AG138" i="8"/>
  <c r="AF138" i="8"/>
  <c r="Z138" i="8"/>
  <c r="AB138" i="8" s="1"/>
  <c r="Y138" i="8"/>
  <c r="X138" i="8"/>
  <c r="W138" i="8"/>
  <c r="BO138" i="8" s="1"/>
  <c r="V138" i="8"/>
  <c r="U138" i="8"/>
  <c r="T138" i="8"/>
  <c r="O138" i="8"/>
  <c r="N138" i="8"/>
  <c r="P138" i="8" s="1"/>
  <c r="M138" i="8"/>
  <c r="K138" i="8"/>
  <c r="J138" i="8"/>
  <c r="F138" i="8"/>
  <c r="E138" i="8"/>
  <c r="BN137" i="8"/>
  <c r="BM137" i="8"/>
  <c r="BL137" i="8"/>
  <c r="BK137" i="8"/>
  <c r="BF137" i="8" s="1"/>
  <c r="BE137" i="8"/>
  <c r="BD137" i="8"/>
  <c r="BC137" i="8"/>
  <c r="BO137" i="8" s="1"/>
  <c r="BB137" i="8"/>
  <c r="BA137" i="8"/>
  <c r="AZ137" i="8"/>
  <c r="AT137" i="8"/>
  <c r="AS137" i="8"/>
  <c r="AG137" i="8"/>
  <c r="AF137" i="8"/>
  <c r="Z137" i="8"/>
  <c r="Y137" i="8"/>
  <c r="AA137" i="8" s="1"/>
  <c r="X137" i="8"/>
  <c r="W137" i="8"/>
  <c r="V137" i="8"/>
  <c r="U137" i="8"/>
  <c r="T137" i="8"/>
  <c r="N137" i="8"/>
  <c r="P137" i="8" s="1"/>
  <c r="M137" i="8"/>
  <c r="O137" i="8" s="1"/>
  <c r="K137" i="8"/>
  <c r="J137" i="8"/>
  <c r="F137" i="8"/>
  <c r="E137" i="8"/>
  <c r="BK136" i="8"/>
  <c r="BM136" i="8" s="1"/>
  <c r="BJ136" i="8"/>
  <c r="BF136" i="8"/>
  <c r="BH136" i="8" s="1"/>
  <c r="BD136" i="8"/>
  <c r="BC136" i="8"/>
  <c r="BB136" i="8"/>
  <c r="BA136" i="8"/>
  <c r="AZ136" i="8"/>
  <c r="AT136" i="8"/>
  <c r="AS136" i="8"/>
  <c r="AG136" i="8"/>
  <c r="AF136" i="8"/>
  <c r="Z136" i="8"/>
  <c r="Y136" i="8"/>
  <c r="X136" i="8"/>
  <c r="W136" i="8"/>
  <c r="BO136" i="8" s="1"/>
  <c r="V136" i="8"/>
  <c r="BN136" i="8" s="1"/>
  <c r="U136" i="8"/>
  <c r="T136" i="8"/>
  <c r="N136" i="8"/>
  <c r="P136" i="8" s="1"/>
  <c r="M136" i="8"/>
  <c r="O136" i="8" s="1"/>
  <c r="K136" i="8"/>
  <c r="J136" i="8"/>
  <c r="F136" i="8"/>
  <c r="E136" i="8"/>
  <c r="BM135" i="8"/>
  <c r="BL135" i="8"/>
  <c r="BK135" i="8"/>
  <c r="BF135" i="8" s="1"/>
  <c r="BH135" i="8" s="1"/>
  <c r="BJ135" i="8"/>
  <c r="BE135" i="8"/>
  <c r="BD135" i="8"/>
  <c r="BC135" i="8"/>
  <c r="BB135" i="8"/>
  <c r="BA135" i="8"/>
  <c r="AZ135" i="8"/>
  <c r="AT135" i="8"/>
  <c r="AS135" i="8"/>
  <c r="AG135" i="8"/>
  <c r="AF135" i="8"/>
  <c r="Z135" i="8"/>
  <c r="AB135" i="8" s="1"/>
  <c r="Y135" i="8"/>
  <c r="AA135" i="8" s="1"/>
  <c r="X135" i="8"/>
  <c r="W135" i="8"/>
  <c r="V135" i="8"/>
  <c r="U135" i="8"/>
  <c r="T135" i="8"/>
  <c r="N135" i="8"/>
  <c r="P135" i="8" s="1"/>
  <c r="M135" i="8"/>
  <c r="O135" i="8" s="1"/>
  <c r="K135" i="8"/>
  <c r="J135" i="8"/>
  <c r="F135" i="8"/>
  <c r="E135" i="8"/>
  <c r="BK134" i="8"/>
  <c r="BM134" i="8" s="1"/>
  <c r="BJ134" i="8"/>
  <c r="BF134" i="8"/>
  <c r="BD134" i="8"/>
  <c r="BC134" i="8"/>
  <c r="BB134" i="8"/>
  <c r="BA134" i="8"/>
  <c r="AZ134" i="8"/>
  <c r="AT134" i="8"/>
  <c r="AS134" i="8"/>
  <c r="AG134" i="8"/>
  <c r="AF134" i="8"/>
  <c r="Z134" i="8"/>
  <c r="Y134" i="8"/>
  <c r="X134" i="8"/>
  <c r="W134" i="8"/>
  <c r="BO134" i="8" s="1"/>
  <c r="V134" i="8"/>
  <c r="BN134" i="8" s="1"/>
  <c r="U134" i="8"/>
  <c r="T134" i="8"/>
  <c r="O134" i="8"/>
  <c r="N134" i="8"/>
  <c r="P134" i="8" s="1"/>
  <c r="M134" i="8"/>
  <c r="K134" i="8"/>
  <c r="J134" i="8"/>
  <c r="F134" i="8"/>
  <c r="E134" i="8"/>
  <c r="BN133" i="8"/>
  <c r="BM133" i="8"/>
  <c r="BK133" i="8"/>
  <c r="BF133" i="8" s="1"/>
  <c r="BJ133" i="8"/>
  <c r="BL133" i="8" s="1"/>
  <c r="BE133" i="8"/>
  <c r="BD133" i="8"/>
  <c r="BC133" i="8"/>
  <c r="BB133" i="8"/>
  <c r="BA133" i="8"/>
  <c r="AZ133" i="8"/>
  <c r="AT133" i="8"/>
  <c r="AS133" i="8"/>
  <c r="AG133" i="8"/>
  <c r="AF133" i="8"/>
  <c r="AB133" i="8"/>
  <c r="Z133" i="8"/>
  <c r="Y133" i="8"/>
  <c r="AA133" i="8" s="1"/>
  <c r="X133" i="8"/>
  <c r="W133" i="8"/>
  <c r="V133" i="8"/>
  <c r="U133" i="8"/>
  <c r="T133" i="8"/>
  <c r="O133" i="8"/>
  <c r="N133" i="8"/>
  <c r="P133" i="8" s="1"/>
  <c r="M133" i="8"/>
  <c r="K133" i="8"/>
  <c r="J133" i="8"/>
  <c r="F133" i="8"/>
  <c r="E133" i="8"/>
  <c r="BK132" i="8"/>
  <c r="BJ132" i="8"/>
  <c r="BD132" i="8"/>
  <c r="BC132" i="8"/>
  <c r="BB132" i="8"/>
  <c r="BA132" i="8"/>
  <c r="AZ132" i="8"/>
  <c r="AT132" i="8"/>
  <c r="AS132" i="8"/>
  <c r="AG132" i="8"/>
  <c r="AF132" i="8"/>
  <c r="Z132" i="8"/>
  <c r="Y132" i="8"/>
  <c r="X132" i="8"/>
  <c r="W132" i="8"/>
  <c r="BO132" i="8" s="1"/>
  <c r="V132" i="8"/>
  <c r="BN132" i="8" s="1"/>
  <c r="U132" i="8"/>
  <c r="T132" i="8"/>
  <c r="N132" i="8"/>
  <c r="P132" i="8" s="1"/>
  <c r="M132" i="8"/>
  <c r="O132" i="8" s="1"/>
  <c r="K132" i="8"/>
  <c r="J132" i="8"/>
  <c r="F132" i="8"/>
  <c r="E132" i="8"/>
  <c r="BM131" i="8"/>
  <c r="BK131" i="8"/>
  <c r="BF131" i="8" s="1"/>
  <c r="BJ131" i="8"/>
  <c r="BL131" i="8" s="1"/>
  <c r="BE131" i="8"/>
  <c r="BD131" i="8"/>
  <c r="BH131" i="8" s="1"/>
  <c r="BC131" i="8"/>
  <c r="BB131" i="8"/>
  <c r="BA131" i="8"/>
  <c r="AZ131" i="8"/>
  <c r="AT131" i="8"/>
  <c r="AS131" i="8"/>
  <c r="AG131" i="8"/>
  <c r="AF131" i="8"/>
  <c r="AB131" i="8"/>
  <c r="Z131" i="8"/>
  <c r="Y131" i="8"/>
  <c r="X131" i="8"/>
  <c r="W131" i="8"/>
  <c r="V131" i="8"/>
  <c r="BN131" i="8" s="1"/>
  <c r="U131" i="8"/>
  <c r="T131" i="8"/>
  <c r="O131" i="8"/>
  <c r="N131" i="8"/>
  <c r="P131" i="8" s="1"/>
  <c r="M131" i="8"/>
  <c r="K131" i="8"/>
  <c r="J131" i="8"/>
  <c r="F131" i="8"/>
  <c r="E131" i="8"/>
  <c r="BM130" i="8"/>
  <c r="BK130" i="8"/>
  <c r="BF130" i="8" s="1"/>
  <c r="BJ130" i="8"/>
  <c r="BD130" i="8"/>
  <c r="BC130" i="8"/>
  <c r="BB130" i="8"/>
  <c r="BA130" i="8"/>
  <c r="AZ130" i="8"/>
  <c r="AT130" i="8"/>
  <c r="AS130" i="8"/>
  <c r="AG130" i="8"/>
  <c r="AF130" i="8"/>
  <c r="Z130" i="8"/>
  <c r="Y130" i="8"/>
  <c r="X130" i="8"/>
  <c r="W130" i="8"/>
  <c r="BO130" i="8" s="1"/>
  <c r="V130" i="8"/>
  <c r="BN130" i="8" s="1"/>
  <c r="U130" i="8"/>
  <c r="T130" i="8"/>
  <c r="N130" i="8"/>
  <c r="P130" i="8" s="1"/>
  <c r="M130" i="8"/>
  <c r="O130" i="8" s="1"/>
  <c r="K130" i="8"/>
  <c r="J130" i="8"/>
  <c r="F130" i="8"/>
  <c r="E130" i="8"/>
  <c r="BM129" i="8"/>
  <c r="BL129" i="8"/>
  <c r="BF129" i="8"/>
  <c r="BE129" i="8"/>
  <c r="BG129" i="8" s="1"/>
  <c r="BD129" i="8"/>
  <c r="BC129" i="8"/>
  <c r="BB129" i="8"/>
  <c r="BA129" i="8"/>
  <c r="AZ129" i="8"/>
  <c r="AT129" i="8"/>
  <c r="AS129" i="8"/>
  <c r="AG129" i="8"/>
  <c r="AF129" i="8"/>
  <c r="AA129" i="8"/>
  <c r="Z129" i="8"/>
  <c r="AB129" i="8" s="1"/>
  <c r="Y129" i="8"/>
  <c r="X129" i="8"/>
  <c r="W129" i="8"/>
  <c r="V129" i="8"/>
  <c r="U129" i="8"/>
  <c r="T129" i="8"/>
  <c r="P129" i="8"/>
  <c r="O129" i="8"/>
  <c r="N129" i="8"/>
  <c r="M129" i="8"/>
  <c r="K129" i="8"/>
  <c r="J129" i="8"/>
  <c r="F129" i="8"/>
  <c r="E129" i="8"/>
  <c r="BM128" i="8"/>
  <c r="BL128" i="8"/>
  <c r="BF128" i="8"/>
  <c r="BE128" i="8"/>
  <c r="BD128" i="8"/>
  <c r="BH128" i="8" s="1"/>
  <c r="BC128" i="8"/>
  <c r="BO128" i="8" s="1"/>
  <c r="BB128" i="8"/>
  <c r="BN128" i="8" s="1"/>
  <c r="BA128" i="8"/>
  <c r="AZ128" i="8"/>
  <c r="AT128" i="8"/>
  <c r="AS128" i="8"/>
  <c r="AG128" i="8"/>
  <c r="AF128" i="8"/>
  <c r="Z128" i="8"/>
  <c r="AB128" i="8" s="1"/>
  <c r="Y128" i="8"/>
  <c r="AA128" i="8" s="1"/>
  <c r="X128" i="8"/>
  <c r="W128" i="8"/>
  <c r="V128" i="8"/>
  <c r="U128" i="8"/>
  <c r="T128" i="8"/>
  <c r="O128" i="8"/>
  <c r="N128" i="8"/>
  <c r="P128" i="8" s="1"/>
  <c r="M128" i="8"/>
  <c r="K128" i="8"/>
  <c r="J128" i="8"/>
  <c r="F128" i="8"/>
  <c r="E128" i="8"/>
  <c r="BM127" i="8"/>
  <c r="BL127" i="8"/>
  <c r="BF127" i="8"/>
  <c r="BE127" i="8"/>
  <c r="BD127" i="8"/>
  <c r="BC127" i="8"/>
  <c r="BB127" i="8"/>
  <c r="BA127" i="8"/>
  <c r="AZ127" i="8"/>
  <c r="AT127" i="8"/>
  <c r="AS127" i="8"/>
  <c r="AG127" i="8"/>
  <c r="AF127" i="8"/>
  <c r="Z127" i="8"/>
  <c r="Y127" i="8"/>
  <c r="X127" i="8"/>
  <c r="AB127" i="8" s="1"/>
  <c r="W127" i="8"/>
  <c r="BO127" i="8" s="1"/>
  <c r="V127" i="8"/>
  <c r="U127" i="8"/>
  <c r="T127" i="8"/>
  <c r="N127" i="8"/>
  <c r="P127" i="8" s="1"/>
  <c r="M127" i="8"/>
  <c r="O127" i="8" s="1"/>
  <c r="K127" i="8"/>
  <c r="J127" i="8"/>
  <c r="F127" i="8"/>
  <c r="E127" i="8"/>
  <c r="BM126" i="8"/>
  <c r="BL126" i="8"/>
  <c r="BF126" i="8"/>
  <c r="BH126" i="8" s="1"/>
  <c r="BE126" i="8"/>
  <c r="BG126" i="8" s="1"/>
  <c r="BD126" i="8"/>
  <c r="BC126" i="8"/>
  <c r="BB126" i="8"/>
  <c r="BA126" i="8"/>
  <c r="AZ126" i="8"/>
  <c r="AT126" i="8"/>
  <c r="AS126" i="8"/>
  <c r="AG126" i="8"/>
  <c r="AF126" i="8"/>
  <c r="Z126" i="8"/>
  <c r="Y126" i="8"/>
  <c r="X126" i="8"/>
  <c r="W126" i="8"/>
  <c r="V126" i="8"/>
  <c r="BN126" i="8" s="1"/>
  <c r="U126" i="8"/>
  <c r="T126" i="8"/>
  <c r="N126" i="8"/>
  <c r="P126" i="8" s="1"/>
  <c r="M126" i="8"/>
  <c r="O126" i="8" s="1"/>
  <c r="K126" i="8"/>
  <c r="J126" i="8"/>
  <c r="F126" i="8"/>
  <c r="E126" i="8"/>
  <c r="BM125" i="8"/>
  <c r="BL125" i="8"/>
  <c r="BG125" i="8"/>
  <c r="BF125" i="8"/>
  <c r="BH125" i="8" s="1"/>
  <c r="BE125" i="8"/>
  <c r="BD125" i="8"/>
  <c r="BC125" i="8"/>
  <c r="BB125" i="8"/>
  <c r="BA125" i="8"/>
  <c r="AZ125" i="8"/>
  <c r="AT125" i="8"/>
  <c r="AS125" i="8"/>
  <c r="AG125" i="8"/>
  <c r="AF125" i="8"/>
  <c r="Z125" i="8"/>
  <c r="Y125" i="8"/>
  <c r="X125" i="8"/>
  <c r="W125" i="8"/>
  <c r="BO125" i="8" s="1"/>
  <c r="V125" i="8"/>
  <c r="U125" i="8"/>
  <c r="T125" i="8"/>
  <c r="N125" i="8"/>
  <c r="P125" i="8" s="1"/>
  <c r="M125" i="8"/>
  <c r="O125" i="8" s="1"/>
  <c r="K125" i="8"/>
  <c r="J125" i="8"/>
  <c r="F125" i="8"/>
  <c r="E125" i="8"/>
  <c r="BM124" i="8"/>
  <c r="BL124" i="8"/>
  <c r="BF124" i="8"/>
  <c r="BE124" i="8"/>
  <c r="BD124" i="8"/>
  <c r="BC124" i="8"/>
  <c r="BO124" i="8" s="1"/>
  <c r="BA124" i="8"/>
  <c r="AZ124" i="8"/>
  <c r="AT124" i="8"/>
  <c r="AS124" i="8"/>
  <c r="AG124" i="8"/>
  <c r="AF124" i="8"/>
  <c r="AB124" i="8"/>
  <c r="Z124" i="8"/>
  <c r="Y124" i="8"/>
  <c r="X124" i="8"/>
  <c r="W124" i="8"/>
  <c r="V124" i="8"/>
  <c r="U124" i="8"/>
  <c r="T124" i="8"/>
  <c r="O124" i="8"/>
  <c r="N124" i="8"/>
  <c r="P124" i="8" s="1"/>
  <c r="M124" i="8"/>
  <c r="K124" i="8"/>
  <c r="J124" i="8"/>
  <c r="F124" i="8"/>
  <c r="E124" i="8"/>
  <c r="BE123" i="8"/>
  <c r="BD123" i="8"/>
  <c r="AY123" i="8"/>
  <c r="BF123" i="8" s="1"/>
  <c r="AX123" i="8"/>
  <c r="BB124" i="8" s="1"/>
  <c r="BN124" i="8" s="1"/>
  <c r="AA123" i="8"/>
  <c r="Z123" i="8"/>
  <c r="AB123" i="8" s="1"/>
  <c r="Y123" i="8"/>
  <c r="X123" i="8"/>
  <c r="W123" i="8"/>
  <c r="V123" i="8"/>
  <c r="U123" i="8"/>
  <c r="T123" i="8"/>
  <c r="P123" i="8"/>
  <c r="O123" i="8"/>
  <c r="N123" i="8"/>
  <c r="M123" i="8"/>
  <c r="K123" i="8"/>
  <c r="J123" i="8"/>
  <c r="F123" i="8"/>
  <c r="E123" i="8"/>
  <c r="BF122" i="8"/>
  <c r="BH122" i="8" s="1"/>
  <c r="BD122" i="8"/>
  <c r="AY122" i="8"/>
  <c r="BC123" i="8" s="1"/>
  <c r="BO123" i="8" s="1"/>
  <c r="AX122" i="8"/>
  <c r="BE122" i="8" s="1"/>
  <c r="BG122" i="8" s="1"/>
  <c r="Z122" i="8"/>
  <c r="Y122" i="8"/>
  <c r="X122" i="8"/>
  <c r="W122" i="8"/>
  <c r="V122" i="8"/>
  <c r="U122" i="8"/>
  <c r="T122" i="8"/>
  <c r="N122" i="8"/>
  <c r="P122" i="8" s="1"/>
  <c r="M122" i="8"/>
  <c r="O122" i="8" s="1"/>
  <c r="K122" i="8"/>
  <c r="J122" i="8"/>
  <c r="F122" i="8"/>
  <c r="E122" i="8"/>
  <c r="BD121" i="8"/>
  <c r="AY121" i="8"/>
  <c r="AX121" i="8"/>
  <c r="AZ121" i="8" s="1"/>
  <c r="Z121" i="8"/>
  <c r="Y121" i="8"/>
  <c r="X121" i="8"/>
  <c r="W121" i="8"/>
  <c r="V121" i="8"/>
  <c r="U121" i="8"/>
  <c r="T121" i="8"/>
  <c r="N121" i="8"/>
  <c r="P121" i="8" s="1"/>
  <c r="M121" i="8"/>
  <c r="O121" i="8" s="1"/>
  <c r="K121" i="8"/>
  <c r="J121" i="8"/>
  <c r="F121" i="8"/>
  <c r="E121" i="8"/>
  <c r="BD120" i="8"/>
  <c r="AY120" i="8"/>
  <c r="AX120" i="8"/>
  <c r="AZ120" i="8" s="1"/>
  <c r="AB120" i="8"/>
  <c r="Z120" i="8"/>
  <c r="Y120" i="8"/>
  <c r="X120" i="8"/>
  <c r="W120" i="8"/>
  <c r="V120" i="8"/>
  <c r="U120" i="8"/>
  <c r="T120" i="8"/>
  <c r="O120" i="8"/>
  <c r="N120" i="8"/>
  <c r="P120" i="8" s="1"/>
  <c r="M120" i="8"/>
  <c r="K120" i="8"/>
  <c r="J120" i="8"/>
  <c r="F120" i="8"/>
  <c r="E120" i="8"/>
  <c r="BE119" i="8"/>
  <c r="BD119" i="8"/>
  <c r="BA119" i="8"/>
  <c r="AY119" i="8"/>
  <c r="BF119" i="8" s="1"/>
  <c r="AX119" i="8"/>
  <c r="AZ119" i="8" s="1"/>
  <c r="Z119" i="8"/>
  <c r="Y119" i="8"/>
  <c r="X119" i="8"/>
  <c r="W119" i="8"/>
  <c r="V119" i="8"/>
  <c r="U119" i="8"/>
  <c r="T119" i="8"/>
  <c r="N119" i="8"/>
  <c r="P119" i="8" s="1"/>
  <c r="M119" i="8"/>
  <c r="O119" i="8" s="1"/>
  <c r="K119" i="8"/>
  <c r="J119" i="8"/>
  <c r="F119" i="8"/>
  <c r="E119" i="8"/>
  <c r="BD118" i="8"/>
  <c r="AY118" i="8"/>
  <c r="AX118" i="8"/>
  <c r="BE118" i="8" s="1"/>
  <c r="BG118" i="8" s="1"/>
  <c r="Z118" i="8"/>
  <c r="Y118" i="8"/>
  <c r="AA118" i="8" s="1"/>
  <c r="X118" i="8"/>
  <c r="W118" i="8"/>
  <c r="V118" i="8"/>
  <c r="U118" i="8"/>
  <c r="T118" i="8"/>
  <c r="N118" i="8"/>
  <c r="P118" i="8" s="1"/>
  <c r="M118" i="8"/>
  <c r="O118" i="8" s="1"/>
  <c r="K118" i="8"/>
  <c r="J118" i="8"/>
  <c r="F118" i="8"/>
  <c r="E118" i="8"/>
  <c r="BD117" i="8"/>
  <c r="AY117" i="8"/>
  <c r="AX117" i="8"/>
  <c r="BB117" i="8" s="1"/>
  <c r="AB117" i="8"/>
  <c r="Z117" i="8"/>
  <c r="Y117" i="8"/>
  <c r="X117" i="8"/>
  <c r="W117" i="8"/>
  <c r="V117" i="8"/>
  <c r="U117" i="8"/>
  <c r="T117" i="8"/>
  <c r="P117" i="8"/>
  <c r="N117" i="8"/>
  <c r="M117" i="8"/>
  <c r="O117" i="8" s="1"/>
  <c r="K117" i="8"/>
  <c r="J117" i="8"/>
  <c r="F117" i="8"/>
  <c r="E117" i="8"/>
  <c r="BD116" i="8"/>
  <c r="AY116" i="8"/>
  <c r="BA116" i="8" s="1"/>
  <c r="AX116" i="8"/>
  <c r="AZ116" i="8" s="1"/>
  <c r="Z116" i="8"/>
  <c r="Y116" i="8"/>
  <c r="X116" i="8"/>
  <c r="W116" i="8"/>
  <c r="V116" i="8"/>
  <c r="U116" i="8"/>
  <c r="T116" i="8"/>
  <c r="O116" i="8"/>
  <c r="N116" i="8"/>
  <c r="P116" i="8" s="1"/>
  <c r="M116" i="8"/>
  <c r="K116" i="8"/>
  <c r="J116" i="8"/>
  <c r="F116" i="8"/>
  <c r="E116" i="8"/>
  <c r="BD115" i="8"/>
  <c r="AY115" i="8"/>
  <c r="BF115" i="8" s="1"/>
  <c r="AX115" i="8"/>
  <c r="AA115" i="8"/>
  <c r="Z115" i="8"/>
  <c r="AB115" i="8" s="1"/>
  <c r="Y115" i="8"/>
  <c r="X115" i="8"/>
  <c r="W115" i="8"/>
  <c r="V115" i="8"/>
  <c r="U115" i="8"/>
  <c r="T115" i="8"/>
  <c r="P115" i="8"/>
  <c r="O115" i="8"/>
  <c r="N115" i="8"/>
  <c r="M115" i="8"/>
  <c r="K115" i="8"/>
  <c r="J115" i="8"/>
  <c r="F115" i="8"/>
  <c r="E115" i="8"/>
  <c r="BD114" i="8"/>
  <c r="BA114" i="8"/>
  <c r="AY114" i="8"/>
  <c r="BF114" i="8" s="1"/>
  <c r="AX114" i="8"/>
  <c r="BE114" i="8" s="1"/>
  <c r="Z114" i="8"/>
  <c r="Y114" i="8"/>
  <c r="X114" i="8"/>
  <c r="W114" i="8"/>
  <c r="V114" i="8"/>
  <c r="U114" i="8"/>
  <c r="T114" i="8"/>
  <c r="N114" i="8"/>
  <c r="P114" i="8" s="1"/>
  <c r="M114" i="8"/>
  <c r="O114" i="8" s="1"/>
  <c r="K114" i="8"/>
  <c r="J114" i="8"/>
  <c r="F114" i="8"/>
  <c r="E114" i="8"/>
  <c r="BD113" i="8"/>
  <c r="AY113" i="8"/>
  <c r="BA113" i="8" s="1"/>
  <c r="AX113" i="8"/>
  <c r="AA113" i="8"/>
  <c r="Z113" i="8"/>
  <c r="AB113" i="8" s="1"/>
  <c r="Y113" i="8"/>
  <c r="X113" i="8"/>
  <c r="W113" i="8"/>
  <c r="V113" i="8"/>
  <c r="U113" i="8"/>
  <c r="T113" i="8"/>
  <c r="P113" i="8"/>
  <c r="O113" i="8"/>
  <c r="N113" i="8"/>
  <c r="M113" i="8"/>
  <c r="K113" i="8"/>
  <c r="J113" i="8"/>
  <c r="F113" i="8"/>
  <c r="E113" i="8"/>
  <c r="BD112" i="8"/>
  <c r="AY112" i="8"/>
  <c r="BF112" i="8" s="1"/>
  <c r="BH112" i="8" s="1"/>
  <c r="AX112" i="8"/>
  <c r="AV112" i="8"/>
  <c r="AU112" i="8"/>
  <c r="AQ112" i="8"/>
  <c r="AP112" i="8"/>
  <c r="AL112" i="8"/>
  <c r="AK112" i="8"/>
  <c r="Z112" i="8"/>
  <c r="Y112" i="8"/>
  <c r="X112" i="8"/>
  <c r="W112" i="8"/>
  <c r="V112" i="8"/>
  <c r="U112" i="8"/>
  <c r="T112" i="8"/>
  <c r="N112" i="8"/>
  <c r="P112" i="8" s="1"/>
  <c r="M112" i="8"/>
  <c r="O112" i="8" s="1"/>
  <c r="K112" i="8"/>
  <c r="J112" i="8"/>
  <c r="F112" i="8"/>
  <c r="E112" i="8"/>
  <c r="BD111" i="8"/>
  <c r="AY111" i="8"/>
  <c r="AX111" i="8"/>
  <c r="AV111" i="8"/>
  <c r="AU111" i="8"/>
  <c r="AQ111" i="8"/>
  <c r="AP111" i="8"/>
  <c r="AL111" i="8"/>
  <c r="AK111" i="8"/>
  <c r="Z111" i="8"/>
  <c r="AB111" i="8" s="1"/>
  <c r="Y111" i="8"/>
  <c r="AA111" i="8" s="1"/>
  <c r="X111" i="8"/>
  <c r="W111" i="8"/>
  <c r="V111" i="8"/>
  <c r="U111" i="8"/>
  <c r="T111" i="8"/>
  <c r="O111" i="8"/>
  <c r="N111" i="8"/>
  <c r="P111" i="8" s="1"/>
  <c r="M111" i="8"/>
  <c r="K111" i="8"/>
  <c r="J111" i="8"/>
  <c r="F111" i="8"/>
  <c r="E111" i="8"/>
  <c r="AY110" i="8"/>
  <c r="AX110" i="8"/>
  <c r="AW110" i="8"/>
  <c r="BA110" i="8" s="1"/>
  <c r="AV110" i="8"/>
  <c r="AU110" i="8"/>
  <c r="AQ110" i="8"/>
  <c r="AP110" i="8"/>
  <c r="AL110" i="8"/>
  <c r="AK110" i="8"/>
  <c r="V110" i="8"/>
  <c r="U110" i="8"/>
  <c r="T110" i="8"/>
  <c r="N110" i="8"/>
  <c r="P110" i="8" s="1"/>
  <c r="M110" i="8"/>
  <c r="O110" i="8" s="1"/>
  <c r="K110" i="8"/>
  <c r="J110" i="8"/>
  <c r="F110" i="8"/>
  <c r="E110" i="8"/>
  <c r="AY109" i="8"/>
  <c r="BA109" i="8" s="1"/>
  <c r="AX109" i="8"/>
  <c r="AZ109" i="8" s="1"/>
  <c r="AW109" i="8"/>
  <c r="AV109" i="8"/>
  <c r="AU109" i="8"/>
  <c r="AQ109" i="8"/>
  <c r="AP109" i="8"/>
  <c r="AL109" i="8"/>
  <c r="AK109" i="8"/>
  <c r="V109" i="8"/>
  <c r="U109" i="8"/>
  <c r="T109" i="8"/>
  <c r="N109" i="8"/>
  <c r="P109" i="8" s="1"/>
  <c r="M109" i="8"/>
  <c r="O109" i="8" s="1"/>
  <c r="K109" i="8"/>
  <c r="J109" i="8"/>
  <c r="F109" i="8"/>
  <c r="E109" i="8"/>
  <c r="AY108" i="8"/>
  <c r="BA108" i="8" s="1"/>
  <c r="AX108" i="8"/>
  <c r="AW108" i="8"/>
  <c r="AV108" i="8"/>
  <c r="AU108" i="8"/>
  <c r="AQ108" i="8"/>
  <c r="AP108" i="8"/>
  <c r="AL108" i="8"/>
  <c r="AK108" i="8"/>
  <c r="V108" i="8"/>
  <c r="U108" i="8"/>
  <c r="T108" i="8"/>
  <c r="N108" i="8"/>
  <c r="P108" i="8" s="1"/>
  <c r="M108" i="8"/>
  <c r="O108" i="8" s="1"/>
  <c r="K108" i="8"/>
  <c r="J108" i="8"/>
  <c r="F108" i="8"/>
  <c r="E108" i="8"/>
  <c r="AY107" i="8"/>
  <c r="AX107" i="8"/>
  <c r="AW107" i="8"/>
  <c r="AV107" i="8"/>
  <c r="AU107" i="8"/>
  <c r="AQ107" i="8"/>
  <c r="AP107" i="8"/>
  <c r="AL107" i="8"/>
  <c r="AK107" i="8"/>
  <c r="V107" i="8"/>
  <c r="U107" i="8"/>
  <c r="T107" i="8"/>
  <c r="N107" i="8"/>
  <c r="P107" i="8" s="1"/>
  <c r="M107" i="8"/>
  <c r="O107" i="8" s="1"/>
  <c r="K107" i="8"/>
  <c r="J107" i="8"/>
  <c r="F107" i="8"/>
  <c r="E107" i="8"/>
  <c r="AY106" i="8"/>
  <c r="AX106" i="8"/>
  <c r="AW106" i="8"/>
  <c r="AZ106" i="8" s="1"/>
  <c r="AV106" i="8"/>
  <c r="AU106" i="8"/>
  <c r="AQ106" i="8"/>
  <c r="AP106" i="8"/>
  <c r="AL106" i="8"/>
  <c r="AK106" i="8"/>
  <c r="U106" i="8"/>
  <c r="T106" i="8"/>
  <c r="N106" i="8"/>
  <c r="P106" i="8" s="1"/>
  <c r="M106" i="8"/>
  <c r="O106" i="8" s="1"/>
  <c r="K106" i="8"/>
  <c r="J106" i="8"/>
  <c r="F106" i="8"/>
  <c r="E106" i="8"/>
  <c r="AY105" i="8"/>
  <c r="AX105" i="8"/>
  <c r="AZ105" i="8" s="1"/>
  <c r="AW105" i="8"/>
  <c r="AV105" i="8"/>
  <c r="AU105" i="8"/>
  <c r="AQ105" i="8"/>
  <c r="AP105" i="8"/>
  <c r="AL105" i="8"/>
  <c r="AK105" i="8"/>
  <c r="U105" i="8"/>
  <c r="T105" i="8"/>
  <c r="N105" i="8"/>
  <c r="P105" i="8" s="1"/>
  <c r="M105" i="8"/>
  <c r="O105" i="8" s="1"/>
  <c r="K105" i="8"/>
  <c r="J105" i="8"/>
  <c r="F105" i="8"/>
  <c r="E105" i="8"/>
  <c r="AY104" i="8"/>
  <c r="AX104" i="8"/>
  <c r="AW104" i="8"/>
  <c r="AV104" i="8"/>
  <c r="AU104" i="8"/>
  <c r="AQ104" i="8"/>
  <c r="AP104" i="8"/>
  <c r="AL104" i="8"/>
  <c r="AK104" i="8"/>
  <c r="U104" i="8"/>
  <c r="T104" i="8"/>
  <c r="N104" i="8"/>
  <c r="P104" i="8" s="1"/>
  <c r="M104" i="8"/>
  <c r="O104" i="8" s="1"/>
  <c r="K104" i="8"/>
  <c r="J104" i="8"/>
  <c r="F104" i="8"/>
  <c r="E104" i="8"/>
  <c r="AY103" i="8"/>
  <c r="AX103" i="8"/>
  <c r="AW103" i="8"/>
  <c r="AV103" i="8"/>
  <c r="AU103" i="8"/>
  <c r="AQ103" i="8"/>
  <c r="AP103" i="8"/>
  <c r="AL103" i="8"/>
  <c r="AK103" i="8"/>
  <c r="U103" i="8"/>
  <c r="T103" i="8"/>
  <c r="P103" i="8"/>
  <c r="N103" i="8"/>
  <c r="M103" i="8"/>
  <c r="O103" i="8" s="1"/>
  <c r="K103" i="8"/>
  <c r="J103" i="8"/>
  <c r="F103" i="8"/>
  <c r="E103" i="8"/>
  <c r="AY102" i="8"/>
  <c r="BA102" i="8" s="1"/>
  <c r="AX102" i="8"/>
  <c r="AZ102" i="8" s="1"/>
  <c r="AW102" i="8"/>
  <c r="AV102" i="8"/>
  <c r="AU102" i="8"/>
  <c r="AQ102" i="8"/>
  <c r="AP102" i="8"/>
  <c r="AL102" i="8"/>
  <c r="AK102" i="8"/>
  <c r="U102" i="8"/>
  <c r="T102" i="8"/>
  <c r="P102" i="8"/>
  <c r="O102" i="8"/>
  <c r="M102" i="8"/>
  <c r="K102" i="8"/>
  <c r="J102" i="8"/>
  <c r="F102" i="8"/>
  <c r="E102" i="8"/>
  <c r="AY101" i="8"/>
  <c r="AX101" i="8"/>
  <c r="AW101" i="8"/>
  <c r="AV101" i="8"/>
  <c r="AU101" i="8"/>
  <c r="AQ101" i="8"/>
  <c r="AP101" i="8"/>
  <c r="AL101" i="8"/>
  <c r="AK101" i="8"/>
  <c r="U101" i="8"/>
  <c r="T101" i="8"/>
  <c r="P101" i="8"/>
  <c r="M101" i="8"/>
  <c r="O101" i="8" s="1"/>
  <c r="K101" i="8"/>
  <c r="J101" i="8"/>
  <c r="F101" i="8"/>
  <c r="E101" i="8"/>
  <c r="AY100" i="8"/>
  <c r="AX100" i="8"/>
  <c r="AW100" i="8"/>
  <c r="BA100" i="8" s="1"/>
  <c r="AV100" i="8"/>
  <c r="AU100" i="8"/>
  <c r="AQ100" i="8"/>
  <c r="AP100" i="8"/>
  <c r="AL100" i="8"/>
  <c r="AK100" i="8"/>
  <c r="U100" i="8"/>
  <c r="T100" i="8"/>
  <c r="N100" i="8"/>
  <c r="P100" i="8" s="1"/>
  <c r="M100" i="8"/>
  <c r="O100" i="8" s="1"/>
  <c r="K100" i="8"/>
  <c r="J100" i="8"/>
  <c r="F100" i="8"/>
  <c r="E100" i="8"/>
  <c r="AY99" i="8"/>
  <c r="AX99" i="8"/>
  <c r="AW99" i="8"/>
  <c r="AV99" i="8"/>
  <c r="AU99" i="8"/>
  <c r="AQ99" i="8"/>
  <c r="AP99" i="8"/>
  <c r="AL99" i="8"/>
  <c r="AK99" i="8"/>
  <c r="T99" i="8"/>
  <c r="S99" i="8"/>
  <c r="U99" i="8" s="1"/>
  <c r="P99" i="8"/>
  <c r="M99" i="8"/>
  <c r="O99" i="8" s="1"/>
  <c r="K99" i="8"/>
  <c r="J99" i="8"/>
  <c r="F99" i="8"/>
  <c r="E99" i="8"/>
  <c r="AY98" i="8"/>
  <c r="AX98" i="8"/>
  <c r="AZ98" i="8" s="1"/>
  <c r="AW98" i="8"/>
  <c r="AV98" i="8"/>
  <c r="AU98" i="8"/>
  <c r="AQ98" i="8"/>
  <c r="AP98" i="8"/>
  <c r="AL98" i="8"/>
  <c r="AK98" i="8"/>
  <c r="T98" i="8"/>
  <c r="S98" i="8"/>
  <c r="U98" i="8" s="1"/>
  <c r="P98" i="8"/>
  <c r="M98" i="8"/>
  <c r="O98" i="8" s="1"/>
  <c r="K98" i="8"/>
  <c r="J98" i="8"/>
  <c r="F98" i="8"/>
  <c r="E98" i="8"/>
  <c r="AY97" i="8"/>
  <c r="AX97" i="8"/>
  <c r="AZ97" i="8" s="1"/>
  <c r="AW97" i="8"/>
  <c r="AV97" i="8"/>
  <c r="AU97" i="8"/>
  <c r="AQ97" i="8"/>
  <c r="AP97" i="8"/>
  <c r="AL97" i="8"/>
  <c r="AK97" i="8"/>
  <c r="T97" i="8"/>
  <c r="S97" i="8"/>
  <c r="U97" i="8" s="1"/>
  <c r="P97" i="8"/>
  <c r="O97" i="8"/>
  <c r="M97" i="8"/>
  <c r="K97" i="8"/>
  <c r="J97" i="8"/>
  <c r="F97" i="8"/>
  <c r="E97" i="8"/>
  <c r="AY96" i="8"/>
  <c r="AX96" i="8"/>
  <c r="AZ96" i="8" s="1"/>
  <c r="AW96" i="8"/>
  <c r="AV96" i="8"/>
  <c r="AU96" i="8"/>
  <c r="AQ96" i="8"/>
  <c r="AP96" i="8"/>
  <c r="AL96" i="8"/>
  <c r="AK96" i="8"/>
  <c r="T96" i="8"/>
  <c r="S96" i="8"/>
  <c r="U96" i="8" s="1"/>
  <c r="R96" i="8"/>
  <c r="P96" i="8"/>
  <c r="O96" i="8"/>
  <c r="K96" i="8"/>
  <c r="J96" i="8"/>
  <c r="F96" i="8"/>
  <c r="E96" i="8"/>
  <c r="BA95" i="8"/>
  <c r="AY95" i="8"/>
  <c r="AX95" i="8"/>
  <c r="AZ95" i="8" s="1"/>
  <c r="AW95" i="8"/>
  <c r="AV95" i="8"/>
  <c r="AU95" i="8"/>
  <c r="AQ95" i="8"/>
  <c r="AP95" i="8"/>
  <c r="AL95" i="8"/>
  <c r="AK95" i="8"/>
  <c r="S95" i="8"/>
  <c r="U95" i="8" s="1"/>
  <c r="R95" i="8"/>
  <c r="T95" i="8" s="1"/>
  <c r="P95" i="8"/>
  <c r="O95" i="8"/>
  <c r="K95" i="8"/>
  <c r="J95" i="8"/>
  <c r="F95" i="8"/>
  <c r="E95" i="8"/>
  <c r="AY94" i="8"/>
  <c r="AX94" i="8"/>
  <c r="AW94" i="8"/>
  <c r="AV94" i="8"/>
  <c r="AU94" i="8"/>
  <c r="AQ94" i="8"/>
  <c r="AP94" i="8"/>
  <c r="AL94" i="8"/>
  <c r="AK94" i="8"/>
  <c r="S94" i="8"/>
  <c r="U94" i="8" s="1"/>
  <c r="R94" i="8"/>
  <c r="T94" i="8" s="1"/>
  <c r="P94" i="8"/>
  <c r="O94" i="8"/>
  <c r="K94" i="8"/>
  <c r="J94" i="8"/>
  <c r="F94" i="8"/>
  <c r="E94" i="8"/>
  <c r="AY93" i="8"/>
  <c r="AX93" i="8"/>
  <c r="AW93" i="8"/>
  <c r="AV93" i="8"/>
  <c r="AU93" i="8"/>
  <c r="AQ93" i="8"/>
  <c r="AP93" i="8"/>
  <c r="AL93" i="8"/>
  <c r="AK93" i="8"/>
  <c r="S93" i="8"/>
  <c r="U93" i="8" s="1"/>
  <c r="R93" i="8"/>
  <c r="T93" i="8" s="1"/>
  <c r="P93" i="8"/>
  <c r="O93" i="8"/>
  <c r="K93" i="8"/>
  <c r="J93" i="8"/>
  <c r="F93" i="8"/>
  <c r="E93" i="8"/>
  <c r="BA92" i="8"/>
  <c r="AZ92" i="8"/>
  <c r="AY92" i="8"/>
  <c r="AX92" i="8"/>
  <c r="AW92" i="8"/>
  <c r="AV92" i="8"/>
  <c r="AU92" i="8"/>
  <c r="AQ92" i="8"/>
  <c r="AP92" i="8"/>
  <c r="AL92" i="8"/>
  <c r="AK92" i="8"/>
  <c r="S92" i="8"/>
  <c r="U92" i="8" s="1"/>
  <c r="R92" i="8"/>
  <c r="T92" i="8" s="1"/>
  <c r="P92" i="8"/>
  <c r="O92" i="8"/>
  <c r="K92" i="8"/>
  <c r="J92" i="8"/>
  <c r="F92" i="8"/>
  <c r="E92" i="8"/>
  <c r="AY91" i="8"/>
  <c r="AX91" i="8"/>
  <c r="AZ91" i="8" s="1"/>
  <c r="AW91" i="8"/>
  <c r="AV91" i="8"/>
  <c r="AU91" i="8"/>
  <c r="AQ91" i="8"/>
  <c r="AP91" i="8"/>
  <c r="AL91" i="8"/>
  <c r="AK91" i="8"/>
  <c r="S91" i="8"/>
  <c r="U91" i="8" s="1"/>
  <c r="R91" i="8"/>
  <c r="T91" i="8" s="1"/>
  <c r="P91" i="8"/>
  <c r="O91" i="8"/>
  <c r="K91" i="8"/>
  <c r="J91" i="8"/>
  <c r="F91" i="8"/>
  <c r="E91" i="8"/>
  <c r="AY90" i="8"/>
  <c r="AX90" i="8"/>
  <c r="AW90" i="8"/>
  <c r="BA90" i="8" s="1"/>
  <c r="AV90" i="8"/>
  <c r="AU90" i="8"/>
  <c r="AQ90" i="8"/>
  <c r="AP90" i="8"/>
  <c r="AL90" i="8"/>
  <c r="AK90" i="8"/>
  <c r="S90" i="8"/>
  <c r="U90" i="8" s="1"/>
  <c r="R90" i="8"/>
  <c r="T90" i="8" s="1"/>
  <c r="P90" i="8"/>
  <c r="O90" i="8"/>
  <c r="K90" i="8"/>
  <c r="J90" i="8"/>
  <c r="F90" i="8"/>
  <c r="E90" i="8"/>
  <c r="AY89" i="8"/>
  <c r="BA89" i="8" s="1"/>
  <c r="AX89" i="8"/>
  <c r="AZ89" i="8" s="1"/>
  <c r="AW89" i="8"/>
  <c r="AV89" i="8"/>
  <c r="AU89" i="8"/>
  <c r="AQ89" i="8"/>
  <c r="AP89" i="8"/>
  <c r="AL89" i="8"/>
  <c r="AK89" i="8"/>
  <c r="U89" i="8"/>
  <c r="S89" i="8"/>
  <c r="R89" i="8"/>
  <c r="T89" i="8" s="1"/>
  <c r="P89" i="8"/>
  <c r="O89" i="8"/>
  <c r="K89" i="8"/>
  <c r="J89" i="8"/>
  <c r="F89" i="8"/>
  <c r="E89" i="8"/>
  <c r="AY88" i="8"/>
  <c r="AX88" i="8"/>
  <c r="AW88" i="8"/>
  <c r="AV88" i="8"/>
  <c r="AU88" i="8"/>
  <c r="AQ88" i="8"/>
  <c r="AP88" i="8"/>
  <c r="AL88" i="8"/>
  <c r="AK88" i="8"/>
  <c r="S88" i="8"/>
  <c r="U88" i="8" s="1"/>
  <c r="R88" i="8"/>
  <c r="T88" i="8" s="1"/>
  <c r="P88" i="8"/>
  <c r="O88" i="8"/>
  <c r="K88" i="8"/>
  <c r="J88" i="8"/>
  <c r="F88" i="8"/>
  <c r="E88" i="8"/>
  <c r="AY87" i="8"/>
  <c r="AX87" i="8"/>
  <c r="AW87" i="8"/>
  <c r="AV87" i="8"/>
  <c r="AU87" i="8"/>
  <c r="AQ87" i="8"/>
  <c r="AP87" i="8"/>
  <c r="AL87" i="8"/>
  <c r="AK87" i="8"/>
  <c r="S87" i="8"/>
  <c r="U87" i="8" s="1"/>
  <c r="R87" i="8"/>
  <c r="T87" i="8" s="1"/>
  <c r="P87" i="8"/>
  <c r="O87" i="8"/>
  <c r="K87" i="8"/>
  <c r="J87" i="8"/>
  <c r="F87" i="8"/>
  <c r="E87" i="8"/>
  <c r="AY86" i="8"/>
  <c r="AX86" i="8"/>
  <c r="AW86" i="8"/>
  <c r="AV86" i="8"/>
  <c r="AU86" i="8"/>
  <c r="AQ86" i="8"/>
  <c r="AP86" i="8"/>
  <c r="AL86" i="8"/>
  <c r="AK86" i="8"/>
  <c r="U86" i="8"/>
  <c r="T86" i="8"/>
  <c r="S86" i="8"/>
  <c r="R86" i="8"/>
  <c r="P86" i="8"/>
  <c r="O86" i="8"/>
  <c r="K86" i="8"/>
  <c r="J86" i="8"/>
  <c r="F86" i="8"/>
  <c r="E86" i="8"/>
  <c r="AY85" i="8"/>
  <c r="AX85" i="8"/>
  <c r="AW85" i="8"/>
  <c r="AV85" i="8"/>
  <c r="AU85" i="8"/>
  <c r="AQ85" i="8"/>
  <c r="AP85" i="8"/>
  <c r="AL85" i="8"/>
  <c r="AK85" i="8"/>
  <c r="S85" i="8"/>
  <c r="U85" i="8" s="1"/>
  <c r="R85" i="8"/>
  <c r="T85" i="8" s="1"/>
  <c r="P85" i="8"/>
  <c r="O85" i="8"/>
  <c r="K85" i="8"/>
  <c r="J85" i="8"/>
  <c r="F85" i="8"/>
  <c r="E85" i="8"/>
  <c r="AY84" i="8"/>
  <c r="BA84" i="8" s="1"/>
  <c r="AX84" i="8"/>
  <c r="AZ84" i="8" s="1"/>
  <c r="AW84" i="8"/>
  <c r="AV84" i="8"/>
  <c r="AU84" i="8"/>
  <c r="AQ84" i="8"/>
  <c r="AP84" i="8"/>
  <c r="AL84" i="8"/>
  <c r="AK84" i="8"/>
  <c r="S84" i="8"/>
  <c r="U84" i="8" s="1"/>
  <c r="R84" i="8"/>
  <c r="T84" i="8" s="1"/>
  <c r="P84" i="8"/>
  <c r="O84" i="8"/>
  <c r="K84" i="8"/>
  <c r="J84" i="8"/>
  <c r="F84" i="8"/>
  <c r="E84" i="8"/>
  <c r="AY83" i="8"/>
  <c r="AX83" i="8"/>
  <c r="AW83" i="8"/>
  <c r="AV83" i="8"/>
  <c r="AU83" i="8"/>
  <c r="AQ83" i="8"/>
  <c r="AP83" i="8"/>
  <c r="AL83" i="8"/>
  <c r="AK83" i="8"/>
  <c r="T83" i="8"/>
  <c r="S83" i="8"/>
  <c r="U83" i="8" s="1"/>
  <c r="R83" i="8"/>
  <c r="P83" i="8"/>
  <c r="O83" i="8"/>
  <c r="K83" i="8"/>
  <c r="J83" i="8"/>
  <c r="F83" i="8"/>
  <c r="E83" i="8"/>
  <c r="AY82" i="8"/>
  <c r="AX82" i="8"/>
  <c r="AZ82" i="8" s="1"/>
  <c r="AW82" i="8"/>
  <c r="AV82" i="8"/>
  <c r="AU82" i="8"/>
  <c r="AQ82" i="8"/>
  <c r="AP82" i="8"/>
  <c r="AL82" i="8"/>
  <c r="AK82" i="8"/>
  <c r="S82" i="8"/>
  <c r="U82" i="8" s="1"/>
  <c r="R82" i="8"/>
  <c r="T82" i="8" s="1"/>
  <c r="P82" i="8"/>
  <c r="O82" i="8"/>
  <c r="K82" i="8"/>
  <c r="J82" i="8"/>
  <c r="F82" i="8"/>
  <c r="E82" i="8"/>
  <c r="AY81" i="8"/>
  <c r="AX81" i="8"/>
  <c r="AZ81" i="8" s="1"/>
  <c r="AW81" i="8"/>
  <c r="AV81" i="8"/>
  <c r="AU81" i="8"/>
  <c r="AQ81" i="8"/>
  <c r="AP81" i="8"/>
  <c r="AL81" i="8"/>
  <c r="AK81" i="8"/>
  <c r="U81" i="8"/>
  <c r="S81" i="8"/>
  <c r="R81" i="8"/>
  <c r="T81" i="8" s="1"/>
  <c r="P81" i="8"/>
  <c r="O81" i="8"/>
  <c r="K81" i="8"/>
  <c r="J81" i="8"/>
  <c r="F81" i="8"/>
  <c r="E81" i="8"/>
  <c r="AY80" i="8"/>
  <c r="AX80" i="8"/>
  <c r="AW80" i="8"/>
  <c r="AV80" i="8"/>
  <c r="AU80" i="8"/>
  <c r="AQ80" i="8"/>
  <c r="AP80" i="8"/>
  <c r="AL80" i="8"/>
  <c r="AK80" i="8"/>
  <c r="S80" i="8"/>
  <c r="U80" i="8" s="1"/>
  <c r="R80" i="8"/>
  <c r="T80" i="8" s="1"/>
  <c r="P80" i="8"/>
  <c r="O80" i="8"/>
  <c r="K80" i="8"/>
  <c r="J80" i="8"/>
  <c r="F80" i="8"/>
  <c r="E80" i="8"/>
  <c r="AZ79" i="8"/>
  <c r="AY79" i="8"/>
  <c r="BA79" i="8" s="1"/>
  <c r="AX79" i="8"/>
  <c r="AW79" i="8"/>
  <c r="AV79" i="8"/>
  <c r="AU79" i="8"/>
  <c r="AQ79" i="8"/>
  <c r="AP79" i="8"/>
  <c r="AL79" i="8"/>
  <c r="AK79" i="8"/>
  <c r="S79" i="8"/>
  <c r="U79" i="8" s="1"/>
  <c r="R79" i="8"/>
  <c r="T79" i="8" s="1"/>
  <c r="P79" i="8"/>
  <c r="O79" i="8"/>
  <c r="K79" i="8"/>
  <c r="J79" i="8"/>
  <c r="F79" i="8"/>
  <c r="E79" i="8"/>
  <c r="AY78" i="8"/>
  <c r="AX78" i="8"/>
  <c r="AW78" i="8"/>
  <c r="AV78" i="8"/>
  <c r="AU78" i="8"/>
  <c r="AQ78" i="8"/>
  <c r="AP78" i="8"/>
  <c r="AL78" i="8"/>
  <c r="AK78" i="8"/>
  <c r="S78" i="8"/>
  <c r="U78" i="8" s="1"/>
  <c r="R78" i="8"/>
  <c r="T78" i="8" s="1"/>
  <c r="P78" i="8"/>
  <c r="O78" i="8"/>
  <c r="K78" i="8"/>
  <c r="J78" i="8"/>
  <c r="F78" i="8"/>
  <c r="E78" i="8"/>
  <c r="AY77" i="8"/>
  <c r="AX77" i="8"/>
  <c r="AW77" i="8"/>
  <c r="AV77" i="8"/>
  <c r="AU77" i="8"/>
  <c r="AQ77" i="8"/>
  <c r="AP77" i="8"/>
  <c r="AL77" i="8"/>
  <c r="AK77" i="8"/>
  <c r="S77" i="8"/>
  <c r="U77" i="8" s="1"/>
  <c r="R77" i="8"/>
  <c r="T77" i="8" s="1"/>
  <c r="P77" i="8"/>
  <c r="O77" i="8"/>
  <c r="K77" i="8"/>
  <c r="J77" i="8"/>
  <c r="F77" i="8"/>
  <c r="E77" i="8"/>
  <c r="AY76" i="8"/>
  <c r="BA76" i="8" s="1"/>
  <c r="AX76" i="8"/>
  <c r="AZ76" i="8" s="1"/>
  <c r="AW76" i="8"/>
  <c r="AV76" i="8"/>
  <c r="AU76" i="8"/>
  <c r="AQ76" i="8"/>
  <c r="AP76" i="8"/>
  <c r="AL76" i="8"/>
  <c r="AK76" i="8"/>
  <c r="S76" i="8"/>
  <c r="U76" i="8" s="1"/>
  <c r="R76" i="8"/>
  <c r="T76" i="8" s="1"/>
  <c r="P76" i="8"/>
  <c r="O76" i="8"/>
  <c r="K76" i="8"/>
  <c r="J76" i="8"/>
  <c r="F76" i="8"/>
  <c r="E76" i="8"/>
  <c r="AY75" i="8"/>
  <c r="BA75" i="8" s="1"/>
  <c r="AX75" i="8"/>
  <c r="AZ75" i="8" s="1"/>
  <c r="AW75" i="8"/>
  <c r="AV75" i="8"/>
  <c r="AU75" i="8"/>
  <c r="AQ75" i="8"/>
  <c r="AP75" i="8"/>
  <c r="AL75" i="8"/>
  <c r="AK75" i="8"/>
  <c r="U75" i="8"/>
  <c r="S75" i="8"/>
  <c r="R75" i="8"/>
  <c r="T75" i="8" s="1"/>
  <c r="P75" i="8"/>
  <c r="O75" i="8"/>
  <c r="K75" i="8"/>
  <c r="J75" i="8"/>
  <c r="F75" i="8"/>
  <c r="E75" i="8"/>
  <c r="AY74" i="8"/>
  <c r="AX74" i="8"/>
  <c r="AW74" i="8"/>
  <c r="BA74" i="8" s="1"/>
  <c r="AV74" i="8"/>
  <c r="AU74" i="8"/>
  <c r="AQ74" i="8"/>
  <c r="AP74" i="8"/>
  <c r="AL74" i="8"/>
  <c r="AK74" i="8"/>
  <c r="S74" i="8"/>
  <c r="U74" i="8" s="1"/>
  <c r="R74" i="8"/>
  <c r="T74" i="8" s="1"/>
  <c r="P74" i="8"/>
  <c r="O74" i="8"/>
  <c r="K74" i="8"/>
  <c r="J74" i="8"/>
  <c r="F74" i="8"/>
  <c r="E74" i="8"/>
  <c r="AY73" i="8"/>
  <c r="AX73" i="8"/>
  <c r="AW73" i="8"/>
  <c r="AV73" i="8"/>
  <c r="AU73" i="8"/>
  <c r="AQ73" i="8"/>
  <c r="AP73" i="8"/>
  <c r="AL73" i="8"/>
  <c r="AK73" i="8"/>
  <c r="S73" i="8"/>
  <c r="U73" i="8" s="1"/>
  <c r="R73" i="8"/>
  <c r="T73" i="8" s="1"/>
  <c r="P73" i="8"/>
  <c r="O73" i="8"/>
  <c r="K73" i="8"/>
  <c r="J73" i="8"/>
  <c r="F73" i="8"/>
  <c r="E73" i="8"/>
  <c r="AY72" i="8"/>
  <c r="BA72" i="8" s="1"/>
  <c r="AX72" i="8"/>
  <c r="AZ72" i="8" s="1"/>
  <c r="AW72" i="8"/>
  <c r="AV72" i="8"/>
  <c r="AU72" i="8"/>
  <c r="AQ72" i="8"/>
  <c r="AP72" i="8"/>
  <c r="AL72" i="8"/>
  <c r="AK72" i="8"/>
  <c r="T72" i="8"/>
  <c r="S72" i="8"/>
  <c r="U72" i="8" s="1"/>
  <c r="R72" i="8"/>
  <c r="P72" i="8"/>
  <c r="O72" i="8"/>
  <c r="K72" i="8"/>
  <c r="J72" i="8"/>
  <c r="F72" i="8"/>
  <c r="E72" i="8"/>
  <c r="AY71" i="8"/>
  <c r="AX71" i="8"/>
  <c r="AZ71" i="8" s="1"/>
  <c r="AW71" i="8"/>
  <c r="BA71" i="8" s="1"/>
  <c r="AV71" i="8"/>
  <c r="AU71" i="8"/>
  <c r="AQ71" i="8"/>
  <c r="AP71" i="8"/>
  <c r="AL71" i="8"/>
  <c r="AK71" i="8"/>
  <c r="S71" i="8"/>
  <c r="U71" i="8" s="1"/>
  <c r="R71" i="8"/>
  <c r="T71" i="8" s="1"/>
  <c r="P71" i="8"/>
  <c r="O71" i="8"/>
  <c r="K71" i="8"/>
  <c r="J71" i="8"/>
  <c r="F71" i="8"/>
  <c r="E71" i="8"/>
  <c r="AY70" i="8"/>
  <c r="AX70" i="8"/>
  <c r="AW70" i="8"/>
  <c r="AV70" i="8"/>
  <c r="AU70" i="8"/>
  <c r="AQ70" i="8"/>
  <c r="AP70" i="8"/>
  <c r="AL70" i="8"/>
  <c r="AK70" i="8"/>
  <c r="S70" i="8"/>
  <c r="U70" i="8" s="1"/>
  <c r="R70" i="8"/>
  <c r="T70" i="8" s="1"/>
  <c r="P70" i="8"/>
  <c r="O70" i="8"/>
  <c r="K70" i="8"/>
  <c r="J70" i="8"/>
  <c r="F70" i="8"/>
  <c r="E70" i="8"/>
  <c r="AY69" i="8"/>
  <c r="BA69" i="8" s="1"/>
  <c r="AX69" i="8"/>
  <c r="AZ69" i="8" s="1"/>
  <c r="AW69" i="8"/>
  <c r="AV69" i="8"/>
  <c r="AU69" i="8"/>
  <c r="AQ69" i="8"/>
  <c r="AP69" i="8"/>
  <c r="AL69" i="8"/>
  <c r="AK69" i="8"/>
  <c r="S69" i="8"/>
  <c r="U69" i="8" s="1"/>
  <c r="R69" i="8"/>
  <c r="T69" i="8" s="1"/>
  <c r="P69" i="8"/>
  <c r="O69" i="8"/>
  <c r="K69" i="8"/>
  <c r="J69" i="8"/>
  <c r="F69" i="8"/>
  <c r="E69" i="8"/>
  <c r="BA68" i="8"/>
  <c r="AY68" i="8"/>
  <c r="AX68" i="8"/>
  <c r="AW68" i="8"/>
  <c r="AZ68" i="8" s="1"/>
  <c r="AV68" i="8"/>
  <c r="AU68" i="8"/>
  <c r="AQ68" i="8"/>
  <c r="AP68" i="8"/>
  <c r="AL68" i="8"/>
  <c r="AK68" i="8"/>
  <c r="S68" i="8"/>
  <c r="U68" i="8" s="1"/>
  <c r="R68" i="8"/>
  <c r="T68" i="8" s="1"/>
  <c r="P68" i="8"/>
  <c r="O68" i="8"/>
  <c r="K68" i="8"/>
  <c r="J68" i="8"/>
  <c r="F68" i="8"/>
  <c r="E68" i="8"/>
  <c r="AY67" i="8"/>
  <c r="AX67" i="8"/>
  <c r="AW67" i="8"/>
  <c r="AV67" i="8"/>
  <c r="AU67" i="8"/>
  <c r="AQ67" i="8"/>
  <c r="AP67" i="8"/>
  <c r="AL67" i="8"/>
  <c r="AK67" i="8"/>
  <c r="S67" i="8"/>
  <c r="U67" i="8" s="1"/>
  <c r="R67" i="8"/>
  <c r="T67" i="8" s="1"/>
  <c r="P67" i="8"/>
  <c r="O67" i="8"/>
  <c r="K67" i="8"/>
  <c r="J67" i="8"/>
  <c r="F67" i="8"/>
  <c r="E67" i="8"/>
  <c r="AY66" i="8"/>
  <c r="AX66" i="8"/>
  <c r="AZ66" i="8" s="1"/>
  <c r="AW66" i="8"/>
  <c r="BA66" i="8" s="1"/>
  <c r="AV66" i="8"/>
  <c r="AU66" i="8"/>
  <c r="AQ66" i="8"/>
  <c r="AP66" i="8"/>
  <c r="AL66" i="8"/>
  <c r="AK66" i="8"/>
  <c r="S66" i="8"/>
  <c r="U66" i="8" s="1"/>
  <c r="R66" i="8"/>
  <c r="T66" i="8" s="1"/>
  <c r="P66" i="8"/>
  <c r="O66" i="8"/>
  <c r="K66" i="8"/>
  <c r="J66" i="8"/>
  <c r="F66" i="8"/>
  <c r="E66" i="8"/>
  <c r="AZ65" i="8"/>
  <c r="AY65" i="8"/>
  <c r="BA65" i="8" s="1"/>
  <c r="AX65" i="8"/>
  <c r="AW65" i="8"/>
  <c r="AV65" i="8"/>
  <c r="AU65" i="8"/>
  <c r="AQ65" i="8"/>
  <c r="AP65" i="8"/>
  <c r="AL65" i="8"/>
  <c r="AK65" i="8"/>
  <c r="U65" i="8"/>
  <c r="S65" i="8"/>
  <c r="R65" i="8"/>
  <c r="T65" i="8" s="1"/>
  <c r="P65" i="8"/>
  <c r="O65" i="8"/>
  <c r="K65" i="8"/>
  <c r="J65" i="8"/>
  <c r="F65" i="8"/>
  <c r="E65" i="8"/>
  <c r="AY64" i="8"/>
  <c r="AX64" i="8"/>
  <c r="AW64" i="8"/>
  <c r="AV64" i="8"/>
  <c r="AU64" i="8"/>
  <c r="AQ64" i="8"/>
  <c r="AP64" i="8"/>
  <c r="AL64" i="8"/>
  <c r="AK64" i="8"/>
  <c r="S64" i="8"/>
  <c r="U64" i="8" s="1"/>
  <c r="R64" i="8"/>
  <c r="T64" i="8" s="1"/>
  <c r="P64" i="8"/>
  <c r="O64" i="8"/>
  <c r="K64" i="8"/>
  <c r="J64" i="8"/>
  <c r="F64" i="8"/>
  <c r="E64" i="8"/>
  <c r="AY63" i="8"/>
  <c r="BA63" i="8" s="1"/>
  <c r="AX63" i="8"/>
  <c r="AW63" i="8"/>
  <c r="AV63" i="8"/>
  <c r="AU63" i="8"/>
  <c r="AQ63" i="8"/>
  <c r="AP63" i="8"/>
  <c r="AL63" i="8"/>
  <c r="AK63" i="8"/>
  <c r="S63" i="8"/>
  <c r="U63" i="8" s="1"/>
  <c r="R63" i="8"/>
  <c r="T63" i="8" s="1"/>
  <c r="P63" i="8"/>
  <c r="O63" i="8"/>
  <c r="K63" i="8"/>
  <c r="J63" i="8"/>
  <c r="F63" i="8"/>
  <c r="E63" i="8"/>
  <c r="AY62" i="8"/>
  <c r="AX62" i="8"/>
  <c r="AW62" i="8"/>
  <c r="AV62" i="8"/>
  <c r="AU62" i="8"/>
  <c r="AQ62" i="8"/>
  <c r="AP62" i="8"/>
  <c r="AL62" i="8"/>
  <c r="AK62" i="8"/>
  <c r="S62" i="8"/>
  <c r="U62" i="8" s="1"/>
  <c r="R62" i="8"/>
  <c r="T62" i="8" s="1"/>
  <c r="P62" i="8"/>
  <c r="O62" i="8"/>
  <c r="K62" i="8"/>
  <c r="J62" i="8"/>
  <c r="F62" i="8"/>
  <c r="E62" i="8"/>
  <c r="AY61" i="8"/>
  <c r="BA61" i="8" s="1"/>
  <c r="AX61" i="8"/>
  <c r="AZ61" i="8" s="1"/>
  <c r="AW61" i="8"/>
  <c r="AV61" i="8"/>
  <c r="AU61" i="8"/>
  <c r="AQ61" i="8"/>
  <c r="AP61" i="8"/>
  <c r="AL61" i="8"/>
  <c r="AK61" i="8"/>
  <c r="S61" i="8"/>
  <c r="U61" i="8" s="1"/>
  <c r="R61" i="8"/>
  <c r="T61" i="8" s="1"/>
  <c r="P61" i="8"/>
  <c r="O61" i="8"/>
  <c r="K61" i="8"/>
  <c r="J61" i="8"/>
  <c r="F61" i="8"/>
  <c r="E61" i="8"/>
  <c r="AY60" i="8"/>
  <c r="AX60" i="8"/>
  <c r="AZ60" i="8" s="1"/>
  <c r="AW60" i="8"/>
  <c r="BA60" i="8" s="1"/>
  <c r="AV60" i="8"/>
  <c r="AU60" i="8"/>
  <c r="AQ60" i="8"/>
  <c r="AP60" i="8"/>
  <c r="AL60" i="8"/>
  <c r="AK60" i="8"/>
  <c r="S60" i="8"/>
  <c r="U60" i="8" s="1"/>
  <c r="R60" i="8"/>
  <c r="T60" i="8" s="1"/>
  <c r="P60" i="8"/>
  <c r="O60" i="8"/>
  <c r="K60" i="8"/>
  <c r="J60" i="8"/>
  <c r="F60" i="8"/>
  <c r="E60" i="8"/>
  <c r="AY59" i="8"/>
  <c r="AX59" i="8"/>
  <c r="AW59" i="8"/>
  <c r="AV59" i="8"/>
  <c r="AU59" i="8"/>
  <c r="AQ59" i="8"/>
  <c r="AP59" i="8"/>
  <c r="AL59" i="8"/>
  <c r="AK59" i="8"/>
  <c r="S59" i="8"/>
  <c r="U59" i="8" s="1"/>
  <c r="R59" i="8"/>
  <c r="T59" i="8" s="1"/>
  <c r="P59" i="8"/>
  <c r="O59" i="8"/>
  <c r="K59" i="8"/>
  <c r="J59" i="8"/>
  <c r="F59" i="8"/>
  <c r="E59" i="8"/>
  <c r="AY58" i="8"/>
  <c r="BA58" i="8" s="1"/>
  <c r="AX58" i="8"/>
  <c r="AZ58" i="8" s="1"/>
  <c r="AW58" i="8"/>
  <c r="AV58" i="8"/>
  <c r="AU58" i="8"/>
  <c r="AQ58" i="8"/>
  <c r="AP58" i="8"/>
  <c r="AL58" i="8"/>
  <c r="AK58" i="8"/>
  <c r="S58" i="8"/>
  <c r="U58" i="8" s="1"/>
  <c r="R58" i="8"/>
  <c r="T58" i="8" s="1"/>
  <c r="P58" i="8"/>
  <c r="O58" i="8"/>
  <c r="K58" i="8"/>
  <c r="J58" i="8"/>
  <c r="F58" i="8"/>
  <c r="E58" i="8"/>
  <c r="AZ57" i="8"/>
  <c r="AY57" i="8"/>
  <c r="BA57" i="8" s="1"/>
  <c r="AX57" i="8"/>
  <c r="AW57" i="8"/>
  <c r="AV57" i="8"/>
  <c r="AU57" i="8"/>
  <c r="AQ57" i="8"/>
  <c r="AP57" i="8"/>
  <c r="AL57" i="8"/>
  <c r="AK57" i="8"/>
  <c r="S57" i="8"/>
  <c r="U57" i="8" s="1"/>
  <c r="R57" i="8"/>
  <c r="T57" i="8" s="1"/>
  <c r="P57" i="8"/>
  <c r="O57" i="8"/>
  <c r="K57" i="8"/>
  <c r="J57" i="8"/>
  <c r="F57" i="8"/>
  <c r="E57" i="8"/>
  <c r="AY56" i="8"/>
  <c r="AX56" i="8"/>
  <c r="AW56" i="8"/>
  <c r="AV56" i="8"/>
  <c r="AU56" i="8"/>
  <c r="AQ56" i="8"/>
  <c r="AP56" i="8"/>
  <c r="AL56" i="8"/>
  <c r="AK56" i="8"/>
  <c r="S56" i="8"/>
  <c r="U56" i="8" s="1"/>
  <c r="R56" i="8"/>
  <c r="T56" i="8" s="1"/>
  <c r="P56" i="8"/>
  <c r="O56" i="8"/>
  <c r="K56" i="8"/>
  <c r="J56" i="8"/>
  <c r="F56" i="8"/>
  <c r="E56" i="8"/>
  <c r="AY55" i="8"/>
  <c r="AX55" i="8"/>
  <c r="AW55" i="8"/>
  <c r="BA55" i="8" s="1"/>
  <c r="AV55" i="8"/>
  <c r="AU55" i="8"/>
  <c r="AQ55" i="8"/>
  <c r="AP55" i="8"/>
  <c r="AL55" i="8"/>
  <c r="AK55" i="8"/>
  <c r="S55" i="8"/>
  <c r="U55" i="8" s="1"/>
  <c r="R55" i="8"/>
  <c r="T55" i="8" s="1"/>
  <c r="P55" i="8"/>
  <c r="O55" i="8"/>
  <c r="K55" i="8"/>
  <c r="J55" i="8"/>
  <c r="F55" i="8"/>
  <c r="E55" i="8"/>
  <c r="AY54" i="8"/>
  <c r="AX54" i="8"/>
  <c r="AZ54" i="8" s="1"/>
  <c r="AW54" i="8"/>
  <c r="AV54" i="8"/>
  <c r="AU54" i="8"/>
  <c r="AQ54" i="8"/>
  <c r="AP54" i="8"/>
  <c r="AL54" i="8"/>
  <c r="AK54" i="8"/>
  <c r="U54" i="8"/>
  <c r="S54" i="8"/>
  <c r="R54" i="8"/>
  <c r="T54" i="8" s="1"/>
  <c r="P54" i="8"/>
  <c r="O54" i="8"/>
  <c r="K54" i="8"/>
  <c r="J54" i="8"/>
  <c r="F54" i="8"/>
  <c r="E54" i="8"/>
  <c r="AY53" i="8"/>
  <c r="BA53" i="8" s="1"/>
  <c r="AX53" i="8"/>
  <c r="AZ53" i="8" s="1"/>
  <c r="AW53" i="8"/>
  <c r="AV53" i="8"/>
  <c r="AU53" i="8"/>
  <c r="AQ53" i="8"/>
  <c r="AP53" i="8"/>
  <c r="AL53" i="8"/>
  <c r="AK53" i="8"/>
  <c r="S53" i="8"/>
  <c r="U53" i="8" s="1"/>
  <c r="R53" i="8"/>
  <c r="T53" i="8" s="1"/>
  <c r="P53" i="8"/>
  <c r="O53" i="8"/>
  <c r="K53" i="8"/>
  <c r="J53" i="8"/>
  <c r="F53" i="8"/>
  <c r="E53" i="8"/>
  <c r="BA52" i="8"/>
  <c r="AY52" i="8"/>
  <c r="AX52" i="8"/>
  <c r="AZ52" i="8" s="1"/>
  <c r="AW52" i="8"/>
  <c r="AV52" i="8"/>
  <c r="AU52" i="8"/>
  <c r="AQ52" i="8"/>
  <c r="AP52" i="8"/>
  <c r="AL52" i="8"/>
  <c r="AK52" i="8"/>
  <c r="S52" i="8"/>
  <c r="U52" i="8" s="1"/>
  <c r="R52" i="8"/>
  <c r="T52" i="8" s="1"/>
  <c r="P52" i="8"/>
  <c r="O52" i="8"/>
  <c r="K52" i="8"/>
  <c r="J52" i="8"/>
  <c r="F52" i="8"/>
  <c r="E52" i="8"/>
  <c r="AY51" i="8"/>
  <c r="AX51" i="8"/>
  <c r="AW51" i="8"/>
  <c r="AV51" i="8"/>
  <c r="AU51" i="8"/>
  <c r="AQ51" i="8"/>
  <c r="AP51" i="8"/>
  <c r="AL51" i="8"/>
  <c r="AK51" i="8"/>
  <c r="S51" i="8"/>
  <c r="U51" i="8" s="1"/>
  <c r="R51" i="8"/>
  <c r="T51" i="8" s="1"/>
  <c r="P51" i="8"/>
  <c r="O51" i="8"/>
  <c r="K51" i="8"/>
  <c r="J51" i="8"/>
  <c r="F51" i="8"/>
  <c r="E51" i="8"/>
  <c r="AY50" i="8"/>
  <c r="BA50" i="8" s="1"/>
  <c r="AX50" i="8"/>
  <c r="AZ50" i="8" s="1"/>
  <c r="AW50" i="8"/>
  <c r="AV50" i="8"/>
  <c r="AU50" i="8"/>
  <c r="AQ50" i="8"/>
  <c r="AP50" i="8"/>
  <c r="AL50" i="8"/>
  <c r="AK50" i="8"/>
  <c r="S50" i="8"/>
  <c r="U50" i="8" s="1"/>
  <c r="R50" i="8"/>
  <c r="T50" i="8" s="1"/>
  <c r="P50" i="8"/>
  <c r="O50" i="8"/>
  <c r="K50" i="8"/>
  <c r="J50" i="8"/>
  <c r="F50" i="8"/>
  <c r="E50" i="8"/>
  <c r="AZ49" i="8"/>
  <c r="AY49" i="8"/>
  <c r="BA49" i="8" s="1"/>
  <c r="AX49" i="8"/>
  <c r="AW49" i="8"/>
  <c r="AV49" i="8"/>
  <c r="AU49" i="8"/>
  <c r="AQ49" i="8"/>
  <c r="AP49" i="8"/>
  <c r="AL49" i="8"/>
  <c r="AK49" i="8"/>
  <c r="S49" i="8"/>
  <c r="U49" i="8" s="1"/>
  <c r="R49" i="8"/>
  <c r="T49" i="8" s="1"/>
  <c r="P49" i="8"/>
  <c r="O49" i="8"/>
  <c r="K49" i="8"/>
  <c r="J49" i="8"/>
  <c r="F49" i="8"/>
  <c r="E49" i="8"/>
  <c r="AY48" i="8"/>
  <c r="AX48" i="8"/>
  <c r="AW48" i="8"/>
  <c r="AV48" i="8"/>
  <c r="AU48" i="8"/>
  <c r="AQ48" i="8"/>
  <c r="AP48" i="8"/>
  <c r="AL48" i="8"/>
  <c r="AK48" i="8"/>
  <c r="S48" i="8"/>
  <c r="U48" i="8" s="1"/>
  <c r="R48" i="8"/>
  <c r="T48" i="8" s="1"/>
  <c r="P48" i="8"/>
  <c r="O48" i="8"/>
  <c r="K48" i="8"/>
  <c r="J48" i="8"/>
  <c r="F48" i="8"/>
  <c r="E48" i="8"/>
  <c r="AY47" i="8"/>
  <c r="AX47" i="8"/>
  <c r="AW47" i="8"/>
  <c r="BA47" i="8" s="1"/>
  <c r="AV47" i="8"/>
  <c r="AU47" i="8"/>
  <c r="AQ47" i="8"/>
  <c r="AP47" i="8"/>
  <c r="AL47" i="8"/>
  <c r="AK47" i="8"/>
  <c r="S47" i="8"/>
  <c r="U47" i="8" s="1"/>
  <c r="R47" i="8"/>
  <c r="T47" i="8" s="1"/>
  <c r="P47" i="8"/>
  <c r="O47" i="8"/>
  <c r="K47" i="8"/>
  <c r="J47" i="8"/>
  <c r="F47" i="8"/>
  <c r="E47" i="8"/>
  <c r="AY46" i="8"/>
  <c r="AX46" i="8"/>
  <c r="AW46" i="8"/>
  <c r="AV46" i="8"/>
  <c r="AU46" i="8"/>
  <c r="AQ46" i="8"/>
  <c r="AP46" i="8"/>
  <c r="AL46" i="8"/>
  <c r="AK46" i="8"/>
  <c r="S46" i="8"/>
  <c r="U46" i="8" s="1"/>
  <c r="R46" i="8"/>
  <c r="T46" i="8" s="1"/>
  <c r="P46" i="8"/>
  <c r="O46" i="8"/>
  <c r="K46" i="8"/>
  <c r="J46" i="8"/>
  <c r="F46" i="8"/>
  <c r="E46" i="8"/>
  <c r="AY45" i="8"/>
  <c r="BA45" i="8" s="1"/>
  <c r="AX45" i="8"/>
  <c r="AZ45" i="8" s="1"/>
  <c r="AW45" i="8"/>
  <c r="AV45" i="8"/>
  <c r="AU45" i="8"/>
  <c r="AQ45" i="8"/>
  <c r="AP45" i="8"/>
  <c r="AL45" i="8"/>
  <c r="AK45" i="8"/>
  <c r="S45" i="8"/>
  <c r="U45" i="8" s="1"/>
  <c r="R45" i="8"/>
  <c r="T45" i="8" s="1"/>
  <c r="P45" i="8"/>
  <c r="O45" i="8"/>
  <c r="K45" i="8"/>
  <c r="J45" i="8"/>
  <c r="F45" i="8"/>
  <c r="E45" i="8"/>
  <c r="BA44" i="8"/>
  <c r="AY44" i="8"/>
  <c r="AX44" i="8"/>
  <c r="AZ44" i="8" s="1"/>
  <c r="AW44" i="8"/>
  <c r="AV44" i="8"/>
  <c r="AU44" i="8"/>
  <c r="AQ44" i="8"/>
  <c r="AP44" i="8"/>
  <c r="AL44" i="8"/>
  <c r="AK44" i="8"/>
  <c r="S44" i="8"/>
  <c r="U44" i="8" s="1"/>
  <c r="R44" i="8"/>
  <c r="T44" i="8" s="1"/>
  <c r="P44" i="8"/>
  <c r="O44" i="8"/>
  <c r="K44" i="8"/>
  <c r="J44" i="8"/>
  <c r="F44" i="8"/>
  <c r="E44" i="8"/>
  <c r="AY43" i="8"/>
  <c r="AX43" i="8"/>
  <c r="AZ43" i="8" s="1"/>
  <c r="AW43" i="8"/>
  <c r="AV43" i="8"/>
  <c r="AU43" i="8"/>
  <c r="AQ43" i="8"/>
  <c r="AP43" i="8"/>
  <c r="AL43" i="8"/>
  <c r="AK43" i="8"/>
  <c r="U43" i="8"/>
  <c r="T43" i="8"/>
  <c r="S43" i="8"/>
  <c r="R43" i="8"/>
  <c r="P43" i="8"/>
  <c r="O43" i="8"/>
  <c r="K43" i="8"/>
  <c r="J43" i="8"/>
  <c r="F43" i="8"/>
  <c r="E43" i="8"/>
  <c r="AY42" i="8"/>
  <c r="BA42" i="8" s="1"/>
  <c r="AX42" i="8"/>
  <c r="AZ42" i="8" s="1"/>
  <c r="AW42" i="8"/>
  <c r="AV42" i="8"/>
  <c r="AU42" i="8"/>
  <c r="AQ42" i="8"/>
  <c r="AP42" i="8"/>
  <c r="AL42" i="8"/>
  <c r="AK42" i="8"/>
  <c r="S42" i="8"/>
  <c r="U42" i="8" s="1"/>
  <c r="R42" i="8"/>
  <c r="T42" i="8" s="1"/>
  <c r="P42" i="8"/>
  <c r="O42" i="8"/>
  <c r="K42" i="8"/>
  <c r="J42" i="8"/>
  <c r="F42" i="8"/>
  <c r="E42" i="8"/>
  <c r="AZ41" i="8"/>
  <c r="AY41" i="8"/>
  <c r="AX41" i="8"/>
  <c r="AW41" i="8"/>
  <c r="AV41" i="8"/>
  <c r="AU41" i="8"/>
  <c r="AQ41" i="8"/>
  <c r="AP41" i="8"/>
  <c r="AL41" i="8"/>
  <c r="AK41" i="8"/>
  <c r="S41" i="8"/>
  <c r="U41" i="8" s="1"/>
  <c r="R41" i="8"/>
  <c r="T41" i="8" s="1"/>
  <c r="P41" i="8"/>
  <c r="O41" i="8"/>
  <c r="K41" i="8"/>
  <c r="J41" i="8"/>
  <c r="F41" i="8"/>
  <c r="E41" i="8"/>
  <c r="AY40" i="8"/>
  <c r="AX40" i="8"/>
  <c r="AZ40" i="8" s="1"/>
  <c r="AW40" i="8"/>
  <c r="AV40" i="8"/>
  <c r="AU40" i="8"/>
  <c r="AQ40" i="8"/>
  <c r="AP40" i="8"/>
  <c r="AL40" i="8"/>
  <c r="AK40" i="8"/>
  <c r="S40" i="8"/>
  <c r="U40" i="8" s="1"/>
  <c r="R40" i="8"/>
  <c r="T40" i="8" s="1"/>
  <c r="P40" i="8"/>
  <c r="O40" i="8"/>
  <c r="K40" i="8"/>
  <c r="J40" i="8"/>
  <c r="F40" i="8"/>
  <c r="E40" i="8"/>
  <c r="AY39" i="8"/>
  <c r="AX39" i="8"/>
  <c r="AW39" i="8"/>
  <c r="AV39" i="8"/>
  <c r="AU39" i="8"/>
  <c r="AQ39" i="8"/>
  <c r="AP39" i="8"/>
  <c r="AL39" i="8"/>
  <c r="AK39" i="8"/>
  <c r="S39" i="8"/>
  <c r="U39" i="8" s="1"/>
  <c r="R39" i="8"/>
  <c r="T39" i="8" s="1"/>
  <c r="P39" i="8"/>
  <c r="O39" i="8"/>
  <c r="K39" i="8"/>
  <c r="J39" i="8"/>
  <c r="F39" i="8"/>
  <c r="E39" i="8"/>
  <c r="AY38" i="8"/>
  <c r="BA38" i="8" s="1"/>
  <c r="AX38" i="8"/>
  <c r="AZ38" i="8" s="1"/>
  <c r="AW38" i="8"/>
  <c r="AV38" i="8"/>
  <c r="AU38" i="8"/>
  <c r="AQ38" i="8"/>
  <c r="AP38" i="8"/>
  <c r="AL38" i="8"/>
  <c r="AK38" i="8"/>
  <c r="U38" i="8"/>
  <c r="S38" i="8"/>
  <c r="R38" i="8"/>
  <c r="T38" i="8" s="1"/>
  <c r="P38" i="8"/>
  <c r="O38" i="8"/>
  <c r="K38" i="8"/>
  <c r="J38" i="8"/>
  <c r="F38" i="8"/>
  <c r="E38" i="8"/>
  <c r="AY37" i="8"/>
  <c r="BA37" i="8" s="1"/>
  <c r="AX37" i="8"/>
  <c r="AW37" i="8"/>
  <c r="AV37" i="8"/>
  <c r="AU37" i="8"/>
  <c r="AQ37" i="8"/>
  <c r="AP37" i="8"/>
  <c r="AL37" i="8"/>
  <c r="AK37" i="8"/>
  <c r="S37" i="8"/>
  <c r="U37" i="8" s="1"/>
  <c r="R37" i="8"/>
  <c r="T37" i="8" s="1"/>
  <c r="P37" i="8"/>
  <c r="O37" i="8"/>
  <c r="K37" i="8"/>
  <c r="J37" i="8"/>
  <c r="F37" i="8"/>
  <c r="E37" i="8"/>
  <c r="AY36" i="8"/>
  <c r="AX36" i="8"/>
  <c r="AW36" i="8"/>
  <c r="AV36" i="8"/>
  <c r="AU36" i="8"/>
  <c r="AQ36" i="8"/>
  <c r="AP36" i="8"/>
  <c r="AL36" i="8"/>
  <c r="AK36" i="8"/>
  <c r="S36" i="8"/>
  <c r="U36" i="8" s="1"/>
  <c r="R36" i="8"/>
  <c r="T36" i="8" s="1"/>
  <c r="P36" i="8"/>
  <c r="O36" i="8"/>
  <c r="K36" i="8"/>
  <c r="J36" i="8"/>
  <c r="F36" i="8"/>
  <c r="E36" i="8"/>
  <c r="AY35" i="8"/>
  <c r="AX35" i="8"/>
  <c r="AZ35" i="8" s="1"/>
  <c r="AW35" i="8"/>
  <c r="AV35" i="8"/>
  <c r="AU35" i="8"/>
  <c r="AQ35" i="8"/>
  <c r="AP35" i="8"/>
  <c r="AL35" i="8"/>
  <c r="AK35" i="8"/>
  <c r="U35" i="8"/>
  <c r="T35" i="8"/>
  <c r="S35" i="8"/>
  <c r="R35" i="8"/>
  <c r="P35" i="8"/>
  <c r="O35" i="8"/>
  <c r="K35" i="8"/>
  <c r="J35" i="8"/>
  <c r="F35" i="8"/>
  <c r="E35" i="8"/>
  <c r="AY34" i="8"/>
  <c r="BA34" i="8" s="1"/>
  <c r="AX34" i="8"/>
  <c r="AZ34" i="8" s="1"/>
  <c r="AW34" i="8"/>
  <c r="AV34" i="8"/>
  <c r="AU34" i="8"/>
  <c r="AQ34" i="8"/>
  <c r="AP34" i="8"/>
  <c r="AL34" i="8"/>
  <c r="AK34" i="8"/>
  <c r="S34" i="8"/>
  <c r="U34" i="8" s="1"/>
  <c r="R34" i="8"/>
  <c r="T34" i="8" s="1"/>
  <c r="P34" i="8"/>
  <c r="O34" i="8"/>
  <c r="K34" i="8"/>
  <c r="J34" i="8"/>
  <c r="F34" i="8"/>
  <c r="E34" i="8"/>
  <c r="AZ33" i="8"/>
  <c r="AY33" i="8"/>
  <c r="AX33" i="8"/>
  <c r="AW33" i="8"/>
  <c r="AV33" i="8"/>
  <c r="AU33" i="8"/>
  <c r="AQ33" i="8"/>
  <c r="AP33" i="8"/>
  <c r="AL33" i="8"/>
  <c r="AK33" i="8"/>
  <c r="S33" i="8"/>
  <c r="U33" i="8" s="1"/>
  <c r="R33" i="8"/>
  <c r="T33" i="8" s="1"/>
  <c r="P33" i="8"/>
  <c r="O33" i="8"/>
  <c r="K33" i="8"/>
  <c r="J33" i="8"/>
  <c r="F33" i="8"/>
  <c r="E33" i="8"/>
  <c r="AY32" i="8"/>
  <c r="AX32" i="8"/>
  <c r="AW32" i="8"/>
  <c r="AV32" i="8"/>
  <c r="AU32" i="8"/>
  <c r="AQ32" i="8"/>
  <c r="AP32" i="8"/>
  <c r="AL32" i="8"/>
  <c r="AK32" i="8"/>
  <c r="S32" i="8"/>
  <c r="U32" i="8" s="1"/>
  <c r="R32" i="8"/>
  <c r="T32" i="8" s="1"/>
  <c r="P32" i="8"/>
  <c r="O32" i="8"/>
  <c r="K32" i="8"/>
  <c r="J32" i="8"/>
  <c r="F32" i="8"/>
  <c r="E32" i="8"/>
  <c r="AY31" i="8"/>
  <c r="BA31" i="8" s="1"/>
  <c r="AX31" i="8"/>
  <c r="AZ31" i="8" s="1"/>
  <c r="AW31" i="8"/>
  <c r="AV31" i="8"/>
  <c r="AU31" i="8"/>
  <c r="AQ31" i="8"/>
  <c r="AP31" i="8"/>
  <c r="AL31" i="8"/>
  <c r="AK31" i="8"/>
  <c r="S31" i="8"/>
  <c r="U31" i="8" s="1"/>
  <c r="R31" i="8"/>
  <c r="T31" i="8" s="1"/>
  <c r="P31" i="8"/>
  <c r="O31" i="8"/>
  <c r="K31" i="8"/>
  <c r="J31" i="8"/>
  <c r="F31" i="8"/>
  <c r="E31" i="8"/>
  <c r="AY30" i="8"/>
  <c r="BA30" i="8" s="1"/>
  <c r="AX30" i="8"/>
  <c r="AZ30" i="8" s="1"/>
  <c r="AW30" i="8"/>
  <c r="AV30" i="8"/>
  <c r="AU30" i="8"/>
  <c r="AQ30" i="8"/>
  <c r="AP30" i="8"/>
  <c r="AL30" i="8"/>
  <c r="AK30" i="8"/>
  <c r="U30" i="8"/>
  <c r="S30" i="8"/>
  <c r="R30" i="8"/>
  <c r="T30" i="8" s="1"/>
  <c r="P30" i="8"/>
  <c r="O30" i="8"/>
  <c r="K30" i="8"/>
  <c r="J30" i="8"/>
  <c r="F30" i="8"/>
  <c r="E30" i="8"/>
  <c r="AY29" i="8"/>
  <c r="BA29" i="8" s="1"/>
  <c r="AX29" i="8"/>
  <c r="AW29" i="8"/>
  <c r="AV29" i="8"/>
  <c r="AU29" i="8"/>
  <c r="AQ29" i="8"/>
  <c r="AP29" i="8"/>
  <c r="AL29" i="8"/>
  <c r="AK29" i="8"/>
  <c r="S29" i="8"/>
  <c r="U29" i="8" s="1"/>
  <c r="R29" i="8"/>
  <c r="T29" i="8" s="1"/>
  <c r="P29" i="8"/>
  <c r="O29" i="8"/>
  <c r="K29" i="8"/>
  <c r="J29" i="8"/>
  <c r="F29" i="8"/>
  <c r="E29" i="8"/>
  <c r="AY28" i="8"/>
  <c r="AX28" i="8"/>
  <c r="AZ28" i="8" s="1"/>
  <c r="AW28" i="8"/>
  <c r="AV28" i="8"/>
  <c r="AU28" i="8"/>
  <c r="AQ28" i="8"/>
  <c r="AP28" i="8"/>
  <c r="AL28" i="8"/>
  <c r="AK28" i="8"/>
  <c r="S28" i="8"/>
  <c r="U28" i="8" s="1"/>
  <c r="R28" i="8"/>
  <c r="T28" i="8" s="1"/>
  <c r="P28" i="8"/>
  <c r="O28" i="8"/>
  <c r="K28" i="8"/>
  <c r="J28" i="8"/>
  <c r="F28" i="8"/>
  <c r="E28" i="8"/>
  <c r="AY27" i="8"/>
  <c r="BA27" i="8" s="1"/>
  <c r="AX27" i="8"/>
  <c r="AW27" i="8"/>
  <c r="AV27" i="8"/>
  <c r="AU27" i="8"/>
  <c r="AQ27" i="8"/>
  <c r="AP27" i="8"/>
  <c r="AL27" i="8"/>
  <c r="AK27" i="8"/>
  <c r="S27" i="8"/>
  <c r="U27" i="8" s="1"/>
  <c r="R27" i="8"/>
  <c r="T27" i="8" s="1"/>
  <c r="P27" i="8"/>
  <c r="O27" i="8"/>
  <c r="K27" i="8"/>
  <c r="J27" i="8"/>
  <c r="F27" i="8"/>
  <c r="E27" i="8"/>
  <c r="AY26" i="8"/>
  <c r="AX26" i="8"/>
  <c r="AW26" i="8"/>
  <c r="AV26" i="8"/>
  <c r="AU26" i="8"/>
  <c r="AQ26" i="8"/>
  <c r="AP26" i="8"/>
  <c r="AL26" i="8"/>
  <c r="AK26" i="8"/>
  <c r="S26" i="8"/>
  <c r="U26" i="8" s="1"/>
  <c r="R26" i="8"/>
  <c r="T26" i="8" s="1"/>
  <c r="P26" i="8"/>
  <c r="O26" i="8"/>
  <c r="K26" i="8"/>
  <c r="J26" i="8"/>
  <c r="F26" i="8"/>
  <c r="E26" i="8"/>
  <c r="AZ25" i="8"/>
  <c r="AY25" i="8"/>
  <c r="BA25" i="8" s="1"/>
  <c r="AX25" i="8"/>
  <c r="AW25" i="8"/>
  <c r="AV25" i="8"/>
  <c r="AU25" i="8"/>
  <c r="AQ25" i="8"/>
  <c r="AP25" i="8"/>
  <c r="AL25" i="8"/>
  <c r="AK25" i="8"/>
  <c r="U25" i="8"/>
  <c r="S25" i="8"/>
  <c r="R25" i="8"/>
  <c r="T25" i="8" s="1"/>
  <c r="P25" i="8"/>
  <c r="O25" i="8"/>
  <c r="K25" i="8"/>
  <c r="J25" i="8"/>
  <c r="F25" i="8"/>
  <c r="E25" i="8"/>
  <c r="AY24" i="8"/>
  <c r="AX24" i="8"/>
  <c r="AZ24" i="8" s="1"/>
  <c r="AW24" i="8"/>
  <c r="AV24" i="8"/>
  <c r="AU24" i="8"/>
  <c r="AQ24" i="8"/>
  <c r="AP24" i="8"/>
  <c r="AL24" i="8"/>
  <c r="AK24" i="8"/>
  <c r="T24" i="8"/>
  <c r="S24" i="8"/>
  <c r="U24" i="8" s="1"/>
  <c r="R24" i="8"/>
  <c r="P24" i="8"/>
  <c r="O24" i="8"/>
  <c r="K24" i="8"/>
  <c r="J24" i="8"/>
  <c r="F24" i="8"/>
  <c r="E24" i="8"/>
  <c r="AY23" i="8"/>
  <c r="AX23" i="8"/>
  <c r="AW23" i="8"/>
  <c r="AV23" i="8"/>
  <c r="AU23" i="8"/>
  <c r="AQ23" i="8"/>
  <c r="AP23" i="8"/>
  <c r="AL23" i="8"/>
  <c r="AK23" i="8"/>
  <c r="S23" i="8"/>
  <c r="U23" i="8" s="1"/>
  <c r="R23" i="8"/>
  <c r="T23" i="8" s="1"/>
  <c r="P23" i="8"/>
  <c r="O23" i="8"/>
  <c r="K23" i="8"/>
  <c r="J23" i="8"/>
  <c r="F23" i="8"/>
  <c r="E23" i="8"/>
  <c r="AY22" i="8"/>
  <c r="AX22" i="8"/>
  <c r="AW22" i="8"/>
  <c r="AV22" i="8"/>
  <c r="AU22" i="8"/>
  <c r="AQ22" i="8"/>
  <c r="AP22" i="8"/>
  <c r="AL22" i="8"/>
  <c r="AK22" i="8"/>
  <c r="S22" i="8"/>
  <c r="U22" i="8" s="1"/>
  <c r="R22" i="8"/>
  <c r="T22" i="8" s="1"/>
  <c r="P22" i="8"/>
  <c r="O22" i="8"/>
  <c r="K22" i="8"/>
  <c r="J22" i="8"/>
  <c r="F22" i="8"/>
  <c r="E22" i="8"/>
  <c r="AY21" i="8"/>
  <c r="AX21" i="8"/>
  <c r="AZ21" i="8" s="1"/>
  <c r="AW21" i="8"/>
  <c r="AV21" i="8"/>
  <c r="AU21" i="8"/>
  <c r="AQ21" i="8"/>
  <c r="AP21" i="8"/>
  <c r="AL21" i="8"/>
  <c r="AK21" i="8"/>
  <c r="S21" i="8"/>
  <c r="U21" i="8" s="1"/>
  <c r="R21" i="8"/>
  <c r="T21" i="8" s="1"/>
  <c r="P21" i="8"/>
  <c r="O21" i="8"/>
  <c r="K21" i="8"/>
  <c r="J21" i="8"/>
  <c r="F21" i="8"/>
  <c r="E21" i="8"/>
  <c r="AY20" i="8"/>
  <c r="BA20" i="8" s="1"/>
  <c r="AX20" i="8"/>
  <c r="AZ20" i="8" s="1"/>
  <c r="AW20" i="8"/>
  <c r="AV20" i="8"/>
  <c r="AU20" i="8"/>
  <c r="AQ20" i="8"/>
  <c r="AP20" i="8"/>
  <c r="AL20" i="8"/>
  <c r="AK20" i="8"/>
  <c r="S20" i="8"/>
  <c r="U20" i="8" s="1"/>
  <c r="R20" i="8"/>
  <c r="T20" i="8" s="1"/>
  <c r="P20" i="8"/>
  <c r="O20" i="8"/>
  <c r="K20" i="8"/>
  <c r="J20" i="8"/>
  <c r="F20" i="8"/>
  <c r="E20" i="8"/>
  <c r="AY19" i="8"/>
  <c r="AX19" i="8"/>
  <c r="AW19" i="8"/>
  <c r="AV19" i="8"/>
  <c r="AU19" i="8"/>
  <c r="AQ19" i="8"/>
  <c r="AP19" i="8"/>
  <c r="AL19" i="8"/>
  <c r="AK19" i="8"/>
  <c r="T19" i="8"/>
  <c r="S19" i="8"/>
  <c r="U19" i="8" s="1"/>
  <c r="R19" i="8"/>
  <c r="P19" i="8"/>
  <c r="O19" i="8"/>
  <c r="K19" i="8"/>
  <c r="J19" i="8"/>
  <c r="F19" i="8"/>
  <c r="E19" i="8"/>
  <c r="AY18" i="8"/>
  <c r="AX18" i="8"/>
  <c r="AZ18" i="8" s="1"/>
  <c r="AW18" i="8"/>
  <c r="AV18" i="8"/>
  <c r="AU18" i="8"/>
  <c r="AQ18" i="8"/>
  <c r="AP18" i="8"/>
  <c r="AL18" i="8"/>
  <c r="AK18" i="8"/>
  <c r="S18" i="8"/>
  <c r="U18" i="8" s="1"/>
  <c r="R18" i="8"/>
  <c r="T18" i="8" s="1"/>
  <c r="P18" i="8"/>
  <c r="O18" i="8"/>
  <c r="K18" i="8"/>
  <c r="J18" i="8"/>
  <c r="F18" i="8"/>
  <c r="E18" i="8"/>
  <c r="AY17" i="8"/>
  <c r="AX17" i="8"/>
  <c r="AZ17" i="8" s="1"/>
  <c r="AW17" i="8"/>
  <c r="AV17" i="8"/>
  <c r="AU17" i="8"/>
  <c r="AQ17" i="8"/>
  <c r="AP17" i="8"/>
  <c r="AL17" i="8"/>
  <c r="AK17" i="8"/>
  <c r="U17" i="8"/>
  <c r="S17" i="8"/>
  <c r="R17" i="8"/>
  <c r="T17" i="8" s="1"/>
  <c r="P17" i="8"/>
  <c r="O17" i="8"/>
  <c r="K17" i="8"/>
  <c r="J17" i="8"/>
  <c r="F17" i="8"/>
  <c r="E17" i="8"/>
  <c r="AY16" i="8"/>
  <c r="AX16" i="8"/>
  <c r="AW16" i="8"/>
  <c r="AV16" i="8"/>
  <c r="AU16" i="8"/>
  <c r="AQ16" i="8"/>
  <c r="AP16" i="8"/>
  <c r="AL16" i="8"/>
  <c r="AK16" i="8"/>
  <c r="S16" i="8"/>
  <c r="U16" i="8" s="1"/>
  <c r="R16" i="8"/>
  <c r="T16" i="8" s="1"/>
  <c r="P16" i="8"/>
  <c r="O16" i="8"/>
  <c r="K16" i="8"/>
  <c r="J16" i="8"/>
  <c r="F16" i="8"/>
  <c r="E16" i="8"/>
  <c r="BA15" i="8"/>
  <c r="AZ15" i="8"/>
  <c r="AY15" i="8"/>
  <c r="AX15" i="8"/>
  <c r="AW15" i="8"/>
  <c r="AV15" i="8"/>
  <c r="AU15" i="8"/>
  <c r="AQ15" i="8"/>
  <c r="AP15" i="8"/>
  <c r="AL15" i="8"/>
  <c r="AK15" i="8"/>
  <c r="S15" i="8"/>
  <c r="U15" i="8" s="1"/>
  <c r="R15" i="8"/>
  <c r="T15" i="8" s="1"/>
  <c r="P15" i="8"/>
  <c r="O15" i="8"/>
  <c r="K15" i="8"/>
  <c r="J15" i="8"/>
  <c r="F15" i="8"/>
  <c r="E15" i="8"/>
  <c r="AY14" i="8"/>
  <c r="AX14" i="8"/>
  <c r="AZ14" i="8" s="1"/>
  <c r="AW14" i="8"/>
  <c r="AV14" i="8"/>
  <c r="AU14" i="8"/>
  <c r="AQ14" i="8"/>
  <c r="AP14" i="8"/>
  <c r="AL14" i="8"/>
  <c r="AK14" i="8"/>
  <c r="U14" i="8"/>
  <c r="S14" i="8"/>
  <c r="R14" i="8"/>
  <c r="T14" i="8" s="1"/>
  <c r="P14" i="8"/>
  <c r="O14" i="8"/>
  <c r="K14" i="8"/>
  <c r="J14" i="8"/>
  <c r="F14" i="8"/>
  <c r="E14" i="8"/>
  <c r="AY13" i="8"/>
  <c r="AX13" i="8"/>
  <c r="AW13" i="8"/>
  <c r="AV13" i="8"/>
  <c r="AU13" i="8"/>
  <c r="AQ13" i="8"/>
  <c r="AP13" i="8"/>
  <c r="AL13" i="8"/>
  <c r="AK13" i="8"/>
  <c r="S13" i="8"/>
  <c r="U13" i="8" s="1"/>
  <c r="R13" i="8"/>
  <c r="T13" i="8" s="1"/>
  <c r="P13" i="8"/>
  <c r="O13" i="8"/>
  <c r="K13" i="8"/>
  <c r="J13" i="8"/>
  <c r="F13" i="8"/>
  <c r="E13" i="8"/>
  <c r="AZ12" i="8"/>
  <c r="AY12" i="8"/>
  <c r="BA12" i="8" s="1"/>
  <c r="AX12" i="8"/>
  <c r="AW12" i="8"/>
  <c r="AV12" i="8"/>
  <c r="AU12" i="8"/>
  <c r="AQ12" i="8"/>
  <c r="AP12" i="8"/>
  <c r="AL12" i="8"/>
  <c r="AK12" i="8"/>
  <c r="S12" i="8"/>
  <c r="U12" i="8" s="1"/>
  <c r="R12" i="8"/>
  <c r="T12" i="8" s="1"/>
  <c r="P12" i="8"/>
  <c r="O12" i="8"/>
  <c r="K12" i="8"/>
  <c r="J12" i="8"/>
  <c r="F12" i="8"/>
  <c r="E12" i="8"/>
  <c r="AY11" i="8"/>
  <c r="AX11" i="8"/>
  <c r="AW11" i="8"/>
  <c r="AV11" i="8"/>
  <c r="AU11" i="8"/>
  <c r="AQ11" i="8"/>
  <c r="AP11" i="8"/>
  <c r="AL11" i="8"/>
  <c r="AK11" i="8"/>
  <c r="T11" i="8"/>
  <c r="S11" i="8"/>
  <c r="U11" i="8" s="1"/>
  <c r="R11" i="8"/>
  <c r="P11" i="8"/>
  <c r="O11" i="8"/>
  <c r="K11" i="8"/>
  <c r="J11" i="8"/>
  <c r="F11" i="8"/>
  <c r="E11" i="8"/>
  <c r="AY10" i="8"/>
  <c r="AX10" i="8"/>
  <c r="AW10" i="8"/>
  <c r="BA10" i="8" s="1"/>
  <c r="AV10" i="8"/>
  <c r="AU10" i="8"/>
  <c r="AQ10" i="8"/>
  <c r="AP10" i="8"/>
  <c r="AL10" i="8"/>
  <c r="AK10" i="8"/>
  <c r="S10" i="8"/>
  <c r="U10" i="8" s="1"/>
  <c r="R10" i="8"/>
  <c r="T10" i="8" s="1"/>
  <c r="P10" i="8"/>
  <c r="O10" i="8"/>
  <c r="K10" i="8"/>
  <c r="J10" i="8"/>
  <c r="F10" i="8"/>
  <c r="E10" i="8"/>
  <c r="AY9" i="8"/>
  <c r="AX9" i="8"/>
  <c r="AW9" i="8"/>
  <c r="AV9" i="8"/>
  <c r="AU9" i="8"/>
  <c r="AQ9" i="8"/>
  <c r="AP9" i="8"/>
  <c r="AL9" i="8"/>
  <c r="AK9" i="8"/>
  <c r="S9" i="8"/>
  <c r="U9" i="8" s="1"/>
  <c r="R9" i="8"/>
  <c r="T9" i="8" s="1"/>
  <c r="P9" i="8"/>
  <c r="O9" i="8"/>
  <c r="K9" i="8"/>
  <c r="J9" i="8"/>
  <c r="F9" i="8"/>
  <c r="E9" i="8"/>
  <c r="AY8" i="8"/>
  <c r="BA8" i="8" s="1"/>
  <c r="AX8" i="8"/>
  <c r="AZ8" i="8" s="1"/>
  <c r="AW8" i="8"/>
  <c r="AV8" i="8"/>
  <c r="AU8" i="8"/>
  <c r="AQ8" i="8"/>
  <c r="AP8" i="8"/>
  <c r="AL8" i="8"/>
  <c r="AK8" i="8"/>
  <c r="T8" i="8"/>
  <c r="S8" i="8"/>
  <c r="U8" i="8" s="1"/>
  <c r="R8" i="8"/>
  <c r="P8" i="8"/>
  <c r="O8" i="8"/>
  <c r="K8" i="8"/>
  <c r="J8" i="8"/>
  <c r="F8" i="8"/>
  <c r="E8" i="8"/>
  <c r="AY7" i="8"/>
  <c r="BA7" i="8" s="1"/>
  <c r="AX7" i="8"/>
  <c r="AZ7" i="8" s="1"/>
  <c r="AW7" i="8"/>
  <c r="AV7" i="8"/>
  <c r="AU7" i="8"/>
  <c r="AQ7" i="8"/>
  <c r="AP7" i="8"/>
  <c r="AL7" i="8"/>
  <c r="AK7" i="8"/>
  <c r="S7" i="8"/>
  <c r="R7" i="8"/>
  <c r="Q7" i="8"/>
  <c r="P7" i="8"/>
  <c r="O7" i="8"/>
  <c r="K7" i="8"/>
  <c r="J7" i="8"/>
  <c r="F7" i="8"/>
  <c r="E7" i="8"/>
  <c r="AY6" i="8"/>
  <c r="AX6" i="8"/>
  <c r="AZ6" i="8" s="1"/>
  <c r="AW6" i="8"/>
  <c r="AV6" i="8"/>
  <c r="AU6" i="8"/>
  <c r="AQ6" i="8"/>
  <c r="AP6" i="8"/>
  <c r="AL6" i="8"/>
  <c r="AK6" i="8"/>
  <c r="S6" i="8"/>
  <c r="R6" i="8"/>
  <c r="T6" i="8" s="1"/>
  <c r="Q6" i="8"/>
  <c r="P6" i="8"/>
  <c r="O6" i="8"/>
  <c r="K6" i="8"/>
  <c r="J6" i="8"/>
  <c r="F6" i="8"/>
  <c r="E6" i="8"/>
  <c r="E548" i="7"/>
  <c r="D548" i="7"/>
  <c r="C548" i="7"/>
  <c r="B548" i="7"/>
  <c r="A548" i="7"/>
  <c r="E547" i="7"/>
  <c r="D547" i="7"/>
  <c r="C547" i="7"/>
  <c r="B547" i="7"/>
  <c r="A547" i="7"/>
  <c r="E546" i="7"/>
  <c r="D546" i="7"/>
  <c r="C546" i="7"/>
  <c r="B546" i="7"/>
  <c r="A546" i="7"/>
  <c r="E545" i="7"/>
  <c r="D545" i="7"/>
  <c r="C545" i="7"/>
  <c r="B545" i="7"/>
  <c r="A545" i="7"/>
  <c r="E544" i="7"/>
  <c r="D544" i="7"/>
  <c r="C544" i="7"/>
  <c r="B544" i="7"/>
  <c r="A544" i="7"/>
  <c r="E543" i="7"/>
  <c r="D543" i="7"/>
  <c r="C543" i="7"/>
  <c r="B543" i="7"/>
  <c r="A543" i="7"/>
  <c r="E542" i="7"/>
  <c r="D542" i="7"/>
  <c r="C542" i="7"/>
  <c r="B542" i="7"/>
  <c r="A542" i="7"/>
  <c r="E541" i="7"/>
  <c r="D541" i="7"/>
  <c r="C541" i="7"/>
  <c r="B541" i="7"/>
  <c r="A541" i="7"/>
  <c r="E540" i="7"/>
  <c r="D540" i="7"/>
  <c r="C540" i="7"/>
  <c r="B540" i="7"/>
  <c r="A540" i="7"/>
  <c r="E539" i="7"/>
  <c r="D539" i="7"/>
  <c r="C539" i="7"/>
  <c r="B539" i="7"/>
  <c r="A539" i="7"/>
  <c r="E538" i="7"/>
  <c r="D538" i="7"/>
  <c r="C538" i="7"/>
  <c r="B538" i="7"/>
  <c r="A538" i="7"/>
  <c r="E537" i="7"/>
  <c r="D537" i="7"/>
  <c r="C537" i="7"/>
  <c r="B537" i="7"/>
  <c r="A537" i="7"/>
  <c r="E536" i="7"/>
  <c r="D536" i="7"/>
  <c r="C536" i="7"/>
  <c r="B536" i="7"/>
  <c r="A536" i="7"/>
  <c r="E535" i="7"/>
  <c r="D535" i="7"/>
  <c r="C535" i="7"/>
  <c r="B535" i="7"/>
  <c r="A535" i="7"/>
  <c r="E534" i="7"/>
  <c r="D534" i="7"/>
  <c r="C534" i="7"/>
  <c r="B534" i="7"/>
  <c r="A534" i="7"/>
  <c r="E533" i="7"/>
  <c r="D533" i="7"/>
  <c r="C533" i="7"/>
  <c r="B533" i="7"/>
  <c r="A533" i="7"/>
  <c r="E532" i="7"/>
  <c r="D532" i="7"/>
  <c r="C532" i="7"/>
  <c r="B532" i="7"/>
  <c r="A532" i="7"/>
  <c r="E531" i="7"/>
  <c r="D531" i="7"/>
  <c r="C531" i="7"/>
  <c r="B531" i="7"/>
  <c r="A531" i="7"/>
  <c r="E530" i="7"/>
  <c r="D530" i="7"/>
  <c r="C530" i="7"/>
  <c r="B530" i="7"/>
  <c r="A530" i="7"/>
  <c r="E529" i="7"/>
  <c r="D529" i="7"/>
  <c r="C529" i="7"/>
  <c r="B529" i="7"/>
  <c r="A529" i="7"/>
  <c r="E528" i="7"/>
  <c r="D528" i="7"/>
  <c r="C528" i="7"/>
  <c r="B528" i="7"/>
  <c r="A528" i="7"/>
  <c r="E527" i="7"/>
  <c r="D527" i="7"/>
  <c r="C527" i="7"/>
  <c r="B527" i="7"/>
  <c r="A527" i="7"/>
  <c r="E526" i="7"/>
  <c r="D526" i="7"/>
  <c r="C526" i="7"/>
  <c r="B526" i="7"/>
  <c r="A526" i="7"/>
  <c r="E525" i="7"/>
  <c r="D525" i="7"/>
  <c r="C525" i="7"/>
  <c r="B525" i="7"/>
  <c r="A525" i="7"/>
  <c r="E524" i="7"/>
  <c r="D524" i="7"/>
  <c r="C524" i="7"/>
  <c r="B524" i="7"/>
  <c r="A524" i="7"/>
  <c r="E523" i="7"/>
  <c r="D523" i="7"/>
  <c r="C523" i="7"/>
  <c r="B523" i="7"/>
  <c r="A523" i="7"/>
  <c r="E522" i="7"/>
  <c r="D522" i="7"/>
  <c r="C522" i="7"/>
  <c r="B522" i="7"/>
  <c r="A522" i="7"/>
  <c r="E521" i="7"/>
  <c r="D521" i="7"/>
  <c r="C521" i="7"/>
  <c r="B521" i="7"/>
  <c r="A521" i="7"/>
  <c r="E520" i="7"/>
  <c r="D520" i="7"/>
  <c r="C520" i="7"/>
  <c r="B520" i="7"/>
  <c r="A520" i="7"/>
  <c r="E519" i="7"/>
  <c r="D519" i="7"/>
  <c r="C519" i="7"/>
  <c r="B519" i="7"/>
  <c r="A519" i="7"/>
  <c r="E518" i="7"/>
  <c r="D518" i="7"/>
  <c r="C518" i="7"/>
  <c r="B518" i="7"/>
  <c r="A518" i="7"/>
  <c r="E517" i="7"/>
  <c r="D517" i="7"/>
  <c r="C517" i="7"/>
  <c r="B517" i="7"/>
  <c r="A517" i="7"/>
  <c r="E516" i="7"/>
  <c r="D516" i="7"/>
  <c r="C516" i="7"/>
  <c r="B516" i="7"/>
  <c r="A516" i="7"/>
  <c r="E515" i="7"/>
  <c r="D515" i="7"/>
  <c r="C515" i="7"/>
  <c r="B515" i="7"/>
  <c r="A515" i="7"/>
  <c r="E514" i="7"/>
  <c r="D514" i="7"/>
  <c r="C514" i="7"/>
  <c r="B514" i="7"/>
  <c r="A514" i="7"/>
  <c r="E513" i="7"/>
  <c r="D513" i="7"/>
  <c r="C513" i="7"/>
  <c r="B513" i="7"/>
  <c r="A513" i="7"/>
  <c r="E512" i="7"/>
  <c r="D512" i="7"/>
  <c r="C512" i="7"/>
  <c r="B512" i="7"/>
  <c r="A512" i="7"/>
  <c r="E511" i="7"/>
  <c r="D511" i="7"/>
  <c r="C511" i="7"/>
  <c r="B511" i="7"/>
  <c r="A511" i="7"/>
  <c r="E510" i="7"/>
  <c r="D510" i="7"/>
  <c r="C510" i="7"/>
  <c r="B510" i="7"/>
  <c r="A510" i="7"/>
  <c r="E509" i="7"/>
  <c r="D509" i="7"/>
  <c r="C509" i="7"/>
  <c r="B509" i="7"/>
  <c r="A509" i="7"/>
  <c r="E508" i="7"/>
  <c r="D508" i="7"/>
  <c r="C508" i="7"/>
  <c r="B508" i="7"/>
  <c r="A508" i="7"/>
  <c r="E507" i="7"/>
  <c r="D507" i="7"/>
  <c r="C507" i="7"/>
  <c r="B507" i="7"/>
  <c r="A507" i="7"/>
  <c r="E506" i="7"/>
  <c r="D506" i="7"/>
  <c r="C506" i="7"/>
  <c r="B506" i="7"/>
  <c r="A506" i="7"/>
  <c r="E505" i="7"/>
  <c r="D505" i="7"/>
  <c r="C505" i="7"/>
  <c r="B505" i="7"/>
  <c r="A505" i="7"/>
  <c r="E504" i="7"/>
  <c r="D504" i="7"/>
  <c r="C504" i="7"/>
  <c r="B504" i="7"/>
  <c r="A504" i="7"/>
  <c r="E503" i="7"/>
  <c r="D503" i="7"/>
  <c r="C503" i="7"/>
  <c r="B503" i="7"/>
  <c r="A503" i="7"/>
  <c r="E502" i="7"/>
  <c r="D502" i="7"/>
  <c r="C502" i="7"/>
  <c r="B502" i="7"/>
  <c r="A502" i="7"/>
  <c r="E501" i="7"/>
  <c r="D501" i="7"/>
  <c r="C501" i="7"/>
  <c r="B501" i="7"/>
  <c r="A501" i="7"/>
  <c r="E500" i="7"/>
  <c r="D500" i="7"/>
  <c r="C500" i="7"/>
  <c r="B500" i="7"/>
  <c r="A500" i="7"/>
  <c r="E499" i="7"/>
  <c r="D499" i="7"/>
  <c r="C499" i="7"/>
  <c r="B499" i="7"/>
  <c r="A499" i="7"/>
  <c r="E498" i="7"/>
  <c r="D498" i="7"/>
  <c r="C498" i="7"/>
  <c r="B498" i="7"/>
  <c r="A498" i="7"/>
  <c r="E497" i="7"/>
  <c r="D497" i="7"/>
  <c r="C497" i="7"/>
  <c r="B497" i="7"/>
  <c r="A497" i="7"/>
  <c r="E496" i="7"/>
  <c r="D496" i="7"/>
  <c r="C496" i="7"/>
  <c r="B496" i="7"/>
  <c r="A496" i="7"/>
  <c r="E495" i="7"/>
  <c r="D495" i="7"/>
  <c r="C495" i="7"/>
  <c r="B495" i="7"/>
  <c r="A495" i="7"/>
  <c r="E494" i="7"/>
  <c r="D494" i="7"/>
  <c r="C494" i="7"/>
  <c r="B494" i="7"/>
  <c r="A494" i="7"/>
  <c r="E493" i="7"/>
  <c r="D493" i="7"/>
  <c r="C493" i="7"/>
  <c r="B493" i="7"/>
  <c r="A493" i="7"/>
  <c r="E492" i="7"/>
  <c r="D492" i="7"/>
  <c r="C492" i="7"/>
  <c r="B492" i="7"/>
  <c r="A492" i="7"/>
  <c r="E491" i="7"/>
  <c r="D491" i="7"/>
  <c r="C491" i="7"/>
  <c r="B491" i="7"/>
  <c r="A491" i="7"/>
  <c r="E490" i="7"/>
  <c r="D490" i="7"/>
  <c r="C490" i="7"/>
  <c r="B490" i="7"/>
  <c r="A490" i="7"/>
  <c r="E489" i="7"/>
  <c r="D489" i="7"/>
  <c r="C489" i="7"/>
  <c r="B489" i="7"/>
  <c r="A489" i="7"/>
  <c r="E488" i="7"/>
  <c r="D488" i="7"/>
  <c r="C488" i="7"/>
  <c r="B488" i="7"/>
  <c r="A488" i="7"/>
  <c r="E487" i="7"/>
  <c r="D487" i="7"/>
  <c r="C487" i="7"/>
  <c r="B487" i="7"/>
  <c r="A487" i="7"/>
  <c r="E486" i="7"/>
  <c r="D486" i="7"/>
  <c r="C486" i="7"/>
  <c r="B486" i="7"/>
  <c r="A486" i="7"/>
  <c r="E485" i="7"/>
  <c r="D485" i="7"/>
  <c r="C485" i="7"/>
  <c r="B485" i="7"/>
  <c r="A485" i="7"/>
  <c r="E484" i="7"/>
  <c r="D484" i="7"/>
  <c r="C484" i="7"/>
  <c r="B484" i="7"/>
  <c r="A484" i="7"/>
  <c r="E483" i="7"/>
  <c r="D483" i="7"/>
  <c r="C483" i="7"/>
  <c r="B483" i="7"/>
  <c r="A483" i="7"/>
  <c r="E482" i="7"/>
  <c r="D482" i="7"/>
  <c r="C482" i="7"/>
  <c r="B482" i="7"/>
  <c r="A482" i="7"/>
  <c r="E481" i="7"/>
  <c r="D481" i="7"/>
  <c r="C481" i="7"/>
  <c r="B481" i="7"/>
  <c r="A481" i="7"/>
  <c r="E480" i="7"/>
  <c r="D480" i="7"/>
  <c r="C480" i="7"/>
  <c r="B480" i="7"/>
  <c r="A480" i="7"/>
  <c r="E479" i="7"/>
  <c r="D479" i="7"/>
  <c r="C479" i="7"/>
  <c r="B479" i="7"/>
  <c r="A479" i="7"/>
  <c r="E478" i="7"/>
  <c r="D478" i="7"/>
  <c r="C478" i="7"/>
  <c r="B478" i="7"/>
  <c r="A478" i="7"/>
  <c r="E477" i="7"/>
  <c r="D477" i="7"/>
  <c r="C477" i="7"/>
  <c r="B477" i="7"/>
  <c r="A477" i="7"/>
  <c r="E476" i="7"/>
  <c r="D476" i="7"/>
  <c r="C476" i="7"/>
  <c r="B476" i="7"/>
  <c r="A476" i="7"/>
  <c r="E475" i="7"/>
  <c r="D475" i="7"/>
  <c r="C475" i="7"/>
  <c r="B475" i="7"/>
  <c r="A475" i="7"/>
  <c r="E474" i="7"/>
  <c r="D474" i="7"/>
  <c r="C474" i="7"/>
  <c r="B474" i="7"/>
  <c r="A474" i="7"/>
  <c r="E473" i="7"/>
  <c r="D473" i="7"/>
  <c r="C473" i="7"/>
  <c r="B473" i="7"/>
  <c r="A473" i="7"/>
  <c r="E472" i="7"/>
  <c r="D472" i="7"/>
  <c r="C472" i="7"/>
  <c r="B472" i="7"/>
  <c r="A472" i="7"/>
  <c r="E471" i="7"/>
  <c r="D471" i="7"/>
  <c r="C471" i="7"/>
  <c r="B471" i="7"/>
  <c r="A471" i="7"/>
  <c r="E470" i="7"/>
  <c r="D470" i="7"/>
  <c r="C470" i="7"/>
  <c r="B470" i="7"/>
  <c r="A470" i="7"/>
  <c r="E469" i="7"/>
  <c r="D469" i="7"/>
  <c r="C469" i="7"/>
  <c r="B469" i="7"/>
  <c r="A469" i="7"/>
  <c r="E468" i="7"/>
  <c r="D468" i="7"/>
  <c r="C468" i="7"/>
  <c r="B468" i="7"/>
  <c r="A468" i="7"/>
  <c r="E467" i="7"/>
  <c r="D467" i="7"/>
  <c r="C467" i="7"/>
  <c r="B467" i="7"/>
  <c r="A467" i="7"/>
  <c r="E466" i="7"/>
  <c r="D466" i="7"/>
  <c r="C466" i="7"/>
  <c r="B466" i="7"/>
  <c r="A466" i="7"/>
  <c r="E465" i="7"/>
  <c r="D465" i="7"/>
  <c r="C465" i="7"/>
  <c r="B465" i="7"/>
  <c r="A465" i="7"/>
  <c r="E464" i="7"/>
  <c r="D464" i="7"/>
  <c r="C464" i="7"/>
  <c r="B464" i="7"/>
  <c r="A464" i="7"/>
  <c r="E463" i="7"/>
  <c r="D463" i="7"/>
  <c r="C463" i="7"/>
  <c r="B463" i="7"/>
  <c r="A463" i="7"/>
  <c r="E462" i="7"/>
  <c r="D462" i="7"/>
  <c r="C462" i="7"/>
  <c r="B462" i="7"/>
  <c r="A462" i="7"/>
  <c r="E461" i="7"/>
  <c r="D461" i="7"/>
  <c r="C461" i="7"/>
  <c r="B461" i="7"/>
  <c r="A461" i="7"/>
  <c r="E460" i="7"/>
  <c r="D460" i="7"/>
  <c r="C460" i="7"/>
  <c r="B460" i="7"/>
  <c r="A460" i="7"/>
  <c r="E459" i="7"/>
  <c r="D459" i="7"/>
  <c r="C459" i="7"/>
  <c r="B459" i="7"/>
  <c r="A459" i="7"/>
  <c r="E458" i="7"/>
  <c r="D458" i="7"/>
  <c r="C458" i="7"/>
  <c r="B458" i="7"/>
  <c r="A458" i="7"/>
  <c r="E457" i="7"/>
  <c r="D457" i="7"/>
  <c r="C457" i="7"/>
  <c r="B457" i="7"/>
  <c r="A457" i="7"/>
  <c r="E456" i="7"/>
  <c r="D456" i="7"/>
  <c r="C456" i="7"/>
  <c r="B456" i="7"/>
  <c r="A456" i="7"/>
  <c r="E455" i="7"/>
  <c r="D455" i="7"/>
  <c r="C455" i="7"/>
  <c r="B455" i="7"/>
  <c r="A455" i="7"/>
  <c r="E454" i="7"/>
  <c r="D454" i="7"/>
  <c r="C454" i="7"/>
  <c r="B454" i="7"/>
  <c r="A454" i="7"/>
  <c r="E453" i="7"/>
  <c r="D453" i="7"/>
  <c r="C453" i="7"/>
  <c r="B453" i="7"/>
  <c r="A453" i="7"/>
  <c r="E452" i="7"/>
  <c r="D452" i="7"/>
  <c r="C452" i="7"/>
  <c r="B452" i="7"/>
  <c r="A452" i="7"/>
  <c r="E451" i="7"/>
  <c r="D451" i="7"/>
  <c r="C451" i="7"/>
  <c r="B451" i="7"/>
  <c r="A451" i="7"/>
  <c r="E450" i="7"/>
  <c r="D450" i="7"/>
  <c r="C450" i="7"/>
  <c r="B450" i="7"/>
  <c r="A450" i="7"/>
  <c r="E449" i="7"/>
  <c r="D449" i="7"/>
  <c r="C449" i="7"/>
  <c r="B449" i="7"/>
  <c r="A449" i="7"/>
  <c r="E448" i="7"/>
  <c r="D448" i="7"/>
  <c r="C448" i="7"/>
  <c r="B448" i="7"/>
  <c r="A448" i="7"/>
  <c r="E447" i="7"/>
  <c r="D447" i="7"/>
  <c r="C447" i="7"/>
  <c r="B447" i="7"/>
  <c r="A447" i="7"/>
  <c r="E446" i="7"/>
  <c r="D446" i="7"/>
  <c r="C446" i="7"/>
  <c r="B446" i="7"/>
  <c r="A446" i="7"/>
  <c r="E445" i="7"/>
  <c r="D445" i="7"/>
  <c r="C445" i="7"/>
  <c r="B445" i="7"/>
  <c r="A445" i="7"/>
  <c r="E444" i="7"/>
  <c r="D444" i="7"/>
  <c r="C444" i="7"/>
  <c r="B444" i="7"/>
  <c r="A444" i="7"/>
  <c r="E443" i="7"/>
  <c r="D443" i="7"/>
  <c r="C443" i="7"/>
  <c r="B443" i="7"/>
  <c r="A443" i="7"/>
  <c r="E442" i="7"/>
  <c r="D442" i="7"/>
  <c r="C442" i="7"/>
  <c r="B442" i="7"/>
  <c r="A442" i="7"/>
  <c r="E441" i="7"/>
  <c r="D441" i="7"/>
  <c r="C441" i="7"/>
  <c r="B441" i="7"/>
  <c r="A441" i="7"/>
  <c r="E440" i="7"/>
  <c r="D440" i="7"/>
  <c r="C440" i="7"/>
  <c r="B440" i="7"/>
  <c r="A440" i="7"/>
  <c r="E439" i="7"/>
  <c r="D439" i="7"/>
  <c r="C439" i="7"/>
  <c r="B439" i="7"/>
  <c r="A439" i="7"/>
  <c r="E438" i="7"/>
  <c r="D438" i="7"/>
  <c r="C438" i="7"/>
  <c r="B438" i="7"/>
  <c r="A438" i="7"/>
  <c r="E437" i="7"/>
  <c r="D437" i="7"/>
  <c r="C437" i="7"/>
  <c r="B437" i="7"/>
  <c r="A437" i="7"/>
  <c r="E436" i="7"/>
  <c r="D436" i="7"/>
  <c r="C436" i="7"/>
  <c r="B436" i="7"/>
  <c r="A436" i="7"/>
  <c r="E435" i="7"/>
  <c r="D435" i="7"/>
  <c r="C435" i="7"/>
  <c r="B435" i="7"/>
  <c r="A435" i="7"/>
  <c r="E434" i="7"/>
  <c r="D434" i="7"/>
  <c r="C434" i="7"/>
  <c r="B434" i="7"/>
  <c r="A434" i="7"/>
  <c r="E433" i="7"/>
  <c r="D433" i="7"/>
  <c r="C433" i="7"/>
  <c r="B433" i="7"/>
  <c r="A433" i="7"/>
  <c r="E432" i="7"/>
  <c r="D432" i="7"/>
  <c r="C432" i="7"/>
  <c r="B432" i="7"/>
  <c r="A432" i="7"/>
  <c r="E431" i="7"/>
  <c r="D431" i="7"/>
  <c r="C431" i="7"/>
  <c r="B431" i="7"/>
  <c r="A431" i="7"/>
  <c r="E430" i="7"/>
  <c r="D430" i="7"/>
  <c r="C430" i="7"/>
  <c r="B430" i="7"/>
  <c r="A430" i="7"/>
  <c r="E429" i="7"/>
  <c r="D429" i="7"/>
  <c r="C429" i="7"/>
  <c r="B429" i="7"/>
  <c r="A429" i="7"/>
  <c r="E428" i="7"/>
  <c r="D428" i="7"/>
  <c r="C428" i="7"/>
  <c r="B428" i="7"/>
  <c r="A428" i="7"/>
  <c r="E427" i="7"/>
  <c r="D427" i="7"/>
  <c r="C427" i="7"/>
  <c r="B427" i="7"/>
  <c r="A427" i="7"/>
  <c r="E426" i="7"/>
  <c r="D426" i="7"/>
  <c r="C426" i="7"/>
  <c r="B426" i="7"/>
  <c r="A426" i="7"/>
  <c r="E425" i="7"/>
  <c r="D425" i="7"/>
  <c r="C425" i="7"/>
  <c r="B425" i="7"/>
  <c r="A425" i="7"/>
  <c r="E424" i="7"/>
  <c r="D424" i="7"/>
  <c r="C424" i="7"/>
  <c r="B424" i="7"/>
  <c r="A424" i="7"/>
  <c r="E423" i="7"/>
  <c r="D423" i="7"/>
  <c r="C423" i="7"/>
  <c r="B423" i="7"/>
  <c r="A423" i="7"/>
  <c r="E422" i="7"/>
  <c r="D422" i="7"/>
  <c r="C422" i="7"/>
  <c r="B422" i="7"/>
  <c r="A422" i="7"/>
  <c r="E421" i="7"/>
  <c r="D421" i="7"/>
  <c r="C421" i="7"/>
  <c r="B421" i="7"/>
  <c r="A421" i="7"/>
  <c r="E420" i="7"/>
  <c r="D420" i="7"/>
  <c r="C420" i="7"/>
  <c r="B420" i="7"/>
  <c r="A420" i="7"/>
  <c r="E419" i="7"/>
  <c r="D419" i="7"/>
  <c r="C419" i="7"/>
  <c r="B419" i="7"/>
  <c r="A419" i="7"/>
  <c r="E418" i="7"/>
  <c r="D418" i="7"/>
  <c r="C418" i="7"/>
  <c r="B418" i="7"/>
  <c r="A418" i="7"/>
  <c r="E417" i="7"/>
  <c r="D417" i="7"/>
  <c r="C417" i="7"/>
  <c r="B417" i="7"/>
  <c r="A417" i="7"/>
  <c r="E416" i="7"/>
  <c r="D416" i="7"/>
  <c r="C416" i="7"/>
  <c r="B416" i="7"/>
  <c r="A416" i="7"/>
  <c r="E415" i="7"/>
  <c r="D415" i="7"/>
  <c r="C415" i="7"/>
  <c r="B415" i="7"/>
  <c r="A415" i="7"/>
  <c r="E414" i="7"/>
  <c r="D414" i="7"/>
  <c r="C414" i="7"/>
  <c r="B414" i="7"/>
  <c r="A414" i="7"/>
  <c r="E413" i="7"/>
  <c r="D413" i="7"/>
  <c r="C413" i="7"/>
  <c r="B413" i="7"/>
  <c r="A413" i="7"/>
  <c r="E412" i="7"/>
  <c r="D412" i="7"/>
  <c r="C412" i="7"/>
  <c r="B412" i="7"/>
  <c r="A412" i="7"/>
  <c r="E411" i="7"/>
  <c r="D411" i="7"/>
  <c r="C411" i="7"/>
  <c r="B411" i="7"/>
  <c r="A411" i="7"/>
  <c r="E410" i="7"/>
  <c r="D410" i="7"/>
  <c r="C410" i="7"/>
  <c r="B410" i="7"/>
  <c r="A410" i="7"/>
  <c r="E409" i="7"/>
  <c r="D409" i="7"/>
  <c r="C409" i="7"/>
  <c r="B409" i="7"/>
  <c r="A409" i="7"/>
  <c r="E408" i="7"/>
  <c r="D408" i="7"/>
  <c r="C408" i="7"/>
  <c r="B408" i="7"/>
  <c r="A408" i="7"/>
  <c r="E407" i="7"/>
  <c r="D407" i="7"/>
  <c r="C407" i="7"/>
  <c r="B407" i="7"/>
  <c r="A407" i="7"/>
  <c r="E406" i="7"/>
  <c r="D406" i="7"/>
  <c r="C406" i="7"/>
  <c r="B406" i="7"/>
  <c r="A406" i="7"/>
  <c r="E405" i="7"/>
  <c r="D405" i="7"/>
  <c r="C405" i="7"/>
  <c r="B405" i="7"/>
  <c r="A405" i="7"/>
  <c r="E404" i="7"/>
  <c r="D404" i="7"/>
  <c r="C404" i="7"/>
  <c r="B404" i="7"/>
  <c r="A404" i="7"/>
  <c r="E403" i="7"/>
  <c r="D403" i="7"/>
  <c r="C403" i="7"/>
  <c r="B403" i="7"/>
  <c r="A403" i="7"/>
  <c r="E402" i="7"/>
  <c r="D402" i="7"/>
  <c r="C402" i="7"/>
  <c r="B402" i="7"/>
  <c r="A402" i="7"/>
  <c r="E401" i="7"/>
  <c r="D401" i="7"/>
  <c r="C401" i="7"/>
  <c r="B401" i="7"/>
  <c r="A401" i="7"/>
  <c r="E400" i="7"/>
  <c r="D400" i="7"/>
  <c r="C400" i="7"/>
  <c r="B400" i="7"/>
  <c r="A400" i="7"/>
  <c r="E399" i="7"/>
  <c r="D399" i="7"/>
  <c r="C399" i="7"/>
  <c r="B399" i="7"/>
  <c r="A399" i="7"/>
  <c r="E398" i="7"/>
  <c r="D398" i="7"/>
  <c r="C398" i="7"/>
  <c r="B398" i="7"/>
  <c r="A398" i="7"/>
  <c r="E397" i="7"/>
  <c r="D397" i="7"/>
  <c r="C397" i="7"/>
  <c r="B397" i="7"/>
  <c r="A397" i="7"/>
  <c r="E396" i="7"/>
  <c r="D396" i="7"/>
  <c r="C396" i="7"/>
  <c r="B396" i="7"/>
  <c r="A396" i="7"/>
  <c r="E395" i="7"/>
  <c r="D395" i="7"/>
  <c r="C395" i="7"/>
  <c r="B395" i="7"/>
  <c r="A395" i="7"/>
  <c r="E394" i="7"/>
  <c r="D394" i="7"/>
  <c r="C394" i="7"/>
  <c r="B394" i="7"/>
  <c r="A394" i="7"/>
  <c r="E393" i="7"/>
  <c r="D393" i="7"/>
  <c r="C393" i="7"/>
  <c r="B393" i="7"/>
  <c r="A393" i="7"/>
  <c r="E392" i="7"/>
  <c r="D392" i="7"/>
  <c r="C392" i="7"/>
  <c r="B392" i="7"/>
  <c r="A392" i="7"/>
  <c r="E391" i="7"/>
  <c r="D391" i="7"/>
  <c r="C391" i="7"/>
  <c r="B391" i="7"/>
  <c r="A391" i="7"/>
  <c r="E390" i="7"/>
  <c r="D390" i="7"/>
  <c r="C390" i="7"/>
  <c r="B390" i="7"/>
  <c r="A390" i="7"/>
  <c r="E389" i="7"/>
  <c r="D389" i="7"/>
  <c r="C389" i="7"/>
  <c r="B389" i="7"/>
  <c r="A389" i="7"/>
  <c r="E388" i="7"/>
  <c r="D388" i="7"/>
  <c r="C388" i="7"/>
  <c r="B388" i="7"/>
  <c r="A388" i="7"/>
  <c r="E387" i="7"/>
  <c r="D387" i="7"/>
  <c r="C387" i="7"/>
  <c r="B387" i="7"/>
  <c r="A387" i="7"/>
  <c r="E386" i="7"/>
  <c r="D386" i="7"/>
  <c r="C386" i="7"/>
  <c r="B386" i="7"/>
  <c r="A386" i="7"/>
  <c r="E385" i="7"/>
  <c r="D385" i="7"/>
  <c r="C385" i="7"/>
  <c r="B385" i="7"/>
  <c r="A385" i="7"/>
  <c r="E384" i="7"/>
  <c r="D384" i="7"/>
  <c r="C384" i="7"/>
  <c r="B384" i="7"/>
  <c r="A384" i="7"/>
  <c r="E383" i="7"/>
  <c r="D383" i="7"/>
  <c r="C383" i="7"/>
  <c r="B383" i="7"/>
  <c r="A383" i="7"/>
  <c r="E382" i="7"/>
  <c r="D382" i="7"/>
  <c r="C382" i="7"/>
  <c r="B382" i="7"/>
  <c r="A382" i="7"/>
  <c r="E381" i="7"/>
  <c r="D381" i="7"/>
  <c r="C381" i="7"/>
  <c r="B381" i="7"/>
  <c r="A381" i="7"/>
  <c r="E380" i="7"/>
  <c r="D380" i="7"/>
  <c r="C380" i="7"/>
  <c r="B380" i="7"/>
  <c r="A380" i="7"/>
  <c r="E379" i="7"/>
  <c r="D379" i="7"/>
  <c r="C379" i="7"/>
  <c r="B379" i="7"/>
  <c r="A379" i="7"/>
  <c r="E378" i="7"/>
  <c r="D378" i="7"/>
  <c r="C378" i="7"/>
  <c r="B378" i="7"/>
  <c r="A378" i="7"/>
  <c r="E377" i="7"/>
  <c r="D377" i="7"/>
  <c r="C377" i="7"/>
  <c r="B377" i="7"/>
  <c r="A377" i="7"/>
  <c r="E376" i="7"/>
  <c r="D376" i="7"/>
  <c r="C376" i="7"/>
  <c r="B376" i="7"/>
  <c r="A376" i="7"/>
  <c r="E375" i="7"/>
  <c r="D375" i="7"/>
  <c r="C375" i="7"/>
  <c r="B375" i="7"/>
  <c r="A375" i="7"/>
  <c r="E374" i="7"/>
  <c r="D374" i="7"/>
  <c r="C374" i="7"/>
  <c r="B374" i="7"/>
  <c r="A374" i="7"/>
  <c r="E373" i="7"/>
  <c r="D373" i="7"/>
  <c r="C373" i="7"/>
  <c r="B373" i="7"/>
  <c r="A373" i="7"/>
  <c r="E372" i="7"/>
  <c r="D372" i="7"/>
  <c r="C372" i="7"/>
  <c r="B372" i="7"/>
  <c r="A372" i="7"/>
  <c r="E371" i="7"/>
  <c r="D371" i="7"/>
  <c r="C371" i="7"/>
  <c r="B371" i="7"/>
  <c r="A371" i="7"/>
  <c r="E370" i="7"/>
  <c r="D370" i="7"/>
  <c r="C370" i="7"/>
  <c r="B370" i="7"/>
  <c r="A370" i="7"/>
  <c r="E369" i="7"/>
  <c r="D369" i="7"/>
  <c r="C369" i="7"/>
  <c r="B369" i="7"/>
  <c r="A369" i="7"/>
  <c r="E368" i="7"/>
  <c r="D368" i="7"/>
  <c r="C368" i="7"/>
  <c r="B368" i="7"/>
  <c r="A368" i="7"/>
  <c r="E367" i="7"/>
  <c r="D367" i="7"/>
  <c r="C367" i="7"/>
  <c r="B367" i="7"/>
  <c r="A367" i="7"/>
  <c r="E366" i="7"/>
  <c r="D366" i="7"/>
  <c r="C366" i="7"/>
  <c r="B366" i="7"/>
  <c r="A366" i="7"/>
  <c r="E365" i="7"/>
  <c r="D365" i="7"/>
  <c r="C365" i="7"/>
  <c r="B365" i="7"/>
  <c r="A365" i="7"/>
  <c r="E364" i="7"/>
  <c r="D364" i="7"/>
  <c r="C364" i="7"/>
  <c r="B364" i="7"/>
  <c r="A364" i="7"/>
  <c r="E363" i="7"/>
  <c r="D363" i="7"/>
  <c r="C363" i="7"/>
  <c r="B363" i="7"/>
  <c r="A363" i="7"/>
  <c r="E362" i="7"/>
  <c r="D362" i="7"/>
  <c r="C362" i="7"/>
  <c r="B362" i="7"/>
  <c r="A362" i="7"/>
  <c r="E361" i="7"/>
  <c r="D361" i="7"/>
  <c r="C361" i="7"/>
  <c r="B361" i="7"/>
  <c r="A361" i="7"/>
  <c r="E360" i="7"/>
  <c r="D360" i="7"/>
  <c r="C360" i="7"/>
  <c r="B360" i="7"/>
  <c r="A360" i="7"/>
  <c r="E359" i="7"/>
  <c r="D359" i="7"/>
  <c r="C359" i="7"/>
  <c r="B359" i="7"/>
  <c r="A359" i="7"/>
  <c r="E358" i="7"/>
  <c r="D358" i="7"/>
  <c r="C358" i="7"/>
  <c r="B358" i="7"/>
  <c r="A358" i="7"/>
  <c r="E357" i="7"/>
  <c r="D357" i="7"/>
  <c r="C357" i="7"/>
  <c r="B357" i="7"/>
  <c r="A357" i="7"/>
  <c r="E356" i="7"/>
  <c r="D356" i="7"/>
  <c r="C356" i="7"/>
  <c r="B356" i="7"/>
  <c r="A356" i="7"/>
  <c r="E355" i="7"/>
  <c r="D355" i="7"/>
  <c r="C355" i="7"/>
  <c r="B355" i="7"/>
  <c r="A355" i="7"/>
  <c r="E354" i="7"/>
  <c r="D354" i="7"/>
  <c r="C354" i="7"/>
  <c r="B354" i="7"/>
  <c r="A354" i="7"/>
  <c r="E353" i="7"/>
  <c r="D353" i="7"/>
  <c r="C353" i="7"/>
  <c r="B353" i="7"/>
  <c r="A353" i="7"/>
  <c r="E352" i="7"/>
  <c r="D352" i="7"/>
  <c r="C352" i="7"/>
  <c r="B352" i="7"/>
  <c r="A352" i="7"/>
  <c r="E351" i="7"/>
  <c r="D351" i="7"/>
  <c r="C351" i="7"/>
  <c r="B351" i="7"/>
  <c r="A351" i="7"/>
  <c r="E350" i="7"/>
  <c r="D350" i="7"/>
  <c r="C350" i="7"/>
  <c r="B350" i="7"/>
  <c r="A350" i="7"/>
  <c r="E349" i="7"/>
  <c r="D349" i="7"/>
  <c r="C349" i="7"/>
  <c r="B349" i="7"/>
  <c r="A349" i="7"/>
  <c r="E348" i="7"/>
  <c r="D348" i="7"/>
  <c r="C348" i="7"/>
  <c r="B348" i="7"/>
  <c r="A348" i="7"/>
  <c r="E347" i="7"/>
  <c r="D347" i="7"/>
  <c r="C347" i="7"/>
  <c r="B347" i="7"/>
  <c r="A347" i="7"/>
  <c r="E346" i="7"/>
  <c r="D346" i="7"/>
  <c r="C346" i="7"/>
  <c r="B346" i="7"/>
  <c r="A346" i="7"/>
  <c r="E345" i="7"/>
  <c r="D345" i="7"/>
  <c r="C345" i="7"/>
  <c r="B345" i="7"/>
  <c r="A345" i="7"/>
  <c r="E344" i="7"/>
  <c r="D344" i="7"/>
  <c r="C344" i="7"/>
  <c r="B344" i="7"/>
  <c r="A344" i="7"/>
  <c r="E343" i="7"/>
  <c r="D343" i="7"/>
  <c r="C343" i="7"/>
  <c r="B343" i="7"/>
  <c r="A343" i="7"/>
  <c r="E342" i="7"/>
  <c r="D342" i="7"/>
  <c r="C342" i="7"/>
  <c r="B342" i="7"/>
  <c r="A342" i="7"/>
  <c r="E341" i="7"/>
  <c r="D341" i="7"/>
  <c r="C341" i="7"/>
  <c r="B341" i="7"/>
  <c r="A341" i="7"/>
  <c r="E340" i="7"/>
  <c r="D340" i="7"/>
  <c r="C340" i="7"/>
  <c r="B340" i="7"/>
  <c r="A340" i="7"/>
  <c r="E339" i="7"/>
  <c r="D339" i="7"/>
  <c r="C339" i="7"/>
  <c r="B339" i="7"/>
  <c r="A339" i="7"/>
  <c r="E338" i="7"/>
  <c r="D338" i="7"/>
  <c r="C338" i="7"/>
  <c r="B338" i="7"/>
  <c r="A338" i="7"/>
  <c r="E337" i="7"/>
  <c r="D337" i="7"/>
  <c r="C337" i="7"/>
  <c r="B337" i="7"/>
  <c r="A337" i="7"/>
  <c r="E336" i="7"/>
  <c r="D336" i="7"/>
  <c r="C336" i="7"/>
  <c r="B336" i="7"/>
  <c r="A336" i="7"/>
  <c r="E335" i="7"/>
  <c r="D335" i="7"/>
  <c r="C335" i="7"/>
  <c r="B335" i="7"/>
  <c r="A335" i="7"/>
  <c r="E334" i="7"/>
  <c r="D334" i="7"/>
  <c r="C334" i="7"/>
  <c r="B334" i="7"/>
  <c r="A334" i="7"/>
  <c r="E333" i="7"/>
  <c r="D333" i="7"/>
  <c r="C333" i="7"/>
  <c r="B333" i="7"/>
  <c r="A333" i="7"/>
  <c r="E332" i="7"/>
  <c r="D332" i="7"/>
  <c r="C332" i="7"/>
  <c r="B332" i="7"/>
  <c r="A332" i="7"/>
  <c r="E331" i="7"/>
  <c r="D331" i="7"/>
  <c r="C331" i="7"/>
  <c r="B331" i="7"/>
  <c r="A331" i="7"/>
  <c r="E330" i="7"/>
  <c r="D330" i="7"/>
  <c r="C330" i="7"/>
  <c r="B330" i="7"/>
  <c r="A330" i="7"/>
  <c r="E329" i="7"/>
  <c r="D329" i="7"/>
  <c r="C329" i="7"/>
  <c r="B329" i="7"/>
  <c r="A329" i="7"/>
  <c r="E328" i="7"/>
  <c r="D328" i="7"/>
  <c r="C328" i="7"/>
  <c r="B328" i="7"/>
  <c r="A328" i="7"/>
  <c r="E327" i="7"/>
  <c r="D327" i="7"/>
  <c r="C327" i="7"/>
  <c r="B327" i="7"/>
  <c r="A327" i="7"/>
  <c r="E326" i="7"/>
  <c r="D326" i="7"/>
  <c r="C326" i="7"/>
  <c r="B326" i="7"/>
  <c r="A326" i="7"/>
  <c r="E325" i="7"/>
  <c r="D325" i="7"/>
  <c r="C325" i="7"/>
  <c r="B325" i="7"/>
  <c r="A325" i="7"/>
  <c r="E324" i="7"/>
  <c r="D324" i="7"/>
  <c r="C324" i="7"/>
  <c r="B324" i="7"/>
  <c r="A324" i="7"/>
  <c r="E323" i="7"/>
  <c r="D323" i="7"/>
  <c r="C323" i="7"/>
  <c r="B323" i="7"/>
  <c r="A323" i="7"/>
  <c r="E322" i="7"/>
  <c r="D322" i="7"/>
  <c r="C322" i="7"/>
  <c r="B322" i="7"/>
  <c r="A322" i="7"/>
  <c r="E321" i="7"/>
  <c r="D321" i="7"/>
  <c r="C321" i="7"/>
  <c r="B321" i="7"/>
  <c r="A321" i="7"/>
  <c r="E320" i="7"/>
  <c r="D320" i="7"/>
  <c r="C320" i="7"/>
  <c r="B320" i="7"/>
  <c r="A320" i="7"/>
  <c r="E319" i="7"/>
  <c r="D319" i="7"/>
  <c r="C319" i="7"/>
  <c r="B319" i="7"/>
  <c r="A319" i="7"/>
  <c r="E318" i="7"/>
  <c r="D318" i="7"/>
  <c r="C318" i="7"/>
  <c r="B318" i="7"/>
  <c r="A318" i="7"/>
  <c r="E317" i="7"/>
  <c r="D317" i="7"/>
  <c r="C317" i="7"/>
  <c r="B317" i="7"/>
  <c r="A317" i="7"/>
  <c r="E316" i="7"/>
  <c r="D316" i="7"/>
  <c r="C316" i="7"/>
  <c r="B316" i="7"/>
  <c r="A316" i="7"/>
  <c r="E315" i="7"/>
  <c r="D315" i="7"/>
  <c r="C315" i="7"/>
  <c r="B315" i="7"/>
  <c r="A315" i="7"/>
  <c r="E314" i="7"/>
  <c r="D314" i="7"/>
  <c r="C314" i="7"/>
  <c r="B314" i="7"/>
  <c r="A314" i="7"/>
  <c r="E313" i="7"/>
  <c r="D313" i="7"/>
  <c r="C313" i="7"/>
  <c r="B313" i="7"/>
  <c r="A313" i="7"/>
  <c r="E312" i="7"/>
  <c r="D312" i="7"/>
  <c r="C312" i="7"/>
  <c r="B312" i="7"/>
  <c r="A312" i="7"/>
  <c r="E311" i="7"/>
  <c r="D311" i="7"/>
  <c r="C311" i="7"/>
  <c r="B311" i="7"/>
  <c r="A311" i="7"/>
  <c r="E310" i="7"/>
  <c r="D310" i="7"/>
  <c r="C310" i="7"/>
  <c r="B310" i="7"/>
  <c r="A310" i="7"/>
  <c r="E309" i="7"/>
  <c r="D309" i="7"/>
  <c r="C309" i="7"/>
  <c r="B309" i="7"/>
  <c r="A309" i="7"/>
  <c r="E308" i="7"/>
  <c r="D308" i="7"/>
  <c r="C308" i="7"/>
  <c r="B308" i="7"/>
  <c r="A308" i="7"/>
  <c r="E307" i="7"/>
  <c r="D307" i="7"/>
  <c r="C307" i="7"/>
  <c r="B307" i="7"/>
  <c r="A307" i="7"/>
  <c r="E306" i="7"/>
  <c r="D306" i="7"/>
  <c r="C306" i="7"/>
  <c r="B306" i="7"/>
  <c r="A306" i="7"/>
  <c r="E305" i="7"/>
  <c r="D305" i="7"/>
  <c r="C305" i="7"/>
  <c r="B305" i="7"/>
  <c r="A305" i="7"/>
  <c r="E304" i="7"/>
  <c r="D304" i="7"/>
  <c r="C304" i="7"/>
  <c r="B304" i="7"/>
  <c r="A304" i="7"/>
  <c r="E303" i="7"/>
  <c r="D303" i="7"/>
  <c r="C303" i="7"/>
  <c r="B303" i="7"/>
  <c r="A303" i="7"/>
  <c r="E302" i="7"/>
  <c r="D302" i="7"/>
  <c r="C302" i="7"/>
  <c r="B302" i="7"/>
  <c r="A302" i="7"/>
  <c r="E301" i="7"/>
  <c r="D301" i="7"/>
  <c r="C301" i="7"/>
  <c r="B301" i="7"/>
  <c r="A301" i="7"/>
  <c r="E300" i="7"/>
  <c r="D300" i="7"/>
  <c r="C300" i="7"/>
  <c r="B300" i="7"/>
  <c r="A300" i="7"/>
  <c r="E299" i="7"/>
  <c r="D299" i="7"/>
  <c r="C299" i="7"/>
  <c r="B299" i="7"/>
  <c r="A299" i="7"/>
  <c r="E298" i="7"/>
  <c r="D298" i="7"/>
  <c r="C298" i="7"/>
  <c r="B298" i="7"/>
  <c r="A298" i="7"/>
  <c r="E297" i="7"/>
  <c r="D297" i="7"/>
  <c r="C297" i="7"/>
  <c r="B297" i="7"/>
  <c r="A297" i="7"/>
  <c r="E296" i="7"/>
  <c r="D296" i="7"/>
  <c r="C296" i="7"/>
  <c r="B296" i="7"/>
  <c r="A296" i="7"/>
  <c r="E295" i="7"/>
  <c r="D295" i="7"/>
  <c r="C295" i="7"/>
  <c r="B295" i="7"/>
  <c r="A295" i="7"/>
  <c r="E294" i="7"/>
  <c r="D294" i="7"/>
  <c r="C294" i="7"/>
  <c r="B294" i="7"/>
  <c r="A294" i="7"/>
  <c r="E293" i="7"/>
  <c r="D293" i="7"/>
  <c r="C293" i="7"/>
  <c r="B293" i="7"/>
  <c r="A293" i="7"/>
  <c r="E292" i="7"/>
  <c r="D292" i="7"/>
  <c r="C292" i="7"/>
  <c r="B292" i="7"/>
  <c r="A292" i="7"/>
  <c r="E291" i="7"/>
  <c r="D291" i="7"/>
  <c r="C291" i="7"/>
  <c r="B291" i="7"/>
  <c r="A291" i="7"/>
  <c r="E290" i="7"/>
  <c r="D290" i="7"/>
  <c r="C290" i="7"/>
  <c r="B290" i="7"/>
  <c r="A290" i="7"/>
  <c r="E289" i="7"/>
  <c r="D289" i="7"/>
  <c r="C289" i="7"/>
  <c r="B289" i="7"/>
  <c r="A289" i="7"/>
  <c r="E288" i="7"/>
  <c r="D288" i="7"/>
  <c r="C288" i="7"/>
  <c r="B288" i="7"/>
  <c r="A288" i="7"/>
  <c r="E287" i="7"/>
  <c r="D287" i="7"/>
  <c r="C287" i="7"/>
  <c r="B287" i="7"/>
  <c r="A287" i="7"/>
  <c r="E286" i="7"/>
  <c r="D286" i="7"/>
  <c r="C286" i="7"/>
  <c r="B286" i="7"/>
  <c r="A286" i="7"/>
  <c r="E285" i="7"/>
  <c r="D285" i="7"/>
  <c r="C285" i="7"/>
  <c r="B285" i="7"/>
  <c r="A285" i="7"/>
  <c r="E284" i="7"/>
  <c r="D284" i="7"/>
  <c r="C284" i="7"/>
  <c r="B284" i="7"/>
  <c r="A284" i="7"/>
  <c r="E283" i="7"/>
  <c r="D283" i="7"/>
  <c r="C283" i="7"/>
  <c r="B283" i="7"/>
  <c r="A283" i="7"/>
  <c r="E282" i="7"/>
  <c r="D282" i="7"/>
  <c r="C282" i="7"/>
  <c r="B282" i="7"/>
  <c r="A282" i="7"/>
  <c r="E281" i="7"/>
  <c r="D281" i="7"/>
  <c r="C281" i="7"/>
  <c r="B281" i="7"/>
  <c r="A281" i="7"/>
  <c r="E280" i="7"/>
  <c r="D280" i="7"/>
  <c r="C280" i="7"/>
  <c r="B280" i="7"/>
  <c r="A280" i="7"/>
  <c r="E279" i="7"/>
  <c r="D279" i="7"/>
  <c r="C279" i="7"/>
  <c r="B279" i="7"/>
  <c r="A279" i="7"/>
  <c r="E278" i="7"/>
  <c r="D278" i="7"/>
  <c r="C278" i="7"/>
  <c r="B278" i="7"/>
  <c r="A278" i="7"/>
  <c r="E277" i="7"/>
  <c r="D277" i="7"/>
  <c r="C277" i="7"/>
  <c r="B277" i="7"/>
  <c r="A277" i="7"/>
  <c r="E276" i="7"/>
  <c r="D276" i="7"/>
  <c r="C276" i="7"/>
  <c r="B276" i="7"/>
  <c r="A276" i="7"/>
  <c r="E275" i="7"/>
  <c r="D275" i="7"/>
  <c r="C275" i="7"/>
  <c r="B275" i="7"/>
  <c r="A275" i="7"/>
  <c r="E274" i="7"/>
  <c r="D274" i="7"/>
  <c r="C274" i="7"/>
  <c r="B274" i="7"/>
  <c r="A274" i="7"/>
  <c r="E273" i="7"/>
  <c r="D273" i="7"/>
  <c r="C273" i="7"/>
  <c r="B273" i="7"/>
  <c r="A273" i="7"/>
  <c r="E272" i="7"/>
  <c r="D272" i="7"/>
  <c r="C272" i="7"/>
  <c r="B272" i="7"/>
  <c r="A272" i="7"/>
  <c r="E271" i="7"/>
  <c r="D271" i="7"/>
  <c r="C271" i="7"/>
  <c r="B271" i="7"/>
  <c r="A271" i="7"/>
  <c r="E270" i="7"/>
  <c r="D270" i="7"/>
  <c r="C270" i="7"/>
  <c r="B270" i="7"/>
  <c r="A270" i="7"/>
  <c r="E269" i="7"/>
  <c r="D269" i="7"/>
  <c r="C269" i="7"/>
  <c r="B269" i="7"/>
  <c r="A269" i="7"/>
  <c r="E268" i="7"/>
  <c r="D268" i="7"/>
  <c r="C268" i="7"/>
  <c r="B268" i="7"/>
  <c r="A268" i="7"/>
  <c r="E267" i="7"/>
  <c r="D267" i="7"/>
  <c r="C267" i="7"/>
  <c r="B267" i="7"/>
  <c r="A267" i="7"/>
  <c r="E266" i="7"/>
  <c r="D266" i="7"/>
  <c r="C266" i="7"/>
  <c r="B266" i="7"/>
  <c r="A266" i="7"/>
  <c r="E265" i="7"/>
  <c r="D265" i="7"/>
  <c r="C265" i="7"/>
  <c r="B265" i="7"/>
  <c r="A265" i="7"/>
  <c r="E264" i="7"/>
  <c r="D264" i="7"/>
  <c r="C264" i="7"/>
  <c r="B264" i="7"/>
  <c r="A264" i="7"/>
  <c r="E263" i="7"/>
  <c r="D263" i="7"/>
  <c r="C263" i="7"/>
  <c r="B263" i="7"/>
  <c r="A263" i="7"/>
  <c r="E262" i="7"/>
  <c r="D262" i="7"/>
  <c r="C262" i="7"/>
  <c r="B262" i="7"/>
  <c r="A262" i="7"/>
  <c r="E261" i="7"/>
  <c r="D261" i="7"/>
  <c r="C261" i="7"/>
  <c r="B261" i="7"/>
  <c r="A261" i="7"/>
  <c r="E260" i="7"/>
  <c r="D260" i="7"/>
  <c r="C260" i="7"/>
  <c r="B260" i="7"/>
  <c r="A260" i="7"/>
  <c r="E259" i="7"/>
  <c r="D259" i="7"/>
  <c r="C259" i="7"/>
  <c r="B259" i="7"/>
  <c r="A259" i="7"/>
  <c r="E258" i="7"/>
  <c r="D258" i="7"/>
  <c r="C258" i="7"/>
  <c r="B258" i="7"/>
  <c r="A258" i="7"/>
  <c r="E257" i="7"/>
  <c r="D257" i="7"/>
  <c r="C257" i="7"/>
  <c r="B257" i="7"/>
  <c r="A257" i="7"/>
  <c r="E256" i="7"/>
  <c r="D256" i="7"/>
  <c r="C256" i="7"/>
  <c r="B256" i="7"/>
  <c r="A256" i="7"/>
  <c r="E255" i="7"/>
  <c r="D255" i="7"/>
  <c r="C255" i="7"/>
  <c r="B255" i="7"/>
  <c r="A255" i="7"/>
  <c r="E254" i="7"/>
  <c r="D254" i="7"/>
  <c r="C254" i="7"/>
  <c r="B254" i="7"/>
  <c r="A254" i="7"/>
  <c r="E253" i="7"/>
  <c r="D253" i="7"/>
  <c r="C253" i="7"/>
  <c r="B253" i="7"/>
  <c r="A253" i="7"/>
  <c r="E252" i="7"/>
  <c r="D252" i="7"/>
  <c r="C252" i="7"/>
  <c r="B252" i="7"/>
  <c r="A252" i="7"/>
  <c r="E251" i="7"/>
  <c r="D251" i="7"/>
  <c r="C251" i="7"/>
  <c r="B251" i="7"/>
  <c r="A251" i="7"/>
  <c r="E250" i="7"/>
  <c r="D250" i="7"/>
  <c r="C250" i="7"/>
  <c r="B250" i="7"/>
  <c r="A250" i="7"/>
  <c r="E249" i="7"/>
  <c r="D249" i="7"/>
  <c r="C249" i="7"/>
  <c r="B249" i="7"/>
  <c r="A249" i="7"/>
  <c r="E248" i="7"/>
  <c r="D248" i="7"/>
  <c r="C248" i="7"/>
  <c r="B248" i="7"/>
  <c r="A248" i="7"/>
  <c r="E247" i="7"/>
  <c r="D247" i="7"/>
  <c r="C247" i="7"/>
  <c r="B247" i="7"/>
  <c r="A247" i="7"/>
  <c r="E246" i="7"/>
  <c r="D246" i="7"/>
  <c r="C246" i="7"/>
  <c r="B246" i="7"/>
  <c r="A246" i="7"/>
  <c r="E245" i="7"/>
  <c r="D245" i="7"/>
  <c r="C245" i="7"/>
  <c r="B245" i="7"/>
  <c r="A245" i="7"/>
  <c r="E244" i="7"/>
  <c r="D244" i="7"/>
  <c r="C244" i="7"/>
  <c r="B244" i="7"/>
  <c r="A244" i="7"/>
  <c r="E243" i="7"/>
  <c r="D243" i="7"/>
  <c r="C243" i="7"/>
  <c r="B243" i="7"/>
  <c r="A243" i="7"/>
  <c r="E242" i="7"/>
  <c r="D242" i="7"/>
  <c r="C242" i="7"/>
  <c r="B242" i="7"/>
  <c r="A242" i="7"/>
  <c r="E241" i="7"/>
  <c r="D241" i="7"/>
  <c r="C241" i="7"/>
  <c r="B241" i="7"/>
  <c r="A241" i="7"/>
  <c r="E240" i="7"/>
  <c r="D240" i="7"/>
  <c r="C240" i="7"/>
  <c r="B240" i="7"/>
  <c r="A240" i="7"/>
  <c r="E239" i="7"/>
  <c r="D239" i="7"/>
  <c r="C239" i="7"/>
  <c r="B239" i="7"/>
  <c r="A239" i="7"/>
  <c r="E238" i="7"/>
  <c r="D238" i="7"/>
  <c r="C238" i="7"/>
  <c r="B238" i="7"/>
  <c r="A238" i="7"/>
  <c r="E237" i="7"/>
  <c r="D237" i="7"/>
  <c r="C237" i="7"/>
  <c r="B237" i="7"/>
  <c r="A237" i="7"/>
  <c r="E236" i="7"/>
  <c r="D236" i="7"/>
  <c r="C236" i="7"/>
  <c r="B236" i="7"/>
  <c r="A236" i="7"/>
  <c r="E235" i="7"/>
  <c r="D235" i="7"/>
  <c r="C235" i="7"/>
  <c r="B235" i="7"/>
  <c r="A235" i="7"/>
  <c r="E234" i="7"/>
  <c r="D234" i="7"/>
  <c r="C234" i="7"/>
  <c r="B234" i="7"/>
  <c r="A234" i="7"/>
  <c r="E233" i="7"/>
  <c r="D233" i="7"/>
  <c r="C233" i="7"/>
  <c r="B233" i="7"/>
  <c r="A233" i="7"/>
  <c r="E232" i="7"/>
  <c r="D232" i="7"/>
  <c r="C232" i="7"/>
  <c r="B232" i="7"/>
  <c r="A232" i="7"/>
  <c r="E231" i="7"/>
  <c r="D231" i="7"/>
  <c r="C231" i="7"/>
  <c r="B231" i="7"/>
  <c r="A231" i="7"/>
  <c r="E230" i="7"/>
  <c r="D230" i="7"/>
  <c r="C230" i="7"/>
  <c r="B230" i="7"/>
  <c r="A230" i="7"/>
  <c r="E229" i="7"/>
  <c r="D229" i="7"/>
  <c r="C229" i="7"/>
  <c r="B229" i="7"/>
  <c r="A229" i="7"/>
  <c r="E228" i="7"/>
  <c r="D228" i="7"/>
  <c r="C228" i="7"/>
  <c r="B228" i="7"/>
  <c r="A228" i="7"/>
  <c r="E227" i="7"/>
  <c r="D227" i="7"/>
  <c r="C227" i="7"/>
  <c r="B227" i="7"/>
  <c r="A227" i="7"/>
  <c r="E226" i="7"/>
  <c r="D226" i="7"/>
  <c r="C226" i="7"/>
  <c r="B226" i="7"/>
  <c r="A226" i="7"/>
  <c r="E225" i="7"/>
  <c r="D225" i="7"/>
  <c r="C225" i="7"/>
  <c r="B225" i="7"/>
  <c r="A225" i="7"/>
  <c r="E224" i="7"/>
  <c r="D224" i="7"/>
  <c r="C224" i="7"/>
  <c r="B224" i="7"/>
  <c r="A224" i="7"/>
  <c r="E223" i="7"/>
  <c r="D223" i="7"/>
  <c r="C223" i="7"/>
  <c r="B223" i="7"/>
  <c r="A223" i="7"/>
  <c r="E222" i="7"/>
  <c r="D222" i="7"/>
  <c r="C222" i="7"/>
  <c r="B222" i="7"/>
  <c r="A222" i="7"/>
  <c r="E221" i="7"/>
  <c r="D221" i="7"/>
  <c r="C221" i="7"/>
  <c r="B221" i="7"/>
  <c r="A221" i="7"/>
  <c r="E220" i="7"/>
  <c r="D220" i="7"/>
  <c r="C220" i="7"/>
  <c r="B220" i="7"/>
  <c r="A220" i="7"/>
  <c r="E219" i="7"/>
  <c r="D219" i="7"/>
  <c r="C219" i="7"/>
  <c r="B219" i="7"/>
  <c r="A219" i="7"/>
  <c r="E218" i="7"/>
  <c r="D218" i="7"/>
  <c r="C218" i="7"/>
  <c r="B218" i="7"/>
  <c r="A218" i="7"/>
  <c r="E217" i="7"/>
  <c r="D217" i="7"/>
  <c r="C217" i="7"/>
  <c r="B217" i="7"/>
  <c r="A217" i="7"/>
  <c r="E216" i="7"/>
  <c r="D216" i="7"/>
  <c r="C216" i="7"/>
  <c r="B216" i="7"/>
  <c r="A216" i="7"/>
  <c r="E215" i="7"/>
  <c r="D215" i="7"/>
  <c r="C215" i="7"/>
  <c r="B215" i="7"/>
  <c r="A215" i="7"/>
  <c r="E214" i="7"/>
  <c r="D214" i="7"/>
  <c r="C214" i="7"/>
  <c r="B214" i="7"/>
  <c r="A214" i="7"/>
  <c r="E213" i="7"/>
  <c r="D213" i="7"/>
  <c r="C213" i="7"/>
  <c r="B213" i="7"/>
  <c r="A213" i="7"/>
  <c r="E212" i="7"/>
  <c r="D212" i="7"/>
  <c r="C212" i="7"/>
  <c r="B212" i="7"/>
  <c r="A212" i="7"/>
  <c r="E211" i="7"/>
  <c r="D211" i="7"/>
  <c r="C211" i="7"/>
  <c r="B211" i="7"/>
  <c r="A211" i="7"/>
  <c r="E210" i="7"/>
  <c r="D210" i="7"/>
  <c r="C210" i="7"/>
  <c r="B210" i="7"/>
  <c r="A210" i="7"/>
  <c r="E209" i="7"/>
  <c r="D209" i="7"/>
  <c r="C209" i="7"/>
  <c r="B209" i="7"/>
  <c r="A209" i="7"/>
  <c r="E208" i="7"/>
  <c r="D208" i="7"/>
  <c r="C208" i="7"/>
  <c r="B208" i="7"/>
  <c r="A208" i="7"/>
  <c r="E207" i="7"/>
  <c r="D207" i="7"/>
  <c r="C207" i="7"/>
  <c r="B207" i="7"/>
  <c r="A207" i="7"/>
  <c r="E206" i="7"/>
  <c r="D206" i="7"/>
  <c r="C206" i="7"/>
  <c r="B206" i="7"/>
  <c r="A206" i="7"/>
  <c r="E205" i="7"/>
  <c r="D205" i="7"/>
  <c r="C205" i="7"/>
  <c r="B205" i="7"/>
  <c r="A205" i="7"/>
  <c r="E204" i="7"/>
  <c r="D204" i="7"/>
  <c r="C204" i="7"/>
  <c r="B204" i="7"/>
  <c r="A204" i="7"/>
  <c r="E203" i="7"/>
  <c r="D203" i="7"/>
  <c r="C203" i="7"/>
  <c r="B203" i="7"/>
  <c r="A203" i="7"/>
  <c r="E202" i="7"/>
  <c r="D202" i="7"/>
  <c r="C202" i="7"/>
  <c r="B202" i="7"/>
  <c r="A202" i="7"/>
  <c r="E201" i="7"/>
  <c r="D201" i="7"/>
  <c r="C201" i="7"/>
  <c r="B201" i="7"/>
  <c r="A201" i="7"/>
  <c r="E200" i="7"/>
  <c r="D200" i="7"/>
  <c r="C200" i="7"/>
  <c r="B200" i="7"/>
  <c r="A200" i="7"/>
  <c r="E199" i="7"/>
  <c r="D199" i="7"/>
  <c r="C199" i="7"/>
  <c r="B199" i="7"/>
  <c r="A199" i="7"/>
  <c r="E198" i="7"/>
  <c r="D198" i="7"/>
  <c r="C198" i="7"/>
  <c r="B198" i="7"/>
  <c r="A198" i="7"/>
  <c r="E197" i="7"/>
  <c r="D197" i="7"/>
  <c r="C197" i="7"/>
  <c r="B197" i="7"/>
  <c r="A197" i="7"/>
  <c r="E196" i="7"/>
  <c r="D196" i="7"/>
  <c r="C196" i="7"/>
  <c r="B196" i="7"/>
  <c r="A196" i="7"/>
  <c r="E195" i="7"/>
  <c r="D195" i="7"/>
  <c r="C195" i="7"/>
  <c r="B195" i="7"/>
  <c r="A195" i="7"/>
  <c r="E194" i="7"/>
  <c r="D194" i="7"/>
  <c r="C194" i="7"/>
  <c r="B194" i="7"/>
  <c r="A194" i="7"/>
  <c r="E193" i="7"/>
  <c r="D193" i="7"/>
  <c r="C193" i="7"/>
  <c r="B193" i="7"/>
  <c r="A193" i="7"/>
  <c r="E192" i="7"/>
  <c r="D192" i="7"/>
  <c r="C192" i="7"/>
  <c r="B192" i="7"/>
  <c r="A192" i="7"/>
  <c r="E191" i="7"/>
  <c r="D191" i="7"/>
  <c r="C191" i="7"/>
  <c r="B191" i="7"/>
  <c r="A191" i="7"/>
  <c r="E190" i="7"/>
  <c r="D190" i="7"/>
  <c r="C190" i="7"/>
  <c r="B190" i="7"/>
  <c r="A190" i="7"/>
  <c r="E189" i="7"/>
  <c r="D189" i="7"/>
  <c r="C189" i="7"/>
  <c r="B189" i="7"/>
  <c r="A189" i="7"/>
  <c r="E188" i="7"/>
  <c r="D188" i="7"/>
  <c r="C188" i="7"/>
  <c r="B188" i="7"/>
  <c r="A188" i="7"/>
  <c r="E187" i="7"/>
  <c r="D187" i="7"/>
  <c r="C187" i="7"/>
  <c r="B187" i="7"/>
  <c r="A187" i="7"/>
  <c r="E186" i="7"/>
  <c r="D186" i="7"/>
  <c r="C186" i="7"/>
  <c r="B186" i="7"/>
  <c r="A186" i="7"/>
  <c r="E185" i="7"/>
  <c r="D185" i="7"/>
  <c r="C185" i="7"/>
  <c r="B185" i="7"/>
  <c r="A185" i="7"/>
  <c r="E184" i="7"/>
  <c r="D184" i="7"/>
  <c r="C184" i="7"/>
  <c r="B184" i="7"/>
  <c r="A184" i="7"/>
  <c r="E183" i="7"/>
  <c r="D183" i="7"/>
  <c r="C183" i="7"/>
  <c r="B183" i="7"/>
  <c r="A183" i="7"/>
  <c r="E182" i="7"/>
  <c r="D182" i="7"/>
  <c r="C182" i="7"/>
  <c r="B182" i="7"/>
  <c r="A182" i="7"/>
  <c r="E181" i="7"/>
  <c r="D181" i="7"/>
  <c r="C181" i="7"/>
  <c r="B181" i="7"/>
  <c r="A181" i="7"/>
  <c r="E180" i="7"/>
  <c r="D180" i="7"/>
  <c r="C180" i="7"/>
  <c r="B180" i="7"/>
  <c r="A180" i="7"/>
  <c r="E179" i="7"/>
  <c r="D179" i="7"/>
  <c r="C179" i="7"/>
  <c r="B179" i="7"/>
  <c r="A179" i="7"/>
  <c r="E178" i="7"/>
  <c r="D178" i="7"/>
  <c r="C178" i="7"/>
  <c r="B178" i="7"/>
  <c r="A178" i="7"/>
  <c r="E177" i="7"/>
  <c r="D177" i="7"/>
  <c r="C177" i="7"/>
  <c r="B177" i="7"/>
  <c r="A177" i="7"/>
  <c r="E176" i="7"/>
  <c r="D176" i="7"/>
  <c r="C176" i="7"/>
  <c r="B176" i="7"/>
  <c r="A176" i="7"/>
  <c r="E175" i="7"/>
  <c r="D175" i="7"/>
  <c r="C175" i="7"/>
  <c r="B175" i="7"/>
  <c r="A175" i="7"/>
  <c r="E174" i="7"/>
  <c r="D174" i="7"/>
  <c r="C174" i="7"/>
  <c r="B174" i="7"/>
  <c r="A174" i="7"/>
  <c r="E173" i="7"/>
  <c r="D173" i="7"/>
  <c r="C173" i="7"/>
  <c r="B173" i="7"/>
  <c r="A173" i="7"/>
  <c r="E172" i="7"/>
  <c r="D172" i="7"/>
  <c r="C172" i="7"/>
  <c r="B172" i="7"/>
  <c r="A172" i="7"/>
  <c r="E171" i="7"/>
  <c r="D171" i="7"/>
  <c r="C171" i="7"/>
  <c r="B171" i="7"/>
  <c r="A171" i="7"/>
  <c r="E170" i="7"/>
  <c r="D170" i="7"/>
  <c r="C170" i="7"/>
  <c r="B170" i="7"/>
  <c r="A170" i="7"/>
  <c r="E169" i="7"/>
  <c r="D169" i="7"/>
  <c r="C169" i="7"/>
  <c r="B169" i="7"/>
  <c r="A169" i="7"/>
  <c r="E168" i="7"/>
  <c r="D168" i="7"/>
  <c r="C168" i="7"/>
  <c r="B168" i="7"/>
  <c r="A168" i="7"/>
  <c r="E167" i="7"/>
  <c r="D167" i="7"/>
  <c r="C167" i="7"/>
  <c r="B167" i="7"/>
  <c r="A167" i="7"/>
  <c r="E166" i="7"/>
  <c r="D166" i="7"/>
  <c r="C166" i="7"/>
  <c r="B166" i="7"/>
  <c r="A166" i="7"/>
  <c r="E165" i="7"/>
  <c r="D165" i="7"/>
  <c r="C165" i="7"/>
  <c r="B165" i="7"/>
  <c r="A165" i="7"/>
  <c r="E164" i="7"/>
  <c r="D164" i="7"/>
  <c r="C164" i="7"/>
  <c r="B164" i="7"/>
  <c r="A164" i="7"/>
  <c r="E163" i="7"/>
  <c r="D163" i="7"/>
  <c r="C163" i="7"/>
  <c r="B163" i="7"/>
  <c r="A163" i="7"/>
  <c r="E162" i="7"/>
  <c r="D162" i="7"/>
  <c r="C162" i="7"/>
  <c r="B162" i="7"/>
  <c r="A162" i="7"/>
  <c r="E161" i="7"/>
  <c r="D161" i="7"/>
  <c r="C161" i="7"/>
  <c r="B161" i="7"/>
  <c r="A161" i="7"/>
  <c r="E160" i="7"/>
  <c r="D160" i="7"/>
  <c r="C160" i="7"/>
  <c r="B160" i="7"/>
  <c r="A160" i="7"/>
  <c r="E159" i="7"/>
  <c r="D159" i="7"/>
  <c r="C159" i="7"/>
  <c r="B159" i="7"/>
  <c r="A159" i="7"/>
  <c r="E158" i="7"/>
  <c r="D158" i="7"/>
  <c r="C158" i="7"/>
  <c r="B158" i="7"/>
  <c r="A158" i="7"/>
  <c r="E157" i="7"/>
  <c r="D157" i="7"/>
  <c r="C157" i="7"/>
  <c r="B157" i="7"/>
  <c r="A157" i="7"/>
  <c r="E156" i="7"/>
  <c r="D156" i="7"/>
  <c r="C156" i="7"/>
  <c r="B156" i="7"/>
  <c r="A156" i="7"/>
  <c r="E155" i="7"/>
  <c r="D155" i="7"/>
  <c r="C155" i="7"/>
  <c r="B155" i="7"/>
  <c r="A155" i="7"/>
  <c r="E154" i="7"/>
  <c r="D154" i="7"/>
  <c r="C154" i="7"/>
  <c r="B154" i="7"/>
  <c r="A154" i="7"/>
  <c r="E153" i="7"/>
  <c r="D153" i="7"/>
  <c r="C153" i="7"/>
  <c r="B153" i="7"/>
  <c r="A153" i="7"/>
  <c r="E152" i="7"/>
  <c r="D152" i="7"/>
  <c r="C152" i="7"/>
  <c r="B152" i="7"/>
  <c r="A152" i="7"/>
  <c r="E151" i="7"/>
  <c r="D151" i="7"/>
  <c r="C151" i="7"/>
  <c r="B151" i="7"/>
  <c r="A151" i="7"/>
  <c r="E150" i="7"/>
  <c r="D150" i="7"/>
  <c r="C150" i="7"/>
  <c r="B150" i="7"/>
  <c r="A150" i="7"/>
  <c r="E149" i="7"/>
  <c r="D149" i="7"/>
  <c r="C149" i="7"/>
  <c r="B149" i="7"/>
  <c r="A149" i="7"/>
  <c r="E148" i="7"/>
  <c r="D148" i="7"/>
  <c r="C148" i="7"/>
  <c r="B148" i="7"/>
  <c r="A148" i="7"/>
  <c r="E147" i="7"/>
  <c r="D147" i="7"/>
  <c r="C147" i="7"/>
  <c r="B147" i="7"/>
  <c r="A147" i="7"/>
  <c r="E146" i="7"/>
  <c r="D146" i="7"/>
  <c r="C146" i="7"/>
  <c r="B146" i="7"/>
  <c r="A146" i="7"/>
  <c r="E145" i="7"/>
  <c r="D145" i="7"/>
  <c r="C145" i="7"/>
  <c r="B145" i="7"/>
  <c r="A145" i="7"/>
  <c r="E144" i="7"/>
  <c r="D144" i="7"/>
  <c r="C144" i="7"/>
  <c r="B144" i="7"/>
  <c r="A144" i="7"/>
  <c r="E143" i="7"/>
  <c r="D143" i="7"/>
  <c r="C143" i="7"/>
  <c r="B143" i="7"/>
  <c r="A143" i="7"/>
  <c r="E142" i="7"/>
  <c r="D142" i="7"/>
  <c r="C142" i="7"/>
  <c r="B142" i="7"/>
  <c r="A142" i="7"/>
  <c r="E141" i="7"/>
  <c r="D141" i="7"/>
  <c r="C141" i="7"/>
  <c r="B141" i="7"/>
  <c r="A141" i="7"/>
  <c r="E140" i="7"/>
  <c r="D140" i="7"/>
  <c r="C140" i="7"/>
  <c r="B140" i="7"/>
  <c r="A140" i="7"/>
  <c r="E139" i="7"/>
  <c r="D139" i="7"/>
  <c r="C139" i="7"/>
  <c r="B139" i="7"/>
  <c r="A139" i="7"/>
  <c r="E138" i="7"/>
  <c r="D138" i="7"/>
  <c r="C138" i="7"/>
  <c r="B138" i="7"/>
  <c r="A138" i="7"/>
  <c r="E137" i="7"/>
  <c r="D137" i="7"/>
  <c r="C137" i="7"/>
  <c r="B137" i="7"/>
  <c r="A137" i="7"/>
  <c r="E136" i="7"/>
  <c r="D136" i="7"/>
  <c r="C136" i="7"/>
  <c r="B136" i="7"/>
  <c r="A136" i="7"/>
  <c r="E135" i="7"/>
  <c r="D135" i="7"/>
  <c r="C135" i="7"/>
  <c r="B135" i="7"/>
  <c r="A135" i="7"/>
  <c r="E134" i="7"/>
  <c r="D134" i="7"/>
  <c r="C134" i="7"/>
  <c r="B134" i="7"/>
  <c r="A134" i="7"/>
  <c r="E133" i="7"/>
  <c r="D133" i="7"/>
  <c r="C133" i="7"/>
  <c r="B133" i="7"/>
  <c r="A133" i="7"/>
  <c r="E132" i="7"/>
  <c r="D132" i="7"/>
  <c r="C132" i="7"/>
  <c r="B132" i="7"/>
  <c r="A132" i="7"/>
  <c r="E131" i="7"/>
  <c r="D131" i="7"/>
  <c r="C131" i="7"/>
  <c r="B131" i="7"/>
  <c r="A131" i="7"/>
  <c r="E130" i="7"/>
  <c r="D130" i="7"/>
  <c r="C130" i="7"/>
  <c r="B130" i="7"/>
  <c r="A130" i="7"/>
  <c r="E129" i="7"/>
  <c r="D129" i="7"/>
  <c r="C129" i="7"/>
  <c r="B129" i="7"/>
  <c r="A129" i="7"/>
  <c r="E128" i="7"/>
  <c r="D128" i="7"/>
  <c r="C128" i="7"/>
  <c r="B128" i="7"/>
  <c r="A128" i="7"/>
  <c r="E127" i="7"/>
  <c r="D127" i="7"/>
  <c r="C127" i="7"/>
  <c r="B127" i="7"/>
  <c r="A127" i="7"/>
  <c r="E126" i="7"/>
  <c r="D126" i="7"/>
  <c r="C126" i="7"/>
  <c r="B126" i="7"/>
  <c r="A126" i="7"/>
  <c r="E125" i="7"/>
  <c r="D125" i="7"/>
  <c r="C125" i="7"/>
  <c r="B125" i="7"/>
  <c r="A125" i="7"/>
  <c r="E124" i="7"/>
  <c r="D124" i="7"/>
  <c r="C124" i="7"/>
  <c r="B124" i="7"/>
  <c r="A124" i="7"/>
  <c r="E123" i="7"/>
  <c r="D123" i="7"/>
  <c r="C123" i="7"/>
  <c r="B123" i="7"/>
  <c r="A123" i="7"/>
  <c r="E122" i="7"/>
  <c r="D122" i="7"/>
  <c r="C122" i="7"/>
  <c r="B122" i="7"/>
  <c r="A122" i="7"/>
  <c r="E121" i="7"/>
  <c r="D121" i="7"/>
  <c r="C121" i="7"/>
  <c r="B121" i="7"/>
  <c r="A121" i="7"/>
  <c r="E120" i="7"/>
  <c r="D120" i="7"/>
  <c r="C120" i="7"/>
  <c r="B120" i="7"/>
  <c r="A120" i="7"/>
  <c r="E119" i="7"/>
  <c r="D119" i="7"/>
  <c r="C119" i="7"/>
  <c r="B119" i="7"/>
  <c r="A119" i="7"/>
  <c r="E118" i="7"/>
  <c r="D118" i="7"/>
  <c r="C118" i="7"/>
  <c r="B118" i="7"/>
  <c r="A118" i="7"/>
  <c r="E117" i="7"/>
  <c r="D117" i="7"/>
  <c r="C117" i="7"/>
  <c r="B117" i="7"/>
  <c r="A117" i="7"/>
  <c r="E116" i="7"/>
  <c r="D116" i="7"/>
  <c r="C116" i="7"/>
  <c r="B116" i="7"/>
  <c r="A116" i="7"/>
  <c r="E115" i="7"/>
  <c r="D115" i="7"/>
  <c r="C115" i="7"/>
  <c r="B115" i="7"/>
  <c r="A115" i="7"/>
  <c r="E114" i="7"/>
  <c r="D114" i="7"/>
  <c r="C114" i="7"/>
  <c r="B114" i="7"/>
  <c r="A114" i="7"/>
  <c r="E113" i="7"/>
  <c r="D113" i="7"/>
  <c r="C113" i="7"/>
  <c r="B113" i="7"/>
  <c r="A113" i="7"/>
  <c r="E112" i="7"/>
  <c r="D112" i="7"/>
  <c r="C112" i="7"/>
  <c r="B112" i="7"/>
  <c r="A112" i="7"/>
  <c r="E111" i="7"/>
  <c r="D111" i="7"/>
  <c r="C111" i="7"/>
  <c r="B111" i="7"/>
  <c r="A111" i="7"/>
  <c r="E110" i="7"/>
  <c r="D110" i="7"/>
  <c r="C110" i="7"/>
  <c r="B110" i="7"/>
  <c r="A110" i="7"/>
  <c r="E109" i="7"/>
  <c r="D109" i="7"/>
  <c r="C109" i="7"/>
  <c r="B109" i="7"/>
  <c r="A109" i="7"/>
  <c r="E108" i="7"/>
  <c r="D108" i="7"/>
  <c r="C108" i="7"/>
  <c r="B108" i="7"/>
  <c r="A108" i="7"/>
  <c r="E107" i="7"/>
  <c r="D107" i="7"/>
  <c r="C107" i="7"/>
  <c r="B107" i="7"/>
  <c r="A107" i="7"/>
  <c r="E106" i="7"/>
  <c r="D106" i="7"/>
  <c r="C106" i="7"/>
  <c r="B106" i="7"/>
  <c r="A106" i="7"/>
  <c r="E105" i="7"/>
  <c r="D105" i="7"/>
  <c r="C105" i="7"/>
  <c r="B105" i="7"/>
  <c r="A105" i="7"/>
  <c r="E104" i="7"/>
  <c r="D104" i="7"/>
  <c r="C104" i="7"/>
  <c r="B104" i="7"/>
  <c r="A104" i="7"/>
  <c r="E103" i="7"/>
  <c r="D103" i="7"/>
  <c r="C103" i="7"/>
  <c r="B103" i="7"/>
  <c r="A103" i="7"/>
  <c r="E102" i="7"/>
  <c r="D102" i="7"/>
  <c r="C102" i="7"/>
  <c r="B102" i="7"/>
  <c r="A102" i="7"/>
  <c r="E101" i="7"/>
  <c r="D101" i="7"/>
  <c r="C101" i="7"/>
  <c r="B101" i="7"/>
  <c r="A101" i="7"/>
  <c r="E100" i="7"/>
  <c r="D100" i="7"/>
  <c r="C100" i="7"/>
  <c r="B100" i="7"/>
  <c r="A100" i="7"/>
  <c r="E99" i="7"/>
  <c r="D99" i="7"/>
  <c r="C99" i="7"/>
  <c r="B99" i="7"/>
  <c r="A99" i="7"/>
  <c r="E98" i="7"/>
  <c r="D98" i="7"/>
  <c r="C98" i="7"/>
  <c r="B98" i="7"/>
  <c r="A98" i="7"/>
  <c r="E97" i="7"/>
  <c r="D97" i="7"/>
  <c r="C97" i="7"/>
  <c r="B97" i="7"/>
  <c r="A97" i="7"/>
  <c r="E96" i="7"/>
  <c r="D96" i="7"/>
  <c r="C96" i="7"/>
  <c r="B96" i="7"/>
  <c r="A96" i="7"/>
  <c r="E95" i="7"/>
  <c r="D95" i="7"/>
  <c r="C95" i="7"/>
  <c r="B95" i="7"/>
  <c r="A95" i="7"/>
  <c r="E94" i="7"/>
  <c r="D94" i="7"/>
  <c r="C94" i="7"/>
  <c r="B94" i="7"/>
  <c r="A94" i="7"/>
  <c r="E93" i="7"/>
  <c r="D93" i="7"/>
  <c r="C93" i="7"/>
  <c r="B93" i="7"/>
  <c r="A93" i="7"/>
  <c r="E92" i="7"/>
  <c r="D92" i="7"/>
  <c r="C92" i="7"/>
  <c r="B92" i="7"/>
  <c r="A92" i="7"/>
  <c r="E91" i="7"/>
  <c r="D91" i="7"/>
  <c r="C91" i="7"/>
  <c r="B91" i="7"/>
  <c r="A91" i="7"/>
  <c r="E90" i="7"/>
  <c r="D90" i="7"/>
  <c r="C90" i="7"/>
  <c r="B90" i="7"/>
  <c r="A90" i="7"/>
  <c r="E89" i="7"/>
  <c r="D89" i="7"/>
  <c r="C89" i="7"/>
  <c r="B89" i="7"/>
  <c r="A89" i="7"/>
  <c r="E88" i="7"/>
  <c r="D88" i="7"/>
  <c r="C88" i="7"/>
  <c r="B88" i="7"/>
  <c r="A88" i="7"/>
  <c r="E87" i="7"/>
  <c r="D87" i="7"/>
  <c r="C87" i="7"/>
  <c r="B87" i="7"/>
  <c r="A87" i="7"/>
  <c r="E86" i="7"/>
  <c r="D86" i="7"/>
  <c r="C86" i="7"/>
  <c r="B86" i="7"/>
  <c r="A86" i="7"/>
  <c r="E85" i="7"/>
  <c r="D85" i="7"/>
  <c r="C85" i="7"/>
  <c r="B85" i="7"/>
  <c r="A85" i="7"/>
  <c r="E84" i="7"/>
  <c r="D84" i="7"/>
  <c r="C84" i="7"/>
  <c r="B84" i="7"/>
  <c r="A84" i="7"/>
  <c r="E83" i="7"/>
  <c r="D83" i="7"/>
  <c r="C83" i="7"/>
  <c r="B83" i="7"/>
  <c r="A83" i="7"/>
  <c r="E82" i="7"/>
  <c r="D82" i="7"/>
  <c r="C82" i="7"/>
  <c r="B82" i="7"/>
  <c r="A82" i="7"/>
  <c r="E81" i="7"/>
  <c r="D81" i="7"/>
  <c r="C81" i="7"/>
  <c r="B81" i="7"/>
  <c r="A81" i="7"/>
  <c r="E80" i="7"/>
  <c r="D80" i="7"/>
  <c r="C80" i="7"/>
  <c r="B80" i="7"/>
  <c r="A80" i="7"/>
  <c r="E79" i="7"/>
  <c r="D79" i="7"/>
  <c r="C79" i="7"/>
  <c r="B79" i="7"/>
  <c r="A79" i="7"/>
  <c r="E78" i="7"/>
  <c r="D78" i="7"/>
  <c r="C78" i="7"/>
  <c r="B78" i="7"/>
  <c r="A78" i="7"/>
  <c r="E77" i="7"/>
  <c r="D77" i="7"/>
  <c r="C77" i="7"/>
  <c r="B77" i="7"/>
  <c r="A77" i="7"/>
  <c r="E76" i="7"/>
  <c r="D76" i="7"/>
  <c r="C76" i="7"/>
  <c r="B76" i="7"/>
  <c r="A76" i="7"/>
  <c r="E75" i="7"/>
  <c r="D75" i="7"/>
  <c r="C75" i="7"/>
  <c r="B75" i="7"/>
  <c r="A75" i="7"/>
  <c r="E74" i="7"/>
  <c r="D74" i="7"/>
  <c r="C74" i="7"/>
  <c r="B74" i="7"/>
  <c r="A74" i="7"/>
  <c r="E73" i="7"/>
  <c r="D73" i="7"/>
  <c r="C73" i="7"/>
  <c r="B73" i="7"/>
  <c r="A73" i="7"/>
  <c r="E72" i="7"/>
  <c r="D72" i="7"/>
  <c r="C72" i="7"/>
  <c r="B72" i="7"/>
  <c r="A72" i="7"/>
  <c r="E71" i="7"/>
  <c r="D71" i="7"/>
  <c r="C71" i="7"/>
  <c r="B71" i="7"/>
  <c r="A71" i="7"/>
  <c r="E70" i="7"/>
  <c r="D70" i="7"/>
  <c r="C70" i="7"/>
  <c r="B70" i="7"/>
  <c r="A70" i="7"/>
  <c r="E69" i="7"/>
  <c r="D69" i="7"/>
  <c r="C69" i="7"/>
  <c r="B69" i="7"/>
  <c r="A69" i="7"/>
  <c r="E68" i="7"/>
  <c r="D68" i="7"/>
  <c r="C68" i="7"/>
  <c r="B68" i="7"/>
  <c r="A68" i="7"/>
  <c r="E67" i="7"/>
  <c r="D67" i="7"/>
  <c r="C67" i="7"/>
  <c r="B67" i="7"/>
  <c r="A67" i="7"/>
  <c r="E66" i="7"/>
  <c r="D66" i="7"/>
  <c r="C66" i="7"/>
  <c r="B66" i="7"/>
  <c r="A66" i="7"/>
  <c r="E65" i="7"/>
  <c r="D65" i="7"/>
  <c r="C65" i="7"/>
  <c r="B65" i="7"/>
  <c r="A65" i="7"/>
  <c r="E64" i="7"/>
  <c r="D64" i="7"/>
  <c r="C64" i="7"/>
  <c r="B64" i="7"/>
  <c r="A64" i="7"/>
  <c r="E63" i="7"/>
  <c r="D63" i="7"/>
  <c r="C63" i="7"/>
  <c r="B63" i="7"/>
  <c r="A63" i="7"/>
  <c r="E62" i="7"/>
  <c r="D62" i="7"/>
  <c r="C62" i="7"/>
  <c r="B62" i="7"/>
  <c r="A62" i="7"/>
  <c r="E61" i="7"/>
  <c r="D61" i="7"/>
  <c r="C61" i="7"/>
  <c r="B61" i="7"/>
  <c r="A61" i="7"/>
  <c r="E60" i="7"/>
  <c r="D60" i="7"/>
  <c r="C60" i="7"/>
  <c r="B60" i="7"/>
  <c r="A60" i="7"/>
  <c r="E59" i="7"/>
  <c r="D59" i="7"/>
  <c r="C59" i="7"/>
  <c r="B59" i="7"/>
  <c r="A59" i="7"/>
  <c r="E58" i="7"/>
  <c r="D58" i="7"/>
  <c r="C58" i="7"/>
  <c r="B58" i="7"/>
  <c r="A58" i="7"/>
  <c r="E57" i="7"/>
  <c r="D57" i="7"/>
  <c r="C57" i="7"/>
  <c r="B57" i="7"/>
  <c r="A57" i="7"/>
  <c r="E56" i="7"/>
  <c r="D56" i="7"/>
  <c r="C56" i="7"/>
  <c r="B56" i="7"/>
  <c r="A56" i="7"/>
  <c r="E55" i="7"/>
  <c r="D55" i="7"/>
  <c r="C55" i="7"/>
  <c r="B55" i="7"/>
  <c r="A55" i="7"/>
  <c r="E54" i="7"/>
  <c r="D54" i="7"/>
  <c r="C54" i="7"/>
  <c r="B54" i="7"/>
  <c r="A54" i="7"/>
  <c r="E53" i="7"/>
  <c r="D53" i="7"/>
  <c r="C53" i="7"/>
  <c r="B53" i="7"/>
  <c r="A53" i="7"/>
  <c r="E52" i="7"/>
  <c r="D52" i="7"/>
  <c r="C52" i="7"/>
  <c r="B52" i="7"/>
  <c r="A52" i="7"/>
  <c r="E51" i="7"/>
  <c r="D51" i="7"/>
  <c r="C51" i="7"/>
  <c r="B51" i="7"/>
  <c r="A51" i="7"/>
  <c r="E50" i="7"/>
  <c r="D50" i="7"/>
  <c r="C50" i="7"/>
  <c r="B50" i="7"/>
  <c r="A50" i="7"/>
  <c r="E49" i="7"/>
  <c r="D49" i="7"/>
  <c r="C49" i="7"/>
  <c r="B49" i="7"/>
  <c r="A49" i="7"/>
  <c r="E48" i="7"/>
  <c r="D48" i="7"/>
  <c r="C48" i="7"/>
  <c r="B48" i="7"/>
  <c r="A48" i="7"/>
  <c r="E47" i="7"/>
  <c r="D47" i="7"/>
  <c r="C47" i="7"/>
  <c r="B47" i="7"/>
  <c r="A47" i="7"/>
  <c r="E46" i="7"/>
  <c r="D46" i="7"/>
  <c r="C46" i="7"/>
  <c r="B46" i="7"/>
  <c r="A46" i="7"/>
  <c r="E45" i="7"/>
  <c r="D45" i="7"/>
  <c r="C45" i="7"/>
  <c r="B45" i="7"/>
  <c r="A45" i="7"/>
  <c r="E44" i="7"/>
  <c r="D44" i="7"/>
  <c r="C44" i="7"/>
  <c r="B44" i="7"/>
  <c r="A44" i="7"/>
  <c r="E43" i="7"/>
  <c r="D43" i="7"/>
  <c r="C43" i="7"/>
  <c r="B43" i="7"/>
  <c r="A43" i="7"/>
  <c r="E42" i="7"/>
  <c r="D42" i="7"/>
  <c r="C42" i="7"/>
  <c r="B42" i="7"/>
  <c r="A42" i="7"/>
  <c r="E41" i="7"/>
  <c r="D41" i="7"/>
  <c r="C41" i="7"/>
  <c r="B41" i="7"/>
  <c r="A41" i="7"/>
  <c r="E40" i="7"/>
  <c r="D40" i="7"/>
  <c r="C40" i="7"/>
  <c r="B40" i="7"/>
  <c r="A40" i="7"/>
  <c r="E39" i="7"/>
  <c r="D39" i="7"/>
  <c r="C39" i="7"/>
  <c r="B39" i="7"/>
  <c r="A39" i="7"/>
  <c r="E38" i="7"/>
  <c r="D38" i="7"/>
  <c r="C38" i="7"/>
  <c r="B38" i="7"/>
  <c r="A38" i="7"/>
  <c r="E37" i="7"/>
  <c r="D37" i="7"/>
  <c r="C37" i="7"/>
  <c r="B37" i="7"/>
  <c r="A37" i="7"/>
  <c r="E36" i="7"/>
  <c r="D36" i="7"/>
  <c r="C36" i="7"/>
  <c r="B36" i="7"/>
  <c r="A36" i="7"/>
  <c r="E35" i="7"/>
  <c r="D35" i="7"/>
  <c r="C35" i="7"/>
  <c r="B35" i="7"/>
  <c r="A35" i="7"/>
  <c r="E34" i="7"/>
  <c r="D34" i="7"/>
  <c r="C34" i="7"/>
  <c r="B34" i="7"/>
  <c r="A34" i="7"/>
  <c r="E33" i="7"/>
  <c r="D33" i="7"/>
  <c r="C33" i="7"/>
  <c r="B33" i="7"/>
  <c r="A33" i="7"/>
  <c r="E32" i="7"/>
  <c r="D32" i="7"/>
  <c r="C32" i="7"/>
  <c r="B32" i="7"/>
  <c r="A32" i="7"/>
  <c r="E31" i="7"/>
  <c r="D31" i="7"/>
  <c r="C31" i="7"/>
  <c r="B31" i="7"/>
  <c r="A31" i="7"/>
  <c r="E30" i="7"/>
  <c r="D30" i="7"/>
  <c r="C30" i="7"/>
  <c r="B30" i="7"/>
  <c r="A30" i="7"/>
  <c r="E29" i="7"/>
  <c r="D29" i="7"/>
  <c r="C29" i="7"/>
  <c r="B29" i="7"/>
  <c r="A29" i="7"/>
  <c r="E28" i="7"/>
  <c r="D28" i="7"/>
  <c r="C28" i="7"/>
  <c r="B28" i="7"/>
  <c r="A28" i="7"/>
  <c r="E27" i="7"/>
  <c r="D27" i="7"/>
  <c r="C27" i="7"/>
  <c r="B27" i="7"/>
  <c r="A27" i="7"/>
  <c r="E26" i="7"/>
  <c r="D26" i="7"/>
  <c r="C26" i="7"/>
  <c r="B26" i="7"/>
  <c r="A26" i="7"/>
  <c r="E25" i="7"/>
  <c r="D25" i="7"/>
  <c r="C25" i="7"/>
  <c r="B25" i="7"/>
  <c r="A25" i="7"/>
  <c r="E24" i="7"/>
  <c r="D24" i="7"/>
  <c r="C24" i="7"/>
  <c r="B24" i="7"/>
  <c r="A24" i="7"/>
  <c r="E23" i="7"/>
  <c r="D23" i="7"/>
  <c r="C23" i="7"/>
  <c r="B23" i="7"/>
  <c r="A23" i="7"/>
  <c r="E22" i="7"/>
  <c r="D22" i="7"/>
  <c r="C22" i="7"/>
  <c r="B22" i="7"/>
  <c r="A22" i="7"/>
  <c r="E21" i="7"/>
  <c r="D21" i="7"/>
  <c r="C21" i="7"/>
  <c r="B21" i="7"/>
  <c r="A21" i="7"/>
  <c r="E20" i="7"/>
  <c r="D20" i="7"/>
  <c r="C20" i="7"/>
  <c r="B20" i="7"/>
  <c r="A20" i="7"/>
  <c r="E19" i="7"/>
  <c r="D19" i="7"/>
  <c r="C19" i="7"/>
  <c r="B19" i="7"/>
  <c r="A19" i="7"/>
  <c r="E18" i="7"/>
  <c r="D18" i="7"/>
  <c r="C18" i="7"/>
  <c r="B18" i="7"/>
  <c r="A18" i="7"/>
  <c r="E17" i="7"/>
  <c r="D17" i="7"/>
  <c r="C17" i="7"/>
  <c r="B17" i="7"/>
  <c r="A17" i="7"/>
  <c r="E16" i="7"/>
  <c r="D16" i="7"/>
  <c r="C16" i="7"/>
  <c r="B16" i="7"/>
  <c r="A16" i="7"/>
  <c r="E15" i="7"/>
  <c r="D15" i="7"/>
  <c r="C15" i="7"/>
  <c r="B15" i="7"/>
  <c r="A15" i="7"/>
  <c r="E14" i="7"/>
  <c r="D14" i="7"/>
  <c r="C14" i="7"/>
  <c r="B14" i="7"/>
  <c r="A14" i="7"/>
  <c r="E13" i="7"/>
  <c r="D13" i="7"/>
  <c r="C13" i="7"/>
  <c r="B13" i="7"/>
  <c r="A13" i="7"/>
  <c r="E12" i="7"/>
  <c r="D12" i="7"/>
  <c r="C12" i="7"/>
  <c r="B12" i="7"/>
  <c r="A12" i="7"/>
  <c r="E11" i="7"/>
  <c r="D11" i="7"/>
  <c r="C11" i="7"/>
  <c r="B11" i="7"/>
  <c r="A11" i="7"/>
  <c r="E10" i="7"/>
  <c r="D10" i="7"/>
  <c r="C10" i="7"/>
  <c r="B10" i="7"/>
  <c r="A10" i="7"/>
  <c r="E9" i="7"/>
  <c r="D9" i="7"/>
  <c r="C9" i="7"/>
  <c r="B9" i="7"/>
  <c r="A9" i="7"/>
  <c r="E8" i="7"/>
  <c r="D8" i="7"/>
  <c r="C8" i="7"/>
  <c r="B8" i="7"/>
  <c r="A8" i="7"/>
  <c r="E7" i="7"/>
  <c r="D7" i="7"/>
  <c r="C7" i="7"/>
  <c r="B7" i="7"/>
  <c r="A7" i="7"/>
  <c r="E6" i="7"/>
  <c r="D6" i="7"/>
  <c r="C6" i="7"/>
  <c r="B6" i="7"/>
  <c r="A6" i="7"/>
  <c r="E5" i="7"/>
  <c r="D5" i="7"/>
  <c r="C5" i="7"/>
  <c r="B5" i="7"/>
  <c r="A5" i="7"/>
  <c r="E4" i="7"/>
  <c r="D4" i="7"/>
  <c r="C4" i="7"/>
  <c r="B4" i="7"/>
  <c r="A4" i="7"/>
  <c r="E3" i="7"/>
  <c r="D3" i="7"/>
  <c r="C3" i="7"/>
  <c r="B3" i="7"/>
  <c r="A3" i="7"/>
  <c r="E2" i="7"/>
  <c r="D2" i="7"/>
  <c r="C2" i="7"/>
  <c r="B2" i="7"/>
  <c r="A2" i="7"/>
  <c r="E549" i="6"/>
  <c r="D549" i="6"/>
  <c r="E548" i="6"/>
  <c r="D548" i="6"/>
  <c r="E547" i="6"/>
  <c r="D547" i="6"/>
  <c r="E546" i="6"/>
  <c r="D546" i="6"/>
  <c r="E545" i="6"/>
  <c r="D545" i="6"/>
  <c r="E544" i="6"/>
  <c r="D544" i="6"/>
  <c r="E543" i="6"/>
  <c r="D543" i="6"/>
  <c r="E542" i="6"/>
  <c r="D542" i="6"/>
  <c r="E541" i="6"/>
  <c r="D541" i="6"/>
  <c r="E540" i="6"/>
  <c r="D540" i="6"/>
  <c r="E539" i="6"/>
  <c r="D539" i="6"/>
  <c r="E538" i="6"/>
  <c r="D538" i="6"/>
  <c r="E537" i="6"/>
  <c r="D537" i="6"/>
  <c r="E536" i="6"/>
  <c r="D536" i="6"/>
  <c r="E535" i="6"/>
  <c r="D535" i="6"/>
  <c r="E534" i="6"/>
  <c r="D534" i="6"/>
  <c r="E533" i="6"/>
  <c r="D533" i="6"/>
  <c r="E532" i="6"/>
  <c r="D532" i="6"/>
  <c r="E531" i="6"/>
  <c r="D531" i="6"/>
  <c r="E530" i="6"/>
  <c r="D530" i="6"/>
  <c r="E529" i="6"/>
  <c r="D529" i="6"/>
  <c r="E528" i="6"/>
  <c r="D528" i="6"/>
  <c r="E527" i="6"/>
  <c r="D527" i="6"/>
  <c r="E526" i="6"/>
  <c r="D526" i="6"/>
  <c r="E525" i="6"/>
  <c r="D525" i="6"/>
  <c r="E524" i="6"/>
  <c r="D524" i="6"/>
  <c r="E523" i="6"/>
  <c r="D523" i="6"/>
  <c r="E522" i="6"/>
  <c r="D522" i="6"/>
  <c r="E521" i="6"/>
  <c r="D521" i="6"/>
  <c r="E520" i="6"/>
  <c r="D520" i="6"/>
  <c r="E519" i="6"/>
  <c r="D519" i="6"/>
  <c r="E518" i="6"/>
  <c r="D518" i="6"/>
  <c r="E517" i="6"/>
  <c r="D517" i="6"/>
  <c r="E516" i="6"/>
  <c r="D516" i="6"/>
  <c r="E515" i="6"/>
  <c r="D515" i="6"/>
  <c r="E514" i="6"/>
  <c r="D514" i="6"/>
  <c r="E513" i="6"/>
  <c r="D513" i="6"/>
  <c r="E512" i="6"/>
  <c r="D512" i="6"/>
  <c r="E511" i="6"/>
  <c r="D511" i="6"/>
  <c r="E510" i="6"/>
  <c r="D510" i="6"/>
  <c r="E509" i="6"/>
  <c r="D509" i="6"/>
  <c r="E508" i="6"/>
  <c r="D508" i="6"/>
  <c r="E507" i="6"/>
  <c r="D507" i="6"/>
  <c r="E506" i="6"/>
  <c r="D506" i="6"/>
  <c r="E505" i="6"/>
  <c r="D505" i="6"/>
  <c r="E504" i="6"/>
  <c r="D504" i="6"/>
  <c r="E503" i="6"/>
  <c r="D503" i="6"/>
  <c r="E502" i="6"/>
  <c r="D502" i="6"/>
  <c r="E501" i="6"/>
  <c r="D501" i="6"/>
  <c r="E500" i="6"/>
  <c r="D500" i="6"/>
  <c r="E499" i="6"/>
  <c r="D499" i="6"/>
  <c r="E498" i="6"/>
  <c r="D498" i="6"/>
  <c r="E497" i="6"/>
  <c r="D497" i="6"/>
  <c r="E496" i="6"/>
  <c r="D496" i="6"/>
  <c r="E495" i="6"/>
  <c r="D495" i="6"/>
  <c r="E494" i="6"/>
  <c r="D494" i="6"/>
  <c r="E493" i="6"/>
  <c r="D493" i="6"/>
  <c r="E492" i="6"/>
  <c r="D492" i="6"/>
  <c r="E491" i="6"/>
  <c r="D491" i="6"/>
  <c r="E490" i="6"/>
  <c r="D490" i="6"/>
  <c r="E489" i="6"/>
  <c r="D489" i="6"/>
  <c r="E488" i="6"/>
  <c r="D488" i="6"/>
  <c r="E487" i="6"/>
  <c r="D487" i="6"/>
  <c r="E486" i="6"/>
  <c r="D486" i="6"/>
  <c r="E485" i="6"/>
  <c r="D485" i="6"/>
  <c r="E484" i="6"/>
  <c r="D484" i="6"/>
  <c r="E483" i="6"/>
  <c r="D483" i="6"/>
  <c r="E482" i="6"/>
  <c r="D482" i="6"/>
  <c r="E481" i="6"/>
  <c r="D481" i="6"/>
  <c r="E480" i="6"/>
  <c r="D480" i="6"/>
  <c r="E479" i="6"/>
  <c r="D479" i="6"/>
  <c r="E478" i="6"/>
  <c r="D478" i="6"/>
  <c r="E477" i="6"/>
  <c r="D477" i="6"/>
  <c r="E476" i="6"/>
  <c r="D476" i="6"/>
  <c r="E475" i="6"/>
  <c r="D475" i="6"/>
  <c r="E474" i="6"/>
  <c r="D474" i="6"/>
  <c r="E473" i="6"/>
  <c r="D473" i="6"/>
  <c r="E472" i="6"/>
  <c r="D472" i="6"/>
  <c r="E471" i="6"/>
  <c r="D471" i="6"/>
  <c r="E470" i="6"/>
  <c r="D470" i="6"/>
  <c r="E469" i="6"/>
  <c r="D469" i="6"/>
  <c r="E468" i="6"/>
  <c r="D468" i="6"/>
  <c r="E467" i="6"/>
  <c r="D467" i="6"/>
  <c r="E466" i="6"/>
  <c r="D466" i="6"/>
  <c r="E465" i="6"/>
  <c r="D465" i="6"/>
  <c r="E464" i="6"/>
  <c r="D464" i="6"/>
  <c r="E463" i="6"/>
  <c r="D463" i="6"/>
  <c r="E462" i="6"/>
  <c r="D462" i="6"/>
  <c r="E461" i="6"/>
  <c r="D461" i="6"/>
  <c r="E460" i="6"/>
  <c r="D460" i="6"/>
  <c r="E459" i="6"/>
  <c r="D459" i="6"/>
  <c r="E458" i="6"/>
  <c r="D458" i="6"/>
  <c r="E457" i="6"/>
  <c r="D457" i="6"/>
  <c r="E456" i="6"/>
  <c r="D456" i="6"/>
  <c r="E455" i="6"/>
  <c r="D455" i="6"/>
  <c r="E454" i="6"/>
  <c r="D454" i="6"/>
  <c r="E453" i="6"/>
  <c r="D453" i="6"/>
  <c r="E452" i="6"/>
  <c r="D452" i="6"/>
  <c r="E451" i="6"/>
  <c r="D451" i="6"/>
  <c r="E450" i="6"/>
  <c r="D450" i="6"/>
  <c r="E449" i="6"/>
  <c r="D449" i="6"/>
  <c r="E448" i="6"/>
  <c r="D448" i="6"/>
  <c r="E447" i="6"/>
  <c r="D447" i="6"/>
  <c r="E446" i="6"/>
  <c r="D446" i="6"/>
  <c r="E445" i="6"/>
  <c r="D445" i="6"/>
  <c r="E444" i="6"/>
  <c r="D444" i="6"/>
  <c r="E443" i="6"/>
  <c r="D443" i="6"/>
  <c r="E442" i="6"/>
  <c r="D442" i="6"/>
  <c r="E441" i="6"/>
  <c r="D441" i="6"/>
  <c r="E440" i="6"/>
  <c r="D440" i="6"/>
  <c r="E439" i="6"/>
  <c r="D439" i="6"/>
  <c r="E438" i="6"/>
  <c r="D438" i="6"/>
  <c r="E437" i="6"/>
  <c r="D437" i="6"/>
  <c r="E436" i="6"/>
  <c r="D436" i="6"/>
  <c r="E435" i="6"/>
  <c r="D435" i="6"/>
  <c r="E434" i="6"/>
  <c r="D434" i="6"/>
  <c r="E433" i="6"/>
  <c r="D433" i="6"/>
  <c r="E432" i="6"/>
  <c r="D432" i="6"/>
  <c r="E431" i="6"/>
  <c r="D431" i="6"/>
  <c r="E430" i="6"/>
  <c r="D430" i="6"/>
  <c r="E429" i="6"/>
  <c r="D429" i="6"/>
  <c r="E428" i="6"/>
  <c r="D428" i="6"/>
  <c r="E427" i="6"/>
  <c r="D427" i="6"/>
  <c r="E426" i="6"/>
  <c r="D426" i="6"/>
  <c r="E425" i="6"/>
  <c r="D425" i="6"/>
  <c r="E424" i="6"/>
  <c r="D424" i="6"/>
  <c r="E423" i="6"/>
  <c r="D423" i="6"/>
  <c r="E422" i="6"/>
  <c r="D422" i="6"/>
  <c r="E421" i="6"/>
  <c r="D421" i="6"/>
  <c r="E420" i="6"/>
  <c r="D420" i="6"/>
  <c r="E419" i="6"/>
  <c r="D419" i="6"/>
  <c r="E418" i="6"/>
  <c r="D418" i="6"/>
  <c r="E417" i="6"/>
  <c r="D417" i="6"/>
  <c r="E416" i="6"/>
  <c r="D416" i="6"/>
  <c r="E415" i="6"/>
  <c r="D415" i="6"/>
  <c r="E414" i="6"/>
  <c r="D414" i="6"/>
  <c r="E413" i="6"/>
  <c r="D413" i="6"/>
  <c r="E412" i="6"/>
  <c r="D412" i="6"/>
  <c r="E411" i="6"/>
  <c r="D411" i="6"/>
  <c r="E410" i="6"/>
  <c r="D410" i="6"/>
  <c r="E409" i="6"/>
  <c r="D409" i="6"/>
  <c r="E408" i="6"/>
  <c r="D408" i="6"/>
  <c r="E407" i="6"/>
  <c r="D407" i="6"/>
  <c r="E406" i="6"/>
  <c r="D406" i="6"/>
  <c r="E405" i="6"/>
  <c r="D405" i="6"/>
  <c r="E404" i="6"/>
  <c r="D404" i="6"/>
  <c r="E403" i="6"/>
  <c r="D403" i="6"/>
  <c r="E402" i="6"/>
  <c r="D402" i="6"/>
  <c r="E401" i="6"/>
  <c r="D401" i="6"/>
  <c r="E400" i="6"/>
  <c r="D400" i="6"/>
  <c r="E399" i="6"/>
  <c r="D399" i="6"/>
  <c r="E398" i="6"/>
  <c r="D398" i="6"/>
  <c r="E397" i="6"/>
  <c r="D397" i="6"/>
  <c r="E396" i="6"/>
  <c r="D396" i="6"/>
  <c r="E395" i="6"/>
  <c r="D395" i="6"/>
  <c r="E394" i="6"/>
  <c r="D394" i="6"/>
  <c r="E393" i="6"/>
  <c r="D393" i="6"/>
  <c r="E392" i="6"/>
  <c r="D392" i="6"/>
  <c r="E391" i="6"/>
  <c r="D391" i="6"/>
  <c r="E390" i="6"/>
  <c r="D390" i="6"/>
  <c r="E389" i="6"/>
  <c r="D389" i="6"/>
  <c r="E388" i="6"/>
  <c r="D388" i="6"/>
  <c r="E387" i="6"/>
  <c r="D387" i="6"/>
  <c r="E386" i="6"/>
  <c r="D386" i="6"/>
  <c r="E385" i="6"/>
  <c r="D385" i="6"/>
  <c r="E384" i="6"/>
  <c r="D384" i="6"/>
  <c r="E383" i="6"/>
  <c r="D383" i="6"/>
  <c r="E382" i="6"/>
  <c r="D382" i="6"/>
  <c r="E381" i="6"/>
  <c r="D381" i="6"/>
  <c r="E380" i="6"/>
  <c r="D380" i="6"/>
  <c r="E379" i="6"/>
  <c r="D379" i="6"/>
  <c r="E378" i="6"/>
  <c r="D378" i="6"/>
  <c r="E377" i="6"/>
  <c r="D377" i="6"/>
  <c r="E376" i="6"/>
  <c r="D376" i="6"/>
  <c r="E375" i="6"/>
  <c r="D375" i="6"/>
  <c r="E374" i="6"/>
  <c r="D374" i="6"/>
  <c r="E373" i="6"/>
  <c r="D373" i="6"/>
  <c r="E372" i="6"/>
  <c r="D372" i="6"/>
  <c r="E371" i="6"/>
  <c r="D371" i="6"/>
  <c r="E370" i="6"/>
  <c r="D370" i="6"/>
  <c r="E369" i="6"/>
  <c r="D369" i="6"/>
  <c r="E368" i="6"/>
  <c r="D368" i="6"/>
  <c r="E367" i="6"/>
  <c r="D367" i="6"/>
  <c r="E366" i="6"/>
  <c r="D366" i="6"/>
  <c r="E365" i="6"/>
  <c r="D365" i="6"/>
  <c r="E364" i="6"/>
  <c r="D364" i="6"/>
  <c r="E363" i="6"/>
  <c r="D363" i="6"/>
  <c r="E362" i="6"/>
  <c r="D362" i="6"/>
  <c r="E361" i="6"/>
  <c r="D361" i="6"/>
  <c r="E360" i="6"/>
  <c r="D360" i="6"/>
  <c r="E359" i="6"/>
  <c r="D359" i="6"/>
  <c r="E358" i="6"/>
  <c r="D358" i="6"/>
  <c r="E357" i="6"/>
  <c r="D357" i="6"/>
  <c r="E356" i="6"/>
  <c r="D356" i="6"/>
  <c r="E355" i="6"/>
  <c r="D355" i="6"/>
  <c r="E354" i="6"/>
  <c r="D354" i="6"/>
  <c r="E353" i="6"/>
  <c r="D353" i="6"/>
  <c r="E352" i="6"/>
  <c r="D352" i="6"/>
  <c r="E351" i="6"/>
  <c r="D351" i="6"/>
  <c r="E350" i="6"/>
  <c r="D350" i="6"/>
  <c r="E349" i="6"/>
  <c r="D349" i="6"/>
  <c r="E348" i="6"/>
  <c r="D348" i="6"/>
  <c r="E347" i="6"/>
  <c r="D347" i="6"/>
  <c r="E346" i="6"/>
  <c r="D346" i="6"/>
  <c r="E345" i="6"/>
  <c r="D345" i="6"/>
  <c r="E344" i="6"/>
  <c r="D344" i="6"/>
  <c r="E343" i="6"/>
  <c r="D343" i="6"/>
  <c r="E342" i="6"/>
  <c r="D342" i="6"/>
  <c r="E341" i="6"/>
  <c r="D341" i="6"/>
  <c r="E340" i="6"/>
  <c r="D340" i="6"/>
  <c r="E339" i="6"/>
  <c r="D339" i="6"/>
  <c r="E338" i="6"/>
  <c r="D338" i="6"/>
  <c r="E337" i="6"/>
  <c r="D337" i="6"/>
  <c r="E336" i="6"/>
  <c r="D336" i="6"/>
  <c r="E335" i="6"/>
  <c r="D335" i="6"/>
  <c r="E334" i="6"/>
  <c r="D334" i="6"/>
  <c r="E333" i="6"/>
  <c r="D333" i="6"/>
  <c r="E332" i="6"/>
  <c r="D332" i="6"/>
  <c r="E331" i="6"/>
  <c r="D331" i="6"/>
  <c r="E330" i="6"/>
  <c r="D330" i="6"/>
  <c r="E329" i="6"/>
  <c r="D329" i="6"/>
  <c r="E328" i="6"/>
  <c r="D328" i="6"/>
  <c r="E327" i="6"/>
  <c r="D327" i="6"/>
  <c r="E326" i="6"/>
  <c r="D326" i="6"/>
  <c r="E325" i="6"/>
  <c r="D325" i="6"/>
  <c r="E324" i="6"/>
  <c r="D324" i="6"/>
  <c r="E323" i="6"/>
  <c r="D323" i="6"/>
  <c r="E322" i="6"/>
  <c r="D322" i="6"/>
  <c r="E321" i="6"/>
  <c r="D321" i="6"/>
  <c r="E320" i="6"/>
  <c r="D320" i="6"/>
  <c r="E319" i="6"/>
  <c r="D319" i="6"/>
  <c r="E318" i="6"/>
  <c r="D318" i="6"/>
  <c r="E317" i="6"/>
  <c r="D317" i="6"/>
  <c r="E316" i="6"/>
  <c r="D316" i="6"/>
  <c r="E315" i="6"/>
  <c r="D315" i="6"/>
  <c r="E314" i="6"/>
  <c r="D314" i="6"/>
  <c r="E313" i="6"/>
  <c r="D313" i="6"/>
  <c r="E312" i="6"/>
  <c r="D312" i="6"/>
  <c r="E311" i="6"/>
  <c r="D311" i="6"/>
  <c r="E310" i="6"/>
  <c r="D310" i="6"/>
  <c r="E309" i="6"/>
  <c r="D309" i="6"/>
  <c r="E308" i="6"/>
  <c r="D308" i="6"/>
  <c r="E307" i="6"/>
  <c r="D307" i="6"/>
  <c r="E306" i="6"/>
  <c r="D306" i="6"/>
  <c r="E305" i="6"/>
  <c r="D305" i="6"/>
  <c r="E304" i="6"/>
  <c r="D304" i="6"/>
  <c r="E303" i="6"/>
  <c r="D303" i="6"/>
  <c r="E302" i="6"/>
  <c r="D302" i="6"/>
  <c r="E301" i="6"/>
  <c r="D301" i="6"/>
  <c r="E300" i="6"/>
  <c r="D300" i="6"/>
  <c r="E299" i="6"/>
  <c r="D299" i="6"/>
  <c r="E298" i="6"/>
  <c r="D298" i="6"/>
  <c r="E297" i="6"/>
  <c r="D297" i="6"/>
  <c r="E296" i="6"/>
  <c r="D296" i="6"/>
  <c r="E295" i="6"/>
  <c r="D295" i="6"/>
  <c r="E294" i="6"/>
  <c r="D294" i="6"/>
  <c r="E293" i="6"/>
  <c r="D293" i="6"/>
  <c r="E292" i="6"/>
  <c r="D292" i="6"/>
  <c r="E291" i="6"/>
  <c r="D291" i="6"/>
  <c r="E290" i="6"/>
  <c r="D290" i="6"/>
  <c r="E289" i="6"/>
  <c r="D289" i="6"/>
  <c r="E288" i="6"/>
  <c r="D288" i="6"/>
  <c r="E287" i="6"/>
  <c r="D287" i="6"/>
  <c r="E286" i="6"/>
  <c r="D286" i="6"/>
  <c r="E285" i="6"/>
  <c r="D285" i="6"/>
  <c r="E284" i="6"/>
  <c r="D284" i="6"/>
  <c r="E283" i="6"/>
  <c r="D283" i="6"/>
  <c r="E282" i="6"/>
  <c r="D282" i="6"/>
  <c r="E281" i="6"/>
  <c r="D281" i="6"/>
  <c r="E280" i="6"/>
  <c r="D280" i="6"/>
  <c r="E279" i="6"/>
  <c r="D279" i="6"/>
  <c r="E278" i="6"/>
  <c r="D278" i="6"/>
  <c r="E277" i="6"/>
  <c r="D277" i="6"/>
  <c r="E276" i="6"/>
  <c r="D276" i="6"/>
  <c r="E275" i="6"/>
  <c r="D275" i="6"/>
  <c r="E274" i="6"/>
  <c r="D274" i="6"/>
  <c r="E273" i="6"/>
  <c r="D273" i="6"/>
  <c r="E272" i="6"/>
  <c r="D272" i="6"/>
  <c r="E271" i="6"/>
  <c r="D271" i="6"/>
  <c r="E270" i="6"/>
  <c r="D270" i="6"/>
  <c r="E269" i="6"/>
  <c r="D269" i="6"/>
  <c r="E268" i="6"/>
  <c r="D268" i="6"/>
  <c r="E267" i="6"/>
  <c r="D267" i="6"/>
  <c r="E266" i="6"/>
  <c r="D266" i="6"/>
  <c r="E265" i="6"/>
  <c r="D265" i="6"/>
  <c r="E264" i="6"/>
  <c r="D264" i="6"/>
  <c r="E263" i="6"/>
  <c r="D263" i="6"/>
  <c r="E262" i="6"/>
  <c r="D262" i="6"/>
  <c r="E261" i="6"/>
  <c r="D261" i="6"/>
  <c r="E260" i="6"/>
  <c r="D260" i="6"/>
  <c r="E259" i="6"/>
  <c r="D259" i="6"/>
  <c r="E258" i="6"/>
  <c r="D258" i="6"/>
  <c r="E257" i="6"/>
  <c r="D257" i="6"/>
  <c r="E256" i="6"/>
  <c r="D256" i="6"/>
  <c r="E255" i="6"/>
  <c r="D255" i="6"/>
  <c r="E254" i="6"/>
  <c r="D254" i="6"/>
  <c r="E253" i="6"/>
  <c r="D253" i="6"/>
  <c r="E252" i="6"/>
  <c r="D252" i="6"/>
  <c r="E251" i="6"/>
  <c r="D251" i="6"/>
  <c r="E250" i="6"/>
  <c r="D250" i="6"/>
  <c r="E249" i="6"/>
  <c r="D249" i="6"/>
  <c r="E248" i="6"/>
  <c r="D248" i="6"/>
  <c r="E247" i="6"/>
  <c r="D247" i="6"/>
  <c r="E246" i="6"/>
  <c r="D246" i="6"/>
  <c r="E245" i="6"/>
  <c r="D245" i="6"/>
  <c r="E244" i="6"/>
  <c r="D244" i="6"/>
  <c r="E243" i="6"/>
  <c r="D243" i="6"/>
  <c r="E242" i="6"/>
  <c r="D242" i="6"/>
  <c r="E241" i="6"/>
  <c r="D241" i="6"/>
  <c r="E240" i="6"/>
  <c r="D240" i="6"/>
  <c r="E239" i="6"/>
  <c r="D239" i="6"/>
  <c r="E238" i="6"/>
  <c r="D238" i="6"/>
  <c r="E237" i="6"/>
  <c r="D237" i="6"/>
  <c r="E236" i="6"/>
  <c r="D236" i="6"/>
  <c r="E235" i="6"/>
  <c r="D235" i="6"/>
  <c r="E234" i="6"/>
  <c r="D234" i="6"/>
  <c r="E233" i="6"/>
  <c r="D233" i="6"/>
  <c r="E232" i="6"/>
  <c r="D232" i="6"/>
  <c r="E231" i="6"/>
  <c r="D231" i="6"/>
  <c r="E230" i="6"/>
  <c r="D230" i="6"/>
  <c r="E229" i="6"/>
  <c r="D229" i="6"/>
  <c r="E228" i="6"/>
  <c r="D228" i="6"/>
  <c r="E227" i="6"/>
  <c r="D227" i="6"/>
  <c r="E226" i="6"/>
  <c r="D226" i="6"/>
  <c r="E225" i="6"/>
  <c r="D225" i="6"/>
  <c r="E224" i="6"/>
  <c r="D224" i="6"/>
  <c r="E223" i="6"/>
  <c r="D223" i="6"/>
  <c r="E222" i="6"/>
  <c r="D222" i="6"/>
  <c r="E221" i="6"/>
  <c r="D221" i="6"/>
  <c r="E220" i="6"/>
  <c r="D220" i="6"/>
  <c r="E219" i="6"/>
  <c r="D219" i="6"/>
  <c r="E218" i="6"/>
  <c r="D218" i="6"/>
  <c r="E217" i="6"/>
  <c r="D217" i="6"/>
  <c r="E216" i="6"/>
  <c r="D216" i="6"/>
  <c r="E215" i="6"/>
  <c r="D215" i="6"/>
  <c r="E214" i="6"/>
  <c r="D214" i="6"/>
  <c r="E213" i="6"/>
  <c r="D213" i="6"/>
  <c r="E212" i="6"/>
  <c r="D212" i="6"/>
  <c r="E211" i="6"/>
  <c r="D211" i="6"/>
  <c r="E210" i="6"/>
  <c r="D210" i="6"/>
  <c r="E209" i="6"/>
  <c r="D209" i="6"/>
  <c r="E208" i="6"/>
  <c r="D208" i="6"/>
  <c r="E207" i="6"/>
  <c r="D207" i="6"/>
  <c r="E206" i="6"/>
  <c r="D206" i="6"/>
  <c r="E205" i="6"/>
  <c r="D205" i="6"/>
  <c r="E204" i="6"/>
  <c r="D204" i="6"/>
  <c r="E203" i="6"/>
  <c r="D203" i="6"/>
  <c r="E202" i="6"/>
  <c r="D202" i="6"/>
  <c r="E201" i="6"/>
  <c r="D201" i="6"/>
  <c r="E200" i="6"/>
  <c r="D200" i="6"/>
  <c r="E199" i="6"/>
  <c r="D199" i="6"/>
  <c r="E198" i="6"/>
  <c r="D198" i="6"/>
  <c r="E197" i="6"/>
  <c r="D197" i="6"/>
  <c r="E196" i="6"/>
  <c r="D196" i="6"/>
  <c r="E195" i="6"/>
  <c r="D195" i="6"/>
  <c r="E194" i="6"/>
  <c r="D194" i="6"/>
  <c r="E193" i="6"/>
  <c r="D193" i="6"/>
  <c r="E192" i="6"/>
  <c r="D192" i="6"/>
  <c r="E191" i="6"/>
  <c r="D191" i="6"/>
  <c r="E190" i="6"/>
  <c r="D190" i="6"/>
  <c r="E189" i="6"/>
  <c r="D189" i="6"/>
  <c r="E188" i="6"/>
  <c r="D188" i="6"/>
  <c r="E187" i="6"/>
  <c r="D187" i="6"/>
  <c r="E186" i="6"/>
  <c r="D186" i="6"/>
  <c r="E185" i="6"/>
  <c r="D185" i="6"/>
  <c r="E184" i="6"/>
  <c r="D184" i="6"/>
  <c r="E183" i="6"/>
  <c r="D183" i="6"/>
  <c r="E182" i="6"/>
  <c r="D182" i="6"/>
  <c r="E181" i="6"/>
  <c r="D181" i="6"/>
  <c r="E180" i="6"/>
  <c r="D180" i="6"/>
  <c r="E179" i="6"/>
  <c r="D179" i="6"/>
  <c r="E178" i="6"/>
  <c r="D178" i="6"/>
  <c r="E177" i="6"/>
  <c r="D177" i="6"/>
  <c r="E176" i="6"/>
  <c r="D176" i="6"/>
  <c r="E175" i="6"/>
  <c r="D175" i="6"/>
  <c r="E174" i="6"/>
  <c r="D174" i="6"/>
  <c r="E173" i="6"/>
  <c r="D173" i="6"/>
  <c r="E172" i="6"/>
  <c r="D172" i="6"/>
  <c r="E171" i="6"/>
  <c r="D171" i="6"/>
  <c r="E170" i="6"/>
  <c r="D170" i="6"/>
  <c r="E169" i="6"/>
  <c r="D169" i="6"/>
  <c r="E168" i="6"/>
  <c r="D168" i="6"/>
  <c r="E167" i="6"/>
  <c r="D167" i="6"/>
  <c r="E166" i="6"/>
  <c r="D166" i="6"/>
  <c r="E165" i="6"/>
  <c r="D165" i="6"/>
  <c r="E164" i="6"/>
  <c r="D164" i="6"/>
  <c r="E163" i="6"/>
  <c r="D163" i="6"/>
  <c r="E162" i="6"/>
  <c r="D162" i="6"/>
  <c r="E161" i="6"/>
  <c r="D161" i="6"/>
  <c r="E160" i="6"/>
  <c r="D160" i="6"/>
  <c r="E159" i="6"/>
  <c r="D159" i="6"/>
  <c r="E158" i="6"/>
  <c r="D158" i="6"/>
  <c r="E157" i="6"/>
  <c r="D157" i="6"/>
  <c r="E156" i="6"/>
  <c r="D156" i="6"/>
  <c r="E155" i="6"/>
  <c r="D155" i="6"/>
  <c r="E154" i="6"/>
  <c r="D154" i="6"/>
  <c r="E153" i="6"/>
  <c r="D153" i="6"/>
  <c r="E152" i="6"/>
  <c r="D152" i="6"/>
  <c r="E151" i="6"/>
  <c r="D151" i="6"/>
  <c r="E150" i="6"/>
  <c r="D150" i="6"/>
  <c r="E149" i="6"/>
  <c r="D149" i="6"/>
  <c r="E148" i="6"/>
  <c r="D148" i="6"/>
  <c r="E147" i="6"/>
  <c r="D147" i="6"/>
  <c r="E146" i="6"/>
  <c r="D146" i="6"/>
  <c r="E145" i="6"/>
  <c r="D145" i="6"/>
  <c r="E144" i="6"/>
  <c r="D144" i="6"/>
  <c r="E143" i="6"/>
  <c r="D143" i="6"/>
  <c r="E142" i="6"/>
  <c r="D142" i="6"/>
  <c r="E141" i="6"/>
  <c r="D141" i="6"/>
  <c r="E140" i="6"/>
  <c r="D140" i="6"/>
  <c r="E139" i="6"/>
  <c r="D139" i="6"/>
  <c r="E138" i="6"/>
  <c r="D138" i="6"/>
  <c r="E137" i="6"/>
  <c r="D137" i="6"/>
  <c r="E136" i="6"/>
  <c r="D136" i="6"/>
  <c r="E135" i="6"/>
  <c r="D135" i="6"/>
  <c r="E134" i="6"/>
  <c r="D134" i="6"/>
  <c r="E133" i="6"/>
  <c r="D133" i="6"/>
  <c r="E132" i="6"/>
  <c r="D132" i="6"/>
  <c r="E131" i="6"/>
  <c r="D131" i="6"/>
  <c r="E130" i="6"/>
  <c r="D130" i="6"/>
  <c r="E129" i="6"/>
  <c r="D129" i="6"/>
  <c r="E128" i="6"/>
  <c r="D128" i="6"/>
  <c r="E127" i="6"/>
  <c r="D127" i="6"/>
  <c r="E126" i="6"/>
  <c r="D126" i="6"/>
  <c r="E125" i="6"/>
  <c r="D125" i="6"/>
  <c r="E124" i="6"/>
  <c r="D124" i="6"/>
  <c r="E123" i="6"/>
  <c r="D123" i="6"/>
  <c r="E122" i="6"/>
  <c r="D122" i="6"/>
  <c r="E121" i="6"/>
  <c r="D121" i="6"/>
  <c r="E120" i="6"/>
  <c r="D120" i="6"/>
  <c r="E119" i="6"/>
  <c r="D119" i="6"/>
  <c r="E118" i="6"/>
  <c r="D118" i="6"/>
  <c r="E117" i="6"/>
  <c r="D117" i="6"/>
  <c r="E116" i="6"/>
  <c r="D116" i="6"/>
  <c r="E115" i="6"/>
  <c r="D115" i="6"/>
  <c r="E114" i="6"/>
  <c r="D114" i="6"/>
  <c r="E113" i="6"/>
  <c r="D113" i="6"/>
  <c r="E112" i="6"/>
  <c r="D112" i="6"/>
  <c r="E111" i="6"/>
  <c r="D111" i="6"/>
  <c r="E110" i="6"/>
  <c r="D110" i="6"/>
  <c r="E109" i="6"/>
  <c r="D109" i="6"/>
  <c r="E108" i="6"/>
  <c r="D108" i="6"/>
  <c r="E107" i="6"/>
  <c r="D107" i="6"/>
  <c r="E106" i="6"/>
  <c r="D106" i="6"/>
  <c r="E105" i="6"/>
  <c r="D105" i="6"/>
  <c r="E104" i="6"/>
  <c r="D104" i="6"/>
  <c r="E103" i="6"/>
  <c r="D103" i="6"/>
  <c r="E102" i="6"/>
  <c r="D102" i="6"/>
  <c r="E101" i="6"/>
  <c r="D101" i="6"/>
  <c r="E100" i="6"/>
  <c r="D100" i="6"/>
  <c r="E99" i="6"/>
  <c r="D99" i="6"/>
  <c r="E98" i="6"/>
  <c r="D98" i="6"/>
  <c r="E97" i="6"/>
  <c r="D97" i="6"/>
  <c r="E96" i="6"/>
  <c r="D96" i="6"/>
  <c r="E95" i="6"/>
  <c r="D95" i="6"/>
  <c r="E94" i="6"/>
  <c r="D94" i="6"/>
  <c r="E93" i="6"/>
  <c r="D93" i="6"/>
  <c r="E92" i="6"/>
  <c r="D92" i="6"/>
  <c r="E91" i="6"/>
  <c r="D91" i="6"/>
  <c r="E90" i="6"/>
  <c r="D90" i="6"/>
  <c r="E89" i="6"/>
  <c r="D89" i="6"/>
  <c r="E88" i="6"/>
  <c r="D88" i="6"/>
  <c r="E87" i="6"/>
  <c r="D87" i="6"/>
  <c r="E86" i="6"/>
  <c r="D86" i="6"/>
  <c r="E85" i="6"/>
  <c r="D85" i="6"/>
  <c r="E84" i="6"/>
  <c r="D84" i="6"/>
  <c r="E83" i="6"/>
  <c r="D83" i="6"/>
  <c r="E82" i="6"/>
  <c r="D82" i="6"/>
  <c r="E81" i="6"/>
  <c r="D81" i="6"/>
  <c r="E80" i="6"/>
  <c r="D80" i="6"/>
  <c r="E79" i="6"/>
  <c r="D79" i="6"/>
  <c r="E78" i="6"/>
  <c r="D78" i="6"/>
  <c r="E77" i="6"/>
  <c r="D77" i="6"/>
  <c r="E76" i="6"/>
  <c r="D76" i="6"/>
  <c r="E75" i="6"/>
  <c r="D75" i="6"/>
  <c r="E74" i="6"/>
  <c r="D74" i="6"/>
  <c r="E73" i="6"/>
  <c r="D73" i="6"/>
  <c r="E72" i="6"/>
  <c r="D72" i="6"/>
  <c r="E71" i="6"/>
  <c r="D71" i="6"/>
  <c r="E70" i="6"/>
  <c r="D70" i="6"/>
  <c r="E69" i="6"/>
  <c r="D69" i="6"/>
  <c r="E68" i="6"/>
  <c r="D68" i="6"/>
  <c r="E67" i="6"/>
  <c r="D67" i="6"/>
  <c r="E66" i="6"/>
  <c r="D66" i="6"/>
  <c r="E65" i="6"/>
  <c r="D65" i="6"/>
  <c r="E64" i="6"/>
  <c r="D64" i="6"/>
  <c r="E63" i="6"/>
  <c r="D63" i="6"/>
  <c r="E62" i="6"/>
  <c r="D62" i="6"/>
  <c r="E61" i="6"/>
  <c r="D61" i="6"/>
  <c r="E60" i="6"/>
  <c r="D60" i="6"/>
  <c r="E59" i="6"/>
  <c r="D59" i="6"/>
  <c r="E58" i="6"/>
  <c r="D58" i="6"/>
  <c r="E57" i="6"/>
  <c r="D57" i="6"/>
  <c r="E56" i="6"/>
  <c r="D56" i="6"/>
  <c r="E55" i="6"/>
  <c r="D55" i="6"/>
  <c r="E54" i="6"/>
  <c r="D54" i="6"/>
  <c r="E53" i="6"/>
  <c r="D53" i="6"/>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D15" i="6"/>
  <c r="E14" i="6"/>
  <c r="D14" i="6"/>
  <c r="E13" i="6"/>
  <c r="D13" i="6"/>
  <c r="E12" i="6"/>
  <c r="D12" i="6"/>
  <c r="E11" i="6"/>
  <c r="D11" i="6"/>
  <c r="E10" i="6"/>
  <c r="D10" i="6"/>
  <c r="E9" i="6"/>
  <c r="D9" i="6"/>
  <c r="E8" i="6"/>
  <c r="D8" i="6"/>
  <c r="E7" i="6"/>
  <c r="D7" i="6"/>
  <c r="E6" i="6"/>
  <c r="D6" i="6"/>
  <c r="E5" i="6"/>
  <c r="D5" i="6"/>
  <c r="E4" i="6"/>
  <c r="D4" i="6"/>
  <c r="E3" i="6"/>
  <c r="D3" i="6"/>
  <c r="E2" i="6"/>
  <c r="D2" i="6"/>
  <c r="T244" i="5"/>
  <c r="P244" i="5" s="1"/>
  <c r="N244" i="5"/>
  <c r="M244" i="5"/>
  <c r="I244" i="5"/>
  <c r="J244" i="5" s="1"/>
  <c r="E244" i="5"/>
  <c r="T243" i="5"/>
  <c r="P243" i="5"/>
  <c r="M243" i="5"/>
  <c r="N243" i="5" s="1"/>
  <c r="J243" i="5"/>
  <c r="I243" i="5"/>
  <c r="E243" i="5"/>
  <c r="T242" i="5"/>
  <c r="M242" i="5"/>
  <c r="N242" i="5" s="1"/>
  <c r="I242" i="5"/>
  <c r="J242" i="5" s="1"/>
  <c r="E242" i="5"/>
  <c r="T241" i="5"/>
  <c r="M241" i="5"/>
  <c r="N241" i="5" s="1"/>
  <c r="I241" i="5"/>
  <c r="J241" i="5" s="1"/>
  <c r="E241" i="5"/>
  <c r="F241" i="5" s="1"/>
  <c r="T240" i="5"/>
  <c r="N240" i="5"/>
  <c r="M240" i="5"/>
  <c r="I240" i="5"/>
  <c r="J240" i="5" s="1"/>
  <c r="F240" i="5"/>
  <c r="E240" i="5"/>
  <c r="T239" i="5"/>
  <c r="M239" i="5"/>
  <c r="N239" i="5" s="1"/>
  <c r="J239" i="5"/>
  <c r="I239" i="5"/>
  <c r="E239" i="5"/>
  <c r="T238" i="5"/>
  <c r="M238" i="5"/>
  <c r="N238" i="5" s="1"/>
  <c r="I238" i="5"/>
  <c r="E238" i="5"/>
  <c r="F238" i="5" s="1"/>
  <c r="T237" i="5"/>
  <c r="N237" i="5"/>
  <c r="M237" i="5"/>
  <c r="I237" i="5"/>
  <c r="J237" i="5" s="1"/>
  <c r="E237" i="5"/>
  <c r="F237" i="5" s="1"/>
  <c r="T236" i="5"/>
  <c r="S236" i="5"/>
  <c r="M236" i="5"/>
  <c r="N236" i="5" s="1"/>
  <c r="I236" i="5"/>
  <c r="J236" i="5" s="1"/>
  <c r="E236" i="5"/>
  <c r="F236" i="5" s="1"/>
  <c r="T235" i="5"/>
  <c r="M235" i="5"/>
  <c r="N235" i="5" s="1"/>
  <c r="I235" i="5"/>
  <c r="F235" i="5"/>
  <c r="E235" i="5"/>
  <c r="T234" i="5"/>
  <c r="M234" i="5"/>
  <c r="N234" i="5" s="1"/>
  <c r="I234" i="5"/>
  <c r="J234" i="5" s="1"/>
  <c r="E234" i="5"/>
  <c r="F234" i="5" s="1"/>
  <c r="T233" i="5"/>
  <c r="P233" i="5"/>
  <c r="N233" i="5"/>
  <c r="M233" i="5"/>
  <c r="I233" i="5"/>
  <c r="J233" i="5" s="1"/>
  <c r="E233" i="5"/>
  <c r="T232" i="5"/>
  <c r="P232" i="5"/>
  <c r="M232" i="5"/>
  <c r="N232" i="5" s="1"/>
  <c r="I232" i="5"/>
  <c r="J232" i="5" s="1"/>
  <c r="E232" i="5"/>
  <c r="T231" i="5"/>
  <c r="M231" i="5"/>
  <c r="N231" i="5" s="1"/>
  <c r="J231" i="5"/>
  <c r="I231" i="5"/>
  <c r="E231" i="5"/>
  <c r="T230" i="5"/>
  <c r="P231" i="5" s="1"/>
  <c r="M230" i="5"/>
  <c r="N230" i="5" s="1"/>
  <c r="I230" i="5"/>
  <c r="J230" i="5" s="1"/>
  <c r="E230" i="5"/>
  <c r="T229" i="5"/>
  <c r="M229" i="5"/>
  <c r="N229" i="5" s="1"/>
  <c r="J229" i="5"/>
  <c r="I229" i="5"/>
  <c r="E229" i="5"/>
  <c r="F229" i="5" s="1"/>
  <c r="T228" i="5"/>
  <c r="M228" i="5"/>
  <c r="J228" i="5"/>
  <c r="I228" i="5"/>
  <c r="F228" i="5"/>
  <c r="E228" i="5"/>
  <c r="T227" i="5"/>
  <c r="M227" i="5"/>
  <c r="J227" i="5"/>
  <c r="I227" i="5"/>
  <c r="E227" i="5"/>
  <c r="F227" i="5" s="1"/>
  <c r="T226" i="5"/>
  <c r="M226" i="5"/>
  <c r="N226" i="5" s="1"/>
  <c r="I226" i="5"/>
  <c r="J226" i="5" s="1"/>
  <c r="E226" i="5"/>
  <c r="T225" i="5"/>
  <c r="P225" i="5" s="1"/>
  <c r="N225" i="5"/>
  <c r="M225" i="5"/>
  <c r="I225" i="5"/>
  <c r="J225" i="5" s="1"/>
  <c r="E225" i="5"/>
  <c r="S225" i="5" s="1"/>
  <c r="T224" i="5"/>
  <c r="P224" i="5"/>
  <c r="N224" i="5"/>
  <c r="M224" i="5"/>
  <c r="I224" i="5"/>
  <c r="J224" i="5" s="1"/>
  <c r="E224" i="5"/>
  <c r="T223" i="5"/>
  <c r="P223" i="5"/>
  <c r="M223" i="5"/>
  <c r="N223" i="5" s="1"/>
  <c r="J223" i="5"/>
  <c r="I223" i="5"/>
  <c r="E223" i="5"/>
  <c r="T222" i="5"/>
  <c r="M222" i="5"/>
  <c r="N222" i="5" s="1"/>
  <c r="J222" i="5"/>
  <c r="I222" i="5"/>
  <c r="E222" i="5"/>
  <c r="T221" i="5"/>
  <c r="M221" i="5"/>
  <c r="N221" i="5" s="1"/>
  <c r="I221" i="5"/>
  <c r="J221" i="5" s="1"/>
  <c r="E221" i="5"/>
  <c r="F221" i="5" s="1"/>
  <c r="T220" i="5"/>
  <c r="P220" i="5" s="1"/>
  <c r="M220" i="5"/>
  <c r="N220" i="5" s="1"/>
  <c r="I220" i="5"/>
  <c r="J220" i="5" s="1"/>
  <c r="E220" i="5"/>
  <c r="S220" i="5" s="1"/>
  <c r="T219" i="5"/>
  <c r="M219" i="5"/>
  <c r="N219" i="5" s="1"/>
  <c r="I219" i="5"/>
  <c r="F219" i="5"/>
  <c r="E219" i="5"/>
  <c r="T218" i="5"/>
  <c r="M218" i="5"/>
  <c r="N218" i="5" s="1"/>
  <c r="I218" i="5"/>
  <c r="J218" i="5" s="1"/>
  <c r="E218" i="5"/>
  <c r="T217" i="5"/>
  <c r="P217" i="5" s="1"/>
  <c r="M217" i="5"/>
  <c r="N217" i="5" s="1"/>
  <c r="I217" i="5"/>
  <c r="J217" i="5" s="1"/>
  <c r="E217" i="5"/>
  <c r="F217" i="5" s="1"/>
  <c r="T216" i="5"/>
  <c r="P216" i="5"/>
  <c r="N216" i="5"/>
  <c r="M216" i="5"/>
  <c r="I216" i="5"/>
  <c r="J216" i="5" s="1"/>
  <c r="E216" i="5"/>
  <c r="T215" i="5"/>
  <c r="M215" i="5"/>
  <c r="N215" i="5" s="1"/>
  <c r="J215" i="5"/>
  <c r="I215" i="5"/>
  <c r="E215" i="5"/>
  <c r="T214" i="5"/>
  <c r="P214" i="5" s="1"/>
  <c r="M214" i="5"/>
  <c r="N214" i="5" s="1"/>
  <c r="I214" i="5"/>
  <c r="J214" i="5" s="1"/>
  <c r="E214" i="5"/>
  <c r="T213" i="5"/>
  <c r="P213" i="5" s="1"/>
  <c r="M213" i="5"/>
  <c r="N213" i="5" s="1"/>
  <c r="I213" i="5"/>
  <c r="E213" i="5"/>
  <c r="F213" i="5" s="1"/>
  <c r="T212" i="5"/>
  <c r="M212" i="5"/>
  <c r="N212" i="5" s="1"/>
  <c r="I212" i="5"/>
  <c r="E212" i="5"/>
  <c r="F212" i="5" s="1"/>
  <c r="T211" i="5"/>
  <c r="M211" i="5"/>
  <c r="N211" i="5" s="1"/>
  <c r="I211" i="5"/>
  <c r="E211" i="5"/>
  <c r="F211" i="5" s="1"/>
  <c r="T210" i="5"/>
  <c r="M210" i="5"/>
  <c r="N210" i="5" s="1"/>
  <c r="I210" i="5"/>
  <c r="E210" i="5"/>
  <c r="F210" i="5" s="1"/>
  <c r="T209" i="5"/>
  <c r="P209" i="5" s="1"/>
  <c r="N209" i="5"/>
  <c r="M209" i="5"/>
  <c r="I209" i="5"/>
  <c r="J209" i="5" s="1"/>
  <c r="E209" i="5"/>
  <c r="F209" i="5" s="1"/>
  <c r="T208" i="5"/>
  <c r="P208" i="5"/>
  <c r="N208" i="5"/>
  <c r="M208" i="5"/>
  <c r="I208" i="5"/>
  <c r="J208" i="5" s="1"/>
  <c r="E208" i="5"/>
  <c r="T207" i="5"/>
  <c r="P207" i="5"/>
  <c r="M207" i="5"/>
  <c r="N207" i="5" s="1"/>
  <c r="J207" i="5"/>
  <c r="I207" i="5"/>
  <c r="E207" i="5"/>
  <c r="T206" i="5"/>
  <c r="P206" i="5"/>
  <c r="M206" i="5"/>
  <c r="N206" i="5" s="1"/>
  <c r="J206" i="5"/>
  <c r="I206" i="5"/>
  <c r="E206" i="5"/>
  <c r="F206" i="5" s="1"/>
  <c r="T205" i="5"/>
  <c r="M205" i="5"/>
  <c r="N205" i="5" s="1"/>
  <c r="I205" i="5"/>
  <c r="F205" i="5"/>
  <c r="E205" i="5"/>
  <c r="T204" i="5"/>
  <c r="N204" i="5"/>
  <c r="M204" i="5"/>
  <c r="I204" i="5"/>
  <c r="E204" i="5"/>
  <c r="F204" i="5" s="1"/>
  <c r="T203" i="5"/>
  <c r="M203" i="5"/>
  <c r="N203" i="5" s="1"/>
  <c r="I203" i="5"/>
  <c r="J203" i="5" s="1"/>
  <c r="E203" i="5"/>
  <c r="T202" i="5"/>
  <c r="M202" i="5"/>
  <c r="N202" i="5" s="1"/>
  <c r="I202" i="5"/>
  <c r="J202" i="5" s="1"/>
  <c r="E202" i="5"/>
  <c r="F202" i="5" s="1"/>
  <c r="T201" i="5"/>
  <c r="P201" i="5"/>
  <c r="M201" i="5"/>
  <c r="N201" i="5" s="1"/>
  <c r="I201" i="5"/>
  <c r="J201" i="5" s="1"/>
  <c r="E201" i="5"/>
  <c r="T200" i="5"/>
  <c r="M200" i="5"/>
  <c r="N200" i="5" s="1"/>
  <c r="I200" i="5"/>
  <c r="J200" i="5" s="1"/>
  <c r="E200" i="5"/>
  <c r="T199" i="5"/>
  <c r="P199" i="5" s="1"/>
  <c r="M199" i="5"/>
  <c r="N199" i="5" s="1"/>
  <c r="J199" i="5"/>
  <c r="I199" i="5"/>
  <c r="E199" i="5"/>
  <c r="T198" i="5"/>
  <c r="M198" i="5"/>
  <c r="N198" i="5" s="1"/>
  <c r="I198" i="5"/>
  <c r="E198" i="5"/>
  <c r="F198" i="5" s="1"/>
  <c r="T197" i="5"/>
  <c r="N197" i="5"/>
  <c r="M197" i="5"/>
  <c r="I197" i="5"/>
  <c r="S197" i="5" s="1"/>
  <c r="E197" i="5"/>
  <c r="F197" i="5" s="1"/>
  <c r="T196" i="5"/>
  <c r="M196" i="5"/>
  <c r="S196" i="5" s="1"/>
  <c r="I196" i="5"/>
  <c r="J196" i="5" s="1"/>
  <c r="E196" i="5"/>
  <c r="F196" i="5" s="1"/>
  <c r="T195" i="5"/>
  <c r="M195" i="5"/>
  <c r="N195" i="5" s="1"/>
  <c r="I195" i="5"/>
  <c r="F195" i="5"/>
  <c r="E195" i="5"/>
  <c r="T194" i="5"/>
  <c r="M194" i="5"/>
  <c r="N194" i="5" s="1"/>
  <c r="I194" i="5"/>
  <c r="J194" i="5" s="1"/>
  <c r="E194" i="5"/>
  <c r="T193" i="5"/>
  <c r="P193" i="5" s="1"/>
  <c r="S193" i="5"/>
  <c r="M193" i="5"/>
  <c r="N193" i="5" s="1"/>
  <c r="I193" i="5"/>
  <c r="J193" i="5" s="1"/>
  <c r="E193" i="5"/>
  <c r="F193" i="5" s="1"/>
  <c r="T192" i="5"/>
  <c r="P192" i="5"/>
  <c r="N192" i="5"/>
  <c r="M192" i="5"/>
  <c r="I192" i="5"/>
  <c r="J192" i="5" s="1"/>
  <c r="E192" i="5"/>
  <c r="T191" i="5"/>
  <c r="M191" i="5"/>
  <c r="N191" i="5" s="1"/>
  <c r="J191" i="5"/>
  <c r="I191" i="5"/>
  <c r="E191" i="5"/>
  <c r="T190" i="5"/>
  <c r="M190" i="5"/>
  <c r="N190" i="5" s="1"/>
  <c r="I190" i="5"/>
  <c r="J190" i="5" s="1"/>
  <c r="E190" i="5"/>
  <c r="F190" i="5" s="1"/>
  <c r="T189" i="5"/>
  <c r="M189" i="5"/>
  <c r="N189" i="5" s="1"/>
  <c r="I189" i="5"/>
  <c r="F189" i="5"/>
  <c r="E189" i="5"/>
  <c r="T188" i="5"/>
  <c r="M188" i="5"/>
  <c r="N188" i="5" s="1"/>
  <c r="I188" i="5"/>
  <c r="S188" i="5" s="1"/>
  <c r="F188" i="5"/>
  <c r="E188" i="5"/>
  <c r="T187" i="5"/>
  <c r="M187" i="5"/>
  <c r="N187" i="5" s="1"/>
  <c r="I187" i="5"/>
  <c r="J187" i="5" s="1"/>
  <c r="E187" i="5"/>
  <c r="T186" i="5"/>
  <c r="M186" i="5"/>
  <c r="N186" i="5" s="1"/>
  <c r="I186" i="5"/>
  <c r="J186" i="5" s="1"/>
  <c r="E186" i="5"/>
  <c r="T185" i="5"/>
  <c r="M185" i="5"/>
  <c r="N185" i="5" s="1"/>
  <c r="I185" i="5"/>
  <c r="J185" i="5" s="1"/>
  <c r="E185" i="5"/>
  <c r="S185" i="5" s="1"/>
  <c r="T184" i="5"/>
  <c r="P184" i="5" s="1"/>
  <c r="N184" i="5"/>
  <c r="M184" i="5"/>
  <c r="I184" i="5"/>
  <c r="J184" i="5" s="1"/>
  <c r="E184" i="5"/>
  <c r="T183" i="5"/>
  <c r="N183" i="5"/>
  <c r="M183" i="5"/>
  <c r="J183" i="5"/>
  <c r="I183" i="5"/>
  <c r="E183" i="5"/>
  <c r="T182" i="5"/>
  <c r="S182" i="5"/>
  <c r="M182" i="5"/>
  <c r="N182" i="5" s="1"/>
  <c r="J182" i="5"/>
  <c r="I182" i="5"/>
  <c r="E182" i="5"/>
  <c r="F182" i="5" s="1"/>
  <c r="T181" i="5"/>
  <c r="M181" i="5"/>
  <c r="J181" i="5"/>
  <c r="I181" i="5"/>
  <c r="E181" i="5"/>
  <c r="F181" i="5" s="1"/>
  <c r="T180" i="5"/>
  <c r="M180" i="5"/>
  <c r="I180" i="5"/>
  <c r="J180" i="5" s="1"/>
  <c r="F180" i="5"/>
  <c r="E180" i="5"/>
  <c r="T179" i="5"/>
  <c r="M179" i="5"/>
  <c r="N179" i="5" s="1"/>
  <c r="I179" i="5"/>
  <c r="J179" i="5" s="1"/>
  <c r="E179" i="5"/>
  <c r="F179" i="5" s="1"/>
  <c r="T178" i="5"/>
  <c r="M178" i="5"/>
  <c r="N178" i="5" s="1"/>
  <c r="I178" i="5"/>
  <c r="J178" i="5" s="1"/>
  <c r="E178" i="5"/>
  <c r="T177" i="5"/>
  <c r="P177" i="5"/>
  <c r="M177" i="5"/>
  <c r="N177" i="5" s="1"/>
  <c r="I177" i="5"/>
  <c r="J177" i="5" s="1"/>
  <c r="F177" i="5"/>
  <c r="E177" i="5"/>
  <c r="T176" i="5"/>
  <c r="M176" i="5"/>
  <c r="N176" i="5" s="1"/>
  <c r="I176" i="5"/>
  <c r="J176" i="5" s="1"/>
  <c r="F176" i="5"/>
  <c r="E176" i="5"/>
  <c r="S176" i="5" s="1"/>
  <c r="T175" i="5"/>
  <c r="P176" i="5" s="1"/>
  <c r="M175" i="5"/>
  <c r="N175" i="5" s="1"/>
  <c r="I175" i="5"/>
  <c r="J175" i="5" s="1"/>
  <c r="E175" i="5"/>
  <c r="T174" i="5"/>
  <c r="N174" i="5"/>
  <c r="M174" i="5"/>
  <c r="I174" i="5"/>
  <c r="J174" i="5" s="1"/>
  <c r="E174" i="5"/>
  <c r="T173" i="5"/>
  <c r="P173" i="5" s="1"/>
  <c r="M173" i="5"/>
  <c r="N173" i="5" s="1"/>
  <c r="J173" i="5"/>
  <c r="I173" i="5"/>
  <c r="E173" i="5"/>
  <c r="F173" i="5" s="1"/>
  <c r="T172" i="5"/>
  <c r="M172" i="5"/>
  <c r="N172" i="5" s="1"/>
  <c r="I172" i="5"/>
  <c r="E172" i="5"/>
  <c r="F172" i="5" s="1"/>
  <c r="T171" i="5"/>
  <c r="M171" i="5"/>
  <c r="I171" i="5"/>
  <c r="J171" i="5" s="1"/>
  <c r="E171" i="5"/>
  <c r="F171" i="5" s="1"/>
  <c r="T170" i="5"/>
  <c r="M170" i="5"/>
  <c r="N170" i="5" s="1"/>
  <c r="J170" i="5"/>
  <c r="I170" i="5"/>
  <c r="E170" i="5"/>
  <c r="F170" i="5" s="1"/>
  <c r="T169" i="5"/>
  <c r="P169" i="5"/>
  <c r="M169" i="5"/>
  <c r="N169" i="5" s="1"/>
  <c r="I169" i="5"/>
  <c r="J169" i="5" s="1"/>
  <c r="F169" i="5"/>
  <c r="E169" i="5"/>
  <c r="T168" i="5"/>
  <c r="M168" i="5"/>
  <c r="N168" i="5" s="1"/>
  <c r="I168" i="5"/>
  <c r="J168" i="5" s="1"/>
  <c r="E168" i="5"/>
  <c r="T167" i="5"/>
  <c r="M167" i="5"/>
  <c r="N167" i="5" s="1"/>
  <c r="I167" i="5"/>
  <c r="J167" i="5" s="1"/>
  <c r="E167" i="5"/>
  <c r="T166" i="5"/>
  <c r="P166" i="5"/>
  <c r="M166" i="5"/>
  <c r="N166" i="5" s="1"/>
  <c r="J166" i="5"/>
  <c r="I166" i="5"/>
  <c r="E166" i="5"/>
  <c r="T165" i="5"/>
  <c r="M165" i="5"/>
  <c r="N165" i="5" s="1"/>
  <c r="I165" i="5"/>
  <c r="J165" i="5" s="1"/>
  <c r="E165" i="5"/>
  <c r="F165" i="5" s="1"/>
  <c r="T164" i="5"/>
  <c r="M164" i="5"/>
  <c r="N164" i="5" s="1"/>
  <c r="I164" i="5"/>
  <c r="E164" i="5"/>
  <c r="F164" i="5" s="1"/>
  <c r="T163" i="5"/>
  <c r="M163" i="5"/>
  <c r="N163" i="5" s="1"/>
  <c r="J163" i="5"/>
  <c r="I163" i="5"/>
  <c r="E163" i="5"/>
  <c r="F163" i="5" s="1"/>
  <c r="T162" i="5"/>
  <c r="M162" i="5"/>
  <c r="N162" i="5" s="1"/>
  <c r="I162" i="5"/>
  <c r="J162" i="5" s="1"/>
  <c r="E162" i="5"/>
  <c r="T161" i="5"/>
  <c r="P161" i="5" s="1"/>
  <c r="M161" i="5"/>
  <c r="N161" i="5" s="1"/>
  <c r="I161" i="5"/>
  <c r="J161" i="5" s="1"/>
  <c r="E161" i="5"/>
  <c r="F161" i="5" s="1"/>
  <c r="T160" i="5"/>
  <c r="P160" i="5"/>
  <c r="M160" i="5"/>
  <c r="N160" i="5" s="1"/>
  <c r="I160" i="5"/>
  <c r="J160" i="5" s="1"/>
  <c r="E160" i="5"/>
  <c r="S160" i="5" s="1"/>
  <c r="T159" i="5"/>
  <c r="M159" i="5"/>
  <c r="N159" i="5" s="1"/>
  <c r="I159" i="5"/>
  <c r="J159" i="5" s="1"/>
  <c r="E159" i="5"/>
  <c r="T158" i="5"/>
  <c r="P158" i="5"/>
  <c r="N158" i="5"/>
  <c r="M158" i="5"/>
  <c r="J158" i="5"/>
  <c r="I158" i="5"/>
  <c r="E158" i="5"/>
  <c r="T157" i="5"/>
  <c r="M157" i="5"/>
  <c r="N157" i="5" s="1"/>
  <c r="I157" i="5"/>
  <c r="S157" i="5" s="1"/>
  <c r="E157" i="5"/>
  <c r="F157" i="5" s="1"/>
  <c r="T156" i="5"/>
  <c r="N156" i="5"/>
  <c r="M156" i="5"/>
  <c r="I156" i="5"/>
  <c r="J156" i="5" s="1"/>
  <c r="E156" i="5"/>
  <c r="T155" i="5"/>
  <c r="P155" i="5" s="1"/>
  <c r="M155" i="5"/>
  <c r="N155" i="5" s="1"/>
  <c r="I155" i="5"/>
  <c r="J155" i="5" s="1"/>
  <c r="F155" i="5"/>
  <c r="E155" i="5"/>
  <c r="T154" i="5"/>
  <c r="P154" i="5"/>
  <c r="M154" i="5"/>
  <c r="N154" i="5" s="1"/>
  <c r="J154" i="5"/>
  <c r="I154" i="5"/>
  <c r="E154" i="5"/>
  <c r="F154" i="5" s="1"/>
  <c r="T153" i="5"/>
  <c r="M153" i="5"/>
  <c r="N153" i="5" s="1"/>
  <c r="I153" i="5"/>
  <c r="J153" i="5" s="1"/>
  <c r="E153" i="5"/>
  <c r="S153" i="5" s="1"/>
  <c r="T152" i="5"/>
  <c r="P152" i="5" s="1"/>
  <c r="M152" i="5"/>
  <c r="N152" i="5" s="1"/>
  <c r="I152" i="5"/>
  <c r="J152" i="5" s="1"/>
  <c r="E152" i="5"/>
  <c r="T151" i="5"/>
  <c r="M151" i="5"/>
  <c r="N151" i="5" s="1"/>
  <c r="I151" i="5"/>
  <c r="J151" i="5" s="1"/>
  <c r="F151" i="5"/>
  <c r="E151" i="5"/>
  <c r="T150" i="5"/>
  <c r="P150" i="5" s="1"/>
  <c r="M150" i="5"/>
  <c r="N150" i="5" s="1"/>
  <c r="I150" i="5"/>
  <c r="J150" i="5" s="1"/>
  <c r="E150" i="5"/>
  <c r="T149" i="5"/>
  <c r="N149" i="5"/>
  <c r="M149" i="5"/>
  <c r="I149" i="5"/>
  <c r="J149" i="5" s="1"/>
  <c r="E149" i="5"/>
  <c r="F149" i="5" s="1"/>
  <c r="T148" i="5"/>
  <c r="S148" i="5"/>
  <c r="M148" i="5"/>
  <c r="N148" i="5" s="1"/>
  <c r="I148" i="5"/>
  <c r="J148" i="5" s="1"/>
  <c r="E148" i="5"/>
  <c r="F148" i="5" s="1"/>
  <c r="T147" i="5"/>
  <c r="M147" i="5"/>
  <c r="N147" i="5" s="1"/>
  <c r="J147" i="5"/>
  <c r="I147" i="5"/>
  <c r="E147" i="5"/>
  <c r="F147" i="5" s="1"/>
  <c r="T146" i="5"/>
  <c r="M146" i="5"/>
  <c r="N146" i="5" s="1"/>
  <c r="I146" i="5"/>
  <c r="J146" i="5" s="1"/>
  <c r="E146" i="5"/>
  <c r="T145" i="5"/>
  <c r="M145" i="5"/>
  <c r="N145" i="5" s="1"/>
  <c r="I145" i="5"/>
  <c r="E145" i="5"/>
  <c r="F145" i="5" s="1"/>
  <c r="T144" i="5"/>
  <c r="M144" i="5"/>
  <c r="N144" i="5" s="1"/>
  <c r="I144" i="5"/>
  <c r="J144" i="5" s="1"/>
  <c r="E144" i="5"/>
  <c r="T143" i="5"/>
  <c r="M143" i="5"/>
  <c r="N143" i="5" s="1"/>
  <c r="I143" i="5"/>
  <c r="J143" i="5" s="1"/>
  <c r="E143" i="5"/>
  <c r="T142" i="5"/>
  <c r="P143" i="5" s="1"/>
  <c r="M142" i="5"/>
  <c r="N142" i="5" s="1"/>
  <c r="J142" i="5"/>
  <c r="I142" i="5"/>
  <c r="E142" i="5"/>
  <c r="T141" i="5"/>
  <c r="N141" i="5"/>
  <c r="M141" i="5"/>
  <c r="J141" i="5"/>
  <c r="I141" i="5"/>
  <c r="E141" i="5"/>
  <c r="F141" i="5" s="1"/>
  <c r="T140" i="5"/>
  <c r="P140" i="5"/>
  <c r="M140" i="5"/>
  <c r="N140" i="5" s="1"/>
  <c r="I140" i="5"/>
  <c r="F140" i="5"/>
  <c r="E140" i="5"/>
  <c r="T139" i="5"/>
  <c r="N139" i="5"/>
  <c r="M139" i="5"/>
  <c r="I139" i="5"/>
  <c r="J139" i="5" s="1"/>
  <c r="E139" i="5"/>
  <c r="T138" i="5"/>
  <c r="M138" i="5"/>
  <c r="N138" i="5" s="1"/>
  <c r="I138" i="5"/>
  <c r="E138" i="5"/>
  <c r="F138" i="5" s="1"/>
  <c r="T137" i="5"/>
  <c r="M137" i="5"/>
  <c r="N137" i="5" s="1"/>
  <c r="I137" i="5"/>
  <c r="J137" i="5" s="1"/>
  <c r="E137" i="5"/>
  <c r="T136" i="5"/>
  <c r="P136" i="5" s="1"/>
  <c r="M136" i="5"/>
  <c r="N136" i="5" s="1"/>
  <c r="I136" i="5"/>
  <c r="J136" i="5" s="1"/>
  <c r="E136" i="5"/>
  <c r="T135" i="5"/>
  <c r="M135" i="5"/>
  <c r="N135" i="5" s="1"/>
  <c r="I135" i="5"/>
  <c r="J135" i="5" s="1"/>
  <c r="E135" i="5"/>
  <c r="T134" i="5"/>
  <c r="M134" i="5"/>
  <c r="N134" i="5" s="1"/>
  <c r="I134" i="5"/>
  <c r="J134" i="5" s="1"/>
  <c r="E134" i="5"/>
  <c r="F134" i="5" s="1"/>
  <c r="T133" i="5"/>
  <c r="P133" i="5" s="1"/>
  <c r="M133" i="5"/>
  <c r="N133" i="5" s="1"/>
  <c r="I133" i="5"/>
  <c r="J133" i="5" s="1"/>
  <c r="E133" i="5"/>
  <c r="T132" i="5"/>
  <c r="M132" i="5"/>
  <c r="S132" i="5" s="1"/>
  <c r="J132" i="5"/>
  <c r="I132" i="5"/>
  <c r="E132" i="5"/>
  <c r="F132" i="5" s="1"/>
  <c r="T131" i="5"/>
  <c r="M131" i="5"/>
  <c r="N131" i="5" s="1"/>
  <c r="I131" i="5"/>
  <c r="E131" i="5"/>
  <c r="F131" i="5" s="1"/>
  <c r="T130" i="5"/>
  <c r="M130" i="5"/>
  <c r="N130" i="5" s="1"/>
  <c r="I130" i="5"/>
  <c r="J130" i="5" s="1"/>
  <c r="E130" i="5"/>
  <c r="F130" i="5" s="1"/>
  <c r="T129" i="5"/>
  <c r="M129" i="5"/>
  <c r="N129" i="5" s="1"/>
  <c r="J129" i="5"/>
  <c r="I129" i="5"/>
  <c r="E129" i="5"/>
  <c r="T128" i="5"/>
  <c r="M128" i="5"/>
  <c r="N128" i="5" s="1"/>
  <c r="I128" i="5"/>
  <c r="F128" i="5"/>
  <c r="E128" i="5"/>
  <c r="T127" i="5"/>
  <c r="M127" i="5"/>
  <c r="N127" i="5" s="1"/>
  <c r="I127" i="5"/>
  <c r="J127" i="5" s="1"/>
  <c r="E127" i="5"/>
  <c r="S127" i="5" s="1"/>
  <c r="T126" i="5"/>
  <c r="P126" i="5"/>
  <c r="N126" i="5"/>
  <c r="M126" i="5"/>
  <c r="J126" i="5"/>
  <c r="I126" i="5"/>
  <c r="E126" i="5"/>
  <c r="T125" i="5"/>
  <c r="P125" i="5"/>
  <c r="M125" i="5"/>
  <c r="N125" i="5" s="1"/>
  <c r="J125" i="5"/>
  <c r="I125" i="5"/>
  <c r="E125" i="5"/>
  <c r="F125" i="5" s="1"/>
  <c r="T124" i="5"/>
  <c r="M124" i="5"/>
  <c r="N124" i="5" s="1"/>
  <c r="I124" i="5"/>
  <c r="J124" i="5" s="1"/>
  <c r="F124" i="5"/>
  <c r="E124" i="5"/>
  <c r="S124" i="5" s="1"/>
  <c r="T123" i="5"/>
  <c r="M123" i="5"/>
  <c r="N123" i="5" s="1"/>
  <c r="I123" i="5"/>
  <c r="J123" i="5" s="1"/>
  <c r="E123" i="5"/>
  <c r="T122" i="5"/>
  <c r="M122" i="5"/>
  <c r="N122" i="5" s="1"/>
  <c r="J122" i="5"/>
  <c r="I122" i="5"/>
  <c r="E122" i="5"/>
  <c r="T121" i="5"/>
  <c r="M121" i="5"/>
  <c r="N121" i="5" s="1"/>
  <c r="I121" i="5"/>
  <c r="J121" i="5" s="1"/>
  <c r="E121" i="5"/>
  <c r="F121" i="5" s="1"/>
  <c r="T120" i="5"/>
  <c r="P120" i="5" s="1"/>
  <c r="M120" i="5"/>
  <c r="N120" i="5" s="1"/>
  <c r="I120" i="5"/>
  <c r="J120" i="5" s="1"/>
  <c r="E120" i="5"/>
  <c r="S120" i="5" s="1"/>
  <c r="T119" i="5"/>
  <c r="P119" i="5" s="1"/>
  <c r="S119" i="5"/>
  <c r="M119" i="5"/>
  <c r="N119" i="5" s="1"/>
  <c r="I119" i="5"/>
  <c r="J119" i="5" s="1"/>
  <c r="E119" i="5"/>
  <c r="F119" i="5" s="1"/>
  <c r="T118" i="5"/>
  <c r="N118" i="5"/>
  <c r="M118" i="5"/>
  <c r="J118" i="5"/>
  <c r="I118" i="5"/>
  <c r="E118" i="5"/>
  <c r="T117" i="5"/>
  <c r="M117" i="5"/>
  <c r="N117" i="5" s="1"/>
  <c r="I117" i="5"/>
  <c r="J117" i="5" s="1"/>
  <c r="E117" i="5"/>
  <c r="T116" i="5"/>
  <c r="M116" i="5"/>
  <c r="N116" i="5" s="1"/>
  <c r="I116" i="5"/>
  <c r="J116" i="5" s="1"/>
  <c r="E116" i="5"/>
  <c r="T115" i="5"/>
  <c r="M115" i="5"/>
  <c r="N115" i="5" s="1"/>
  <c r="J115" i="5"/>
  <c r="I115" i="5"/>
  <c r="E115" i="5"/>
  <c r="T114" i="5"/>
  <c r="M114" i="5"/>
  <c r="I114" i="5"/>
  <c r="J114" i="5" s="1"/>
  <c r="F114" i="5"/>
  <c r="E114" i="5"/>
  <c r="T113" i="5"/>
  <c r="M113" i="5"/>
  <c r="N113" i="5" s="1"/>
  <c r="I113" i="5"/>
  <c r="J113" i="5" s="1"/>
  <c r="E113" i="5"/>
  <c r="F113" i="5" s="1"/>
  <c r="T112" i="5"/>
  <c r="N112" i="5"/>
  <c r="M112" i="5"/>
  <c r="I112" i="5"/>
  <c r="J112" i="5" s="1"/>
  <c r="E112" i="5"/>
  <c r="T111" i="5"/>
  <c r="P111" i="5" s="1"/>
  <c r="M111" i="5"/>
  <c r="N111" i="5" s="1"/>
  <c r="I111" i="5"/>
  <c r="E111" i="5"/>
  <c r="F111" i="5" s="1"/>
  <c r="T110" i="5"/>
  <c r="M110" i="5"/>
  <c r="N110" i="5" s="1"/>
  <c r="J110" i="5"/>
  <c r="I110" i="5"/>
  <c r="F110" i="5"/>
  <c r="E110" i="5"/>
  <c r="T109" i="5"/>
  <c r="P109" i="5"/>
  <c r="M109" i="5"/>
  <c r="N109" i="5" s="1"/>
  <c r="I109" i="5"/>
  <c r="J109" i="5" s="1"/>
  <c r="E109" i="5"/>
  <c r="F109" i="5" s="1"/>
  <c r="T108" i="5"/>
  <c r="M108" i="5"/>
  <c r="N108" i="5" s="1"/>
  <c r="I108" i="5"/>
  <c r="J108" i="5" s="1"/>
  <c r="E108" i="5"/>
  <c r="T107" i="5"/>
  <c r="M107" i="5"/>
  <c r="N107" i="5" s="1"/>
  <c r="J107" i="5"/>
  <c r="I107" i="5"/>
  <c r="E107" i="5"/>
  <c r="T106" i="5"/>
  <c r="V106" i="5" s="1"/>
  <c r="M106" i="5"/>
  <c r="S106" i="5" s="1"/>
  <c r="U106" i="5" s="1"/>
  <c r="J106" i="5"/>
  <c r="I106" i="5"/>
  <c r="E106" i="5"/>
  <c r="F106" i="5" s="1"/>
  <c r="T105" i="5"/>
  <c r="M105" i="5"/>
  <c r="N105" i="5" s="1"/>
  <c r="I105" i="5"/>
  <c r="F105" i="5"/>
  <c r="E105" i="5"/>
  <c r="T104" i="5"/>
  <c r="M104" i="5"/>
  <c r="I104" i="5"/>
  <c r="J104" i="5" s="1"/>
  <c r="E104" i="5"/>
  <c r="F104" i="5" s="1"/>
  <c r="T103" i="5"/>
  <c r="S103" i="5"/>
  <c r="M103" i="5"/>
  <c r="N103" i="5" s="1"/>
  <c r="J103" i="5"/>
  <c r="I103" i="5"/>
  <c r="E103" i="5"/>
  <c r="F103" i="5" s="1"/>
  <c r="T102" i="5"/>
  <c r="P102" i="5"/>
  <c r="M102" i="5"/>
  <c r="N102" i="5" s="1"/>
  <c r="I102" i="5"/>
  <c r="J102" i="5" s="1"/>
  <c r="E102" i="5"/>
  <c r="T101" i="5"/>
  <c r="M101" i="5"/>
  <c r="N101" i="5" s="1"/>
  <c r="I101" i="5"/>
  <c r="J101" i="5" s="1"/>
  <c r="E101" i="5"/>
  <c r="F101" i="5" s="1"/>
  <c r="T100" i="5"/>
  <c r="P101" i="5" s="1"/>
  <c r="M100" i="5"/>
  <c r="N100" i="5" s="1"/>
  <c r="I100" i="5"/>
  <c r="J100" i="5" s="1"/>
  <c r="E100" i="5"/>
  <c r="S100" i="5" s="1"/>
  <c r="U100" i="5" s="1"/>
  <c r="T99" i="5"/>
  <c r="P100" i="5" s="1"/>
  <c r="M99" i="5"/>
  <c r="N99" i="5" s="1"/>
  <c r="I99" i="5"/>
  <c r="J99" i="5" s="1"/>
  <c r="E99" i="5"/>
  <c r="V98" i="5"/>
  <c r="T98" i="5"/>
  <c r="S98" i="5"/>
  <c r="M98" i="5"/>
  <c r="N98" i="5" s="1"/>
  <c r="I98" i="5"/>
  <c r="J98" i="5" s="1"/>
  <c r="E98" i="5"/>
  <c r="F98" i="5" s="1"/>
  <c r="T97" i="5"/>
  <c r="S97" i="5"/>
  <c r="N97" i="5"/>
  <c r="M97" i="5"/>
  <c r="I97" i="5"/>
  <c r="J97" i="5" s="1"/>
  <c r="E97" i="5"/>
  <c r="F97" i="5" s="1"/>
  <c r="T96" i="5"/>
  <c r="P96" i="5" s="1"/>
  <c r="M96" i="5"/>
  <c r="N96" i="5" s="1"/>
  <c r="I96" i="5"/>
  <c r="J96" i="5" s="1"/>
  <c r="F96" i="5"/>
  <c r="E96" i="5"/>
  <c r="T95" i="5"/>
  <c r="P95" i="5" s="1"/>
  <c r="M95" i="5"/>
  <c r="N95" i="5" s="1"/>
  <c r="I95" i="5"/>
  <c r="J95" i="5" s="1"/>
  <c r="E95" i="5"/>
  <c r="T94" i="5"/>
  <c r="N94" i="5"/>
  <c r="M94" i="5"/>
  <c r="I94" i="5"/>
  <c r="E94" i="5"/>
  <c r="F94" i="5" s="1"/>
  <c r="T93" i="5"/>
  <c r="P93" i="5"/>
  <c r="N93" i="5"/>
  <c r="M93" i="5"/>
  <c r="I93" i="5"/>
  <c r="J93" i="5" s="1"/>
  <c r="E93" i="5"/>
  <c r="F93" i="5" s="1"/>
  <c r="T92" i="5"/>
  <c r="P92" i="5"/>
  <c r="M92" i="5"/>
  <c r="N92" i="5" s="1"/>
  <c r="J92" i="5"/>
  <c r="I92" i="5"/>
  <c r="E92" i="5"/>
  <c r="T91" i="5"/>
  <c r="M91" i="5"/>
  <c r="N91" i="5" s="1"/>
  <c r="I91" i="5"/>
  <c r="J91" i="5" s="1"/>
  <c r="E91" i="5"/>
  <c r="T90" i="5"/>
  <c r="M90" i="5"/>
  <c r="N90" i="5" s="1"/>
  <c r="I90" i="5"/>
  <c r="J90" i="5" s="1"/>
  <c r="E90" i="5"/>
  <c r="S90" i="5" s="1"/>
  <c r="T89" i="5"/>
  <c r="N89" i="5"/>
  <c r="M89" i="5"/>
  <c r="I89" i="5"/>
  <c r="J89" i="5" s="1"/>
  <c r="E89" i="5"/>
  <c r="F89" i="5" s="1"/>
  <c r="T88" i="5"/>
  <c r="M88" i="5"/>
  <c r="N88" i="5" s="1"/>
  <c r="I88" i="5"/>
  <c r="J88" i="5" s="1"/>
  <c r="E88" i="5"/>
  <c r="F88" i="5" s="1"/>
  <c r="T87" i="5"/>
  <c r="M87" i="5"/>
  <c r="N87" i="5" s="1"/>
  <c r="I87" i="5"/>
  <c r="J87" i="5" s="1"/>
  <c r="E87" i="5"/>
  <c r="F87" i="5" s="1"/>
  <c r="T86" i="5"/>
  <c r="M86" i="5"/>
  <c r="N86" i="5" s="1"/>
  <c r="I86" i="5"/>
  <c r="J86" i="5" s="1"/>
  <c r="E86" i="5"/>
  <c r="F86" i="5" s="1"/>
  <c r="T85" i="5"/>
  <c r="P85" i="5" s="1"/>
  <c r="M85" i="5"/>
  <c r="N85" i="5" s="1"/>
  <c r="I85" i="5"/>
  <c r="J85" i="5" s="1"/>
  <c r="E85" i="5"/>
  <c r="S85" i="5" s="1"/>
  <c r="T84" i="5"/>
  <c r="M84" i="5"/>
  <c r="N84" i="5" s="1"/>
  <c r="J84" i="5"/>
  <c r="I84" i="5"/>
  <c r="E84" i="5"/>
  <c r="F84" i="5" s="1"/>
  <c r="T83" i="5"/>
  <c r="P83" i="5"/>
  <c r="M83" i="5"/>
  <c r="N83" i="5" s="1"/>
  <c r="I83" i="5"/>
  <c r="J83" i="5" s="1"/>
  <c r="E83" i="5"/>
  <c r="T82" i="5"/>
  <c r="M82" i="5"/>
  <c r="N82" i="5" s="1"/>
  <c r="I82" i="5"/>
  <c r="E82" i="5"/>
  <c r="F82" i="5" s="1"/>
  <c r="T81" i="5"/>
  <c r="M81" i="5"/>
  <c r="N81" i="5" s="1"/>
  <c r="I81" i="5"/>
  <c r="E81" i="5"/>
  <c r="F81" i="5" s="1"/>
  <c r="T80" i="5"/>
  <c r="P80" i="5"/>
  <c r="M80" i="5"/>
  <c r="N80" i="5" s="1"/>
  <c r="I80" i="5"/>
  <c r="J80" i="5" s="1"/>
  <c r="E80" i="5"/>
  <c r="T79" i="5"/>
  <c r="M79" i="5"/>
  <c r="N79" i="5" s="1"/>
  <c r="I79" i="5"/>
  <c r="J79" i="5" s="1"/>
  <c r="F79" i="5"/>
  <c r="E79" i="5"/>
  <c r="S79" i="5" s="1"/>
  <c r="T78" i="5"/>
  <c r="P79" i="5" s="1"/>
  <c r="N78" i="5"/>
  <c r="M78" i="5"/>
  <c r="I78" i="5"/>
  <c r="E78" i="5"/>
  <c r="F78" i="5" s="1"/>
  <c r="T77" i="5"/>
  <c r="P77" i="5" s="1"/>
  <c r="S77" i="5"/>
  <c r="M77" i="5"/>
  <c r="N77" i="5" s="1"/>
  <c r="I77" i="5"/>
  <c r="J77" i="5" s="1"/>
  <c r="E77" i="5"/>
  <c r="F77" i="5" s="1"/>
  <c r="T76" i="5"/>
  <c r="M76" i="5"/>
  <c r="N76" i="5" s="1"/>
  <c r="J76" i="5"/>
  <c r="I76" i="5"/>
  <c r="E76" i="5"/>
  <c r="T75" i="5"/>
  <c r="M75" i="5"/>
  <c r="N75" i="5" s="1"/>
  <c r="I75" i="5"/>
  <c r="J75" i="5" s="1"/>
  <c r="E75" i="5"/>
  <c r="T74" i="5"/>
  <c r="M74" i="5"/>
  <c r="N74" i="5" s="1"/>
  <c r="I74" i="5"/>
  <c r="E74" i="5"/>
  <c r="F74" i="5" s="1"/>
  <c r="T73" i="5"/>
  <c r="M73" i="5"/>
  <c r="N73" i="5" s="1"/>
  <c r="I73" i="5"/>
  <c r="J73" i="5" s="1"/>
  <c r="E73" i="5"/>
  <c r="F73" i="5" s="1"/>
  <c r="T72" i="5"/>
  <c r="P72" i="5" s="1"/>
  <c r="M72" i="5"/>
  <c r="N72" i="5" s="1"/>
  <c r="I72" i="5"/>
  <c r="J72" i="5" s="1"/>
  <c r="F72" i="5"/>
  <c r="E72" i="5"/>
  <c r="T71" i="5"/>
  <c r="M71" i="5"/>
  <c r="N71" i="5" s="1"/>
  <c r="I71" i="5"/>
  <c r="J71" i="5" s="1"/>
  <c r="E71" i="5"/>
  <c r="F71" i="5" s="1"/>
  <c r="T70" i="5"/>
  <c r="P70" i="5"/>
  <c r="M70" i="5"/>
  <c r="N70" i="5" s="1"/>
  <c r="I70" i="5"/>
  <c r="J70" i="5" s="1"/>
  <c r="E70" i="5"/>
  <c r="T69" i="5"/>
  <c r="P69" i="5"/>
  <c r="M69" i="5"/>
  <c r="N69" i="5" s="1"/>
  <c r="I69" i="5"/>
  <c r="F69" i="5"/>
  <c r="E69" i="5"/>
  <c r="T68" i="5"/>
  <c r="M68" i="5"/>
  <c r="N68" i="5" s="1"/>
  <c r="I68" i="5"/>
  <c r="J68" i="5" s="1"/>
  <c r="E68" i="5"/>
  <c r="S68" i="5" s="1"/>
  <c r="U68" i="5" s="1"/>
  <c r="T67" i="5"/>
  <c r="P68" i="5" s="1"/>
  <c r="N67" i="5"/>
  <c r="M67" i="5"/>
  <c r="I67" i="5"/>
  <c r="J67" i="5" s="1"/>
  <c r="E67" i="5"/>
  <c r="T66" i="5"/>
  <c r="M66" i="5"/>
  <c r="N66" i="5" s="1"/>
  <c r="I66" i="5"/>
  <c r="J66" i="5" s="1"/>
  <c r="E66" i="5"/>
  <c r="F66" i="5" s="1"/>
  <c r="T65" i="5"/>
  <c r="M65" i="5"/>
  <c r="I65" i="5"/>
  <c r="J65" i="5" s="1"/>
  <c r="E65" i="5"/>
  <c r="F65" i="5" s="1"/>
  <c r="T64" i="5"/>
  <c r="P64" i="5" s="1"/>
  <c r="M64" i="5"/>
  <c r="N64" i="5" s="1"/>
  <c r="I64" i="5"/>
  <c r="J64" i="5" s="1"/>
  <c r="E64" i="5"/>
  <c r="S64" i="5" s="1"/>
  <c r="T63" i="5"/>
  <c r="M63" i="5"/>
  <c r="N63" i="5" s="1"/>
  <c r="I63" i="5"/>
  <c r="J63" i="5" s="1"/>
  <c r="E63" i="5"/>
  <c r="F63" i="5" s="1"/>
  <c r="T62" i="5"/>
  <c r="M62" i="5"/>
  <c r="N62" i="5" s="1"/>
  <c r="I62" i="5"/>
  <c r="J62" i="5" s="1"/>
  <c r="E62" i="5"/>
  <c r="T61" i="5"/>
  <c r="P61" i="5" s="1"/>
  <c r="N61" i="5"/>
  <c r="M61" i="5"/>
  <c r="I61" i="5"/>
  <c r="J61" i="5" s="1"/>
  <c r="E61" i="5"/>
  <c r="S61" i="5" s="1"/>
  <c r="T60" i="5"/>
  <c r="M60" i="5"/>
  <c r="N60" i="5" s="1"/>
  <c r="E60" i="5"/>
  <c r="F60" i="5" s="1"/>
  <c r="T59" i="5"/>
  <c r="M59" i="5"/>
  <c r="I59" i="5"/>
  <c r="J59" i="5" s="1"/>
  <c r="E59" i="5"/>
  <c r="F59" i="5" s="1"/>
  <c r="T58" i="5"/>
  <c r="P58" i="5" s="1"/>
  <c r="M58" i="5"/>
  <c r="N58" i="5" s="1"/>
  <c r="I58" i="5"/>
  <c r="E58" i="5"/>
  <c r="F58" i="5" s="1"/>
  <c r="T57" i="5"/>
  <c r="P57" i="5"/>
  <c r="M57" i="5"/>
  <c r="N57" i="5" s="1"/>
  <c r="J57" i="5"/>
  <c r="I57" i="5"/>
  <c r="E57" i="5"/>
  <c r="F57" i="5" s="1"/>
  <c r="T56" i="5"/>
  <c r="M56" i="5"/>
  <c r="N56" i="5" s="1"/>
  <c r="I56" i="5"/>
  <c r="J56" i="5" s="1"/>
  <c r="E56" i="5"/>
  <c r="S56" i="5" s="1"/>
  <c r="T55" i="5"/>
  <c r="P55" i="5" s="1"/>
  <c r="M55" i="5"/>
  <c r="N55" i="5" s="1"/>
  <c r="I55" i="5"/>
  <c r="J55" i="5" s="1"/>
  <c r="E55" i="5"/>
  <c r="S55" i="5" s="1"/>
  <c r="T54" i="5"/>
  <c r="M54" i="5"/>
  <c r="N54" i="5" s="1"/>
  <c r="I54" i="5"/>
  <c r="J54" i="5" s="1"/>
  <c r="E54" i="5"/>
  <c r="F54" i="5" s="1"/>
  <c r="T53" i="5"/>
  <c r="N53" i="5"/>
  <c r="M53" i="5"/>
  <c r="J53" i="5"/>
  <c r="I53" i="5"/>
  <c r="E53" i="5"/>
  <c r="T52" i="5"/>
  <c r="M52" i="5"/>
  <c r="N52" i="5" s="1"/>
  <c r="I52" i="5"/>
  <c r="S52" i="5" s="1"/>
  <c r="U52" i="5" s="1"/>
  <c r="E52" i="5"/>
  <c r="F52" i="5" s="1"/>
  <c r="T51" i="5"/>
  <c r="M51" i="5"/>
  <c r="N51" i="5" s="1"/>
  <c r="I51" i="5"/>
  <c r="E51" i="5"/>
  <c r="F51" i="5" s="1"/>
  <c r="A51" i="5"/>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T50" i="5"/>
  <c r="M50" i="5"/>
  <c r="N50" i="5" s="1"/>
  <c r="I50" i="5"/>
  <c r="J50" i="5" s="1"/>
  <c r="E50" i="5"/>
  <c r="F50" i="5" s="1"/>
  <c r="T49" i="5"/>
  <c r="S49" i="5"/>
  <c r="M49" i="5"/>
  <c r="N49" i="5" s="1"/>
  <c r="I49" i="5"/>
  <c r="J49" i="5" s="1"/>
  <c r="E49" i="5"/>
  <c r="F49" i="5" s="1"/>
  <c r="T48" i="5"/>
  <c r="P48" i="5" s="1"/>
  <c r="M48" i="5"/>
  <c r="N48" i="5" s="1"/>
  <c r="I48" i="5"/>
  <c r="J48" i="5" s="1"/>
  <c r="E48" i="5"/>
  <c r="F48" i="5" s="1"/>
  <c r="T47" i="5"/>
  <c r="M47" i="5"/>
  <c r="N47" i="5" s="1"/>
  <c r="I47" i="5"/>
  <c r="E47" i="5"/>
  <c r="F47" i="5" s="1"/>
  <c r="T46" i="5"/>
  <c r="M46" i="5"/>
  <c r="N46" i="5" s="1"/>
  <c r="I46" i="5"/>
  <c r="J46" i="5" s="1"/>
  <c r="E46" i="5"/>
  <c r="T45" i="5"/>
  <c r="P45" i="5"/>
  <c r="M45" i="5"/>
  <c r="N45" i="5" s="1"/>
  <c r="I45" i="5"/>
  <c r="J45" i="5" s="1"/>
  <c r="E45" i="5"/>
  <c r="T44" i="5"/>
  <c r="M44" i="5"/>
  <c r="N44" i="5" s="1"/>
  <c r="I44" i="5"/>
  <c r="J44" i="5" s="1"/>
  <c r="F44" i="5"/>
  <c r="E44" i="5"/>
  <c r="T43" i="5"/>
  <c r="M43" i="5"/>
  <c r="I43" i="5"/>
  <c r="J43" i="5" s="1"/>
  <c r="E43" i="5"/>
  <c r="F43" i="5" s="1"/>
  <c r="T42" i="5"/>
  <c r="S42" i="5"/>
  <c r="M42" i="5"/>
  <c r="N42" i="5" s="1"/>
  <c r="I42" i="5"/>
  <c r="J42" i="5" s="1"/>
  <c r="E42" i="5"/>
  <c r="F42" i="5" s="1"/>
  <c r="T41" i="5"/>
  <c r="M41" i="5"/>
  <c r="N41" i="5" s="1"/>
  <c r="I41" i="5"/>
  <c r="F41" i="5"/>
  <c r="E41" i="5"/>
  <c r="T40" i="5"/>
  <c r="P40" i="5" s="1"/>
  <c r="M40" i="5"/>
  <c r="N40" i="5" s="1"/>
  <c r="I40" i="5"/>
  <c r="J40" i="5" s="1"/>
  <c r="E40" i="5"/>
  <c r="T39" i="5"/>
  <c r="N39" i="5"/>
  <c r="M39" i="5"/>
  <c r="I39" i="5"/>
  <c r="E39" i="5"/>
  <c r="F39" i="5" s="1"/>
  <c r="T38" i="5"/>
  <c r="N38" i="5"/>
  <c r="M38" i="5"/>
  <c r="I38" i="5"/>
  <c r="J38" i="5" s="1"/>
  <c r="F38" i="5"/>
  <c r="E38" i="5"/>
  <c r="T37" i="5"/>
  <c r="M37" i="5"/>
  <c r="N37" i="5" s="1"/>
  <c r="I37" i="5"/>
  <c r="J37" i="5" s="1"/>
  <c r="E37" i="5"/>
  <c r="T36" i="5"/>
  <c r="M36" i="5"/>
  <c r="N36" i="5" s="1"/>
  <c r="I36" i="5"/>
  <c r="J36" i="5" s="1"/>
  <c r="E36" i="5"/>
  <c r="T35" i="5"/>
  <c r="P35" i="5" s="1"/>
  <c r="M35" i="5"/>
  <c r="N35" i="5" s="1"/>
  <c r="I35" i="5"/>
  <c r="J35" i="5" s="1"/>
  <c r="E35" i="5"/>
  <c r="F35" i="5" s="1"/>
  <c r="T34" i="5"/>
  <c r="M34" i="5"/>
  <c r="N34" i="5" s="1"/>
  <c r="I34" i="5"/>
  <c r="J34" i="5" s="1"/>
  <c r="E34" i="5"/>
  <c r="F34" i="5" s="1"/>
  <c r="T33" i="5"/>
  <c r="P33" i="5" s="1"/>
  <c r="M33" i="5"/>
  <c r="N33" i="5" s="1"/>
  <c r="I33" i="5"/>
  <c r="J33" i="5" s="1"/>
  <c r="E33" i="5"/>
  <c r="F33" i="5" s="1"/>
  <c r="T32" i="5"/>
  <c r="M32" i="5"/>
  <c r="N32" i="5" s="1"/>
  <c r="I32" i="5"/>
  <c r="J32" i="5" s="1"/>
  <c r="F32" i="5"/>
  <c r="E32" i="5"/>
  <c r="T31" i="5"/>
  <c r="N31" i="5"/>
  <c r="M31" i="5"/>
  <c r="I31" i="5"/>
  <c r="J31" i="5" s="1"/>
  <c r="E31" i="5"/>
  <c r="F31" i="5" s="1"/>
  <c r="T30" i="5"/>
  <c r="P30" i="5" s="1"/>
  <c r="M30" i="5"/>
  <c r="N30" i="5" s="1"/>
  <c r="I30" i="5"/>
  <c r="J30" i="5" s="1"/>
  <c r="E30" i="5"/>
  <c r="T29" i="5"/>
  <c r="P29" i="5"/>
  <c r="M29" i="5"/>
  <c r="N29" i="5" s="1"/>
  <c r="J29" i="5"/>
  <c r="I29" i="5"/>
  <c r="E29" i="5"/>
  <c r="T28" i="5"/>
  <c r="N28" i="5"/>
  <c r="M28" i="5"/>
  <c r="I28" i="5"/>
  <c r="J28" i="5" s="1"/>
  <c r="E28" i="5"/>
  <c r="F28" i="5" s="1"/>
  <c r="T27" i="5"/>
  <c r="P28" i="5" s="1"/>
  <c r="M27" i="5"/>
  <c r="J27" i="5"/>
  <c r="I27" i="5"/>
  <c r="E27" i="5"/>
  <c r="F27" i="5" s="1"/>
  <c r="T26" i="5"/>
  <c r="S26" i="5"/>
  <c r="M26" i="5"/>
  <c r="N26" i="5" s="1"/>
  <c r="I26" i="5"/>
  <c r="J26" i="5" s="1"/>
  <c r="F26" i="5"/>
  <c r="E26" i="5"/>
  <c r="T25" i="5"/>
  <c r="M25" i="5"/>
  <c r="N25" i="5" s="1"/>
  <c r="J25" i="5"/>
  <c r="I25" i="5"/>
  <c r="E25" i="5"/>
  <c r="F25" i="5" s="1"/>
  <c r="T24" i="5"/>
  <c r="P24" i="5"/>
  <c r="M24" i="5"/>
  <c r="N24" i="5" s="1"/>
  <c r="I24" i="5"/>
  <c r="J24" i="5" s="1"/>
  <c r="E24" i="5"/>
  <c r="T23" i="5"/>
  <c r="M23" i="5"/>
  <c r="N23" i="5" s="1"/>
  <c r="I23" i="5"/>
  <c r="E23" i="5"/>
  <c r="F23" i="5" s="1"/>
  <c r="T22" i="5"/>
  <c r="N22" i="5"/>
  <c r="M22" i="5"/>
  <c r="I22" i="5"/>
  <c r="J22" i="5" s="1"/>
  <c r="F22" i="5"/>
  <c r="E22" i="5"/>
  <c r="T21" i="5"/>
  <c r="M21" i="5"/>
  <c r="N21" i="5" s="1"/>
  <c r="I21" i="5"/>
  <c r="J21" i="5" s="1"/>
  <c r="E21" i="5"/>
  <c r="T20" i="5"/>
  <c r="N20" i="5"/>
  <c r="M20" i="5"/>
  <c r="I20" i="5"/>
  <c r="J20" i="5" s="1"/>
  <c r="E20" i="5"/>
  <c r="T19" i="5"/>
  <c r="M19" i="5"/>
  <c r="N19" i="5" s="1"/>
  <c r="J19" i="5"/>
  <c r="I19" i="5"/>
  <c r="E19" i="5"/>
  <c r="F19" i="5" s="1"/>
  <c r="T18" i="5"/>
  <c r="M18" i="5"/>
  <c r="S18" i="5" s="1"/>
  <c r="I18" i="5"/>
  <c r="J18" i="5" s="1"/>
  <c r="E18" i="5"/>
  <c r="F18" i="5" s="1"/>
  <c r="T17" i="5"/>
  <c r="M17" i="5"/>
  <c r="N17" i="5" s="1"/>
  <c r="I17" i="5"/>
  <c r="J17" i="5" s="1"/>
  <c r="F17" i="5"/>
  <c r="E17" i="5"/>
  <c r="S17" i="5" s="1"/>
  <c r="T16" i="5"/>
  <c r="P16" i="5" s="1"/>
  <c r="M16" i="5"/>
  <c r="N16" i="5" s="1"/>
  <c r="J16" i="5"/>
  <c r="I16" i="5"/>
  <c r="F16" i="5"/>
  <c r="E16" i="5"/>
  <c r="T15" i="5"/>
  <c r="M15" i="5"/>
  <c r="N15" i="5" s="1"/>
  <c r="I15" i="5"/>
  <c r="S15" i="5" s="1"/>
  <c r="F15" i="5"/>
  <c r="E15" i="5"/>
  <c r="T14" i="5"/>
  <c r="N14" i="5"/>
  <c r="M14" i="5"/>
  <c r="I14" i="5"/>
  <c r="J14" i="5" s="1"/>
  <c r="E14" i="5"/>
  <c r="S14" i="5" s="1"/>
  <c r="T13" i="5"/>
  <c r="M13" i="5"/>
  <c r="N13" i="5" s="1"/>
  <c r="I13" i="5"/>
  <c r="J13" i="5" s="1"/>
  <c r="E13" i="5"/>
  <c r="T12" i="5"/>
  <c r="M12" i="5"/>
  <c r="N12" i="5" s="1"/>
  <c r="I12" i="5"/>
  <c r="J12" i="5" s="1"/>
  <c r="E12" i="5"/>
  <c r="T11" i="5"/>
  <c r="P12" i="5" s="1"/>
  <c r="M11" i="5"/>
  <c r="N11" i="5" s="1"/>
  <c r="J11" i="5"/>
  <c r="I11" i="5"/>
  <c r="E11" i="5"/>
  <c r="F11" i="5" s="1"/>
  <c r="T10" i="5"/>
  <c r="P10" i="5" s="1"/>
  <c r="M10" i="5"/>
  <c r="N10" i="5" s="1"/>
  <c r="J10" i="5"/>
  <c r="I10" i="5"/>
  <c r="E10" i="5"/>
  <c r="F10" i="5" s="1"/>
  <c r="T9" i="5"/>
  <c r="M9" i="5"/>
  <c r="N9" i="5" s="1"/>
  <c r="I9" i="5"/>
  <c r="J9" i="5" s="1"/>
  <c r="E9" i="5"/>
  <c r="T8" i="5"/>
  <c r="P8" i="5" s="1"/>
  <c r="M8" i="5"/>
  <c r="N8" i="5" s="1"/>
  <c r="I8" i="5"/>
  <c r="J8" i="5" s="1"/>
  <c r="F8" i="5"/>
  <c r="E8" i="5"/>
  <c r="T7" i="5"/>
  <c r="M7" i="5"/>
  <c r="N7" i="5" s="1"/>
  <c r="I7" i="5"/>
  <c r="J7" i="5" s="1"/>
  <c r="F7" i="5"/>
  <c r="E7" i="5"/>
  <c r="T6" i="5"/>
  <c r="P6" i="5" s="1"/>
  <c r="N6" i="5"/>
  <c r="M6" i="5"/>
  <c r="I6" i="5"/>
  <c r="J6" i="5" s="1"/>
  <c r="E6" i="5"/>
  <c r="S6" i="5" s="1"/>
  <c r="T5" i="5"/>
  <c r="P5" i="5" s="1"/>
  <c r="M5" i="5"/>
  <c r="N5" i="5" s="1"/>
  <c r="I5" i="5"/>
  <c r="J5" i="5" s="1"/>
  <c r="E5" i="5"/>
  <c r="T4" i="5"/>
  <c r="M4" i="5"/>
  <c r="N4" i="5" s="1"/>
  <c r="I4" i="5"/>
  <c r="F4" i="5"/>
  <c r="E4" i="5"/>
  <c r="T3" i="5"/>
  <c r="M3" i="5"/>
  <c r="N3" i="5" s="1"/>
  <c r="J3" i="5"/>
  <c r="I3" i="5"/>
  <c r="E3" i="5"/>
  <c r="F3" i="5" s="1"/>
  <c r="E523" i="4"/>
  <c r="F523" i="4" s="1"/>
  <c r="E522" i="4"/>
  <c r="F522" i="4" s="1"/>
  <c r="F521" i="4"/>
  <c r="E521" i="4"/>
  <c r="E520" i="4"/>
  <c r="F520" i="4" s="1"/>
  <c r="E519" i="4"/>
  <c r="F519" i="4" s="1"/>
  <c r="E518" i="4"/>
  <c r="F518" i="4" s="1"/>
  <c r="E517" i="4"/>
  <c r="F517" i="4" s="1"/>
  <c r="E516" i="4"/>
  <c r="F516" i="4" s="1"/>
  <c r="F515" i="4"/>
  <c r="E515" i="4"/>
  <c r="E514" i="4"/>
  <c r="F514" i="4" s="1"/>
  <c r="E513" i="4"/>
  <c r="F513" i="4" s="1"/>
  <c r="E512" i="4"/>
  <c r="F512" i="4" s="1"/>
  <c r="E511" i="4"/>
  <c r="F511" i="4" s="1"/>
  <c r="E510" i="4"/>
  <c r="F510" i="4" s="1"/>
  <c r="E509" i="4"/>
  <c r="F509" i="4" s="1"/>
  <c r="E508" i="4"/>
  <c r="F508" i="4" s="1"/>
  <c r="E507" i="4"/>
  <c r="F507" i="4" s="1"/>
  <c r="E506" i="4"/>
  <c r="F506" i="4" s="1"/>
  <c r="E505" i="4"/>
  <c r="F505" i="4" s="1"/>
  <c r="E504" i="4"/>
  <c r="F504" i="4" s="1"/>
  <c r="F503" i="4"/>
  <c r="E503" i="4"/>
  <c r="E502" i="4"/>
  <c r="F502" i="4" s="1"/>
  <c r="E501" i="4"/>
  <c r="F501" i="4" s="1"/>
  <c r="E500" i="4"/>
  <c r="F500" i="4" s="1"/>
  <c r="E499" i="4"/>
  <c r="F499" i="4" s="1"/>
  <c r="E498" i="4"/>
  <c r="F498" i="4" s="1"/>
  <c r="E497" i="4"/>
  <c r="F497" i="4" s="1"/>
  <c r="E496" i="4"/>
  <c r="F496" i="4" s="1"/>
  <c r="E495" i="4"/>
  <c r="F495" i="4" s="1"/>
  <c r="E494" i="4"/>
  <c r="F494" i="4" s="1"/>
  <c r="F493" i="4"/>
  <c r="E493" i="4"/>
  <c r="F492" i="4"/>
  <c r="E492" i="4"/>
  <c r="F491" i="4"/>
  <c r="E491" i="4"/>
  <c r="E490" i="4"/>
  <c r="F490" i="4" s="1"/>
  <c r="F489" i="4"/>
  <c r="E489" i="4"/>
  <c r="E488" i="4"/>
  <c r="F488" i="4" s="1"/>
  <c r="F487" i="4"/>
  <c r="E487" i="4"/>
  <c r="E486" i="4"/>
  <c r="F486" i="4" s="1"/>
  <c r="E485" i="4"/>
  <c r="F485" i="4" s="1"/>
  <c r="F484" i="4"/>
  <c r="E484" i="4"/>
  <c r="F483" i="4"/>
  <c r="E483" i="4"/>
  <c r="E482" i="4"/>
  <c r="F482" i="4" s="1"/>
  <c r="E481" i="4"/>
  <c r="F481" i="4" s="1"/>
  <c r="E480" i="4"/>
  <c r="F480" i="4" s="1"/>
  <c r="E479" i="4"/>
  <c r="F479" i="4" s="1"/>
  <c r="E478" i="4"/>
  <c r="F478" i="4" s="1"/>
  <c r="F477" i="4"/>
  <c r="E477" i="4"/>
  <c r="F476" i="4"/>
  <c r="E476" i="4"/>
  <c r="E475" i="4"/>
  <c r="F475" i="4" s="1"/>
  <c r="E474" i="4"/>
  <c r="F474" i="4" s="1"/>
  <c r="E473" i="4"/>
  <c r="F473" i="4" s="1"/>
  <c r="F472" i="4"/>
  <c r="E472" i="4"/>
  <c r="F471" i="4"/>
  <c r="E471" i="4"/>
  <c r="E470" i="4"/>
  <c r="F470" i="4" s="1"/>
  <c r="E469" i="4"/>
  <c r="F469" i="4" s="1"/>
  <c r="E468" i="4"/>
  <c r="F468" i="4" s="1"/>
  <c r="F467" i="4"/>
  <c r="E467" i="4"/>
  <c r="E466" i="4"/>
  <c r="F466" i="4" s="1"/>
  <c r="E465" i="4"/>
  <c r="F465" i="4" s="1"/>
  <c r="E464" i="4"/>
  <c r="F464" i="4" s="1"/>
  <c r="E463" i="4"/>
  <c r="F463" i="4" s="1"/>
  <c r="E462" i="4"/>
  <c r="F462" i="4" s="1"/>
  <c r="F461" i="4"/>
  <c r="E461" i="4"/>
  <c r="F460" i="4"/>
  <c r="E460" i="4"/>
  <c r="E459" i="4"/>
  <c r="F459" i="4" s="1"/>
  <c r="E458" i="4"/>
  <c r="F458" i="4" s="1"/>
  <c r="F457" i="4"/>
  <c r="E457" i="4"/>
  <c r="E456" i="4"/>
  <c r="F456" i="4" s="1"/>
  <c r="F455" i="4"/>
  <c r="E455" i="4"/>
  <c r="E454" i="4"/>
  <c r="F454" i="4" s="1"/>
  <c r="E453" i="4"/>
  <c r="F453" i="4" s="1"/>
  <c r="E452" i="4"/>
  <c r="F452" i="4" s="1"/>
  <c r="F451" i="4"/>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F439" i="4"/>
  <c r="E439" i="4"/>
  <c r="E438" i="4"/>
  <c r="F438" i="4" s="1"/>
  <c r="E437" i="4"/>
  <c r="F437" i="4" s="1"/>
  <c r="F436" i="4"/>
  <c r="E436" i="4"/>
  <c r="F435" i="4"/>
  <c r="E435" i="4"/>
  <c r="E434" i="4"/>
  <c r="F434" i="4" s="1"/>
  <c r="E433" i="4"/>
  <c r="F433" i="4" s="1"/>
  <c r="E432" i="4"/>
  <c r="F432" i="4" s="1"/>
  <c r="E431" i="4"/>
  <c r="F431" i="4" s="1"/>
  <c r="E430" i="4"/>
  <c r="F430" i="4" s="1"/>
  <c r="E429" i="4"/>
  <c r="F429" i="4" s="1"/>
  <c r="E428" i="4"/>
  <c r="F428" i="4" s="1"/>
  <c r="E427" i="4"/>
  <c r="F427" i="4" s="1"/>
  <c r="E426" i="4"/>
  <c r="F426" i="4" s="1"/>
  <c r="F425" i="4"/>
  <c r="E425" i="4"/>
  <c r="E424" i="4"/>
  <c r="F424" i="4" s="1"/>
  <c r="E423" i="4"/>
  <c r="F423" i="4" s="1"/>
  <c r="E422" i="4"/>
  <c r="F422" i="4" s="1"/>
  <c r="E421" i="4"/>
  <c r="F421" i="4" s="1"/>
  <c r="E420" i="4"/>
  <c r="F420" i="4" s="1"/>
  <c r="F419" i="4"/>
  <c r="E419" i="4"/>
  <c r="E418" i="4"/>
  <c r="F418" i="4" s="1"/>
  <c r="E417" i="4"/>
  <c r="F417" i="4" s="1"/>
  <c r="E416" i="4"/>
  <c r="F416" i="4" s="1"/>
  <c r="E415" i="4"/>
  <c r="F415" i="4" s="1"/>
  <c r="E414" i="4"/>
  <c r="F414" i="4" s="1"/>
  <c r="E413" i="4"/>
  <c r="F413" i="4" s="1"/>
  <c r="F412" i="4"/>
  <c r="E412" i="4"/>
  <c r="E411" i="4"/>
  <c r="F411" i="4" s="1"/>
  <c r="E410" i="4"/>
  <c r="F410" i="4" s="1"/>
  <c r="E409" i="4"/>
  <c r="F409" i="4" s="1"/>
  <c r="E408" i="4"/>
  <c r="F408" i="4" s="1"/>
  <c r="F407" i="4"/>
  <c r="E407" i="4"/>
  <c r="E406" i="4"/>
  <c r="F406" i="4" s="1"/>
  <c r="E405" i="4"/>
  <c r="F405" i="4" s="1"/>
  <c r="E404" i="4"/>
  <c r="F404" i="4" s="1"/>
  <c r="E403" i="4"/>
  <c r="F403" i="4" s="1"/>
  <c r="E402" i="4"/>
  <c r="F402" i="4" s="1"/>
  <c r="E401" i="4"/>
  <c r="F401" i="4" s="1"/>
  <c r="E400" i="4"/>
  <c r="F400" i="4" s="1"/>
  <c r="F399" i="4"/>
  <c r="E399" i="4"/>
  <c r="E398" i="4"/>
  <c r="F398" i="4" s="1"/>
  <c r="E397" i="4"/>
  <c r="F397" i="4" s="1"/>
  <c r="F396" i="4"/>
  <c r="E396" i="4"/>
  <c r="F395" i="4"/>
  <c r="E395" i="4"/>
  <c r="E394" i="4"/>
  <c r="F394" i="4" s="1"/>
  <c r="F393" i="4"/>
  <c r="E393" i="4"/>
  <c r="E392" i="4"/>
  <c r="F392" i="4" s="1"/>
  <c r="F391" i="4"/>
  <c r="E391" i="4"/>
  <c r="E390" i="4"/>
  <c r="F390" i="4" s="1"/>
  <c r="E389" i="4"/>
  <c r="F389" i="4" s="1"/>
  <c r="F388" i="4"/>
  <c r="E388" i="4"/>
  <c r="E387" i="4"/>
  <c r="F387" i="4" s="1"/>
  <c r="E386" i="4"/>
  <c r="F386" i="4" s="1"/>
  <c r="E385" i="4"/>
  <c r="F385" i="4" s="1"/>
  <c r="E384" i="4"/>
  <c r="F384" i="4" s="1"/>
  <c r="F383" i="4"/>
  <c r="E383" i="4"/>
  <c r="E382" i="4"/>
  <c r="F382" i="4" s="1"/>
  <c r="E381" i="4"/>
  <c r="F381" i="4" s="1"/>
  <c r="E380" i="4"/>
  <c r="F380" i="4" s="1"/>
  <c r="E379" i="4"/>
  <c r="F379" i="4" s="1"/>
  <c r="E378" i="4"/>
  <c r="F378" i="4" s="1"/>
  <c r="E377" i="4"/>
  <c r="F377" i="4" s="1"/>
  <c r="E376" i="4"/>
  <c r="F376" i="4" s="1"/>
  <c r="E375" i="4"/>
  <c r="F375" i="4" s="1"/>
  <c r="E374" i="4"/>
  <c r="F374" i="4" s="1"/>
  <c r="E373" i="4"/>
  <c r="F373" i="4" s="1"/>
  <c r="E372" i="4"/>
  <c r="F372" i="4" s="1"/>
  <c r="F371" i="4"/>
  <c r="E371" i="4"/>
  <c r="E370" i="4"/>
  <c r="F370" i="4" s="1"/>
  <c r="E369" i="4"/>
  <c r="F369" i="4" s="1"/>
  <c r="E368" i="4"/>
  <c r="F368" i="4" s="1"/>
  <c r="E367" i="4"/>
  <c r="F367" i="4" s="1"/>
  <c r="E366" i="4"/>
  <c r="F366" i="4" s="1"/>
  <c r="E365" i="4"/>
  <c r="F365" i="4" s="1"/>
  <c r="F364" i="4"/>
  <c r="E364" i="4"/>
  <c r="E363" i="4"/>
  <c r="F363" i="4" s="1"/>
  <c r="E362" i="4"/>
  <c r="F362" i="4" s="1"/>
  <c r="E361" i="4"/>
  <c r="F361" i="4" s="1"/>
  <c r="E360" i="4"/>
  <c r="F360" i="4" s="1"/>
  <c r="F359" i="4"/>
  <c r="E359" i="4"/>
  <c r="E358" i="4"/>
  <c r="F358" i="4" s="1"/>
  <c r="E357" i="4"/>
  <c r="F357" i="4" s="1"/>
  <c r="E356" i="4"/>
  <c r="F356" i="4" s="1"/>
  <c r="F355" i="4"/>
  <c r="E355" i="4"/>
  <c r="E354" i="4"/>
  <c r="F354" i="4" s="1"/>
  <c r="E353" i="4"/>
  <c r="F353" i="4" s="1"/>
  <c r="E352" i="4"/>
  <c r="F352" i="4" s="1"/>
  <c r="E351" i="4"/>
  <c r="F351" i="4" s="1"/>
  <c r="E350" i="4"/>
  <c r="F350" i="4" s="1"/>
  <c r="F349" i="4"/>
  <c r="E349" i="4"/>
  <c r="E348" i="4"/>
  <c r="F348" i="4" s="1"/>
  <c r="E347" i="4"/>
  <c r="F347" i="4" s="1"/>
  <c r="E346" i="4"/>
  <c r="F346" i="4" s="1"/>
  <c r="E345" i="4"/>
  <c r="F345" i="4" s="1"/>
  <c r="F344" i="4"/>
  <c r="E344" i="4"/>
  <c r="E343" i="4"/>
  <c r="F343" i="4" s="1"/>
  <c r="E342" i="4"/>
  <c r="F342" i="4" s="1"/>
  <c r="E341" i="4"/>
  <c r="F341" i="4" s="1"/>
  <c r="E340" i="4"/>
  <c r="F340" i="4" s="1"/>
  <c r="F339" i="4"/>
  <c r="E339" i="4"/>
  <c r="E338" i="4"/>
  <c r="F338" i="4" s="1"/>
  <c r="E337" i="4"/>
  <c r="F337" i="4" s="1"/>
  <c r="E336" i="4"/>
  <c r="F336" i="4" s="1"/>
  <c r="E335" i="4"/>
  <c r="F335" i="4" s="1"/>
  <c r="E334" i="4"/>
  <c r="F334" i="4" s="1"/>
  <c r="F333" i="4"/>
  <c r="E333" i="4"/>
  <c r="E332" i="4"/>
  <c r="F332" i="4" s="1"/>
  <c r="E331" i="4"/>
  <c r="F331" i="4" s="1"/>
  <c r="E330" i="4"/>
  <c r="F330" i="4" s="1"/>
  <c r="F329" i="4"/>
  <c r="E329" i="4"/>
  <c r="E328" i="4"/>
  <c r="F328" i="4" s="1"/>
  <c r="E327" i="4"/>
  <c r="F327" i="4" s="1"/>
  <c r="E326" i="4"/>
  <c r="F326" i="4" s="1"/>
  <c r="E325" i="4"/>
  <c r="F325" i="4" s="1"/>
  <c r="E324" i="4"/>
  <c r="F324" i="4" s="1"/>
  <c r="F323" i="4"/>
  <c r="E323" i="4"/>
  <c r="E322" i="4"/>
  <c r="F322" i="4" s="1"/>
  <c r="E321" i="4"/>
  <c r="F321" i="4" s="1"/>
  <c r="E320" i="4"/>
  <c r="F320" i="4" s="1"/>
  <c r="E319" i="4"/>
  <c r="F319" i="4" s="1"/>
  <c r="E318" i="4"/>
  <c r="F318" i="4" s="1"/>
  <c r="F317" i="4"/>
  <c r="E317" i="4"/>
  <c r="E316" i="4"/>
  <c r="F316" i="4" s="1"/>
  <c r="E315" i="4"/>
  <c r="F315" i="4" s="1"/>
  <c r="E314" i="4"/>
  <c r="F314" i="4" s="1"/>
  <c r="E313" i="4"/>
  <c r="F313" i="4" s="1"/>
  <c r="E312" i="4"/>
  <c r="F312" i="4" s="1"/>
  <c r="F311" i="4"/>
  <c r="E311" i="4"/>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F294" i="4"/>
  <c r="E294" i="4"/>
  <c r="E293" i="4"/>
  <c r="F293" i="4" s="1"/>
  <c r="E292" i="4"/>
  <c r="F292" i="4" s="1"/>
  <c r="E291" i="4"/>
  <c r="F291" i="4" s="1"/>
  <c r="E290" i="4"/>
  <c r="F290" i="4" s="1"/>
  <c r="E289" i="4"/>
  <c r="F289" i="4" s="1"/>
  <c r="E288" i="4"/>
  <c r="F288" i="4" s="1"/>
  <c r="F287" i="4"/>
  <c r="E287" i="4"/>
  <c r="E286" i="4"/>
  <c r="F286" i="4" s="1"/>
  <c r="E285" i="4"/>
  <c r="F285" i="4" s="1"/>
  <c r="E284" i="4"/>
  <c r="F284" i="4" s="1"/>
  <c r="E283" i="4"/>
  <c r="F283" i="4" s="1"/>
  <c r="F282" i="4"/>
  <c r="E282" i="4"/>
  <c r="E281" i="4"/>
  <c r="F281" i="4" s="1"/>
  <c r="E280" i="4"/>
  <c r="F280" i="4" s="1"/>
  <c r="E279" i="4"/>
  <c r="F279" i="4" s="1"/>
  <c r="E278" i="4"/>
  <c r="F278" i="4" s="1"/>
  <c r="E277" i="4"/>
  <c r="F277" i="4" s="1"/>
  <c r="E276" i="4"/>
  <c r="F276" i="4" s="1"/>
  <c r="F275" i="4"/>
  <c r="E275" i="4"/>
  <c r="E274" i="4"/>
  <c r="F274" i="4" s="1"/>
  <c r="E273" i="4"/>
  <c r="F273" i="4" s="1"/>
  <c r="E272" i="4"/>
  <c r="F272" i="4" s="1"/>
  <c r="F271" i="4"/>
  <c r="E271" i="4"/>
  <c r="F270" i="4"/>
  <c r="E270" i="4"/>
  <c r="E269" i="4"/>
  <c r="F269" i="4" s="1"/>
  <c r="E268" i="4"/>
  <c r="F268" i="4" s="1"/>
  <c r="E267" i="4"/>
  <c r="F267" i="4" s="1"/>
  <c r="E266" i="4"/>
  <c r="F266" i="4" s="1"/>
  <c r="E265" i="4"/>
  <c r="F265" i="4" s="1"/>
  <c r="E264" i="4"/>
  <c r="F264" i="4" s="1"/>
  <c r="E263" i="4"/>
  <c r="F263" i="4" s="1"/>
  <c r="E262" i="4"/>
  <c r="F262" i="4" s="1"/>
  <c r="E261" i="4"/>
  <c r="F261" i="4" s="1"/>
  <c r="E260" i="4"/>
  <c r="F260" i="4" s="1"/>
  <c r="F259" i="4"/>
  <c r="E259" i="4"/>
  <c r="F258" i="4"/>
  <c r="E258" i="4"/>
  <c r="E257" i="4"/>
  <c r="F257" i="4" s="1"/>
  <c r="E256" i="4"/>
  <c r="F256" i="4" s="1"/>
  <c r="E255" i="4"/>
  <c r="F255" i="4" s="1"/>
  <c r="F254" i="4"/>
  <c r="E254" i="4"/>
  <c r="E253" i="4"/>
  <c r="F253" i="4" s="1"/>
  <c r="E252" i="4"/>
  <c r="F252" i="4" s="1"/>
  <c r="E251" i="4"/>
  <c r="F251" i="4" s="1"/>
  <c r="E250" i="4"/>
  <c r="F250" i="4" s="1"/>
  <c r="E249" i="4"/>
  <c r="F249" i="4" s="1"/>
  <c r="E248" i="4"/>
  <c r="F248" i="4" s="1"/>
  <c r="E247" i="4"/>
  <c r="F247" i="4" s="1"/>
  <c r="F246" i="4"/>
  <c r="E246" i="4"/>
  <c r="E245" i="4"/>
  <c r="F245" i="4" s="1"/>
  <c r="E244" i="4"/>
  <c r="F244" i="4" s="1"/>
  <c r="E243" i="4"/>
  <c r="F243" i="4" s="1"/>
  <c r="F242" i="4"/>
  <c r="E242" i="4"/>
  <c r="E241" i="4"/>
  <c r="F241" i="4" s="1"/>
  <c r="E240" i="4"/>
  <c r="F240" i="4" s="1"/>
  <c r="E239" i="4"/>
  <c r="F239" i="4" s="1"/>
  <c r="E238" i="4"/>
  <c r="F238" i="4" s="1"/>
  <c r="E237" i="4"/>
  <c r="F237" i="4" s="1"/>
  <c r="E236" i="4"/>
  <c r="F236" i="4" s="1"/>
  <c r="E235" i="4"/>
  <c r="F235" i="4" s="1"/>
  <c r="E234" i="4"/>
  <c r="F234" i="4" s="1"/>
  <c r="E233" i="4"/>
  <c r="F233" i="4" s="1"/>
  <c r="E232" i="4"/>
  <c r="F232" i="4" s="1"/>
  <c r="E231" i="4"/>
  <c r="F231" i="4" s="1"/>
  <c r="F230" i="4"/>
  <c r="E230" i="4"/>
  <c r="E229" i="4"/>
  <c r="F229" i="4" s="1"/>
  <c r="E228" i="4"/>
  <c r="F228" i="4" s="1"/>
  <c r="E227" i="4"/>
  <c r="F227" i="4" s="1"/>
  <c r="E226" i="4"/>
  <c r="F226" i="4" s="1"/>
  <c r="E225" i="4"/>
  <c r="F225" i="4" s="1"/>
  <c r="E224" i="4"/>
  <c r="F224" i="4" s="1"/>
  <c r="F223" i="4"/>
  <c r="E223" i="4"/>
  <c r="E222" i="4"/>
  <c r="F222" i="4" s="1"/>
  <c r="E221" i="4"/>
  <c r="F221" i="4" s="1"/>
  <c r="E220" i="4"/>
  <c r="F220" i="4" s="1"/>
  <c r="E219" i="4"/>
  <c r="F219" i="4" s="1"/>
  <c r="F218" i="4"/>
  <c r="E218" i="4"/>
  <c r="E217" i="4"/>
  <c r="F217" i="4" s="1"/>
  <c r="E216" i="4"/>
  <c r="F216" i="4" s="1"/>
  <c r="E215" i="4"/>
  <c r="F215" i="4" s="1"/>
  <c r="E214" i="4"/>
  <c r="F214" i="4" s="1"/>
  <c r="E213" i="4"/>
  <c r="F213" i="4" s="1"/>
  <c r="E212" i="4"/>
  <c r="F212" i="4" s="1"/>
  <c r="F211" i="4"/>
  <c r="E211" i="4"/>
  <c r="E210" i="4"/>
  <c r="F210" i="4" s="1"/>
  <c r="E209" i="4"/>
  <c r="F209" i="4" s="1"/>
  <c r="E208" i="4"/>
  <c r="F208" i="4" s="1"/>
  <c r="F207" i="4"/>
  <c r="E207" i="4"/>
  <c r="F206" i="4"/>
  <c r="E206" i="4"/>
  <c r="E205" i="4"/>
  <c r="F205" i="4" s="1"/>
  <c r="E204" i="4"/>
  <c r="F204" i="4" s="1"/>
  <c r="E203" i="4"/>
  <c r="F203" i="4" s="1"/>
  <c r="E202" i="4"/>
  <c r="F202" i="4" s="1"/>
  <c r="E201" i="4"/>
  <c r="F201" i="4" s="1"/>
  <c r="E200" i="4"/>
  <c r="F200" i="4" s="1"/>
  <c r="E199" i="4"/>
  <c r="F199" i="4" s="1"/>
  <c r="E198" i="4"/>
  <c r="F198" i="4" s="1"/>
  <c r="E197" i="4"/>
  <c r="F197" i="4" s="1"/>
  <c r="E196" i="4"/>
  <c r="F196" i="4" s="1"/>
  <c r="F195" i="4"/>
  <c r="E195" i="4"/>
  <c r="F194" i="4"/>
  <c r="E194" i="4"/>
  <c r="E193" i="4"/>
  <c r="F193" i="4" s="1"/>
  <c r="E192" i="4"/>
  <c r="F192" i="4" s="1"/>
  <c r="E191" i="4"/>
  <c r="F191" i="4" s="1"/>
  <c r="F190" i="4"/>
  <c r="E190" i="4"/>
  <c r="E189" i="4"/>
  <c r="F189" i="4" s="1"/>
  <c r="E188" i="4"/>
  <c r="F188" i="4" s="1"/>
  <c r="E187" i="4"/>
  <c r="F187" i="4" s="1"/>
  <c r="E186" i="4"/>
  <c r="F186" i="4" s="1"/>
  <c r="E185" i="4"/>
  <c r="F185" i="4" s="1"/>
  <c r="E184" i="4"/>
  <c r="F184" i="4" s="1"/>
  <c r="E183" i="4"/>
  <c r="F183" i="4" s="1"/>
  <c r="F182" i="4"/>
  <c r="E182" i="4"/>
  <c r="E181" i="4"/>
  <c r="F181" i="4" s="1"/>
  <c r="E180" i="4"/>
  <c r="F180" i="4" s="1"/>
  <c r="E179" i="4"/>
  <c r="F179" i="4" s="1"/>
  <c r="F178" i="4"/>
  <c r="E178" i="4"/>
  <c r="E177" i="4"/>
  <c r="F177" i="4" s="1"/>
  <c r="E176" i="4"/>
  <c r="F176" i="4" s="1"/>
  <c r="E175" i="4"/>
  <c r="F175" i="4" s="1"/>
  <c r="E174" i="4"/>
  <c r="F174" i="4" s="1"/>
  <c r="E173" i="4"/>
  <c r="F173" i="4" s="1"/>
  <c r="E172" i="4"/>
  <c r="F172" i="4" s="1"/>
  <c r="E171" i="4"/>
  <c r="F171" i="4" s="1"/>
  <c r="E170" i="4"/>
  <c r="F170" i="4" s="1"/>
  <c r="E169" i="4"/>
  <c r="F169" i="4" s="1"/>
  <c r="E168" i="4"/>
  <c r="F168" i="4" s="1"/>
  <c r="F167" i="4"/>
  <c r="E167" i="4"/>
  <c r="F166" i="4"/>
  <c r="E166" i="4"/>
  <c r="E165" i="4"/>
  <c r="F165" i="4" s="1"/>
  <c r="E164" i="4"/>
  <c r="F164" i="4" s="1"/>
  <c r="E163" i="4"/>
  <c r="F163" i="4" s="1"/>
  <c r="E162" i="4"/>
  <c r="F162" i="4" s="1"/>
  <c r="E161" i="4"/>
  <c r="F161" i="4" s="1"/>
  <c r="E160" i="4"/>
  <c r="F160" i="4" s="1"/>
  <c r="E159" i="4"/>
  <c r="F159" i="4" s="1"/>
  <c r="E158" i="4"/>
  <c r="F158" i="4" s="1"/>
  <c r="E157" i="4"/>
  <c r="F157" i="4" s="1"/>
  <c r="E156" i="4"/>
  <c r="F156" i="4" s="1"/>
  <c r="E155" i="4"/>
  <c r="F155" i="4" s="1"/>
  <c r="F154" i="4"/>
  <c r="E154" i="4"/>
  <c r="E153" i="4"/>
  <c r="F153" i="4" s="1"/>
  <c r="E152" i="4"/>
  <c r="F152" i="4" s="1"/>
  <c r="E151" i="4"/>
  <c r="F151" i="4" s="1"/>
  <c r="F150" i="4"/>
  <c r="E150" i="4"/>
  <c r="E149" i="4"/>
  <c r="F149" i="4" s="1"/>
  <c r="E148" i="4"/>
  <c r="F148" i="4" s="1"/>
  <c r="E147" i="4"/>
  <c r="F147" i="4" s="1"/>
  <c r="E146" i="4"/>
  <c r="F146" i="4" s="1"/>
  <c r="E145" i="4"/>
  <c r="F145" i="4" s="1"/>
  <c r="F144" i="4"/>
  <c r="E144" i="4"/>
  <c r="E143" i="4"/>
  <c r="F143" i="4" s="1"/>
  <c r="E142" i="4"/>
  <c r="F142" i="4" s="1"/>
  <c r="E141" i="4"/>
  <c r="F141" i="4" s="1"/>
  <c r="E140" i="4"/>
  <c r="F140" i="4" s="1"/>
  <c r="E139" i="4"/>
  <c r="F139" i="4" s="1"/>
  <c r="F138" i="4"/>
  <c r="E138" i="4"/>
  <c r="E137" i="4"/>
  <c r="F137" i="4" s="1"/>
  <c r="E136" i="4"/>
  <c r="F136" i="4" s="1"/>
  <c r="E135" i="4"/>
  <c r="F135" i="4" s="1"/>
  <c r="F134" i="4"/>
  <c r="E134" i="4"/>
  <c r="E133" i="4"/>
  <c r="F133" i="4" s="1"/>
  <c r="E132" i="4"/>
  <c r="F132" i="4" s="1"/>
  <c r="E131" i="4"/>
  <c r="F131" i="4" s="1"/>
  <c r="E130" i="4"/>
  <c r="F130" i="4" s="1"/>
  <c r="E129" i="4"/>
  <c r="F129" i="4" s="1"/>
  <c r="E128" i="4"/>
  <c r="F128" i="4" s="1"/>
  <c r="E127" i="4"/>
  <c r="F127" i="4" s="1"/>
  <c r="F126" i="4"/>
  <c r="E126" i="4"/>
  <c r="E125" i="4"/>
  <c r="F125" i="4" s="1"/>
  <c r="E124" i="4"/>
  <c r="F124" i="4" s="1"/>
  <c r="E123" i="4"/>
  <c r="F123" i="4" s="1"/>
  <c r="F122" i="4"/>
  <c r="E122" i="4"/>
  <c r="E121" i="4"/>
  <c r="F121" i="4" s="1"/>
  <c r="E120" i="4"/>
  <c r="F120" i="4" s="1"/>
  <c r="E119" i="4"/>
  <c r="F119" i="4" s="1"/>
  <c r="E118" i="4"/>
  <c r="F118" i="4" s="1"/>
  <c r="E117" i="4"/>
  <c r="F117" i="4" s="1"/>
  <c r="E116" i="4"/>
  <c r="F116" i="4" s="1"/>
  <c r="F115" i="4"/>
  <c r="E115" i="4"/>
  <c r="E114" i="4"/>
  <c r="F114" i="4" s="1"/>
  <c r="E113" i="4"/>
  <c r="F113" i="4" s="1"/>
  <c r="E112" i="4"/>
  <c r="F112" i="4" s="1"/>
  <c r="F111" i="4"/>
  <c r="E111" i="4"/>
  <c r="E110" i="4"/>
  <c r="F110" i="4" s="1"/>
  <c r="E109" i="4"/>
  <c r="F109" i="4" s="1"/>
  <c r="E108" i="4"/>
  <c r="F108" i="4" s="1"/>
  <c r="E107" i="4"/>
  <c r="F107" i="4" s="1"/>
  <c r="F106" i="4"/>
  <c r="E106" i="4"/>
  <c r="E105" i="4"/>
  <c r="F105" i="4" s="1"/>
  <c r="E104" i="4"/>
  <c r="F104" i="4" s="1"/>
  <c r="E103" i="4"/>
  <c r="F103" i="4" s="1"/>
  <c r="E102" i="4"/>
  <c r="F102" i="4" s="1"/>
  <c r="E101" i="4"/>
  <c r="F101" i="4" s="1"/>
  <c r="E100" i="4"/>
  <c r="F100" i="4" s="1"/>
  <c r="E99" i="4"/>
  <c r="F99" i="4" s="1"/>
  <c r="E98" i="4"/>
  <c r="F98" i="4" s="1"/>
  <c r="E97" i="4"/>
  <c r="F97" i="4" s="1"/>
  <c r="E96" i="4"/>
  <c r="F96" i="4" s="1"/>
  <c r="E95" i="4"/>
  <c r="F95" i="4" s="1"/>
  <c r="F94" i="4"/>
  <c r="E94" i="4"/>
  <c r="E93" i="4"/>
  <c r="F93" i="4" s="1"/>
  <c r="E92" i="4"/>
  <c r="F92" i="4" s="1"/>
  <c r="E91" i="4"/>
  <c r="F91" i="4" s="1"/>
  <c r="E90" i="4"/>
  <c r="F90" i="4" s="1"/>
  <c r="E89" i="4"/>
  <c r="F89" i="4" s="1"/>
  <c r="F88" i="4"/>
  <c r="E88" i="4"/>
  <c r="E87" i="4"/>
  <c r="F87" i="4" s="1"/>
  <c r="E86" i="4"/>
  <c r="F86" i="4" s="1"/>
  <c r="E85" i="4"/>
  <c r="F85" i="4" s="1"/>
  <c r="E84" i="4"/>
  <c r="F84" i="4" s="1"/>
  <c r="F83" i="4"/>
  <c r="E83" i="4"/>
  <c r="F82" i="4"/>
  <c r="E82" i="4"/>
  <c r="E81" i="4"/>
  <c r="F81" i="4" s="1"/>
  <c r="E80" i="4"/>
  <c r="F80" i="4" s="1"/>
  <c r="E79" i="4"/>
  <c r="F79" i="4" s="1"/>
  <c r="F78" i="4"/>
  <c r="E78" i="4"/>
  <c r="E77" i="4"/>
  <c r="F77" i="4" s="1"/>
  <c r="E76" i="4"/>
  <c r="F76" i="4" s="1"/>
  <c r="E75" i="4"/>
  <c r="F75" i="4" s="1"/>
  <c r="E74" i="4"/>
  <c r="F74" i="4" s="1"/>
  <c r="E73" i="4"/>
  <c r="F73" i="4" s="1"/>
  <c r="E72" i="4"/>
  <c r="F72" i="4" s="1"/>
  <c r="F71" i="4"/>
  <c r="E71" i="4"/>
  <c r="E70" i="4"/>
  <c r="F70" i="4" s="1"/>
  <c r="E69" i="4"/>
  <c r="F69" i="4" s="1"/>
  <c r="E68" i="4"/>
  <c r="F68" i="4" s="1"/>
  <c r="E67" i="4"/>
  <c r="F67" i="4" s="1"/>
  <c r="F66" i="4"/>
  <c r="E66" i="4"/>
  <c r="E65" i="4"/>
  <c r="F65" i="4" s="1"/>
  <c r="E64" i="4"/>
  <c r="F64" i="4" s="1"/>
  <c r="E63" i="4"/>
  <c r="F63" i="4" s="1"/>
  <c r="E62" i="4"/>
  <c r="F62" i="4" s="1"/>
  <c r="E61" i="4"/>
  <c r="F61" i="4" s="1"/>
  <c r="F60" i="4"/>
  <c r="E60" i="4"/>
  <c r="E59" i="4"/>
  <c r="F59" i="4" s="1"/>
  <c r="E58" i="4"/>
  <c r="F58" i="4" s="1"/>
  <c r="E57" i="4"/>
  <c r="F57" i="4" s="1"/>
  <c r="E56" i="4"/>
  <c r="F56" i="4" s="1"/>
  <c r="E55" i="4"/>
  <c r="F55" i="4" s="1"/>
  <c r="F54" i="4"/>
  <c r="E54" i="4"/>
  <c r="E53" i="4"/>
  <c r="F53" i="4" s="1"/>
  <c r="E52" i="4"/>
  <c r="F52" i="4" s="1"/>
  <c r="E51" i="4"/>
  <c r="F51" i="4" s="1"/>
  <c r="F50" i="4"/>
  <c r="E50" i="4"/>
  <c r="E49" i="4"/>
  <c r="F49" i="4" s="1"/>
  <c r="E48" i="4"/>
  <c r="F48" i="4" s="1"/>
  <c r="E47" i="4"/>
  <c r="F47" i="4" s="1"/>
  <c r="E46" i="4"/>
  <c r="F46" i="4" s="1"/>
  <c r="E45" i="4"/>
  <c r="F45" i="4" s="1"/>
  <c r="E44" i="4"/>
  <c r="F44" i="4" s="1"/>
  <c r="E43" i="4"/>
  <c r="F43" i="4" s="1"/>
  <c r="E42" i="4"/>
  <c r="F42" i="4" s="1"/>
  <c r="E41" i="4"/>
  <c r="F41" i="4" s="1"/>
  <c r="E40" i="4"/>
  <c r="F40" i="4" s="1"/>
  <c r="F39" i="4"/>
  <c r="E39" i="4"/>
  <c r="F38" i="4"/>
  <c r="E38" i="4"/>
  <c r="E37" i="4"/>
  <c r="F37" i="4" s="1"/>
  <c r="E36" i="4"/>
  <c r="F36" i="4" s="1"/>
  <c r="E35" i="4"/>
  <c r="F35" i="4" s="1"/>
  <c r="E34" i="4"/>
  <c r="F34" i="4" s="1"/>
  <c r="E33" i="4"/>
  <c r="F33" i="4" s="1"/>
  <c r="E32" i="4"/>
  <c r="F32" i="4" s="1"/>
  <c r="E31" i="4"/>
  <c r="F31" i="4" s="1"/>
  <c r="E30" i="4"/>
  <c r="F30" i="4" s="1"/>
  <c r="E29" i="4"/>
  <c r="F29" i="4" s="1"/>
  <c r="E28" i="4"/>
  <c r="F28" i="4" s="1"/>
  <c r="E27" i="4"/>
  <c r="F27" i="4" s="1"/>
  <c r="E26" i="4"/>
  <c r="F26" i="4" s="1"/>
  <c r="E25" i="4"/>
  <c r="F25" i="4" s="1"/>
  <c r="E24" i="4"/>
  <c r="F24" i="4" s="1"/>
  <c r="E23" i="4"/>
  <c r="F23" i="4" s="1"/>
  <c r="E22" i="4"/>
  <c r="F22" i="4" s="1"/>
  <c r="E21" i="4"/>
  <c r="F21" i="4" s="1"/>
  <c r="E20" i="4"/>
  <c r="F20" i="4" s="1"/>
  <c r="F19" i="4"/>
  <c r="E19" i="4"/>
  <c r="E18" i="4"/>
  <c r="F18" i="4" s="1"/>
  <c r="E17" i="4"/>
  <c r="F17" i="4" s="1"/>
  <c r="E16" i="4"/>
  <c r="F16" i="4" s="1"/>
  <c r="E15" i="4"/>
  <c r="F15" i="4" s="1"/>
  <c r="E14" i="4"/>
  <c r="F14" i="4" s="1"/>
  <c r="E13" i="4"/>
  <c r="F13" i="4" s="1"/>
  <c r="E12" i="4"/>
  <c r="F12" i="4" s="1"/>
  <c r="E11" i="4"/>
  <c r="F11" i="4" s="1"/>
  <c r="E10" i="4"/>
  <c r="F10" i="4" s="1"/>
  <c r="E9" i="4"/>
  <c r="F9" i="4" s="1"/>
  <c r="E8" i="4"/>
  <c r="F8" i="4" s="1"/>
  <c r="F7" i="4"/>
  <c r="E7" i="4"/>
  <c r="E6" i="4"/>
  <c r="F6" i="4" s="1"/>
  <c r="E5" i="4"/>
  <c r="F5" i="4" s="1"/>
  <c r="E4" i="4"/>
  <c r="F4" i="4" s="1"/>
  <c r="E3" i="4"/>
  <c r="F3" i="4" s="1"/>
  <c r="E2" i="4"/>
  <c r="F2" i="4" s="1"/>
  <c r="AA411" i="3"/>
  <c r="Z411" i="3"/>
  <c r="U411" i="3"/>
  <c r="P411" i="3"/>
  <c r="K411" i="3"/>
  <c r="F411" i="3"/>
  <c r="AA410" i="3"/>
  <c r="Z410" i="3"/>
  <c r="U410" i="3"/>
  <c r="P410" i="3"/>
  <c r="K410" i="3"/>
  <c r="F410" i="3"/>
  <c r="AA409" i="3"/>
  <c r="Z409" i="3"/>
  <c r="U409" i="3"/>
  <c r="P409" i="3"/>
  <c r="K409" i="3"/>
  <c r="F409" i="3"/>
  <c r="AA408" i="3"/>
  <c r="Z408" i="3"/>
  <c r="U408" i="3"/>
  <c r="P408" i="3"/>
  <c r="K408" i="3"/>
  <c r="F408" i="3"/>
  <c r="AA407" i="3"/>
  <c r="Z407" i="3"/>
  <c r="U407" i="3"/>
  <c r="P407" i="3"/>
  <c r="K407" i="3"/>
  <c r="F407" i="3"/>
  <c r="AA406" i="3"/>
  <c r="Z406" i="3"/>
  <c r="U406" i="3"/>
  <c r="P406" i="3"/>
  <c r="K406" i="3"/>
  <c r="F406" i="3"/>
  <c r="AA405" i="3"/>
  <c r="Z405" i="3"/>
  <c r="U405" i="3"/>
  <c r="P405" i="3"/>
  <c r="K405" i="3"/>
  <c r="F405" i="3"/>
  <c r="AA404" i="3"/>
  <c r="Z404" i="3"/>
  <c r="U404" i="3"/>
  <c r="P404" i="3"/>
  <c r="K404" i="3"/>
  <c r="F404" i="3"/>
  <c r="AA403" i="3"/>
  <c r="Z403" i="3"/>
  <c r="U403" i="3"/>
  <c r="P403" i="3"/>
  <c r="K403" i="3"/>
  <c r="F403" i="3"/>
  <c r="AA402" i="3"/>
  <c r="Z402" i="3"/>
  <c r="U402" i="3"/>
  <c r="P402" i="3"/>
  <c r="K402" i="3"/>
  <c r="F402" i="3"/>
  <c r="AA401" i="3"/>
  <c r="Z401" i="3"/>
  <c r="U401" i="3"/>
  <c r="P401" i="3"/>
  <c r="K401" i="3"/>
  <c r="F401" i="3"/>
  <c r="AA400" i="3"/>
  <c r="Z400" i="3"/>
  <c r="U400" i="3"/>
  <c r="P400" i="3"/>
  <c r="K400" i="3"/>
  <c r="F400" i="3"/>
  <c r="AA399" i="3"/>
  <c r="Z399" i="3"/>
  <c r="U399" i="3"/>
  <c r="P399" i="3"/>
  <c r="K399" i="3"/>
  <c r="F399" i="3"/>
  <c r="AA398" i="3"/>
  <c r="Z398" i="3"/>
  <c r="U398" i="3"/>
  <c r="P398" i="3"/>
  <c r="K398" i="3"/>
  <c r="F398" i="3"/>
  <c r="AA397" i="3"/>
  <c r="Z397" i="3"/>
  <c r="U397" i="3"/>
  <c r="P397" i="3"/>
  <c r="K397" i="3"/>
  <c r="F397" i="3"/>
  <c r="AA396" i="3"/>
  <c r="Z396" i="3"/>
  <c r="U396" i="3"/>
  <c r="P396" i="3"/>
  <c r="K396" i="3"/>
  <c r="F396" i="3"/>
  <c r="AA395" i="3"/>
  <c r="Z395" i="3"/>
  <c r="U395" i="3"/>
  <c r="P395" i="3"/>
  <c r="K395" i="3"/>
  <c r="F395" i="3"/>
  <c r="AA394" i="3"/>
  <c r="Z394" i="3"/>
  <c r="U394" i="3"/>
  <c r="P394" i="3"/>
  <c r="K394" i="3"/>
  <c r="F394" i="3"/>
  <c r="AA393" i="3"/>
  <c r="Z393" i="3"/>
  <c r="U393" i="3"/>
  <c r="P393" i="3"/>
  <c r="K393" i="3"/>
  <c r="F393" i="3"/>
  <c r="AA392" i="3"/>
  <c r="Z392" i="3"/>
  <c r="U392" i="3"/>
  <c r="P392" i="3"/>
  <c r="K392" i="3"/>
  <c r="F392" i="3"/>
  <c r="AA391" i="3"/>
  <c r="Z391" i="3"/>
  <c r="U391" i="3"/>
  <c r="P391" i="3"/>
  <c r="K391" i="3"/>
  <c r="F391" i="3"/>
  <c r="AA390" i="3"/>
  <c r="Z390" i="3"/>
  <c r="U390" i="3"/>
  <c r="P390" i="3"/>
  <c r="K390" i="3"/>
  <c r="F390" i="3"/>
  <c r="AA389" i="3"/>
  <c r="Z389" i="3"/>
  <c r="U389" i="3"/>
  <c r="P389" i="3"/>
  <c r="K389" i="3"/>
  <c r="F389" i="3"/>
  <c r="AA388" i="3"/>
  <c r="Z388" i="3"/>
  <c r="U388" i="3"/>
  <c r="P388" i="3"/>
  <c r="K388" i="3"/>
  <c r="F388" i="3"/>
  <c r="AA387" i="3"/>
  <c r="Z387" i="3"/>
  <c r="U387" i="3"/>
  <c r="P387" i="3"/>
  <c r="K387" i="3"/>
  <c r="F387" i="3"/>
  <c r="AA386" i="3"/>
  <c r="Z386" i="3"/>
  <c r="U386" i="3"/>
  <c r="P386" i="3"/>
  <c r="K386" i="3"/>
  <c r="F386" i="3"/>
  <c r="AA385" i="3"/>
  <c r="Z385" i="3"/>
  <c r="U385" i="3"/>
  <c r="P385" i="3"/>
  <c r="K385" i="3"/>
  <c r="F385" i="3"/>
  <c r="AA384" i="3"/>
  <c r="Z384" i="3"/>
  <c r="U384" i="3"/>
  <c r="P384" i="3"/>
  <c r="K384" i="3"/>
  <c r="F384" i="3"/>
  <c r="AA383" i="3"/>
  <c r="Z383" i="3"/>
  <c r="U383" i="3"/>
  <c r="P383" i="3"/>
  <c r="K383" i="3"/>
  <c r="F383" i="3"/>
  <c r="AA382" i="3"/>
  <c r="Z382" i="3"/>
  <c r="U382" i="3"/>
  <c r="P382" i="3"/>
  <c r="K382" i="3"/>
  <c r="F382" i="3"/>
  <c r="AA381" i="3"/>
  <c r="Z381" i="3"/>
  <c r="U381" i="3"/>
  <c r="P381" i="3"/>
  <c r="K381" i="3"/>
  <c r="F381" i="3"/>
  <c r="AA380" i="3"/>
  <c r="Z380" i="3"/>
  <c r="U380" i="3"/>
  <c r="P380" i="3"/>
  <c r="K380" i="3"/>
  <c r="F380" i="3"/>
  <c r="AA379" i="3"/>
  <c r="Z379" i="3"/>
  <c r="U379" i="3"/>
  <c r="P379" i="3"/>
  <c r="K379" i="3"/>
  <c r="F379" i="3"/>
  <c r="AA378" i="3"/>
  <c r="Z378" i="3"/>
  <c r="U378" i="3"/>
  <c r="P378" i="3"/>
  <c r="K378" i="3"/>
  <c r="F378" i="3"/>
  <c r="AA377" i="3"/>
  <c r="Z377" i="3"/>
  <c r="U377" i="3"/>
  <c r="P377" i="3"/>
  <c r="K377" i="3"/>
  <c r="F377" i="3"/>
  <c r="AA376" i="3"/>
  <c r="Z376" i="3"/>
  <c r="U376" i="3"/>
  <c r="P376" i="3"/>
  <c r="K376" i="3"/>
  <c r="F376" i="3"/>
  <c r="AA375" i="3"/>
  <c r="Z375" i="3"/>
  <c r="U375" i="3"/>
  <c r="P375" i="3"/>
  <c r="K375" i="3"/>
  <c r="F375" i="3"/>
  <c r="AA374" i="3"/>
  <c r="Z374" i="3"/>
  <c r="U374" i="3"/>
  <c r="P374" i="3"/>
  <c r="K374" i="3"/>
  <c r="F374" i="3"/>
  <c r="AA373" i="3"/>
  <c r="Z373" i="3"/>
  <c r="U373" i="3"/>
  <c r="P373" i="3"/>
  <c r="K373" i="3"/>
  <c r="F373" i="3"/>
  <c r="AA372" i="3"/>
  <c r="Z372" i="3"/>
  <c r="U372" i="3"/>
  <c r="P372" i="3"/>
  <c r="K372" i="3"/>
  <c r="F372" i="3"/>
  <c r="AA371" i="3"/>
  <c r="Z371" i="3"/>
  <c r="U371" i="3"/>
  <c r="P371" i="3"/>
  <c r="K371" i="3"/>
  <c r="F371" i="3"/>
  <c r="AA370" i="3"/>
  <c r="Z370" i="3"/>
  <c r="U370" i="3"/>
  <c r="P370" i="3"/>
  <c r="K370" i="3"/>
  <c r="F370" i="3"/>
  <c r="AA369" i="3"/>
  <c r="Z369" i="3"/>
  <c r="U369" i="3"/>
  <c r="P369" i="3"/>
  <c r="K369" i="3"/>
  <c r="F369" i="3"/>
  <c r="AA368" i="3"/>
  <c r="Z368" i="3"/>
  <c r="U368" i="3"/>
  <c r="P368" i="3"/>
  <c r="K368" i="3"/>
  <c r="F368" i="3"/>
  <c r="AA367" i="3"/>
  <c r="Z367" i="3"/>
  <c r="U367" i="3"/>
  <c r="P367" i="3"/>
  <c r="K367" i="3"/>
  <c r="F367" i="3"/>
  <c r="AA366" i="3"/>
  <c r="Z366" i="3"/>
  <c r="U366" i="3"/>
  <c r="P366" i="3"/>
  <c r="K366" i="3"/>
  <c r="F366" i="3"/>
  <c r="AA365" i="3"/>
  <c r="Z365" i="3"/>
  <c r="U365" i="3"/>
  <c r="P365" i="3"/>
  <c r="K365" i="3"/>
  <c r="F365" i="3"/>
  <c r="AA364" i="3"/>
  <c r="Z364" i="3"/>
  <c r="U364" i="3"/>
  <c r="P364" i="3"/>
  <c r="K364" i="3"/>
  <c r="F364" i="3"/>
  <c r="AA363" i="3"/>
  <c r="Z363" i="3"/>
  <c r="U363" i="3"/>
  <c r="P363" i="3"/>
  <c r="K363" i="3"/>
  <c r="F363" i="3"/>
  <c r="AA362" i="3"/>
  <c r="Z362" i="3"/>
  <c r="U362" i="3"/>
  <c r="P362" i="3"/>
  <c r="K362" i="3"/>
  <c r="F362" i="3"/>
  <c r="AA361" i="3"/>
  <c r="Z361" i="3"/>
  <c r="U361" i="3"/>
  <c r="P361" i="3"/>
  <c r="K361" i="3"/>
  <c r="F361" i="3"/>
  <c r="AA360" i="3"/>
  <c r="Z360" i="3"/>
  <c r="U360" i="3"/>
  <c r="P360" i="3"/>
  <c r="K360" i="3"/>
  <c r="F360" i="3"/>
  <c r="AA359" i="3"/>
  <c r="Z359" i="3"/>
  <c r="U359" i="3"/>
  <c r="P359" i="3"/>
  <c r="K359" i="3"/>
  <c r="F359" i="3"/>
  <c r="AA358" i="3"/>
  <c r="Z358" i="3"/>
  <c r="U358" i="3"/>
  <c r="P358" i="3"/>
  <c r="K358" i="3"/>
  <c r="F358" i="3"/>
  <c r="AA357" i="3"/>
  <c r="Z357" i="3"/>
  <c r="U357" i="3"/>
  <c r="P357" i="3"/>
  <c r="K357" i="3"/>
  <c r="F357" i="3"/>
  <c r="AA356" i="3"/>
  <c r="Z356" i="3"/>
  <c r="U356" i="3"/>
  <c r="P356" i="3"/>
  <c r="K356" i="3"/>
  <c r="F356" i="3"/>
  <c r="AA355" i="3"/>
  <c r="Z355" i="3"/>
  <c r="U355" i="3"/>
  <c r="P355" i="3"/>
  <c r="K355" i="3"/>
  <c r="F355" i="3"/>
  <c r="AA354" i="3"/>
  <c r="Z354" i="3"/>
  <c r="U354" i="3"/>
  <c r="P354" i="3"/>
  <c r="K354" i="3"/>
  <c r="F354" i="3"/>
  <c r="AA353" i="3"/>
  <c r="Z353" i="3"/>
  <c r="U353" i="3"/>
  <c r="P353" i="3"/>
  <c r="K353" i="3"/>
  <c r="F353" i="3"/>
  <c r="AA352" i="3"/>
  <c r="Z352" i="3"/>
  <c r="U352" i="3"/>
  <c r="P352" i="3"/>
  <c r="K352" i="3"/>
  <c r="F352" i="3"/>
  <c r="AA351" i="3"/>
  <c r="Z351" i="3"/>
  <c r="U351" i="3"/>
  <c r="P351" i="3"/>
  <c r="K351" i="3"/>
  <c r="F351" i="3"/>
  <c r="AA350" i="3"/>
  <c r="Z350" i="3"/>
  <c r="U350" i="3"/>
  <c r="P350" i="3"/>
  <c r="K350" i="3"/>
  <c r="F350" i="3"/>
  <c r="AA349" i="3"/>
  <c r="Z349" i="3"/>
  <c r="U349" i="3"/>
  <c r="P349" i="3"/>
  <c r="K349" i="3"/>
  <c r="F349" i="3"/>
  <c r="AA348" i="3"/>
  <c r="Z348" i="3"/>
  <c r="U348" i="3"/>
  <c r="P348" i="3"/>
  <c r="K348" i="3"/>
  <c r="F348" i="3"/>
  <c r="AA347" i="3"/>
  <c r="Z347" i="3"/>
  <c r="U347" i="3"/>
  <c r="P347" i="3"/>
  <c r="K347" i="3"/>
  <c r="F347" i="3"/>
  <c r="AA346" i="3"/>
  <c r="Z346" i="3"/>
  <c r="U346" i="3"/>
  <c r="P346" i="3"/>
  <c r="K346" i="3"/>
  <c r="F346" i="3"/>
  <c r="AA345" i="3"/>
  <c r="Z345" i="3"/>
  <c r="U345" i="3"/>
  <c r="P345" i="3"/>
  <c r="K345" i="3"/>
  <c r="F345" i="3"/>
  <c r="AA344" i="3"/>
  <c r="Z344" i="3"/>
  <c r="U344" i="3"/>
  <c r="P344" i="3"/>
  <c r="K344" i="3"/>
  <c r="F344" i="3"/>
  <c r="AA343" i="3"/>
  <c r="Z343" i="3"/>
  <c r="U343" i="3"/>
  <c r="P343" i="3"/>
  <c r="K343" i="3"/>
  <c r="F343" i="3"/>
  <c r="AA342" i="3"/>
  <c r="Z342" i="3"/>
  <c r="U342" i="3"/>
  <c r="P342" i="3"/>
  <c r="K342" i="3"/>
  <c r="F342" i="3"/>
  <c r="AA341" i="3"/>
  <c r="Z341" i="3"/>
  <c r="U341" i="3"/>
  <c r="P341" i="3"/>
  <c r="K341" i="3"/>
  <c r="F341" i="3"/>
  <c r="AA340" i="3"/>
  <c r="Z340" i="3"/>
  <c r="U340" i="3"/>
  <c r="P340" i="3"/>
  <c r="K340" i="3"/>
  <c r="F340" i="3"/>
  <c r="AA339" i="3"/>
  <c r="Z339" i="3"/>
  <c r="U339" i="3"/>
  <c r="P339" i="3"/>
  <c r="K339" i="3"/>
  <c r="F339" i="3"/>
  <c r="AA338" i="3"/>
  <c r="Z338" i="3"/>
  <c r="U338" i="3"/>
  <c r="P338" i="3"/>
  <c r="K338" i="3"/>
  <c r="F338" i="3"/>
  <c r="AA337" i="3"/>
  <c r="Z337" i="3"/>
  <c r="U337" i="3"/>
  <c r="P337" i="3"/>
  <c r="K337" i="3"/>
  <c r="F337" i="3"/>
  <c r="AA336" i="3"/>
  <c r="Z336" i="3"/>
  <c r="U336" i="3"/>
  <c r="P336" i="3"/>
  <c r="K336" i="3"/>
  <c r="F336" i="3"/>
  <c r="AA335" i="3"/>
  <c r="Z335" i="3"/>
  <c r="U335" i="3"/>
  <c r="P335" i="3"/>
  <c r="K335" i="3"/>
  <c r="F335" i="3"/>
  <c r="AA334" i="3"/>
  <c r="Z334" i="3"/>
  <c r="U334" i="3"/>
  <c r="P334" i="3"/>
  <c r="K334" i="3"/>
  <c r="F334" i="3"/>
  <c r="AA333" i="3"/>
  <c r="Z333" i="3"/>
  <c r="U333" i="3"/>
  <c r="P333" i="3"/>
  <c r="K333" i="3"/>
  <c r="F333" i="3"/>
  <c r="AA332" i="3"/>
  <c r="Z332" i="3"/>
  <c r="U332" i="3"/>
  <c r="P332" i="3"/>
  <c r="K332" i="3"/>
  <c r="F332" i="3"/>
  <c r="AA331" i="3"/>
  <c r="Z331" i="3"/>
  <c r="U331" i="3"/>
  <c r="P331" i="3"/>
  <c r="K331" i="3"/>
  <c r="F331" i="3"/>
  <c r="AA330" i="3"/>
  <c r="Z330" i="3"/>
  <c r="U330" i="3"/>
  <c r="P330" i="3"/>
  <c r="K330" i="3"/>
  <c r="F330" i="3"/>
  <c r="AA329" i="3"/>
  <c r="Z329" i="3"/>
  <c r="U329" i="3"/>
  <c r="P329" i="3"/>
  <c r="K329" i="3"/>
  <c r="F329" i="3"/>
  <c r="AA328" i="3"/>
  <c r="Z328" i="3"/>
  <c r="U328" i="3"/>
  <c r="P328" i="3"/>
  <c r="K328" i="3"/>
  <c r="F328" i="3"/>
  <c r="AA327" i="3"/>
  <c r="Z327" i="3"/>
  <c r="U327" i="3"/>
  <c r="P327" i="3"/>
  <c r="K327" i="3"/>
  <c r="F327" i="3"/>
  <c r="AA326" i="3"/>
  <c r="Z326" i="3"/>
  <c r="U326" i="3"/>
  <c r="P326" i="3"/>
  <c r="K326" i="3"/>
  <c r="F326" i="3"/>
  <c r="AA325" i="3"/>
  <c r="Z325" i="3"/>
  <c r="U325" i="3"/>
  <c r="P325" i="3"/>
  <c r="K325" i="3"/>
  <c r="F325" i="3"/>
  <c r="AA324" i="3"/>
  <c r="Z324" i="3"/>
  <c r="U324" i="3"/>
  <c r="P324" i="3"/>
  <c r="K324" i="3"/>
  <c r="F324" i="3"/>
  <c r="AA323" i="3"/>
  <c r="Z323" i="3"/>
  <c r="U323" i="3"/>
  <c r="P323" i="3"/>
  <c r="K323" i="3"/>
  <c r="F323" i="3"/>
  <c r="AA322" i="3"/>
  <c r="Z322" i="3"/>
  <c r="U322" i="3"/>
  <c r="P322" i="3"/>
  <c r="K322" i="3"/>
  <c r="F322" i="3"/>
  <c r="AA321" i="3"/>
  <c r="Z321" i="3"/>
  <c r="U321" i="3"/>
  <c r="P321" i="3"/>
  <c r="K321" i="3"/>
  <c r="F321" i="3"/>
  <c r="AA320" i="3"/>
  <c r="Z320" i="3"/>
  <c r="U320" i="3"/>
  <c r="P320" i="3"/>
  <c r="K320" i="3"/>
  <c r="F320" i="3"/>
  <c r="AA319" i="3"/>
  <c r="Z319" i="3"/>
  <c r="U319" i="3"/>
  <c r="P319" i="3"/>
  <c r="K319" i="3"/>
  <c r="F319" i="3"/>
  <c r="AA318" i="3"/>
  <c r="Z318" i="3"/>
  <c r="U318" i="3"/>
  <c r="P318" i="3"/>
  <c r="K318" i="3"/>
  <c r="F318" i="3"/>
  <c r="AA317" i="3"/>
  <c r="Z317" i="3"/>
  <c r="U317" i="3"/>
  <c r="P317" i="3"/>
  <c r="K317" i="3"/>
  <c r="F317" i="3"/>
  <c r="AA316" i="3"/>
  <c r="Z316" i="3"/>
  <c r="U316" i="3"/>
  <c r="P316" i="3"/>
  <c r="K316" i="3"/>
  <c r="F316" i="3"/>
  <c r="AA315" i="3"/>
  <c r="Z315" i="3"/>
  <c r="U315" i="3"/>
  <c r="P315" i="3"/>
  <c r="K315" i="3"/>
  <c r="F315" i="3"/>
  <c r="AA314" i="3"/>
  <c r="Z314" i="3"/>
  <c r="U314" i="3"/>
  <c r="P314" i="3"/>
  <c r="K314" i="3"/>
  <c r="F314" i="3"/>
  <c r="AA313" i="3"/>
  <c r="Z313" i="3"/>
  <c r="U313" i="3"/>
  <c r="P313" i="3"/>
  <c r="K313" i="3"/>
  <c r="F313" i="3"/>
  <c r="AA312" i="3"/>
  <c r="Z312" i="3"/>
  <c r="U312" i="3"/>
  <c r="P312" i="3"/>
  <c r="K312" i="3"/>
  <c r="F312" i="3"/>
  <c r="AA311" i="3"/>
  <c r="Z311" i="3"/>
  <c r="U311" i="3"/>
  <c r="P311" i="3"/>
  <c r="K311" i="3"/>
  <c r="F311" i="3"/>
  <c r="AA310" i="3"/>
  <c r="Z310" i="3"/>
  <c r="U310" i="3"/>
  <c r="P310" i="3"/>
  <c r="K310" i="3"/>
  <c r="F310" i="3"/>
  <c r="AA309" i="3"/>
  <c r="Z309" i="3"/>
  <c r="U309" i="3"/>
  <c r="P309" i="3"/>
  <c r="K309" i="3"/>
  <c r="F309" i="3"/>
  <c r="AA308" i="3"/>
  <c r="Z308" i="3"/>
  <c r="U308" i="3"/>
  <c r="P308" i="3"/>
  <c r="K308" i="3"/>
  <c r="F308" i="3"/>
  <c r="AA307" i="3"/>
  <c r="Z307" i="3"/>
  <c r="U307" i="3"/>
  <c r="P307" i="3"/>
  <c r="K307" i="3"/>
  <c r="F307" i="3"/>
  <c r="AA306" i="3"/>
  <c r="Z306" i="3"/>
  <c r="U306" i="3"/>
  <c r="P306" i="3"/>
  <c r="K306" i="3"/>
  <c r="F306" i="3"/>
  <c r="AA305" i="3"/>
  <c r="Z305" i="3"/>
  <c r="U305" i="3"/>
  <c r="P305" i="3"/>
  <c r="K305" i="3"/>
  <c r="F305" i="3"/>
  <c r="AA304" i="3"/>
  <c r="Z304" i="3"/>
  <c r="U304" i="3"/>
  <c r="P304" i="3"/>
  <c r="K304" i="3"/>
  <c r="F304" i="3"/>
  <c r="AA303" i="3"/>
  <c r="Z303" i="3"/>
  <c r="U303" i="3"/>
  <c r="P303" i="3"/>
  <c r="K303" i="3"/>
  <c r="F303" i="3"/>
  <c r="AA302" i="3"/>
  <c r="Z302" i="3"/>
  <c r="U302" i="3"/>
  <c r="P302" i="3"/>
  <c r="K302" i="3"/>
  <c r="F302" i="3"/>
  <c r="AA301" i="3"/>
  <c r="Z301" i="3"/>
  <c r="U301" i="3"/>
  <c r="P301" i="3"/>
  <c r="K301" i="3"/>
  <c r="F301" i="3"/>
  <c r="AA300" i="3"/>
  <c r="Z300" i="3"/>
  <c r="U300" i="3"/>
  <c r="P300" i="3"/>
  <c r="K300" i="3"/>
  <c r="F300" i="3"/>
  <c r="AA299" i="3"/>
  <c r="Z299" i="3"/>
  <c r="U299" i="3"/>
  <c r="P299" i="3"/>
  <c r="K299" i="3"/>
  <c r="F299" i="3"/>
  <c r="AA298" i="3"/>
  <c r="Z298" i="3"/>
  <c r="U298" i="3"/>
  <c r="P298" i="3"/>
  <c r="K298" i="3"/>
  <c r="F298" i="3"/>
  <c r="AA297" i="3"/>
  <c r="Z297" i="3"/>
  <c r="U297" i="3"/>
  <c r="P297" i="3"/>
  <c r="K297" i="3"/>
  <c r="F297" i="3"/>
  <c r="AA296" i="3"/>
  <c r="Z296" i="3"/>
  <c r="U296" i="3"/>
  <c r="P296" i="3"/>
  <c r="K296" i="3"/>
  <c r="F296" i="3"/>
  <c r="AA295" i="3"/>
  <c r="Z295" i="3"/>
  <c r="U295" i="3"/>
  <c r="P295" i="3"/>
  <c r="K295" i="3"/>
  <c r="F295" i="3"/>
  <c r="AA294" i="3"/>
  <c r="Z294" i="3"/>
  <c r="U294" i="3"/>
  <c r="P294" i="3"/>
  <c r="K294" i="3"/>
  <c r="F294" i="3"/>
  <c r="AA293" i="3"/>
  <c r="Z293" i="3"/>
  <c r="U293" i="3"/>
  <c r="P293" i="3"/>
  <c r="K293" i="3"/>
  <c r="F293" i="3"/>
  <c r="AA292" i="3"/>
  <c r="Z292" i="3"/>
  <c r="U292" i="3"/>
  <c r="P292" i="3"/>
  <c r="K292" i="3"/>
  <c r="F292" i="3"/>
  <c r="AA291" i="3"/>
  <c r="Z291" i="3"/>
  <c r="U291" i="3"/>
  <c r="P291" i="3"/>
  <c r="K291" i="3"/>
  <c r="F291" i="3"/>
  <c r="AA290" i="3"/>
  <c r="Z290" i="3"/>
  <c r="U290" i="3"/>
  <c r="P290" i="3"/>
  <c r="K290" i="3"/>
  <c r="F290" i="3"/>
  <c r="AA289" i="3"/>
  <c r="Z289" i="3"/>
  <c r="U289" i="3"/>
  <c r="P289" i="3"/>
  <c r="K289" i="3"/>
  <c r="F289" i="3"/>
  <c r="AA288" i="3"/>
  <c r="Z288" i="3"/>
  <c r="U288" i="3"/>
  <c r="P288" i="3"/>
  <c r="K288" i="3"/>
  <c r="F288" i="3"/>
  <c r="AA287" i="3"/>
  <c r="Z287" i="3"/>
  <c r="U287" i="3"/>
  <c r="P287" i="3"/>
  <c r="K287" i="3"/>
  <c r="F287" i="3"/>
  <c r="AA286" i="3"/>
  <c r="Z286" i="3"/>
  <c r="U286" i="3"/>
  <c r="P286" i="3"/>
  <c r="K286" i="3"/>
  <c r="F286" i="3"/>
  <c r="AA285" i="3"/>
  <c r="Z285" i="3"/>
  <c r="U285" i="3"/>
  <c r="P285" i="3"/>
  <c r="K285" i="3"/>
  <c r="F285" i="3"/>
  <c r="AA284" i="3"/>
  <c r="Z284" i="3"/>
  <c r="U284" i="3"/>
  <c r="P284" i="3"/>
  <c r="K284" i="3"/>
  <c r="F284" i="3"/>
  <c r="AA283" i="3"/>
  <c r="Z283" i="3"/>
  <c r="U283" i="3"/>
  <c r="P283" i="3"/>
  <c r="K283" i="3"/>
  <c r="F283" i="3"/>
  <c r="AA282" i="3"/>
  <c r="Z282" i="3"/>
  <c r="U282" i="3"/>
  <c r="P282" i="3"/>
  <c r="K282" i="3"/>
  <c r="F282" i="3"/>
  <c r="AA281" i="3"/>
  <c r="Z281" i="3"/>
  <c r="U281" i="3"/>
  <c r="P281" i="3"/>
  <c r="K281" i="3"/>
  <c r="F281" i="3"/>
  <c r="AA280" i="3"/>
  <c r="Z280" i="3"/>
  <c r="U280" i="3"/>
  <c r="P280" i="3"/>
  <c r="K280" i="3"/>
  <c r="F280" i="3"/>
  <c r="AA279" i="3"/>
  <c r="Z279" i="3"/>
  <c r="U279" i="3"/>
  <c r="P279" i="3"/>
  <c r="K279" i="3"/>
  <c r="F279" i="3"/>
  <c r="AA278" i="3"/>
  <c r="Z278" i="3"/>
  <c r="U278" i="3"/>
  <c r="P278" i="3"/>
  <c r="K278" i="3"/>
  <c r="F278" i="3"/>
  <c r="AA277" i="3"/>
  <c r="Z277" i="3"/>
  <c r="U277" i="3"/>
  <c r="P277" i="3"/>
  <c r="K277" i="3"/>
  <c r="F277" i="3"/>
  <c r="AA276" i="3"/>
  <c r="Z276" i="3"/>
  <c r="U276" i="3"/>
  <c r="P276" i="3"/>
  <c r="K276" i="3"/>
  <c r="F276" i="3"/>
  <c r="AA275" i="3"/>
  <c r="Z275" i="3"/>
  <c r="U275" i="3"/>
  <c r="P275" i="3"/>
  <c r="K275" i="3"/>
  <c r="F275" i="3"/>
  <c r="AA274" i="3"/>
  <c r="Z274" i="3"/>
  <c r="U274" i="3"/>
  <c r="P274" i="3"/>
  <c r="K274" i="3"/>
  <c r="F274" i="3"/>
  <c r="AA273" i="3"/>
  <c r="Z273" i="3"/>
  <c r="U273" i="3"/>
  <c r="P273" i="3"/>
  <c r="K273" i="3"/>
  <c r="F273" i="3"/>
  <c r="AA272" i="3"/>
  <c r="Z272" i="3"/>
  <c r="U272" i="3"/>
  <c r="P272" i="3"/>
  <c r="K272" i="3"/>
  <c r="F272" i="3"/>
  <c r="AA271" i="3"/>
  <c r="Z271" i="3"/>
  <c r="U271" i="3"/>
  <c r="P271" i="3"/>
  <c r="K271" i="3"/>
  <c r="F271" i="3"/>
  <c r="AA270" i="3"/>
  <c r="Z270" i="3"/>
  <c r="U270" i="3"/>
  <c r="P270" i="3"/>
  <c r="K270" i="3"/>
  <c r="F270" i="3"/>
  <c r="AA269" i="3"/>
  <c r="Z269" i="3"/>
  <c r="U269" i="3"/>
  <c r="P269" i="3"/>
  <c r="K269" i="3"/>
  <c r="F269" i="3"/>
  <c r="AA268" i="3"/>
  <c r="Z268" i="3"/>
  <c r="U268" i="3"/>
  <c r="P268" i="3"/>
  <c r="K268" i="3"/>
  <c r="F268" i="3"/>
  <c r="AA267" i="3"/>
  <c r="Z267" i="3"/>
  <c r="U267" i="3"/>
  <c r="P267" i="3"/>
  <c r="K267" i="3"/>
  <c r="F267" i="3"/>
  <c r="AA266" i="3"/>
  <c r="Z266" i="3"/>
  <c r="U266" i="3"/>
  <c r="P266" i="3"/>
  <c r="K266" i="3"/>
  <c r="F266" i="3"/>
  <c r="AA265" i="3"/>
  <c r="Z265" i="3"/>
  <c r="U265" i="3"/>
  <c r="P265" i="3"/>
  <c r="K265" i="3"/>
  <c r="F265" i="3"/>
  <c r="AA264" i="3"/>
  <c r="Z264" i="3"/>
  <c r="U264" i="3"/>
  <c r="P264" i="3"/>
  <c r="K264" i="3"/>
  <c r="F264" i="3"/>
  <c r="AA263" i="3"/>
  <c r="Z263" i="3"/>
  <c r="U263" i="3"/>
  <c r="P263" i="3"/>
  <c r="K263" i="3"/>
  <c r="F263" i="3"/>
  <c r="AA262" i="3"/>
  <c r="Z262" i="3"/>
  <c r="U262" i="3"/>
  <c r="P262" i="3"/>
  <c r="K262" i="3"/>
  <c r="F262" i="3"/>
  <c r="AA261" i="3"/>
  <c r="Z261" i="3"/>
  <c r="U261" i="3"/>
  <c r="P261" i="3"/>
  <c r="K261" i="3"/>
  <c r="F261" i="3"/>
  <c r="AA260" i="3"/>
  <c r="Z260" i="3"/>
  <c r="U260" i="3"/>
  <c r="P260" i="3"/>
  <c r="K260" i="3"/>
  <c r="F260" i="3"/>
  <c r="AA259" i="3"/>
  <c r="Z259" i="3"/>
  <c r="U259" i="3"/>
  <c r="P259" i="3"/>
  <c r="K259" i="3"/>
  <c r="F259" i="3"/>
  <c r="AA258" i="3"/>
  <c r="Z258" i="3"/>
  <c r="U258" i="3"/>
  <c r="P258" i="3"/>
  <c r="K258" i="3"/>
  <c r="F258" i="3"/>
  <c r="AA257" i="3"/>
  <c r="Z257" i="3"/>
  <c r="U257" i="3"/>
  <c r="P257" i="3"/>
  <c r="K257" i="3"/>
  <c r="F257" i="3"/>
  <c r="AA256" i="3"/>
  <c r="Z256" i="3"/>
  <c r="U256" i="3"/>
  <c r="P256" i="3"/>
  <c r="K256" i="3"/>
  <c r="F256" i="3"/>
  <c r="AA255" i="3"/>
  <c r="Z255" i="3"/>
  <c r="U255" i="3"/>
  <c r="P255" i="3"/>
  <c r="K255" i="3"/>
  <c r="F255" i="3"/>
  <c r="AA254" i="3"/>
  <c r="Z254" i="3"/>
  <c r="U254" i="3"/>
  <c r="P254" i="3"/>
  <c r="K254" i="3"/>
  <c r="F254" i="3"/>
  <c r="AA253" i="3"/>
  <c r="Z253" i="3"/>
  <c r="U253" i="3"/>
  <c r="P253" i="3"/>
  <c r="K253" i="3"/>
  <c r="F253" i="3"/>
  <c r="AA252" i="3"/>
  <c r="Z252" i="3"/>
  <c r="U252" i="3"/>
  <c r="P252" i="3"/>
  <c r="K252" i="3"/>
  <c r="F252" i="3"/>
  <c r="AA251" i="3"/>
  <c r="Z251" i="3"/>
  <c r="U251" i="3"/>
  <c r="P251" i="3"/>
  <c r="K251" i="3"/>
  <c r="F251" i="3"/>
  <c r="AA250" i="3"/>
  <c r="Z250" i="3"/>
  <c r="U250" i="3"/>
  <c r="P250" i="3"/>
  <c r="K250" i="3"/>
  <c r="F250" i="3"/>
  <c r="AA249" i="3"/>
  <c r="Z249" i="3"/>
  <c r="U249" i="3"/>
  <c r="P249" i="3"/>
  <c r="K249" i="3"/>
  <c r="F249" i="3"/>
  <c r="AA183" i="3"/>
  <c r="AA181" i="3"/>
  <c r="AA176" i="3"/>
  <c r="AA163" i="3"/>
  <c r="U550" i="2"/>
  <c r="T550" i="2"/>
  <c r="S550" i="2"/>
  <c r="R550" i="2"/>
  <c r="Q550" i="2"/>
  <c r="P550" i="2"/>
  <c r="O550" i="2"/>
  <c r="N550" i="2"/>
  <c r="M550" i="2"/>
  <c r="L550" i="2"/>
  <c r="K550" i="2"/>
  <c r="J550" i="2"/>
  <c r="I550" i="2"/>
  <c r="H550" i="2"/>
  <c r="G550" i="2"/>
  <c r="F550" i="2"/>
  <c r="E550" i="2"/>
  <c r="D550" i="2"/>
  <c r="C550" i="2"/>
  <c r="B550" i="2"/>
  <c r="A550" i="2"/>
  <c r="U549" i="2"/>
  <c r="T549" i="2"/>
  <c r="S549" i="2"/>
  <c r="R549" i="2"/>
  <c r="Q549" i="2"/>
  <c r="P549" i="2"/>
  <c r="O549" i="2"/>
  <c r="N549" i="2"/>
  <c r="M549" i="2"/>
  <c r="L549" i="2"/>
  <c r="K549" i="2"/>
  <c r="J549" i="2"/>
  <c r="I549" i="2"/>
  <c r="H549" i="2"/>
  <c r="G549" i="2"/>
  <c r="F549" i="2"/>
  <c r="E549" i="2"/>
  <c r="D549" i="2"/>
  <c r="C549" i="2"/>
  <c r="B549" i="2"/>
  <c r="A549" i="2"/>
  <c r="U548" i="2"/>
  <c r="T548" i="2"/>
  <c r="S548" i="2"/>
  <c r="R548" i="2"/>
  <c r="Q548" i="2"/>
  <c r="P548" i="2"/>
  <c r="O548" i="2"/>
  <c r="N548" i="2"/>
  <c r="M548" i="2"/>
  <c r="L548" i="2"/>
  <c r="K548" i="2"/>
  <c r="J548" i="2"/>
  <c r="I548" i="2"/>
  <c r="H548" i="2"/>
  <c r="G548" i="2"/>
  <c r="F548" i="2"/>
  <c r="E548" i="2"/>
  <c r="D548" i="2"/>
  <c r="C548" i="2"/>
  <c r="B548" i="2"/>
  <c r="A548" i="2"/>
  <c r="U547" i="2"/>
  <c r="T547" i="2"/>
  <c r="S547" i="2"/>
  <c r="R547" i="2"/>
  <c r="Q547" i="2"/>
  <c r="P547" i="2"/>
  <c r="O547" i="2"/>
  <c r="N547" i="2"/>
  <c r="M547" i="2"/>
  <c r="L547" i="2"/>
  <c r="K547" i="2"/>
  <c r="J547" i="2"/>
  <c r="I547" i="2"/>
  <c r="H547" i="2"/>
  <c r="G547" i="2"/>
  <c r="F547" i="2"/>
  <c r="E547" i="2"/>
  <c r="D547" i="2"/>
  <c r="C547" i="2"/>
  <c r="B547" i="2"/>
  <c r="A547" i="2"/>
  <c r="U546" i="2"/>
  <c r="T546" i="2"/>
  <c r="S546" i="2"/>
  <c r="R546" i="2"/>
  <c r="Q546" i="2"/>
  <c r="P546" i="2"/>
  <c r="O546" i="2"/>
  <c r="N546" i="2"/>
  <c r="M546" i="2"/>
  <c r="L546" i="2"/>
  <c r="K546" i="2"/>
  <c r="J546" i="2"/>
  <c r="I546" i="2"/>
  <c r="H546" i="2"/>
  <c r="G546" i="2"/>
  <c r="F546" i="2"/>
  <c r="E546" i="2"/>
  <c r="D546" i="2"/>
  <c r="C546" i="2"/>
  <c r="B546" i="2"/>
  <c r="A546" i="2"/>
  <c r="U545" i="2"/>
  <c r="T545" i="2"/>
  <c r="S545" i="2"/>
  <c r="R545" i="2"/>
  <c r="Q545" i="2"/>
  <c r="P545" i="2"/>
  <c r="O545" i="2"/>
  <c r="N545" i="2"/>
  <c r="M545" i="2"/>
  <c r="L545" i="2"/>
  <c r="K545" i="2"/>
  <c r="J545" i="2"/>
  <c r="I545" i="2"/>
  <c r="H545" i="2"/>
  <c r="G545" i="2"/>
  <c r="F545" i="2"/>
  <c r="E545" i="2"/>
  <c r="D545" i="2"/>
  <c r="C545" i="2"/>
  <c r="B545" i="2"/>
  <c r="A545" i="2"/>
  <c r="U544" i="2"/>
  <c r="T544" i="2"/>
  <c r="S544" i="2"/>
  <c r="R544" i="2"/>
  <c r="Q544" i="2"/>
  <c r="P544" i="2"/>
  <c r="O544" i="2"/>
  <c r="N544" i="2"/>
  <c r="M544" i="2"/>
  <c r="L544" i="2"/>
  <c r="K544" i="2"/>
  <c r="J544" i="2"/>
  <c r="I544" i="2"/>
  <c r="H544" i="2"/>
  <c r="G544" i="2"/>
  <c r="F544" i="2"/>
  <c r="E544" i="2"/>
  <c r="D544" i="2"/>
  <c r="C544" i="2"/>
  <c r="B544" i="2"/>
  <c r="A544" i="2"/>
  <c r="U543" i="2"/>
  <c r="T543" i="2"/>
  <c r="S543" i="2"/>
  <c r="R543" i="2"/>
  <c r="Q543" i="2"/>
  <c r="P543" i="2"/>
  <c r="O543" i="2"/>
  <c r="N543" i="2"/>
  <c r="M543" i="2"/>
  <c r="L543" i="2"/>
  <c r="K543" i="2"/>
  <c r="J543" i="2"/>
  <c r="I543" i="2"/>
  <c r="H543" i="2"/>
  <c r="G543" i="2"/>
  <c r="F543" i="2"/>
  <c r="E543" i="2"/>
  <c r="D543" i="2"/>
  <c r="C543" i="2"/>
  <c r="B543" i="2"/>
  <c r="A543" i="2"/>
  <c r="U542" i="2"/>
  <c r="T542" i="2"/>
  <c r="S542" i="2"/>
  <c r="R542" i="2"/>
  <c r="Q542" i="2"/>
  <c r="P542" i="2"/>
  <c r="O542" i="2"/>
  <c r="N542" i="2"/>
  <c r="M542" i="2"/>
  <c r="L542" i="2"/>
  <c r="K542" i="2"/>
  <c r="J542" i="2"/>
  <c r="I542" i="2"/>
  <c r="H542" i="2"/>
  <c r="G542" i="2"/>
  <c r="F542" i="2"/>
  <c r="E542" i="2"/>
  <c r="D542" i="2"/>
  <c r="C542" i="2"/>
  <c r="B542" i="2"/>
  <c r="A542" i="2"/>
  <c r="U541" i="2"/>
  <c r="T541" i="2"/>
  <c r="S541" i="2"/>
  <c r="R541" i="2"/>
  <c r="Q541" i="2"/>
  <c r="P541" i="2"/>
  <c r="O541" i="2"/>
  <c r="N541" i="2"/>
  <c r="M541" i="2"/>
  <c r="L541" i="2"/>
  <c r="K541" i="2"/>
  <c r="J541" i="2"/>
  <c r="I541" i="2"/>
  <c r="H541" i="2"/>
  <c r="G541" i="2"/>
  <c r="F541" i="2"/>
  <c r="E541" i="2"/>
  <c r="D541" i="2"/>
  <c r="C541" i="2"/>
  <c r="B541" i="2"/>
  <c r="A541" i="2"/>
  <c r="U540" i="2"/>
  <c r="T540" i="2"/>
  <c r="S540" i="2"/>
  <c r="R540" i="2"/>
  <c r="Q540" i="2"/>
  <c r="P540" i="2"/>
  <c r="O540" i="2"/>
  <c r="N540" i="2"/>
  <c r="M540" i="2"/>
  <c r="L540" i="2"/>
  <c r="K540" i="2"/>
  <c r="J540" i="2"/>
  <c r="I540" i="2"/>
  <c r="H540" i="2"/>
  <c r="G540" i="2"/>
  <c r="F540" i="2"/>
  <c r="E540" i="2"/>
  <c r="D540" i="2"/>
  <c r="C540" i="2"/>
  <c r="B540" i="2"/>
  <c r="A540" i="2"/>
  <c r="U539" i="2"/>
  <c r="T539" i="2"/>
  <c r="S539" i="2"/>
  <c r="R539" i="2"/>
  <c r="Q539" i="2"/>
  <c r="P539" i="2"/>
  <c r="O539" i="2"/>
  <c r="N539" i="2"/>
  <c r="M539" i="2"/>
  <c r="L539" i="2"/>
  <c r="K539" i="2"/>
  <c r="J539" i="2"/>
  <c r="I539" i="2"/>
  <c r="H539" i="2"/>
  <c r="G539" i="2"/>
  <c r="F539" i="2"/>
  <c r="E539" i="2"/>
  <c r="D539" i="2"/>
  <c r="C539" i="2"/>
  <c r="B539" i="2"/>
  <c r="A539" i="2"/>
  <c r="U538" i="2"/>
  <c r="T538" i="2"/>
  <c r="S538" i="2"/>
  <c r="R538" i="2"/>
  <c r="Q538" i="2"/>
  <c r="P538" i="2"/>
  <c r="O538" i="2"/>
  <c r="N538" i="2"/>
  <c r="M538" i="2"/>
  <c r="L538" i="2"/>
  <c r="K538" i="2"/>
  <c r="J538" i="2"/>
  <c r="I538" i="2"/>
  <c r="H538" i="2"/>
  <c r="G538" i="2"/>
  <c r="F538" i="2"/>
  <c r="E538" i="2"/>
  <c r="D538" i="2"/>
  <c r="C538" i="2"/>
  <c r="B538" i="2"/>
  <c r="A538" i="2"/>
  <c r="U537" i="2"/>
  <c r="T537" i="2"/>
  <c r="S537" i="2"/>
  <c r="R537" i="2"/>
  <c r="Q537" i="2"/>
  <c r="P537" i="2"/>
  <c r="O537" i="2"/>
  <c r="N537" i="2"/>
  <c r="M537" i="2"/>
  <c r="L537" i="2"/>
  <c r="K537" i="2"/>
  <c r="J537" i="2"/>
  <c r="I537" i="2"/>
  <c r="H537" i="2"/>
  <c r="G537" i="2"/>
  <c r="F537" i="2"/>
  <c r="E537" i="2"/>
  <c r="D537" i="2"/>
  <c r="C537" i="2"/>
  <c r="B537" i="2"/>
  <c r="A537" i="2"/>
  <c r="U536" i="2"/>
  <c r="T536" i="2"/>
  <c r="S536" i="2"/>
  <c r="R536" i="2"/>
  <c r="Q536" i="2"/>
  <c r="P536" i="2"/>
  <c r="O536" i="2"/>
  <c r="N536" i="2"/>
  <c r="M536" i="2"/>
  <c r="L536" i="2"/>
  <c r="K536" i="2"/>
  <c r="J536" i="2"/>
  <c r="I536" i="2"/>
  <c r="H536" i="2"/>
  <c r="G536" i="2"/>
  <c r="F536" i="2"/>
  <c r="E536" i="2"/>
  <c r="D536" i="2"/>
  <c r="C536" i="2"/>
  <c r="B536" i="2"/>
  <c r="A536" i="2"/>
  <c r="U535" i="2"/>
  <c r="T535" i="2"/>
  <c r="S535" i="2"/>
  <c r="R535" i="2"/>
  <c r="Q535" i="2"/>
  <c r="P535" i="2"/>
  <c r="O535" i="2"/>
  <c r="N535" i="2"/>
  <c r="M535" i="2"/>
  <c r="L535" i="2"/>
  <c r="K535" i="2"/>
  <c r="J535" i="2"/>
  <c r="I535" i="2"/>
  <c r="H535" i="2"/>
  <c r="G535" i="2"/>
  <c r="F535" i="2"/>
  <c r="E535" i="2"/>
  <c r="D535" i="2"/>
  <c r="C535" i="2"/>
  <c r="B535" i="2"/>
  <c r="A535" i="2"/>
  <c r="U534" i="2"/>
  <c r="T534" i="2"/>
  <c r="S534" i="2"/>
  <c r="R534" i="2"/>
  <c r="Q534" i="2"/>
  <c r="P534" i="2"/>
  <c r="O534" i="2"/>
  <c r="N534" i="2"/>
  <c r="M534" i="2"/>
  <c r="L534" i="2"/>
  <c r="K534" i="2"/>
  <c r="J534" i="2"/>
  <c r="I534" i="2"/>
  <c r="H534" i="2"/>
  <c r="G534" i="2"/>
  <c r="F534" i="2"/>
  <c r="E534" i="2"/>
  <c r="D534" i="2"/>
  <c r="C534" i="2"/>
  <c r="B534" i="2"/>
  <c r="A534" i="2"/>
  <c r="U533" i="2"/>
  <c r="T533" i="2"/>
  <c r="S533" i="2"/>
  <c r="R533" i="2"/>
  <c r="Q533" i="2"/>
  <c r="P533" i="2"/>
  <c r="O533" i="2"/>
  <c r="N533" i="2"/>
  <c r="M533" i="2"/>
  <c r="L533" i="2"/>
  <c r="K533" i="2"/>
  <c r="J533" i="2"/>
  <c r="I533" i="2"/>
  <c r="H533" i="2"/>
  <c r="G533" i="2"/>
  <c r="F533" i="2"/>
  <c r="E533" i="2"/>
  <c r="D533" i="2"/>
  <c r="C533" i="2"/>
  <c r="B533" i="2"/>
  <c r="A533" i="2"/>
  <c r="U532" i="2"/>
  <c r="T532" i="2"/>
  <c r="S532" i="2"/>
  <c r="R532" i="2"/>
  <c r="Q532" i="2"/>
  <c r="P532" i="2"/>
  <c r="O532" i="2"/>
  <c r="N532" i="2"/>
  <c r="M532" i="2"/>
  <c r="L532" i="2"/>
  <c r="K532" i="2"/>
  <c r="J532" i="2"/>
  <c r="I532" i="2"/>
  <c r="H532" i="2"/>
  <c r="G532" i="2"/>
  <c r="F532" i="2"/>
  <c r="E532" i="2"/>
  <c r="D532" i="2"/>
  <c r="C532" i="2"/>
  <c r="B532" i="2"/>
  <c r="A532" i="2"/>
  <c r="U531" i="2"/>
  <c r="T531" i="2"/>
  <c r="S531" i="2"/>
  <c r="R531" i="2"/>
  <c r="Q531" i="2"/>
  <c r="P531" i="2"/>
  <c r="O531" i="2"/>
  <c r="N531" i="2"/>
  <c r="M531" i="2"/>
  <c r="L531" i="2"/>
  <c r="K531" i="2"/>
  <c r="J531" i="2"/>
  <c r="I531" i="2"/>
  <c r="H531" i="2"/>
  <c r="G531" i="2"/>
  <c r="F531" i="2"/>
  <c r="E531" i="2"/>
  <c r="D531" i="2"/>
  <c r="C531" i="2"/>
  <c r="B531" i="2"/>
  <c r="A531" i="2"/>
  <c r="U530" i="2"/>
  <c r="T530" i="2"/>
  <c r="S530" i="2"/>
  <c r="R530" i="2"/>
  <c r="Q530" i="2"/>
  <c r="P530" i="2"/>
  <c r="O530" i="2"/>
  <c r="N530" i="2"/>
  <c r="M530" i="2"/>
  <c r="L530" i="2"/>
  <c r="K530" i="2"/>
  <c r="J530" i="2"/>
  <c r="I530" i="2"/>
  <c r="H530" i="2"/>
  <c r="G530" i="2"/>
  <c r="F530" i="2"/>
  <c r="E530" i="2"/>
  <c r="D530" i="2"/>
  <c r="C530" i="2"/>
  <c r="B530" i="2"/>
  <c r="A530" i="2"/>
  <c r="U529" i="2"/>
  <c r="T529" i="2"/>
  <c r="S529" i="2"/>
  <c r="R529" i="2"/>
  <c r="Q529" i="2"/>
  <c r="P529" i="2"/>
  <c r="O529" i="2"/>
  <c r="N529" i="2"/>
  <c r="M529" i="2"/>
  <c r="L529" i="2"/>
  <c r="K529" i="2"/>
  <c r="J529" i="2"/>
  <c r="I529" i="2"/>
  <c r="H529" i="2"/>
  <c r="G529" i="2"/>
  <c r="F529" i="2"/>
  <c r="E529" i="2"/>
  <c r="D529" i="2"/>
  <c r="C529" i="2"/>
  <c r="B529" i="2"/>
  <c r="A529" i="2"/>
  <c r="U528" i="2"/>
  <c r="T528" i="2"/>
  <c r="S528" i="2"/>
  <c r="R528" i="2"/>
  <c r="Q528" i="2"/>
  <c r="P528" i="2"/>
  <c r="O528" i="2"/>
  <c r="N528" i="2"/>
  <c r="M528" i="2"/>
  <c r="L528" i="2"/>
  <c r="K528" i="2"/>
  <c r="J528" i="2"/>
  <c r="I528" i="2"/>
  <c r="H528" i="2"/>
  <c r="G528" i="2"/>
  <c r="F528" i="2"/>
  <c r="E528" i="2"/>
  <c r="D528" i="2"/>
  <c r="C528" i="2"/>
  <c r="B528" i="2"/>
  <c r="A528" i="2"/>
  <c r="U527" i="2"/>
  <c r="T527" i="2"/>
  <c r="S527" i="2"/>
  <c r="R527" i="2"/>
  <c r="Q527" i="2"/>
  <c r="P527" i="2"/>
  <c r="O527" i="2"/>
  <c r="N527" i="2"/>
  <c r="M527" i="2"/>
  <c r="L527" i="2"/>
  <c r="K527" i="2"/>
  <c r="J527" i="2"/>
  <c r="I527" i="2"/>
  <c r="H527" i="2"/>
  <c r="G527" i="2"/>
  <c r="F527" i="2"/>
  <c r="E527" i="2"/>
  <c r="D527" i="2"/>
  <c r="C527" i="2"/>
  <c r="B527" i="2"/>
  <c r="A527" i="2"/>
  <c r="U526" i="2"/>
  <c r="T526" i="2"/>
  <c r="S526" i="2"/>
  <c r="R526" i="2"/>
  <c r="Q526" i="2"/>
  <c r="P526" i="2"/>
  <c r="O526" i="2"/>
  <c r="N526" i="2"/>
  <c r="M526" i="2"/>
  <c r="L526" i="2"/>
  <c r="K526" i="2"/>
  <c r="J526" i="2"/>
  <c r="I526" i="2"/>
  <c r="H526" i="2"/>
  <c r="G526" i="2"/>
  <c r="F526" i="2"/>
  <c r="E526" i="2"/>
  <c r="D526" i="2"/>
  <c r="C526" i="2"/>
  <c r="B526" i="2"/>
  <c r="A526" i="2"/>
  <c r="U525" i="2"/>
  <c r="T525" i="2"/>
  <c r="S525" i="2"/>
  <c r="R525" i="2"/>
  <c r="Q525" i="2"/>
  <c r="P525" i="2"/>
  <c r="O525" i="2"/>
  <c r="N525" i="2"/>
  <c r="M525" i="2"/>
  <c r="L525" i="2"/>
  <c r="K525" i="2"/>
  <c r="J525" i="2"/>
  <c r="I525" i="2"/>
  <c r="H525" i="2"/>
  <c r="G525" i="2"/>
  <c r="F525" i="2"/>
  <c r="E525" i="2"/>
  <c r="D525" i="2"/>
  <c r="C525" i="2"/>
  <c r="B525" i="2"/>
  <c r="A525" i="2"/>
  <c r="U524" i="2"/>
  <c r="T524" i="2"/>
  <c r="S524" i="2"/>
  <c r="R524" i="2"/>
  <c r="Q524" i="2"/>
  <c r="P524" i="2"/>
  <c r="O524" i="2"/>
  <c r="N524" i="2"/>
  <c r="M524" i="2"/>
  <c r="L524" i="2"/>
  <c r="K524" i="2"/>
  <c r="J524" i="2"/>
  <c r="I524" i="2"/>
  <c r="H524" i="2"/>
  <c r="G524" i="2"/>
  <c r="F524" i="2"/>
  <c r="E524" i="2"/>
  <c r="D524" i="2"/>
  <c r="C524" i="2"/>
  <c r="B524" i="2"/>
  <c r="A524" i="2"/>
  <c r="U523" i="2"/>
  <c r="T523" i="2"/>
  <c r="S523" i="2"/>
  <c r="R523" i="2"/>
  <c r="Q523" i="2"/>
  <c r="P523" i="2"/>
  <c r="O523" i="2"/>
  <c r="N523" i="2"/>
  <c r="M523" i="2"/>
  <c r="L523" i="2"/>
  <c r="K523" i="2"/>
  <c r="J523" i="2"/>
  <c r="I523" i="2"/>
  <c r="H523" i="2"/>
  <c r="G523" i="2"/>
  <c r="F523" i="2"/>
  <c r="E523" i="2"/>
  <c r="D523" i="2"/>
  <c r="C523" i="2"/>
  <c r="B523" i="2"/>
  <c r="A523" i="2"/>
  <c r="U522" i="2"/>
  <c r="T522" i="2"/>
  <c r="S522" i="2"/>
  <c r="R522" i="2"/>
  <c r="Q522" i="2"/>
  <c r="P522" i="2"/>
  <c r="O522" i="2"/>
  <c r="N522" i="2"/>
  <c r="M522" i="2"/>
  <c r="L522" i="2"/>
  <c r="K522" i="2"/>
  <c r="J522" i="2"/>
  <c r="I522" i="2"/>
  <c r="H522" i="2"/>
  <c r="G522" i="2"/>
  <c r="F522" i="2"/>
  <c r="E522" i="2"/>
  <c r="D522" i="2"/>
  <c r="C522" i="2"/>
  <c r="B522" i="2"/>
  <c r="A522" i="2"/>
  <c r="U521" i="2"/>
  <c r="T521" i="2"/>
  <c r="S521" i="2"/>
  <c r="R521" i="2"/>
  <c r="Q521" i="2"/>
  <c r="P521" i="2"/>
  <c r="O521" i="2"/>
  <c r="N521" i="2"/>
  <c r="M521" i="2"/>
  <c r="L521" i="2"/>
  <c r="K521" i="2"/>
  <c r="J521" i="2"/>
  <c r="I521" i="2"/>
  <c r="H521" i="2"/>
  <c r="G521" i="2"/>
  <c r="F521" i="2"/>
  <c r="E521" i="2"/>
  <c r="D521" i="2"/>
  <c r="C521" i="2"/>
  <c r="B521" i="2"/>
  <c r="A521" i="2"/>
  <c r="U520" i="2"/>
  <c r="T520" i="2"/>
  <c r="S520" i="2"/>
  <c r="R520" i="2"/>
  <c r="Q520" i="2"/>
  <c r="P520" i="2"/>
  <c r="O520" i="2"/>
  <c r="N520" i="2"/>
  <c r="M520" i="2"/>
  <c r="L520" i="2"/>
  <c r="K520" i="2"/>
  <c r="J520" i="2"/>
  <c r="I520" i="2"/>
  <c r="H520" i="2"/>
  <c r="G520" i="2"/>
  <c r="F520" i="2"/>
  <c r="E520" i="2"/>
  <c r="D520" i="2"/>
  <c r="C520" i="2"/>
  <c r="B520" i="2"/>
  <c r="A520" i="2"/>
  <c r="U519" i="2"/>
  <c r="T519" i="2"/>
  <c r="S519" i="2"/>
  <c r="R519" i="2"/>
  <c r="Q519" i="2"/>
  <c r="P519" i="2"/>
  <c r="O519" i="2"/>
  <c r="N519" i="2"/>
  <c r="M519" i="2"/>
  <c r="L519" i="2"/>
  <c r="K519" i="2"/>
  <c r="J519" i="2"/>
  <c r="I519" i="2"/>
  <c r="H519" i="2"/>
  <c r="G519" i="2"/>
  <c r="F519" i="2"/>
  <c r="E519" i="2"/>
  <c r="D519" i="2"/>
  <c r="C519" i="2"/>
  <c r="B519" i="2"/>
  <c r="A519" i="2"/>
  <c r="U518" i="2"/>
  <c r="T518" i="2"/>
  <c r="S518" i="2"/>
  <c r="R518" i="2"/>
  <c r="Q518" i="2"/>
  <c r="P518" i="2"/>
  <c r="O518" i="2"/>
  <c r="N518" i="2"/>
  <c r="M518" i="2"/>
  <c r="L518" i="2"/>
  <c r="K518" i="2"/>
  <c r="J518" i="2"/>
  <c r="I518" i="2"/>
  <c r="H518" i="2"/>
  <c r="G518" i="2"/>
  <c r="F518" i="2"/>
  <c r="E518" i="2"/>
  <c r="D518" i="2"/>
  <c r="C518" i="2"/>
  <c r="B518" i="2"/>
  <c r="A518" i="2"/>
  <c r="U517" i="2"/>
  <c r="T517" i="2"/>
  <c r="S517" i="2"/>
  <c r="R517" i="2"/>
  <c r="Q517" i="2"/>
  <c r="P517" i="2"/>
  <c r="O517" i="2"/>
  <c r="N517" i="2"/>
  <c r="M517" i="2"/>
  <c r="L517" i="2"/>
  <c r="K517" i="2"/>
  <c r="J517" i="2"/>
  <c r="I517" i="2"/>
  <c r="H517" i="2"/>
  <c r="G517" i="2"/>
  <c r="F517" i="2"/>
  <c r="E517" i="2"/>
  <c r="D517" i="2"/>
  <c r="C517" i="2"/>
  <c r="B517" i="2"/>
  <c r="A517" i="2"/>
  <c r="U516" i="2"/>
  <c r="T516" i="2"/>
  <c r="S516" i="2"/>
  <c r="R516" i="2"/>
  <c r="Q516" i="2"/>
  <c r="P516" i="2"/>
  <c r="O516" i="2"/>
  <c r="N516" i="2"/>
  <c r="M516" i="2"/>
  <c r="L516" i="2"/>
  <c r="K516" i="2"/>
  <c r="J516" i="2"/>
  <c r="I516" i="2"/>
  <c r="H516" i="2"/>
  <c r="G516" i="2"/>
  <c r="F516" i="2"/>
  <c r="E516" i="2"/>
  <c r="D516" i="2"/>
  <c r="C516" i="2"/>
  <c r="B516" i="2"/>
  <c r="A516" i="2"/>
  <c r="U515" i="2"/>
  <c r="T515" i="2"/>
  <c r="S515" i="2"/>
  <c r="R515" i="2"/>
  <c r="Q515" i="2"/>
  <c r="P515" i="2"/>
  <c r="O515" i="2"/>
  <c r="N515" i="2"/>
  <c r="M515" i="2"/>
  <c r="L515" i="2"/>
  <c r="K515" i="2"/>
  <c r="J515" i="2"/>
  <c r="I515" i="2"/>
  <c r="H515" i="2"/>
  <c r="G515" i="2"/>
  <c r="F515" i="2"/>
  <c r="E515" i="2"/>
  <c r="D515" i="2"/>
  <c r="C515" i="2"/>
  <c r="B515" i="2"/>
  <c r="A515" i="2"/>
  <c r="U514" i="2"/>
  <c r="T514" i="2"/>
  <c r="S514" i="2"/>
  <c r="R514" i="2"/>
  <c r="Q514" i="2"/>
  <c r="P514" i="2"/>
  <c r="O514" i="2"/>
  <c r="N514" i="2"/>
  <c r="M514" i="2"/>
  <c r="L514" i="2"/>
  <c r="K514" i="2"/>
  <c r="J514" i="2"/>
  <c r="I514" i="2"/>
  <c r="H514" i="2"/>
  <c r="G514" i="2"/>
  <c r="F514" i="2"/>
  <c r="E514" i="2"/>
  <c r="D514" i="2"/>
  <c r="C514" i="2"/>
  <c r="B514" i="2"/>
  <c r="A514" i="2"/>
  <c r="U513" i="2"/>
  <c r="T513" i="2"/>
  <c r="S513" i="2"/>
  <c r="R513" i="2"/>
  <c r="Q513" i="2"/>
  <c r="P513" i="2"/>
  <c r="O513" i="2"/>
  <c r="N513" i="2"/>
  <c r="M513" i="2"/>
  <c r="L513" i="2"/>
  <c r="K513" i="2"/>
  <c r="J513" i="2"/>
  <c r="I513" i="2"/>
  <c r="H513" i="2"/>
  <c r="G513" i="2"/>
  <c r="F513" i="2"/>
  <c r="E513" i="2"/>
  <c r="D513" i="2"/>
  <c r="C513" i="2"/>
  <c r="B513" i="2"/>
  <c r="A513" i="2"/>
  <c r="U512" i="2"/>
  <c r="T512" i="2"/>
  <c r="S512" i="2"/>
  <c r="R512" i="2"/>
  <c r="Q512" i="2"/>
  <c r="P512" i="2"/>
  <c r="O512" i="2"/>
  <c r="N512" i="2"/>
  <c r="M512" i="2"/>
  <c r="L512" i="2"/>
  <c r="K512" i="2"/>
  <c r="J512" i="2"/>
  <c r="I512" i="2"/>
  <c r="H512" i="2"/>
  <c r="G512" i="2"/>
  <c r="F512" i="2"/>
  <c r="E512" i="2"/>
  <c r="D512" i="2"/>
  <c r="C512" i="2"/>
  <c r="B512" i="2"/>
  <c r="A512" i="2"/>
  <c r="U511" i="2"/>
  <c r="T511" i="2"/>
  <c r="S511" i="2"/>
  <c r="R511" i="2"/>
  <c r="Q511" i="2"/>
  <c r="P511" i="2"/>
  <c r="O511" i="2"/>
  <c r="N511" i="2"/>
  <c r="M511" i="2"/>
  <c r="L511" i="2"/>
  <c r="K511" i="2"/>
  <c r="J511" i="2"/>
  <c r="I511" i="2"/>
  <c r="H511" i="2"/>
  <c r="G511" i="2"/>
  <c r="F511" i="2"/>
  <c r="E511" i="2"/>
  <c r="D511" i="2"/>
  <c r="C511" i="2"/>
  <c r="B511" i="2"/>
  <c r="A511" i="2"/>
  <c r="U510" i="2"/>
  <c r="T510" i="2"/>
  <c r="S510" i="2"/>
  <c r="R510" i="2"/>
  <c r="Q510" i="2"/>
  <c r="P510" i="2"/>
  <c r="O510" i="2"/>
  <c r="N510" i="2"/>
  <c r="M510" i="2"/>
  <c r="L510" i="2"/>
  <c r="K510" i="2"/>
  <c r="J510" i="2"/>
  <c r="I510" i="2"/>
  <c r="H510" i="2"/>
  <c r="G510" i="2"/>
  <c r="F510" i="2"/>
  <c r="E510" i="2"/>
  <c r="D510" i="2"/>
  <c r="C510" i="2"/>
  <c r="B510" i="2"/>
  <c r="A510" i="2"/>
  <c r="U509" i="2"/>
  <c r="T509" i="2"/>
  <c r="S509" i="2"/>
  <c r="R509" i="2"/>
  <c r="Q509" i="2"/>
  <c r="P509" i="2"/>
  <c r="O509" i="2"/>
  <c r="N509" i="2"/>
  <c r="M509" i="2"/>
  <c r="L509" i="2"/>
  <c r="K509" i="2"/>
  <c r="J509" i="2"/>
  <c r="I509" i="2"/>
  <c r="H509" i="2"/>
  <c r="G509" i="2"/>
  <c r="F509" i="2"/>
  <c r="E509" i="2"/>
  <c r="D509" i="2"/>
  <c r="C509" i="2"/>
  <c r="B509" i="2"/>
  <c r="A509" i="2"/>
  <c r="U508" i="2"/>
  <c r="T508" i="2"/>
  <c r="S508" i="2"/>
  <c r="R508" i="2"/>
  <c r="Q508" i="2"/>
  <c r="P508" i="2"/>
  <c r="O508" i="2"/>
  <c r="N508" i="2"/>
  <c r="M508" i="2"/>
  <c r="L508" i="2"/>
  <c r="K508" i="2"/>
  <c r="J508" i="2"/>
  <c r="I508" i="2"/>
  <c r="H508" i="2"/>
  <c r="G508" i="2"/>
  <c r="F508" i="2"/>
  <c r="E508" i="2"/>
  <c r="D508" i="2"/>
  <c r="C508" i="2"/>
  <c r="B508" i="2"/>
  <c r="A508" i="2"/>
  <c r="U507" i="2"/>
  <c r="T507" i="2"/>
  <c r="S507" i="2"/>
  <c r="R507" i="2"/>
  <c r="Q507" i="2"/>
  <c r="P507" i="2"/>
  <c r="O507" i="2"/>
  <c r="N507" i="2"/>
  <c r="M507" i="2"/>
  <c r="L507" i="2"/>
  <c r="K507" i="2"/>
  <c r="J507" i="2"/>
  <c r="I507" i="2"/>
  <c r="H507" i="2"/>
  <c r="G507" i="2"/>
  <c r="F507" i="2"/>
  <c r="E507" i="2"/>
  <c r="D507" i="2"/>
  <c r="C507" i="2"/>
  <c r="B507" i="2"/>
  <c r="A507" i="2"/>
  <c r="U506" i="2"/>
  <c r="T506" i="2"/>
  <c r="S506" i="2"/>
  <c r="R506" i="2"/>
  <c r="Q506" i="2"/>
  <c r="P506" i="2"/>
  <c r="O506" i="2"/>
  <c r="N506" i="2"/>
  <c r="M506" i="2"/>
  <c r="L506" i="2"/>
  <c r="K506" i="2"/>
  <c r="J506" i="2"/>
  <c r="I506" i="2"/>
  <c r="H506" i="2"/>
  <c r="G506" i="2"/>
  <c r="F506" i="2"/>
  <c r="E506" i="2"/>
  <c r="D506" i="2"/>
  <c r="C506" i="2"/>
  <c r="B506" i="2"/>
  <c r="A506" i="2"/>
  <c r="U505" i="2"/>
  <c r="T505" i="2"/>
  <c r="S505" i="2"/>
  <c r="R505" i="2"/>
  <c r="Q505" i="2"/>
  <c r="P505" i="2"/>
  <c r="O505" i="2"/>
  <c r="N505" i="2"/>
  <c r="M505" i="2"/>
  <c r="L505" i="2"/>
  <c r="K505" i="2"/>
  <c r="J505" i="2"/>
  <c r="I505" i="2"/>
  <c r="H505" i="2"/>
  <c r="G505" i="2"/>
  <c r="F505" i="2"/>
  <c r="E505" i="2"/>
  <c r="D505" i="2"/>
  <c r="C505" i="2"/>
  <c r="B505" i="2"/>
  <c r="A505" i="2"/>
  <c r="U504" i="2"/>
  <c r="T504" i="2"/>
  <c r="S504" i="2"/>
  <c r="R504" i="2"/>
  <c r="Q504" i="2"/>
  <c r="P504" i="2"/>
  <c r="O504" i="2"/>
  <c r="N504" i="2"/>
  <c r="M504" i="2"/>
  <c r="L504" i="2"/>
  <c r="K504" i="2"/>
  <c r="J504" i="2"/>
  <c r="I504" i="2"/>
  <c r="H504" i="2"/>
  <c r="G504" i="2"/>
  <c r="F504" i="2"/>
  <c r="E504" i="2"/>
  <c r="D504" i="2"/>
  <c r="C504" i="2"/>
  <c r="B504" i="2"/>
  <c r="A504" i="2"/>
  <c r="U503" i="2"/>
  <c r="T503" i="2"/>
  <c r="S503" i="2"/>
  <c r="R503" i="2"/>
  <c r="Q503" i="2"/>
  <c r="P503" i="2"/>
  <c r="O503" i="2"/>
  <c r="N503" i="2"/>
  <c r="M503" i="2"/>
  <c r="L503" i="2"/>
  <c r="K503" i="2"/>
  <c r="J503" i="2"/>
  <c r="I503" i="2"/>
  <c r="H503" i="2"/>
  <c r="G503" i="2"/>
  <c r="F503" i="2"/>
  <c r="E503" i="2"/>
  <c r="D503" i="2"/>
  <c r="C503" i="2"/>
  <c r="B503" i="2"/>
  <c r="A503" i="2"/>
  <c r="U502" i="2"/>
  <c r="T502" i="2"/>
  <c r="S502" i="2"/>
  <c r="R502" i="2"/>
  <c r="Q502" i="2"/>
  <c r="P502" i="2"/>
  <c r="O502" i="2"/>
  <c r="N502" i="2"/>
  <c r="M502" i="2"/>
  <c r="L502" i="2"/>
  <c r="K502" i="2"/>
  <c r="J502" i="2"/>
  <c r="I502" i="2"/>
  <c r="H502" i="2"/>
  <c r="G502" i="2"/>
  <c r="F502" i="2"/>
  <c r="E502" i="2"/>
  <c r="D502" i="2"/>
  <c r="C502" i="2"/>
  <c r="B502" i="2"/>
  <c r="A502" i="2"/>
  <c r="U501" i="2"/>
  <c r="T501" i="2"/>
  <c r="S501" i="2"/>
  <c r="R501" i="2"/>
  <c r="Q501" i="2"/>
  <c r="P501" i="2"/>
  <c r="O501" i="2"/>
  <c r="N501" i="2"/>
  <c r="M501" i="2"/>
  <c r="L501" i="2"/>
  <c r="K501" i="2"/>
  <c r="J501" i="2"/>
  <c r="I501" i="2"/>
  <c r="H501" i="2"/>
  <c r="G501" i="2"/>
  <c r="F501" i="2"/>
  <c r="E501" i="2"/>
  <c r="D501" i="2"/>
  <c r="C501" i="2"/>
  <c r="B501" i="2"/>
  <c r="A501" i="2"/>
  <c r="U500" i="2"/>
  <c r="T500" i="2"/>
  <c r="S500" i="2"/>
  <c r="R500" i="2"/>
  <c r="Q500" i="2"/>
  <c r="P500" i="2"/>
  <c r="O500" i="2"/>
  <c r="N500" i="2"/>
  <c r="M500" i="2"/>
  <c r="L500" i="2"/>
  <c r="K500" i="2"/>
  <c r="J500" i="2"/>
  <c r="I500" i="2"/>
  <c r="H500" i="2"/>
  <c r="G500" i="2"/>
  <c r="F500" i="2"/>
  <c r="E500" i="2"/>
  <c r="D500" i="2"/>
  <c r="C500" i="2"/>
  <c r="B500" i="2"/>
  <c r="A500" i="2"/>
  <c r="U499" i="2"/>
  <c r="T499" i="2"/>
  <c r="S499" i="2"/>
  <c r="R499" i="2"/>
  <c r="Q499" i="2"/>
  <c r="P499" i="2"/>
  <c r="O499" i="2"/>
  <c r="N499" i="2"/>
  <c r="M499" i="2"/>
  <c r="L499" i="2"/>
  <c r="K499" i="2"/>
  <c r="J499" i="2"/>
  <c r="I499" i="2"/>
  <c r="H499" i="2"/>
  <c r="G499" i="2"/>
  <c r="F499" i="2"/>
  <c r="E499" i="2"/>
  <c r="D499" i="2"/>
  <c r="C499" i="2"/>
  <c r="B499" i="2"/>
  <c r="A499" i="2"/>
  <c r="U498" i="2"/>
  <c r="T498" i="2"/>
  <c r="S498" i="2"/>
  <c r="R498" i="2"/>
  <c r="Q498" i="2"/>
  <c r="P498" i="2"/>
  <c r="O498" i="2"/>
  <c r="N498" i="2"/>
  <c r="M498" i="2"/>
  <c r="L498" i="2"/>
  <c r="K498" i="2"/>
  <c r="J498" i="2"/>
  <c r="I498" i="2"/>
  <c r="H498" i="2"/>
  <c r="G498" i="2"/>
  <c r="F498" i="2"/>
  <c r="E498" i="2"/>
  <c r="D498" i="2"/>
  <c r="C498" i="2"/>
  <c r="B498" i="2"/>
  <c r="A498" i="2"/>
  <c r="U497" i="2"/>
  <c r="T497" i="2"/>
  <c r="S497" i="2"/>
  <c r="R497" i="2"/>
  <c r="Q497" i="2"/>
  <c r="P497" i="2"/>
  <c r="O497" i="2"/>
  <c r="N497" i="2"/>
  <c r="M497" i="2"/>
  <c r="L497" i="2"/>
  <c r="K497" i="2"/>
  <c r="J497" i="2"/>
  <c r="I497" i="2"/>
  <c r="H497" i="2"/>
  <c r="G497" i="2"/>
  <c r="F497" i="2"/>
  <c r="E497" i="2"/>
  <c r="D497" i="2"/>
  <c r="C497" i="2"/>
  <c r="B497" i="2"/>
  <c r="A497" i="2"/>
  <c r="U496" i="2"/>
  <c r="T496" i="2"/>
  <c r="S496" i="2"/>
  <c r="R496" i="2"/>
  <c r="Q496" i="2"/>
  <c r="P496" i="2"/>
  <c r="O496" i="2"/>
  <c r="N496" i="2"/>
  <c r="M496" i="2"/>
  <c r="L496" i="2"/>
  <c r="K496" i="2"/>
  <c r="J496" i="2"/>
  <c r="I496" i="2"/>
  <c r="H496" i="2"/>
  <c r="G496" i="2"/>
  <c r="F496" i="2"/>
  <c r="E496" i="2"/>
  <c r="D496" i="2"/>
  <c r="C496" i="2"/>
  <c r="B496" i="2"/>
  <c r="A496" i="2"/>
  <c r="U495" i="2"/>
  <c r="T495" i="2"/>
  <c r="S495" i="2"/>
  <c r="R495" i="2"/>
  <c r="Q495" i="2"/>
  <c r="P495" i="2"/>
  <c r="O495" i="2"/>
  <c r="N495" i="2"/>
  <c r="M495" i="2"/>
  <c r="L495" i="2"/>
  <c r="K495" i="2"/>
  <c r="J495" i="2"/>
  <c r="I495" i="2"/>
  <c r="H495" i="2"/>
  <c r="G495" i="2"/>
  <c r="F495" i="2"/>
  <c r="E495" i="2"/>
  <c r="D495" i="2"/>
  <c r="C495" i="2"/>
  <c r="B495" i="2"/>
  <c r="A495" i="2"/>
  <c r="U494" i="2"/>
  <c r="T494" i="2"/>
  <c r="S494" i="2"/>
  <c r="R494" i="2"/>
  <c r="Q494" i="2"/>
  <c r="P494" i="2"/>
  <c r="O494" i="2"/>
  <c r="N494" i="2"/>
  <c r="M494" i="2"/>
  <c r="L494" i="2"/>
  <c r="K494" i="2"/>
  <c r="J494" i="2"/>
  <c r="I494" i="2"/>
  <c r="H494" i="2"/>
  <c r="G494" i="2"/>
  <c r="F494" i="2"/>
  <c r="E494" i="2"/>
  <c r="D494" i="2"/>
  <c r="C494" i="2"/>
  <c r="B494" i="2"/>
  <c r="A494" i="2"/>
  <c r="U493" i="2"/>
  <c r="T493" i="2"/>
  <c r="S493" i="2"/>
  <c r="R493" i="2"/>
  <c r="Q493" i="2"/>
  <c r="P493" i="2"/>
  <c r="O493" i="2"/>
  <c r="N493" i="2"/>
  <c r="M493" i="2"/>
  <c r="L493" i="2"/>
  <c r="K493" i="2"/>
  <c r="J493" i="2"/>
  <c r="I493" i="2"/>
  <c r="H493" i="2"/>
  <c r="G493" i="2"/>
  <c r="F493" i="2"/>
  <c r="E493" i="2"/>
  <c r="D493" i="2"/>
  <c r="C493" i="2"/>
  <c r="B493" i="2"/>
  <c r="A493" i="2"/>
  <c r="U492" i="2"/>
  <c r="T492" i="2"/>
  <c r="S492" i="2"/>
  <c r="R492" i="2"/>
  <c r="Q492" i="2"/>
  <c r="P492" i="2"/>
  <c r="O492" i="2"/>
  <c r="N492" i="2"/>
  <c r="M492" i="2"/>
  <c r="L492" i="2"/>
  <c r="K492" i="2"/>
  <c r="J492" i="2"/>
  <c r="I492" i="2"/>
  <c r="H492" i="2"/>
  <c r="G492" i="2"/>
  <c r="F492" i="2"/>
  <c r="E492" i="2"/>
  <c r="D492" i="2"/>
  <c r="C492" i="2"/>
  <c r="B492" i="2"/>
  <c r="A492" i="2"/>
  <c r="U491" i="2"/>
  <c r="T491" i="2"/>
  <c r="S491" i="2"/>
  <c r="R491" i="2"/>
  <c r="Q491" i="2"/>
  <c r="P491" i="2"/>
  <c r="O491" i="2"/>
  <c r="N491" i="2"/>
  <c r="M491" i="2"/>
  <c r="L491" i="2"/>
  <c r="K491" i="2"/>
  <c r="J491" i="2"/>
  <c r="I491" i="2"/>
  <c r="H491" i="2"/>
  <c r="G491" i="2"/>
  <c r="F491" i="2"/>
  <c r="E491" i="2"/>
  <c r="D491" i="2"/>
  <c r="C491" i="2"/>
  <c r="B491" i="2"/>
  <c r="A491" i="2"/>
  <c r="U490" i="2"/>
  <c r="T490" i="2"/>
  <c r="S490" i="2"/>
  <c r="R490" i="2"/>
  <c r="Q490" i="2"/>
  <c r="P490" i="2"/>
  <c r="O490" i="2"/>
  <c r="N490" i="2"/>
  <c r="M490" i="2"/>
  <c r="L490" i="2"/>
  <c r="K490" i="2"/>
  <c r="J490" i="2"/>
  <c r="I490" i="2"/>
  <c r="H490" i="2"/>
  <c r="G490" i="2"/>
  <c r="F490" i="2"/>
  <c r="E490" i="2"/>
  <c r="D490" i="2"/>
  <c r="C490" i="2"/>
  <c r="B490" i="2"/>
  <c r="A490" i="2"/>
  <c r="U489" i="2"/>
  <c r="T489" i="2"/>
  <c r="S489" i="2"/>
  <c r="R489" i="2"/>
  <c r="Q489" i="2"/>
  <c r="P489" i="2"/>
  <c r="O489" i="2"/>
  <c r="N489" i="2"/>
  <c r="M489" i="2"/>
  <c r="L489" i="2"/>
  <c r="K489" i="2"/>
  <c r="J489" i="2"/>
  <c r="I489" i="2"/>
  <c r="H489" i="2"/>
  <c r="G489" i="2"/>
  <c r="F489" i="2"/>
  <c r="E489" i="2"/>
  <c r="D489" i="2"/>
  <c r="C489" i="2"/>
  <c r="B489" i="2"/>
  <c r="A489" i="2"/>
  <c r="U488" i="2"/>
  <c r="T488" i="2"/>
  <c r="S488" i="2"/>
  <c r="R488" i="2"/>
  <c r="Q488" i="2"/>
  <c r="P488" i="2"/>
  <c r="O488" i="2"/>
  <c r="N488" i="2"/>
  <c r="M488" i="2"/>
  <c r="L488" i="2"/>
  <c r="K488" i="2"/>
  <c r="J488" i="2"/>
  <c r="I488" i="2"/>
  <c r="H488" i="2"/>
  <c r="G488" i="2"/>
  <c r="F488" i="2"/>
  <c r="E488" i="2"/>
  <c r="D488" i="2"/>
  <c r="C488" i="2"/>
  <c r="B488" i="2"/>
  <c r="A488" i="2"/>
  <c r="U487" i="2"/>
  <c r="T487" i="2"/>
  <c r="S487" i="2"/>
  <c r="R487" i="2"/>
  <c r="Q487" i="2"/>
  <c r="P487" i="2"/>
  <c r="O487" i="2"/>
  <c r="N487" i="2"/>
  <c r="M487" i="2"/>
  <c r="L487" i="2"/>
  <c r="K487" i="2"/>
  <c r="J487" i="2"/>
  <c r="I487" i="2"/>
  <c r="H487" i="2"/>
  <c r="G487" i="2"/>
  <c r="F487" i="2"/>
  <c r="E487" i="2"/>
  <c r="D487" i="2"/>
  <c r="C487" i="2"/>
  <c r="B487" i="2"/>
  <c r="A487" i="2"/>
  <c r="U486" i="2"/>
  <c r="T486" i="2"/>
  <c r="S486" i="2"/>
  <c r="R486" i="2"/>
  <c r="Q486" i="2"/>
  <c r="P486" i="2"/>
  <c r="O486" i="2"/>
  <c r="N486" i="2"/>
  <c r="M486" i="2"/>
  <c r="L486" i="2"/>
  <c r="K486" i="2"/>
  <c r="J486" i="2"/>
  <c r="I486" i="2"/>
  <c r="H486" i="2"/>
  <c r="G486" i="2"/>
  <c r="F486" i="2"/>
  <c r="E486" i="2"/>
  <c r="D486" i="2"/>
  <c r="C486" i="2"/>
  <c r="B486" i="2"/>
  <c r="A486" i="2"/>
  <c r="U485" i="2"/>
  <c r="T485" i="2"/>
  <c r="S485" i="2"/>
  <c r="R485" i="2"/>
  <c r="Q485" i="2"/>
  <c r="P485" i="2"/>
  <c r="O485" i="2"/>
  <c r="N485" i="2"/>
  <c r="M485" i="2"/>
  <c r="L485" i="2"/>
  <c r="K485" i="2"/>
  <c r="J485" i="2"/>
  <c r="I485" i="2"/>
  <c r="H485" i="2"/>
  <c r="G485" i="2"/>
  <c r="F485" i="2"/>
  <c r="E485" i="2"/>
  <c r="D485" i="2"/>
  <c r="C485" i="2"/>
  <c r="B485" i="2"/>
  <c r="A485" i="2"/>
  <c r="U484" i="2"/>
  <c r="T484" i="2"/>
  <c r="S484" i="2"/>
  <c r="R484" i="2"/>
  <c r="Q484" i="2"/>
  <c r="P484" i="2"/>
  <c r="O484" i="2"/>
  <c r="N484" i="2"/>
  <c r="M484" i="2"/>
  <c r="L484" i="2"/>
  <c r="K484" i="2"/>
  <c r="J484" i="2"/>
  <c r="I484" i="2"/>
  <c r="H484" i="2"/>
  <c r="G484" i="2"/>
  <c r="F484" i="2"/>
  <c r="E484" i="2"/>
  <c r="D484" i="2"/>
  <c r="C484" i="2"/>
  <c r="B484" i="2"/>
  <c r="A484" i="2"/>
  <c r="U483" i="2"/>
  <c r="T483" i="2"/>
  <c r="S483" i="2"/>
  <c r="R483" i="2"/>
  <c r="Q483" i="2"/>
  <c r="P483" i="2"/>
  <c r="O483" i="2"/>
  <c r="N483" i="2"/>
  <c r="M483" i="2"/>
  <c r="L483" i="2"/>
  <c r="K483" i="2"/>
  <c r="J483" i="2"/>
  <c r="I483" i="2"/>
  <c r="H483" i="2"/>
  <c r="G483" i="2"/>
  <c r="F483" i="2"/>
  <c r="E483" i="2"/>
  <c r="D483" i="2"/>
  <c r="C483" i="2"/>
  <c r="B483" i="2"/>
  <c r="A483" i="2"/>
  <c r="U482" i="2"/>
  <c r="T482" i="2"/>
  <c r="S482" i="2"/>
  <c r="R482" i="2"/>
  <c r="Q482" i="2"/>
  <c r="P482" i="2"/>
  <c r="O482" i="2"/>
  <c r="N482" i="2"/>
  <c r="M482" i="2"/>
  <c r="L482" i="2"/>
  <c r="K482" i="2"/>
  <c r="J482" i="2"/>
  <c r="I482" i="2"/>
  <c r="H482" i="2"/>
  <c r="G482" i="2"/>
  <c r="F482" i="2"/>
  <c r="E482" i="2"/>
  <c r="D482" i="2"/>
  <c r="C482" i="2"/>
  <c r="B482" i="2"/>
  <c r="A482" i="2"/>
  <c r="U481" i="2"/>
  <c r="T481" i="2"/>
  <c r="S481" i="2"/>
  <c r="R481" i="2"/>
  <c r="Q481" i="2"/>
  <c r="P481" i="2"/>
  <c r="O481" i="2"/>
  <c r="N481" i="2"/>
  <c r="M481" i="2"/>
  <c r="L481" i="2"/>
  <c r="K481" i="2"/>
  <c r="J481" i="2"/>
  <c r="I481" i="2"/>
  <c r="H481" i="2"/>
  <c r="G481" i="2"/>
  <c r="F481" i="2"/>
  <c r="E481" i="2"/>
  <c r="D481" i="2"/>
  <c r="C481" i="2"/>
  <c r="B481" i="2"/>
  <c r="A481" i="2"/>
  <c r="U480" i="2"/>
  <c r="T480" i="2"/>
  <c r="S480" i="2"/>
  <c r="R480" i="2"/>
  <c r="Q480" i="2"/>
  <c r="P480" i="2"/>
  <c r="O480" i="2"/>
  <c r="N480" i="2"/>
  <c r="M480" i="2"/>
  <c r="L480" i="2"/>
  <c r="K480" i="2"/>
  <c r="J480" i="2"/>
  <c r="I480" i="2"/>
  <c r="H480" i="2"/>
  <c r="G480" i="2"/>
  <c r="F480" i="2"/>
  <c r="E480" i="2"/>
  <c r="D480" i="2"/>
  <c r="C480" i="2"/>
  <c r="B480" i="2"/>
  <c r="A480" i="2"/>
  <c r="U479" i="2"/>
  <c r="T479" i="2"/>
  <c r="S479" i="2"/>
  <c r="R479" i="2"/>
  <c r="Q479" i="2"/>
  <c r="P479" i="2"/>
  <c r="O479" i="2"/>
  <c r="N479" i="2"/>
  <c r="M479" i="2"/>
  <c r="L479" i="2"/>
  <c r="K479" i="2"/>
  <c r="J479" i="2"/>
  <c r="I479" i="2"/>
  <c r="H479" i="2"/>
  <c r="G479" i="2"/>
  <c r="F479" i="2"/>
  <c r="E479" i="2"/>
  <c r="D479" i="2"/>
  <c r="C479" i="2"/>
  <c r="B479" i="2"/>
  <c r="A479" i="2"/>
  <c r="U478" i="2"/>
  <c r="T478" i="2"/>
  <c r="S478" i="2"/>
  <c r="R478" i="2"/>
  <c r="Q478" i="2"/>
  <c r="P478" i="2"/>
  <c r="O478" i="2"/>
  <c r="N478" i="2"/>
  <c r="M478" i="2"/>
  <c r="L478" i="2"/>
  <c r="K478" i="2"/>
  <c r="J478" i="2"/>
  <c r="I478" i="2"/>
  <c r="H478" i="2"/>
  <c r="G478" i="2"/>
  <c r="F478" i="2"/>
  <c r="E478" i="2"/>
  <c r="D478" i="2"/>
  <c r="C478" i="2"/>
  <c r="B478" i="2"/>
  <c r="A478" i="2"/>
  <c r="U477" i="2"/>
  <c r="T477" i="2"/>
  <c r="S477" i="2"/>
  <c r="R477" i="2"/>
  <c r="Q477" i="2"/>
  <c r="P477" i="2"/>
  <c r="O477" i="2"/>
  <c r="N477" i="2"/>
  <c r="M477" i="2"/>
  <c r="L477" i="2"/>
  <c r="K477" i="2"/>
  <c r="J477" i="2"/>
  <c r="I477" i="2"/>
  <c r="H477" i="2"/>
  <c r="G477" i="2"/>
  <c r="F477" i="2"/>
  <c r="E477" i="2"/>
  <c r="D477" i="2"/>
  <c r="C477" i="2"/>
  <c r="B477" i="2"/>
  <c r="A477" i="2"/>
  <c r="U476" i="2"/>
  <c r="T476" i="2"/>
  <c r="S476" i="2"/>
  <c r="R476" i="2"/>
  <c r="Q476" i="2"/>
  <c r="P476" i="2"/>
  <c r="O476" i="2"/>
  <c r="N476" i="2"/>
  <c r="M476" i="2"/>
  <c r="L476" i="2"/>
  <c r="K476" i="2"/>
  <c r="J476" i="2"/>
  <c r="I476" i="2"/>
  <c r="H476" i="2"/>
  <c r="G476" i="2"/>
  <c r="F476" i="2"/>
  <c r="E476" i="2"/>
  <c r="D476" i="2"/>
  <c r="C476" i="2"/>
  <c r="B476" i="2"/>
  <c r="A476" i="2"/>
  <c r="U475" i="2"/>
  <c r="T475" i="2"/>
  <c r="S475" i="2"/>
  <c r="R475" i="2"/>
  <c r="Q475" i="2"/>
  <c r="P475" i="2"/>
  <c r="O475" i="2"/>
  <c r="N475" i="2"/>
  <c r="M475" i="2"/>
  <c r="L475" i="2"/>
  <c r="K475" i="2"/>
  <c r="J475" i="2"/>
  <c r="I475" i="2"/>
  <c r="H475" i="2"/>
  <c r="G475" i="2"/>
  <c r="F475" i="2"/>
  <c r="E475" i="2"/>
  <c r="D475" i="2"/>
  <c r="C475" i="2"/>
  <c r="B475" i="2"/>
  <c r="A475" i="2"/>
  <c r="U474" i="2"/>
  <c r="T474" i="2"/>
  <c r="S474" i="2"/>
  <c r="R474" i="2"/>
  <c r="Q474" i="2"/>
  <c r="P474" i="2"/>
  <c r="O474" i="2"/>
  <c r="N474" i="2"/>
  <c r="M474" i="2"/>
  <c r="L474" i="2"/>
  <c r="K474" i="2"/>
  <c r="J474" i="2"/>
  <c r="I474" i="2"/>
  <c r="H474" i="2"/>
  <c r="G474" i="2"/>
  <c r="F474" i="2"/>
  <c r="E474" i="2"/>
  <c r="D474" i="2"/>
  <c r="C474" i="2"/>
  <c r="B474" i="2"/>
  <c r="A474" i="2"/>
  <c r="U473" i="2"/>
  <c r="T473" i="2"/>
  <c r="S473" i="2"/>
  <c r="R473" i="2"/>
  <c r="Q473" i="2"/>
  <c r="P473" i="2"/>
  <c r="O473" i="2"/>
  <c r="N473" i="2"/>
  <c r="M473" i="2"/>
  <c r="L473" i="2"/>
  <c r="K473" i="2"/>
  <c r="J473" i="2"/>
  <c r="I473" i="2"/>
  <c r="H473" i="2"/>
  <c r="G473" i="2"/>
  <c r="F473" i="2"/>
  <c r="E473" i="2"/>
  <c r="D473" i="2"/>
  <c r="C473" i="2"/>
  <c r="B473" i="2"/>
  <c r="A473" i="2"/>
  <c r="U472" i="2"/>
  <c r="T472" i="2"/>
  <c r="S472" i="2"/>
  <c r="R472" i="2"/>
  <c r="Q472" i="2"/>
  <c r="P472" i="2"/>
  <c r="O472" i="2"/>
  <c r="N472" i="2"/>
  <c r="M472" i="2"/>
  <c r="L472" i="2"/>
  <c r="K472" i="2"/>
  <c r="J472" i="2"/>
  <c r="I472" i="2"/>
  <c r="H472" i="2"/>
  <c r="G472" i="2"/>
  <c r="F472" i="2"/>
  <c r="E472" i="2"/>
  <c r="D472" i="2"/>
  <c r="C472" i="2"/>
  <c r="B472" i="2"/>
  <c r="A472" i="2"/>
  <c r="U471" i="2"/>
  <c r="T471" i="2"/>
  <c r="S471" i="2"/>
  <c r="R471" i="2"/>
  <c r="Q471" i="2"/>
  <c r="P471" i="2"/>
  <c r="O471" i="2"/>
  <c r="N471" i="2"/>
  <c r="M471" i="2"/>
  <c r="L471" i="2"/>
  <c r="K471" i="2"/>
  <c r="J471" i="2"/>
  <c r="I471" i="2"/>
  <c r="H471" i="2"/>
  <c r="G471" i="2"/>
  <c r="F471" i="2"/>
  <c r="E471" i="2"/>
  <c r="D471" i="2"/>
  <c r="C471" i="2"/>
  <c r="B471" i="2"/>
  <c r="A471" i="2"/>
  <c r="U470" i="2"/>
  <c r="T470" i="2"/>
  <c r="S470" i="2"/>
  <c r="R470" i="2"/>
  <c r="Q470" i="2"/>
  <c r="P470" i="2"/>
  <c r="O470" i="2"/>
  <c r="N470" i="2"/>
  <c r="M470" i="2"/>
  <c r="L470" i="2"/>
  <c r="K470" i="2"/>
  <c r="J470" i="2"/>
  <c r="I470" i="2"/>
  <c r="H470" i="2"/>
  <c r="G470" i="2"/>
  <c r="F470" i="2"/>
  <c r="E470" i="2"/>
  <c r="D470" i="2"/>
  <c r="C470" i="2"/>
  <c r="B470" i="2"/>
  <c r="A470" i="2"/>
  <c r="U469" i="2"/>
  <c r="T469" i="2"/>
  <c r="S469" i="2"/>
  <c r="R469" i="2"/>
  <c r="Q469" i="2"/>
  <c r="P469" i="2"/>
  <c r="O469" i="2"/>
  <c r="N469" i="2"/>
  <c r="M469" i="2"/>
  <c r="L469" i="2"/>
  <c r="K469" i="2"/>
  <c r="J469" i="2"/>
  <c r="I469" i="2"/>
  <c r="H469" i="2"/>
  <c r="G469" i="2"/>
  <c r="F469" i="2"/>
  <c r="E469" i="2"/>
  <c r="D469" i="2"/>
  <c r="C469" i="2"/>
  <c r="B469" i="2"/>
  <c r="A469" i="2"/>
  <c r="U468" i="2"/>
  <c r="T468" i="2"/>
  <c r="S468" i="2"/>
  <c r="R468" i="2"/>
  <c r="Q468" i="2"/>
  <c r="P468" i="2"/>
  <c r="O468" i="2"/>
  <c r="N468" i="2"/>
  <c r="M468" i="2"/>
  <c r="L468" i="2"/>
  <c r="K468" i="2"/>
  <c r="J468" i="2"/>
  <c r="I468" i="2"/>
  <c r="H468" i="2"/>
  <c r="G468" i="2"/>
  <c r="F468" i="2"/>
  <c r="E468" i="2"/>
  <c r="D468" i="2"/>
  <c r="C468" i="2"/>
  <c r="B468" i="2"/>
  <c r="A468" i="2"/>
  <c r="U467" i="2"/>
  <c r="T467" i="2"/>
  <c r="S467" i="2"/>
  <c r="R467" i="2"/>
  <c r="Q467" i="2"/>
  <c r="P467" i="2"/>
  <c r="O467" i="2"/>
  <c r="N467" i="2"/>
  <c r="M467" i="2"/>
  <c r="L467" i="2"/>
  <c r="K467" i="2"/>
  <c r="J467" i="2"/>
  <c r="I467" i="2"/>
  <c r="H467" i="2"/>
  <c r="G467" i="2"/>
  <c r="F467" i="2"/>
  <c r="E467" i="2"/>
  <c r="D467" i="2"/>
  <c r="C467" i="2"/>
  <c r="B467" i="2"/>
  <c r="A467" i="2"/>
  <c r="U466" i="2"/>
  <c r="T466" i="2"/>
  <c r="S466" i="2"/>
  <c r="R466" i="2"/>
  <c r="Q466" i="2"/>
  <c r="P466" i="2"/>
  <c r="O466" i="2"/>
  <c r="N466" i="2"/>
  <c r="M466" i="2"/>
  <c r="L466" i="2"/>
  <c r="K466" i="2"/>
  <c r="J466" i="2"/>
  <c r="I466" i="2"/>
  <c r="H466" i="2"/>
  <c r="G466" i="2"/>
  <c r="F466" i="2"/>
  <c r="E466" i="2"/>
  <c r="D466" i="2"/>
  <c r="C466" i="2"/>
  <c r="B466" i="2"/>
  <c r="A466" i="2"/>
  <c r="U465" i="2"/>
  <c r="T465" i="2"/>
  <c r="S465" i="2"/>
  <c r="R465" i="2"/>
  <c r="Q465" i="2"/>
  <c r="P465" i="2"/>
  <c r="O465" i="2"/>
  <c r="N465" i="2"/>
  <c r="M465" i="2"/>
  <c r="L465" i="2"/>
  <c r="K465" i="2"/>
  <c r="J465" i="2"/>
  <c r="I465" i="2"/>
  <c r="H465" i="2"/>
  <c r="G465" i="2"/>
  <c r="F465" i="2"/>
  <c r="E465" i="2"/>
  <c r="D465" i="2"/>
  <c r="C465" i="2"/>
  <c r="B465" i="2"/>
  <c r="A465" i="2"/>
  <c r="U464" i="2"/>
  <c r="T464" i="2"/>
  <c r="S464" i="2"/>
  <c r="R464" i="2"/>
  <c r="Q464" i="2"/>
  <c r="P464" i="2"/>
  <c r="O464" i="2"/>
  <c r="N464" i="2"/>
  <c r="M464" i="2"/>
  <c r="L464" i="2"/>
  <c r="K464" i="2"/>
  <c r="J464" i="2"/>
  <c r="I464" i="2"/>
  <c r="H464" i="2"/>
  <c r="G464" i="2"/>
  <c r="F464" i="2"/>
  <c r="E464" i="2"/>
  <c r="D464" i="2"/>
  <c r="C464" i="2"/>
  <c r="B464" i="2"/>
  <c r="A464" i="2"/>
  <c r="U463" i="2"/>
  <c r="T463" i="2"/>
  <c r="S463" i="2"/>
  <c r="R463" i="2"/>
  <c r="Q463" i="2"/>
  <c r="P463" i="2"/>
  <c r="O463" i="2"/>
  <c r="N463" i="2"/>
  <c r="M463" i="2"/>
  <c r="L463" i="2"/>
  <c r="K463" i="2"/>
  <c r="J463" i="2"/>
  <c r="I463" i="2"/>
  <c r="H463" i="2"/>
  <c r="G463" i="2"/>
  <c r="F463" i="2"/>
  <c r="E463" i="2"/>
  <c r="D463" i="2"/>
  <c r="C463" i="2"/>
  <c r="B463" i="2"/>
  <c r="A463" i="2"/>
  <c r="U462" i="2"/>
  <c r="T462" i="2"/>
  <c r="S462" i="2"/>
  <c r="R462" i="2"/>
  <c r="Q462" i="2"/>
  <c r="P462" i="2"/>
  <c r="O462" i="2"/>
  <c r="N462" i="2"/>
  <c r="M462" i="2"/>
  <c r="L462" i="2"/>
  <c r="K462" i="2"/>
  <c r="J462" i="2"/>
  <c r="I462" i="2"/>
  <c r="H462" i="2"/>
  <c r="G462" i="2"/>
  <c r="F462" i="2"/>
  <c r="E462" i="2"/>
  <c r="D462" i="2"/>
  <c r="C462" i="2"/>
  <c r="B462" i="2"/>
  <c r="A462" i="2"/>
  <c r="U461" i="2"/>
  <c r="T461" i="2"/>
  <c r="S461" i="2"/>
  <c r="R461" i="2"/>
  <c r="Q461" i="2"/>
  <c r="P461" i="2"/>
  <c r="O461" i="2"/>
  <c r="N461" i="2"/>
  <c r="M461" i="2"/>
  <c r="L461" i="2"/>
  <c r="K461" i="2"/>
  <c r="J461" i="2"/>
  <c r="I461" i="2"/>
  <c r="H461" i="2"/>
  <c r="G461" i="2"/>
  <c r="F461" i="2"/>
  <c r="E461" i="2"/>
  <c r="D461" i="2"/>
  <c r="C461" i="2"/>
  <c r="B461" i="2"/>
  <c r="A461" i="2"/>
  <c r="U460" i="2"/>
  <c r="T460" i="2"/>
  <c r="S460" i="2"/>
  <c r="R460" i="2"/>
  <c r="Q460" i="2"/>
  <c r="P460" i="2"/>
  <c r="O460" i="2"/>
  <c r="N460" i="2"/>
  <c r="M460" i="2"/>
  <c r="L460" i="2"/>
  <c r="K460" i="2"/>
  <c r="J460" i="2"/>
  <c r="I460" i="2"/>
  <c r="H460" i="2"/>
  <c r="G460" i="2"/>
  <c r="F460" i="2"/>
  <c r="E460" i="2"/>
  <c r="D460" i="2"/>
  <c r="C460" i="2"/>
  <c r="B460" i="2"/>
  <c r="A460" i="2"/>
  <c r="U459" i="2"/>
  <c r="T459" i="2"/>
  <c r="S459" i="2"/>
  <c r="R459" i="2"/>
  <c r="Q459" i="2"/>
  <c r="P459" i="2"/>
  <c r="O459" i="2"/>
  <c r="N459" i="2"/>
  <c r="M459" i="2"/>
  <c r="L459" i="2"/>
  <c r="K459" i="2"/>
  <c r="J459" i="2"/>
  <c r="I459" i="2"/>
  <c r="H459" i="2"/>
  <c r="G459" i="2"/>
  <c r="F459" i="2"/>
  <c r="E459" i="2"/>
  <c r="D459" i="2"/>
  <c r="C459" i="2"/>
  <c r="B459" i="2"/>
  <c r="A459" i="2"/>
  <c r="U458" i="2"/>
  <c r="T458" i="2"/>
  <c r="S458" i="2"/>
  <c r="R458" i="2"/>
  <c r="Q458" i="2"/>
  <c r="P458" i="2"/>
  <c r="O458" i="2"/>
  <c r="N458" i="2"/>
  <c r="M458" i="2"/>
  <c r="L458" i="2"/>
  <c r="K458" i="2"/>
  <c r="J458" i="2"/>
  <c r="I458" i="2"/>
  <c r="H458" i="2"/>
  <c r="G458" i="2"/>
  <c r="F458" i="2"/>
  <c r="E458" i="2"/>
  <c r="D458" i="2"/>
  <c r="C458" i="2"/>
  <c r="B458" i="2"/>
  <c r="A458" i="2"/>
  <c r="U457" i="2"/>
  <c r="T457" i="2"/>
  <c r="S457" i="2"/>
  <c r="R457" i="2"/>
  <c r="Q457" i="2"/>
  <c r="P457" i="2"/>
  <c r="O457" i="2"/>
  <c r="N457" i="2"/>
  <c r="M457" i="2"/>
  <c r="L457" i="2"/>
  <c r="K457" i="2"/>
  <c r="J457" i="2"/>
  <c r="I457" i="2"/>
  <c r="H457" i="2"/>
  <c r="G457" i="2"/>
  <c r="F457" i="2"/>
  <c r="E457" i="2"/>
  <c r="D457" i="2"/>
  <c r="C457" i="2"/>
  <c r="B457" i="2"/>
  <c r="A457" i="2"/>
  <c r="U456" i="2"/>
  <c r="T456" i="2"/>
  <c r="S456" i="2"/>
  <c r="R456" i="2"/>
  <c r="Q456" i="2"/>
  <c r="P456" i="2"/>
  <c r="O456" i="2"/>
  <c r="N456" i="2"/>
  <c r="M456" i="2"/>
  <c r="L456" i="2"/>
  <c r="K456" i="2"/>
  <c r="J456" i="2"/>
  <c r="I456" i="2"/>
  <c r="H456" i="2"/>
  <c r="G456" i="2"/>
  <c r="F456" i="2"/>
  <c r="E456" i="2"/>
  <c r="D456" i="2"/>
  <c r="C456" i="2"/>
  <c r="B456" i="2"/>
  <c r="A456" i="2"/>
  <c r="U455" i="2"/>
  <c r="T455" i="2"/>
  <c r="S455" i="2"/>
  <c r="R455" i="2"/>
  <c r="Q455" i="2"/>
  <c r="P455" i="2"/>
  <c r="O455" i="2"/>
  <c r="N455" i="2"/>
  <c r="M455" i="2"/>
  <c r="L455" i="2"/>
  <c r="K455" i="2"/>
  <c r="J455" i="2"/>
  <c r="I455" i="2"/>
  <c r="H455" i="2"/>
  <c r="G455" i="2"/>
  <c r="F455" i="2"/>
  <c r="E455" i="2"/>
  <c r="D455" i="2"/>
  <c r="C455" i="2"/>
  <c r="B455" i="2"/>
  <c r="A455" i="2"/>
  <c r="U454" i="2"/>
  <c r="T454" i="2"/>
  <c r="S454" i="2"/>
  <c r="R454" i="2"/>
  <c r="Q454" i="2"/>
  <c r="P454" i="2"/>
  <c r="O454" i="2"/>
  <c r="N454" i="2"/>
  <c r="M454" i="2"/>
  <c r="L454" i="2"/>
  <c r="K454" i="2"/>
  <c r="J454" i="2"/>
  <c r="I454" i="2"/>
  <c r="H454" i="2"/>
  <c r="G454" i="2"/>
  <c r="F454" i="2"/>
  <c r="E454" i="2"/>
  <c r="D454" i="2"/>
  <c r="C454" i="2"/>
  <c r="B454" i="2"/>
  <c r="A454" i="2"/>
  <c r="U453" i="2"/>
  <c r="T453" i="2"/>
  <c r="S453" i="2"/>
  <c r="R453" i="2"/>
  <c r="Q453" i="2"/>
  <c r="P453" i="2"/>
  <c r="O453" i="2"/>
  <c r="N453" i="2"/>
  <c r="M453" i="2"/>
  <c r="L453" i="2"/>
  <c r="K453" i="2"/>
  <c r="J453" i="2"/>
  <c r="I453" i="2"/>
  <c r="H453" i="2"/>
  <c r="G453" i="2"/>
  <c r="F453" i="2"/>
  <c r="E453" i="2"/>
  <c r="D453" i="2"/>
  <c r="C453" i="2"/>
  <c r="B453" i="2"/>
  <c r="A453" i="2"/>
  <c r="U452" i="2"/>
  <c r="T452" i="2"/>
  <c r="S452" i="2"/>
  <c r="R452" i="2"/>
  <c r="Q452" i="2"/>
  <c r="P452" i="2"/>
  <c r="O452" i="2"/>
  <c r="N452" i="2"/>
  <c r="M452" i="2"/>
  <c r="L452" i="2"/>
  <c r="K452" i="2"/>
  <c r="J452" i="2"/>
  <c r="I452" i="2"/>
  <c r="H452" i="2"/>
  <c r="G452" i="2"/>
  <c r="F452" i="2"/>
  <c r="E452" i="2"/>
  <c r="D452" i="2"/>
  <c r="C452" i="2"/>
  <c r="B452" i="2"/>
  <c r="A452" i="2"/>
  <c r="U451" i="2"/>
  <c r="T451" i="2"/>
  <c r="S451" i="2"/>
  <c r="R451" i="2"/>
  <c r="Q451" i="2"/>
  <c r="P451" i="2"/>
  <c r="O451" i="2"/>
  <c r="N451" i="2"/>
  <c r="M451" i="2"/>
  <c r="L451" i="2"/>
  <c r="K451" i="2"/>
  <c r="J451" i="2"/>
  <c r="I451" i="2"/>
  <c r="H451" i="2"/>
  <c r="G451" i="2"/>
  <c r="F451" i="2"/>
  <c r="E451" i="2"/>
  <c r="D451" i="2"/>
  <c r="C451" i="2"/>
  <c r="B451" i="2"/>
  <c r="A451" i="2"/>
  <c r="U450" i="2"/>
  <c r="T450" i="2"/>
  <c r="S450" i="2"/>
  <c r="R450" i="2"/>
  <c r="Q450" i="2"/>
  <c r="P450" i="2"/>
  <c r="O450" i="2"/>
  <c r="N450" i="2"/>
  <c r="M450" i="2"/>
  <c r="L450" i="2"/>
  <c r="K450" i="2"/>
  <c r="J450" i="2"/>
  <c r="I450" i="2"/>
  <c r="H450" i="2"/>
  <c r="G450" i="2"/>
  <c r="F450" i="2"/>
  <c r="E450" i="2"/>
  <c r="D450" i="2"/>
  <c r="C450" i="2"/>
  <c r="B450" i="2"/>
  <c r="A450" i="2"/>
  <c r="U449" i="2"/>
  <c r="T449" i="2"/>
  <c r="S449" i="2"/>
  <c r="R449" i="2"/>
  <c r="Q449" i="2"/>
  <c r="P449" i="2"/>
  <c r="O449" i="2"/>
  <c r="N449" i="2"/>
  <c r="M449" i="2"/>
  <c r="L449" i="2"/>
  <c r="K449" i="2"/>
  <c r="J449" i="2"/>
  <c r="I449" i="2"/>
  <c r="H449" i="2"/>
  <c r="G449" i="2"/>
  <c r="F449" i="2"/>
  <c r="E449" i="2"/>
  <c r="D449" i="2"/>
  <c r="C449" i="2"/>
  <c r="B449" i="2"/>
  <c r="A449" i="2"/>
  <c r="U448" i="2"/>
  <c r="T448" i="2"/>
  <c r="S448" i="2"/>
  <c r="R448" i="2"/>
  <c r="Q448" i="2"/>
  <c r="P448" i="2"/>
  <c r="O448" i="2"/>
  <c r="N448" i="2"/>
  <c r="M448" i="2"/>
  <c r="L448" i="2"/>
  <c r="K448" i="2"/>
  <c r="J448" i="2"/>
  <c r="I448" i="2"/>
  <c r="H448" i="2"/>
  <c r="G448" i="2"/>
  <c r="F448" i="2"/>
  <c r="E448" i="2"/>
  <c r="D448" i="2"/>
  <c r="C448" i="2"/>
  <c r="B448" i="2"/>
  <c r="A448" i="2"/>
  <c r="U447" i="2"/>
  <c r="T447" i="2"/>
  <c r="S447" i="2"/>
  <c r="R447" i="2"/>
  <c r="Q447" i="2"/>
  <c r="P447" i="2"/>
  <c r="O447" i="2"/>
  <c r="N447" i="2"/>
  <c r="M447" i="2"/>
  <c r="L447" i="2"/>
  <c r="K447" i="2"/>
  <c r="J447" i="2"/>
  <c r="I447" i="2"/>
  <c r="H447" i="2"/>
  <c r="G447" i="2"/>
  <c r="F447" i="2"/>
  <c r="E447" i="2"/>
  <c r="D447" i="2"/>
  <c r="C447" i="2"/>
  <c r="B447" i="2"/>
  <c r="A447" i="2"/>
  <c r="U446" i="2"/>
  <c r="T446" i="2"/>
  <c r="S446" i="2"/>
  <c r="R446" i="2"/>
  <c r="Q446" i="2"/>
  <c r="P446" i="2"/>
  <c r="O446" i="2"/>
  <c r="N446" i="2"/>
  <c r="M446" i="2"/>
  <c r="L446" i="2"/>
  <c r="K446" i="2"/>
  <c r="J446" i="2"/>
  <c r="I446" i="2"/>
  <c r="H446" i="2"/>
  <c r="G446" i="2"/>
  <c r="F446" i="2"/>
  <c r="E446" i="2"/>
  <c r="D446" i="2"/>
  <c r="C446" i="2"/>
  <c r="B446" i="2"/>
  <c r="A446" i="2"/>
  <c r="U445" i="2"/>
  <c r="T445" i="2"/>
  <c r="S445" i="2"/>
  <c r="R445" i="2"/>
  <c r="Q445" i="2"/>
  <c r="P445" i="2"/>
  <c r="O445" i="2"/>
  <c r="N445" i="2"/>
  <c r="M445" i="2"/>
  <c r="L445" i="2"/>
  <c r="K445" i="2"/>
  <c r="J445" i="2"/>
  <c r="I445" i="2"/>
  <c r="H445" i="2"/>
  <c r="G445" i="2"/>
  <c r="F445" i="2"/>
  <c r="E445" i="2"/>
  <c r="D445" i="2"/>
  <c r="C445" i="2"/>
  <c r="B445" i="2"/>
  <c r="A445" i="2"/>
  <c r="U444" i="2"/>
  <c r="T444" i="2"/>
  <c r="S444" i="2"/>
  <c r="R444" i="2"/>
  <c r="Q444" i="2"/>
  <c r="P444" i="2"/>
  <c r="O444" i="2"/>
  <c r="N444" i="2"/>
  <c r="M444" i="2"/>
  <c r="L444" i="2"/>
  <c r="K444" i="2"/>
  <c r="J444" i="2"/>
  <c r="I444" i="2"/>
  <c r="H444" i="2"/>
  <c r="G444" i="2"/>
  <c r="F444" i="2"/>
  <c r="E444" i="2"/>
  <c r="D444" i="2"/>
  <c r="C444" i="2"/>
  <c r="B444" i="2"/>
  <c r="A444" i="2"/>
  <c r="U443" i="2"/>
  <c r="T443" i="2"/>
  <c r="S443" i="2"/>
  <c r="R443" i="2"/>
  <c r="Q443" i="2"/>
  <c r="P443" i="2"/>
  <c r="O443" i="2"/>
  <c r="N443" i="2"/>
  <c r="M443" i="2"/>
  <c r="L443" i="2"/>
  <c r="K443" i="2"/>
  <c r="J443" i="2"/>
  <c r="I443" i="2"/>
  <c r="H443" i="2"/>
  <c r="G443" i="2"/>
  <c r="F443" i="2"/>
  <c r="E443" i="2"/>
  <c r="D443" i="2"/>
  <c r="C443" i="2"/>
  <c r="B443" i="2"/>
  <c r="A443" i="2"/>
  <c r="U442" i="2"/>
  <c r="T442" i="2"/>
  <c r="S442" i="2"/>
  <c r="R442" i="2"/>
  <c r="Q442" i="2"/>
  <c r="P442" i="2"/>
  <c r="O442" i="2"/>
  <c r="N442" i="2"/>
  <c r="M442" i="2"/>
  <c r="L442" i="2"/>
  <c r="K442" i="2"/>
  <c r="J442" i="2"/>
  <c r="I442" i="2"/>
  <c r="H442" i="2"/>
  <c r="G442" i="2"/>
  <c r="F442" i="2"/>
  <c r="E442" i="2"/>
  <c r="D442" i="2"/>
  <c r="C442" i="2"/>
  <c r="B442" i="2"/>
  <c r="A442" i="2"/>
  <c r="U441" i="2"/>
  <c r="T441" i="2"/>
  <c r="S441" i="2"/>
  <c r="R441" i="2"/>
  <c r="Q441" i="2"/>
  <c r="P441" i="2"/>
  <c r="O441" i="2"/>
  <c r="N441" i="2"/>
  <c r="M441" i="2"/>
  <c r="L441" i="2"/>
  <c r="K441" i="2"/>
  <c r="J441" i="2"/>
  <c r="I441" i="2"/>
  <c r="H441" i="2"/>
  <c r="G441" i="2"/>
  <c r="F441" i="2"/>
  <c r="E441" i="2"/>
  <c r="D441" i="2"/>
  <c r="C441" i="2"/>
  <c r="B441" i="2"/>
  <c r="A441" i="2"/>
  <c r="U440" i="2"/>
  <c r="T440" i="2"/>
  <c r="S440" i="2"/>
  <c r="R440" i="2"/>
  <c r="Q440" i="2"/>
  <c r="P440" i="2"/>
  <c r="O440" i="2"/>
  <c r="N440" i="2"/>
  <c r="M440" i="2"/>
  <c r="L440" i="2"/>
  <c r="K440" i="2"/>
  <c r="J440" i="2"/>
  <c r="I440" i="2"/>
  <c r="H440" i="2"/>
  <c r="G440" i="2"/>
  <c r="F440" i="2"/>
  <c r="E440" i="2"/>
  <c r="D440" i="2"/>
  <c r="C440" i="2"/>
  <c r="B440" i="2"/>
  <c r="A440" i="2"/>
  <c r="U439" i="2"/>
  <c r="T439" i="2"/>
  <c r="S439" i="2"/>
  <c r="R439" i="2"/>
  <c r="Q439" i="2"/>
  <c r="P439" i="2"/>
  <c r="O439" i="2"/>
  <c r="N439" i="2"/>
  <c r="M439" i="2"/>
  <c r="L439" i="2"/>
  <c r="K439" i="2"/>
  <c r="J439" i="2"/>
  <c r="I439" i="2"/>
  <c r="H439" i="2"/>
  <c r="G439" i="2"/>
  <c r="F439" i="2"/>
  <c r="E439" i="2"/>
  <c r="D439" i="2"/>
  <c r="C439" i="2"/>
  <c r="B439" i="2"/>
  <c r="A439" i="2"/>
  <c r="U438" i="2"/>
  <c r="T438" i="2"/>
  <c r="S438" i="2"/>
  <c r="R438" i="2"/>
  <c r="Q438" i="2"/>
  <c r="P438" i="2"/>
  <c r="O438" i="2"/>
  <c r="N438" i="2"/>
  <c r="M438" i="2"/>
  <c r="L438" i="2"/>
  <c r="K438" i="2"/>
  <c r="J438" i="2"/>
  <c r="I438" i="2"/>
  <c r="H438" i="2"/>
  <c r="G438" i="2"/>
  <c r="F438" i="2"/>
  <c r="E438" i="2"/>
  <c r="D438" i="2"/>
  <c r="C438" i="2"/>
  <c r="B438" i="2"/>
  <c r="A438" i="2"/>
  <c r="U437" i="2"/>
  <c r="T437" i="2"/>
  <c r="S437" i="2"/>
  <c r="R437" i="2"/>
  <c r="Q437" i="2"/>
  <c r="P437" i="2"/>
  <c r="O437" i="2"/>
  <c r="N437" i="2"/>
  <c r="M437" i="2"/>
  <c r="L437" i="2"/>
  <c r="K437" i="2"/>
  <c r="J437" i="2"/>
  <c r="I437" i="2"/>
  <c r="H437" i="2"/>
  <c r="G437" i="2"/>
  <c r="F437" i="2"/>
  <c r="E437" i="2"/>
  <c r="D437" i="2"/>
  <c r="C437" i="2"/>
  <c r="B437" i="2"/>
  <c r="A437" i="2"/>
  <c r="U436" i="2"/>
  <c r="T436" i="2"/>
  <c r="S436" i="2"/>
  <c r="R436" i="2"/>
  <c r="Q436" i="2"/>
  <c r="P436" i="2"/>
  <c r="O436" i="2"/>
  <c r="N436" i="2"/>
  <c r="M436" i="2"/>
  <c r="L436" i="2"/>
  <c r="K436" i="2"/>
  <c r="J436" i="2"/>
  <c r="I436" i="2"/>
  <c r="H436" i="2"/>
  <c r="G436" i="2"/>
  <c r="F436" i="2"/>
  <c r="E436" i="2"/>
  <c r="D436" i="2"/>
  <c r="C436" i="2"/>
  <c r="B436" i="2"/>
  <c r="A436" i="2"/>
  <c r="U435" i="2"/>
  <c r="T435" i="2"/>
  <c r="S435" i="2"/>
  <c r="R435" i="2"/>
  <c r="Q435" i="2"/>
  <c r="P435" i="2"/>
  <c r="O435" i="2"/>
  <c r="N435" i="2"/>
  <c r="M435" i="2"/>
  <c r="L435" i="2"/>
  <c r="K435" i="2"/>
  <c r="J435" i="2"/>
  <c r="I435" i="2"/>
  <c r="H435" i="2"/>
  <c r="G435" i="2"/>
  <c r="F435" i="2"/>
  <c r="E435" i="2"/>
  <c r="D435" i="2"/>
  <c r="C435" i="2"/>
  <c r="B435" i="2"/>
  <c r="A435" i="2"/>
  <c r="U434" i="2"/>
  <c r="T434" i="2"/>
  <c r="S434" i="2"/>
  <c r="R434" i="2"/>
  <c r="Q434" i="2"/>
  <c r="P434" i="2"/>
  <c r="O434" i="2"/>
  <c r="N434" i="2"/>
  <c r="M434" i="2"/>
  <c r="L434" i="2"/>
  <c r="K434" i="2"/>
  <c r="J434" i="2"/>
  <c r="I434" i="2"/>
  <c r="H434" i="2"/>
  <c r="G434" i="2"/>
  <c r="F434" i="2"/>
  <c r="E434" i="2"/>
  <c r="D434" i="2"/>
  <c r="C434" i="2"/>
  <c r="B434" i="2"/>
  <c r="A434" i="2"/>
  <c r="U433" i="2"/>
  <c r="T433" i="2"/>
  <c r="S433" i="2"/>
  <c r="R433" i="2"/>
  <c r="Q433" i="2"/>
  <c r="P433" i="2"/>
  <c r="O433" i="2"/>
  <c r="N433" i="2"/>
  <c r="M433" i="2"/>
  <c r="L433" i="2"/>
  <c r="K433" i="2"/>
  <c r="J433" i="2"/>
  <c r="I433" i="2"/>
  <c r="H433" i="2"/>
  <c r="G433" i="2"/>
  <c r="F433" i="2"/>
  <c r="E433" i="2"/>
  <c r="D433" i="2"/>
  <c r="C433" i="2"/>
  <c r="B433" i="2"/>
  <c r="A433" i="2"/>
  <c r="U432" i="2"/>
  <c r="T432" i="2"/>
  <c r="S432" i="2"/>
  <c r="R432" i="2"/>
  <c r="Q432" i="2"/>
  <c r="P432" i="2"/>
  <c r="O432" i="2"/>
  <c r="N432" i="2"/>
  <c r="M432" i="2"/>
  <c r="L432" i="2"/>
  <c r="K432" i="2"/>
  <c r="J432" i="2"/>
  <c r="I432" i="2"/>
  <c r="H432" i="2"/>
  <c r="G432" i="2"/>
  <c r="F432" i="2"/>
  <c r="E432" i="2"/>
  <c r="D432" i="2"/>
  <c r="C432" i="2"/>
  <c r="B432" i="2"/>
  <c r="A432" i="2"/>
  <c r="U431" i="2"/>
  <c r="T431" i="2"/>
  <c r="S431" i="2"/>
  <c r="R431" i="2"/>
  <c r="Q431" i="2"/>
  <c r="P431" i="2"/>
  <c r="O431" i="2"/>
  <c r="N431" i="2"/>
  <c r="M431" i="2"/>
  <c r="L431" i="2"/>
  <c r="K431" i="2"/>
  <c r="J431" i="2"/>
  <c r="I431" i="2"/>
  <c r="H431" i="2"/>
  <c r="G431" i="2"/>
  <c r="F431" i="2"/>
  <c r="E431" i="2"/>
  <c r="D431" i="2"/>
  <c r="C431" i="2"/>
  <c r="B431" i="2"/>
  <c r="A431" i="2"/>
  <c r="U430" i="2"/>
  <c r="T430" i="2"/>
  <c r="S430" i="2"/>
  <c r="R430" i="2"/>
  <c r="Q430" i="2"/>
  <c r="P430" i="2"/>
  <c r="O430" i="2"/>
  <c r="N430" i="2"/>
  <c r="M430" i="2"/>
  <c r="L430" i="2"/>
  <c r="K430" i="2"/>
  <c r="J430" i="2"/>
  <c r="I430" i="2"/>
  <c r="H430" i="2"/>
  <c r="G430" i="2"/>
  <c r="F430" i="2"/>
  <c r="E430" i="2"/>
  <c r="D430" i="2"/>
  <c r="C430" i="2"/>
  <c r="B430" i="2"/>
  <c r="A430" i="2"/>
  <c r="U429" i="2"/>
  <c r="T429" i="2"/>
  <c r="S429" i="2"/>
  <c r="R429" i="2"/>
  <c r="Q429" i="2"/>
  <c r="P429" i="2"/>
  <c r="O429" i="2"/>
  <c r="N429" i="2"/>
  <c r="M429" i="2"/>
  <c r="L429" i="2"/>
  <c r="K429" i="2"/>
  <c r="J429" i="2"/>
  <c r="I429" i="2"/>
  <c r="H429" i="2"/>
  <c r="G429" i="2"/>
  <c r="F429" i="2"/>
  <c r="E429" i="2"/>
  <c r="D429" i="2"/>
  <c r="C429" i="2"/>
  <c r="B429" i="2"/>
  <c r="A429" i="2"/>
  <c r="U428" i="2"/>
  <c r="T428" i="2"/>
  <c r="S428" i="2"/>
  <c r="R428" i="2"/>
  <c r="Q428" i="2"/>
  <c r="P428" i="2"/>
  <c r="O428" i="2"/>
  <c r="N428" i="2"/>
  <c r="M428" i="2"/>
  <c r="L428" i="2"/>
  <c r="K428" i="2"/>
  <c r="J428" i="2"/>
  <c r="I428" i="2"/>
  <c r="H428" i="2"/>
  <c r="G428" i="2"/>
  <c r="F428" i="2"/>
  <c r="E428" i="2"/>
  <c r="D428" i="2"/>
  <c r="C428" i="2"/>
  <c r="B428" i="2"/>
  <c r="A428" i="2"/>
  <c r="U427" i="2"/>
  <c r="T427" i="2"/>
  <c r="S427" i="2"/>
  <c r="R427" i="2"/>
  <c r="Q427" i="2"/>
  <c r="P427" i="2"/>
  <c r="O427" i="2"/>
  <c r="N427" i="2"/>
  <c r="M427" i="2"/>
  <c r="L427" i="2"/>
  <c r="K427" i="2"/>
  <c r="J427" i="2"/>
  <c r="I427" i="2"/>
  <c r="H427" i="2"/>
  <c r="G427" i="2"/>
  <c r="F427" i="2"/>
  <c r="E427" i="2"/>
  <c r="D427" i="2"/>
  <c r="C427" i="2"/>
  <c r="B427" i="2"/>
  <c r="A427" i="2"/>
  <c r="U426" i="2"/>
  <c r="T426" i="2"/>
  <c r="S426" i="2"/>
  <c r="R426" i="2"/>
  <c r="Q426" i="2"/>
  <c r="P426" i="2"/>
  <c r="O426" i="2"/>
  <c r="N426" i="2"/>
  <c r="M426" i="2"/>
  <c r="L426" i="2"/>
  <c r="K426" i="2"/>
  <c r="J426" i="2"/>
  <c r="I426" i="2"/>
  <c r="H426" i="2"/>
  <c r="G426" i="2"/>
  <c r="F426" i="2"/>
  <c r="E426" i="2"/>
  <c r="D426" i="2"/>
  <c r="C426" i="2"/>
  <c r="B426" i="2"/>
  <c r="A426" i="2"/>
  <c r="U425" i="2"/>
  <c r="T425" i="2"/>
  <c r="S425" i="2"/>
  <c r="R425" i="2"/>
  <c r="Q425" i="2"/>
  <c r="P425" i="2"/>
  <c r="O425" i="2"/>
  <c r="N425" i="2"/>
  <c r="M425" i="2"/>
  <c r="L425" i="2"/>
  <c r="K425" i="2"/>
  <c r="J425" i="2"/>
  <c r="I425" i="2"/>
  <c r="H425" i="2"/>
  <c r="G425" i="2"/>
  <c r="F425" i="2"/>
  <c r="E425" i="2"/>
  <c r="D425" i="2"/>
  <c r="C425" i="2"/>
  <c r="B425" i="2"/>
  <c r="A425" i="2"/>
  <c r="U424" i="2"/>
  <c r="T424" i="2"/>
  <c r="S424" i="2"/>
  <c r="R424" i="2"/>
  <c r="Q424" i="2"/>
  <c r="P424" i="2"/>
  <c r="O424" i="2"/>
  <c r="N424" i="2"/>
  <c r="M424" i="2"/>
  <c r="L424" i="2"/>
  <c r="K424" i="2"/>
  <c r="J424" i="2"/>
  <c r="I424" i="2"/>
  <c r="H424" i="2"/>
  <c r="G424" i="2"/>
  <c r="F424" i="2"/>
  <c r="E424" i="2"/>
  <c r="D424" i="2"/>
  <c r="C424" i="2"/>
  <c r="B424" i="2"/>
  <c r="A424" i="2"/>
  <c r="U423" i="2"/>
  <c r="T423" i="2"/>
  <c r="S423" i="2"/>
  <c r="R423" i="2"/>
  <c r="Q423" i="2"/>
  <c r="P423" i="2"/>
  <c r="O423" i="2"/>
  <c r="N423" i="2"/>
  <c r="M423" i="2"/>
  <c r="L423" i="2"/>
  <c r="K423" i="2"/>
  <c r="J423" i="2"/>
  <c r="I423" i="2"/>
  <c r="H423" i="2"/>
  <c r="G423" i="2"/>
  <c r="F423" i="2"/>
  <c r="E423" i="2"/>
  <c r="D423" i="2"/>
  <c r="C423" i="2"/>
  <c r="B423" i="2"/>
  <c r="A423" i="2"/>
  <c r="U422" i="2"/>
  <c r="T422" i="2"/>
  <c r="S422" i="2"/>
  <c r="R422" i="2"/>
  <c r="Q422" i="2"/>
  <c r="P422" i="2"/>
  <c r="O422" i="2"/>
  <c r="N422" i="2"/>
  <c r="M422" i="2"/>
  <c r="L422" i="2"/>
  <c r="K422" i="2"/>
  <c r="J422" i="2"/>
  <c r="I422" i="2"/>
  <c r="H422" i="2"/>
  <c r="G422" i="2"/>
  <c r="F422" i="2"/>
  <c r="E422" i="2"/>
  <c r="D422" i="2"/>
  <c r="C422" i="2"/>
  <c r="B422" i="2"/>
  <c r="A422" i="2"/>
  <c r="U421" i="2"/>
  <c r="T421" i="2"/>
  <c r="S421" i="2"/>
  <c r="R421" i="2"/>
  <c r="Q421" i="2"/>
  <c r="P421" i="2"/>
  <c r="O421" i="2"/>
  <c r="N421" i="2"/>
  <c r="M421" i="2"/>
  <c r="L421" i="2"/>
  <c r="K421" i="2"/>
  <c r="J421" i="2"/>
  <c r="I421" i="2"/>
  <c r="H421" i="2"/>
  <c r="G421" i="2"/>
  <c r="F421" i="2"/>
  <c r="E421" i="2"/>
  <c r="D421" i="2"/>
  <c r="C421" i="2"/>
  <c r="B421" i="2"/>
  <c r="A421" i="2"/>
  <c r="U420" i="2"/>
  <c r="T420" i="2"/>
  <c r="S420" i="2"/>
  <c r="R420" i="2"/>
  <c r="Q420" i="2"/>
  <c r="P420" i="2"/>
  <c r="O420" i="2"/>
  <c r="N420" i="2"/>
  <c r="M420" i="2"/>
  <c r="L420" i="2"/>
  <c r="K420" i="2"/>
  <c r="J420" i="2"/>
  <c r="I420" i="2"/>
  <c r="H420" i="2"/>
  <c r="G420" i="2"/>
  <c r="F420" i="2"/>
  <c r="E420" i="2"/>
  <c r="D420" i="2"/>
  <c r="C420" i="2"/>
  <c r="B420" i="2"/>
  <c r="A420" i="2"/>
  <c r="U419" i="2"/>
  <c r="T419" i="2"/>
  <c r="S419" i="2"/>
  <c r="R419" i="2"/>
  <c r="Q419" i="2"/>
  <c r="P419" i="2"/>
  <c r="O419" i="2"/>
  <c r="N419" i="2"/>
  <c r="M419" i="2"/>
  <c r="L419" i="2"/>
  <c r="K419" i="2"/>
  <c r="J419" i="2"/>
  <c r="I419" i="2"/>
  <c r="H419" i="2"/>
  <c r="G419" i="2"/>
  <c r="F419" i="2"/>
  <c r="E419" i="2"/>
  <c r="D419" i="2"/>
  <c r="C419" i="2"/>
  <c r="B419" i="2"/>
  <c r="A419" i="2"/>
  <c r="U418" i="2"/>
  <c r="T418" i="2"/>
  <c r="S418" i="2"/>
  <c r="R418" i="2"/>
  <c r="Q418" i="2"/>
  <c r="P418" i="2"/>
  <c r="O418" i="2"/>
  <c r="N418" i="2"/>
  <c r="M418" i="2"/>
  <c r="L418" i="2"/>
  <c r="K418" i="2"/>
  <c r="J418" i="2"/>
  <c r="I418" i="2"/>
  <c r="H418" i="2"/>
  <c r="G418" i="2"/>
  <c r="F418" i="2"/>
  <c r="E418" i="2"/>
  <c r="D418" i="2"/>
  <c r="C418" i="2"/>
  <c r="B418" i="2"/>
  <c r="A418" i="2"/>
  <c r="U417" i="2"/>
  <c r="T417" i="2"/>
  <c r="S417" i="2"/>
  <c r="R417" i="2"/>
  <c r="Q417" i="2"/>
  <c r="P417" i="2"/>
  <c r="O417" i="2"/>
  <c r="N417" i="2"/>
  <c r="M417" i="2"/>
  <c r="L417" i="2"/>
  <c r="K417" i="2"/>
  <c r="J417" i="2"/>
  <c r="I417" i="2"/>
  <c r="H417" i="2"/>
  <c r="G417" i="2"/>
  <c r="F417" i="2"/>
  <c r="E417" i="2"/>
  <c r="D417" i="2"/>
  <c r="C417" i="2"/>
  <c r="B417" i="2"/>
  <c r="A417" i="2"/>
  <c r="U416" i="2"/>
  <c r="T416" i="2"/>
  <c r="S416" i="2"/>
  <c r="R416" i="2"/>
  <c r="Q416" i="2"/>
  <c r="P416" i="2"/>
  <c r="O416" i="2"/>
  <c r="N416" i="2"/>
  <c r="M416" i="2"/>
  <c r="L416" i="2"/>
  <c r="K416" i="2"/>
  <c r="J416" i="2"/>
  <c r="I416" i="2"/>
  <c r="H416" i="2"/>
  <c r="G416" i="2"/>
  <c r="F416" i="2"/>
  <c r="E416" i="2"/>
  <c r="D416" i="2"/>
  <c r="C416" i="2"/>
  <c r="B416" i="2"/>
  <c r="A416" i="2"/>
  <c r="U415" i="2"/>
  <c r="T415" i="2"/>
  <c r="S415" i="2"/>
  <c r="R415" i="2"/>
  <c r="Q415" i="2"/>
  <c r="P415" i="2"/>
  <c r="O415" i="2"/>
  <c r="N415" i="2"/>
  <c r="M415" i="2"/>
  <c r="L415" i="2"/>
  <c r="K415" i="2"/>
  <c r="J415" i="2"/>
  <c r="I415" i="2"/>
  <c r="H415" i="2"/>
  <c r="G415" i="2"/>
  <c r="F415" i="2"/>
  <c r="E415" i="2"/>
  <c r="D415" i="2"/>
  <c r="C415" i="2"/>
  <c r="B415" i="2"/>
  <c r="A415" i="2"/>
  <c r="U414" i="2"/>
  <c r="T414" i="2"/>
  <c r="S414" i="2"/>
  <c r="R414" i="2"/>
  <c r="Q414" i="2"/>
  <c r="P414" i="2"/>
  <c r="O414" i="2"/>
  <c r="N414" i="2"/>
  <c r="M414" i="2"/>
  <c r="L414" i="2"/>
  <c r="K414" i="2"/>
  <c r="J414" i="2"/>
  <c r="I414" i="2"/>
  <c r="H414" i="2"/>
  <c r="G414" i="2"/>
  <c r="F414" i="2"/>
  <c r="E414" i="2"/>
  <c r="D414" i="2"/>
  <c r="C414" i="2"/>
  <c r="B414" i="2"/>
  <c r="A414" i="2"/>
  <c r="U413" i="2"/>
  <c r="T413" i="2"/>
  <c r="S413" i="2"/>
  <c r="R413" i="2"/>
  <c r="Q413" i="2"/>
  <c r="P413" i="2"/>
  <c r="O413" i="2"/>
  <c r="N413" i="2"/>
  <c r="M413" i="2"/>
  <c r="L413" i="2"/>
  <c r="K413" i="2"/>
  <c r="J413" i="2"/>
  <c r="I413" i="2"/>
  <c r="H413" i="2"/>
  <c r="G413" i="2"/>
  <c r="F413" i="2"/>
  <c r="E413" i="2"/>
  <c r="D413" i="2"/>
  <c r="C413" i="2"/>
  <c r="B413" i="2"/>
  <c r="A413" i="2"/>
  <c r="U412" i="2"/>
  <c r="T412" i="2"/>
  <c r="S412" i="2"/>
  <c r="R412" i="2"/>
  <c r="Q412" i="2"/>
  <c r="P412" i="2"/>
  <c r="O412" i="2"/>
  <c r="N412" i="2"/>
  <c r="M412" i="2"/>
  <c r="L412" i="2"/>
  <c r="K412" i="2"/>
  <c r="J412" i="2"/>
  <c r="I412" i="2"/>
  <c r="H412" i="2"/>
  <c r="G412" i="2"/>
  <c r="F412" i="2"/>
  <c r="E412" i="2"/>
  <c r="D412" i="2"/>
  <c r="C412" i="2"/>
  <c r="B412" i="2"/>
  <c r="A412" i="2"/>
  <c r="U411" i="2"/>
  <c r="T411" i="2"/>
  <c r="S411" i="2"/>
  <c r="R411" i="2"/>
  <c r="Q411" i="2"/>
  <c r="P411" i="2"/>
  <c r="O411" i="2"/>
  <c r="N411" i="2"/>
  <c r="M411" i="2"/>
  <c r="L411" i="2"/>
  <c r="K411" i="2"/>
  <c r="J411" i="2"/>
  <c r="I411" i="2"/>
  <c r="H411" i="2"/>
  <c r="G411" i="2"/>
  <c r="F411" i="2"/>
  <c r="E411" i="2"/>
  <c r="D411" i="2"/>
  <c r="C411" i="2"/>
  <c r="B411" i="2"/>
  <c r="A411" i="2"/>
  <c r="U410" i="2"/>
  <c r="T410" i="2"/>
  <c r="S410" i="2"/>
  <c r="R410" i="2"/>
  <c r="Q410" i="2"/>
  <c r="P410" i="2"/>
  <c r="O410" i="2"/>
  <c r="N410" i="2"/>
  <c r="M410" i="2"/>
  <c r="L410" i="2"/>
  <c r="K410" i="2"/>
  <c r="J410" i="2"/>
  <c r="I410" i="2"/>
  <c r="H410" i="2"/>
  <c r="G410" i="2"/>
  <c r="F410" i="2"/>
  <c r="E410" i="2"/>
  <c r="D410" i="2"/>
  <c r="C410" i="2"/>
  <c r="B410" i="2"/>
  <c r="A410" i="2"/>
  <c r="U409" i="2"/>
  <c r="T409" i="2"/>
  <c r="S409" i="2"/>
  <c r="R409" i="2"/>
  <c r="Q409" i="2"/>
  <c r="P409" i="2"/>
  <c r="O409" i="2"/>
  <c r="N409" i="2"/>
  <c r="M409" i="2"/>
  <c r="L409" i="2"/>
  <c r="K409" i="2"/>
  <c r="J409" i="2"/>
  <c r="I409" i="2"/>
  <c r="H409" i="2"/>
  <c r="G409" i="2"/>
  <c r="F409" i="2"/>
  <c r="E409" i="2"/>
  <c r="D409" i="2"/>
  <c r="C409" i="2"/>
  <c r="B409" i="2"/>
  <c r="A409" i="2"/>
  <c r="U408" i="2"/>
  <c r="T408" i="2"/>
  <c r="S408" i="2"/>
  <c r="R408" i="2"/>
  <c r="Q408" i="2"/>
  <c r="P408" i="2"/>
  <c r="O408" i="2"/>
  <c r="N408" i="2"/>
  <c r="M408" i="2"/>
  <c r="L408" i="2"/>
  <c r="K408" i="2"/>
  <c r="J408" i="2"/>
  <c r="I408" i="2"/>
  <c r="H408" i="2"/>
  <c r="G408" i="2"/>
  <c r="F408" i="2"/>
  <c r="E408" i="2"/>
  <c r="D408" i="2"/>
  <c r="C408" i="2"/>
  <c r="B408" i="2"/>
  <c r="A408" i="2"/>
  <c r="U407" i="2"/>
  <c r="T407" i="2"/>
  <c r="S407" i="2"/>
  <c r="R407" i="2"/>
  <c r="Q407" i="2"/>
  <c r="P407" i="2"/>
  <c r="O407" i="2"/>
  <c r="N407" i="2"/>
  <c r="M407" i="2"/>
  <c r="L407" i="2"/>
  <c r="K407" i="2"/>
  <c r="J407" i="2"/>
  <c r="I407" i="2"/>
  <c r="H407" i="2"/>
  <c r="G407" i="2"/>
  <c r="F407" i="2"/>
  <c r="E407" i="2"/>
  <c r="D407" i="2"/>
  <c r="C407" i="2"/>
  <c r="B407" i="2"/>
  <c r="A407" i="2"/>
  <c r="U406" i="2"/>
  <c r="T406" i="2"/>
  <c r="S406" i="2"/>
  <c r="R406" i="2"/>
  <c r="Q406" i="2"/>
  <c r="P406" i="2"/>
  <c r="O406" i="2"/>
  <c r="N406" i="2"/>
  <c r="M406" i="2"/>
  <c r="L406" i="2"/>
  <c r="K406" i="2"/>
  <c r="J406" i="2"/>
  <c r="I406" i="2"/>
  <c r="H406" i="2"/>
  <c r="G406" i="2"/>
  <c r="F406" i="2"/>
  <c r="E406" i="2"/>
  <c r="D406" i="2"/>
  <c r="C406" i="2"/>
  <c r="B406" i="2"/>
  <c r="A406" i="2"/>
  <c r="U405" i="2"/>
  <c r="T405" i="2"/>
  <c r="S405" i="2"/>
  <c r="R405" i="2"/>
  <c r="Q405" i="2"/>
  <c r="P405" i="2"/>
  <c r="O405" i="2"/>
  <c r="N405" i="2"/>
  <c r="M405" i="2"/>
  <c r="L405" i="2"/>
  <c r="K405" i="2"/>
  <c r="J405" i="2"/>
  <c r="I405" i="2"/>
  <c r="H405" i="2"/>
  <c r="G405" i="2"/>
  <c r="F405" i="2"/>
  <c r="E405" i="2"/>
  <c r="D405" i="2"/>
  <c r="C405" i="2"/>
  <c r="B405" i="2"/>
  <c r="A405" i="2"/>
  <c r="U404" i="2"/>
  <c r="T404" i="2"/>
  <c r="S404" i="2"/>
  <c r="R404" i="2"/>
  <c r="Q404" i="2"/>
  <c r="P404" i="2"/>
  <c r="O404" i="2"/>
  <c r="N404" i="2"/>
  <c r="M404" i="2"/>
  <c r="L404" i="2"/>
  <c r="K404" i="2"/>
  <c r="J404" i="2"/>
  <c r="I404" i="2"/>
  <c r="H404" i="2"/>
  <c r="G404" i="2"/>
  <c r="F404" i="2"/>
  <c r="E404" i="2"/>
  <c r="D404" i="2"/>
  <c r="C404" i="2"/>
  <c r="B404" i="2"/>
  <c r="A404" i="2"/>
  <c r="U403" i="2"/>
  <c r="T403" i="2"/>
  <c r="S403" i="2"/>
  <c r="R403" i="2"/>
  <c r="Q403" i="2"/>
  <c r="P403" i="2"/>
  <c r="O403" i="2"/>
  <c r="N403" i="2"/>
  <c r="M403" i="2"/>
  <c r="L403" i="2"/>
  <c r="K403" i="2"/>
  <c r="J403" i="2"/>
  <c r="I403" i="2"/>
  <c r="H403" i="2"/>
  <c r="G403" i="2"/>
  <c r="F403" i="2"/>
  <c r="E403" i="2"/>
  <c r="D403" i="2"/>
  <c r="C403" i="2"/>
  <c r="B403" i="2"/>
  <c r="A403" i="2"/>
  <c r="U402" i="2"/>
  <c r="T402" i="2"/>
  <c r="S402" i="2"/>
  <c r="R402" i="2"/>
  <c r="Q402" i="2"/>
  <c r="P402" i="2"/>
  <c r="O402" i="2"/>
  <c r="N402" i="2"/>
  <c r="M402" i="2"/>
  <c r="L402" i="2"/>
  <c r="K402" i="2"/>
  <c r="J402" i="2"/>
  <c r="I402" i="2"/>
  <c r="H402" i="2"/>
  <c r="G402" i="2"/>
  <c r="F402" i="2"/>
  <c r="E402" i="2"/>
  <c r="D402" i="2"/>
  <c r="C402" i="2"/>
  <c r="B402" i="2"/>
  <c r="A402" i="2"/>
  <c r="U401" i="2"/>
  <c r="T401" i="2"/>
  <c r="S401" i="2"/>
  <c r="R401" i="2"/>
  <c r="Q401" i="2"/>
  <c r="P401" i="2"/>
  <c r="O401" i="2"/>
  <c r="N401" i="2"/>
  <c r="M401" i="2"/>
  <c r="L401" i="2"/>
  <c r="K401" i="2"/>
  <c r="J401" i="2"/>
  <c r="I401" i="2"/>
  <c r="H401" i="2"/>
  <c r="G401" i="2"/>
  <c r="F401" i="2"/>
  <c r="E401" i="2"/>
  <c r="D401" i="2"/>
  <c r="C401" i="2"/>
  <c r="B401" i="2"/>
  <c r="A401" i="2"/>
  <c r="U400" i="2"/>
  <c r="T400" i="2"/>
  <c r="S400" i="2"/>
  <c r="R400" i="2"/>
  <c r="Q400" i="2"/>
  <c r="P400" i="2"/>
  <c r="O400" i="2"/>
  <c r="N400" i="2"/>
  <c r="M400" i="2"/>
  <c r="L400" i="2"/>
  <c r="K400" i="2"/>
  <c r="J400" i="2"/>
  <c r="I400" i="2"/>
  <c r="H400" i="2"/>
  <c r="G400" i="2"/>
  <c r="F400" i="2"/>
  <c r="E400" i="2"/>
  <c r="D400" i="2"/>
  <c r="C400" i="2"/>
  <c r="B400" i="2"/>
  <c r="A400" i="2"/>
  <c r="U399" i="2"/>
  <c r="T399" i="2"/>
  <c r="S399" i="2"/>
  <c r="R399" i="2"/>
  <c r="Q399" i="2"/>
  <c r="P399" i="2"/>
  <c r="O399" i="2"/>
  <c r="N399" i="2"/>
  <c r="M399" i="2"/>
  <c r="L399" i="2"/>
  <c r="K399" i="2"/>
  <c r="J399" i="2"/>
  <c r="I399" i="2"/>
  <c r="H399" i="2"/>
  <c r="G399" i="2"/>
  <c r="F399" i="2"/>
  <c r="E399" i="2"/>
  <c r="D399" i="2"/>
  <c r="C399" i="2"/>
  <c r="B399" i="2"/>
  <c r="A399" i="2"/>
  <c r="U398" i="2"/>
  <c r="T398" i="2"/>
  <c r="S398" i="2"/>
  <c r="R398" i="2"/>
  <c r="Q398" i="2"/>
  <c r="P398" i="2"/>
  <c r="O398" i="2"/>
  <c r="N398" i="2"/>
  <c r="M398" i="2"/>
  <c r="L398" i="2"/>
  <c r="K398" i="2"/>
  <c r="J398" i="2"/>
  <c r="I398" i="2"/>
  <c r="H398" i="2"/>
  <c r="G398" i="2"/>
  <c r="F398" i="2"/>
  <c r="E398" i="2"/>
  <c r="D398" i="2"/>
  <c r="C398" i="2"/>
  <c r="B398" i="2"/>
  <c r="A398" i="2"/>
  <c r="U397" i="2"/>
  <c r="T397" i="2"/>
  <c r="S397" i="2"/>
  <c r="R397" i="2"/>
  <c r="Q397" i="2"/>
  <c r="P397" i="2"/>
  <c r="O397" i="2"/>
  <c r="N397" i="2"/>
  <c r="M397" i="2"/>
  <c r="L397" i="2"/>
  <c r="K397" i="2"/>
  <c r="J397" i="2"/>
  <c r="I397" i="2"/>
  <c r="H397" i="2"/>
  <c r="G397" i="2"/>
  <c r="F397" i="2"/>
  <c r="E397" i="2"/>
  <c r="D397" i="2"/>
  <c r="C397" i="2"/>
  <c r="B397" i="2"/>
  <c r="A397" i="2"/>
  <c r="U396" i="2"/>
  <c r="T396" i="2"/>
  <c r="S396" i="2"/>
  <c r="R396" i="2"/>
  <c r="Q396" i="2"/>
  <c r="P396" i="2"/>
  <c r="O396" i="2"/>
  <c r="N396" i="2"/>
  <c r="M396" i="2"/>
  <c r="L396" i="2"/>
  <c r="K396" i="2"/>
  <c r="J396" i="2"/>
  <c r="I396" i="2"/>
  <c r="H396" i="2"/>
  <c r="G396" i="2"/>
  <c r="F396" i="2"/>
  <c r="E396" i="2"/>
  <c r="D396" i="2"/>
  <c r="C396" i="2"/>
  <c r="B396" i="2"/>
  <c r="A396" i="2"/>
  <c r="U395" i="2"/>
  <c r="T395" i="2"/>
  <c r="S395" i="2"/>
  <c r="R395" i="2"/>
  <c r="Q395" i="2"/>
  <c r="P395" i="2"/>
  <c r="O395" i="2"/>
  <c r="N395" i="2"/>
  <c r="M395" i="2"/>
  <c r="L395" i="2"/>
  <c r="K395" i="2"/>
  <c r="J395" i="2"/>
  <c r="I395" i="2"/>
  <c r="H395" i="2"/>
  <c r="G395" i="2"/>
  <c r="F395" i="2"/>
  <c r="E395" i="2"/>
  <c r="D395" i="2"/>
  <c r="C395" i="2"/>
  <c r="B395" i="2"/>
  <c r="A395" i="2"/>
  <c r="U394" i="2"/>
  <c r="T394" i="2"/>
  <c r="S394" i="2"/>
  <c r="R394" i="2"/>
  <c r="Q394" i="2"/>
  <c r="P394" i="2"/>
  <c r="O394" i="2"/>
  <c r="N394" i="2"/>
  <c r="M394" i="2"/>
  <c r="L394" i="2"/>
  <c r="K394" i="2"/>
  <c r="J394" i="2"/>
  <c r="I394" i="2"/>
  <c r="H394" i="2"/>
  <c r="G394" i="2"/>
  <c r="F394" i="2"/>
  <c r="E394" i="2"/>
  <c r="D394" i="2"/>
  <c r="C394" i="2"/>
  <c r="B394" i="2"/>
  <c r="A394" i="2"/>
  <c r="U393" i="2"/>
  <c r="T393" i="2"/>
  <c r="S393" i="2"/>
  <c r="R393" i="2"/>
  <c r="Q393" i="2"/>
  <c r="P393" i="2"/>
  <c r="O393" i="2"/>
  <c r="N393" i="2"/>
  <c r="M393" i="2"/>
  <c r="L393" i="2"/>
  <c r="K393" i="2"/>
  <c r="J393" i="2"/>
  <c r="I393" i="2"/>
  <c r="H393" i="2"/>
  <c r="G393" i="2"/>
  <c r="F393" i="2"/>
  <c r="E393" i="2"/>
  <c r="D393" i="2"/>
  <c r="C393" i="2"/>
  <c r="B393" i="2"/>
  <c r="A393" i="2"/>
  <c r="U392" i="2"/>
  <c r="T392" i="2"/>
  <c r="S392" i="2"/>
  <c r="R392" i="2"/>
  <c r="Q392" i="2"/>
  <c r="P392" i="2"/>
  <c r="O392" i="2"/>
  <c r="N392" i="2"/>
  <c r="M392" i="2"/>
  <c r="L392" i="2"/>
  <c r="K392" i="2"/>
  <c r="J392" i="2"/>
  <c r="I392" i="2"/>
  <c r="H392" i="2"/>
  <c r="G392" i="2"/>
  <c r="F392" i="2"/>
  <c r="E392" i="2"/>
  <c r="D392" i="2"/>
  <c r="C392" i="2"/>
  <c r="B392" i="2"/>
  <c r="A392" i="2"/>
  <c r="U391" i="2"/>
  <c r="T391" i="2"/>
  <c r="S391" i="2"/>
  <c r="R391" i="2"/>
  <c r="Q391" i="2"/>
  <c r="P391" i="2"/>
  <c r="O391" i="2"/>
  <c r="N391" i="2"/>
  <c r="M391" i="2"/>
  <c r="L391" i="2"/>
  <c r="K391" i="2"/>
  <c r="J391" i="2"/>
  <c r="I391" i="2"/>
  <c r="H391" i="2"/>
  <c r="G391" i="2"/>
  <c r="F391" i="2"/>
  <c r="E391" i="2"/>
  <c r="D391" i="2"/>
  <c r="C391" i="2"/>
  <c r="B391" i="2"/>
  <c r="A391" i="2"/>
  <c r="U390" i="2"/>
  <c r="T390" i="2"/>
  <c r="S390" i="2"/>
  <c r="R390" i="2"/>
  <c r="Q390" i="2"/>
  <c r="P390" i="2"/>
  <c r="O390" i="2"/>
  <c r="N390" i="2"/>
  <c r="M390" i="2"/>
  <c r="L390" i="2"/>
  <c r="K390" i="2"/>
  <c r="J390" i="2"/>
  <c r="I390" i="2"/>
  <c r="H390" i="2"/>
  <c r="G390" i="2"/>
  <c r="F390" i="2"/>
  <c r="E390" i="2"/>
  <c r="D390" i="2"/>
  <c r="C390" i="2"/>
  <c r="B390" i="2"/>
  <c r="A390" i="2"/>
  <c r="U389" i="2"/>
  <c r="T389" i="2"/>
  <c r="S389" i="2"/>
  <c r="R389" i="2"/>
  <c r="Q389" i="2"/>
  <c r="P389" i="2"/>
  <c r="O389" i="2"/>
  <c r="N389" i="2"/>
  <c r="M389" i="2"/>
  <c r="L389" i="2"/>
  <c r="K389" i="2"/>
  <c r="J389" i="2"/>
  <c r="I389" i="2"/>
  <c r="H389" i="2"/>
  <c r="G389" i="2"/>
  <c r="F389" i="2"/>
  <c r="E389" i="2"/>
  <c r="D389" i="2"/>
  <c r="C389" i="2"/>
  <c r="B389" i="2"/>
  <c r="A389" i="2"/>
  <c r="U388" i="2"/>
  <c r="T388" i="2"/>
  <c r="S388" i="2"/>
  <c r="R388" i="2"/>
  <c r="Q388" i="2"/>
  <c r="P388" i="2"/>
  <c r="O388" i="2"/>
  <c r="N388" i="2"/>
  <c r="M388" i="2"/>
  <c r="L388" i="2"/>
  <c r="K388" i="2"/>
  <c r="J388" i="2"/>
  <c r="I388" i="2"/>
  <c r="H388" i="2"/>
  <c r="G388" i="2"/>
  <c r="F388" i="2"/>
  <c r="E388" i="2"/>
  <c r="D388" i="2"/>
  <c r="C388" i="2"/>
  <c r="B388" i="2"/>
  <c r="A388" i="2"/>
  <c r="U387" i="2"/>
  <c r="T387" i="2"/>
  <c r="S387" i="2"/>
  <c r="R387" i="2"/>
  <c r="Q387" i="2"/>
  <c r="P387" i="2"/>
  <c r="O387" i="2"/>
  <c r="N387" i="2"/>
  <c r="M387" i="2"/>
  <c r="L387" i="2"/>
  <c r="K387" i="2"/>
  <c r="J387" i="2"/>
  <c r="I387" i="2"/>
  <c r="H387" i="2"/>
  <c r="G387" i="2"/>
  <c r="F387" i="2"/>
  <c r="E387" i="2"/>
  <c r="D387" i="2"/>
  <c r="C387" i="2"/>
  <c r="B387" i="2"/>
  <c r="A387" i="2"/>
  <c r="U386" i="2"/>
  <c r="T386" i="2"/>
  <c r="S386" i="2"/>
  <c r="R386" i="2"/>
  <c r="Q386" i="2"/>
  <c r="P386" i="2"/>
  <c r="O386" i="2"/>
  <c r="N386" i="2"/>
  <c r="M386" i="2"/>
  <c r="L386" i="2"/>
  <c r="K386" i="2"/>
  <c r="J386" i="2"/>
  <c r="I386" i="2"/>
  <c r="H386" i="2"/>
  <c r="G386" i="2"/>
  <c r="F386" i="2"/>
  <c r="E386" i="2"/>
  <c r="D386" i="2"/>
  <c r="C386" i="2"/>
  <c r="B386" i="2"/>
  <c r="A386" i="2"/>
  <c r="U385" i="2"/>
  <c r="T385" i="2"/>
  <c r="S385" i="2"/>
  <c r="R385" i="2"/>
  <c r="Q385" i="2"/>
  <c r="P385" i="2"/>
  <c r="O385" i="2"/>
  <c r="N385" i="2"/>
  <c r="M385" i="2"/>
  <c r="L385" i="2"/>
  <c r="K385" i="2"/>
  <c r="J385" i="2"/>
  <c r="I385" i="2"/>
  <c r="H385" i="2"/>
  <c r="G385" i="2"/>
  <c r="F385" i="2"/>
  <c r="E385" i="2"/>
  <c r="D385" i="2"/>
  <c r="C385" i="2"/>
  <c r="B385" i="2"/>
  <c r="A385" i="2"/>
  <c r="U384" i="2"/>
  <c r="T384" i="2"/>
  <c r="S384" i="2"/>
  <c r="R384" i="2"/>
  <c r="Q384" i="2"/>
  <c r="P384" i="2"/>
  <c r="O384" i="2"/>
  <c r="N384" i="2"/>
  <c r="M384" i="2"/>
  <c r="L384" i="2"/>
  <c r="K384" i="2"/>
  <c r="J384" i="2"/>
  <c r="I384" i="2"/>
  <c r="H384" i="2"/>
  <c r="G384" i="2"/>
  <c r="F384" i="2"/>
  <c r="E384" i="2"/>
  <c r="D384" i="2"/>
  <c r="C384" i="2"/>
  <c r="B384" i="2"/>
  <c r="A384" i="2"/>
  <c r="U383" i="2"/>
  <c r="T383" i="2"/>
  <c r="S383" i="2"/>
  <c r="R383" i="2"/>
  <c r="Q383" i="2"/>
  <c r="P383" i="2"/>
  <c r="O383" i="2"/>
  <c r="N383" i="2"/>
  <c r="M383" i="2"/>
  <c r="L383" i="2"/>
  <c r="K383" i="2"/>
  <c r="J383" i="2"/>
  <c r="I383" i="2"/>
  <c r="H383" i="2"/>
  <c r="G383" i="2"/>
  <c r="F383" i="2"/>
  <c r="E383" i="2"/>
  <c r="D383" i="2"/>
  <c r="C383" i="2"/>
  <c r="B383" i="2"/>
  <c r="A383" i="2"/>
  <c r="U382" i="2"/>
  <c r="T382" i="2"/>
  <c r="S382" i="2"/>
  <c r="R382" i="2"/>
  <c r="Q382" i="2"/>
  <c r="P382" i="2"/>
  <c r="O382" i="2"/>
  <c r="N382" i="2"/>
  <c r="M382" i="2"/>
  <c r="L382" i="2"/>
  <c r="K382" i="2"/>
  <c r="J382" i="2"/>
  <c r="I382" i="2"/>
  <c r="H382" i="2"/>
  <c r="G382" i="2"/>
  <c r="F382" i="2"/>
  <c r="E382" i="2"/>
  <c r="D382" i="2"/>
  <c r="C382" i="2"/>
  <c r="B382" i="2"/>
  <c r="A382" i="2"/>
  <c r="U381" i="2"/>
  <c r="T381" i="2"/>
  <c r="S381" i="2"/>
  <c r="R381" i="2"/>
  <c r="Q381" i="2"/>
  <c r="P381" i="2"/>
  <c r="O381" i="2"/>
  <c r="N381" i="2"/>
  <c r="M381" i="2"/>
  <c r="L381" i="2"/>
  <c r="K381" i="2"/>
  <c r="J381" i="2"/>
  <c r="I381" i="2"/>
  <c r="H381" i="2"/>
  <c r="G381" i="2"/>
  <c r="F381" i="2"/>
  <c r="E381" i="2"/>
  <c r="D381" i="2"/>
  <c r="C381" i="2"/>
  <c r="B381" i="2"/>
  <c r="A381" i="2"/>
  <c r="U380" i="2"/>
  <c r="T380" i="2"/>
  <c r="S380" i="2"/>
  <c r="R380" i="2"/>
  <c r="Q380" i="2"/>
  <c r="P380" i="2"/>
  <c r="O380" i="2"/>
  <c r="N380" i="2"/>
  <c r="M380" i="2"/>
  <c r="L380" i="2"/>
  <c r="K380" i="2"/>
  <c r="J380" i="2"/>
  <c r="I380" i="2"/>
  <c r="H380" i="2"/>
  <c r="G380" i="2"/>
  <c r="F380" i="2"/>
  <c r="E380" i="2"/>
  <c r="D380" i="2"/>
  <c r="C380" i="2"/>
  <c r="B380" i="2"/>
  <c r="A380" i="2"/>
  <c r="U379" i="2"/>
  <c r="T379" i="2"/>
  <c r="S379" i="2"/>
  <c r="R379" i="2"/>
  <c r="Q379" i="2"/>
  <c r="P379" i="2"/>
  <c r="O379" i="2"/>
  <c r="N379" i="2"/>
  <c r="M379" i="2"/>
  <c r="L379" i="2"/>
  <c r="K379" i="2"/>
  <c r="J379" i="2"/>
  <c r="I379" i="2"/>
  <c r="H379" i="2"/>
  <c r="G379" i="2"/>
  <c r="F379" i="2"/>
  <c r="E379" i="2"/>
  <c r="D379" i="2"/>
  <c r="C379" i="2"/>
  <c r="B379" i="2"/>
  <c r="A379" i="2"/>
  <c r="U378" i="2"/>
  <c r="T378" i="2"/>
  <c r="S378" i="2"/>
  <c r="R378" i="2"/>
  <c r="Q378" i="2"/>
  <c r="P378" i="2"/>
  <c r="O378" i="2"/>
  <c r="N378" i="2"/>
  <c r="M378" i="2"/>
  <c r="L378" i="2"/>
  <c r="K378" i="2"/>
  <c r="J378" i="2"/>
  <c r="I378" i="2"/>
  <c r="H378" i="2"/>
  <c r="G378" i="2"/>
  <c r="F378" i="2"/>
  <c r="E378" i="2"/>
  <c r="D378" i="2"/>
  <c r="C378" i="2"/>
  <c r="B378" i="2"/>
  <c r="A378" i="2"/>
  <c r="U377" i="2"/>
  <c r="T377" i="2"/>
  <c r="S377" i="2"/>
  <c r="R377" i="2"/>
  <c r="Q377" i="2"/>
  <c r="P377" i="2"/>
  <c r="O377" i="2"/>
  <c r="N377" i="2"/>
  <c r="M377" i="2"/>
  <c r="L377" i="2"/>
  <c r="K377" i="2"/>
  <c r="J377" i="2"/>
  <c r="I377" i="2"/>
  <c r="H377" i="2"/>
  <c r="G377" i="2"/>
  <c r="F377" i="2"/>
  <c r="E377" i="2"/>
  <c r="D377" i="2"/>
  <c r="C377" i="2"/>
  <c r="B377" i="2"/>
  <c r="A377" i="2"/>
  <c r="U376" i="2"/>
  <c r="T376" i="2"/>
  <c r="S376" i="2"/>
  <c r="R376" i="2"/>
  <c r="Q376" i="2"/>
  <c r="P376" i="2"/>
  <c r="O376" i="2"/>
  <c r="N376" i="2"/>
  <c r="M376" i="2"/>
  <c r="L376" i="2"/>
  <c r="K376" i="2"/>
  <c r="J376" i="2"/>
  <c r="I376" i="2"/>
  <c r="H376" i="2"/>
  <c r="G376" i="2"/>
  <c r="F376" i="2"/>
  <c r="E376" i="2"/>
  <c r="D376" i="2"/>
  <c r="C376" i="2"/>
  <c r="B376" i="2"/>
  <c r="A376" i="2"/>
  <c r="U375" i="2"/>
  <c r="T375" i="2"/>
  <c r="S375" i="2"/>
  <c r="R375" i="2"/>
  <c r="Q375" i="2"/>
  <c r="P375" i="2"/>
  <c r="O375" i="2"/>
  <c r="N375" i="2"/>
  <c r="M375" i="2"/>
  <c r="L375" i="2"/>
  <c r="K375" i="2"/>
  <c r="J375" i="2"/>
  <c r="I375" i="2"/>
  <c r="H375" i="2"/>
  <c r="G375" i="2"/>
  <c r="F375" i="2"/>
  <c r="E375" i="2"/>
  <c r="D375" i="2"/>
  <c r="C375" i="2"/>
  <c r="B375" i="2"/>
  <c r="A375" i="2"/>
  <c r="U374" i="2"/>
  <c r="T374" i="2"/>
  <c r="S374" i="2"/>
  <c r="R374" i="2"/>
  <c r="Q374" i="2"/>
  <c r="P374" i="2"/>
  <c r="O374" i="2"/>
  <c r="N374" i="2"/>
  <c r="M374" i="2"/>
  <c r="L374" i="2"/>
  <c r="K374" i="2"/>
  <c r="J374" i="2"/>
  <c r="I374" i="2"/>
  <c r="H374" i="2"/>
  <c r="G374" i="2"/>
  <c r="F374" i="2"/>
  <c r="E374" i="2"/>
  <c r="D374" i="2"/>
  <c r="C374" i="2"/>
  <c r="B374" i="2"/>
  <c r="A374" i="2"/>
  <c r="U373" i="2"/>
  <c r="T373" i="2"/>
  <c r="S373" i="2"/>
  <c r="R373" i="2"/>
  <c r="Q373" i="2"/>
  <c r="P373" i="2"/>
  <c r="O373" i="2"/>
  <c r="N373" i="2"/>
  <c r="M373" i="2"/>
  <c r="L373" i="2"/>
  <c r="K373" i="2"/>
  <c r="J373" i="2"/>
  <c r="I373" i="2"/>
  <c r="H373" i="2"/>
  <c r="G373" i="2"/>
  <c r="F373" i="2"/>
  <c r="E373" i="2"/>
  <c r="D373" i="2"/>
  <c r="C373" i="2"/>
  <c r="B373" i="2"/>
  <c r="A373" i="2"/>
  <c r="U372" i="2"/>
  <c r="T372" i="2"/>
  <c r="S372" i="2"/>
  <c r="R372" i="2"/>
  <c r="Q372" i="2"/>
  <c r="P372" i="2"/>
  <c r="O372" i="2"/>
  <c r="N372" i="2"/>
  <c r="M372" i="2"/>
  <c r="L372" i="2"/>
  <c r="K372" i="2"/>
  <c r="J372" i="2"/>
  <c r="I372" i="2"/>
  <c r="H372" i="2"/>
  <c r="G372" i="2"/>
  <c r="F372" i="2"/>
  <c r="E372" i="2"/>
  <c r="D372" i="2"/>
  <c r="C372" i="2"/>
  <c r="B372" i="2"/>
  <c r="A372" i="2"/>
  <c r="U371" i="2"/>
  <c r="T371" i="2"/>
  <c r="S371" i="2"/>
  <c r="R371" i="2"/>
  <c r="Q371" i="2"/>
  <c r="P371" i="2"/>
  <c r="O371" i="2"/>
  <c r="N371" i="2"/>
  <c r="M371" i="2"/>
  <c r="L371" i="2"/>
  <c r="K371" i="2"/>
  <c r="J371" i="2"/>
  <c r="I371" i="2"/>
  <c r="H371" i="2"/>
  <c r="G371" i="2"/>
  <c r="F371" i="2"/>
  <c r="E371" i="2"/>
  <c r="D371" i="2"/>
  <c r="C371" i="2"/>
  <c r="B371" i="2"/>
  <c r="A371" i="2"/>
  <c r="U370" i="2"/>
  <c r="T370" i="2"/>
  <c r="S370" i="2"/>
  <c r="R370" i="2"/>
  <c r="Q370" i="2"/>
  <c r="P370" i="2"/>
  <c r="O370" i="2"/>
  <c r="N370" i="2"/>
  <c r="M370" i="2"/>
  <c r="L370" i="2"/>
  <c r="K370" i="2"/>
  <c r="J370" i="2"/>
  <c r="I370" i="2"/>
  <c r="H370" i="2"/>
  <c r="G370" i="2"/>
  <c r="F370" i="2"/>
  <c r="E370" i="2"/>
  <c r="D370" i="2"/>
  <c r="C370" i="2"/>
  <c r="B370" i="2"/>
  <c r="A370" i="2"/>
  <c r="U369" i="2"/>
  <c r="T369" i="2"/>
  <c r="S369" i="2"/>
  <c r="R369" i="2"/>
  <c r="Q369" i="2"/>
  <c r="P369" i="2"/>
  <c r="O369" i="2"/>
  <c r="N369" i="2"/>
  <c r="M369" i="2"/>
  <c r="L369" i="2"/>
  <c r="K369" i="2"/>
  <c r="J369" i="2"/>
  <c r="I369" i="2"/>
  <c r="H369" i="2"/>
  <c r="G369" i="2"/>
  <c r="F369" i="2"/>
  <c r="E369" i="2"/>
  <c r="D369" i="2"/>
  <c r="C369" i="2"/>
  <c r="B369" i="2"/>
  <c r="A369" i="2"/>
  <c r="U368" i="2"/>
  <c r="T368" i="2"/>
  <c r="S368" i="2"/>
  <c r="R368" i="2"/>
  <c r="Q368" i="2"/>
  <c r="P368" i="2"/>
  <c r="O368" i="2"/>
  <c r="N368" i="2"/>
  <c r="M368" i="2"/>
  <c r="L368" i="2"/>
  <c r="K368" i="2"/>
  <c r="J368" i="2"/>
  <c r="I368" i="2"/>
  <c r="H368" i="2"/>
  <c r="G368" i="2"/>
  <c r="F368" i="2"/>
  <c r="E368" i="2"/>
  <c r="D368" i="2"/>
  <c r="C368" i="2"/>
  <c r="B368" i="2"/>
  <c r="A368" i="2"/>
  <c r="U367" i="2"/>
  <c r="T367" i="2"/>
  <c r="S367" i="2"/>
  <c r="R367" i="2"/>
  <c r="Q367" i="2"/>
  <c r="P367" i="2"/>
  <c r="O367" i="2"/>
  <c r="N367" i="2"/>
  <c r="M367" i="2"/>
  <c r="L367" i="2"/>
  <c r="K367" i="2"/>
  <c r="J367" i="2"/>
  <c r="I367" i="2"/>
  <c r="H367" i="2"/>
  <c r="G367" i="2"/>
  <c r="F367" i="2"/>
  <c r="E367" i="2"/>
  <c r="D367" i="2"/>
  <c r="C367" i="2"/>
  <c r="B367" i="2"/>
  <c r="A367" i="2"/>
  <c r="U366" i="2"/>
  <c r="T366" i="2"/>
  <c r="S366" i="2"/>
  <c r="R366" i="2"/>
  <c r="Q366" i="2"/>
  <c r="P366" i="2"/>
  <c r="O366" i="2"/>
  <c r="N366" i="2"/>
  <c r="M366" i="2"/>
  <c r="L366" i="2"/>
  <c r="K366" i="2"/>
  <c r="J366" i="2"/>
  <c r="I366" i="2"/>
  <c r="H366" i="2"/>
  <c r="G366" i="2"/>
  <c r="F366" i="2"/>
  <c r="E366" i="2"/>
  <c r="D366" i="2"/>
  <c r="C366" i="2"/>
  <c r="B366" i="2"/>
  <c r="A366" i="2"/>
  <c r="U365" i="2"/>
  <c r="T365" i="2"/>
  <c r="S365" i="2"/>
  <c r="R365" i="2"/>
  <c r="Q365" i="2"/>
  <c r="P365" i="2"/>
  <c r="O365" i="2"/>
  <c r="N365" i="2"/>
  <c r="M365" i="2"/>
  <c r="L365" i="2"/>
  <c r="K365" i="2"/>
  <c r="J365" i="2"/>
  <c r="I365" i="2"/>
  <c r="H365" i="2"/>
  <c r="G365" i="2"/>
  <c r="F365" i="2"/>
  <c r="E365" i="2"/>
  <c r="D365" i="2"/>
  <c r="C365" i="2"/>
  <c r="B365" i="2"/>
  <c r="A365" i="2"/>
  <c r="U364" i="2"/>
  <c r="T364" i="2"/>
  <c r="S364" i="2"/>
  <c r="R364" i="2"/>
  <c r="Q364" i="2"/>
  <c r="P364" i="2"/>
  <c r="O364" i="2"/>
  <c r="N364" i="2"/>
  <c r="M364" i="2"/>
  <c r="L364" i="2"/>
  <c r="K364" i="2"/>
  <c r="J364" i="2"/>
  <c r="I364" i="2"/>
  <c r="H364" i="2"/>
  <c r="G364" i="2"/>
  <c r="F364" i="2"/>
  <c r="E364" i="2"/>
  <c r="D364" i="2"/>
  <c r="C364" i="2"/>
  <c r="B364" i="2"/>
  <c r="A364" i="2"/>
  <c r="U363" i="2"/>
  <c r="T363" i="2"/>
  <c r="S363" i="2"/>
  <c r="R363" i="2"/>
  <c r="Q363" i="2"/>
  <c r="P363" i="2"/>
  <c r="O363" i="2"/>
  <c r="N363" i="2"/>
  <c r="M363" i="2"/>
  <c r="L363" i="2"/>
  <c r="K363" i="2"/>
  <c r="J363" i="2"/>
  <c r="I363" i="2"/>
  <c r="H363" i="2"/>
  <c r="G363" i="2"/>
  <c r="F363" i="2"/>
  <c r="E363" i="2"/>
  <c r="D363" i="2"/>
  <c r="C363" i="2"/>
  <c r="B363" i="2"/>
  <c r="A363" i="2"/>
  <c r="U362" i="2"/>
  <c r="T362" i="2"/>
  <c r="S362" i="2"/>
  <c r="R362" i="2"/>
  <c r="Q362" i="2"/>
  <c r="P362" i="2"/>
  <c r="O362" i="2"/>
  <c r="N362" i="2"/>
  <c r="M362" i="2"/>
  <c r="L362" i="2"/>
  <c r="K362" i="2"/>
  <c r="J362" i="2"/>
  <c r="I362" i="2"/>
  <c r="H362" i="2"/>
  <c r="G362" i="2"/>
  <c r="F362" i="2"/>
  <c r="E362" i="2"/>
  <c r="D362" i="2"/>
  <c r="C362" i="2"/>
  <c r="B362" i="2"/>
  <c r="A362" i="2"/>
  <c r="U361" i="2"/>
  <c r="T361" i="2"/>
  <c r="S361" i="2"/>
  <c r="R361" i="2"/>
  <c r="Q361" i="2"/>
  <c r="P361" i="2"/>
  <c r="O361" i="2"/>
  <c r="N361" i="2"/>
  <c r="M361" i="2"/>
  <c r="L361" i="2"/>
  <c r="K361" i="2"/>
  <c r="J361" i="2"/>
  <c r="I361" i="2"/>
  <c r="H361" i="2"/>
  <c r="G361" i="2"/>
  <c r="F361" i="2"/>
  <c r="E361" i="2"/>
  <c r="D361" i="2"/>
  <c r="C361" i="2"/>
  <c r="B361" i="2"/>
  <c r="A361" i="2"/>
  <c r="U360" i="2"/>
  <c r="T360" i="2"/>
  <c r="S360" i="2"/>
  <c r="R360" i="2"/>
  <c r="Q360" i="2"/>
  <c r="P360" i="2"/>
  <c r="O360" i="2"/>
  <c r="N360" i="2"/>
  <c r="M360" i="2"/>
  <c r="L360" i="2"/>
  <c r="K360" i="2"/>
  <c r="J360" i="2"/>
  <c r="I360" i="2"/>
  <c r="H360" i="2"/>
  <c r="G360" i="2"/>
  <c r="F360" i="2"/>
  <c r="E360" i="2"/>
  <c r="D360" i="2"/>
  <c r="C360" i="2"/>
  <c r="B360" i="2"/>
  <c r="A360" i="2"/>
  <c r="U359" i="2"/>
  <c r="T359" i="2"/>
  <c r="S359" i="2"/>
  <c r="R359" i="2"/>
  <c r="Q359" i="2"/>
  <c r="P359" i="2"/>
  <c r="O359" i="2"/>
  <c r="N359" i="2"/>
  <c r="M359" i="2"/>
  <c r="L359" i="2"/>
  <c r="K359" i="2"/>
  <c r="J359" i="2"/>
  <c r="I359" i="2"/>
  <c r="H359" i="2"/>
  <c r="G359" i="2"/>
  <c r="F359" i="2"/>
  <c r="E359" i="2"/>
  <c r="D359" i="2"/>
  <c r="C359" i="2"/>
  <c r="B359" i="2"/>
  <c r="A359" i="2"/>
  <c r="U358" i="2"/>
  <c r="T358" i="2"/>
  <c r="S358" i="2"/>
  <c r="R358" i="2"/>
  <c r="Q358" i="2"/>
  <c r="P358" i="2"/>
  <c r="O358" i="2"/>
  <c r="N358" i="2"/>
  <c r="M358" i="2"/>
  <c r="L358" i="2"/>
  <c r="K358" i="2"/>
  <c r="J358" i="2"/>
  <c r="I358" i="2"/>
  <c r="H358" i="2"/>
  <c r="G358" i="2"/>
  <c r="F358" i="2"/>
  <c r="E358" i="2"/>
  <c r="D358" i="2"/>
  <c r="C358" i="2"/>
  <c r="B358" i="2"/>
  <c r="A358" i="2"/>
  <c r="U357" i="2"/>
  <c r="T357" i="2"/>
  <c r="S357" i="2"/>
  <c r="R357" i="2"/>
  <c r="Q357" i="2"/>
  <c r="P357" i="2"/>
  <c r="O357" i="2"/>
  <c r="N357" i="2"/>
  <c r="M357" i="2"/>
  <c r="L357" i="2"/>
  <c r="K357" i="2"/>
  <c r="J357" i="2"/>
  <c r="I357" i="2"/>
  <c r="H357" i="2"/>
  <c r="G357" i="2"/>
  <c r="F357" i="2"/>
  <c r="E357" i="2"/>
  <c r="D357" i="2"/>
  <c r="C357" i="2"/>
  <c r="B357" i="2"/>
  <c r="A357" i="2"/>
  <c r="U356" i="2"/>
  <c r="T356" i="2"/>
  <c r="S356" i="2"/>
  <c r="R356" i="2"/>
  <c r="Q356" i="2"/>
  <c r="P356" i="2"/>
  <c r="O356" i="2"/>
  <c r="N356" i="2"/>
  <c r="M356" i="2"/>
  <c r="L356" i="2"/>
  <c r="K356" i="2"/>
  <c r="J356" i="2"/>
  <c r="I356" i="2"/>
  <c r="H356" i="2"/>
  <c r="G356" i="2"/>
  <c r="F356" i="2"/>
  <c r="E356" i="2"/>
  <c r="D356" i="2"/>
  <c r="C356" i="2"/>
  <c r="B356" i="2"/>
  <c r="A356" i="2"/>
  <c r="U355" i="2"/>
  <c r="T355" i="2"/>
  <c r="S355" i="2"/>
  <c r="R355" i="2"/>
  <c r="Q355" i="2"/>
  <c r="P355" i="2"/>
  <c r="O355" i="2"/>
  <c r="N355" i="2"/>
  <c r="M355" i="2"/>
  <c r="L355" i="2"/>
  <c r="K355" i="2"/>
  <c r="J355" i="2"/>
  <c r="I355" i="2"/>
  <c r="H355" i="2"/>
  <c r="G355" i="2"/>
  <c r="F355" i="2"/>
  <c r="E355" i="2"/>
  <c r="D355" i="2"/>
  <c r="C355" i="2"/>
  <c r="B355" i="2"/>
  <c r="A355" i="2"/>
  <c r="U354" i="2"/>
  <c r="T354" i="2"/>
  <c r="S354" i="2"/>
  <c r="R354" i="2"/>
  <c r="Q354" i="2"/>
  <c r="P354" i="2"/>
  <c r="O354" i="2"/>
  <c r="N354" i="2"/>
  <c r="M354" i="2"/>
  <c r="L354" i="2"/>
  <c r="K354" i="2"/>
  <c r="J354" i="2"/>
  <c r="I354" i="2"/>
  <c r="H354" i="2"/>
  <c r="G354" i="2"/>
  <c r="F354" i="2"/>
  <c r="E354" i="2"/>
  <c r="D354" i="2"/>
  <c r="C354" i="2"/>
  <c r="B354" i="2"/>
  <c r="A354" i="2"/>
  <c r="U353" i="2"/>
  <c r="T353" i="2"/>
  <c r="S353" i="2"/>
  <c r="R353" i="2"/>
  <c r="Q353" i="2"/>
  <c r="P353" i="2"/>
  <c r="O353" i="2"/>
  <c r="N353" i="2"/>
  <c r="M353" i="2"/>
  <c r="L353" i="2"/>
  <c r="K353" i="2"/>
  <c r="J353" i="2"/>
  <c r="I353" i="2"/>
  <c r="H353" i="2"/>
  <c r="G353" i="2"/>
  <c r="F353" i="2"/>
  <c r="E353" i="2"/>
  <c r="D353" i="2"/>
  <c r="C353" i="2"/>
  <c r="B353" i="2"/>
  <c r="A353" i="2"/>
  <c r="U352" i="2"/>
  <c r="T352" i="2"/>
  <c r="S352" i="2"/>
  <c r="R352" i="2"/>
  <c r="Q352" i="2"/>
  <c r="P352" i="2"/>
  <c r="O352" i="2"/>
  <c r="N352" i="2"/>
  <c r="M352" i="2"/>
  <c r="L352" i="2"/>
  <c r="K352" i="2"/>
  <c r="J352" i="2"/>
  <c r="I352" i="2"/>
  <c r="H352" i="2"/>
  <c r="G352" i="2"/>
  <c r="F352" i="2"/>
  <c r="E352" i="2"/>
  <c r="D352" i="2"/>
  <c r="C352" i="2"/>
  <c r="B352" i="2"/>
  <c r="A352" i="2"/>
  <c r="U351" i="2"/>
  <c r="T351" i="2"/>
  <c r="S351" i="2"/>
  <c r="R351" i="2"/>
  <c r="Q351" i="2"/>
  <c r="P351" i="2"/>
  <c r="O351" i="2"/>
  <c r="N351" i="2"/>
  <c r="M351" i="2"/>
  <c r="L351" i="2"/>
  <c r="K351" i="2"/>
  <c r="J351" i="2"/>
  <c r="I351" i="2"/>
  <c r="H351" i="2"/>
  <c r="G351" i="2"/>
  <c r="F351" i="2"/>
  <c r="E351" i="2"/>
  <c r="D351" i="2"/>
  <c r="C351" i="2"/>
  <c r="B351" i="2"/>
  <c r="A351" i="2"/>
  <c r="U350" i="2"/>
  <c r="T350" i="2"/>
  <c r="S350" i="2"/>
  <c r="R350" i="2"/>
  <c r="Q350" i="2"/>
  <c r="P350" i="2"/>
  <c r="O350" i="2"/>
  <c r="N350" i="2"/>
  <c r="M350" i="2"/>
  <c r="L350" i="2"/>
  <c r="K350" i="2"/>
  <c r="J350" i="2"/>
  <c r="I350" i="2"/>
  <c r="H350" i="2"/>
  <c r="G350" i="2"/>
  <c r="F350" i="2"/>
  <c r="E350" i="2"/>
  <c r="D350" i="2"/>
  <c r="C350" i="2"/>
  <c r="B350" i="2"/>
  <c r="A350" i="2"/>
  <c r="U349" i="2"/>
  <c r="T349" i="2"/>
  <c r="S349" i="2"/>
  <c r="R349" i="2"/>
  <c r="Q349" i="2"/>
  <c r="P349" i="2"/>
  <c r="O349" i="2"/>
  <c r="N349" i="2"/>
  <c r="M349" i="2"/>
  <c r="L349" i="2"/>
  <c r="K349" i="2"/>
  <c r="J349" i="2"/>
  <c r="I349" i="2"/>
  <c r="H349" i="2"/>
  <c r="G349" i="2"/>
  <c r="F349" i="2"/>
  <c r="E349" i="2"/>
  <c r="D349" i="2"/>
  <c r="C349" i="2"/>
  <c r="B349" i="2"/>
  <c r="A349" i="2"/>
  <c r="U348" i="2"/>
  <c r="T348" i="2"/>
  <c r="S348" i="2"/>
  <c r="R348" i="2"/>
  <c r="Q348" i="2"/>
  <c r="P348" i="2"/>
  <c r="O348" i="2"/>
  <c r="N348" i="2"/>
  <c r="M348" i="2"/>
  <c r="L348" i="2"/>
  <c r="K348" i="2"/>
  <c r="J348" i="2"/>
  <c r="I348" i="2"/>
  <c r="H348" i="2"/>
  <c r="G348" i="2"/>
  <c r="F348" i="2"/>
  <c r="E348" i="2"/>
  <c r="D348" i="2"/>
  <c r="C348" i="2"/>
  <c r="B348" i="2"/>
  <c r="A348" i="2"/>
  <c r="U347" i="2"/>
  <c r="T347" i="2"/>
  <c r="S347" i="2"/>
  <c r="R347" i="2"/>
  <c r="Q347" i="2"/>
  <c r="P347" i="2"/>
  <c r="O347" i="2"/>
  <c r="N347" i="2"/>
  <c r="M347" i="2"/>
  <c r="L347" i="2"/>
  <c r="K347" i="2"/>
  <c r="J347" i="2"/>
  <c r="I347" i="2"/>
  <c r="H347" i="2"/>
  <c r="G347" i="2"/>
  <c r="F347" i="2"/>
  <c r="E347" i="2"/>
  <c r="D347" i="2"/>
  <c r="C347" i="2"/>
  <c r="B347" i="2"/>
  <c r="A347" i="2"/>
  <c r="U346" i="2"/>
  <c r="T346" i="2"/>
  <c r="S346" i="2"/>
  <c r="R346" i="2"/>
  <c r="Q346" i="2"/>
  <c r="P346" i="2"/>
  <c r="O346" i="2"/>
  <c r="N346" i="2"/>
  <c r="M346" i="2"/>
  <c r="L346" i="2"/>
  <c r="K346" i="2"/>
  <c r="J346" i="2"/>
  <c r="I346" i="2"/>
  <c r="H346" i="2"/>
  <c r="G346" i="2"/>
  <c r="F346" i="2"/>
  <c r="E346" i="2"/>
  <c r="D346" i="2"/>
  <c r="C346" i="2"/>
  <c r="B346" i="2"/>
  <c r="A346" i="2"/>
  <c r="U345" i="2"/>
  <c r="T345" i="2"/>
  <c r="S345" i="2"/>
  <c r="R345" i="2"/>
  <c r="Q345" i="2"/>
  <c r="P345" i="2"/>
  <c r="O345" i="2"/>
  <c r="N345" i="2"/>
  <c r="M345" i="2"/>
  <c r="L345" i="2"/>
  <c r="K345" i="2"/>
  <c r="J345" i="2"/>
  <c r="I345" i="2"/>
  <c r="H345" i="2"/>
  <c r="G345" i="2"/>
  <c r="F345" i="2"/>
  <c r="E345" i="2"/>
  <c r="D345" i="2"/>
  <c r="C345" i="2"/>
  <c r="B345" i="2"/>
  <c r="A345" i="2"/>
  <c r="U344" i="2"/>
  <c r="T344" i="2"/>
  <c r="S344" i="2"/>
  <c r="R344" i="2"/>
  <c r="Q344" i="2"/>
  <c r="P344" i="2"/>
  <c r="O344" i="2"/>
  <c r="N344" i="2"/>
  <c r="M344" i="2"/>
  <c r="L344" i="2"/>
  <c r="K344" i="2"/>
  <c r="J344" i="2"/>
  <c r="I344" i="2"/>
  <c r="H344" i="2"/>
  <c r="G344" i="2"/>
  <c r="F344" i="2"/>
  <c r="E344" i="2"/>
  <c r="D344" i="2"/>
  <c r="C344" i="2"/>
  <c r="B344" i="2"/>
  <c r="A344" i="2"/>
  <c r="U343" i="2"/>
  <c r="T343" i="2"/>
  <c r="S343" i="2"/>
  <c r="R343" i="2"/>
  <c r="Q343" i="2"/>
  <c r="P343" i="2"/>
  <c r="O343" i="2"/>
  <c r="N343" i="2"/>
  <c r="M343" i="2"/>
  <c r="L343" i="2"/>
  <c r="K343" i="2"/>
  <c r="J343" i="2"/>
  <c r="I343" i="2"/>
  <c r="H343" i="2"/>
  <c r="G343" i="2"/>
  <c r="F343" i="2"/>
  <c r="E343" i="2"/>
  <c r="D343" i="2"/>
  <c r="C343" i="2"/>
  <c r="B343" i="2"/>
  <c r="A343" i="2"/>
  <c r="U342" i="2"/>
  <c r="T342" i="2"/>
  <c r="S342" i="2"/>
  <c r="R342" i="2"/>
  <c r="Q342" i="2"/>
  <c r="P342" i="2"/>
  <c r="O342" i="2"/>
  <c r="N342" i="2"/>
  <c r="M342" i="2"/>
  <c r="L342" i="2"/>
  <c r="K342" i="2"/>
  <c r="J342" i="2"/>
  <c r="I342" i="2"/>
  <c r="H342" i="2"/>
  <c r="G342" i="2"/>
  <c r="F342" i="2"/>
  <c r="E342" i="2"/>
  <c r="D342" i="2"/>
  <c r="C342" i="2"/>
  <c r="B342" i="2"/>
  <c r="A342" i="2"/>
  <c r="U341" i="2"/>
  <c r="T341" i="2"/>
  <c r="S341" i="2"/>
  <c r="R341" i="2"/>
  <c r="Q341" i="2"/>
  <c r="P341" i="2"/>
  <c r="O341" i="2"/>
  <c r="N341" i="2"/>
  <c r="M341" i="2"/>
  <c r="L341" i="2"/>
  <c r="K341" i="2"/>
  <c r="J341" i="2"/>
  <c r="I341" i="2"/>
  <c r="H341" i="2"/>
  <c r="G341" i="2"/>
  <c r="F341" i="2"/>
  <c r="E341" i="2"/>
  <c r="D341" i="2"/>
  <c r="C341" i="2"/>
  <c r="B341" i="2"/>
  <c r="A341" i="2"/>
  <c r="U340" i="2"/>
  <c r="T340" i="2"/>
  <c r="S340" i="2"/>
  <c r="R340" i="2"/>
  <c r="Q340" i="2"/>
  <c r="P340" i="2"/>
  <c r="O340" i="2"/>
  <c r="N340" i="2"/>
  <c r="M340" i="2"/>
  <c r="L340" i="2"/>
  <c r="K340" i="2"/>
  <c r="J340" i="2"/>
  <c r="I340" i="2"/>
  <c r="H340" i="2"/>
  <c r="G340" i="2"/>
  <c r="F340" i="2"/>
  <c r="E340" i="2"/>
  <c r="D340" i="2"/>
  <c r="C340" i="2"/>
  <c r="B340" i="2"/>
  <c r="A340" i="2"/>
  <c r="U339" i="2"/>
  <c r="T339" i="2"/>
  <c r="S339" i="2"/>
  <c r="R339" i="2"/>
  <c r="Q339" i="2"/>
  <c r="P339" i="2"/>
  <c r="O339" i="2"/>
  <c r="N339" i="2"/>
  <c r="M339" i="2"/>
  <c r="L339" i="2"/>
  <c r="K339" i="2"/>
  <c r="J339" i="2"/>
  <c r="I339" i="2"/>
  <c r="H339" i="2"/>
  <c r="G339" i="2"/>
  <c r="F339" i="2"/>
  <c r="E339" i="2"/>
  <c r="D339" i="2"/>
  <c r="C339" i="2"/>
  <c r="B339" i="2"/>
  <c r="A339" i="2"/>
  <c r="U338" i="2"/>
  <c r="T338" i="2"/>
  <c r="S338" i="2"/>
  <c r="R338" i="2"/>
  <c r="Q338" i="2"/>
  <c r="P338" i="2"/>
  <c r="O338" i="2"/>
  <c r="N338" i="2"/>
  <c r="M338" i="2"/>
  <c r="L338" i="2"/>
  <c r="K338" i="2"/>
  <c r="J338" i="2"/>
  <c r="I338" i="2"/>
  <c r="H338" i="2"/>
  <c r="G338" i="2"/>
  <c r="F338" i="2"/>
  <c r="E338" i="2"/>
  <c r="D338" i="2"/>
  <c r="C338" i="2"/>
  <c r="B338" i="2"/>
  <c r="A338" i="2"/>
  <c r="U337" i="2"/>
  <c r="T337" i="2"/>
  <c r="S337" i="2"/>
  <c r="R337" i="2"/>
  <c r="Q337" i="2"/>
  <c r="P337" i="2"/>
  <c r="O337" i="2"/>
  <c r="N337" i="2"/>
  <c r="M337" i="2"/>
  <c r="L337" i="2"/>
  <c r="K337" i="2"/>
  <c r="J337" i="2"/>
  <c r="I337" i="2"/>
  <c r="H337" i="2"/>
  <c r="G337" i="2"/>
  <c r="F337" i="2"/>
  <c r="E337" i="2"/>
  <c r="D337" i="2"/>
  <c r="C337" i="2"/>
  <c r="B337" i="2"/>
  <c r="A337" i="2"/>
  <c r="U336" i="2"/>
  <c r="T336" i="2"/>
  <c r="S336" i="2"/>
  <c r="R336" i="2"/>
  <c r="Q336" i="2"/>
  <c r="P336" i="2"/>
  <c r="O336" i="2"/>
  <c r="N336" i="2"/>
  <c r="M336" i="2"/>
  <c r="L336" i="2"/>
  <c r="K336" i="2"/>
  <c r="J336" i="2"/>
  <c r="I336" i="2"/>
  <c r="H336" i="2"/>
  <c r="G336" i="2"/>
  <c r="F336" i="2"/>
  <c r="E336" i="2"/>
  <c r="D336" i="2"/>
  <c r="C336" i="2"/>
  <c r="B336" i="2"/>
  <c r="A336" i="2"/>
  <c r="U335" i="2"/>
  <c r="T335" i="2"/>
  <c r="S335" i="2"/>
  <c r="R335" i="2"/>
  <c r="Q335" i="2"/>
  <c r="P335" i="2"/>
  <c r="O335" i="2"/>
  <c r="N335" i="2"/>
  <c r="M335" i="2"/>
  <c r="L335" i="2"/>
  <c r="K335" i="2"/>
  <c r="J335" i="2"/>
  <c r="I335" i="2"/>
  <c r="H335" i="2"/>
  <c r="G335" i="2"/>
  <c r="F335" i="2"/>
  <c r="E335" i="2"/>
  <c r="D335" i="2"/>
  <c r="C335" i="2"/>
  <c r="B335" i="2"/>
  <c r="A335" i="2"/>
  <c r="U334" i="2"/>
  <c r="T334" i="2"/>
  <c r="S334" i="2"/>
  <c r="R334" i="2"/>
  <c r="Q334" i="2"/>
  <c r="P334" i="2"/>
  <c r="O334" i="2"/>
  <c r="N334" i="2"/>
  <c r="M334" i="2"/>
  <c r="L334" i="2"/>
  <c r="K334" i="2"/>
  <c r="J334" i="2"/>
  <c r="I334" i="2"/>
  <c r="H334" i="2"/>
  <c r="G334" i="2"/>
  <c r="F334" i="2"/>
  <c r="E334" i="2"/>
  <c r="D334" i="2"/>
  <c r="C334" i="2"/>
  <c r="B334" i="2"/>
  <c r="A334" i="2"/>
  <c r="U333" i="2"/>
  <c r="T333" i="2"/>
  <c r="S333" i="2"/>
  <c r="R333" i="2"/>
  <c r="Q333" i="2"/>
  <c r="P333" i="2"/>
  <c r="O333" i="2"/>
  <c r="N333" i="2"/>
  <c r="M333" i="2"/>
  <c r="L333" i="2"/>
  <c r="K333" i="2"/>
  <c r="J333" i="2"/>
  <c r="I333" i="2"/>
  <c r="H333" i="2"/>
  <c r="G333" i="2"/>
  <c r="F333" i="2"/>
  <c r="E333" i="2"/>
  <c r="D333" i="2"/>
  <c r="C333" i="2"/>
  <c r="B333" i="2"/>
  <c r="A333" i="2"/>
  <c r="U332" i="2"/>
  <c r="T332" i="2"/>
  <c r="S332" i="2"/>
  <c r="R332" i="2"/>
  <c r="Q332" i="2"/>
  <c r="P332" i="2"/>
  <c r="O332" i="2"/>
  <c r="N332" i="2"/>
  <c r="M332" i="2"/>
  <c r="L332" i="2"/>
  <c r="K332" i="2"/>
  <c r="J332" i="2"/>
  <c r="I332" i="2"/>
  <c r="H332" i="2"/>
  <c r="G332" i="2"/>
  <c r="F332" i="2"/>
  <c r="E332" i="2"/>
  <c r="D332" i="2"/>
  <c r="C332" i="2"/>
  <c r="B332" i="2"/>
  <c r="A332" i="2"/>
  <c r="U331" i="2"/>
  <c r="T331" i="2"/>
  <c r="S331" i="2"/>
  <c r="R331" i="2"/>
  <c r="Q331" i="2"/>
  <c r="P331" i="2"/>
  <c r="O331" i="2"/>
  <c r="N331" i="2"/>
  <c r="M331" i="2"/>
  <c r="L331" i="2"/>
  <c r="K331" i="2"/>
  <c r="J331" i="2"/>
  <c r="I331" i="2"/>
  <c r="H331" i="2"/>
  <c r="G331" i="2"/>
  <c r="F331" i="2"/>
  <c r="E331" i="2"/>
  <c r="D331" i="2"/>
  <c r="C331" i="2"/>
  <c r="B331" i="2"/>
  <c r="A331" i="2"/>
  <c r="U330" i="2"/>
  <c r="T330" i="2"/>
  <c r="S330" i="2"/>
  <c r="R330" i="2"/>
  <c r="Q330" i="2"/>
  <c r="P330" i="2"/>
  <c r="O330" i="2"/>
  <c r="N330" i="2"/>
  <c r="M330" i="2"/>
  <c r="L330" i="2"/>
  <c r="K330" i="2"/>
  <c r="J330" i="2"/>
  <c r="I330" i="2"/>
  <c r="H330" i="2"/>
  <c r="G330" i="2"/>
  <c r="F330" i="2"/>
  <c r="E330" i="2"/>
  <c r="D330" i="2"/>
  <c r="C330" i="2"/>
  <c r="B330" i="2"/>
  <c r="A330" i="2"/>
  <c r="U329" i="2"/>
  <c r="T329" i="2"/>
  <c r="S329" i="2"/>
  <c r="R329" i="2"/>
  <c r="Q329" i="2"/>
  <c r="P329" i="2"/>
  <c r="O329" i="2"/>
  <c r="N329" i="2"/>
  <c r="M329" i="2"/>
  <c r="L329" i="2"/>
  <c r="K329" i="2"/>
  <c r="J329" i="2"/>
  <c r="I329" i="2"/>
  <c r="H329" i="2"/>
  <c r="G329" i="2"/>
  <c r="F329" i="2"/>
  <c r="E329" i="2"/>
  <c r="D329" i="2"/>
  <c r="C329" i="2"/>
  <c r="B329" i="2"/>
  <c r="A329" i="2"/>
  <c r="U328" i="2"/>
  <c r="T328" i="2"/>
  <c r="S328" i="2"/>
  <c r="R328" i="2"/>
  <c r="Q328" i="2"/>
  <c r="P328" i="2"/>
  <c r="O328" i="2"/>
  <c r="N328" i="2"/>
  <c r="M328" i="2"/>
  <c r="L328" i="2"/>
  <c r="K328" i="2"/>
  <c r="J328" i="2"/>
  <c r="I328" i="2"/>
  <c r="H328" i="2"/>
  <c r="G328" i="2"/>
  <c r="F328" i="2"/>
  <c r="E328" i="2"/>
  <c r="D328" i="2"/>
  <c r="C328" i="2"/>
  <c r="B328" i="2"/>
  <c r="A328" i="2"/>
  <c r="U327" i="2"/>
  <c r="T327" i="2"/>
  <c r="S327" i="2"/>
  <c r="R327" i="2"/>
  <c r="Q327" i="2"/>
  <c r="P327" i="2"/>
  <c r="O327" i="2"/>
  <c r="N327" i="2"/>
  <c r="M327" i="2"/>
  <c r="L327" i="2"/>
  <c r="K327" i="2"/>
  <c r="J327" i="2"/>
  <c r="I327" i="2"/>
  <c r="H327" i="2"/>
  <c r="G327" i="2"/>
  <c r="F327" i="2"/>
  <c r="E327" i="2"/>
  <c r="D327" i="2"/>
  <c r="C327" i="2"/>
  <c r="B327" i="2"/>
  <c r="A327" i="2"/>
  <c r="U326" i="2"/>
  <c r="T326" i="2"/>
  <c r="S326" i="2"/>
  <c r="R326" i="2"/>
  <c r="Q326" i="2"/>
  <c r="P326" i="2"/>
  <c r="O326" i="2"/>
  <c r="N326" i="2"/>
  <c r="M326" i="2"/>
  <c r="L326" i="2"/>
  <c r="K326" i="2"/>
  <c r="J326" i="2"/>
  <c r="I326" i="2"/>
  <c r="H326" i="2"/>
  <c r="G326" i="2"/>
  <c r="F326" i="2"/>
  <c r="E326" i="2"/>
  <c r="D326" i="2"/>
  <c r="C326" i="2"/>
  <c r="B326" i="2"/>
  <c r="A326" i="2"/>
  <c r="U325" i="2"/>
  <c r="T325" i="2"/>
  <c r="S325" i="2"/>
  <c r="R325" i="2"/>
  <c r="Q325" i="2"/>
  <c r="P325" i="2"/>
  <c r="O325" i="2"/>
  <c r="N325" i="2"/>
  <c r="M325" i="2"/>
  <c r="L325" i="2"/>
  <c r="K325" i="2"/>
  <c r="J325" i="2"/>
  <c r="I325" i="2"/>
  <c r="H325" i="2"/>
  <c r="G325" i="2"/>
  <c r="F325" i="2"/>
  <c r="E325" i="2"/>
  <c r="D325" i="2"/>
  <c r="C325" i="2"/>
  <c r="B325" i="2"/>
  <c r="A325" i="2"/>
  <c r="U324" i="2"/>
  <c r="T324" i="2"/>
  <c r="S324" i="2"/>
  <c r="R324" i="2"/>
  <c r="Q324" i="2"/>
  <c r="P324" i="2"/>
  <c r="O324" i="2"/>
  <c r="N324" i="2"/>
  <c r="M324" i="2"/>
  <c r="L324" i="2"/>
  <c r="K324" i="2"/>
  <c r="J324" i="2"/>
  <c r="I324" i="2"/>
  <c r="H324" i="2"/>
  <c r="G324" i="2"/>
  <c r="F324" i="2"/>
  <c r="E324" i="2"/>
  <c r="D324" i="2"/>
  <c r="C324" i="2"/>
  <c r="B324" i="2"/>
  <c r="A324" i="2"/>
  <c r="U323" i="2"/>
  <c r="T323" i="2"/>
  <c r="S323" i="2"/>
  <c r="R323" i="2"/>
  <c r="Q323" i="2"/>
  <c r="P323" i="2"/>
  <c r="O323" i="2"/>
  <c r="N323" i="2"/>
  <c r="M323" i="2"/>
  <c r="L323" i="2"/>
  <c r="K323" i="2"/>
  <c r="J323" i="2"/>
  <c r="I323" i="2"/>
  <c r="H323" i="2"/>
  <c r="G323" i="2"/>
  <c r="F323" i="2"/>
  <c r="E323" i="2"/>
  <c r="D323" i="2"/>
  <c r="C323" i="2"/>
  <c r="B323" i="2"/>
  <c r="A323" i="2"/>
  <c r="U322" i="2"/>
  <c r="T322" i="2"/>
  <c r="S322" i="2"/>
  <c r="R322" i="2"/>
  <c r="Q322" i="2"/>
  <c r="P322" i="2"/>
  <c r="O322" i="2"/>
  <c r="N322" i="2"/>
  <c r="M322" i="2"/>
  <c r="L322" i="2"/>
  <c r="K322" i="2"/>
  <c r="J322" i="2"/>
  <c r="I322" i="2"/>
  <c r="H322" i="2"/>
  <c r="G322" i="2"/>
  <c r="F322" i="2"/>
  <c r="E322" i="2"/>
  <c r="D322" i="2"/>
  <c r="C322" i="2"/>
  <c r="B322" i="2"/>
  <c r="A322" i="2"/>
  <c r="U321" i="2"/>
  <c r="T321" i="2"/>
  <c r="S321" i="2"/>
  <c r="R321" i="2"/>
  <c r="Q321" i="2"/>
  <c r="P321" i="2"/>
  <c r="O321" i="2"/>
  <c r="N321" i="2"/>
  <c r="M321" i="2"/>
  <c r="L321" i="2"/>
  <c r="K321" i="2"/>
  <c r="J321" i="2"/>
  <c r="I321" i="2"/>
  <c r="H321" i="2"/>
  <c r="G321" i="2"/>
  <c r="F321" i="2"/>
  <c r="E321" i="2"/>
  <c r="D321" i="2"/>
  <c r="C321" i="2"/>
  <c r="B321" i="2"/>
  <c r="A321" i="2"/>
  <c r="U320" i="2"/>
  <c r="T320" i="2"/>
  <c r="S320" i="2"/>
  <c r="R320" i="2"/>
  <c r="Q320" i="2"/>
  <c r="P320" i="2"/>
  <c r="O320" i="2"/>
  <c r="N320" i="2"/>
  <c r="M320" i="2"/>
  <c r="L320" i="2"/>
  <c r="K320" i="2"/>
  <c r="J320" i="2"/>
  <c r="I320" i="2"/>
  <c r="H320" i="2"/>
  <c r="G320" i="2"/>
  <c r="F320" i="2"/>
  <c r="E320" i="2"/>
  <c r="D320" i="2"/>
  <c r="C320" i="2"/>
  <c r="B320" i="2"/>
  <c r="A320" i="2"/>
  <c r="U319" i="2"/>
  <c r="T319" i="2"/>
  <c r="S319" i="2"/>
  <c r="R319" i="2"/>
  <c r="Q319" i="2"/>
  <c r="P319" i="2"/>
  <c r="O319" i="2"/>
  <c r="N319" i="2"/>
  <c r="M319" i="2"/>
  <c r="L319" i="2"/>
  <c r="K319" i="2"/>
  <c r="J319" i="2"/>
  <c r="I319" i="2"/>
  <c r="H319" i="2"/>
  <c r="G319" i="2"/>
  <c r="F319" i="2"/>
  <c r="E319" i="2"/>
  <c r="D319" i="2"/>
  <c r="C319" i="2"/>
  <c r="B319" i="2"/>
  <c r="A319" i="2"/>
  <c r="U318" i="2"/>
  <c r="T318" i="2"/>
  <c r="S318" i="2"/>
  <c r="R318" i="2"/>
  <c r="Q318" i="2"/>
  <c r="P318" i="2"/>
  <c r="O318" i="2"/>
  <c r="N318" i="2"/>
  <c r="M318" i="2"/>
  <c r="L318" i="2"/>
  <c r="K318" i="2"/>
  <c r="J318" i="2"/>
  <c r="I318" i="2"/>
  <c r="H318" i="2"/>
  <c r="G318" i="2"/>
  <c r="F318" i="2"/>
  <c r="E318" i="2"/>
  <c r="D318" i="2"/>
  <c r="C318" i="2"/>
  <c r="B318" i="2"/>
  <c r="A318" i="2"/>
  <c r="U317" i="2"/>
  <c r="T317" i="2"/>
  <c r="S317" i="2"/>
  <c r="R317" i="2"/>
  <c r="Q317" i="2"/>
  <c r="P317" i="2"/>
  <c r="O317" i="2"/>
  <c r="N317" i="2"/>
  <c r="M317" i="2"/>
  <c r="L317" i="2"/>
  <c r="K317" i="2"/>
  <c r="J317" i="2"/>
  <c r="I317" i="2"/>
  <c r="H317" i="2"/>
  <c r="G317" i="2"/>
  <c r="F317" i="2"/>
  <c r="E317" i="2"/>
  <c r="D317" i="2"/>
  <c r="C317" i="2"/>
  <c r="B317" i="2"/>
  <c r="A317" i="2"/>
  <c r="U316" i="2"/>
  <c r="T316" i="2"/>
  <c r="S316" i="2"/>
  <c r="R316" i="2"/>
  <c r="Q316" i="2"/>
  <c r="P316" i="2"/>
  <c r="O316" i="2"/>
  <c r="N316" i="2"/>
  <c r="M316" i="2"/>
  <c r="L316" i="2"/>
  <c r="K316" i="2"/>
  <c r="J316" i="2"/>
  <c r="I316" i="2"/>
  <c r="H316" i="2"/>
  <c r="G316" i="2"/>
  <c r="F316" i="2"/>
  <c r="E316" i="2"/>
  <c r="D316" i="2"/>
  <c r="C316" i="2"/>
  <c r="B316" i="2"/>
  <c r="A316" i="2"/>
  <c r="U315" i="2"/>
  <c r="T315" i="2"/>
  <c r="S315" i="2"/>
  <c r="R315" i="2"/>
  <c r="Q315" i="2"/>
  <c r="P315" i="2"/>
  <c r="O315" i="2"/>
  <c r="N315" i="2"/>
  <c r="M315" i="2"/>
  <c r="L315" i="2"/>
  <c r="K315" i="2"/>
  <c r="J315" i="2"/>
  <c r="I315" i="2"/>
  <c r="H315" i="2"/>
  <c r="G315" i="2"/>
  <c r="F315" i="2"/>
  <c r="E315" i="2"/>
  <c r="D315" i="2"/>
  <c r="C315" i="2"/>
  <c r="B315" i="2"/>
  <c r="A315" i="2"/>
  <c r="U314" i="2"/>
  <c r="T314" i="2"/>
  <c r="S314" i="2"/>
  <c r="R314" i="2"/>
  <c r="Q314" i="2"/>
  <c r="P314" i="2"/>
  <c r="O314" i="2"/>
  <c r="N314" i="2"/>
  <c r="M314" i="2"/>
  <c r="L314" i="2"/>
  <c r="K314" i="2"/>
  <c r="J314" i="2"/>
  <c r="I314" i="2"/>
  <c r="H314" i="2"/>
  <c r="G314" i="2"/>
  <c r="F314" i="2"/>
  <c r="E314" i="2"/>
  <c r="D314" i="2"/>
  <c r="C314" i="2"/>
  <c r="B314" i="2"/>
  <c r="A314" i="2"/>
  <c r="U313" i="2"/>
  <c r="T313" i="2"/>
  <c r="S313" i="2"/>
  <c r="R313" i="2"/>
  <c r="Q313" i="2"/>
  <c r="P313" i="2"/>
  <c r="O313" i="2"/>
  <c r="N313" i="2"/>
  <c r="M313" i="2"/>
  <c r="L313" i="2"/>
  <c r="K313" i="2"/>
  <c r="J313" i="2"/>
  <c r="I313" i="2"/>
  <c r="H313" i="2"/>
  <c r="G313" i="2"/>
  <c r="F313" i="2"/>
  <c r="E313" i="2"/>
  <c r="D313" i="2"/>
  <c r="C313" i="2"/>
  <c r="B313" i="2"/>
  <c r="A313" i="2"/>
  <c r="U312" i="2"/>
  <c r="T312" i="2"/>
  <c r="S312" i="2"/>
  <c r="R312" i="2"/>
  <c r="Q312" i="2"/>
  <c r="P312" i="2"/>
  <c r="O312" i="2"/>
  <c r="N312" i="2"/>
  <c r="M312" i="2"/>
  <c r="L312" i="2"/>
  <c r="K312" i="2"/>
  <c r="J312" i="2"/>
  <c r="I312" i="2"/>
  <c r="H312" i="2"/>
  <c r="G312" i="2"/>
  <c r="F312" i="2"/>
  <c r="E312" i="2"/>
  <c r="D312" i="2"/>
  <c r="C312" i="2"/>
  <c r="B312" i="2"/>
  <c r="A312" i="2"/>
  <c r="U311" i="2"/>
  <c r="T311" i="2"/>
  <c r="S311" i="2"/>
  <c r="R311" i="2"/>
  <c r="Q311" i="2"/>
  <c r="P311" i="2"/>
  <c r="O311" i="2"/>
  <c r="N311" i="2"/>
  <c r="M311" i="2"/>
  <c r="L311" i="2"/>
  <c r="K311" i="2"/>
  <c r="J311" i="2"/>
  <c r="I311" i="2"/>
  <c r="H311" i="2"/>
  <c r="G311" i="2"/>
  <c r="F311" i="2"/>
  <c r="E311" i="2"/>
  <c r="D311" i="2"/>
  <c r="C311" i="2"/>
  <c r="B311" i="2"/>
  <c r="A311" i="2"/>
  <c r="U310" i="2"/>
  <c r="T310" i="2"/>
  <c r="S310" i="2"/>
  <c r="R310" i="2"/>
  <c r="Q310" i="2"/>
  <c r="P310" i="2"/>
  <c r="O310" i="2"/>
  <c r="N310" i="2"/>
  <c r="M310" i="2"/>
  <c r="L310" i="2"/>
  <c r="K310" i="2"/>
  <c r="J310" i="2"/>
  <c r="I310" i="2"/>
  <c r="H310" i="2"/>
  <c r="G310" i="2"/>
  <c r="F310" i="2"/>
  <c r="E310" i="2"/>
  <c r="D310" i="2"/>
  <c r="C310" i="2"/>
  <c r="B310" i="2"/>
  <c r="A310" i="2"/>
  <c r="U309" i="2"/>
  <c r="T309" i="2"/>
  <c r="S309" i="2"/>
  <c r="R309" i="2"/>
  <c r="Q309" i="2"/>
  <c r="P309" i="2"/>
  <c r="O309" i="2"/>
  <c r="N309" i="2"/>
  <c r="M309" i="2"/>
  <c r="L309" i="2"/>
  <c r="K309" i="2"/>
  <c r="J309" i="2"/>
  <c r="I309" i="2"/>
  <c r="H309" i="2"/>
  <c r="G309" i="2"/>
  <c r="F309" i="2"/>
  <c r="E309" i="2"/>
  <c r="D309" i="2"/>
  <c r="C309" i="2"/>
  <c r="B309" i="2"/>
  <c r="A309" i="2"/>
  <c r="U308" i="2"/>
  <c r="T308" i="2"/>
  <c r="S308" i="2"/>
  <c r="R308" i="2"/>
  <c r="Q308" i="2"/>
  <c r="P308" i="2"/>
  <c r="O308" i="2"/>
  <c r="N308" i="2"/>
  <c r="M308" i="2"/>
  <c r="L308" i="2"/>
  <c r="K308" i="2"/>
  <c r="J308" i="2"/>
  <c r="I308" i="2"/>
  <c r="H308" i="2"/>
  <c r="G308" i="2"/>
  <c r="F308" i="2"/>
  <c r="E308" i="2"/>
  <c r="D308" i="2"/>
  <c r="C308" i="2"/>
  <c r="B308" i="2"/>
  <c r="A308" i="2"/>
  <c r="U307" i="2"/>
  <c r="T307" i="2"/>
  <c r="S307" i="2"/>
  <c r="R307" i="2"/>
  <c r="Q307" i="2"/>
  <c r="P307" i="2"/>
  <c r="O307" i="2"/>
  <c r="N307" i="2"/>
  <c r="M307" i="2"/>
  <c r="L307" i="2"/>
  <c r="K307" i="2"/>
  <c r="J307" i="2"/>
  <c r="I307" i="2"/>
  <c r="H307" i="2"/>
  <c r="G307" i="2"/>
  <c r="F307" i="2"/>
  <c r="E307" i="2"/>
  <c r="D307" i="2"/>
  <c r="C307" i="2"/>
  <c r="B307" i="2"/>
  <c r="A307" i="2"/>
  <c r="U306" i="2"/>
  <c r="T306" i="2"/>
  <c r="S306" i="2"/>
  <c r="R306" i="2"/>
  <c r="Q306" i="2"/>
  <c r="P306" i="2"/>
  <c r="O306" i="2"/>
  <c r="N306" i="2"/>
  <c r="M306" i="2"/>
  <c r="L306" i="2"/>
  <c r="K306" i="2"/>
  <c r="J306" i="2"/>
  <c r="I306" i="2"/>
  <c r="H306" i="2"/>
  <c r="G306" i="2"/>
  <c r="F306" i="2"/>
  <c r="E306" i="2"/>
  <c r="D306" i="2"/>
  <c r="C306" i="2"/>
  <c r="B306" i="2"/>
  <c r="A306" i="2"/>
  <c r="U305" i="2"/>
  <c r="T305" i="2"/>
  <c r="S305" i="2"/>
  <c r="R305" i="2"/>
  <c r="Q305" i="2"/>
  <c r="P305" i="2"/>
  <c r="O305" i="2"/>
  <c r="N305" i="2"/>
  <c r="M305" i="2"/>
  <c r="L305" i="2"/>
  <c r="K305" i="2"/>
  <c r="J305" i="2"/>
  <c r="I305" i="2"/>
  <c r="H305" i="2"/>
  <c r="G305" i="2"/>
  <c r="F305" i="2"/>
  <c r="E305" i="2"/>
  <c r="D305" i="2"/>
  <c r="C305" i="2"/>
  <c r="B305" i="2"/>
  <c r="A305" i="2"/>
  <c r="U304" i="2"/>
  <c r="T304" i="2"/>
  <c r="S304" i="2"/>
  <c r="R304" i="2"/>
  <c r="Q304" i="2"/>
  <c r="P304" i="2"/>
  <c r="O304" i="2"/>
  <c r="N304" i="2"/>
  <c r="M304" i="2"/>
  <c r="L304" i="2"/>
  <c r="K304" i="2"/>
  <c r="J304" i="2"/>
  <c r="I304" i="2"/>
  <c r="H304" i="2"/>
  <c r="G304" i="2"/>
  <c r="F304" i="2"/>
  <c r="E304" i="2"/>
  <c r="D304" i="2"/>
  <c r="C304" i="2"/>
  <c r="B304" i="2"/>
  <c r="A304" i="2"/>
  <c r="U303" i="2"/>
  <c r="T303" i="2"/>
  <c r="S303" i="2"/>
  <c r="R303" i="2"/>
  <c r="Q303" i="2"/>
  <c r="P303" i="2"/>
  <c r="O303" i="2"/>
  <c r="N303" i="2"/>
  <c r="M303" i="2"/>
  <c r="L303" i="2"/>
  <c r="K303" i="2"/>
  <c r="J303" i="2"/>
  <c r="I303" i="2"/>
  <c r="H303" i="2"/>
  <c r="G303" i="2"/>
  <c r="F303" i="2"/>
  <c r="E303" i="2"/>
  <c r="D303" i="2"/>
  <c r="C303" i="2"/>
  <c r="B303" i="2"/>
  <c r="A303" i="2"/>
  <c r="U302" i="2"/>
  <c r="T302" i="2"/>
  <c r="S302" i="2"/>
  <c r="R302" i="2"/>
  <c r="Q302" i="2"/>
  <c r="P302" i="2"/>
  <c r="O302" i="2"/>
  <c r="N302" i="2"/>
  <c r="M302" i="2"/>
  <c r="L302" i="2"/>
  <c r="K302" i="2"/>
  <c r="J302" i="2"/>
  <c r="I302" i="2"/>
  <c r="H302" i="2"/>
  <c r="G302" i="2"/>
  <c r="F302" i="2"/>
  <c r="E302" i="2"/>
  <c r="D302" i="2"/>
  <c r="C302" i="2"/>
  <c r="B302" i="2"/>
  <c r="A302" i="2"/>
  <c r="U301" i="2"/>
  <c r="T301" i="2"/>
  <c r="S301" i="2"/>
  <c r="R301" i="2"/>
  <c r="Q301" i="2"/>
  <c r="P301" i="2"/>
  <c r="O301" i="2"/>
  <c r="N301" i="2"/>
  <c r="M301" i="2"/>
  <c r="L301" i="2"/>
  <c r="K301" i="2"/>
  <c r="J301" i="2"/>
  <c r="I301" i="2"/>
  <c r="H301" i="2"/>
  <c r="G301" i="2"/>
  <c r="F301" i="2"/>
  <c r="E301" i="2"/>
  <c r="D301" i="2"/>
  <c r="C301" i="2"/>
  <c r="B301" i="2"/>
  <c r="A301" i="2"/>
  <c r="U300" i="2"/>
  <c r="T300" i="2"/>
  <c r="S300" i="2"/>
  <c r="R300" i="2"/>
  <c r="Q300" i="2"/>
  <c r="P300" i="2"/>
  <c r="O300" i="2"/>
  <c r="N300" i="2"/>
  <c r="M300" i="2"/>
  <c r="L300" i="2"/>
  <c r="K300" i="2"/>
  <c r="J300" i="2"/>
  <c r="I300" i="2"/>
  <c r="H300" i="2"/>
  <c r="G300" i="2"/>
  <c r="F300" i="2"/>
  <c r="E300" i="2"/>
  <c r="D300" i="2"/>
  <c r="C300" i="2"/>
  <c r="B300" i="2"/>
  <c r="A300" i="2"/>
  <c r="U299" i="2"/>
  <c r="T299" i="2"/>
  <c r="S299" i="2"/>
  <c r="R299" i="2"/>
  <c r="Q299" i="2"/>
  <c r="P299" i="2"/>
  <c r="O299" i="2"/>
  <c r="N299" i="2"/>
  <c r="M299" i="2"/>
  <c r="L299" i="2"/>
  <c r="K299" i="2"/>
  <c r="J299" i="2"/>
  <c r="I299" i="2"/>
  <c r="H299" i="2"/>
  <c r="G299" i="2"/>
  <c r="F299" i="2"/>
  <c r="E299" i="2"/>
  <c r="D299" i="2"/>
  <c r="C299" i="2"/>
  <c r="B299" i="2"/>
  <c r="A299" i="2"/>
  <c r="U298" i="2"/>
  <c r="T298" i="2"/>
  <c r="S298" i="2"/>
  <c r="R298" i="2"/>
  <c r="Q298" i="2"/>
  <c r="P298" i="2"/>
  <c r="O298" i="2"/>
  <c r="N298" i="2"/>
  <c r="M298" i="2"/>
  <c r="L298" i="2"/>
  <c r="K298" i="2"/>
  <c r="J298" i="2"/>
  <c r="I298" i="2"/>
  <c r="H298" i="2"/>
  <c r="G298" i="2"/>
  <c r="F298" i="2"/>
  <c r="E298" i="2"/>
  <c r="D298" i="2"/>
  <c r="C298" i="2"/>
  <c r="B298" i="2"/>
  <c r="A298" i="2"/>
  <c r="U297" i="2"/>
  <c r="T297" i="2"/>
  <c r="S297" i="2"/>
  <c r="R297" i="2"/>
  <c r="Q297" i="2"/>
  <c r="P297" i="2"/>
  <c r="O297" i="2"/>
  <c r="N297" i="2"/>
  <c r="M297" i="2"/>
  <c r="L297" i="2"/>
  <c r="K297" i="2"/>
  <c r="J297" i="2"/>
  <c r="I297" i="2"/>
  <c r="H297" i="2"/>
  <c r="G297" i="2"/>
  <c r="F297" i="2"/>
  <c r="E297" i="2"/>
  <c r="D297" i="2"/>
  <c r="C297" i="2"/>
  <c r="B297" i="2"/>
  <c r="A297" i="2"/>
  <c r="U296" i="2"/>
  <c r="T296" i="2"/>
  <c r="S296" i="2"/>
  <c r="R296" i="2"/>
  <c r="Q296" i="2"/>
  <c r="P296" i="2"/>
  <c r="O296" i="2"/>
  <c r="N296" i="2"/>
  <c r="M296" i="2"/>
  <c r="L296" i="2"/>
  <c r="K296" i="2"/>
  <c r="J296" i="2"/>
  <c r="I296" i="2"/>
  <c r="H296" i="2"/>
  <c r="G296" i="2"/>
  <c r="F296" i="2"/>
  <c r="E296" i="2"/>
  <c r="D296" i="2"/>
  <c r="C296" i="2"/>
  <c r="B296" i="2"/>
  <c r="A296" i="2"/>
  <c r="U295" i="2"/>
  <c r="T295" i="2"/>
  <c r="S295" i="2"/>
  <c r="R295" i="2"/>
  <c r="Q295" i="2"/>
  <c r="P295" i="2"/>
  <c r="O295" i="2"/>
  <c r="N295" i="2"/>
  <c r="M295" i="2"/>
  <c r="L295" i="2"/>
  <c r="K295" i="2"/>
  <c r="J295" i="2"/>
  <c r="I295" i="2"/>
  <c r="H295" i="2"/>
  <c r="G295" i="2"/>
  <c r="F295" i="2"/>
  <c r="E295" i="2"/>
  <c r="D295" i="2"/>
  <c r="C295" i="2"/>
  <c r="B295" i="2"/>
  <c r="A295" i="2"/>
  <c r="U294" i="2"/>
  <c r="T294" i="2"/>
  <c r="S294" i="2"/>
  <c r="R294" i="2"/>
  <c r="Q294" i="2"/>
  <c r="P294" i="2"/>
  <c r="O294" i="2"/>
  <c r="N294" i="2"/>
  <c r="M294" i="2"/>
  <c r="L294" i="2"/>
  <c r="K294" i="2"/>
  <c r="J294" i="2"/>
  <c r="I294" i="2"/>
  <c r="H294" i="2"/>
  <c r="G294" i="2"/>
  <c r="F294" i="2"/>
  <c r="E294" i="2"/>
  <c r="D294" i="2"/>
  <c r="C294" i="2"/>
  <c r="B294" i="2"/>
  <c r="A294" i="2"/>
  <c r="U293" i="2"/>
  <c r="T293" i="2"/>
  <c r="S293" i="2"/>
  <c r="R293" i="2"/>
  <c r="Q293" i="2"/>
  <c r="P293" i="2"/>
  <c r="O293" i="2"/>
  <c r="N293" i="2"/>
  <c r="M293" i="2"/>
  <c r="L293" i="2"/>
  <c r="K293" i="2"/>
  <c r="J293" i="2"/>
  <c r="I293" i="2"/>
  <c r="H293" i="2"/>
  <c r="G293" i="2"/>
  <c r="F293" i="2"/>
  <c r="E293" i="2"/>
  <c r="D293" i="2"/>
  <c r="C293" i="2"/>
  <c r="B293" i="2"/>
  <c r="A293" i="2"/>
  <c r="U292" i="2"/>
  <c r="T292" i="2"/>
  <c r="S292" i="2"/>
  <c r="R292" i="2"/>
  <c r="Q292" i="2"/>
  <c r="P292" i="2"/>
  <c r="O292" i="2"/>
  <c r="N292" i="2"/>
  <c r="M292" i="2"/>
  <c r="L292" i="2"/>
  <c r="K292" i="2"/>
  <c r="J292" i="2"/>
  <c r="I292" i="2"/>
  <c r="H292" i="2"/>
  <c r="G292" i="2"/>
  <c r="F292" i="2"/>
  <c r="E292" i="2"/>
  <c r="D292" i="2"/>
  <c r="C292" i="2"/>
  <c r="B292" i="2"/>
  <c r="A292" i="2"/>
  <c r="U291" i="2"/>
  <c r="T291" i="2"/>
  <c r="S291" i="2"/>
  <c r="R291" i="2"/>
  <c r="Q291" i="2"/>
  <c r="P291" i="2"/>
  <c r="O291" i="2"/>
  <c r="N291" i="2"/>
  <c r="M291" i="2"/>
  <c r="L291" i="2"/>
  <c r="K291" i="2"/>
  <c r="J291" i="2"/>
  <c r="I291" i="2"/>
  <c r="H291" i="2"/>
  <c r="G291" i="2"/>
  <c r="F291" i="2"/>
  <c r="E291" i="2"/>
  <c r="D291" i="2"/>
  <c r="C291" i="2"/>
  <c r="B291" i="2"/>
  <c r="A291" i="2"/>
  <c r="U290" i="2"/>
  <c r="T290" i="2"/>
  <c r="S290" i="2"/>
  <c r="R290" i="2"/>
  <c r="Q290" i="2"/>
  <c r="P290" i="2"/>
  <c r="O290" i="2"/>
  <c r="N290" i="2"/>
  <c r="M290" i="2"/>
  <c r="L290" i="2"/>
  <c r="K290" i="2"/>
  <c r="J290" i="2"/>
  <c r="I290" i="2"/>
  <c r="H290" i="2"/>
  <c r="G290" i="2"/>
  <c r="F290" i="2"/>
  <c r="E290" i="2"/>
  <c r="D290" i="2"/>
  <c r="C290" i="2"/>
  <c r="B290" i="2"/>
  <c r="A290" i="2"/>
  <c r="U289" i="2"/>
  <c r="T289" i="2"/>
  <c r="S289" i="2"/>
  <c r="R289" i="2"/>
  <c r="Q289" i="2"/>
  <c r="P289" i="2"/>
  <c r="O289" i="2"/>
  <c r="N289" i="2"/>
  <c r="M289" i="2"/>
  <c r="L289" i="2"/>
  <c r="K289" i="2"/>
  <c r="J289" i="2"/>
  <c r="I289" i="2"/>
  <c r="H289" i="2"/>
  <c r="G289" i="2"/>
  <c r="F289" i="2"/>
  <c r="E289" i="2"/>
  <c r="D289" i="2"/>
  <c r="C289" i="2"/>
  <c r="B289" i="2"/>
  <c r="A289" i="2"/>
  <c r="U288" i="2"/>
  <c r="T288" i="2"/>
  <c r="S288" i="2"/>
  <c r="R288" i="2"/>
  <c r="Q288" i="2"/>
  <c r="P288" i="2"/>
  <c r="O288" i="2"/>
  <c r="N288" i="2"/>
  <c r="M288" i="2"/>
  <c r="L288" i="2"/>
  <c r="K288" i="2"/>
  <c r="J288" i="2"/>
  <c r="I288" i="2"/>
  <c r="H288" i="2"/>
  <c r="G288" i="2"/>
  <c r="F288" i="2"/>
  <c r="E288" i="2"/>
  <c r="D288" i="2"/>
  <c r="C288" i="2"/>
  <c r="B288" i="2"/>
  <c r="A288" i="2"/>
  <c r="U287" i="2"/>
  <c r="T287" i="2"/>
  <c r="S287" i="2"/>
  <c r="R287" i="2"/>
  <c r="Q287" i="2"/>
  <c r="P287" i="2"/>
  <c r="O287" i="2"/>
  <c r="N287" i="2"/>
  <c r="M287" i="2"/>
  <c r="L287" i="2"/>
  <c r="K287" i="2"/>
  <c r="J287" i="2"/>
  <c r="I287" i="2"/>
  <c r="H287" i="2"/>
  <c r="G287" i="2"/>
  <c r="F287" i="2"/>
  <c r="E287" i="2"/>
  <c r="D287" i="2"/>
  <c r="C287" i="2"/>
  <c r="B287" i="2"/>
  <c r="A287" i="2"/>
  <c r="U286" i="2"/>
  <c r="T286" i="2"/>
  <c r="S286" i="2"/>
  <c r="R286" i="2"/>
  <c r="Q286" i="2"/>
  <c r="P286" i="2"/>
  <c r="O286" i="2"/>
  <c r="N286" i="2"/>
  <c r="M286" i="2"/>
  <c r="L286" i="2"/>
  <c r="K286" i="2"/>
  <c r="J286" i="2"/>
  <c r="I286" i="2"/>
  <c r="H286" i="2"/>
  <c r="G286" i="2"/>
  <c r="F286" i="2"/>
  <c r="E286" i="2"/>
  <c r="D286" i="2"/>
  <c r="C286" i="2"/>
  <c r="B286" i="2"/>
  <c r="A286" i="2"/>
  <c r="U285" i="2"/>
  <c r="T285" i="2"/>
  <c r="S285" i="2"/>
  <c r="R285" i="2"/>
  <c r="Q285" i="2"/>
  <c r="P285" i="2"/>
  <c r="O285" i="2"/>
  <c r="N285" i="2"/>
  <c r="M285" i="2"/>
  <c r="L285" i="2"/>
  <c r="K285" i="2"/>
  <c r="J285" i="2"/>
  <c r="I285" i="2"/>
  <c r="H285" i="2"/>
  <c r="G285" i="2"/>
  <c r="F285" i="2"/>
  <c r="E285" i="2"/>
  <c r="D285" i="2"/>
  <c r="C285" i="2"/>
  <c r="B285" i="2"/>
  <c r="A285" i="2"/>
  <c r="U284" i="2"/>
  <c r="T284" i="2"/>
  <c r="S284" i="2"/>
  <c r="R284" i="2"/>
  <c r="Q284" i="2"/>
  <c r="P284" i="2"/>
  <c r="O284" i="2"/>
  <c r="N284" i="2"/>
  <c r="M284" i="2"/>
  <c r="L284" i="2"/>
  <c r="K284" i="2"/>
  <c r="J284" i="2"/>
  <c r="I284" i="2"/>
  <c r="H284" i="2"/>
  <c r="G284" i="2"/>
  <c r="F284" i="2"/>
  <c r="E284" i="2"/>
  <c r="D284" i="2"/>
  <c r="C284" i="2"/>
  <c r="B284" i="2"/>
  <c r="A284" i="2"/>
  <c r="U283" i="2"/>
  <c r="T283" i="2"/>
  <c r="S283" i="2"/>
  <c r="R283" i="2"/>
  <c r="Q283" i="2"/>
  <c r="P283" i="2"/>
  <c r="O283" i="2"/>
  <c r="N283" i="2"/>
  <c r="M283" i="2"/>
  <c r="L283" i="2"/>
  <c r="K283" i="2"/>
  <c r="J283" i="2"/>
  <c r="I283" i="2"/>
  <c r="H283" i="2"/>
  <c r="G283" i="2"/>
  <c r="F283" i="2"/>
  <c r="E283" i="2"/>
  <c r="D283" i="2"/>
  <c r="C283" i="2"/>
  <c r="B283" i="2"/>
  <c r="A283" i="2"/>
  <c r="U282" i="2"/>
  <c r="T282" i="2"/>
  <c r="S282" i="2"/>
  <c r="R282" i="2"/>
  <c r="Q282" i="2"/>
  <c r="P282" i="2"/>
  <c r="O282" i="2"/>
  <c r="N282" i="2"/>
  <c r="M282" i="2"/>
  <c r="L282" i="2"/>
  <c r="K282" i="2"/>
  <c r="J282" i="2"/>
  <c r="I282" i="2"/>
  <c r="H282" i="2"/>
  <c r="G282" i="2"/>
  <c r="F282" i="2"/>
  <c r="E282" i="2"/>
  <c r="D282" i="2"/>
  <c r="C282" i="2"/>
  <c r="B282" i="2"/>
  <c r="A282" i="2"/>
  <c r="U281" i="2"/>
  <c r="T281" i="2"/>
  <c r="S281" i="2"/>
  <c r="R281" i="2"/>
  <c r="Q281" i="2"/>
  <c r="P281" i="2"/>
  <c r="O281" i="2"/>
  <c r="N281" i="2"/>
  <c r="M281" i="2"/>
  <c r="L281" i="2"/>
  <c r="K281" i="2"/>
  <c r="J281" i="2"/>
  <c r="I281" i="2"/>
  <c r="H281" i="2"/>
  <c r="G281" i="2"/>
  <c r="F281" i="2"/>
  <c r="E281" i="2"/>
  <c r="D281" i="2"/>
  <c r="C281" i="2"/>
  <c r="B281" i="2"/>
  <c r="A281" i="2"/>
  <c r="U280" i="2"/>
  <c r="T280" i="2"/>
  <c r="S280" i="2"/>
  <c r="R280" i="2"/>
  <c r="Q280" i="2"/>
  <c r="P280" i="2"/>
  <c r="O280" i="2"/>
  <c r="N280" i="2"/>
  <c r="M280" i="2"/>
  <c r="L280" i="2"/>
  <c r="K280" i="2"/>
  <c r="J280" i="2"/>
  <c r="I280" i="2"/>
  <c r="H280" i="2"/>
  <c r="G280" i="2"/>
  <c r="F280" i="2"/>
  <c r="E280" i="2"/>
  <c r="D280" i="2"/>
  <c r="C280" i="2"/>
  <c r="B280" i="2"/>
  <c r="A280" i="2"/>
  <c r="U279" i="2"/>
  <c r="T279" i="2"/>
  <c r="S279" i="2"/>
  <c r="R279" i="2"/>
  <c r="Q279" i="2"/>
  <c r="P279" i="2"/>
  <c r="O279" i="2"/>
  <c r="N279" i="2"/>
  <c r="M279" i="2"/>
  <c r="L279" i="2"/>
  <c r="K279" i="2"/>
  <c r="J279" i="2"/>
  <c r="I279" i="2"/>
  <c r="H279" i="2"/>
  <c r="G279" i="2"/>
  <c r="F279" i="2"/>
  <c r="E279" i="2"/>
  <c r="D279" i="2"/>
  <c r="C279" i="2"/>
  <c r="B279" i="2"/>
  <c r="A279" i="2"/>
  <c r="U278" i="2"/>
  <c r="T278" i="2"/>
  <c r="S278" i="2"/>
  <c r="R278" i="2"/>
  <c r="Q278" i="2"/>
  <c r="P278" i="2"/>
  <c r="O278" i="2"/>
  <c r="N278" i="2"/>
  <c r="M278" i="2"/>
  <c r="L278" i="2"/>
  <c r="K278" i="2"/>
  <c r="J278" i="2"/>
  <c r="I278" i="2"/>
  <c r="H278" i="2"/>
  <c r="G278" i="2"/>
  <c r="F278" i="2"/>
  <c r="E278" i="2"/>
  <c r="D278" i="2"/>
  <c r="C278" i="2"/>
  <c r="B278" i="2"/>
  <c r="A278" i="2"/>
  <c r="U277" i="2"/>
  <c r="T277" i="2"/>
  <c r="S277" i="2"/>
  <c r="R277" i="2"/>
  <c r="Q277" i="2"/>
  <c r="P277" i="2"/>
  <c r="O277" i="2"/>
  <c r="N277" i="2"/>
  <c r="M277" i="2"/>
  <c r="L277" i="2"/>
  <c r="K277" i="2"/>
  <c r="J277" i="2"/>
  <c r="I277" i="2"/>
  <c r="H277" i="2"/>
  <c r="G277" i="2"/>
  <c r="F277" i="2"/>
  <c r="E277" i="2"/>
  <c r="D277" i="2"/>
  <c r="C277" i="2"/>
  <c r="B277" i="2"/>
  <c r="A277" i="2"/>
  <c r="U276" i="2"/>
  <c r="T276" i="2"/>
  <c r="S276" i="2"/>
  <c r="R276" i="2"/>
  <c r="Q276" i="2"/>
  <c r="P276" i="2"/>
  <c r="O276" i="2"/>
  <c r="N276" i="2"/>
  <c r="M276" i="2"/>
  <c r="L276" i="2"/>
  <c r="K276" i="2"/>
  <c r="J276" i="2"/>
  <c r="I276" i="2"/>
  <c r="H276" i="2"/>
  <c r="G276" i="2"/>
  <c r="F276" i="2"/>
  <c r="E276" i="2"/>
  <c r="D276" i="2"/>
  <c r="C276" i="2"/>
  <c r="B276" i="2"/>
  <c r="A276" i="2"/>
  <c r="U275" i="2"/>
  <c r="T275" i="2"/>
  <c r="S275" i="2"/>
  <c r="R275" i="2"/>
  <c r="Q275" i="2"/>
  <c r="P275" i="2"/>
  <c r="O275" i="2"/>
  <c r="N275" i="2"/>
  <c r="M275" i="2"/>
  <c r="L275" i="2"/>
  <c r="K275" i="2"/>
  <c r="J275" i="2"/>
  <c r="I275" i="2"/>
  <c r="H275" i="2"/>
  <c r="G275" i="2"/>
  <c r="F275" i="2"/>
  <c r="E275" i="2"/>
  <c r="D275" i="2"/>
  <c r="C275" i="2"/>
  <c r="B275" i="2"/>
  <c r="A275" i="2"/>
  <c r="U274" i="2"/>
  <c r="T274" i="2"/>
  <c r="S274" i="2"/>
  <c r="R274" i="2"/>
  <c r="Q274" i="2"/>
  <c r="P274" i="2"/>
  <c r="O274" i="2"/>
  <c r="N274" i="2"/>
  <c r="M274" i="2"/>
  <c r="L274" i="2"/>
  <c r="K274" i="2"/>
  <c r="J274" i="2"/>
  <c r="I274" i="2"/>
  <c r="H274" i="2"/>
  <c r="G274" i="2"/>
  <c r="F274" i="2"/>
  <c r="E274" i="2"/>
  <c r="D274" i="2"/>
  <c r="C274" i="2"/>
  <c r="B274" i="2"/>
  <c r="A274" i="2"/>
  <c r="U273" i="2"/>
  <c r="T273" i="2"/>
  <c r="S273" i="2"/>
  <c r="R273" i="2"/>
  <c r="Q273" i="2"/>
  <c r="P273" i="2"/>
  <c r="O273" i="2"/>
  <c r="N273" i="2"/>
  <c r="M273" i="2"/>
  <c r="L273" i="2"/>
  <c r="K273" i="2"/>
  <c r="J273" i="2"/>
  <c r="I273" i="2"/>
  <c r="H273" i="2"/>
  <c r="G273" i="2"/>
  <c r="F273" i="2"/>
  <c r="E273" i="2"/>
  <c r="D273" i="2"/>
  <c r="C273" i="2"/>
  <c r="B273" i="2"/>
  <c r="A273" i="2"/>
  <c r="U272" i="2"/>
  <c r="T272" i="2"/>
  <c r="S272" i="2"/>
  <c r="R272" i="2"/>
  <c r="Q272" i="2"/>
  <c r="P272" i="2"/>
  <c r="O272" i="2"/>
  <c r="N272" i="2"/>
  <c r="M272" i="2"/>
  <c r="L272" i="2"/>
  <c r="K272" i="2"/>
  <c r="J272" i="2"/>
  <c r="I272" i="2"/>
  <c r="H272" i="2"/>
  <c r="G272" i="2"/>
  <c r="F272" i="2"/>
  <c r="E272" i="2"/>
  <c r="D272" i="2"/>
  <c r="C272" i="2"/>
  <c r="B272" i="2"/>
  <c r="A272" i="2"/>
  <c r="U271" i="2"/>
  <c r="T271" i="2"/>
  <c r="S271" i="2"/>
  <c r="R271" i="2"/>
  <c r="Q271" i="2"/>
  <c r="P271" i="2"/>
  <c r="O271" i="2"/>
  <c r="N271" i="2"/>
  <c r="M271" i="2"/>
  <c r="L271" i="2"/>
  <c r="K271" i="2"/>
  <c r="J271" i="2"/>
  <c r="I271" i="2"/>
  <c r="H271" i="2"/>
  <c r="G271" i="2"/>
  <c r="F271" i="2"/>
  <c r="E271" i="2"/>
  <c r="D271" i="2"/>
  <c r="C271" i="2"/>
  <c r="B271" i="2"/>
  <c r="A271" i="2"/>
  <c r="U270" i="2"/>
  <c r="T270" i="2"/>
  <c r="S270" i="2"/>
  <c r="R270" i="2"/>
  <c r="Q270" i="2"/>
  <c r="P270" i="2"/>
  <c r="O270" i="2"/>
  <c r="N270" i="2"/>
  <c r="M270" i="2"/>
  <c r="L270" i="2"/>
  <c r="K270" i="2"/>
  <c r="J270" i="2"/>
  <c r="I270" i="2"/>
  <c r="H270" i="2"/>
  <c r="G270" i="2"/>
  <c r="F270" i="2"/>
  <c r="E270" i="2"/>
  <c r="D270" i="2"/>
  <c r="C270" i="2"/>
  <c r="B270" i="2"/>
  <c r="A270" i="2"/>
  <c r="U269" i="2"/>
  <c r="T269" i="2"/>
  <c r="S269" i="2"/>
  <c r="R269" i="2"/>
  <c r="Q269" i="2"/>
  <c r="P269" i="2"/>
  <c r="O269" i="2"/>
  <c r="N269" i="2"/>
  <c r="M269" i="2"/>
  <c r="L269" i="2"/>
  <c r="K269" i="2"/>
  <c r="J269" i="2"/>
  <c r="I269" i="2"/>
  <c r="H269" i="2"/>
  <c r="G269" i="2"/>
  <c r="F269" i="2"/>
  <c r="E269" i="2"/>
  <c r="D269" i="2"/>
  <c r="C269" i="2"/>
  <c r="B269" i="2"/>
  <c r="A269" i="2"/>
  <c r="U268" i="2"/>
  <c r="T268" i="2"/>
  <c r="S268" i="2"/>
  <c r="R268" i="2"/>
  <c r="Q268" i="2"/>
  <c r="P268" i="2"/>
  <c r="O268" i="2"/>
  <c r="N268" i="2"/>
  <c r="M268" i="2"/>
  <c r="L268" i="2"/>
  <c r="K268" i="2"/>
  <c r="J268" i="2"/>
  <c r="I268" i="2"/>
  <c r="H268" i="2"/>
  <c r="G268" i="2"/>
  <c r="F268" i="2"/>
  <c r="E268" i="2"/>
  <c r="D268" i="2"/>
  <c r="C268" i="2"/>
  <c r="B268" i="2"/>
  <c r="A268" i="2"/>
  <c r="U267" i="2"/>
  <c r="T267" i="2"/>
  <c r="S267" i="2"/>
  <c r="R267" i="2"/>
  <c r="Q267" i="2"/>
  <c r="P267" i="2"/>
  <c r="O267" i="2"/>
  <c r="N267" i="2"/>
  <c r="M267" i="2"/>
  <c r="L267" i="2"/>
  <c r="K267" i="2"/>
  <c r="J267" i="2"/>
  <c r="I267" i="2"/>
  <c r="H267" i="2"/>
  <c r="G267" i="2"/>
  <c r="F267" i="2"/>
  <c r="E267" i="2"/>
  <c r="D267" i="2"/>
  <c r="C267" i="2"/>
  <c r="B267" i="2"/>
  <c r="A267" i="2"/>
  <c r="U266" i="2"/>
  <c r="T266" i="2"/>
  <c r="S266" i="2"/>
  <c r="R266" i="2"/>
  <c r="Q266" i="2"/>
  <c r="P266" i="2"/>
  <c r="O266" i="2"/>
  <c r="N266" i="2"/>
  <c r="M266" i="2"/>
  <c r="L266" i="2"/>
  <c r="K266" i="2"/>
  <c r="J266" i="2"/>
  <c r="I266" i="2"/>
  <c r="H266" i="2"/>
  <c r="G266" i="2"/>
  <c r="F266" i="2"/>
  <c r="E266" i="2"/>
  <c r="D266" i="2"/>
  <c r="C266" i="2"/>
  <c r="B266" i="2"/>
  <c r="A266" i="2"/>
  <c r="U265" i="2"/>
  <c r="T265" i="2"/>
  <c r="S265" i="2"/>
  <c r="R265" i="2"/>
  <c r="Q265" i="2"/>
  <c r="P265" i="2"/>
  <c r="O265" i="2"/>
  <c r="N265" i="2"/>
  <c r="M265" i="2"/>
  <c r="L265" i="2"/>
  <c r="K265" i="2"/>
  <c r="J265" i="2"/>
  <c r="I265" i="2"/>
  <c r="H265" i="2"/>
  <c r="G265" i="2"/>
  <c r="F265" i="2"/>
  <c r="E265" i="2"/>
  <c r="D265" i="2"/>
  <c r="C265" i="2"/>
  <c r="B265" i="2"/>
  <c r="A265" i="2"/>
  <c r="U264" i="2"/>
  <c r="T264" i="2"/>
  <c r="S264" i="2"/>
  <c r="R264" i="2"/>
  <c r="Q264" i="2"/>
  <c r="P264" i="2"/>
  <c r="O264" i="2"/>
  <c r="N264" i="2"/>
  <c r="M264" i="2"/>
  <c r="L264" i="2"/>
  <c r="K264" i="2"/>
  <c r="J264" i="2"/>
  <c r="I264" i="2"/>
  <c r="H264" i="2"/>
  <c r="G264" i="2"/>
  <c r="F264" i="2"/>
  <c r="E264" i="2"/>
  <c r="D264" i="2"/>
  <c r="C264" i="2"/>
  <c r="B264" i="2"/>
  <c r="A264" i="2"/>
  <c r="U263" i="2"/>
  <c r="T263" i="2"/>
  <c r="S263" i="2"/>
  <c r="R263" i="2"/>
  <c r="Q263" i="2"/>
  <c r="P263" i="2"/>
  <c r="O263" i="2"/>
  <c r="N263" i="2"/>
  <c r="M263" i="2"/>
  <c r="L263" i="2"/>
  <c r="K263" i="2"/>
  <c r="J263" i="2"/>
  <c r="I263" i="2"/>
  <c r="H263" i="2"/>
  <c r="G263" i="2"/>
  <c r="F263" i="2"/>
  <c r="E263" i="2"/>
  <c r="D263" i="2"/>
  <c r="C263" i="2"/>
  <c r="B263" i="2"/>
  <c r="A263" i="2"/>
  <c r="U262" i="2"/>
  <c r="T262" i="2"/>
  <c r="S262" i="2"/>
  <c r="R262" i="2"/>
  <c r="Q262" i="2"/>
  <c r="P262" i="2"/>
  <c r="O262" i="2"/>
  <c r="N262" i="2"/>
  <c r="M262" i="2"/>
  <c r="L262" i="2"/>
  <c r="K262" i="2"/>
  <c r="J262" i="2"/>
  <c r="I262" i="2"/>
  <c r="H262" i="2"/>
  <c r="G262" i="2"/>
  <c r="F262" i="2"/>
  <c r="E262" i="2"/>
  <c r="D262" i="2"/>
  <c r="C262" i="2"/>
  <c r="B262" i="2"/>
  <c r="A262" i="2"/>
  <c r="U261" i="2"/>
  <c r="T261" i="2"/>
  <c r="S261" i="2"/>
  <c r="R261" i="2"/>
  <c r="Q261" i="2"/>
  <c r="P261" i="2"/>
  <c r="O261" i="2"/>
  <c r="N261" i="2"/>
  <c r="M261" i="2"/>
  <c r="L261" i="2"/>
  <c r="K261" i="2"/>
  <c r="J261" i="2"/>
  <c r="I261" i="2"/>
  <c r="H261" i="2"/>
  <c r="G261" i="2"/>
  <c r="F261" i="2"/>
  <c r="E261" i="2"/>
  <c r="D261" i="2"/>
  <c r="C261" i="2"/>
  <c r="B261" i="2"/>
  <c r="A261" i="2"/>
  <c r="U260" i="2"/>
  <c r="T260" i="2"/>
  <c r="S260" i="2"/>
  <c r="R260" i="2"/>
  <c r="Q260" i="2"/>
  <c r="P260" i="2"/>
  <c r="O260" i="2"/>
  <c r="N260" i="2"/>
  <c r="M260" i="2"/>
  <c r="L260" i="2"/>
  <c r="K260" i="2"/>
  <c r="J260" i="2"/>
  <c r="I260" i="2"/>
  <c r="H260" i="2"/>
  <c r="G260" i="2"/>
  <c r="F260" i="2"/>
  <c r="E260" i="2"/>
  <c r="D260" i="2"/>
  <c r="C260" i="2"/>
  <c r="B260" i="2"/>
  <c r="A260" i="2"/>
  <c r="U259" i="2"/>
  <c r="T259" i="2"/>
  <c r="S259" i="2"/>
  <c r="R259" i="2"/>
  <c r="Q259" i="2"/>
  <c r="P259" i="2"/>
  <c r="O259" i="2"/>
  <c r="N259" i="2"/>
  <c r="M259" i="2"/>
  <c r="L259" i="2"/>
  <c r="K259" i="2"/>
  <c r="J259" i="2"/>
  <c r="I259" i="2"/>
  <c r="H259" i="2"/>
  <c r="G259" i="2"/>
  <c r="F259" i="2"/>
  <c r="E259" i="2"/>
  <c r="D259" i="2"/>
  <c r="C259" i="2"/>
  <c r="B259" i="2"/>
  <c r="A259" i="2"/>
  <c r="U258" i="2"/>
  <c r="T258" i="2"/>
  <c r="S258" i="2"/>
  <c r="R258" i="2"/>
  <c r="Q258" i="2"/>
  <c r="P258" i="2"/>
  <c r="O258" i="2"/>
  <c r="N258" i="2"/>
  <c r="M258" i="2"/>
  <c r="L258" i="2"/>
  <c r="K258" i="2"/>
  <c r="J258" i="2"/>
  <c r="I258" i="2"/>
  <c r="H258" i="2"/>
  <c r="G258" i="2"/>
  <c r="F258" i="2"/>
  <c r="E258" i="2"/>
  <c r="D258" i="2"/>
  <c r="C258" i="2"/>
  <c r="B258" i="2"/>
  <c r="A258" i="2"/>
  <c r="U257" i="2"/>
  <c r="T257" i="2"/>
  <c r="S257" i="2"/>
  <c r="R257" i="2"/>
  <c r="Q257" i="2"/>
  <c r="P257" i="2"/>
  <c r="O257" i="2"/>
  <c r="N257" i="2"/>
  <c r="M257" i="2"/>
  <c r="L257" i="2"/>
  <c r="K257" i="2"/>
  <c r="J257" i="2"/>
  <c r="I257" i="2"/>
  <c r="H257" i="2"/>
  <c r="G257" i="2"/>
  <c r="F257" i="2"/>
  <c r="E257" i="2"/>
  <c r="D257" i="2"/>
  <c r="C257" i="2"/>
  <c r="B257" i="2"/>
  <c r="A257" i="2"/>
  <c r="U256" i="2"/>
  <c r="T256" i="2"/>
  <c r="S256" i="2"/>
  <c r="R256" i="2"/>
  <c r="Q256" i="2"/>
  <c r="P256" i="2"/>
  <c r="O256" i="2"/>
  <c r="N256" i="2"/>
  <c r="M256" i="2"/>
  <c r="L256" i="2"/>
  <c r="K256" i="2"/>
  <c r="J256" i="2"/>
  <c r="I256" i="2"/>
  <c r="H256" i="2"/>
  <c r="G256" i="2"/>
  <c r="F256" i="2"/>
  <c r="E256" i="2"/>
  <c r="D256" i="2"/>
  <c r="C256" i="2"/>
  <c r="B256" i="2"/>
  <c r="A256" i="2"/>
  <c r="U255" i="2"/>
  <c r="T255" i="2"/>
  <c r="S255" i="2"/>
  <c r="R255" i="2"/>
  <c r="Q255" i="2"/>
  <c r="P255" i="2"/>
  <c r="O255" i="2"/>
  <c r="N255" i="2"/>
  <c r="M255" i="2"/>
  <c r="L255" i="2"/>
  <c r="K255" i="2"/>
  <c r="J255" i="2"/>
  <c r="I255" i="2"/>
  <c r="H255" i="2"/>
  <c r="G255" i="2"/>
  <c r="F255" i="2"/>
  <c r="E255" i="2"/>
  <c r="D255" i="2"/>
  <c r="C255" i="2"/>
  <c r="B255" i="2"/>
  <c r="A255" i="2"/>
  <c r="U254" i="2"/>
  <c r="T254" i="2"/>
  <c r="S254" i="2"/>
  <c r="R254" i="2"/>
  <c r="Q254" i="2"/>
  <c r="P254" i="2"/>
  <c r="O254" i="2"/>
  <c r="N254" i="2"/>
  <c r="M254" i="2"/>
  <c r="L254" i="2"/>
  <c r="K254" i="2"/>
  <c r="J254" i="2"/>
  <c r="I254" i="2"/>
  <c r="H254" i="2"/>
  <c r="G254" i="2"/>
  <c r="F254" i="2"/>
  <c r="E254" i="2"/>
  <c r="D254" i="2"/>
  <c r="C254" i="2"/>
  <c r="B254" i="2"/>
  <c r="A254" i="2"/>
  <c r="U253" i="2"/>
  <c r="T253" i="2"/>
  <c r="S253" i="2"/>
  <c r="R253" i="2"/>
  <c r="Q253" i="2"/>
  <c r="P253" i="2"/>
  <c r="O253" i="2"/>
  <c r="N253" i="2"/>
  <c r="M253" i="2"/>
  <c r="L253" i="2"/>
  <c r="K253" i="2"/>
  <c r="J253" i="2"/>
  <c r="I253" i="2"/>
  <c r="H253" i="2"/>
  <c r="G253" i="2"/>
  <c r="F253" i="2"/>
  <c r="E253" i="2"/>
  <c r="D253" i="2"/>
  <c r="C253" i="2"/>
  <c r="B253" i="2"/>
  <c r="A253" i="2"/>
  <c r="U252" i="2"/>
  <c r="T252" i="2"/>
  <c r="S252" i="2"/>
  <c r="R252" i="2"/>
  <c r="Q252" i="2"/>
  <c r="P252" i="2"/>
  <c r="O252" i="2"/>
  <c r="N252" i="2"/>
  <c r="M252" i="2"/>
  <c r="L252" i="2"/>
  <c r="K252" i="2"/>
  <c r="J252" i="2"/>
  <c r="I252" i="2"/>
  <c r="H252" i="2"/>
  <c r="G252" i="2"/>
  <c r="F252" i="2"/>
  <c r="E252" i="2"/>
  <c r="D252" i="2"/>
  <c r="C252" i="2"/>
  <c r="B252" i="2"/>
  <c r="A252" i="2"/>
  <c r="U251" i="2"/>
  <c r="T251" i="2"/>
  <c r="S251" i="2"/>
  <c r="R251" i="2"/>
  <c r="Q251" i="2"/>
  <c r="P251" i="2"/>
  <c r="O251" i="2"/>
  <c r="N251" i="2"/>
  <c r="M251" i="2"/>
  <c r="L251" i="2"/>
  <c r="K251" i="2"/>
  <c r="J251" i="2"/>
  <c r="I251" i="2"/>
  <c r="H251" i="2"/>
  <c r="G251" i="2"/>
  <c r="F251" i="2"/>
  <c r="E251" i="2"/>
  <c r="D251" i="2"/>
  <c r="C251" i="2"/>
  <c r="B251" i="2"/>
  <c r="A251" i="2"/>
  <c r="U250" i="2"/>
  <c r="T250" i="2"/>
  <c r="S250" i="2"/>
  <c r="R250" i="2"/>
  <c r="Q250" i="2"/>
  <c r="P250" i="2"/>
  <c r="O250" i="2"/>
  <c r="N250" i="2"/>
  <c r="M250" i="2"/>
  <c r="L250" i="2"/>
  <c r="K250" i="2"/>
  <c r="J250" i="2"/>
  <c r="I250" i="2"/>
  <c r="H250" i="2"/>
  <c r="G250" i="2"/>
  <c r="F250" i="2"/>
  <c r="E250" i="2"/>
  <c r="D250" i="2"/>
  <c r="C250" i="2"/>
  <c r="B250" i="2"/>
  <c r="A250" i="2"/>
  <c r="U249" i="2"/>
  <c r="T249" i="2"/>
  <c r="S249" i="2"/>
  <c r="R249" i="2"/>
  <c r="Q249" i="2"/>
  <c r="P249" i="2"/>
  <c r="O249" i="2"/>
  <c r="N249" i="2"/>
  <c r="M249" i="2"/>
  <c r="L249" i="2"/>
  <c r="K249" i="2"/>
  <c r="J249" i="2"/>
  <c r="I249" i="2"/>
  <c r="H249" i="2"/>
  <c r="G249" i="2"/>
  <c r="F249" i="2"/>
  <c r="E249" i="2"/>
  <c r="D249" i="2"/>
  <c r="C249" i="2"/>
  <c r="B249" i="2"/>
  <c r="A249" i="2"/>
  <c r="U248" i="2"/>
  <c r="T248" i="2"/>
  <c r="S248" i="2"/>
  <c r="R248" i="2"/>
  <c r="Q248" i="2"/>
  <c r="P248" i="2"/>
  <c r="O248" i="2"/>
  <c r="N248" i="2"/>
  <c r="M248" i="2"/>
  <c r="L248" i="2"/>
  <c r="K248" i="2"/>
  <c r="J248" i="2"/>
  <c r="I248" i="2"/>
  <c r="H248" i="2"/>
  <c r="G248" i="2"/>
  <c r="F248" i="2"/>
  <c r="E248" i="2"/>
  <c r="D248" i="2"/>
  <c r="C248" i="2"/>
  <c r="B248" i="2"/>
  <c r="A248" i="2"/>
  <c r="U247" i="2"/>
  <c r="T247" i="2"/>
  <c r="S247" i="2"/>
  <c r="R247" i="2"/>
  <c r="Q247" i="2"/>
  <c r="P247" i="2"/>
  <c r="O247" i="2"/>
  <c r="N247" i="2"/>
  <c r="M247" i="2"/>
  <c r="L247" i="2"/>
  <c r="K247" i="2"/>
  <c r="J247" i="2"/>
  <c r="I247" i="2"/>
  <c r="H247" i="2"/>
  <c r="G247" i="2"/>
  <c r="F247" i="2"/>
  <c r="E247" i="2"/>
  <c r="D247" i="2"/>
  <c r="C247" i="2"/>
  <c r="B247" i="2"/>
  <c r="A247" i="2"/>
  <c r="U246" i="2"/>
  <c r="T246" i="2"/>
  <c r="S246" i="2"/>
  <c r="R246" i="2"/>
  <c r="Q246" i="2"/>
  <c r="P246" i="2"/>
  <c r="O246" i="2"/>
  <c r="N246" i="2"/>
  <c r="M246" i="2"/>
  <c r="L246" i="2"/>
  <c r="K246" i="2"/>
  <c r="J246" i="2"/>
  <c r="I246" i="2"/>
  <c r="H246" i="2"/>
  <c r="G246" i="2"/>
  <c r="F246" i="2"/>
  <c r="E246" i="2"/>
  <c r="D246" i="2"/>
  <c r="C246" i="2"/>
  <c r="B246" i="2"/>
  <c r="A246" i="2"/>
  <c r="U245" i="2"/>
  <c r="T245" i="2"/>
  <c r="S245" i="2"/>
  <c r="R245" i="2"/>
  <c r="Q245" i="2"/>
  <c r="P245" i="2"/>
  <c r="O245" i="2"/>
  <c r="N245" i="2"/>
  <c r="M245" i="2"/>
  <c r="L245" i="2"/>
  <c r="K245" i="2"/>
  <c r="J245" i="2"/>
  <c r="I245" i="2"/>
  <c r="H245" i="2"/>
  <c r="G245" i="2"/>
  <c r="F245" i="2"/>
  <c r="E245" i="2"/>
  <c r="D245" i="2"/>
  <c r="C245" i="2"/>
  <c r="B245" i="2"/>
  <c r="A245" i="2"/>
  <c r="U244" i="2"/>
  <c r="T244" i="2"/>
  <c r="S244" i="2"/>
  <c r="R244" i="2"/>
  <c r="Q244" i="2"/>
  <c r="P244" i="2"/>
  <c r="O244" i="2"/>
  <c r="N244" i="2"/>
  <c r="M244" i="2"/>
  <c r="L244" i="2"/>
  <c r="K244" i="2"/>
  <c r="J244" i="2"/>
  <c r="I244" i="2"/>
  <c r="H244" i="2"/>
  <c r="G244" i="2"/>
  <c r="F244" i="2"/>
  <c r="E244" i="2"/>
  <c r="D244" i="2"/>
  <c r="C244" i="2"/>
  <c r="B244" i="2"/>
  <c r="A244" i="2"/>
  <c r="U243" i="2"/>
  <c r="T243" i="2"/>
  <c r="S243" i="2"/>
  <c r="R243" i="2"/>
  <c r="Q243" i="2"/>
  <c r="P243" i="2"/>
  <c r="O243" i="2"/>
  <c r="N243" i="2"/>
  <c r="M243" i="2"/>
  <c r="L243" i="2"/>
  <c r="K243" i="2"/>
  <c r="J243" i="2"/>
  <c r="I243" i="2"/>
  <c r="H243" i="2"/>
  <c r="G243" i="2"/>
  <c r="F243" i="2"/>
  <c r="E243" i="2"/>
  <c r="D243" i="2"/>
  <c r="C243" i="2"/>
  <c r="B243" i="2"/>
  <c r="A243" i="2"/>
  <c r="U242" i="2"/>
  <c r="T242" i="2"/>
  <c r="S242" i="2"/>
  <c r="R242" i="2"/>
  <c r="Q242" i="2"/>
  <c r="P242" i="2"/>
  <c r="O242" i="2"/>
  <c r="N242" i="2"/>
  <c r="M242" i="2"/>
  <c r="L242" i="2"/>
  <c r="K242" i="2"/>
  <c r="J242" i="2"/>
  <c r="I242" i="2"/>
  <c r="H242" i="2"/>
  <c r="G242" i="2"/>
  <c r="F242" i="2"/>
  <c r="E242" i="2"/>
  <c r="D242" i="2"/>
  <c r="C242" i="2"/>
  <c r="B242" i="2"/>
  <c r="A242" i="2"/>
  <c r="U241" i="2"/>
  <c r="T241" i="2"/>
  <c r="S241" i="2"/>
  <c r="R241" i="2"/>
  <c r="Q241" i="2"/>
  <c r="P241" i="2"/>
  <c r="O241" i="2"/>
  <c r="N241" i="2"/>
  <c r="M241" i="2"/>
  <c r="L241" i="2"/>
  <c r="K241" i="2"/>
  <c r="J241" i="2"/>
  <c r="I241" i="2"/>
  <c r="H241" i="2"/>
  <c r="G241" i="2"/>
  <c r="F241" i="2"/>
  <c r="E241" i="2"/>
  <c r="D241" i="2"/>
  <c r="C241" i="2"/>
  <c r="B241" i="2"/>
  <c r="A241" i="2"/>
  <c r="U240" i="2"/>
  <c r="T240" i="2"/>
  <c r="S240" i="2"/>
  <c r="R240" i="2"/>
  <c r="Q240" i="2"/>
  <c r="P240" i="2"/>
  <c r="O240" i="2"/>
  <c r="N240" i="2"/>
  <c r="M240" i="2"/>
  <c r="L240" i="2"/>
  <c r="K240" i="2"/>
  <c r="J240" i="2"/>
  <c r="I240" i="2"/>
  <c r="H240" i="2"/>
  <c r="G240" i="2"/>
  <c r="F240" i="2"/>
  <c r="E240" i="2"/>
  <c r="D240" i="2"/>
  <c r="C240" i="2"/>
  <c r="B240" i="2"/>
  <c r="A240" i="2"/>
  <c r="U239" i="2"/>
  <c r="T239" i="2"/>
  <c r="S239" i="2"/>
  <c r="R239" i="2"/>
  <c r="Q239" i="2"/>
  <c r="P239" i="2"/>
  <c r="O239" i="2"/>
  <c r="N239" i="2"/>
  <c r="M239" i="2"/>
  <c r="L239" i="2"/>
  <c r="K239" i="2"/>
  <c r="J239" i="2"/>
  <c r="I239" i="2"/>
  <c r="H239" i="2"/>
  <c r="G239" i="2"/>
  <c r="F239" i="2"/>
  <c r="E239" i="2"/>
  <c r="D239" i="2"/>
  <c r="C239" i="2"/>
  <c r="B239" i="2"/>
  <c r="A239" i="2"/>
  <c r="U238" i="2"/>
  <c r="T238" i="2"/>
  <c r="S238" i="2"/>
  <c r="R238" i="2"/>
  <c r="Q238" i="2"/>
  <c r="P238" i="2"/>
  <c r="O238" i="2"/>
  <c r="N238" i="2"/>
  <c r="M238" i="2"/>
  <c r="L238" i="2"/>
  <c r="K238" i="2"/>
  <c r="J238" i="2"/>
  <c r="I238" i="2"/>
  <c r="H238" i="2"/>
  <c r="G238" i="2"/>
  <c r="F238" i="2"/>
  <c r="E238" i="2"/>
  <c r="D238" i="2"/>
  <c r="C238" i="2"/>
  <c r="B238" i="2"/>
  <c r="A238" i="2"/>
  <c r="U237" i="2"/>
  <c r="T237" i="2"/>
  <c r="S237" i="2"/>
  <c r="R237" i="2"/>
  <c r="Q237" i="2"/>
  <c r="P237" i="2"/>
  <c r="O237" i="2"/>
  <c r="N237" i="2"/>
  <c r="M237" i="2"/>
  <c r="L237" i="2"/>
  <c r="K237" i="2"/>
  <c r="J237" i="2"/>
  <c r="I237" i="2"/>
  <c r="H237" i="2"/>
  <c r="G237" i="2"/>
  <c r="F237" i="2"/>
  <c r="E237" i="2"/>
  <c r="D237" i="2"/>
  <c r="C237" i="2"/>
  <c r="B237" i="2"/>
  <c r="A237" i="2"/>
  <c r="U236" i="2"/>
  <c r="T236" i="2"/>
  <c r="S236" i="2"/>
  <c r="R236" i="2"/>
  <c r="Q236" i="2"/>
  <c r="P236" i="2"/>
  <c r="O236" i="2"/>
  <c r="N236" i="2"/>
  <c r="M236" i="2"/>
  <c r="L236" i="2"/>
  <c r="K236" i="2"/>
  <c r="J236" i="2"/>
  <c r="I236" i="2"/>
  <c r="H236" i="2"/>
  <c r="G236" i="2"/>
  <c r="F236" i="2"/>
  <c r="E236" i="2"/>
  <c r="D236" i="2"/>
  <c r="C236" i="2"/>
  <c r="B236" i="2"/>
  <c r="A236" i="2"/>
  <c r="U235" i="2"/>
  <c r="T235" i="2"/>
  <c r="S235" i="2"/>
  <c r="R235" i="2"/>
  <c r="Q235" i="2"/>
  <c r="P235" i="2"/>
  <c r="O235" i="2"/>
  <c r="N235" i="2"/>
  <c r="M235" i="2"/>
  <c r="L235" i="2"/>
  <c r="K235" i="2"/>
  <c r="J235" i="2"/>
  <c r="I235" i="2"/>
  <c r="H235" i="2"/>
  <c r="G235" i="2"/>
  <c r="F235" i="2"/>
  <c r="E235" i="2"/>
  <c r="D235" i="2"/>
  <c r="C235" i="2"/>
  <c r="B235" i="2"/>
  <c r="A235" i="2"/>
  <c r="U234" i="2"/>
  <c r="T234" i="2"/>
  <c r="S234" i="2"/>
  <c r="R234" i="2"/>
  <c r="Q234" i="2"/>
  <c r="P234" i="2"/>
  <c r="O234" i="2"/>
  <c r="N234" i="2"/>
  <c r="M234" i="2"/>
  <c r="L234" i="2"/>
  <c r="K234" i="2"/>
  <c r="J234" i="2"/>
  <c r="I234" i="2"/>
  <c r="H234" i="2"/>
  <c r="G234" i="2"/>
  <c r="F234" i="2"/>
  <c r="E234" i="2"/>
  <c r="D234" i="2"/>
  <c r="C234" i="2"/>
  <c r="B234" i="2"/>
  <c r="A234" i="2"/>
  <c r="U233" i="2"/>
  <c r="T233" i="2"/>
  <c r="S233" i="2"/>
  <c r="R233" i="2"/>
  <c r="Q233" i="2"/>
  <c r="P233" i="2"/>
  <c r="O233" i="2"/>
  <c r="N233" i="2"/>
  <c r="M233" i="2"/>
  <c r="L233" i="2"/>
  <c r="K233" i="2"/>
  <c r="J233" i="2"/>
  <c r="I233" i="2"/>
  <c r="H233" i="2"/>
  <c r="G233" i="2"/>
  <c r="F233" i="2"/>
  <c r="E233" i="2"/>
  <c r="D233" i="2"/>
  <c r="C233" i="2"/>
  <c r="B233" i="2"/>
  <c r="A233" i="2"/>
  <c r="U232" i="2"/>
  <c r="T232" i="2"/>
  <c r="S232" i="2"/>
  <c r="R232" i="2"/>
  <c r="Q232" i="2"/>
  <c r="P232" i="2"/>
  <c r="O232" i="2"/>
  <c r="N232" i="2"/>
  <c r="M232" i="2"/>
  <c r="L232" i="2"/>
  <c r="K232" i="2"/>
  <c r="J232" i="2"/>
  <c r="I232" i="2"/>
  <c r="H232" i="2"/>
  <c r="G232" i="2"/>
  <c r="F232" i="2"/>
  <c r="E232" i="2"/>
  <c r="D232" i="2"/>
  <c r="C232" i="2"/>
  <c r="B232" i="2"/>
  <c r="A232" i="2"/>
  <c r="U231" i="2"/>
  <c r="T231" i="2"/>
  <c r="S231" i="2"/>
  <c r="R231" i="2"/>
  <c r="Q231" i="2"/>
  <c r="P231" i="2"/>
  <c r="O231" i="2"/>
  <c r="N231" i="2"/>
  <c r="M231" i="2"/>
  <c r="L231" i="2"/>
  <c r="K231" i="2"/>
  <c r="J231" i="2"/>
  <c r="I231" i="2"/>
  <c r="H231" i="2"/>
  <c r="G231" i="2"/>
  <c r="F231" i="2"/>
  <c r="E231" i="2"/>
  <c r="D231" i="2"/>
  <c r="C231" i="2"/>
  <c r="B231" i="2"/>
  <c r="A231" i="2"/>
  <c r="U230" i="2"/>
  <c r="T230" i="2"/>
  <c r="S230" i="2"/>
  <c r="R230" i="2"/>
  <c r="Q230" i="2"/>
  <c r="P230" i="2"/>
  <c r="O230" i="2"/>
  <c r="N230" i="2"/>
  <c r="M230" i="2"/>
  <c r="L230" i="2"/>
  <c r="K230" i="2"/>
  <c r="J230" i="2"/>
  <c r="I230" i="2"/>
  <c r="H230" i="2"/>
  <c r="G230" i="2"/>
  <c r="F230" i="2"/>
  <c r="E230" i="2"/>
  <c r="D230" i="2"/>
  <c r="C230" i="2"/>
  <c r="B230" i="2"/>
  <c r="A230" i="2"/>
  <c r="U229" i="2"/>
  <c r="T229" i="2"/>
  <c r="S229" i="2"/>
  <c r="R229" i="2"/>
  <c r="Q229" i="2"/>
  <c r="P229" i="2"/>
  <c r="O229" i="2"/>
  <c r="N229" i="2"/>
  <c r="M229" i="2"/>
  <c r="L229" i="2"/>
  <c r="K229" i="2"/>
  <c r="J229" i="2"/>
  <c r="I229" i="2"/>
  <c r="H229" i="2"/>
  <c r="G229" i="2"/>
  <c r="F229" i="2"/>
  <c r="E229" i="2"/>
  <c r="D229" i="2"/>
  <c r="C229" i="2"/>
  <c r="B229" i="2"/>
  <c r="A229" i="2"/>
  <c r="U228" i="2"/>
  <c r="T228" i="2"/>
  <c r="S228" i="2"/>
  <c r="R228" i="2"/>
  <c r="Q228" i="2"/>
  <c r="P228" i="2"/>
  <c r="O228" i="2"/>
  <c r="N228" i="2"/>
  <c r="M228" i="2"/>
  <c r="L228" i="2"/>
  <c r="K228" i="2"/>
  <c r="J228" i="2"/>
  <c r="I228" i="2"/>
  <c r="H228" i="2"/>
  <c r="G228" i="2"/>
  <c r="F228" i="2"/>
  <c r="E228" i="2"/>
  <c r="D228" i="2"/>
  <c r="C228" i="2"/>
  <c r="B228" i="2"/>
  <c r="A228" i="2"/>
  <c r="U227" i="2"/>
  <c r="T227" i="2"/>
  <c r="S227" i="2"/>
  <c r="R227" i="2"/>
  <c r="Q227" i="2"/>
  <c r="P227" i="2"/>
  <c r="O227" i="2"/>
  <c r="N227" i="2"/>
  <c r="M227" i="2"/>
  <c r="L227" i="2"/>
  <c r="K227" i="2"/>
  <c r="J227" i="2"/>
  <c r="I227" i="2"/>
  <c r="H227" i="2"/>
  <c r="G227" i="2"/>
  <c r="F227" i="2"/>
  <c r="E227" i="2"/>
  <c r="D227" i="2"/>
  <c r="C227" i="2"/>
  <c r="B227" i="2"/>
  <c r="A227" i="2"/>
  <c r="U226" i="2"/>
  <c r="T226" i="2"/>
  <c r="S226" i="2"/>
  <c r="R226" i="2"/>
  <c r="Q226" i="2"/>
  <c r="P226" i="2"/>
  <c r="O226" i="2"/>
  <c r="N226" i="2"/>
  <c r="M226" i="2"/>
  <c r="L226" i="2"/>
  <c r="K226" i="2"/>
  <c r="J226" i="2"/>
  <c r="I226" i="2"/>
  <c r="H226" i="2"/>
  <c r="G226" i="2"/>
  <c r="F226" i="2"/>
  <c r="E226" i="2"/>
  <c r="D226" i="2"/>
  <c r="C226" i="2"/>
  <c r="B226" i="2"/>
  <c r="A226" i="2"/>
  <c r="U225" i="2"/>
  <c r="T225" i="2"/>
  <c r="S225" i="2"/>
  <c r="R225" i="2"/>
  <c r="Q225" i="2"/>
  <c r="P225" i="2"/>
  <c r="O225" i="2"/>
  <c r="N225" i="2"/>
  <c r="M225" i="2"/>
  <c r="L225" i="2"/>
  <c r="K225" i="2"/>
  <c r="J225" i="2"/>
  <c r="I225" i="2"/>
  <c r="H225" i="2"/>
  <c r="G225" i="2"/>
  <c r="F225" i="2"/>
  <c r="E225" i="2"/>
  <c r="D225" i="2"/>
  <c r="C225" i="2"/>
  <c r="B225" i="2"/>
  <c r="A225" i="2"/>
  <c r="U224" i="2"/>
  <c r="T224" i="2"/>
  <c r="S224" i="2"/>
  <c r="R224" i="2"/>
  <c r="Q224" i="2"/>
  <c r="P224" i="2"/>
  <c r="O224" i="2"/>
  <c r="N224" i="2"/>
  <c r="M224" i="2"/>
  <c r="L224" i="2"/>
  <c r="K224" i="2"/>
  <c r="J224" i="2"/>
  <c r="I224" i="2"/>
  <c r="H224" i="2"/>
  <c r="G224" i="2"/>
  <c r="F224" i="2"/>
  <c r="E224" i="2"/>
  <c r="D224" i="2"/>
  <c r="C224" i="2"/>
  <c r="B224" i="2"/>
  <c r="A224" i="2"/>
  <c r="U223" i="2"/>
  <c r="T223" i="2"/>
  <c r="S223" i="2"/>
  <c r="R223" i="2"/>
  <c r="Q223" i="2"/>
  <c r="P223" i="2"/>
  <c r="O223" i="2"/>
  <c r="N223" i="2"/>
  <c r="M223" i="2"/>
  <c r="L223" i="2"/>
  <c r="K223" i="2"/>
  <c r="J223" i="2"/>
  <c r="I223" i="2"/>
  <c r="H223" i="2"/>
  <c r="G223" i="2"/>
  <c r="F223" i="2"/>
  <c r="E223" i="2"/>
  <c r="D223" i="2"/>
  <c r="C223" i="2"/>
  <c r="B223" i="2"/>
  <c r="A223" i="2"/>
  <c r="U222" i="2"/>
  <c r="T222" i="2"/>
  <c r="S222" i="2"/>
  <c r="R222" i="2"/>
  <c r="Q222" i="2"/>
  <c r="P222" i="2"/>
  <c r="O222" i="2"/>
  <c r="N222" i="2"/>
  <c r="M222" i="2"/>
  <c r="L222" i="2"/>
  <c r="K222" i="2"/>
  <c r="J222" i="2"/>
  <c r="I222" i="2"/>
  <c r="H222" i="2"/>
  <c r="G222" i="2"/>
  <c r="F222" i="2"/>
  <c r="E222" i="2"/>
  <c r="D222" i="2"/>
  <c r="C222" i="2"/>
  <c r="B222" i="2"/>
  <c r="A222" i="2"/>
  <c r="U221" i="2"/>
  <c r="T221" i="2"/>
  <c r="S221" i="2"/>
  <c r="R221" i="2"/>
  <c r="Q221" i="2"/>
  <c r="P221" i="2"/>
  <c r="O221" i="2"/>
  <c r="N221" i="2"/>
  <c r="M221" i="2"/>
  <c r="L221" i="2"/>
  <c r="K221" i="2"/>
  <c r="J221" i="2"/>
  <c r="I221" i="2"/>
  <c r="H221" i="2"/>
  <c r="G221" i="2"/>
  <c r="F221" i="2"/>
  <c r="E221" i="2"/>
  <c r="D221" i="2"/>
  <c r="C221" i="2"/>
  <c r="B221" i="2"/>
  <c r="A221" i="2"/>
  <c r="U220" i="2"/>
  <c r="T220" i="2"/>
  <c r="S220" i="2"/>
  <c r="R220" i="2"/>
  <c r="Q220" i="2"/>
  <c r="P220" i="2"/>
  <c r="O220" i="2"/>
  <c r="N220" i="2"/>
  <c r="M220" i="2"/>
  <c r="L220" i="2"/>
  <c r="K220" i="2"/>
  <c r="J220" i="2"/>
  <c r="I220" i="2"/>
  <c r="H220" i="2"/>
  <c r="G220" i="2"/>
  <c r="F220" i="2"/>
  <c r="E220" i="2"/>
  <c r="D220" i="2"/>
  <c r="C220" i="2"/>
  <c r="B220" i="2"/>
  <c r="A220" i="2"/>
  <c r="U219" i="2"/>
  <c r="T219" i="2"/>
  <c r="S219" i="2"/>
  <c r="R219" i="2"/>
  <c r="Q219" i="2"/>
  <c r="P219" i="2"/>
  <c r="O219" i="2"/>
  <c r="N219" i="2"/>
  <c r="M219" i="2"/>
  <c r="L219" i="2"/>
  <c r="K219" i="2"/>
  <c r="J219" i="2"/>
  <c r="I219" i="2"/>
  <c r="H219" i="2"/>
  <c r="G219" i="2"/>
  <c r="F219" i="2"/>
  <c r="E219" i="2"/>
  <c r="D219" i="2"/>
  <c r="C219" i="2"/>
  <c r="B219" i="2"/>
  <c r="A219" i="2"/>
  <c r="U218" i="2"/>
  <c r="T218" i="2"/>
  <c r="S218" i="2"/>
  <c r="R218" i="2"/>
  <c r="Q218" i="2"/>
  <c r="P218" i="2"/>
  <c r="O218" i="2"/>
  <c r="N218" i="2"/>
  <c r="M218" i="2"/>
  <c r="L218" i="2"/>
  <c r="K218" i="2"/>
  <c r="J218" i="2"/>
  <c r="I218" i="2"/>
  <c r="H218" i="2"/>
  <c r="G218" i="2"/>
  <c r="F218" i="2"/>
  <c r="E218" i="2"/>
  <c r="D218" i="2"/>
  <c r="C218" i="2"/>
  <c r="B218" i="2"/>
  <c r="A218" i="2"/>
  <c r="U217" i="2"/>
  <c r="T217" i="2"/>
  <c r="S217" i="2"/>
  <c r="R217" i="2"/>
  <c r="Q217" i="2"/>
  <c r="P217" i="2"/>
  <c r="O217" i="2"/>
  <c r="N217" i="2"/>
  <c r="M217" i="2"/>
  <c r="L217" i="2"/>
  <c r="K217" i="2"/>
  <c r="J217" i="2"/>
  <c r="I217" i="2"/>
  <c r="H217" i="2"/>
  <c r="G217" i="2"/>
  <c r="F217" i="2"/>
  <c r="E217" i="2"/>
  <c r="D217" i="2"/>
  <c r="C217" i="2"/>
  <c r="B217" i="2"/>
  <c r="A217" i="2"/>
  <c r="U216" i="2"/>
  <c r="T216" i="2"/>
  <c r="S216" i="2"/>
  <c r="R216" i="2"/>
  <c r="Q216" i="2"/>
  <c r="P216" i="2"/>
  <c r="O216" i="2"/>
  <c r="N216" i="2"/>
  <c r="M216" i="2"/>
  <c r="L216" i="2"/>
  <c r="K216" i="2"/>
  <c r="J216" i="2"/>
  <c r="I216" i="2"/>
  <c r="H216" i="2"/>
  <c r="G216" i="2"/>
  <c r="F216" i="2"/>
  <c r="E216" i="2"/>
  <c r="D216" i="2"/>
  <c r="C216" i="2"/>
  <c r="B216" i="2"/>
  <c r="A216" i="2"/>
  <c r="U215" i="2"/>
  <c r="T215" i="2"/>
  <c r="S215" i="2"/>
  <c r="R215" i="2"/>
  <c r="Q215" i="2"/>
  <c r="P215" i="2"/>
  <c r="O215" i="2"/>
  <c r="N215" i="2"/>
  <c r="M215" i="2"/>
  <c r="L215" i="2"/>
  <c r="K215" i="2"/>
  <c r="J215" i="2"/>
  <c r="I215" i="2"/>
  <c r="H215" i="2"/>
  <c r="G215" i="2"/>
  <c r="F215" i="2"/>
  <c r="E215" i="2"/>
  <c r="D215" i="2"/>
  <c r="C215" i="2"/>
  <c r="B215" i="2"/>
  <c r="A215" i="2"/>
  <c r="U214" i="2"/>
  <c r="T214" i="2"/>
  <c r="S214" i="2"/>
  <c r="R214" i="2"/>
  <c r="Q214" i="2"/>
  <c r="P214" i="2"/>
  <c r="O214" i="2"/>
  <c r="N214" i="2"/>
  <c r="M214" i="2"/>
  <c r="L214" i="2"/>
  <c r="K214" i="2"/>
  <c r="J214" i="2"/>
  <c r="I214" i="2"/>
  <c r="H214" i="2"/>
  <c r="G214" i="2"/>
  <c r="F214" i="2"/>
  <c r="E214" i="2"/>
  <c r="D214" i="2"/>
  <c r="C214" i="2"/>
  <c r="B214" i="2"/>
  <c r="A214" i="2"/>
  <c r="U213" i="2"/>
  <c r="T213" i="2"/>
  <c r="S213" i="2"/>
  <c r="R213" i="2"/>
  <c r="Q213" i="2"/>
  <c r="P213" i="2"/>
  <c r="O213" i="2"/>
  <c r="N213" i="2"/>
  <c r="M213" i="2"/>
  <c r="L213" i="2"/>
  <c r="K213" i="2"/>
  <c r="J213" i="2"/>
  <c r="I213" i="2"/>
  <c r="H213" i="2"/>
  <c r="G213" i="2"/>
  <c r="F213" i="2"/>
  <c r="E213" i="2"/>
  <c r="D213" i="2"/>
  <c r="C213" i="2"/>
  <c r="B213" i="2"/>
  <c r="A213" i="2"/>
  <c r="U212" i="2"/>
  <c r="T212" i="2"/>
  <c r="S212" i="2"/>
  <c r="R212" i="2"/>
  <c r="Q212" i="2"/>
  <c r="P212" i="2"/>
  <c r="O212" i="2"/>
  <c r="N212" i="2"/>
  <c r="M212" i="2"/>
  <c r="L212" i="2"/>
  <c r="K212" i="2"/>
  <c r="J212" i="2"/>
  <c r="I212" i="2"/>
  <c r="H212" i="2"/>
  <c r="G212" i="2"/>
  <c r="F212" i="2"/>
  <c r="E212" i="2"/>
  <c r="D212" i="2"/>
  <c r="C212" i="2"/>
  <c r="B212" i="2"/>
  <c r="A212" i="2"/>
  <c r="U211" i="2"/>
  <c r="T211" i="2"/>
  <c r="S211" i="2"/>
  <c r="R211" i="2"/>
  <c r="Q211" i="2"/>
  <c r="P211" i="2"/>
  <c r="O211" i="2"/>
  <c r="N211" i="2"/>
  <c r="M211" i="2"/>
  <c r="L211" i="2"/>
  <c r="K211" i="2"/>
  <c r="J211" i="2"/>
  <c r="I211" i="2"/>
  <c r="H211" i="2"/>
  <c r="G211" i="2"/>
  <c r="F211" i="2"/>
  <c r="E211" i="2"/>
  <c r="D211" i="2"/>
  <c r="C211" i="2"/>
  <c r="B211" i="2"/>
  <c r="A211" i="2"/>
  <c r="U210" i="2"/>
  <c r="T210" i="2"/>
  <c r="S210" i="2"/>
  <c r="R210" i="2"/>
  <c r="Q210" i="2"/>
  <c r="P210" i="2"/>
  <c r="O210" i="2"/>
  <c r="N210" i="2"/>
  <c r="M210" i="2"/>
  <c r="L210" i="2"/>
  <c r="K210" i="2"/>
  <c r="J210" i="2"/>
  <c r="I210" i="2"/>
  <c r="H210" i="2"/>
  <c r="G210" i="2"/>
  <c r="F210" i="2"/>
  <c r="E210" i="2"/>
  <c r="D210" i="2"/>
  <c r="C210" i="2"/>
  <c r="B210" i="2"/>
  <c r="A210" i="2"/>
  <c r="U209" i="2"/>
  <c r="T209" i="2"/>
  <c r="S209" i="2"/>
  <c r="R209" i="2"/>
  <c r="Q209" i="2"/>
  <c r="P209" i="2"/>
  <c r="O209" i="2"/>
  <c r="N209" i="2"/>
  <c r="M209" i="2"/>
  <c r="L209" i="2"/>
  <c r="K209" i="2"/>
  <c r="J209" i="2"/>
  <c r="I209" i="2"/>
  <c r="H209" i="2"/>
  <c r="G209" i="2"/>
  <c r="F209" i="2"/>
  <c r="E209" i="2"/>
  <c r="D209" i="2"/>
  <c r="C209" i="2"/>
  <c r="B209" i="2"/>
  <c r="A209" i="2"/>
  <c r="U208" i="2"/>
  <c r="T208" i="2"/>
  <c r="S208" i="2"/>
  <c r="R208" i="2"/>
  <c r="Q208" i="2"/>
  <c r="P208" i="2"/>
  <c r="O208" i="2"/>
  <c r="N208" i="2"/>
  <c r="M208" i="2"/>
  <c r="L208" i="2"/>
  <c r="K208" i="2"/>
  <c r="J208" i="2"/>
  <c r="I208" i="2"/>
  <c r="H208" i="2"/>
  <c r="G208" i="2"/>
  <c r="F208" i="2"/>
  <c r="E208" i="2"/>
  <c r="D208" i="2"/>
  <c r="C208" i="2"/>
  <c r="B208" i="2"/>
  <c r="A208" i="2"/>
  <c r="U207" i="2"/>
  <c r="T207" i="2"/>
  <c r="S207" i="2"/>
  <c r="R207" i="2"/>
  <c r="Q207" i="2"/>
  <c r="P207" i="2"/>
  <c r="O207" i="2"/>
  <c r="N207" i="2"/>
  <c r="M207" i="2"/>
  <c r="L207" i="2"/>
  <c r="K207" i="2"/>
  <c r="J207" i="2"/>
  <c r="I207" i="2"/>
  <c r="H207" i="2"/>
  <c r="G207" i="2"/>
  <c r="F207" i="2"/>
  <c r="E207" i="2"/>
  <c r="D207" i="2"/>
  <c r="C207" i="2"/>
  <c r="B207" i="2"/>
  <c r="A207" i="2"/>
  <c r="U206" i="2"/>
  <c r="T206" i="2"/>
  <c r="S206" i="2"/>
  <c r="R206" i="2"/>
  <c r="Q206" i="2"/>
  <c r="P206" i="2"/>
  <c r="O206" i="2"/>
  <c r="N206" i="2"/>
  <c r="M206" i="2"/>
  <c r="L206" i="2"/>
  <c r="K206" i="2"/>
  <c r="J206" i="2"/>
  <c r="I206" i="2"/>
  <c r="H206" i="2"/>
  <c r="G206" i="2"/>
  <c r="F206" i="2"/>
  <c r="E206" i="2"/>
  <c r="D206" i="2"/>
  <c r="C206" i="2"/>
  <c r="B206" i="2"/>
  <c r="A206" i="2"/>
  <c r="U205" i="2"/>
  <c r="T205" i="2"/>
  <c r="S205" i="2"/>
  <c r="R205" i="2"/>
  <c r="Q205" i="2"/>
  <c r="P205" i="2"/>
  <c r="O205" i="2"/>
  <c r="N205" i="2"/>
  <c r="M205" i="2"/>
  <c r="L205" i="2"/>
  <c r="K205" i="2"/>
  <c r="J205" i="2"/>
  <c r="I205" i="2"/>
  <c r="H205" i="2"/>
  <c r="G205" i="2"/>
  <c r="F205" i="2"/>
  <c r="E205" i="2"/>
  <c r="D205" i="2"/>
  <c r="C205" i="2"/>
  <c r="B205" i="2"/>
  <c r="A205" i="2"/>
  <c r="U204" i="2"/>
  <c r="T204" i="2"/>
  <c r="S204" i="2"/>
  <c r="R204" i="2"/>
  <c r="Q204" i="2"/>
  <c r="P204" i="2"/>
  <c r="O204" i="2"/>
  <c r="N204" i="2"/>
  <c r="M204" i="2"/>
  <c r="L204" i="2"/>
  <c r="K204" i="2"/>
  <c r="J204" i="2"/>
  <c r="I204" i="2"/>
  <c r="H204" i="2"/>
  <c r="G204" i="2"/>
  <c r="F204" i="2"/>
  <c r="E204" i="2"/>
  <c r="D204" i="2"/>
  <c r="C204" i="2"/>
  <c r="B204" i="2"/>
  <c r="A204" i="2"/>
  <c r="U203" i="2"/>
  <c r="T203" i="2"/>
  <c r="S203" i="2"/>
  <c r="R203" i="2"/>
  <c r="Q203" i="2"/>
  <c r="P203" i="2"/>
  <c r="O203" i="2"/>
  <c r="N203" i="2"/>
  <c r="M203" i="2"/>
  <c r="L203" i="2"/>
  <c r="K203" i="2"/>
  <c r="J203" i="2"/>
  <c r="I203" i="2"/>
  <c r="H203" i="2"/>
  <c r="G203" i="2"/>
  <c r="F203" i="2"/>
  <c r="E203" i="2"/>
  <c r="D203" i="2"/>
  <c r="C203" i="2"/>
  <c r="B203" i="2"/>
  <c r="A203" i="2"/>
  <c r="U202" i="2"/>
  <c r="T202" i="2"/>
  <c r="S202" i="2"/>
  <c r="R202" i="2"/>
  <c r="Q202" i="2"/>
  <c r="P202" i="2"/>
  <c r="O202" i="2"/>
  <c r="N202" i="2"/>
  <c r="M202" i="2"/>
  <c r="L202" i="2"/>
  <c r="K202" i="2"/>
  <c r="J202" i="2"/>
  <c r="I202" i="2"/>
  <c r="H202" i="2"/>
  <c r="G202" i="2"/>
  <c r="F202" i="2"/>
  <c r="E202" i="2"/>
  <c r="D202" i="2"/>
  <c r="C202" i="2"/>
  <c r="B202" i="2"/>
  <c r="A202" i="2"/>
  <c r="U201" i="2"/>
  <c r="T201" i="2"/>
  <c r="S201" i="2"/>
  <c r="R201" i="2"/>
  <c r="Q201" i="2"/>
  <c r="P201" i="2"/>
  <c r="O201" i="2"/>
  <c r="N201" i="2"/>
  <c r="M201" i="2"/>
  <c r="L201" i="2"/>
  <c r="K201" i="2"/>
  <c r="J201" i="2"/>
  <c r="I201" i="2"/>
  <c r="H201" i="2"/>
  <c r="G201" i="2"/>
  <c r="F201" i="2"/>
  <c r="E201" i="2"/>
  <c r="D201" i="2"/>
  <c r="C201" i="2"/>
  <c r="B201" i="2"/>
  <c r="A201" i="2"/>
  <c r="U200" i="2"/>
  <c r="T200" i="2"/>
  <c r="S200" i="2"/>
  <c r="R200" i="2"/>
  <c r="Q200" i="2"/>
  <c r="P200" i="2"/>
  <c r="O200" i="2"/>
  <c r="N200" i="2"/>
  <c r="M200" i="2"/>
  <c r="L200" i="2"/>
  <c r="K200" i="2"/>
  <c r="J200" i="2"/>
  <c r="I200" i="2"/>
  <c r="H200" i="2"/>
  <c r="G200" i="2"/>
  <c r="F200" i="2"/>
  <c r="E200" i="2"/>
  <c r="D200" i="2"/>
  <c r="C200" i="2"/>
  <c r="B200" i="2"/>
  <c r="A200" i="2"/>
  <c r="U199" i="2"/>
  <c r="T199" i="2"/>
  <c r="S199" i="2"/>
  <c r="R199" i="2"/>
  <c r="Q199" i="2"/>
  <c r="P199" i="2"/>
  <c r="O199" i="2"/>
  <c r="N199" i="2"/>
  <c r="M199" i="2"/>
  <c r="L199" i="2"/>
  <c r="K199" i="2"/>
  <c r="J199" i="2"/>
  <c r="I199" i="2"/>
  <c r="H199" i="2"/>
  <c r="G199" i="2"/>
  <c r="F199" i="2"/>
  <c r="E199" i="2"/>
  <c r="D199" i="2"/>
  <c r="C199" i="2"/>
  <c r="B199" i="2"/>
  <c r="A199" i="2"/>
  <c r="U198" i="2"/>
  <c r="T198" i="2"/>
  <c r="S198" i="2"/>
  <c r="R198" i="2"/>
  <c r="Q198" i="2"/>
  <c r="P198" i="2"/>
  <c r="O198" i="2"/>
  <c r="N198" i="2"/>
  <c r="M198" i="2"/>
  <c r="L198" i="2"/>
  <c r="K198" i="2"/>
  <c r="J198" i="2"/>
  <c r="I198" i="2"/>
  <c r="H198" i="2"/>
  <c r="G198" i="2"/>
  <c r="F198" i="2"/>
  <c r="E198" i="2"/>
  <c r="D198" i="2"/>
  <c r="C198" i="2"/>
  <c r="B198" i="2"/>
  <c r="A198" i="2"/>
  <c r="U197" i="2"/>
  <c r="T197" i="2"/>
  <c r="S197" i="2"/>
  <c r="R197" i="2"/>
  <c r="Q197" i="2"/>
  <c r="P197" i="2"/>
  <c r="O197" i="2"/>
  <c r="N197" i="2"/>
  <c r="M197" i="2"/>
  <c r="L197" i="2"/>
  <c r="K197" i="2"/>
  <c r="J197" i="2"/>
  <c r="I197" i="2"/>
  <c r="H197" i="2"/>
  <c r="G197" i="2"/>
  <c r="F197" i="2"/>
  <c r="E197" i="2"/>
  <c r="D197" i="2"/>
  <c r="C197" i="2"/>
  <c r="B197" i="2"/>
  <c r="A197" i="2"/>
  <c r="U196" i="2"/>
  <c r="T196" i="2"/>
  <c r="S196" i="2"/>
  <c r="R196" i="2"/>
  <c r="Q196" i="2"/>
  <c r="P196" i="2"/>
  <c r="O196" i="2"/>
  <c r="N196" i="2"/>
  <c r="M196" i="2"/>
  <c r="L196" i="2"/>
  <c r="K196" i="2"/>
  <c r="J196" i="2"/>
  <c r="I196" i="2"/>
  <c r="H196" i="2"/>
  <c r="G196" i="2"/>
  <c r="F196" i="2"/>
  <c r="E196" i="2"/>
  <c r="D196" i="2"/>
  <c r="C196" i="2"/>
  <c r="B196" i="2"/>
  <c r="A196" i="2"/>
  <c r="U195" i="2"/>
  <c r="T195" i="2"/>
  <c r="S195" i="2"/>
  <c r="R195" i="2"/>
  <c r="Q195" i="2"/>
  <c r="P195" i="2"/>
  <c r="O195" i="2"/>
  <c r="N195" i="2"/>
  <c r="M195" i="2"/>
  <c r="L195" i="2"/>
  <c r="K195" i="2"/>
  <c r="J195" i="2"/>
  <c r="I195" i="2"/>
  <c r="H195" i="2"/>
  <c r="G195" i="2"/>
  <c r="F195" i="2"/>
  <c r="E195" i="2"/>
  <c r="D195" i="2"/>
  <c r="C195" i="2"/>
  <c r="B195" i="2"/>
  <c r="A195" i="2"/>
  <c r="U194" i="2"/>
  <c r="T194" i="2"/>
  <c r="S194" i="2"/>
  <c r="R194" i="2"/>
  <c r="Q194" i="2"/>
  <c r="P194" i="2"/>
  <c r="O194" i="2"/>
  <c r="N194" i="2"/>
  <c r="M194" i="2"/>
  <c r="L194" i="2"/>
  <c r="K194" i="2"/>
  <c r="J194" i="2"/>
  <c r="I194" i="2"/>
  <c r="H194" i="2"/>
  <c r="G194" i="2"/>
  <c r="F194" i="2"/>
  <c r="E194" i="2"/>
  <c r="D194" i="2"/>
  <c r="C194" i="2"/>
  <c r="B194" i="2"/>
  <c r="A194" i="2"/>
  <c r="U193" i="2"/>
  <c r="T193" i="2"/>
  <c r="S193" i="2"/>
  <c r="R193" i="2"/>
  <c r="Q193" i="2"/>
  <c r="P193" i="2"/>
  <c r="O193" i="2"/>
  <c r="N193" i="2"/>
  <c r="M193" i="2"/>
  <c r="L193" i="2"/>
  <c r="K193" i="2"/>
  <c r="J193" i="2"/>
  <c r="I193" i="2"/>
  <c r="H193" i="2"/>
  <c r="G193" i="2"/>
  <c r="F193" i="2"/>
  <c r="E193" i="2"/>
  <c r="D193" i="2"/>
  <c r="C193" i="2"/>
  <c r="B193" i="2"/>
  <c r="A193" i="2"/>
  <c r="U192" i="2"/>
  <c r="T192" i="2"/>
  <c r="S192" i="2"/>
  <c r="R192" i="2"/>
  <c r="Q192" i="2"/>
  <c r="P192" i="2"/>
  <c r="O192" i="2"/>
  <c r="N192" i="2"/>
  <c r="M192" i="2"/>
  <c r="L192" i="2"/>
  <c r="K192" i="2"/>
  <c r="J192" i="2"/>
  <c r="I192" i="2"/>
  <c r="H192" i="2"/>
  <c r="G192" i="2"/>
  <c r="F192" i="2"/>
  <c r="E192" i="2"/>
  <c r="D192" i="2"/>
  <c r="C192" i="2"/>
  <c r="B192" i="2"/>
  <c r="A192" i="2"/>
  <c r="U191" i="2"/>
  <c r="T191" i="2"/>
  <c r="S191" i="2"/>
  <c r="R191" i="2"/>
  <c r="Q191" i="2"/>
  <c r="P191" i="2"/>
  <c r="O191" i="2"/>
  <c r="N191" i="2"/>
  <c r="M191" i="2"/>
  <c r="L191" i="2"/>
  <c r="K191" i="2"/>
  <c r="J191" i="2"/>
  <c r="I191" i="2"/>
  <c r="H191" i="2"/>
  <c r="G191" i="2"/>
  <c r="F191" i="2"/>
  <c r="E191" i="2"/>
  <c r="D191" i="2"/>
  <c r="C191" i="2"/>
  <c r="B191" i="2"/>
  <c r="A191" i="2"/>
  <c r="U190" i="2"/>
  <c r="T190" i="2"/>
  <c r="S190" i="2"/>
  <c r="R190" i="2"/>
  <c r="Q190" i="2"/>
  <c r="P190" i="2"/>
  <c r="O190" i="2"/>
  <c r="N190" i="2"/>
  <c r="M190" i="2"/>
  <c r="L190" i="2"/>
  <c r="K190" i="2"/>
  <c r="J190" i="2"/>
  <c r="I190" i="2"/>
  <c r="H190" i="2"/>
  <c r="G190" i="2"/>
  <c r="F190" i="2"/>
  <c r="E190" i="2"/>
  <c r="D190" i="2"/>
  <c r="C190" i="2"/>
  <c r="B190" i="2"/>
  <c r="A190" i="2"/>
  <c r="U189" i="2"/>
  <c r="T189" i="2"/>
  <c r="S189" i="2"/>
  <c r="R189" i="2"/>
  <c r="Q189" i="2"/>
  <c r="P189" i="2"/>
  <c r="O189" i="2"/>
  <c r="N189" i="2"/>
  <c r="M189" i="2"/>
  <c r="L189" i="2"/>
  <c r="K189" i="2"/>
  <c r="J189" i="2"/>
  <c r="I189" i="2"/>
  <c r="H189" i="2"/>
  <c r="G189" i="2"/>
  <c r="F189" i="2"/>
  <c r="E189" i="2"/>
  <c r="D189" i="2"/>
  <c r="C189" i="2"/>
  <c r="B189" i="2"/>
  <c r="A189" i="2"/>
  <c r="U188" i="2"/>
  <c r="T188" i="2"/>
  <c r="S188" i="2"/>
  <c r="R188" i="2"/>
  <c r="Q188" i="2"/>
  <c r="P188" i="2"/>
  <c r="O188" i="2"/>
  <c r="N188" i="2"/>
  <c r="M188" i="2"/>
  <c r="L188" i="2"/>
  <c r="K188" i="2"/>
  <c r="J188" i="2"/>
  <c r="I188" i="2"/>
  <c r="H188" i="2"/>
  <c r="G188" i="2"/>
  <c r="F188" i="2"/>
  <c r="E188" i="2"/>
  <c r="D188" i="2"/>
  <c r="C188" i="2"/>
  <c r="B188" i="2"/>
  <c r="A188" i="2"/>
  <c r="U187" i="2"/>
  <c r="T187" i="2"/>
  <c r="S187" i="2"/>
  <c r="R187" i="2"/>
  <c r="Q187" i="2"/>
  <c r="P187" i="2"/>
  <c r="O187" i="2"/>
  <c r="N187" i="2"/>
  <c r="M187" i="2"/>
  <c r="L187" i="2"/>
  <c r="K187" i="2"/>
  <c r="J187" i="2"/>
  <c r="I187" i="2"/>
  <c r="H187" i="2"/>
  <c r="G187" i="2"/>
  <c r="F187" i="2"/>
  <c r="E187" i="2"/>
  <c r="D187" i="2"/>
  <c r="C187" i="2"/>
  <c r="B187" i="2"/>
  <c r="A187" i="2"/>
  <c r="U186" i="2"/>
  <c r="T186" i="2"/>
  <c r="S186" i="2"/>
  <c r="R186" i="2"/>
  <c r="Q186" i="2"/>
  <c r="P186" i="2"/>
  <c r="O186" i="2"/>
  <c r="N186" i="2"/>
  <c r="M186" i="2"/>
  <c r="L186" i="2"/>
  <c r="K186" i="2"/>
  <c r="J186" i="2"/>
  <c r="I186" i="2"/>
  <c r="H186" i="2"/>
  <c r="G186" i="2"/>
  <c r="F186" i="2"/>
  <c r="E186" i="2"/>
  <c r="D186" i="2"/>
  <c r="C186" i="2"/>
  <c r="B186" i="2"/>
  <c r="A186" i="2"/>
  <c r="U185" i="2"/>
  <c r="T185" i="2"/>
  <c r="S185" i="2"/>
  <c r="R185" i="2"/>
  <c r="Q185" i="2"/>
  <c r="P185" i="2"/>
  <c r="O185" i="2"/>
  <c r="N185" i="2"/>
  <c r="M185" i="2"/>
  <c r="L185" i="2"/>
  <c r="K185" i="2"/>
  <c r="J185" i="2"/>
  <c r="I185" i="2"/>
  <c r="H185" i="2"/>
  <c r="G185" i="2"/>
  <c r="F185" i="2"/>
  <c r="E185" i="2"/>
  <c r="D185" i="2"/>
  <c r="C185" i="2"/>
  <c r="B185" i="2"/>
  <c r="A185" i="2"/>
  <c r="U184" i="2"/>
  <c r="T184" i="2"/>
  <c r="S184" i="2"/>
  <c r="R184" i="2"/>
  <c r="Q184" i="2"/>
  <c r="P184" i="2"/>
  <c r="O184" i="2"/>
  <c r="N184" i="2"/>
  <c r="M184" i="2"/>
  <c r="L184" i="2"/>
  <c r="K184" i="2"/>
  <c r="J184" i="2"/>
  <c r="I184" i="2"/>
  <c r="H184" i="2"/>
  <c r="G184" i="2"/>
  <c r="F184" i="2"/>
  <c r="E184" i="2"/>
  <c r="D184" i="2"/>
  <c r="C184" i="2"/>
  <c r="B184" i="2"/>
  <c r="A184" i="2"/>
  <c r="U183" i="2"/>
  <c r="T183" i="2"/>
  <c r="S183" i="2"/>
  <c r="R183" i="2"/>
  <c r="Q183" i="2"/>
  <c r="P183" i="2"/>
  <c r="O183" i="2"/>
  <c r="N183" i="2"/>
  <c r="M183" i="2"/>
  <c r="L183" i="2"/>
  <c r="K183" i="2"/>
  <c r="J183" i="2"/>
  <c r="I183" i="2"/>
  <c r="H183" i="2"/>
  <c r="G183" i="2"/>
  <c r="F183" i="2"/>
  <c r="E183" i="2"/>
  <c r="D183" i="2"/>
  <c r="C183" i="2"/>
  <c r="B183" i="2"/>
  <c r="A183" i="2"/>
  <c r="U182" i="2"/>
  <c r="T182" i="2"/>
  <c r="S182" i="2"/>
  <c r="R182" i="2"/>
  <c r="Q182" i="2"/>
  <c r="P182" i="2"/>
  <c r="O182" i="2"/>
  <c r="N182" i="2"/>
  <c r="M182" i="2"/>
  <c r="L182" i="2"/>
  <c r="K182" i="2"/>
  <c r="J182" i="2"/>
  <c r="I182" i="2"/>
  <c r="H182" i="2"/>
  <c r="G182" i="2"/>
  <c r="F182" i="2"/>
  <c r="E182" i="2"/>
  <c r="D182" i="2"/>
  <c r="C182" i="2"/>
  <c r="B182" i="2"/>
  <c r="A182" i="2"/>
  <c r="U181" i="2"/>
  <c r="T181" i="2"/>
  <c r="S181" i="2"/>
  <c r="R181" i="2"/>
  <c r="Q181" i="2"/>
  <c r="P181" i="2"/>
  <c r="O181" i="2"/>
  <c r="N181" i="2"/>
  <c r="M181" i="2"/>
  <c r="L181" i="2"/>
  <c r="K181" i="2"/>
  <c r="J181" i="2"/>
  <c r="I181" i="2"/>
  <c r="H181" i="2"/>
  <c r="G181" i="2"/>
  <c r="F181" i="2"/>
  <c r="E181" i="2"/>
  <c r="D181" i="2"/>
  <c r="C181" i="2"/>
  <c r="B181" i="2"/>
  <c r="A181" i="2"/>
  <c r="U180" i="2"/>
  <c r="T180" i="2"/>
  <c r="S180" i="2"/>
  <c r="R180" i="2"/>
  <c r="Q180" i="2"/>
  <c r="P180" i="2"/>
  <c r="O180" i="2"/>
  <c r="N180" i="2"/>
  <c r="M180" i="2"/>
  <c r="L180" i="2"/>
  <c r="K180" i="2"/>
  <c r="J180" i="2"/>
  <c r="I180" i="2"/>
  <c r="H180" i="2"/>
  <c r="G180" i="2"/>
  <c r="F180" i="2"/>
  <c r="E180" i="2"/>
  <c r="D180" i="2"/>
  <c r="C180" i="2"/>
  <c r="B180" i="2"/>
  <c r="A180" i="2"/>
  <c r="U179" i="2"/>
  <c r="T179" i="2"/>
  <c r="S179" i="2"/>
  <c r="R179" i="2"/>
  <c r="Q179" i="2"/>
  <c r="P179" i="2"/>
  <c r="O179" i="2"/>
  <c r="N179" i="2"/>
  <c r="M179" i="2"/>
  <c r="L179" i="2"/>
  <c r="K179" i="2"/>
  <c r="J179" i="2"/>
  <c r="I179" i="2"/>
  <c r="H179" i="2"/>
  <c r="G179" i="2"/>
  <c r="F179" i="2"/>
  <c r="E179" i="2"/>
  <c r="D179" i="2"/>
  <c r="C179" i="2"/>
  <c r="B179" i="2"/>
  <c r="A179" i="2"/>
  <c r="U178" i="2"/>
  <c r="T178" i="2"/>
  <c r="S178" i="2"/>
  <c r="R178" i="2"/>
  <c r="Q178" i="2"/>
  <c r="P178" i="2"/>
  <c r="O178" i="2"/>
  <c r="N178" i="2"/>
  <c r="M178" i="2"/>
  <c r="L178" i="2"/>
  <c r="K178" i="2"/>
  <c r="J178" i="2"/>
  <c r="I178" i="2"/>
  <c r="H178" i="2"/>
  <c r="G178" i="2"/>
  <c r="F178" i="2"/>
  <c r="E178" i="2"/>
  <c r="D178" i="2"/>
  <c r="C178" i="2"/>
  <c r="B178" i="2"/>
  <c r="A178" i="2"/>
  <c r="U177" i="2"/>
  <c r="T177" i="2"/>
  <c r="S177" i="2"/>
  <c r="R177" i="2"/>
  <c r="Q177" i="2"/>
  <c r="P177" i="2"/>
  <c r="O177" i="2"/>
  <c r="N177" i="2"/>
  <c r="M177" i="2"/>
  <c r="L177" i="2"/>
  <c r="K177" i="2"/>
  <c r="J177" i="2"/>
  <c r="I177" i="2"/>
  <c r="H177" i="2"/>
  <c r="G177" i="2"/>
  <c r="F177" i="2"/>
  <c r="E177" i="2"/>
  <c r="D177" i="2"/>
  <c r="C177" i="2"/>
  <c r="B177" i="2"/>
  <c r="A177" i="2"/>
  <c r="U176" i="2"/>
  <c r="T176" i="2"/>
  <c r="S176" i="2"/>
  <c r="R176" i="2"/>
  <c r="Q176" i="2"/>
  <c r="P176" i="2"/>
  <c r="O176" i="2"/>
  <c r="N176" i="2"/>
  <c r="M176" i="2"/>
  <c r="L176" i="2"/>
  <c r="K176" i="2"/>
  <c r="J176" i="2"/>
  <c r="I176" i="2"/>
  <c r="H176" i="2"/>
  <c r="G176" i="2"/>
  <c r="F176" i="2"/>
  <c r="E176" i="2"/>
  <c r="D176" i="2"/>
  <c r="C176" i="2"/>
  <c r="B176" i="2"/>
  <c r="A176" i="2"/>
  <c r="U175" i="2"/>
  <c r="T175" i="2"/>
  <c r="S175" i="2"/>
  <c r="R175" i="2"/>
  <c r="Q175" i="2"/>
  <c r="P175" i="2"/>
  <c r="O175" i="2"/>
  <c r="N175" i="2"/>
  <c r="M175" i="2"/>
  <c r="L175" i="2"/>
  <c r="K175" i="2"/>
  <c r="J175" i="2"/>
  <c r="I175" i="2"/>
  <c r="H175" i="2"/>
  <c r="G175" i="2"/>
  <c r="F175" i="2"/>
  <c r="E175" i="2"/>
  <c r="D175" i="2"/>
  <c r="C175" i="2"/>
  <c r="B175" i="2"/>
  <c r="A175" i="2"/>
  <c r="U174" i="2"/>
  <c r="T174" i="2"/>
  <c r="S174" i="2"/>
  <c r="R174" i="2"/>
  <c r="Q174" i="2"/>
  <c r="P174" i="2"/>
  <c r="O174" i="2"/>
  <c r="N174" i="2"/>
  <c r="M174" i="2"/>
  <c r="L174" i="2"/>
  <c r="K174" i="2"/>
  <c r="J174" i="2"/>
  <c r="I174" i="2"/>
  <c r="H174" i="2"/>
  <c r="G174" i="2"/>
  <c r="F174" i="2"/>
  <c r="E174" i="2"/>
  <c r="D174" i="2"/>
  <c r="C174" i="2"/>
  <c r="B174" i="2"/>
  <c r="A174" i="2"/>
  <c r="U173" i="2"/>
  <c r="T173" i="2"/>
  <c r="S173" i="2"/>
  <c r="R173" i="2"/>
  <c r="Q173" i="2"/>
  <c r="P173" i="2"/>
  <c r="O173" i="2"/>
  <c r="N173" i="2"/>
  <c r="M173" i="2"/>
  <c r="L173" i="2"/>
  <c r="K173" i="2"/>
  <c r="J173" i="2"/>
  <c r="I173" i="2"/>
  <c r="H173" i="2"/>
  <c r="G173" i="2"/>
  <c r="F173" i="2"/>
  <c r="E173" i="2"/>
  <c r="D173" i="2"/>
  <c r="C173" i="2"/>
  <c r="B173" i="2"/>
  <c r="A173" i="2"/>
  <c r="U172" i="2"/>
  <c r="T172" i="2"/>
  <c r="S172" i="2"/>
  <c r="R172" i="2"/>
  <c r="Q172" i="2"/>
  <c r="P172" i="2"/>
  <c r="O172" i="2"/>
  <c r="N172" i="2"/>
  <c r="M172" i="2"/>
  <c r="L172" i="2"/>
  <c r="K172" i="2"/>
  <c r="J172" i="2"/>
  <c r="I172" i="2"/>
  <c r="H172" i="2"/>
  <c r="G172" i="2"/>
  <c r="F172" i="2"/>
  <c r="E172" i="2"/>
  <c r="D172" i="2"/>
  <c r="C172" i="2"/>
  <c r="B172" i="2"/>
  <c r="A172" i="2"/>
  <c r="U171" i="2"/>
  <c r="T171" i="2"/>
  <c r="S171" i="2"/>
  <c r="R171" i="2"/>
  <c r="Q171" i="2"/>
  <c r="P171" i="2"/>
  <c r="O171" i="2"/>
  <c r="N171" i="2"/>
  <c r="M171" i="2"/>
  <c r="L171" i="2"/>
  <c r="K171" i="2"/>
  <c r="J171" i="2"/>
  <c r="I171" i="2"/>
  <c r="H171" i="2"/>
  <c r="G171" i="2"/>
  <c r="F171" i="2"/>
  <c r="E171" i="2"/>
  <c r="D171" i="2"/>
  <c r="C171" i="2"/>
  <c r="B171" i="2"/>
  <c r="A171" i="2"/>
  <c r="U170" i="2"/>
  <c r="T170" i="2"/>
  <c r="S170" i="2"/>
  <c r="R170" i="2"/>
  <c r="Q170" i="2"/>
  <c r="P170" i="2"/>
  <c r="O170" i="2"/>
  <c r="N170" i="2"/>
  <c r="M170" i="2"/>
  <c r="L170" i="2"/>
  <c r="K170" i="2"/>
  <c r="J170" i="2"/>
  <c r="I170" i="2"/>
  <c r="H170" i="2"/>
  <c r="G170" i="2"/>
  <c r="F170" i="2"/>
  <c r="E170" i="2"/>
  <c r="D170" i="2"/>
  <c r="C170" i="2"/>
  <c r="B170" i="2"/>
  <c r="A170" i="2"/>
  <c r="U169" i="2"/>
  <c r="T169" i="2"/>
  <c r="S169" i="2"/>
  <c r="R169" i="2"/>
  <c r="Q169" i="2"/>
  <c r="P169" i="2"/>
  <c r="O169" i="2"/>
  <c r="N169" i="2"/>
  <c r="M169" i="2"/>
  <c r="L169" i="2"/>
  <c r="K169" i="2"/>
  <c r="J169" i="2"/>
  <c r="I169" i="2"/>
  <c r="H169" i="2"/>
  <c r="G169" i="2"/>
  <c r="F169" i="2"/>
  <c r="E169" i="2"/>
  <c r="D169" i="2"/>
  <c r="C169" i="2"/>
  <c r="B169" i="2"/>
  <c r="A169" i="2"/>
  <c r="U168" i="2"/>
  <c r="T168" i="2"/>
  <c r="S168" i="2"/>
  <c r="R168" i="2"/>
  <c r="Q168" i="2"/>
  <c r="P168" i="2"/>
  <c r="O168" i="2"/>
  <c r="N168" i="2"/>
  <c r="M168" i="2"/>
  <c r="L168" i="2"/>
  <c r="K168" i="2"/>
  <c r="J168" i="2"/>
  <c r="I168" i="2"/>
  <c r="H168" i="2"/>
  <c r="G168" i="2"/>
  <c r="F168" i="2"/>
  <c r="E168" i="2"/>
  <c r="D168" i="2"/>
  <c r="C168" i="2"/>
  <c r="B168" i="2"/>
  <c r="A168" i="2"/>
  <c r="U167" i="2"/>
  <c r="T167" i="2"/>
  <c r="S167" i="2"/>
  <c r="R167" i="2"/>
  <c r="Q167" i="2"/>
  <c r="P167" i="2"/>
  <c r="O167" i="2"/>
  <c r="N167" i="2"/>
  <c r="M167" i="2"/>
  <c r="L167" i="2"/>
  <c r="K167" i="2"/>
  <c r="J167" i="2"/>
  <c r="I167" i="2"/>
  <c r="H167" i="2"/>
  <c r="G167" i="2"/>
  <c r="F167" i="2"/>
  <c r="E167" i="2"/>
  <c r="D167" i="2"/>
  <c r="C167" i="2"/>
  <c r="B167" i="2"/>
  <c r="A167" i="2"/>
  <c r="U166" i="2"/>
  <c r="T166" i="2"/>
  <c r="S166" i="2"/>
  <c r="R166" i="2"/>
  <c r="Q166" i="2"/>
  <c r="P166" i="2"/>
  <c r="O166" i="2"/>
  <c r="N166" i="2"/>
  <c r="M166" i="2"/>
  <c r="L166" i="2"/>
  <c r="K166" i="2"/>
  <c r="J166" i="2"/>
  <c r="I166" i="2"/>
  <c r="H166" i="2"/>
  <c r="G166" i="2"/>
  <c r="F166" i="2"/>
  <c r="E166" i="2"/>
  <c r="D166" i="2"/>
  <c r="C166" i="2"/>
  <c r="B166" i="2"/>
  <c r="A166" i="2"/>
  <c r="U165" i="2"/>
  <c r="T165" i="2"/>
  <c r="S165" i="2"/>
  <c r="R165" i="2"/>
  <c r="Q165" i="2"/>
  <c r="P165" i="2"/>
  <c r="O165" i="2"/>
  <c r="N165" i="2"/>
  <c r="M165" i="2"/>
  <c r="L165" i="2"/>
  <c r="K165" i="2"/>
  <c r="J165" i="2"/>
  <c r="I165" i="2"/>
  <c r="H165" i="2"/>
  <c r="G165" i="2"/>
  <c r="F165" i="2"/>
  <c r="E165" i="2"/>
  <c r="D165" i="2"/>
  <c r="C165" i="2"/>
  <c r="B165" i="2"/>
  <c r="A165" i="2"/>
  <c r="U164" i="2"/>
  <c r="T164" i="2"/>
  <c r="S164" i="2"/>
  <c r="R164" i="2"/>
  <c r="Q164" i="2"/>
  <c r="P164" i="2"/>
  <c r="O164" i="2"/>
  <c r="N164" i="2"/>
  <c r="M164" i="2"/>
  <c r="L164" i="2"/>
  <c r="K164" i="2"/>
  <c r="J164" i="2"/>
  <c r="I164" i="2"/>
  <c r="H164" i="2"/>
  <c r="G164" i="2"/>
  <c r="F164" i="2"/>
  <c r="E164" i="2"/>
  <c r="D164" i="2"/>
  <c r="C164" i="2"/>
  <c r="B164" i="2"/>
  <c r="A164" i="2"/>
  <c r="U163" i="2"/>
  <c r="T163" i="2"/>
  <c r="S163" i="2"/>
  <c r="R163" i="2"/>
  <c r="Q163" i="2"/>
  <c r="P163" i="2"/>
  <c r="O163" i="2"/>
  <c r="N163" i="2"/>
  <c r="M163" i="2"/>
  <c r="L163" i="2"/>
  <c r="K163" i="2"/>
  <c r="J163" i="2"/>
  <c r="I163" i="2"/>
  <c r="H163" i="2"/>
  <c r="G163" i="2"/>
  <c r="F163" i="2"/>
  <c r="E163" i="2"/>
  <c r="D163" i="2"/>
  <c r="C163" i="2"/>
  <c r="B163" i="2"/>
  <c r="A163" i="2"/>
  <c r="U162" i="2"/>
  <c r="T162" i="2"/>
  <c r="S162" i="2"/>
  <c r="R162" i="2"/>
  <c r="Q162" i="2"/>
  <c r="P162" i="2"/>
  <c r="O162" i="2"/>
  <c r="N162" i="2"/>
  <c r="M162" i="2"/>
  <c r="L162" i="2"/>
  <c r="K162" i="2"/>
  <c r="J162" i="2"/>
  <c r="I162" i="2"/>
  <c r="H162" i="2"/>
  <c r="G162" i="2"/>
  <c r="F162" i="2"/>
  <c r="E162" i="2"/>
  <c r="D162" i="2"/>
  <c r="C162" i="2"/>
  <c r="B162" i="2"/>
  <c r="A162" i="2"/>
  <c r="U161" i="2"/>
  <c r="T161" i="2"/>
  <c r="S161" i="2"/>
  <c r="R161" i="2"/>
  <c r="Q161" i="2"/>
  <c r="P161" i="2"/>
  <c r="O161" i="2"/>
  <c r="N161" i="2"/>
  <c r="M161" i="2"/>
  <c r="L161" i="2"/>
  <c r="K161" i="2"/>
  <c r="J161" i="2"/>
  <c r="I161" i="2"/>
  <c r="H161" i="2"/>
  <c r="G161" i="2"/>
  <c r="F161" i="2"/>
  <c r="E161" i="2"/>
  <c r="D161" i="2"/>
  <c r="C161" i="2"/>
  <c r="B161" i="2"/>
  <c r="A161" i="2"/>
  <c r="U160" i="2"/>
  <c r="T160" i="2"/>
  <c r="S160" i="2"/>
  <c r="R160" i="2"/>
  <c r="Q160" i="2"/>
  <c r="P160" i="2"/>
  <c r="O160" i="2"/>
  <c r="N160" i="2"/>
  <c r="M160" i="2"/>
  <c r="L160" i="2"/>
  <c r="K160" i="2"/>
  <c r="J160" i="2"/>
  <c r="I160" i="2"/>
  <c r="H160" i="2"/>
  <c r="G160" i="2"/>
  <c r="F160" i="2"/>
  <c r="E160" i="2"/>
  <c r="D160" i="2"/>
  <c r="C160" i="2"/>
  <c r="B160" i="2"/>
  <c r="A160" i="2"/>
  <c r="U159" i="2"/>
  <c r="T159" i="2"/>
  <c r="S159" i="2"/>
  <c r="R159" i="2"/>
  <c r="Q159" i="2"/>
  <c r="P159" i="2"/>
  <c r="O159" i="2"/>
  <c r="N159" i="2"/>
  <c r="M159" i="2"/>
  <c r="L159" i="2"/>
  <c r="K159" i="2"/>
  <c r="J159" i="2"/>
  <c r="I159" i="2"/>
  <c r="H159" i="2"/>
  <c r="G159" i="2"/>
  <c r="F159" i="2"/>
  <c r="E159" i="2"/>
  <c r="D159" i="2"/>
  <c r="C159" i="2"/>
  <c r="B159" i="2"/>
  <c r="A159" i="2"/>
  <c r="U158" i="2"/>
  <c r="T158" i="2"/>
  <c r="S158" i="2"/>
  <c r="R158" i="2"/>
  <c r="Q158" i="2"/>
  <c r="P158" i="2"/>
  <c r="O158" i="2"/>
  <c r="N158" i="2"/>
  <c r="M158" i="2"/>
  <c r="L158" i="2"/>
  <c r="K158" i="2"/>
  <c r="J158" i="2"/>
  <c r="I158" i="2"/>
  <c r="H158" i="2"/>
  <c r="G158" i="2"/>
  <c r="F158" i="2"/>
  <c r="E158" i="2"/>
  <c r="D158" i="2"/>
  <c r="C158" i="2"/>
  <c r="B158" i="2"/>
  <c r="A158" i="2"/>
  <c r="U157" i="2"/>
  <c r="T157" i="2"/>
  <c r="S157" i="2"/>
  <c r="R157" i="2"/>
  <c r="Q157" i="2"/>
  <c r="P157" i="2"/>
  <c r="O157" i="2"/>
  <c r="N157" i="2"/>
  <c r="M157" i="2"/>
  <c r="L157" i="2"/>
  <c r="K157" i="2"/>
  <c r="J157" i="2"/>
  <c r="I157" i="2"/>
  <c r="H157" i="2"/>
  <c r="G157" i="2"/>
  <c r="F157" i="2"/>
  <c r="E157" i="2"/>
  <c r="D157" i="2"/>
  <c r="C157" i="2"/>
  <c r="B157" i="2"/>
  <c r="A157" i="2"/>
  <c r="U156" i="2"/>
  <c r="T156" i="2"/>
  <c r="S156" i="2"/>
  <c r="R156" i="2"/>
  <c r="Q156" i="2"/>
  <c r="P156" i="2"/>
  <c r="O156" i="2"/>
  <c r="N156" i="2"/>
  <c r="M156" i="2"/>
  <c r="L156" i="2"/>
  <c r="K156" i="2"/>
  <c r="J156" i="2"/>
  <c r="I156" i="2"/>
  <c r="H156" i="2"/>
  <c r="G156" i="2"/>
  <c r="F156" i="2"/>
  <c r="E156" i="2"/>
  <c r="D156" i="2"/>
  <c r="C156" i="2"/>
  <c r="B156" i="2"/>
  <c r="A156" i="2"/>
  <c r="U155" i="2"/>
  <c r="T155" i="2"/>
  <c r="S155" i="2"/>
  <c r="R155" i="2"/>
  <c r="Q155" i="2"/>
  <c r="P155" i="2"/>
  <c r="O155" i="2"/>
  <c r="N155" i="2"/>
  <c r="M155" i="2"/>
  <c r="L155" i="2"/>
  <c r="K155" i="2"/>
  <c r="J155" i="2"/>
  <c r="I155" i="2"/>
  <c r="H155" i="2"/>
  <c r="G155" i="2"/>
  <c r="F155" i="2"/>
  <c r="E155" i="2"/>
  <c r="D155" i="2"/>
  <c r="C155" i="2"/>
  <c r="B155" i="2"/>
  <c r="A155" i="2"/>
  <c r="U154" i="2"/>
  <c r="T154" i="2"/>
  <c r="S154" i="2"/>
  <c r="R154" i="2"/>
  <c r="Q154" i="2"/>
  <c r="P154" i="2"/>
  <c r="O154" i="2"/>
  <c r="N154" i="2"/>
  <c r="M154" i="2"/>
  <c r="L154" i="2"/>
  <c r="K154" i="2"/>
  <c r="J154" i="2"/>
  <c r="I154" i="2"/>
  <c r="H154" i="2"/>
  <c r="G154" i="2"/>
  <c r="F154" i="2"/>
  <c r="E154" i="2"/>
  <c r="D154" i="2"/>
  <c r="C154" i="2"/>
  <c r="B154" i="2"/>
  <c r="A154" i="2"/>
  <c r="U153" i="2"/>
  <c r="T153" i="2"/>
  <c r="S153" i="2"/>
  <c r="R153" i="2"/>
  <c r="Q153" i="2"/>
  <c r="P153" i="2"/>
  <c r="O153" i="2"/>
  <c r="N153" i="2"/>
  <c r="M153" i="2"/>
  <c r="L153" i="2"/>
  <c r="K153" i="2"/>
  <c r="J153" i="2"/>
  <c r="I153" i="2"/>
  <c r="H153" i="2"/>
  <c r="G153" i="2"/>
  <c r="F153" i="2"/>
  <c r="E153" i="2"/>
  <c r="D153" i="2"/>
  <c r="C153" i="2"/>
  <c r="B153" i="2"/>
  <c r="A153" i="2"/>
  <c r="U152" i="2"/>
  <c r="T152" i="2"/>
  <c r="S152" i="2"/>
  <c r="R152" i="2"/>
  <c r="Q152" i="2"/>
  <c r="P152" i="2"/>
  <c r="O152" i="2"/>
  <c r="N152" i="2"/>
  <c r="M152" i="2"/>
  <c r="L152" i="2"/>
  <c r="K152" i="2"/>
  <c r="J152" i="2"/>
  <c r="I152" i="2"/>
  <c r="H152" i="2"/>
  <c r="G152" i="2"/>
  <c r="F152" i="2"/>
  <c r="E152" i="2"/>
  <c r="D152" i="2"/>
  <c r="C152" i="2"/>
  <c r="B152" i="2"/>
  <c r="A152" i="2"/>
  <c r="U151" i="2"/>
  <c r="T151" i="2"/>
  <c r="S151" i="2"/>
  <c r="R151" i="2"/>
  <c r="Q151" i="2"/>
  <c r="P151" i="2"/>
  <c r="O151" i="2"/>
  <c r="N151" i="2"/>
  <c r="M151" i="2"/>
  <c r="L151" i="2"/>
  <c r="K151" i="2"/>
  <c r="J151" i="2"/>
  <c r="I151" i="2"/>
  <c r="H151" i="2"/>
  <c r="G151" i="2"/>
  <c r="F151" i="2"/>
  <c r="E151" i="2"/>
  <c r="D151" i="2"/>
  <c r="C151" i="2"/>
  <c r="B151" i="2"/>
  <c r="A151" i="2"/>
  <c r="U150" i="2"/>
  <c r="T150" i="2"/>
  <c r="S150" i="2"/>
  <c r="R150" i="2"/>
  <c r="Q150" i="2"/>
  <c r="P150" i="2"/>
  <c r="O150" i="2"/>
  <c r="N150" i="2"/>
  <c r="M150" i="2"/>
  <c r="L150" i="2"/>
  <c r="K150" i="2"/>
  <c r="J150" i="2"/>
  <c r="I150" i="2"/>
  <c r="H150" i="2"/>
  <c r="G150" i="2"/>
  <c r="F150" i="2"/>
  <c r="E150" i="2"/>
  <c r="D150" i="2"/>
  <c r="C150" i="2"/>
  <c r="B150" i="2"/>
  <c r="A150" i="2"/>
  <c r="U149" i="2"/>
  <c r="T149" i="2"/>
  <c r="S149" i="2"/>
  <c r="R149" i="2"/>
  <c r="Q149" i="2"/>
  <c r="P149" i="2"/>
  <c r="O149" i="2"/>
  <c r="N149" i="2"/>
  <c r="M149" i="2"/>
  <c r="L149" i="2"/>
  <c r="K149" i="2"/>
  <c r="J149" i="2"/>
  <c r="I149" i="2"/>
  <c r="H149" i="2"/>
  <c r="G149" i="2"/>
  <c r="F149" i="2"/>
  <c r="E149" i="2"/>
  <c r="D149" i="2"/>
  <c r="C149" i="2"/>
  <c r="B149" i="2"/>
  <c r="A149" i="2"/>
  <c r="U148" i="2"/>
  <c r="T148" i="2"/>
  <c r="S148" i="2"/>
  <c r="R148" i="2"/>
  <c r="Q148" i="2"/>
  <c r="P148" i="2"/>
  <c r="O148" i="2"/>
  <c r="N148" i="2"/>
  <c r="M148" i="2"/>
  <c r="L148" i="2"/>
  <c r="K148" i="2"/>
  <c r="J148" i="2"/>
  <c r="I148" i="2"/>
  <c r="H148" i="2"/>
  <c r="G148" i="2"/>
  <c r="F148" i="2"/>
  <c r="E148" i="2"/>
  <c r="D148" i="2"/>
  <c r="C148" i="2"/>
  <c r="B148" i="2"/>
  <c r="A148" i="2"/>
  <c r="U147" i="2"/>
  <c r="T147" i="2"/>
  <c r="S147" i="2"/>
  <c r="R147" i="2"/>
  <c r="Q147" i="2"/>
  <c r="P147" i="2"/>
  <c r="O147" i="2"/>
  <c r="N147" i="2"/>
  <c r="M147" i="2"/>
  <c r="L147" i="2"/>
  <c r="K147" i="2"/>
  <c r="J147" i="2"/>
  <c r="I147" i="2"/>
  <c r="H147" i="2"/>
  <c r="G147" i="2"/>
  <c r="F147" i="2"/>
  <c r="E147" i="2"/>
  <c r="D147" i="2"/>
  <c r="C147" i="2"/>
  <c r="B147" i="2"/>
  <c r="A147" i="2"/>
  <c r="U146" i="2"/>
  <c r="T146" i="2"/>
  <c r="S146" i="2"/>
  <c r="R146" i="2"/>
  <c r="Q146" i="2"/>
  <c r="P146" i="2"/>
  <c r="O146" i="2"/>
  <c r="N146" i="2"/>
  <c r="M146" i="2"/>
  <c r="L146" i="2"/>
  <c r="K146" i="2"/>
  <c r="J146" i="2"/>
  <c r="I146" i="2"/>
  <c r="H146" i="2"/>
  <c r="G146" i="2"/>
  <c r="F146" i="2"/>
  <c r="E146" i="2"/>
  <c r="D146" i="2"/>
  <c r="C146" i="2"/>
  <c r="B146" i="2"/>
  <c r="A146" i="2"/>
  <c r="U145" i="2"/>
  <c r="T145" i="2"/>
  <c r="S145" i="2"/>
  <c r="R145" i="2"/>
  <c r="Q145" i="2"/>
  <c r="P145" i="2"/>
  <c r="O145" i="2"/>
  <c r="N145" i="2"/>
  <c r="M145" i="2"/>
  <c r="L145" i="2"/>
  <c r="K145" i="2"/>
  <c r="J145" i="2"/>
  <c r="I145" i="2"/>
  <c r="H145" i="2"/>
  <c r="G145" i="2"/>
  <c r="F145" i="2"/>
  <c r="E145" i="2"/>
  <c r="D145" i="2"/>
  <c r="C145" i="2"/>
  <c r="B145" i="2"/>
  <c r="A145" i="2"/>
  <c r="U144" i="2"/>
  <c r="T144" i="2"/>
  <c r="S144" i="2"/>
  <c r="R144" i="2"/>
  <c r="Q144" i="2"/>
  <c r="P144" i="2"/>
  <c r="O144" i="2"/>
  <c r="N144" i="2"/>
  <c r="M144" i="2"/>
  <c r="L144" i="2"/>
  <c r="K144" i="2"/>
  <c r="J144" i="2"/>
  <c r="I144" i="2"/>
  <c r="H144" i="2"/>
  <c r="G144" i="2"/>
  <c r="F144" i="2"/>
  <c r="E144" i="2"/>
  <c r="D144" i="2"/>
  <c r="C144" i="2"/>
  <c r="B144" i="2"/>
  <c r="A144" i="2"/>
  <c r="U143" i="2"/>
  <c r="T143" i="2"/>
  <c r="S143" i="2"/>
  <c r="R143" i="2"/>
  <c r="Q143" i="2"/>
  <c r="P143" i="2"/>
  <c r="O143" i="2"/>
  <c r="N143" i="2"/>
  <c r="M143" i="2"/>
  <c r="L143" i="2"/>
  <c r="K143" i="2"/>
  <c r="J143" i="2"/>
  <c r="I143" i="2"/>
  <c r="H143" i="2"/>
  <c r="G143" i="2"/>
  <c r="F143" i="2"/>
  <c r="E143" i="2"/>
  <c r="D143" i="2"/>
  <c r="C143" i="2"/>
  <c r="B143" i="2"/>
  <c r="A143" i="2"/>
  <c r="U142" i="2"/>
  <c r="T142" i="2"/>
  <c r="S142" i="2"/>
  <c r="R142" i="2"/>
  <c r="Q142" i="2"/>
  <c r="P142" i="2"/>
  <c r="O142" i="2"/>
  <c r="N142" i="2"/>
  <c r="M142" i="2"/>
  <c r="L142" i="2"/>
  <c r="K142" i="2"/>
  <c r="J142" i="2"/>
  <c r="I142" i="2"/>
  <c r="H142" i="2"/>
  <c r="G142" i="2"/>
  <c r="F142" i="2"/>
  <c r="E142" i="2"/>
  <c r="D142" i="2"/>
  <c r="C142" i="2"/>
  <c r="B142" i="2"/>
  <c r="A142" i="2"/>
  <c r="U141" i="2"/>
  <c r="T141" i="2"/>
  <c r="S141" i="2"/>
  <c r="R141" i="2"/>
  <c r="Q141" i="2"/>
  <c r="P141" i="2"/>
  <c r="O141" i="2"/>
  <c r="N141" i="2"/>
  <c r="M141" i="2"/>
  <c r="L141" i="2"/>
  <c r="K141" i="2"/>
  <c r="J141" i="2"/>
  <c r="I141" i="2"/>
  <c r="H141" i="2"/>
  <c r="G141" i="2"/>
  <c r="F141" i="2"/>
  <c r="E141" i="2"/>
  <c r="D141" i="2"/>
  <c r="C141" i="2"/>
  <c r="B141" i="2"/>
  <c r="A141" i="2"/>
  <c r="U140" i="2"/>
  <c r="T140" i="2"/>
  <c r="S140" i="2"/>
  <c r="R140" i="2"/>
  <c r="Q140" i="2"/>
  <c r="P140" i="2"/>
  <c r="O140" i="2"/>
  <c r="N140" i="2"/>
  <c r="M140" i="2"/>
  <c r="L140" i="2"/>
  <c r="K140" i="2"/>
  <c r="J140" i="2"/>
  <c r="I140" i="2"/>
  <c r="H140" i="2"/>
  <c r="G140" i="2"/>
  <c r="F140" i="2"/>
  <c r="E140" i="2"/>
  <c r="D140" i="2"/>
  <c r="C140" i="2"/>
  <c r="B140" i="2"/>
  <c r="A140" i="2"/>
  <c r="U139" i="2"/>
  <c r="T139" i="2"/>
  <c r="S139" i="2"/>
  <c r="R139" i="2"/>
  <c r="Q139" i="2"/>
  <c r="P139" i="2"/>
  <c r="O139" i="2"/>
  <c r="N139" i="2"/>
  <c r="M139" i="2"/>
  <c r="L139" i="2"/>
  <c r="K139" i="2"/>
  <c r="J139" i="2"/>
  <c r="I139" i="2"/>
  <c r="H139" i="2"/>
  <c r="G139" i="2"/>
  <c r="F139" i="2"/>
  <c r="E139" i="2"/>
  <c r="D139" i="2"/>
  <c r="C139" i="2"/>
  <c r="B139" i="2"/>
  <c r="A139" i="2"/>
  <c r="U138" i="2"/>
  <c r="T138" i="2"/>
  <c r="S138" i="2"/>
  <c r="R138" i="2"/>
  <c r="Q138" i="2"/>
  <c r="P138" i="2"/>
  <c r="O138" i="2"/>
  <c r="N138" i="2"/>
  <c r="M138" i="2"/>
  <c r="L138" i="2"/>
  <c r="K138" i="2"/>
  <c r="J138" i="2"/>
  <c r="I138" i="2"/>
  <c r="H138" i="2"/>
  <c r="G138" i="2"/>
  <c r="F138" i="2"/>
  <c r="E138" i="2"/>
  <c r="D138" i="2"/>
  <c r="C138" i="2"/>
  <c r="B138" i="2"/>
  <c r="A138" i="2"/>
  <c r="U137" i="2"/>
  <c r="T137" i="2"/>
  <c r="S137" i="2"/>
  <c r="R137" i="2"/>
  <c r="Q137" i="2"/>
  <c r="P137" i="2"/>
  <c r="O137" i="2"/>
  <c r="N137" i="2"/>
  <c r="M137" i="2"/>
  <c r="L137" i="2"/>
  <c r="K137" i="2"/>
  <c r="J137" i="2"/>
  <c r="I137" i="2"/>
  <c r="H137" i="2"/>
  <c r="G137" i="2"/>
  <c r="F137" i="2"/>
  <c r="E137" i="2"/>
  <c r="D137" i="2"/>
  <c r="C137" i="2"/>
  <c r="B137" i="2"/>
  <c r="A137" i="2"/>
  <c r="U136" i="2"/>
  <c r="T136" i="2"/>
  <c r="S136" i="2"/>
  <c r="R136" i="2"/>
  <c r="Q136" i="2"/>
  <c r="P136" i="2"/>
  <c r="O136" i="2"/>
  <c r="N136" i="2"/>
  <c r="M136" i="2"/>
  <c r="L136" i="2"/>
  <c r="K136" i="2"/>
  <c r="J136" i="2"/>
  <c r="I136" i="2"/>
  <c r="H136" i="2"/>
  <c r="G136" i="2"/>
  <c r="F136" i="2"/>
  <c r="E136" i="2"/>
  <c r="D136" i="2"/>
  <c r="C136" i="2"/>
  <c r="B136" i="2"/>
  <c r="A136" i="2"/>
  <c r="U135" i="2"/>
  <c r="T135" i="2"/>
  <c r="S135" i="2"/>
  <c r="R135" i="2"/>
  <c r="Q135" i="2"/>
  <c r="P135" i="2"/>
  <c r="O135" i="2"/>
  <c r="N135" i="2"/>
  <c r="M135" i="2"/>
  <c r="L135" i="2"/>
  <c r="K135" i="2"/>
  <c r="J135" i="2"/>
  <c r="I135" i="2"/>
  <c r="H135" i="2"/>
  <c r="G135" i="2"/>
  <c r="F135" i="2"/>
  <c r="E135" i="2"/>
  <c r="D135" i="2"/>
  <c r="C135" i="2"/>
  <c r="B135" i="2"/>
  <c r="A135" i="2"/>
  <c r="U134" i="2"/>
  <c r="T134" i="2"/>
  <c r="S134" i="2"/>
  <c r="R134" i="2"/>
  <c r="Q134" i="2"/>
  <c r="P134" i="2"/>
  <c r="O134" i="2"/>
  <c r="N134" i="2"/>
  <c r="M134" i="2"/>
  <c r="L134" i="2"/>
  <c r="K134" i="2"/>
  <c r="J134" i="2"/>
  <c r="I134" i="2"/>
  <c r="H134" i="2"/>
  <c r="G134" i="2"/>
  <c r="F134" i="2"/>
  <c r="E134" i="2"/>
  <c r="D134" i="2"/>
  <c r="C134" i="2"/>
  <c r="B134" i="2"/>
  <c r="A134" i="2"/>
  <c r="U133" i="2"/>
  <c r="T133" i="2"/>
  <c r="S133" i="2"/>
  <c r="R133" i="2"/>
  <c r="Q133" i="2"/>
  <c r="P133" i="2"/>
  <c r="O133" i="2"/>
  <c r="N133" i="2"/>
  <c r="M133" i="2"/>
  <c r="L133" i="2"/>
  <c r="K133" i="2"/>
  <c r="J133" i="2"/>
  <c r="I133" i="2"/>
  <c r="H133" i="2"/>
  <c r="G133" i="2"/>
  <c r="F133" i="2"/>
  <c r="E133" i="2"/>
  <c r="D133" i="2"/>
  <c r="C133" i="2"/>
  <c r="B133" i="2"/>
  <c r="A133" i="2"/>
  <c r="U132" i="2"/>
  <c r="T132" i="2"/>
  <c r="S132" i="2"/>
  <c r="R132" i="2"/>
  <c r="Q132" i="2"/>
  <c r="P132" i="2"/>
  <c r="O132" i="2"/>
  <c r="N132" i="2"/>
  <c r="M132" i="2"/>
  <c r="L132" i="2"/>
  <c r="K132" i="2"/>
  <c r="J132" i="2"/>
  <c r="I132" i="2"/>
  <c r="H132" i="2"/>
  <c r="G132" i="2"/>
  <c r="F132" i="2"/>
  <c r="E132" i="2"/>
  <c r="D132" i="2"/>
  <c r="C132" i="2"/>
  <c r="B132" i="2"/>
  <c r="A132" i="2"/>
  <c r="U131" i="2"/>
  <c r="T131" i="2"/>
  <c r="S131" i="2"/>
  <c r="R131" i="2"/>
  <c r="Q131" i="2"/>
  <c r="P131" i="2"/>
  <c r="O131" i="2"/>
  <c r="N131" i="2"/>
  <c r="M131" i="2"/>
  <c r="L131" i="2"/>
  <c r="K131" i="2"/>
  <c r="J131" i="2"/>
  <c r="I131" i="2"/>
  <c r="H131" i="2"/>
  <c r="G131" i="2"/>
  <c r="F131" i="2"/>
  <c r="E131" i="2"/>
  <c r="D131" i="2"/>
  <c r="C131" i="2"/>
  <c r="B131" i="2"/>
  <c r="A131" i="2"/>
  <c r="U130" i="2"/>
  <c r="T130" i="2"/>
  <c r="S130" i="2"/>
  <c r="R130" i="2"/>
  <c r="Q130" i="2"/>
  <c r="P130" i="2"/>
  <c r="O130" i="2"/>
  <c r="N130" i="2"/>
  <c r="M130" i="2"/>
  <c r="L130" i="2"/>
  <c r="K130" i="2"/>
  <c r="J130" i="2"/>
  <c r="I130" i="2"/>
  <c r="H130" i="2"/>
  <c r="G130" i="2"/>
  <c r="F130" i="2"/>
  <c r="E130" i="2"/>
  <c r="D130" i="2"/>
  <c r="C130" i="2"/>
  <c r="B130" i="2"/>
  <c r="A130" i="2"/>
  <c r="U129" i="2"/>
  <c r="T129" i="2"/>
  <c r="S129" i="2"/>
  <c r="R129" i="2"/>
  <c r="Q129" i="2"/>
  <c r="P129" i="2"/>
  <c r="O129" i="2"/>
  <c r="N129" i="2"/>
  <c r="M129" i="2"/>
  <c r="L129" i="2"/>
  <c r="K129" i="2"/>
  <c r="J129" i="2"/>
  <c r="I129" i="2"/>
  <c r="H129" i="2"/>
  <c r="G129" i="2"/>
  <c r="F129" i="2"/>
  <c r="E129" i="2"/>
  <c r="D129" i="2"/>
  <c r="C129" i="2"/>
  <c r="B129" i="2"/>
  <c r="A129" i="2"/>
  <c r="U128" i="2"/>
  <c r="T128" i="2"/>
  <c r="S128" i="2"/>
  <c r="R128" i="2"/>
  <c r="Q128" i="2"/>
  <c r="P128" i="2"/>
  <c r="O128" i="2"/>
  <c r="N128" i="2"/>
  <c r="M128" i="2"/>
  <c r="L128" i="2"/>
  <c r="K128" i="2"/>
  <c r="J128" i="2"/>
  <c r="I128" i="2"/>
  <c r="H128" i="2"/>
  <c r="G128" i="2"/>
  <c r="F128" i="2"/>
  <c r="E128" i="2"/>
  <c r="D128" i="2"/>
  <c r="C128" i="2"/>
  <c r="B128" i="2"/>
  <c r="A128" i="2"/>
  <c r="U127" i="2"/>
  <c r="T127" i="2"/>
  <c r="S127" i="2"/>
  <c r="R127" i="2"/>
  <c r="Q127" i="2"/>
  <c r="P127" i="2"/>
  <c r="O127" i="2"/>
  <c r="N127" i="2"/>
  <c r="M127" i="2"/>
  <c r="L127" i="2"/>
  <c r="K127" i="2"/>
  <c r="J127" i="2"/>
  <c r="I127" i="2"/>
  <c r="H127" i="2"/>
  <c r="G127" i="2"/>
  <c r="F127" i="2"/>
  <c r="E127" i="2"/>
  <c r="D127" i="2"/>
  <c r="C127" i="2"/>
  <c r="B127" i="2"/>
  <c r="A127" i="2"/>
  <c r="U126" i="2"/>
  <c r="T126" i="2"/>
  <c r="S126" i="2"/>
  <c r="R126" i="2"/>
  <c r="Q126" i="2"/>
  <c r="P126" i="2"/>
  <c r="O126" i="2"/>
  <c r="N126" i="2"/>
  <c r="M126" i="2"/>
  <c r="L126" i="2"/>
  <c r="K126" i="2"/>
  <c r="J126" i="2"/>
  <c r="I126" i="2"/>
  <c r="H126" i="2"/>
  <c r="G126" i="2"/>
  <c r="F126" i="2"/>
  <c r="E126" i="2"/>
  <c r="D126" i="2"/>
  <c r="C126" i="2"/>
  <c r="B126" i="2"/>
  <c r="A126" i="2"/>
  <c r="U125" i="2"/>
  <c r="T125" i="2"/>
  <c r="S125" i="2"/>
  <c r="R125" i="2"/>
  <c r="Q125" i="2"/>
  <c r="P125" i="2"/>
  <c r="O125" i="2"/>
  <c r="N125" i="2"/>
  <c r="M125" i="2"/>
  <c r="L125" i="2"/>
  <c r="K125" i="2"/>
  <c r="J125" i="2"/>
  <c r="I125" i="2"/>
  <c r="H125" i="2"/>
  <c r="G125" i="2"/>
  <c r="F125" i="2"/>
  <c r="E125" i="2"/>
  <c r="D125" i="2"/>
  <c r="C125" i="2"/>
  <c r="B125" i="2"/>
  <c r="A125" i="2"/>
  <c r="U124" i="2"/>
  <c r="T124" i="2"/>
  <c r="S124" i="2"/>
  <c r="R124" i="2"/>
  <c r="Q124" i="2"/>
  <c r="P124" i="2"/>
  <c r="O124" i="2"/>
  <c r="N124" i="2"/>
  <c r="M124" i="2"/>
  <c r="L124" i="2"/>
  <c r="K124" i="2"/>
  <c r="J124" i="2"/>
  <c r="I124" i="2"/>
  <c r="H124" i="2"/>
  <c r="G124" i="2"/>
  <c r="F124" i="2"/>
  <c r="E124" i="2"/>
  <c r="D124" i="2"/>
  <c r="C124" i="2"/>
  <c r="B124" i="2"/>
  <c r="A124" i="2"/>
  <c r="U123" i="2"/>
  <c r="T123" i="2"/>
  <c r="S123" i="2"/>
  <c r="R123" i="2"/>
  <c r="Q123" i="2"/>
  <c r="P123" i="2"/>
  <c r="O123" i="2"/>
  <c r="N123" i="2"/>
  <c r="M123" i="2"/>
  <c r="L123" i="2"/>
  <c r="K123" i="2"/>
  <c r="J123" i="2"/>
  <c r="I123" i="2"/>
  <c r="H123" i="2"/>
  <c r="G123" i="2"/>
  <c r="F123" i="2"/>
  <c r="E123" i="2"/>
  <c r="D123" i="2"/>
  <c r="C123" i="2"/>
  <c r="B123" i="2"/>
  <c r="A123" i="2"/>
  <c r="U122" i="2"/>
  <c r="T122" i="2"/>
  <c r="S122" i="2"/>
  <c r="R122" i="2"/>
  <c r="Q122" i="2"/>
  <c r="P122" i="2"/>
  <c r="O122" i="2"/>
  <c r="N122" i="2"/>
  <c r="M122" i="2"/>
  <c r="L122" i="2"/>
  <c r="K122" i="2"/>
  <c r="J122" i="2"/>
  <c r="I122" i="2"/>
  <c r="H122" i="2"/>
  <c r="G122" i="2"/>
  <c r="F122" i="2"/>
  <c r="E122" i="2"/>
  <c r="D122" i="2"/>
  <c r="C122" i="2"/>
  <c r="B122" i="2"/>
  <c r="A122" i="2"/>
  <c r="U121" i="2"/>
  <c r="T121" i="2"/>
  <c r="S121" i="2"/>
  <c r="R121" i="2"/>
  <c r="Q121" i="2"/>
  <c r="P121" i="2"/>
  <c r="O121" i="2"/>
  <c r="N121" i="2"/>
  <c r="M121" i="2"/>
  <c r="L121" i="2"/>
  <c r="K121" i="2"/>
  <c r="J121" i="2"/>
  <c r="I121" i="2"/>
  <c r="H121" i="2"/>
  <c r="G121" i="2"/>
  <c r="F121" i="2"/>
  <c r="E121" i="2"/>
  <c r="D121" i="2"/>
  <c r="C121" i="2"/>
  <c r="B121" i="2"/>
  <c r="A121" i="2"/>
  <c r="U120" i="2"/>
  <c r="T120" i="2"/>
  <c r="S120" i="2"/>
  <c r="R120" i="2"/>
  <c r="Q120" i="2"/>
  <c r="P120" i="2"/>
  <c r="O120" i="2"/>
  <c r="N120" i="2"/>
  <c r="M120" i="2"/>
  <c r="L120" i="2"/>
  <c r="K120" i="2"/>
  <c r="J120" i="2"/>
  <c r="I120" i="2"/>
  <c r="H120" i="2"/>
  <c r="G120" i="2"/>
  <c r="F120" i="2"/>
  <c r="E120" i="2"/>
  <c r="D120" i="2"/>
  <c r="C120" i="2"/>
  <c r="B120" i="2"/>
  <c r="A120" i="2"/>
  <c r="U119" i="2"/>
  <c r="T119" i="2"/>
  <c r="S119" i="2"/>
  <c r="R119" i="2"/>
  <c r="Q119" i="2"/>
  <c r="P119" i="2"/>
  <c r="O119" i="2"/>
  <c r="N119" i="2"/>
  <c r="M119" i="2"/>
  <c r="L119" i="2"/>
  <c r="K119" i="2"/>
  <c r="J119" i="2"/>
  <c r="I119" i="2"/>
  <c r="H119" i="2"/>
  <c r="G119" i="2"/>
  <c r="F119" i="2"/>
  <c r="E119" i="2"/>
  <c r="D119" i="2"/>
  <c r="C119" i="2"/>
  <c r="B119" i="2"/>
  <c r="A119" i="2"/>
  <c r="U118" i="2"/>
  <c r="T118" i="2"/>
  <c r="S118" i="2"/>
  <c r="R118" i="2"/>
  <c r="Q118" i="2"/>
  <c r="P118" i="2"/>
  <c r="O118" i="2"/>
  <c r="N118" i="2"/>
  <c r="M118" i="2"/>
  <c r="L118" i="2"/>
  <c r="K118" i="2"/>
  <c r="J118" i="2"/>
  <c r="I118" i="2"/>
  <c r="H118" i="2"/>
  <c r="G118" i="2"/>
  <c r="F118" i="2"/>
  <c r="E118" i="2"/>
  <c r="D118" i="2"/>
  <c r="C118" i="2"/>
  <c r="B118" i="2"/>
  <c r="A118" i="2"/>
  <c r="U117" i="2"/>
  <c r="T117" i="2"/>
  <c r="S117" i="2"/>
  <c r="R117" i="2"/>
  <c r="Q117" i="2"/>
  <c r="P117" i="2"/>
  <c r="O117" i="2"/>
  <c r="N117" i="2"/>
  <c r="M117" i="2"/>
  <c r="L117" i="2"/>
  <c r="K117" i="2"/>
  <c r="J117" i="2"/>
  <c r="I117" i="2"/>
  <c r="H117" i="2"/>
  <c r="G117" i="2"/>
  <c r="F117" i="2"/>
  <c r="E117" i="2"/>
  <c r="D117" i="2"/>
  <c r="C117" i="2"/>
  <c r="B117" i="2"/>
  <c r="A117" i="2"/>
  <c r="U116" i="2"/>
  <c r="T116" i="2"/>
  <c r="S116" i="2"/>
  <c r="R116" i="2"/>
  <c r="Q116" i="2"/>
  <c r="P116" i="2"/>
  <c r="O116" i="2"/>
  <c r="N116" i="2"/>
  <c r="M116" i="2"/>
  <c r="L116" i="2"/>
  <c r="K116" i="2"/>
  <c r="J116" i="2"/>
  <c r="I116" i="2"/>
  <c r="H116" i="2"/>
  <c r="G116" i="2"/>
  <c r="F116" i="2"/>
  <c r="E116" i="2"/>
  <c r="D116" i="2"/>
  <c r="C116" i="2"/>
  <c r="B116" i="2"/>
  <c r="A116" i="2"/>
  <c r="U115" i="2"/>
  <c r="T115" i="2"/>
  <c r="S115" i="2"/>
  <c r="R115" i="2"/>
  <c r="Q115" i="2"/>
  <c r="P115" i="2"/>
  <c r="O115" i="2"/>
  <c r="N115" i="2"/>
  <c r="M115" i="2"/>
  <c r="L115" i="2"/>
  <c r="K115" i="2"/>
  <c r="J115" i="2"/>
  <c r="I115" i="2"/>
  <c r="H115" i="2"/>
  <c r="G115" i="2"/>
  <c r="F115" i="2"/>
  <c r="E115" i="2"/>
  <c r="D115" i="2"/>
  <c r="C115" i="2"/>
  <c r="B115" i="2"/>
  <c r="A115" i="2"/>
  <c r="U114" i="2"/>
  <c r="T114" i="2"/>
  <c r="S114" i="2"/>
  <c r="R114" i="2"/>
  <c r="Q114" i="2"/>
  <c r="P114" i="2"/>
  <c r="O114" i="2"/>
  <c r="N114" i="2"/>
  <c r="M114" i="2"/>
  <c r="L114" i="2"/>
  <c r="K114" i="2"/>
  <c r="J114" i="2"/>
  <c r="I114" i="2"/>
  <c r="H114" i="2"/>
  <c r="G114" i="2"/>
  <c r="F114" i="2"/>
  <c r="E114" i="2"/>
  <c r="D114" i="2"/>
  <c r="C114" i="2"/>
  <c r="B114" i="2"/>
  <c r="A114" i="2"/>
  <c r="U113" i="2"/>
  <c r="T113" i="2"/>
  <c r="S113" i="2"/>
  <c r="R113" i="2"/>
  <c r="Q113" i="2"/>
  <c r="P113" i="2"/>
  <c r="O113" i="2"/>
  <c r="N113" i="2"/>
  <c r="M113" i="2"/>
  <c r="L113" i="2"/>
  <c r="K113" i="2"/>
  <c r="J113" i="2"/>
  <c r="I113" i="2"/>
  <c r="H113" i="2"/>
  <c r="G113" i="2"/>
  <c r="F113" i="2"/>
  <c r="E113" i="2"/>
  <c r="D113" i="2"/>
  <c r="C113" i="2"/>
  <c r="B113" i="2"/>
  <c r="A113" i="2"/>
  <c r="U112" i="2"/>
  <c r="T112" i="2"/>
  <c r="S112" i="2"/>
  <c r="R112" i="2"/>
  <c r="Q112" i="2"/>
  <c r="P112" i="2"/>
  <c r="O112" i="2"/>
  <c r="N112" i="2"/>
  <c r="M112" i="2"/>
  <c r="L112" i="2"/>
  <c r="K112" i="2"/>
  <c r="J112" i="2"/>
  <c r="I112" i="2"/>
  <c r="H112" i="2"/>
  <c r="G112" i="2"/>
  <c r="F112" i="2"/>
  <c r="E112" i="2"/>
  <c r="D112" i="2"/>
  <c r="C112" i="2"/>
  <c r="B112" i="2"/>
  <c r="A112" i="2"/>
  <c r="U111" i="2"/>
  <c r="T111" i="2"/>
  <c r="S111" i="2"/>
  <c r="R111" i="2"/>
  <c r="Q111" i="2"/>
  <c r="P111" i="2"/>
  <c r="O111" i="2"/>
  <c r="N111" i="2"/>
  <c r="M111" i="2"/>
  <c r="L111" i="2"/>
  <c r="K111" i="2"/>
  <c r="J111" i="2"/>
  <c r="I111" i="2"/>
  <c r="H111" i="2"/>
  <c r="G111" i="2"/>
  <c r="F111" i="2"/>
  <c r="E111" i="2"/>
  <c r="D111" i="2"/>
  <c r="C111" i="2"/>
  <c r="B111" i="2"/>
  <c r="A111" i="2"/>
  <c r="U110" i="2"/>
  <c r="T110" i="2"/>
  <c r="S110" i="2"/>
  <c r="R110" i="2"/>
  <c r="Q110" i="2"/>
  <c r="P110" i="2"/>
  <c r="O110" i="2"/>
  <c r="N110" i="2"/>
  <c r="M110" i="2"/>
  <c r="L110" i="2"/>
  <c r="K110" i="2"/>
  <c r="J110" i="2"/>
  <c r="I110" i="2"/>
  <c r="H110" i="2"/>
  <c r="G110" i="2"/>
  <c r="F110" i="2"/>
  <c r="E110" i="2"/>
  <c r="D110" i="2"/>
  <c r="C110" i="2"/>
  <c r="B110" i="2"/>
  <c r="A110" i="2"/>
  <c r="U109" i="2"/>
  <c r="T109" i="2"/>
  <c r="S109" i="2"/>
  <c r="R109" i="2"/>
  <c r="Q109" i="2"/>
  <c r="P109" i="2"/>
  <c r="O109" i="2"/>
  <c r="N109" i="2"/>
  <c r="M109" i="2"/>
  <c r="L109" i="2"/>
  <c r="K109" i="2"/>
  <c r="J109" i="2"/>
  <c r="I109" i="2"/>
  <c r="H109" i="2"/>
  <c r="G109" i="2"/>
  <c r="F109" i="2"/>
  <c r="E109" i="2"/>
  <c r="D109" i="2"/>
  <c r="C109" i="2"/>
  <c r="B109" i="2"/>
  <c r="A109" i="2"/>
  <c r="U108" i="2"/>
  <c r="T108" i="2"/>
  <c r="S108" i="2"/>
  <c r="R108" i="2"/>
  <c r="Q108" i="2"/>
  <c r="P108" i="2"/>
  <c r="O108" i="2"/>
  <c r="N108" i="2"/>
  <c r="M108" i="2"/>
  <c r="L108" i="2"/>
  <c r="K108" i="2"/>
  <c r="J108" i="2"/>
  <c r="I108" i="2"/>
  <c r="H108" i="2"/>
  <c r="G108" i="2"/>
  <c r="F108" i="2"/>
  <c r="E108" i="2"/>
  <c r="D108" i="2"/>
  <c r="C108" i="2"/>
  <c r="B108" i="2"/>
  <c r="A108" i="2"/>
  <c r="U107" i="2"/>
  <c r="T107" i="2"/>
  <c r="S107" i="2"/>
  <c r="R107" i="2"/>
  <c r="Q107" i="2"/>
  <c r="P107" i="2"/>
  <c r="O107" i="2"/>
  <c r="N107" i="2"/>
  <c r="M107" i="2"/>
  <c r="L107" i="2"/>
  <c r="K107" i="2"/>
  <c r="J107" i="2"/>
  <c r="I107" i="2"/>
  <c r="H107" i="2"/>
  <c r="G107" i="2"/>
  <c r="F107" i="2"/>
  <c r="E107" i="2"/>
  <c r="D107" i="2"/>
  <c r="C107" i="2"/>
  <c r="B107" i="2"/>
  <c r="A107" i="2"/>
  <c r="U106" i="2"/>
  <c r="T106" i="2"/>
  <c r="S106" i="2"/>
  <c r="R106" i="2"/>
  <c r="Q106" i="2"/>
  <c r="P106" i="2"/>
  <c r="O106" i="2"/>
  <c r="N106" i="2"/>
  <c r="M106" i="2"/>
  <c r="L106" i="2"/>
  <c r="K106" i="2"/>
  <c r="J106" i="2"/>
  <c r="I106" i="2"/>
  <c r="H106" i="2"/>
  <c r="G106" i="2"/>
  <c r="F106" i="2"/>
  <c r="E106" i="2"/>
  <c r="D106" i="2"/>
  <c r="C106" i="2"/>
  <c r="B106" i="2"/>
  <c r="A106" i="2"/>
  <c r="U105" i="2"/>
  <c r="T105" i="2"/>
  <c r="S105" i="2"/>
  <c r="R105" i="2"/>
  <c r="Q105" i="2"/>
  <c r="P105" i="2"/>
  <c r="O105" i="2"/>
  <c r="N105" i="2"/>
  <c r="M105" i="2"/>
  <c r="L105" i="2"/>
  <c r="K105" i="2"/>
  <c r="J105" i="2"/>
  <c r="I105" i="2"/>
  <c r="H105" i="2"/>
  <c r="G105" i="2"/>
  <c r="F105" i="2"/>
  <c r="E105" i="2"/>
  <c r="D105" i="2"/>
  <c r="C105" i="2"/>
  <c r="B105" i="2"/>
  <c r="A105" i="2"/>
  <c r="U104" i="2"/>
  <c r="T104" i="2"/>
  <c r="S104" i="2"/>
  <c r="R104" i="2"/>
  <c r="Q104" i="2"/>
  <c r="P104" i="2"/>
  <c r="O104" i="2"/>
  <c r="N104" i="2"/>
  <c r="M104" i="2"/>
  <c r="L104" i="2"/>
  <c r="K104" i="2"/>
  <c r="J104" i="2"/>
  <c r="I104" i="2"/>
  <c r="H104" i="2"/>
  <c r="G104" i="2"/>
  <c r="F104" i="2"/>
  <c r="E104" i="2"/>
  <c r="D104" i="2"/>
  <c r="C104" i="2"/>
  <c r="B104" i="2"/>
  <c r="A104" i="2"/>
  <c r="U103" i="2"/>
  <c r="T103" i="2"/>
  <c r="S103" i="2"/>
  <c r="R103" i="2"/>
  <c r="Q103" i="2"/>
  <c r="P103" i="2"/>
  <c r="O103" i="2"/>
  <c r="N103" i="2"/>
  <c r="M103" i="2"/>
  <c r="L103" i="2"/>
  <c r="K103" i="2"/>
  <c r="J103" i="2"/>
  <c r="I103" i="2"/>
  <c r="H103" i="2"/>
  <c r="G103" i="2"/>
  <c r="F103" i="2"/>
  <c r="E103" i="2"/>
  <c r="D103" i="2"/>
  <c r="C103" i="2"/>
  <c r="B103" i="2"/>
  <c r="A103" i="2"/>
  <c r="U102" i="2"/>
  <c r="T102" i="2"/>
  <c r="S102" i="2"/>
  <c r="R102" i="2"/>
  <c r="Q102" i="2"/>
  <c r="P102" i="2"/>
  <c r="O102" i="2"/>
  <c r="N102" i="2"/>
  <c r="M102" i="2"/>
  <c r="L102" i="2"/>
  <c r="K102" i="2"/>
  <c r="J102" i="2"/>
  <c r="I102" i="2"/>
  <c r="H102" i="2"/>
  <c r="G102" i="2"/>
  <c r="F102" i="2"/>
  <c r="E102" i="2"/>
  <c r="D102" i="2"/>
  <c r="C102" i="2"/>
  <c r="B102" i="2"/>
  <c r="A102" i="2"/>
  <c r="U101" i="2"/>
  <c r="T101" i="2"/>
  <c r="S101" i="2"/>
  <c r="R101" i="2"/>
  <c r="Q101" i="2"/>
  <c r="P101" i="2"/>
  <c r="O101" i="2"/>
  <c r="N101" i="2"/>
  <c r="M101" i="2"/>
  <c r="L101" i="2"/>
  <c r="K101" i="2"/>
  <c r="J101" i="2"/>
  <c r="I101" i="2"/>
  <c r="H101" i="2"/>
  <c r="G101" i="2"/>
  <c r="F101" i="2"/>
  <c r="E101" i="2"/>
  <c r="D101" i="2"/>
  <c r="C101" i="2"/>
  <c r="B101" i="2"/>
  <c r="A101" i="2"/>
  <c r="U100" i="2"/>
  <c r="T100" i="2"/>
  <c r="S100" i="2"/>
  <c r="R100" i="2"/>
  <c r="Q100" i="2"/>
  <c r="P100" i="2"/>
  <c r="O100" i="2"/>
  <c r="N100" i="2"/>
  <c r="M100" i="2"/>
  <c r="L100" i="2"/>
  <c r="K100" i="2"/>
  <c r="J100" i="2"/>
  <c r="I100" i="2"/>
  <c r="H100" i="2"/>
  <c r="G100" i="2"/>
  <c r="F100" i="2"/>
  <c r="E100" i="2"/>
  <c r="D100" i="2"/>
  <c r="C100" i="2"/>
  <c r="B100" i="2"/>
  <c r="A100" i="2"/>
  <c r="U99" i="2"/>
  <c r="T99" i="2"/>
  <c r="S99" i="2"/>
  <c r="R99" i="2"/>
  <c r="Q99" i="2"/>
  <c r="P99" i="2"/>
  <c r="O99" i="2"/>
  <c r="N99" i="2"/>
  <c r="M99" i="2"/>
  <c r="L99" i="2"/>
  <c r="K99" i="2"/>
  <c r="J99" i="2"/>
  <c r="I99" i="2"/>
  <c r="H99" i="2"/>
  <c r="G99" i="2"/>
  <c r="F99" i="2"/>
  <c r="E99" i="2"/>
  <c r="D99" i="2"/>
  <c r="C99" i="2"/>
  <c r="B99" i="2"/>
  <c r="A99" i="2"/>
  <c r="U98" i="2"/>
  <c r="T98" i="2"/>
  <c r="S98" i="2"/>
  <c r="R98" i="2"/>
  <c r="Q98" i="2"/>
  <c r="P98" i="2"/>
  <c r="O98" i="2"/>
  <c r="N98" i="2"/>
  <c r="M98" i="2"/>
  <c r="L98" i="2"/>
  <c r="K98" i="2"/>
  <c r="J98" i="2"/>
  <c r="I98" i="2"/>
  <c r="H98" i="2"/>
  <c r="G98" i="2"/>
  <c r="F98" i="2"/>
  <c r="E98" i="2"/>
  <c r="D98" i="2"/>
  <c r="C98" i="2"/>
  <c r="B98" i="2"/>
  <c r="A98" i="2"/>
  <c r="U97" i="2"/>
  <c r="T97" i="2"/>
  <c r="S97" i="2"/>
  <c r="R97" i="2"/>
  <c r="Q97" i="2"/>
  <c r="P97" i="2"/>
  <c r="O97" i="2"/>
  <c r="N97" i="2"/>
  <c r="M97" i="2"/>
  <c r="L97" i="2"/>
  <c r="K97" i="2"/>
  <c r="J97" i="2"/>
  <c r="I97" i="2"/>
  <c r="H97" i="2"/>
  <c r="G97" i="2"/>
  <c r="F97" i="2"/>
  <c r="E97" i="2"/>
  <c r="D97" i="2"/>
  <c r="C97" i="2"/>
  <c r="B97" i="2"/>
  <c r="A97" i="2"/>
  <c r="U96" i="2"/>
  <c r="T96" i="2"/>
  <c r="S96" i="2"/>
  <c r="R96" i="2"/>
  <c r="Q96" i="2"/>
  <c r="P96" i="2"/>
  <c r="O96" i="2"/>
  <c r="N96" i="2"/>
  <c r="M96" i="2"/>
  <c r="L96" i="2"/>
  <c r="K96" i="2"/>
  <c r="J96" i="2"/>
  <c r="I96" i="2"/>
  <c r="H96" i="2"/>
  <c r="G96" i="2"/>
  <c r="F96" i="2"/>
  <c r="E96" i="2"/>
  <c r="D96" i="2"/>
  <c r="C96" i="2"/>
  <c r="B96" i="2"/>
  <c r="A96" i="2"/>
  <c r="U95" i="2"/>
  <c r="T95" i="2"/>
  <c r="S95" i="2"/>
  <c r="R95" i="2"/>
  <c r="Q95" i="2"/>
  <c r="P95" i="2"/>
  <c r="O95" i="2"/>
  <c r="N95" i="2"/>
  <c r="M95" i="2"/>
  <c r="L95" i="2"/>
  <c r="K95" i="2"/>
  <c r="J95" i="2"/>
  <c r="I95" i="2"/>
  <c r="H95" i="2"/>
  <c r="G95" i="2"/>
  <c r="F95" i="2"/>
  <c r="E95" i="2"/>
  <c r="D95" i="2"/>
  <c r="C95" i="2"/>
  <c r="B95" i="2"/>
  <c r="A95" i="2"/>
  <c r="U94" i="2"/>
  <c r="T94" i="2"/>
  <c r="S94" i="2"/>
  <c r="R94" i="2"/>
  <c r="Q94" i="2"/>
  <c r="P94" i="2"/>
  <c r="O94" i="2"/>
  <c r="N94" i="2"/>
  <c r="M94" i="2"/>
  <c r="L94" i="2"/>
  <c r="K94" i="2"/>
  <c r="J94" i="2"/>
  <c r="I94" i="2"/>
  <c r="H94" i="2"/>
  <c r="G94" i="2"/>
  <c r="F94" i="2"/>
  <c r="E94" i="2"/>
  <c r="D94" i="2"/>
  <c r="C94" i="2"/>
  <c r="B94" i="2"/>
  <c r="A94" i="2"/>
  <c r="U93" i="2"/>
  <c r="T93" i="2"/>
  <c r="S93" i="2"/>
  <c r="R93" i="2"/>
  <c r="Q93" i="2"/>
  <c r="P93" i="2"/>
  <c r="O93" i="2"/>
  <c r="N93" i="2"/>
  <c r="M93" i="2"/>
  <c r="L93" i="2"/>
  <c r="K93" i="2"/>
  <c r="J93" i="2"/>
  <c r="I93" i="2"/>
  <c r="H93" i="2"/>
  <c r="G93" i="2"/>
  <c r="F93" i="2"/>
  <c r="E93" i="2"/>
  <c r="D93" i="2"/>
  <c r="C93" i="2"/>
  <c r="B93" i="2"/>
  <c r="A93" i="2"/>
  <c r="U92" i="2"/>
  <c r="T92" i="2"/>
  <c r="S92" i="2"/>
  <c r="R92" i="2"/>
  <c r="Q92" i="2"/>
  <c r="P92" i="2"/>
  <c r="O92" i="2"/>
  <c r="N92" i="2"/>
  <c r="M92" i="2"/>
  <c r="L92" i="2"/>
  <c r="K92" i="2"/>
  <c r="J92" i="2"/>
  <c r="I92" i="2"/>
  <c r="H92" i="2"/>
  <c r="G92" i="2"/>
  <c r="F92" i="2"/>
  <c r="E92" i="2"/>
  <c r="D92" i="2"/>
  <c r="C92" i="2"/>
  <c r="B92" i="2"/>
  <c r="A92" i="2"/>
  <c r="U91" i="2"/>
  <c r="T91" i="2"/>
  <c r="S91" i="2"/>
  <c r="R91" i="2"/>
  <c r="Q91" i="2"/>
  <c r="P91" i="2"/>
  <c r="O91" i="2"/>
  <c r="N91" i="2"/>
  <c r="M91" i="2"/>
  <c r="L91" i="2"/>
  <c r="K91" i="2"/>
  <c r="J91" i="2"/>
  <c r="I91" i="2"/>
  <c r="H91" i="2"/>
  <c r="G91" i="2"/>
  <c r="F91" i="2"/>
  <c r="E91" i="2"/>
  <c r="D91" i="2"/>
  <c r="C91" i="2"/>
  <c r="B91" i="2"/>
  <c r="A91" i="2"/>
  <c r="U90" i="2"/>
  <c r="T90" i="2"/>
  <c r="S90" i="2"/>
  <c r="R90" i="2"/>
  <c r="Q90" i="2"/>
  <c r="P90" i="2"/>
  <c r="O90" i="2"/>
  <c r="N90" i="2"/>
  <c r="M90" i="2"/>
  <c r="L90" i="2"/>
  <c r="K90" i="2"/>
  <c r="J90" i="2"/>
  <c r="I90" i="2"/>
  <c r="H90" i="2"/>
  <c r="G90" i="2"/>
  <c r="F90" i="2"/>
  <c r="E90" i="2"/>
  <c r="D90" i="2"/>
  <c r="C90" i="2"/>
  <c r="B90" i="2"/>
  <c r="A90" i="2"/>
  <c r="U89" i="2"/>
  <c r="T89" i="2"/>
  <c r="S89" i="2"/>
  <c r="R89" i="2"/>
  <c r="Q89" i="2"/>
  <c r="P89" i="2"/>
  <c r="O89" i="2"/>
  <c r="N89" i="2"/>
  <c r="M89" i="2"/>
  <c r="L89" i="2"/>
  <c r="K89" i="2"/>
  <c r="J89" i="2"/>
  <c r="I89" i="2"/>
  <c r="H89" i="2"/>
  <c r="G89" i="2"/>
  <c r="F89" i="2"/>
  <c r="E89" i="2"/>
  <c r="D89" i="2"/>
  <c r="C89" i="2"/>
  <c r="B89" i="2"/>
  <c r="A89" i="2"/>
  <c r="U88" i="2"/>
  <c r="T88" i="2"/>
  <c r="S88" i="2"/>
  <c r="R88" i="2"/>
  <c r="Q88" i="2"/>
  <c r="P88" i="2"/>
  <c r="O88" i="2"/>
  <c r="N88" i="2"/>
  <c r="M88" i="2"/>
  <c r="L88" i="2"/>
  <c r="K88" i="2"/>
  <c r="J88" i="2"/>
  <c r="I88" i="2"/>
  <c r="H88" i="2"/>
  <c r="G88" i="2"/>
  <c r="F88" i="2"/>
  <c r="E88" i="2"/>
  <c r="D88" i="2"/>
  <c r="C88" i="2"/>
  <c r="B88" i="2"/>
  <c r="A88" i="2"/>
  <c r="U87" i="2"/>
  <c r="T87" i="2"/>
  <c r="S87" i="2"/>
  <c r="R87" i="2"/>
  <c r="Q87" i="2"/>
  <c r="P87" i="2"/>
  <c r="O87" i="2"/>
  <c r="N87" i="2"/>
  <c r="M87" i="2"/>
  <c r="L87" i="2"/>
  <c r="K87" i="2"/>
  <c r="J87" i="2"/>
  <c r="I87" i="2"/>
  <c r="H87" i="2"/>
  <c r="G87" i="2"/>
  <c r="F87" i="2"/>
  <c r="E87" i="2"/>
  <c r="D87" i="2"/>
  <c r="C87" i="2"/>
  <c r="B87" i="2"/>
  <c r="A87" i="2"/>
  <c r="U86" i="2"/>
  <c r="T86" i="2"/>
  <c r="S86" i="2"/>
  <c r="R86" i="2"/>
  <c r="Q86" i="2"/>
  <c r="P86" i="2"/>
  <c r="O86" i="2"/>
  <c r="N86" i="2"/>
  <c r="M86" i="2"/>
  <c r="L86" i="2"/>
  <c r="K86" i="2"/>
  <c r="J86" i="2"/>
  <c r="I86" i="2"/>
  <c r="H86" i="2"/>
  <c r="G86" i="2"/>
  <c r="F86" i="2"/>
  <c r="E86" i="2"/>
  <c r="D86" i="2"/>
  <c r="C86" i="2"/>
  <c r="B86" i="2"/>
  <c r="A86" i="2"/>
  <c r="U85" i="2"/>
  <c r="T85" i="2"/>
  <c r="S85" i="2"/>
  <c r="R85" i="2"/>
  <c r="Q85" i="2"/>
  <c r="P85" i="2"/>
  <c r="O85" i="2"/>
  <c r="N85" i="2"/>
  <c r="M85" i="2"/>
  <c r="L85" i="2"/>
  <c r="K85" i="2"/>
  <c r="J85" i="2"/>
  <c r="I85" i="2"/>
  <c r="H85" i="2"/>
  <c r="G85" i="2"/>
  <c r="F85" i="2"/>
  <c r="E85" i="2"/>
  <c r="D85" i="2"/>
  <c r="C85" i="2"/>
  <c r="B85" i="2"/>
  <c r="A85" i="2"/>
  <c r="U84" i="2"/>
  <c r="T84" i="2"/>
  <c r="S84" i="2"/>
  <c r="R84" i="2"/>
  <c r="Q84" i="2"/>
  <c r="P84" i="2"/>
  <c r="O84" i="2"/>
  <c r="N84" i="2"/>
  <c r="M84" i="2"/>
  <c r="L84" i="2"/>
  <c r="K84" i="2"/>
  <c r="J84" i="2"/>
  <c r="I84" i="2"/>
  <c r="H84" i="2"/>
  <c r="G84" i="2"/>
  <c r="F84" i="2"/>
  <c r="E84" i="2"/>
  <c r="D84" i="2"/>
  <c r="C84" i="2"/>
  <c r="B84" i="2"/>
  <c r="A84" i="2"/>
  <c r="U83" i="2"/>
  <c r="T83" i="2"/>
  <c r="S83" i="2"/>
  <c r="R83" i="2"/>
  <c r="Q83" i="2"/>
  <c r="P83" i="2"/>
  <c r="O83" i="2"/>
  <c r="N83" i="2"/>
  <c r="M83" i="2"/>
  <c r="L83" i="2"/>
  <c r="K83" i="2"/>
  <c r="J83" i="2"/>
  <c r="I83" i="2"/>
  <c r="H83" i="2"/>
  <c r="G83" i="2"/>
  <c r="F83" i="2"/>
  <c r="E83" i="2"/>
  <c r="D83" i="2"/>
  <c r="C83" i="2"/>
  <c r="B83" i="2"/>
  <c r="A83" i="2"/>
  <c r="U82" i="2"/>
  <c r="T82" i="2"/>
  <c r="S82" i="2"/>
  <c r="R82" i="2"/>
  <c r="Q82" i="2"/>
  <c r="P82" i="2"/>
  <c r="O82" i="2"/>
  <c r="N82" i="2"/>
  <c r="M82" i="2"/>
  <c r="L82" i="2"/>
  <c r="K82" i="2"/>
  <c r="J82" i="2"/>
  <c r="I82" i="2"/>
  <c r="H82" i="2"/>
  <c r="G82" i="2"/>
  <c r="F82" i="2"/>
  <c r="E82" i="2"/>
  <c r="D82" i="2"/>
  <c r="C82" i="2"/>
  <c r="B82" i="2"/>
  <c r="A82" i="2"/>
  <c r="U81" i="2"/>
  <c r="T81" i="2"/>
  <c r="S81" i="2"/>
  <c r="R81" i="2"/>
  <c r="Q81" i="2"/>
  <c r="P81" i="2"/>
  <c r="O81" i="2"/>
  <c r="N81" i="2"/>
  <c r="M81" i="2"/>
  <c r="L81" i="2"/>
  <c r="K81" i="2"/>
  <c r="J81" i="2"/>
  <c r="I81" i="2"/>
  <c r="H81" i="2"/>
  <c r="G81" i="2"/>
  <c r="F81" i="2"/>
  <c r="E81" i="2"/>
  <c r="D81" i="2"/>
  <c r="C81" i="2"/>
  <c r="B81" i="2"/>
  <c r="A81" i="2"/>
  <c r="U80" i="2"/>
  <c r="T80" i="2"/>
  <c r="S80" i="2"/>
  <c r="R80" i="2"/>
  <c r="Q80" i="2"/>
  <c r="P80" i="2"/>
  <c r="O80" i="2"/>
  <c r="N80" i="2"/>
  <c r="M80" i="2"/>
  <c r="L80" i="2"/>
  <c r="K80" i="2"/>
  <c r="J80" i="2"/>
  <c r="I80" i="2"/>
  <c r="H80" i="2"/>
  <c r="G80" i="2"/>
  <c r="F80" i="2"/>
  <c r="E80" i="2"/>
  <c r="D80" i="2"/>
  <c r="C80" i="2"/>
  <c r="B80" i="2"/>
  <c r="A80" i="2"/>
  <c r="U79" i="2"/>
  <c r="T79" i="2"/>
  <c r="S79" i="2"/>
  <c r="R79" i="2"/>
  <c r="Q79" i="2"/>
  <c r="P79" i="2"/>
  <c r="O79" i="2"/>
  <c r="N79" i="2"/>
  <c r="M79" i="2"/>
  <c r="L79" i="2"/>
  <c r="K79" i="2"/>
  <c r="J79" i="2"/>
  <c r="I79" i="2"/>
  <c r="H79" i="2"/>
  <c r="G79" i="2"/>
  <c r="F79" i="2"/>
  <c r="E79" i="2"/>
  <c r="D79" i="2"/>
  <c r="C79" i="2"/>
  <c r="B79" i="2"/>
  <c r="A79" i="2"/>
  <c r="U78" i="2"/>
  <c r="T78" i="2"/>
  <c r="S78" i="2"/>
  <c r="R78" i="2"/>
  <c r="Q78" i="2"/>
  <c r="P78" i="2"/>
  <c r="O78" i="2"/>
  <c r="N78" i="2"/>
  <c r="M78" i="2"/>
  <c r="L78" i="2"/>
  <c r="K78" i="2"/>
  <c r="J78" i="2"/>
  <c r="I78" i="2"/>
  <c r="H78" i="2"/>
  <c r="G78" i="2"/>
  <c r="F78" i="2"/>
  <c r="E78" i="2"/>
  <c r="D78" i="2"/>
  <c r="C78" i="2"/>
  <c r="B78" i="2"/>
  <c r="A78" i="2"/>
  <c r="U77" i="2"/>
  <c r="T77" i="2"/>
  <c r="S77" i="2"/>
  <c r="R77" i="2"/>
  <c r="Q77" i="2"/>
  <c r="P77" i="2"/>
  <c r="O77" i="2"/>
  <c r="N77" i="2"/>
  <c r="M77" i="2"/>
  <c r="L77" i="2"/>
  <c r="K77" i="2"/>
  <c r="J77" i="2"/>
  <c r="I77" i="2"/>
  <c r="H77" i="2"/>
  <c r="G77" i="2"/>
  <c r="F77" i="2"/>
  <c r="E77" i="2"/>
  <c r="D77" i="2"/>
  <c r="C77" i="2"/>
  <c r="B77" i="2"/>
  <c r="A77" i="2"/>
  <c r="U76" i="2"/>
  <c r="T76" i="2"/>
  <c r="S76" i="2"/>
  <c r="R76" i="2"/>
  <c r="Q76" i="2"/>
  <c r="P76" i="2"/>
  <c r="O76" i="2"/>
  <c r="N76" i="2"/>
  <c r="M76" i="2"/>
  <c r="L76" i="2"/>
  <c r="K76" i="2"/>
  <c r="J76" i="2"/>
  <c r="I76" i="2"/>
  <c r="H76" i="2"/>
  <c r="G76" i="2"/>
  <c r="F76" i="2"/>
  <c r="E76" i="2"/>
  <c r="D76" i="2"/>
  <c r="C76" i="2"/>
  <c r="B76" i="2"/>
  <c r="A76" i="2"/>
  <c r="U75" i="2"/>
  <c r="T75" i="2"/>
  <c r="S75" i="2"/>
  <c r="R75" i="2"/>
  <c r="Q75" i="2"/>
  <c r="P75" i="2"/>
  <c r="O75" i="2"/>
  <c r="N75" i="2"/>
  <c r="M75" i="2"/>
  <c r="L75" i="2"/>
  <c r="K75" i="2"/>
  <c r="J75" i="2"/>
  <c r="I75" i="2"/>
  <c r="H75" i="2"/>
  <c r="G75" i="2"/>
  <c r="F75" i="2"/>
  <c r="E75" i="2"/>
  <c r="D75" i="2"/>
  <c r="C75" i="2"/>
  <c r="B75" i="2"/>
  <c r="A75" i="2"/>
  <c r="U74" i="2"/>
  <c r="T74" i="2"/>
  <c r="S74" i="2"/>
  <c r="R74" i="2"/>
  <c r="Q74" i="2"/>
  <c r="P74" i="2"/>
  <c r="O74" i="2"/>
  <c r="N74" i="2"/>
  <c r="M74" i="2"/>
  <c r="L74" i="2"/>
  <c r="K74" i="2"/>
  <c r="J74" i="2"/>
  <c r="I74" i="2"/>
  <c r="H74" i="2"/>
  <c r="G74" i="2"/>
  <c r="F74" i="2"/>
  <c r="E74" i="2"/>
  <c r="D74" i="2"/>
  <c r="C74" i="2"/>
  <c r="B74" i="2"/>
  <c r="A74" i="2"/>
  <c r="U73" i="2"/>
  <c r="T73" i="2"/>
  <c r="S73" i="2"/>
  <c r="R73" i="2"/>
  <c r="Q73" i="2"/>
  <c r="P73" i="2"/>
  <c r="O73" i="2"/>
  <c r="N73" i="2"/>
  <c r="M73" i="2"/>
  <c r="L73" i="2"/>
  <c r="K73" i="2"/>
  <c r="J73" i="2"/>
  <c r="I73" i="2"/>
  <c r="H73" i="2"/>
  <c r="G73" i="2"/>
  <c r="F73" i="2"/>
  <c r="E73" i="2"/>
  <c r="D73" i="2"/>
  <c r="C73" i="2"/>
  <c r="B73" i="2"/>
  <c r="A73" i="2"/>
  <c r="U72" i="2"/>
  <c r="T72" i="2"/>
  <c r="S72" i="2"/>
  <c r="R72" i="2"/>
  <c r="Q72" i="2"/>
  <c r="P72" i="2"/>
  <c r="O72" i="2"/>
  <c r="N72" i="2"/>
  <c r="M72" i="2"/>
  <c r="L72" i="2"/>
  <c r="K72" i="2"/>
  <c r="J72" i="2"/>
  <c r="I72" i="2"/>
  <c r="H72" i="2"/>
  <c r="G72" i="2"/>
  <c r="F72" i="2"/>
  <c r="E72" i="2"/>
  <c r="D72" i="2"/>
  <c r="C72" i="2"/>
  <c r="B72" i="2"/>
  <c r="A72" i="2"/>
  <c r="U71" i="2"/>
  <c r="T71" i="2"/>
  <c r="S71" i="2"/>
  <c r="R71" i="2"/>
  <c r="Q71" i="2"/>
  <c r="P71" i="2"/>
  <c r="O71" i="2"/>
  <c r="N71" i="2"/>
  <c r="M71" i="2"/>
  <c r="L71" i="2"/>
  <c r="K71" i="2"/>
  <c r="J71" i="2"/>
  <c r="I71" i="2"/>
  <c r="H71" i="2"/>
  <c r="G71" i="2"/>
  <c r="F71" i="2"/>
  <c r="E71" i="2"/>
  <c r="D71" i="2"/>
  <c r="C71" i="2"/>
  <c r="B71" i="2"/>
  <c r="A71" i="2"/>
  <c r="U70" i="2"/>
  <c r="T70" i="2"/>
  <c r="S70" i="2"/>
  <c r="R70" i="2"/>
  <c r="Q70" i="2"/>
  <c r="P70" i="2"/>
  <c r="O70" i="2"/>
  <c r="N70" i="2"/>
  <c r="M70" i="2"/>
  <c r="L70" i="2"/>
  <c r="K70" i="2"/>
  <c r="J70" i="2"/>
  <c r="I70" i="2"/>
  <c r="H70" i="2"/>
  <c r="G70" i="2"/>
  <c r="F70" i="2"/>
  <c r="E70" i="2"/>
  <c r="D70" i="2"/>
  <c r="C70" i="2"/>
  <c r="B70" i="2"/>
  <c r="A70" i="2"/>
  <c r="U69" i="2"/>
  <c r="T69" i="2"/>
  <c r="S69" i="2"/>
  <c r="R69" i="2"/>
  <c r="Q69" i="2"/>
  <c r="P69" i="2"/>
  <c r="O69" i="2"/>
  <c r="N69" i="2"/>
  <c r="M69" i="2"/>
  <c r="L69" i="2"/>
  <c r="K69" i="2"/>
  <c r="J69" i="2"/>
  <c r="I69" i="2"/>
  <c r="H69" i="2"/>
  <c r="G69" i="2"/>
  <c r="F69" i="2"/>
  <c r="E69" i="2"/>
  <c r="D69" i="2"/>
  <c r="C69" i="2"/>
  <c r="B69" i="2"/>
  <c r="A69" i="2"/>
  <c r="U68" i="2"/>
  <c r="T68" i="2"/>
  <c r="S68" i="2"/>
  <c r="R68" i="2"/>
  <c r="Q68" i="2"/>
  <c r="P68" i="2"/>
  <c r="O68" i="2"/>
  <c r="N68" i="2"/>
  <c r="M68" i="2"/>
  <c r="L68" i="2"/>
  <c r="K68" i="2"/>
  <c r="J68" i="2"/>
  <c r="I68" i="2"/>
  <c r="H68" i="2"/>
  <c r="G68" i="2"/>
  <c r="F68" i="2"/>
  <c r="E68" i="2"/>
  <c r="D68" i="2"/>
  <c r="C68" i="2"/>
  <c r="B68" i="2"/>
  <c r="A68" i="2"/>
  <c r="U67" i="2"/>
  <c r="T67" i="2"/>
  <c r="S67" i="2"/>
  <c r="R67" i="2"/>
  <c r="Q67" i="2"/>
  <c r="P67" i="2"/>
  <c r="O67" i="2"/>
  <c r="N67" i="2"/>
  <c r="M67" i="2"/>
  <c r="L67" i="2"/>
  <c r="K67" i="2"/>
  <c r="J67" i="2"/>
  <c r="I67" i="2"/>
  <c r="H67" i="2"/>
  <c r="G67" i="2"/>
  <c r="F67" i="2"/>
  <c r="E67" i="2"/>
  <c r="D67" i="2"/>
  <c r="C67" i="2"/>
  <c r="B67" i="2"/>
  <c r="A67" i="2"/>
  <c r="U66" i="2"/>
  <c r="T66" i="2"/>
  <c r="S66" i="2"/>
  <c r="R66" i="2"/>
  <c r="Q66" i="2"/>
  <c r="P66" i="2"/>
  <c r="O66" i="2"/>
  <c r="N66" i="2"/>
  <c r="M66" i="2"/>
  <c r="L66" i="2"/>
  <c r="K66" i="2"/>
  <c r="J66" i="2"/>
  <c r="I66" i="2"/>
  <c r="H66" i="2"/>
  <c r="G66" i="2"/>
  <c r="F66" i="2"/>
  <c r="E66" i="2"/>
  <c r="D66" i="2"/>
  <c r="C66" i="2"/>
  <c r="B66" i="2"/>
  <c r="A66" i="2"/>
  <c r="U65" i="2"/>
  <c r="T65" i="2"/>
  <c r="S65" i="2"/>
  <c r="R65" i="2"/>
  <c r="Q65" i="2"/>
  <c r="P65" i="2"/>
  <c r="O65" i="2"/>
  <c r="N65" i="2"/>
  <c r="M65" i="2"/>
  <c r="L65" i="2"/>
  <c r="K65" i="2"/>
  <c r="J65" i="2"/>
  <c r="I65" i="2"/>
  <c r="H65" i="2"/>
  <c r="G65" i="2"/>
  <c r="F65" i="2"/>
  <c r="E65" i="2"/>
  <c r="D65" i="2"/>
  <c r="C65" i="2"/>
  <c r="B65" i="2"/>
  <c r="A65" i="2"/>
  <c r="U64" i="2"/>
  <c r="T64" i="2"/>
  <c r="S64" i="2"/>
  <c r="R64" i="2"/>
  <c r="Q64" i="2"/>
  <c r="P64" i="2"/>
  <c r="O64" i="2"/>
  <c r="N64" i="2"/>
  <c r="M64" i="2"/>
  <c r="L64" i="2"/>
  <c r="K64" i="2"/>
  <c r="J64" i="2"/>
  <c r="I64" i="2"/>
  <c r="H64" i="2"/>
  <c r="G64" i="2"/>
  <c r="F64" i="2"/>
  <c r="E64" i="2"/>
  <c r="D64" i="2"/>
  <c r="C64" i="2"/>
  <c r="B64" i="2"/>
  <c r="A64" i="2"/>
  <c r="U63" i="2"/>
  <c r="T63" i="2"/>
  <c r="S63" i="2"/>
  <c r="R63" i="2"/>
  <c r="Q63" i="2"/>
  <c r="P63" i="2"/>
  <c r="O63" i="2"/>
  <c r="N63" i="2"/>
  <c r="M63" i="2"/>
  <c r="L63" i="2"/>
  <c r="K63" i="2"/>
  <c r="J63" i="2"/>
  <c r="I63" i="2"/>
  <c r="H63" i="2"/>
  <c r="G63" i="2"/>
  <c r="F63" i="2"/>
  <c r="E63" i="2"/>
  <c r="D63" i="2"/>
  <c r="C63" i="2"/>
  <c r="B63" i="2"/>
  <c r="A63" i="2"/>
  <c r="U62" i="2"/>
  <c r="T62" i="2"/>
  <c r="S62" i="2"/>
  <c r="R62" i="2"/>
  <c r="Q62" i="2"/>
  <c r="P62" i="2"/>
  <c r="O62" i="2"/>
  <c r="N62" i="2"/>
  <c r="M62" i="2"/>
  <c r="L62" i="2"/>
  <c r="K62" i="2"/>
  <c r="J62" i="2"/>
  <c r="I62" i="2"/>
  <c r="H62" i="2"/>
  <c r="G62" i="2"/>
  <c r="F62" i="2"/>
  <c r="E62" i="2"/>
  <c r="D62" i="2"/>
  <c r="C62" i="2"/>
  <c r="B62" i="2"/>
  <c r="A62" i="2"/>
  <c r="U61" i="2"/>
  <c r="T61" i="2"/>
  <c r="S61" i="2"/>
  <c r="R61" i="2"/>
  <c r="Q61" i="2"/>
  <c r="P61" i="2"/>
  <c r="O61" i="2"/>
  <c r="N61" i="2"/>
  <c r="M61" i="2"/>
  <c r="L61" i="2"/>
  <c r="K61" i="2"/>
  <c r="J61" i="2"/>
  <c r="I61" i="2"/>
  <c r="H61" i="2"/>
  <c r="G61" i="2"/>
  <c r="F61" i="2"/>
  <c r="E61" i="2"/>
  <c r="D61" i="2"/>
  <c r="C61" i="2"/>
  <c r="B61" i="2"/>
  <c r="A61" i="2"/>
  <c r="U60" i="2"/>
  <c r="T60" i="2"/>
  <c r="S60" i="2"/>
  <c r="R60" i="2"/>
  <c r="Q60" i="2"/>
  <c r="P60" i="2"/>
  <c r="O60" i="2"/>
  <c r="N60" i="2"/>
  <c r="M60" i="2"/>
  <c r="L60" i="2"/>
  <c r="K60" i="2"/>
  <c r="J60" i="2"/>
  <c r="I60" i="2"/>
  <c r="H60" i="2"/>
  <c r="G60" i="2"/>
  <c r="F60" i="2"/>
  <c r="E60" i="2"/>
  <c r="D60" i="2"/>
  <c r="C60" i="2"/>
  <c r="B60" i="2"/>
  <c r="A60" i="2"/>
  <c r="U59" i="2"/>
  <c r="T59" i="2"/>
  <c r="S59" i="2"/>
  <c r="R59" i="2"/>
  <c r="Q59" i="2"/>
  <c r="P59" i="2"/>
  <c r="O59" i="2"/>
  <c r="N59" i="2"/>
  <c r="M59" i="2"/>
  <c r="L59" i="2"/>
  <c r="K59" i="2"/>
  <c r="J59" i="2"/>
  <c r="I59" i="2"/>
  <c r="H59" i="2"/>
  <c r="G59" i="2"/>
  <c r="F59" i="2"/>
  <c r="E59" i="2"/>
  <c r="D59" i="2"/>
  <c r="C59" i="2"/>
  <c r="B59" i="2"/>
  <c r="A59" i="2"/>
  <c r="U58" i="2"/>
  <c r="T58" i="2"/>
  <c r="S58" i="2"/>
  <c r="R58" i="2"/>
  <c r="Q58" i="2"/>
  <c r="P58" i="2"/>
  <c r="O58" i="2"/>
  <c r="N58" i="2"/>
  <c r="M58" i="2"/>
  <c r="L58" i="2"/>
  <c r="K58" i="2"/>
  <c r="J58" i="2"/>
  <c r="I58" i="2"/>
  <c r="H58" i="2"/>
  <c r="G58" i="2"/>
  <c r="F58" i="2"/>
  <c r="E58" i="2"/>
  <c r="D58" i="2"/>
  <c r="C58" i="2"/>
  <c r="B58" i="2"/>
  <c r="A58" i="2"/>
  <c r="U57" i="2"/>
  <c r="T57" i="2"/>
  <c r="S57" i="2"/>
  <c r="R57" i="2"/>
  <c r="Q57" i="2"/>
  <c r="P57" i="2"/>
  <c r="O57" i="2"/>
  <c r="N57" i="2"/>
  <c r="M57" i="2"/>
  <c r="L57" i="2"/>
  <c r="K57" i="2"/>
  <c r="J57" i="2"/>
  <c r="I57" i="2"/>
  <c r="H57" i="2"/>
  <c r="G57" i="2"/>
  <c r="F57" i="2"/>
  <c r="E57" i="2"/>
  <c r="D57" i="2"/>
  <c r="C57" i="2"/>
  <c r="B57" i="2"/>
  <c r="A57" i="2"/>
  <c r="U56" i="2"/>
  <c r="T56" i="2"/>
  <c r="S56" i="2"/>
  <c r="R56" i="2"/>
  <c r="Q56" i="2"/>
  <c r="P56" i="2"/>
  <c r="O56" i="2"/>
  <c r="N56" i="2"/>
  <c r="M56" i="2"/>
  <c r="L56" i="2"/>
  <c r="K56" i="2"/>
  <c r="J56" i="2"/>
  <c r="I56" i="2"/>
  <c r="H56" i="2"/>
  <c r="G56" i="2"/>
  <c r="F56" i="2"/>
  <c r="E56" i="2"/>
  <c r="D56" i="2"/>
  <c r="C56" i="2"/>
  <c r="B56" i="2"/>
  <c r="A56" i="2"/>
  <c r="U55" i="2"/>
  <c r="T55" i="2"/>
  <c r="S55" i="2"/>
  <c r="R55" i="2"/>
  <c r="Q55" i="2"/>
  <c r="P55" i="2"/>
  <c r="O55" i="2"/>
  <c r="N55" i="2"/>
  <c r="M55" i="2"/>
  <c r="L55" i="2"/>
  <c r="K55" i="2"/>
  <c r="J55" i="2"/>
  <c r="I55" i="2"/>
  <c r="H55" i="2"/>
  <c r="G55" i="2"/>
  <c r="F55" i="2"/>
  <c r="E55" i="2"/>
  <c r="D55" i="2"/>
  <c r="C55" i="2"/>
  <c r="B55" i="2"/>
  <c r="A55" i="2"/>
  <c r="U54" i="2"/>
  <c r="T54" i="2"/>
  <c r="S54" i="2"/>
  <c r="R54" i="2"/>
  <c r="Q54" i="2"/>
  <c r="P54" i="2"/>
  <c r="O54" i="2"/>
  <c r="N54" i="2"/>
  <c r="M54" i="2"/>
  <c r="L54" i="2"/>
  <c r="K54" i="2"/>
  <c r="J54" i="2"/>
  <c r="I54" i="2"/>
  <c r="H54" i="2"/>
  <c r="G54" i="2"/>
  <c r="F54" i="2"/>
  <c r="E54" i="2"/>
  <c r="D54" i="2"/>
  <c r="C54" i="2"/>
  <c r="B54" i="2"/>
  <c r="A54" i="2"/>
  <c r="U53" i="2"/>
  <c r="T53" i="2"/>
  <c r="S53" i="2"/>
  <c r="R53" i="2"/>
  <c r="Q53" i="2"/>
  <c r="P53" i="2"/>
  <c r="O53" i="2"/>
  <c r="N53" i="2"/>
  <c r="M53" i="2"/>
  <c r="L53" i="2"/>
  <c r="K53" i="2"/>
  <c r="J53" i="2"/>
  <c r="I53" i="2"/>
  <c r="H53" i="2"/>
  <c r="G53" i="2"/>
  <c r="F53" i="2"/>
  <c r="E53" i="2"/>
  <c r="D53" i="2"/>
  <c r="C53" i="2"/>
  <c r="B53" i="2"/>
  <c r="A53" i="2"/>
  <c r="U52" i="2"/>
  <c r="T52" i="2"/>
  <c r="S52" i="2"/>
  <c r="R52" i="2"/>
  <c r="Q52" i="2"/>
  <c r="P52" i="2"/>
  <c r="O52" i="2"/>
  <c r="N52" i="2"/>
  <c r="M52" i="2"/>
  <c r="L52" i="2"/>
  <c r="K52" i="2"/>
  <c r="J52" i="2"/>
  <c r="I52" i="2"/>
  <c r="H52" i="2"/>
  <c r="G52" i="2"/>
  <c r="F52" i="2"/>
  <c r="E52" i="2"/>
  <c r="D52" i="2"/>
  <c r="C52" i="2"/>
  <c r="B52" i="2"/>
  <c r="A52" i="2"/>
  <c r="U51" i="2"/>
  <c r="T51" i="2"/>
  <c r="S51" i="2"/>
  <c r="R51" i="2"/>
  <c r="Q51" i="2"/>
  <c r="P51" i="2"/>
  <c r="O51" i="2"/>
  <c r="N51" i="2"/>
  <c r="M51" i="2"/>
  <c r="L51" i="2"/>
  <c r="K51" i="2"/>
  <c r="J51" i="2"/>
  <c r="I51" i="2"/>
  <c r="H51" i="2"/>
  <c r="G51" i="2"/>
  <c r="F51" i="2"/>
  <c r="E51" i="2"/>
  <c r="D51" i="2"/>
  <c r="C51" i="2"/>
  <c r="B51" i="2"/>
  <c r="A51" i="2"/>
  <c r="U50" i="2"/>
  <c r="T50" i="2"/>
  <c r="S50" i="2"/>
  <c r="R50" i="2"/>
  <c r="Q50" i="2"/>
  <c r="P50" i="2"/>
  <c r="O50" i="2"/>
  <c r="N50" i="2"/>
  <c r="M50" i="2"/>
  <c r="L50" i="2"/>
  <c r="K50" i="2"/>
  <c r="J50" i="2"/>
  <c r="I50" i="2"/>
  <c r="H50" i="2"/>
  <c r="G50" i="2"/>
  <c r="F50" i="2"/>
  <c r="E50" i="2"/>
  <c r="D50" i="2"/>
  <c r="C50" i="2"/>
  <c r="B50" i="2"/>
  <c r="A50" i="2"/>
  <c r="U49" i="2"/>
  <c r="T49" i="2"/>
  <c r="S49" i="2"/>
  <c r="R49" i="2"/>
  <c r="Q49" i="2"/>
  <c r="P49" i="2"/>
  <c r="O49" i="2"/>
  <c r="N49" i="2"/>
  <c r="M49" i="2"/>
  <c r="L49" i="2"/>
  <c r="K49" i="2"/>
  <c r="J49" i="2"/>
  <c r="I49" i="2"/>
  <c r="H49" i="2"/>
  <c r="G49" i="2"/>
  <c r="F49" i="2"/>
  <c r="E49" i="2"/>
  <c r="D49" i="2"/>
  <c r="C49" i="2"/>
  <c r="B49" i="2"/>
  <c r="A49" i="2"/>
  <c r="U48" i="2"/>
  <c r="T48" i="2"/>
  <c r="S48" i="2"/>
  <c r="R48" i="2"/>
  <c r="Q48" i="2"/>
  <c r="P48" i="2"/>
  <c r="O48" i="2"/>
  <c r="N48" i="2"/>
  <c r="M48" i="2"/>
  <c r="L48" i="2"/>
  <c r="K48" i="2"/>
  <c r="J48" i="2"/>
  <c r="I48" i="2"/>
  <c r="H48" i="2"/>
  <c r="G48" i="2"/>
  <c r="F48" i="2"/>
  <c r="E48" i="2"/>
  <c r="D48" i="2"/>
  <c r="C48" i="2"/>
  <c r="B48" i="2"/>
  <c r="A48" i="2"/>
  <c r="U47" i="2"/>
  <c r="T47" i="2"/>
  <c r="S47" i="2"/>
  <c r="R47" i="2"/>
  <c r="Q47" i="2"/>
  <c r="P47" i="2"/>
  <c r="O47" i="2"/>
  <c r="N47" i="2"/>
  <c r="M47" i="2"/>
  <c r="L47" i="2"/>
  <c r="K47" i="2"/>
  <c r="J47" i="2"/>
  <c r="I47" i="2"/>
  <c r="H47" i="2"/>
  <c r="G47" i="2"/>
  <c r="F47" i="2"/>
  <c r="E47" i="2"/>
  <c r="D47" i="2"/>
  <c r="C47" i="2"/>
  <c r="B47" i="2"/>
  <c r="A47" i="2"/>
  <c r="U46" i="2"/>
  <c r="T46" i="2"/>
  <c r="S46" i="2"/>
  <c r="R46" i="2"/>
  <c r="Q46" i="2"/>
  <c r="P46" i="2"/>
  <c r="O46" i="2"/>
  <c r="N46" i="2"/>
  <c r="M46" i="2"/>
  <c r="L46" i="2"/>
  <c r="K46" i="2"/>
  <c r="J46" i="2"/>
  <c r="I46" i="2"/>
  <c r="H46" i="2"/>
  <c r="G46" i="2"/>
  <c r="F46" i="2"/>
  <c r="E46" i="2"/>
  <c r="D46" i="2"/>
  <c r="C46" i="2"/>
  <c r="B46" i="2"/>
  <c r="A46" i="2"/>
  <c r="U45" i="2"/>
  <c r="T45" i="2"/>
  <c r="S45" i="2"/>
  <c r="R45" i="2"/>
  <c r="Q45" i="2"/>
  <c r="P45" i="2"/>
  <c r="O45" i="2"/>
  <c r="N45" i="2"/>
  <c r="M45" i="2"/>
  <c r="L45" i="2"/>
  <c r="K45" i="2"/>
  <c r="J45" i="2"/>
  <c r="I45" i="2"/>
  <c r="H45" i="2"/>
  <c r="G45" i="2"/>
  <c r="F45" i="2"/>
  <c r="E45" i="2"/>
  <c r="D45" i="2"/>
  <c r="C45" i="2"/>
  <c r="B45" i="2"/>
  <c r="A45" i="2"/>
  <c r="U44" i="2"/>
  <c r="T44" i="2"/>
  <c r="S44" i="2"/>
  <c r="R44" i="2"/>
  <c r="Q44" i="2"/>
  <c r="P44" i="2"/>
  <c r="O44" i="2"/>
  <c r="N44" i="2"/>
  <c r="M44" i="2"/>
  <c r="L44" i="2"/>
  <c r="K44" i="2"/>
  <c r="J44" i="2"/>
  <c r="I44" i="2"/>
  <c r="H44" i="2"/>
  <c r="G44" i="2"/>
  <c r="F44" i="2"/>
  <c r="E44" i="2"/>
  <c r="D44" i="2"/>
  <c r="C44" i="2"/>
  <c r="B44" i="2"/>
  <c r="A44" i="2"/>
  <c r="U43" i="2"/>
  <c r="T43" i="2"/>
  <c r="S43" i="2"/>
  <c r="R43" i="2"/>
  <c r="Q43" i="2"/>
  <c r="P43" i="2"/>
  <c r="O43" i="2"/>
  <c r="N43" i="2"/>
  <c r="M43" i="2"/>
  <c r="L43" i="2"/>
  <c r="K43" i="2"/>
  <c r="J43" i="2"/>
  <c r="I43" i="2"/>
  <c r="H43" i="2"/>
  <c r="G43" i="2"/>
  <c r="F43" i="2"/>
  <c r="E43" i="2"/>
  <c r="D43" i="2"/>
  <c r="C43" i="2"/>
  <c r="B43" i="2"/>
  <c r="A43" i="2"/>
  <c r="U42" i="2"/>
  <c r="T42" i="2"/>
  <c r="S42" i="2"/>
  <c r="R42" i="2"/>
  <c r="Q42" i="2"/>
  <c r="P42" i="2"/>
  <c r="O42" i="2"/>
  <c r="N42" i="2"/>
  <c r="M42" i="2"/>
  <c r="L42" i="2"/>
  <c r="K42" i="2"/>
  <c r="J42" i="2"/>
  <c r="I42" i="2"/>
  <c r="H42" i="2"/>
  <c r="G42" i="2"/>
  <c r="F42" i="2"/>
  <c r="E42" i="2"/>
  <c r="D42" i="2"/>
  <c r="C42" i="2"/>
  <c r="B42" i="2"/>
  <c r="A42" i="2"/>
  <c r="U41" i="2"/>
  <c r="T41" i="2"/>
  <c r="S41" i="2"/>
  <c r="R41" i="2"/>
  <c r="Q41" i="2"/>
  <c r="P41" i="2"/>
  <c r="O41" i="2"/>
  <c r="N41" i="2"/>
  <c r="M41" i="2"/>
  <c r="L41" i="2"/>
  <c r="K41" i="2"/>
  <c r="J41" i="2"/>
  <c r="I41" i="2"/>
  <c r="H41" i="2"/>
  <c r="G41" i="2"/>
  <c r="F41" i="2"/>
  <c r="E41" i="2"/>
  <c r="D41" i="2"/>
  <c r="C41" i="2"/>
  <c r="B41" i="2"/>
  <c r="A41" i="2"/>
  <c r="U40" i="2"/>
  <c r="T40" i="2"/>
  <c r="S40" i="2"/>
  <c r="R40" i="2"/>
  <c r="Q40" i="2"/>
  <c r="P40" i="2"/>
  <c r="O40" i="2"/>
  <c r="N40" i="2"/>
  <c r="M40" i="2"/>
  <c r="L40" i="2"/>
  <c r="K40" i="2"/>
  <c r="J40" i="2"/>
  <c r="I40" i="2"/>
  <c r="H40" i="2"/>
  <c r="G40" i="2"/>
  <c r="F40" i="2"/>
  <c r="E40" i="2"/>
  <c r="D40" i="2"/>
  <c r="C40" i="2"/>
  <c r="B40" i="2"/>
  <c r="A40" i="2"/>
  <c r="U39" i="2"/>
  <c r="T39" i="2"/>
  <c r="S39" i="2"/>
  <c r="R39" i="2"/>
  <c r="Q39" i="2"/>
  <c r="P39" i="2"/>
  <c r="O39" i="2"/>
  <c r="N39" i="2"/>
  <c r="M39" i="2"/>
  <c r="L39" i="2"/>
  <c r="K39" i="2"/>
  <c r="J39" i="2"/>
  <c r="I39" i="2"/>
  <c r="H39" i="2"/>
  <c r="G39" i="2"/>
  <c r="F39" i="2"/>
  <c r="E39" i="2"/>
  <c r="D39" i="2"/>
  <c r="C39" i="2"/>
  <c r="B39" i="2"/>
  <c r="A39" i="2"/>
  <c r="U38" i="2"/>
  <c r="T38" i="2"/>
  <c r="S38" i="2"/>
  <c r="R38" i="2"/>
  <c r="Q38" i="2"/>
  <c r="P38" i="2"/>
  <c r="O38" i="2"/>
  <c r="N38" i="2"/>
  <c r="M38" i="2"/>
  <c r="L38" i="2"/>
  <c r="K38" i="2"/>
  <c r="J38" i="2"/>
  <c r="I38" i="2"/>
  <c r="H38" i="2"/>
  <c r="G38" i="2"/>
  <c r="F38" i="2"/>
  <c r="E38" i="2"/>
  <c r="D38" i="2"/>
  <c r="C38" i="2"/>
  <c r="B38" i="2"/>
  <c r="A38" i="2"/>
  <c r="U37" i="2"/>
  <c r="T37" i="2"/>
  <c r="S37" i="2"/>
  <c r="R37" i="2"/>
  <c r="Q37" i="2"/>
  <c r="P37" i="2"/>
  <c r="O37" i="2"/>
  <c r="N37" i="2"/>
  <c r="M37" i="2"/>
  <c r="L37" i="2"/>
  <c r="K37" i="2"/>
  <c r="J37" i="2"/>
  <c r="I37" i="2"/>
  <c r="H37" i="2"/>
  <c r="G37" i="2"/>
  <c r="F37" i="2"/>
  <c r="E37" i="2"/>
  <c r="D37" i="2"/>
  <c r="C37" i="2"/>
  <c r="B37" i="2"/>
  <c r="A37" i="2"/>
  <c r="U36" i="2"/>
  <c r="T36" i="2"/>
  <c r="S36" i="2"/>
  <c r="R36" i="2"/>
  <c r="Q36" i="2"/>
  <c r="P36" i="2"/>
  <c r="O36" i="2"/>
  <c r="N36" i="2"/>
  <c r="M36" i="2"/>
  <c r="L36" i="2"/>
  <c r="K36" i="2"/>
  <c r="J36" i="2"/>
  <c r="I36" i="2"/>
  <c r="H36" i="2"/>
  <c r="G36" i="2"/>
  <c r="F36" i="2"/>
  <c r="E36" i="2"/>
  <c r="D36" i="2"/>
  <c r="C36" i="2"/>
  <c r="B36" i="2"/>
  <c r="A36" i="2"/>
  <c r="U35" i="2"/>
  <c r="T35" i="2"/>
  <c r="S35" i="2"/>
  <c r="R35" i="2"/>
  <c r="Q35" i="2"/>
  <c r="P35" i="2"/>
  <c r="O35" i="2"/>
  <c r="N35" i="2"/>
  <c r="M35" i="2"/>
  <c r="L35" i="2"/>
  <c r="K35" i="2"/>
  <c r="J35" i="2"/>
  <c r="I35" i="2"/>
  <c r="H35" i="2"/>
  <c r="G35" i="2"/>
  <c r="F35" i="2"/>
  <c r="E35" i="2"/>
  <c r="D35" i="2"/>
  <c r="C35" i="2"/>
  <c r="B35" i="2"/>
  <c r="A35" i="2"/>
  <c r="U34" i="2"/>
  <c r="T34" i="2"/>
  <c r="S34" i="2"/>
  <c r="R34" i="2"/>
  <c r="Q34" i="2"/>
  <c r="P34" i="2"/>
  <c r="O34" i="2"/>
  <c r="N34" i="2"/>
  <c r="M34" i="2"/>
  <c r="L34" i="2"/>
  <c r="K34" i="2"/>
  <c r="J34" i="2"/>
  <c r="I34" i="2"/>
  <c r="H34" i="2"/>
  <c r="G34" i="2"/>
  <c r="F34" i="2"/>
  <c r="E34" i="2"/>
  <c r="D34" i="2"/>
  <c r="C34" i="2"/>
  <c r="B34" i="2"/>
  <c r="A34" i="2"/>
  <c r="U33" i="2"/>
  <c r="T33" i="2"/>
  <c r="S33" i="2"/>
  <c r="R33" i="2"/>
  <c r="Q33" i="2"/>
  <c r="P33" i="2"/>
  <c r="O33" i="2"/>
  <c r="N33" i="2"/>
  <c r="M33" i="2"/>
  <c r="L33" i="2"/>
  <c r="K33" i="2"/>
  <c r="J33" i="2"/>
  <c r="I33" i="2"/>
  <c r="H33" i="2"/>
  <c r="G33" i="2"/>
  <c r="F33" i="2"/>
  <c r="E33" i="2"/>
  <c r="D33" i="2"/>
  <c r="C33" i="2"/>
  <c r="B33" i="2"/>
  <c r="A33" i="2"/>
  <c r="U32" i="2"/>
  <c r="T32" i="2"/>
  <c r="S32" i="2"/>
  <c r="R32" i="2"/>
  <c r="Q32" i="2"/>
  <c r="P32" i="2"/>
  <c r="O32" i="2"/>
  <c r="N32" i="2"/>
  <c r="M32" i="2"/>
  <c r="L32" i="2"/>
  <c r="K32" i="2"/>
  <c r="J32" i="2"/>
  <c r="I32" i="2"/>
  <c r="H32" i="2"/>
  <c r="G32" i="2"/>
  <c r="F32" i="2"/>
  <c r="E32" i="2"/>
  <c r="D32" i="2"/>
  <c r="C32" i="2"/>
  <c r="B32" i="2"/>
  <c r="A32" i="2"/>
  <c r="U31" i="2"/>
  <c r="T31" i="2"/>
  <c r="S31" i="2"/>
  <c r="R31" i="2"/>
  <c r="Q31" i="2"/>
  <c r="P31" i="2"/>
  <c r="O31" i="2"/>
  <c r="N31" i="2"/>
  <c r="M31" i="2"/>
  <c r="L31" i="2"/>
  <c r="K31" i="2"/>
  <c r="J31" i="2"/>
  <c r="I31" i="2"/>
  <c r="H31" i="2"/>
  <c r="G31" i="2"/>
  <c r="F31" i="2"/>
  <c r="E31" i="2"/>
  <c r="D31" i="2"/>
  <c r="C31" i="2"/>
  <c r="B31" i="2"/>
  <c r="A31" i="2"/>
  <c r="U30" i="2"/>
  <c r="T30" i="2"/>
  <c r="S30" i="2"/>
  <c r="R30" i="2"/>
  <c r="Q30" i="2"/>
  <c r="P30" i="2"/>
  <c r="O30" i="2"/>
  <c r="N30" i="2"/>
  <c r="M30" i="2"/>
  <c r="L30" i="2"/>
  <c r="K30" i="2"/>
  <c r="J30" i="2"/>
  <c r="I30" i="2"/>
  <c r="H30" i="2"/>
  <c r="G30" i="2"/>
  <c r="F30" i="2"/>
  <c r="E30" i="2"/>
  <c r="D30" i="2"/>
  <c r="C30" i="2"/>
  <c r="B30" i="2"/>
  <c r="A30" i="2"/>
  <c r="U29" i="2"/>
  <c r="T29" i="2"/>
  <c r="S29" i="2"/>
  <c r="R29" i="2"/>
  <c r="Q29" i="2"/>
  <c r="P29" i="2"/>
  <c r="O29" i="2"/>
  <c r="N29" i="2"/>
  <c r="M29" i="2"/>
  <c r="L29" i="2"/>
  <c r="K29" i="2"/>
  <c r="J29" i="2"/>
  <c r="I29" i="2"/>
  <c r="H29" i="2"/>
  <c r="G29" i="2"/>
  <c r="F29" i="2"/>
  <c r="E29" i="2"/>
  <c r="D29" i="2"/>
  <c r="C29" i="2"/>
  <c r="B29" i="2"/>
  <c r="A29" i="2"/>
  <c r="U28" i="2"/>
  <c r="T28" i="2"/>
  <c r="S28" i="2"/>
  <c r="R28" i="2"/>
  <c r="Q28" i="2"/>
  <c r="P28" i="2"/>
  <c r="O28" i="2"/>
  <c r="N28" i="2"/>
  <c r="M28" i="2"/>
  <c r="L28" i="2"/>
  <c r="K28" i="2"/>
  <c r="J28" i="2"/>
  <c r="I28" i="2"/>
  <c r="H28" i="2"/>
  <c r="G28" i="2"/>
  <c r="F28" i="2"/>
  <c r="E28" i="2"/>
  <c r="D28" i="2"/>
  <c r="C28" i="2"/>
  <c r="B28" i="2"/>
  <c r="A28" i="2"/>
  <c r="U27" i="2"/>
  <c r="T27" i="2"/>
  <c r="S27" i="2"/>
  <c r="R27" i="2"/>
  <c r="Q27" i="2"/>
  <c r="P27" i="2"/>
  <c r="O27" i="2"/>
  <c r="N27" i="2"/>
  <c r="M27" i="2"/>
  <c r="L27" i="2"/>
  <c r="K27" i="2"/>
  <c r="J27" i="2"/>
  <c r="I27" i="2"/>
  <c r="H27" i="2"/>
  <c r="G27" i="2"/>
  <c r="F27" i="2"/>
  <c r="E27" i="2"/>
  <c r="D27" i="2"/>
  <c r="C27" i="2"/>
  <c r="B27" i="2"/>
  <c r="A27" i="2"/>
  <c r="U26" i="2"/>
  <c r="T26" i="2"/>
  <c r="S26" i="2"/>
  <c r="R26" i="2"/>
  <c r="Q26" i="2"/>
  <c r="P26" i="2"/>
  <c r="O26" i="2"/>
  <c r="N26" i="2"/>
  <c r="M26" i="2"/>
  <c r="L26" i="2"/>
  <c r="K26" i="2"/>
  <c r="J26" i="2"/>
  <c r="I26" i="2"/>
  <c r="H26" i="2"/>
  <c r="G26" i="2"/>
  <c r="F26" i="2"/>
  <c r="E26" i="2"/>
  <c r="D26" i="2"/>
  <c r="C26" i="2"/>
  <c r="B26" i="2"/>
  <c r="A26" i="2"/>
  <c r="U25" i="2"/>
  <c r="T25" i="2"/>
  <c r="S25" i="2"/>
  <c r="R25" i="2"/>
  <c r="Q25" i="2"/>
  <c r="P25" i="2"/>
  <c r="O25" i="2"/>
  <c r="N25" i="2"/>
  <c r="M25" i="2"/>
  <c r="L25" i="2"/>
  <c r="K25" i="2"/>
  <c r="J25" i="2"/>
  <c r="I25" i="2"/>
  <c r="H25" i="2"/>
  <c r="G25" i="2"/>
  <c r="F25" i="2"/>
  <c r="E25" i="2"/>
  <c r="D25" i="2"/>
  <c r="C25" i="2"/>
  <c r="B25" i="2"/>
  <c r="A25" i="2"/>
  <c r="U24" i="2"/>
  <c r="T24" i="2"/>
  <c r="S24" i="2"/>
  <c r="R24" i="2"/>
  <c r="Q24" i="2"/>
  <c r="P24" i="2"/>
  <c r="O24" i="2"/>
  <c r="N24" i="2"/>
  <c r="M24" i="2"/>
  <c r="L24" i="2"/>
  <c r="K24" i="2"/>
  <c r="J24" i="2"/>
  <c r="I24" i="2"/>
  <c r="H24" i="2"/>
  <c r="G24" i="2"/>
  <c r="F24" i="2"/>
  <c r="E24" i="2"/>
  <c r="D24" i="2"/>
  <c r="C24" i="2"/>
  <c r="B24" i="2"/>
  <c r="A24" i="2"/>
  <c r="U23" i="2"/>
  <c r="T23" i="2"/>
  <c r="S23" i="2"/>
  <c r="R23" i="2"/>
  <c r="Q23" i="2"/>
  <c r="P23" i="2"/>
  <c r="O23" i="2"/>
  <c r="N23" i="2"/>
  <c r="M23" i="2"/>
  <c r="L23" i="2"/>
  <c r="K23" i="2"/>
  <c r="J23" i="2"/>
  <c r="I23" i="2"/>
  <c r="H23" i="2"/>
  <c r="G23" i="2"/>
  <c r="F23" i="2"/>
  <c r="E23" i="2"/>
  <c r="D23" i="2"/>
  <c r="C23" i="2"/>
  <c r="B23" i="2"/>
  <c r="A23" i="2"/>
  <c r="U22" i="2"/>
  <c r="T22" i="2"/>
  <c r="S22" i="2"/>
  <c r="R22" i="2"/>
  <c r="Q22" i="2"/>
  <c r="P22" i="2"/>
  <c r="O22" i="2"/>
  <c r="N22" i="2"/>
  <c r="M22" i="2"/>
  <c r="L22" i="2"/>
  <c r="K22" i="2"/>
  <c r="J22" i="2"/>
  <c r="I22" i="2"/>
  <c r="H22" i="2"/>
  <c r="G22" i="2"/>
  <c r="F22" i="2"/>
  <c r="E22" i="2"/>
  <c r="D22" i="2"/>
  <c r="C22" i="2"/>
  <c r="B22" i="2"/>
  <c r="A22" i="2"/>
  <c r="U21" i="2"/>
  <c r="T21" i="2"/>
  <c r="S21" i="2"/>
  <c r="R21" i="2"/>
  <c r="Q21" i="2"/>
  <c r="P21" i="2"/>
  <c r="O21" i="2"/>
  <c r="N21" i="2"/>
  <c r="M21" i="2"/>
  <c r="L21" i="2"/>
  <c r="K21" i="2"/>
  <c r="J21" i="2"/>
  <c r="I21" i="2"/>
  <c r="H21" i="2"/>
  <c r="G21" i="2"/>
  <c r="F21" i="2"/>
  <c r="E21" i="2"/>
  <c r="D21" i="2"/>
  <c r="C21" i="2"/>
  <c r="B21" i="2"/>
  <c r="A21" i="2"/>
  <c r="U20" i="2"/>
  <c r="T20" i="2"/>
  <c r="S20" i="2"/>
  <c r="R20" i="2"/>
  <c r="Q20" i="2"/>
  <c r="P20" i="2"/>
  <c r="O20" i="2"/>
  <c r="N20" i="2"/>
  <c r="M20" i="2"/>
  <c r="L20" i="2"/>
  <c r="K20" i="2"/>
  <c r="J20" i="2"/>
  <c r="I20" i="2"/>
  <c r="H20" i="2"/>
  <c r="G20" i="2"/>
  <c r="F20" i="2"/>
  <c r="E20" i="2"/>
  <c r="D20" i="2"/>
  <c r="C20" i="2"/>
  <c r="B20" i="2"/>
  <c r="A20" i="2"/>
  <c r="U19" i="2"/>
  <c r="T19" i="2"/>
  <c r="S19" i="2"/>
  <c r="R19" i="2"/>
  <c r="Q19" i="2"/>
  <c r="P19" i="2"/>
  <c r="O19" i="2"/>
  <c r="N19" i="2"/>
  <c r="M19" i="2"/>
  <c r="L19" i="2"/>
  <c r="K19" i="2"/>
  <c r="J19" i="2"/>
  <c r="I19" i="2"/>
  <c r="H19" i="2"/>
  <c r="G19" i="2"/>
  <c r="F19" i="2"/>
  <c r="E19" i="2"/>
  <c r="D19" i="2"/>
  <c r="C19" i="2"/>
  <c r="B19" i="2"/>
  <c r="A19" i="2"/>
  <c r="U18" i="2"/>
  <c r="T18" i="2"/>
  <c r="S18" i="2"/>
  <c r="R18" i="2"/>
  <c r="Q18" i="2"/>
  <c r="P18" i="2"/>
  <c r="O18" i="2"/>
  <c r="N18" i="2"/>
  <c r="M18" i="2"/>
  <c r="L18" i="2"/>
  <c r="K18" i="2"/>
  <c r="J18" i="2"/>
  <c r="I18" i="2"/>
  <c r="H18" i="2"/>
  <c r="G18" i="2"/>
  <c r="F18" i="2"/>
  <c r="E18" i="2"/>
  <c r="D18" i="2"/>
  <c r="C18" i="2"/>
  <c r="B18" i="2"/>
  <c r="A18" i="2"/>
  <c r="U17" i="2"/>
  <c r="T17" i="2"/>
  <c r="S17" i="2"/>
  <c r="R17" i="2"/>
  <c r="Q17" i="2"/>
  <c r="P17" i="2"/>
  <c r="O17" i="2"/>
  <c r="N17" i="2"/>
  <c r="M17" i="2"/>
  <c r="L17" i="2"/>
  <c r="K17" i="2"/>
  <c r="J17" i="2"/>
  <c r="I17" i="2"/>
  <c r="H17" i="2"/>
  <c r="G17" i="2"/>
  <c r="F17" i="2"/>
  <c r="E17" i="2"/>
  <c r="D17" i="2"/>
  <c r="C17" i="2"/>
  <c r="B17" i="2"/>
  <c r="A17" i="2"/>
  <c r="U16" i="2"/>
  <c r="T16" i="2"/>
  <c r="S16" i="2"/>
  <c r="R16" i="2"/>
  <c r="Q16" i="2"/>
  <c r="P16" i="2"/>
  <c r="O16" i="2"/>
  <c r="N16" i="2"/>
  <c r="M16" i="2"/>
  <c r="L16" i="2"/>
  <c r="K16" i="2"/>
  <c r="J16" i="2"/>
  <c r="I16" i="2"/>
  <c r="H16" i="2"/>
  <c r="G16" i="2"/>
  <c r="F16" i="2"/>
  <c r="E16" i="2"/>
  <c r="D16" i="2"/>
  <c r="C16" i="2"/>
  <c r="B16" i="2"/>
  <c r="A16" i="2"/>
  <c r="U15" i="2"/>
  <c r="T15" i="2"/>
  <c r="S15" i="2"/>
  <c r="R15" i="2"/>
  <c r="Q15" i="2"/>
  <c r="P15" i="2"/>
  <c r="O15" i="2"/>
  <c r="N15" i="2"/>
  <c r="M15" i="2"/>
  <c r="L15" i="2"/>
  <c r="K15" i="2"/>
  <c r="J15" i="2"/>
  <c r="I15" i="2"/>
  <c r="H15" i="2"/>
  <c r="G15" i="2"/>
  <c r="F15" i="2"/>
  <c r="E15" i="2"/>
  <c r="D15" i="2"/>
  <c r="C15" i="2"/>
  <c r="B15" i="2"/>
  <c r="A15" i="2"/>
  <c r="U14" i="2"/>
  <c r="T14" i="2"/>
  <c r="S14" i="2"/>
  <c r="R14" i="2"/>
  <c r="Q14" i="2"/>
  <c r="P14" i="2"/>
  <c r="O14" i="2"/>
  <c r="N14" i="2"/>
  <c r="M14" i="2"/>
  <c r="L14" i="2"/>
  <c r="K14" i="2"/>
  <c r="J14" i="2"/>
  <c r="I14" i="2"/>
  <c r="H14" i="2"/>
  <c r="G14" i="2"/>
  <c r="F14" i="2"/>
  <c r="E14" i="2"/>
  <c r="D14" i="2"/>
  <c r="C14" i="2"/>
  <c r="B14" i="2"/>
  <c r="A14" i="2"/>
  <c r="U13" i="2"/>
  <c r="T13" i="2"/>
  <c r="S13" i="2"/>
  <c r="R13" i="2"/>
  <c r="Q13" i="2"/>
  <c r="P13" i="2"/>
  <c r="O13" i="2"/>
  <c r="N13" i="2"/>
  <c r="M13" i="2"/>
  <c r="L13" i="2"/>
  <c r="K13" i="2"/>
  <c r="J13" i="2"/>
  <c r="I13" i="2"/>
  <c r="H13" i="2"/>
  <c r="G13" i="2"/>
  <c r="F13" i="2"/>
  <c r="E13" i="2"/>
  <c r="D13" i="2"/>
  <c r="C13" i="2"/>
  <c r="B13" i="2"/>
  <c r="A13" i="2"/>
  <c r="U12" i="2"/>
  <c r="T12" i="2"/>
  <c r="S12" i="2"/>
  <c r="R12" i="2"/>
  <c r="Q12" i="2"/>
  <c r="P12" i="2"/>
  <c r="O12" i="2"/>
  <c r="N12" i="2"/>
  <c r="M12" i="2"/>
  <c r="L12" i="2"/>
  <c r="K12" i="2"/>
  <c r="J12" i="2"/>
  <c r="I12" i="2"/>
  <c r="H12" i="2"/>
  <c r="G12" i="2"/>
  <c r="F12" i="2"/>
  <c r="E12" i="2"/>
  <c r="D12" i="2"/>
  <c r="C12" i="2"/>
  <c r="B12" i="2"/>
  <c r="A12" i="2"/>
  <c r="U11" i="2"/>
  <c r="T11" i="2"/>
  <c r="S11" i="2"/>
  <c r="R11" i="2"/>
  <c r="Q11" i="2"/>
  <c r="P11" i="2"/>
  <c r="O11" i="2"/>
  <c r="N11" i="2"/>
  <c r="M11" i="2"/>
  <c r="L11" i="2"/>
  <c r="K11" i="2"/>
  <c r="J11" i="2"/>
  <c r="I11" i="2"/>
  <c r="H11" i="2"/>
  <c r="G11" i="2"/>
  <c r="F11" i="2"/>
  <c r="E11" i="2"/>
  <c r="D11" i="2"/>
  <c r="C11" i="2"/>
  <c r="B11" i="2"/>
  <c r="A11" i="2"/>
  <c r="U10" i="2"/>
  <c r="T10" i="2"/>
  <c r="S10" i="2"/>
  <c r="R10" i="2"/>
  <c r="Q10" i="2"/>
  <c r="P10" i="2"/>
  <c r="O10" i="2"/>
  <c r="N10" i="2"/>
  <c r="M10" i="2"/>
  <c r="L10" i="2"/>
  <c r="K10" i="2"/>
  <c r="J10" i="2"/>
  <c r="I10" i="2"/>
  <c r="H10" i="2"/>
  <c r="G10" i="2"/>
  <c r="F10" i="2"/>
  <c r="E10" i="2"/>
  <c r="D10" i="2"/>
  <c r="C10" i="2"/>
  <c r="B10" i="2"/>
  <c r="A10" i="2"/>
  <c r="U9" i="2"/>
  <c r="T9" i="2"/>
  <c r="S9" i="2"/>
  <c r="R9" i="2"/>
  <c r="Q9" i="2"/>
  <c r="P9" i="2"/>
  <c r="O9" i="2"/>
  <c r="N9" i="2"/>
  <c r="M9" i="2"/>
  <c r="L9" i="2"/>
  <c r="K9" i="2"/>
  <c r="J9" i="2"/>
  <c r="I9" i="2"/>
  <c r="H9" i="2"/>
  <c r="G9" i="2"/>
  <c r="F9" i="2"/>
  <c r="E9" i="2"/>
  <c r="D9" i="2"/>
  <c r="C9" i="2"/>
  <c r="B9" i="2"/>
  <c r="A9" i="2"/>
  <c r="U8" i="2"/>
  <c r="T8" i="2"/>
  <c r="S8" i="2"/>
  <c r="R8" i="2"/>
  <c r="Q8" i="2"/>
  <c r="P8" i="2"/>
  <c r="O8" i="2"/>
  <c r="N8" i="2"/>
  <c r="M8" i="2"/>
  <c r="L8" i="2"/>
  <c r="K8" i="2"/>
  <c r="J8" i="2"/>
  <c r="I8" i="2"/>
  <c r="H8" i="2"/>
  <c r="G8" i="2"/>
  <c r="F8" i="2"/>
  <c r="E8" i="2"/>
  <c r="D8" i="2"/>
  <c r="C8" i="2"/>
  <c r="B8" i="2"/>
  <c r="A8" i="2"/>
  <c r="U7" i="2"/>
  <c r="T7" i="2"/>
  <c r="S7" i="2"/>
  <c r="R7" i="2"/>
  <c r="Q7" i="2"/>
  <c r="P7" i="2"/>
  <c r="O7" i="2"/>
  <c r="N7" i="2"/>
  <c r="M7" i="2"/>
  <c r="L7" i="2"/>
  <c r="K7" i="2"/>
  <c r="J7" i="2"/>
  <c r="I7" i="2"/>
  <c r="H7" i="2"/>
  <c r="G7" i="2"/>
  <c r="F7" i="2"/>
  <c r="E7" i="2"/>
  <c r="D7" i="2"/>
  <c r="C7" i="2"/>
  <c r="B7" i="2"/>
  <c r="A7" i="2"/>
  <c r="U6" i="2"/>
  <c r="T6" i="2"/>
  <c r="S6" i="2"/>
  <c r="R6" i="2"/>
  <c r="Q6" i="2"/>
  <c r="P6" i="2"/>
  <c r="O6" i="2"/>
  <c r="N6" i="2"/>
  <c r="M6" i="2"/>
  <c r="L6" i="2"/>
  <c r="K6" i="2"/>
  <c r="J6" i="2"/>
  <c r="I6" i="2"/>
  <c r="H6" i="2"/>
  <c r="G6" i="2"/>
  <c r="F6" i="2"/>
  <c r="E6" i="2"/>
  <c r="D6" i="2"/>
  <c r="C6" i="2"/>
  <c r="B6" i="2"/>
  <c r="A6" i="2"/>
  <c r="U5" i="2"/>
  <c r="T5" i="2"/>
  <c r="S5" i="2"/>
  <c r="R5" i="2"/>
  <c r="Q5" i="2"/>
  <c r="P5" i="2"/>
  <c r="O5" i="2"/>
  <c r="N5" i="2"/>
  <c r="M5" i="2"/>
  <c r="L5" i="2"/>
  <c r="K5" i="2"/>
  <c r="J5" i="2"/>
  <c r="I5" i="2"/>
  <c r="H5" i="2"/>
  <c r="G5" i="2"/>
  <c r="F5" i="2"/>
  <c r="E5" i="2"/>
  <c r="D5" i="2"/>
  <c r="C5" i="2"/>
  <c r="B5" i="2"/>
  <c r="A5" i="2"/>
  <c r="U4" i="2"/>
  <c r="T4" i="2"/>
  <c r="S4" i="2"/>
  <c r="R4" i="2"/>
  <c r="Q4" i="2"/>
  <c r="P4" i="2"/>
  <c r="O4" i="2"/>
  <c r="N4" i="2"/>
  <c r="M4" i="2"/>
  <c r="L4" i="2"/>
  <c r="K4" i="2"/>
  <c r="J4" i="2"/>
  <c r="I4" i="2"/>
  <c r="H4" i="2"/>
  <c r="G4" i="2"/>
  <c r="F4" i="2"/>
  <c r="E4" i="2"/>
  <c r="D4" i="2"/>
  <c r="C4" i="2"/>
  <c r="B4" i="2"/>
  <c r="A4" i="2"/>
  <c r="U3" i="2"/>
  <c r="T3" i="2"/>
  <c r="S3" i="2"/>
  <c r="R3" i="2"/>
  <c r="Q3" i="2"/>
  <c r="P3" i="2"/>
  <c r="O3" i="2"/>
  <c r="N3" i="2"/>
  <c r="M3" i="2"/>
  <c r="L3" i="2"/>
  <c r="K3" i="2"/>
  <c r="J3" i="2"/>
  <c r="I3" i="2"/>
  <c r="H3" i="2"/>
  <c r="G3" i="2"/>
  <c r="F3" i="2"/>
  <c r="E3" i="2"/>
  <c r="D3" i="2"/>
  <c r="C3" i="2"/>
  <c r="B3" i="2"/>
  <c r="A3" i="2"/>
  <c r="U2" i="2"/>
  <c r="T2" i="2"/>
  <c r="S2" i="2"/>
  <c r="R2" i="2"/>
  <c r="Q2" i="2"/>
  <c r="P2" i="2"/>
  <c r="O2" i="2"/>
  <c r="N2" i="2"/>
  <c r="M2" i="2"/>
  <c r="L2" i="2"/>
  <c r="K2" i="2"/>
  <c r="J2" i="2"/>
  <c r="I2" i="2"/>
  <c r="H2" i="2"/>
  <c r="G2" i="2"/>
  <c r="F2" i="2"/>
  <c r="E2" i="2"/>
  <c r="D2" i="2"/>
  <c r="C2" i="2"/>
  <c r="B2" i="2"/>
  <c r="A2" i="2"/>
  <c r="N549" i="1"/>
  <c r="M549" i="1"/>
  <c r="L549" i="1"/>
  <c r="K549" i="1"/>
  <c r="J549" i="1"/>
  <c r="I549" i="1"/>
  <c r="H549" i="1"/>
  <c r="G549" i="1"/>
  <c r="F549" i="1"/>
  <c r="E549" i="1"/>
  <c r="D549" i="1"/>
  <c r="C549" i="1"/>
  <c r="B549" i="1"/>
  <c r="A549" i="1"/>
  <c r="N548" i="1"/>
  <c r="M548" i="1"/>
  <c r="L548" i="1"/>
  <c r="K548" i="1"/>
  <c r="J548" i="1"/>
  <c r="I548" i="1"/>
  <c r="H548" i="1"/>
  <c r="G548" i="1"/>
  <c r="F548" i="1"/>
  <c r="E548" i="1"/>
  <c r="D548" i="1"/>
  <c r="C548" i="1"/>
  <c r="B548" i="1"/>
  <c r="A548" i="1"/>
  <c r="N547" i="1"/>
  <c r="M547" i="1"/>
  <c r="L547" i="1"/>
  <c r="K547" i="1"/>
  <c r="J547" i="1"/>
  <c r="I547" i="1"/>
  <c r="H547" i="1"/>
  <c r="G547" i="1"/>
  <c r="F547" i="1"/>
  <c r="E547" i="1"/>
  <c r="D547" i="1"/>
  <c r="C547" i="1"/>
  <c r="B547" i="1"/>
  <c r="A547" i="1"/>
  <c r="N546" i="1"/>
  <c r="M546" i="1"/>
  <c r="L546" i="1"/>
  <c r="K546" i="1"/>
  <c r="J546" i="1"/>
  <c r="I546" i="1"/>
  <c r="H546" i="1"/>
  <c r="G546" i="1"/>
  <c r="F546" i="1"/>
  <c r="E546" i="1"/>
  <c r="D546" i="1"/>
  <c r="C546" i="1"/>
  <c r="B546" i="1"/>
  <c r="A546" i="1"/>
  <c r="N545" i="1"/>
  <c r="M545" i="1"/>
  <c r="L545" i="1"/>
  <c r="K545" i="1"/>
  <c r="J545" i="1"/>
  <c r="I545" i="1"/>
  <c r="H545" i="1"/>
  <c r="G545" i="1"/>
  <c r="F545" i="1"/>
  <c r="E545" i="1"/>
  <c r="D545" i="1"/>
  <c r="C545" i="1"/>
  <c r="B545" i="1"/>
  <c r="A545" i="1"/>
  <c r="N544" i="1"/>
  <c r="M544" i="1"/>
  <c r="L544" i="1"/>
  <c r="K544" i="1"/>
  <c r="J544" i="1"/>
  <c r="I544" i="1"/>
  <c r="H544" i="1"/>
  <c r="G544" i="1"/>
  <c r="F544" i="1"/>
  <c r="E544" i="1"/>
  <c r="D544" i="1"/>
  <c r="C544" i="1"/>
  <c r="B544" i="1"/>
  <c r="A544" i="1"/>
  <c r="N543" i="1"/>
  <c r="M543" i="1"/>
  <c r="L543" i="1"/>
  <c r="K543" i="1"/>
  <c r="J543" i="1"/>
  <c r="I543" i="1"/>
  <c r="H543" i="1"/>
  <c r="G543" i="1"/>
  <c r="F543" i="1"/>
  <c r="E543" i="1"/>
  <c r="D543" i="1"/>
  <c r="C543" i="1"/>
  <c r="B543" i="1"/>
  <c r="A543" i="1"/>
  <c r="N542" i="1"/>
  <c r="M542" i="1"/>
  <c r="L542" i="1"/>
  <c r="K542" i="1"/>
  <c r="J542" i="1"/>
  <c r="I542" i="1"/>
  <c r="H542" i="1"/>
  <c r="G542" i="1"/>
  <c r="F542" i="1"/>
  <c r="E542" i="1"/>
  <c r="D542" i="1"/>
  <c r="C542" i="1"/>
  <c r="B542" i="1"/>
  <c r="A542" i="1"/>
  <c r="N541" i="1"/>
  <c r="M541" i="1"/>
  <c r="L541" i="1"/>
  <c r="K541" i="1"/>
  <c r="J541" i="1"/>
  <c r="I541" i="1"/>
  <c r="H541" i="1"/>
  <c r="G541" i="1"/>
  <c r="F541" i="1"/>
  <c r="E541" i="1"/>
  <c r="D541" i="1"/>
  <c r="C541" i="1"/>
  <c r="B541" i="1"/>
  <c r="A541" i="1"/>
  <c r="N540" i="1"/>
  <c r="M540" i="1"/>
  <c r="L540" i="1"/>
  <c r="K540" i="1"/>
  <c r="J540" i="1"/>
  <c r="I540" i="1"/>
  <c r="H540" i="1"/>
  <c r="G540" i="1"/>
  <c r="F540" i="1"/>
  <c r="E540" i="1"/>
  <c r="D540" i="1"/>
  <c r="C540" i="1"/>
  <c r="B540" i="1"/>
  <c r="A540" i="1"/>
  <c r="N539" i="1"/>
  <c r="M539" i="1"/>
  <c r="L539" i="1"/>
  <c r="K539" i="1"/>
  <c r="J539" i="1"/>
  <c r="I539" i="1"/>
  <c r="H539" i="1"/>
  <c r="G539" i="1"/>
  <c r="F539" i="1"/>
  <c r="E539" i="1"/>
  <c r="D539" i="1"/>
  <c r="C539" i="1"/>
  <c r="B539" i="1"/>
  <c r="A539" i="1"/>
  <c r="N538" i="1"/>
  <c r="M538" i="1"/>
  <c r="L538" i="1"/>
  <c r="K538" i="1"/>
  <c r="J538" i="1"/>
  <c r="I538" i="1"/>
  <c r="H538" i="1"/>
  <c r="G538" i="1"/>
  <c r="F538" i="1"/>
  <c r="E538" i="1"/>
  <c r="D538" i="1"/>
  <c r="C538" i="1"/>
  <c r="B538" i="1"/>
  <c r="A538" i="1"/>
  <c r="N537" i="1"/>
  <c r="M537" i="1"/>
  <c r="L537" i="1"/>
  <c r="K537" i="1"/>
  <c r="J537" i="1"/>
  <c r="I537" i="1"/>
  <c r="H537" i="1"/>
  <c r="G537" i="1"/>
  <c r="F537" i="1"/>
  <c r="E537" i="1"/>
  <c r="D537" i="1"/>
  <c r="C537" i="1"/>
  <c r="B537" i="1"/>
  <c r="A537" i="1"/>
  <c r="N536" i="1"/>
  <c r="M536" i="1"/>
  <c r="L536" i="1"/>
  <c r="K536" i="1"/>
  <c r="J536" i="1"/>
  <c r="I536" i="1"/>
  <c r="H536" i="1"/>
  <c r="G536" i="1"/>
  <c r="F536" i="1"/>
  <c r="E536" i="1"/>
  <c r="D536" i="1"/>
  <c r="C536" i="1"/>
  <c r="B536" i="1"/>
  <c r="A536" i="1"/>
  <c r="N535" i="1"/>
  <c r="M535" i="1"/>
  <c r="L535" i="1"/>
  <c r="K535" i="1"/>
  <c r="J535" i="1"/>
  <c r="I535" i="1"/>
  <c r="H535" i="1"/>
  <c r="G535" i="1"/>
  <c r="F535" i="1"/>
  <c r="E535" i="1"/>
  <c r="D535" i="1"/>
  <c r="C535" i="1"/>
  <c r="B535" i="1"/>
  <c r="A535" i="1"/>
  <c r="N534" i="1"/>
  <c r="M534" i="1"/>
  <c r="L534" i="1"/>
  <c r="K534" i="1"/>
  <c r="J534" i="1"/>
  <c r="I534" i="1"/>
  <c r="H534" i="1"/>
  <c r="G534" i="1"/>
  <c r="F534" i="1"/>
  <c r="E534" i="1"/>
  <c r="D534" i="1"/>
  <c r="C534" i="1"/>
  <c r="B534" i="1"/>
  <c r="A534" i="1"/>
  <c r="N533" i="1"/>
  <c r="M533" i="1"/>
  <c r="L533" i="1"/>
  <c r="K533" i="1"/>
  <c r="J533" i="1"/>
  <c r="I533" i="1"/>
  <c r="H533" i="1"/>
  <c r="G533" i="1"/>
  <c r="F533" i="1"/>
  <c r="E533" i="1"/>
  <c r="D533" i="1"/>
  <c r="C533" i="1"/>
  <c r="B533" i="1"/>
  <c r="A533" i="1"/>
  <c r="N532" i="1"/>
  <c r="M532" i="1"/>
  <c r="L532" i="1"/>
  <c r="K532" i="1"/>
  <c r="J532" i="1"/>
  <c r="I532" i="1"/>
  <c r="H532" i="1"/>
  <c r="G532" i="1"/>
  <c r="F532" i="1"/>
  <c r="E532" i="1"/>
  <c r="D532" i="1"/>
  <c r="C532" i="1"/>
  <c r="B532" i="1"/>
  <c r="A532" i="1"/>
  <c r="N531" i="1"/>
  <c r="M531" i="1"/>
  <c r="L531" i="1"/>
  <c r="K531" i="1"/>
  <c r="J531" i="1"/>
  <c r="I531" i="1"/>
  <c r="H531" i="1"/>
  <c r="G531" i="1"/>
  <c r="F531" i="1"/>
  <c r="E531" i="1"/>
  <c r="D531" i="1"/>
  <c r="C531" i="1"/>
  <c r="B531" i="1"/>
  <c r="A531" i="1"/>
  <c r="N530" i="1"/>
  <c r="M530" i="1"/>
  <c r="L530" i="1"/>
  <c r="K530" i="1"/>
  <c r="J530" i="1"/>
  <c r="I530" i="1"/>
  <c r="H530" i="1"/>
  <c r="G530" i="1"/>
  <c r="F530" i="1"/>
  <c r="E530" i="1"/>
  <c r="D530" i="1"/>
  <c r="C530" i="1"/>
  <c r="B530" i="1"/>
  <c r="A530" i="1"/>
  <c r="N529" i="1"/>
  <c r="M529" i="1"/>
  <c r="L529" i="1"/>
  <c r="K529" i="1"/>
  <c r="J529" i="1"/>
  <c r="I529" i="1"/>
  <c r="H529" i="1"/>
  <c r="G529" i="1"/>
  <c r="F529" i="1"/>
  <c r="E529" i="1"/>
  <c r="D529" i="1"/>
  <c r="C529" i="1"/>
  <c r="B529" i="1"/>
  <c r="A529" i="1"/>
  <c r="N528" i="1"/>
  <c r="M528" i="1"/>
  <c r="L528" i="1"/>
  <c r="K528" i="1"/>
  <c r="J528" i="1"/>
  <c r="I528" i="1"/>
  <c r="H528" i="1"/>
  <c r="G528" i="1"/>
  <c r="F528" i="1"/>
  <c r="E528" i="1"/>
  <c r="D528" i="1"/>
  <c r="C528" i="1"/>
  <c r="B528" i="1"/>
  <c r="A528" i="1"/>
  <c r="N527" i="1"/>
  <c r="M527" i="1"/>
  <c r="L527" i="1"/>
  <c r="K527" i="1"/>
  <c r="J527" i="1"/>
  <c r="I527" i="1"/>
  <c r="H527" i="1"/>
  <c r="G527" i="1"/>
  <c r="F527" i="1"/>
  <c r="E527" i="1"/>
  <c r="D527" i="1"/>
  <c r="C527" i="1"/>
  <c r="B527" i="1"/>
  <c r="A527" i="1"/>
  <c r="N526" i="1"/>
  <c r="M526" i="1"/>
  <c r="L526" i="1"/>
  <c r="K526" i="1"/>
  <c r="J526" i="1"/>
  <c r="I526" i="1"/>
  <c r="H526" i="1"/>
  <c r="G526" i="1"/>
  <c r="F526" i="1"/>
  <c r="E526" i="1"/>
  <c r="D526" i="1"/>
  <c r="C526" i="1"/>
  <c r="B526" i="1"/>
  <c r="A526" i="1"/>
  <c r="N525" i="1"/>
  <c r="M525" i="1"/>
  <c r="L525" i="1"/>
  <c r="K525" i="1"/>
  <c r="J525" i="1"/>
  <c r="I525" i="1"/>
  <c r="H525" i="1"/>
  <c r="G525" i="1"/>
  <c r="F525" i="1"/>
  <c r="E525" i="1"/>
  <c r="D525" i="1"/>
  <c r="C525" i="1"/>
  <c r="B525" i="1"/>
  <c r="A525" i="1"/>
  <c r="N524" i="1"/>
  <c r="M524" i="1"/>
  <c r="L524" i="1"/>
  <c r="K524" i="1"/>
  <c r="J524" i="1"/>
  <c r="I524" i="1"/>
  <c r="H524" i="1"/>
  <c r="G524" i="1"/>
  <c r="F524" i="1"/>
  <c r="E524" i="1"/>
  <c r="D524" i="1"/>
  <c r="C524" i="1"/>
  <c r="B524" i="1"/>
  <c r="A524" i="1"/>
  <c r="N523" i="1"/>
  <c r="M523" i="1"/>
  <c r="L523" i="1"/>
  <c r="K523" i="1"/>
  <c r="J523" i="1"/>
  <c r="I523" i="1"/>
  <c r="H523" i="1"/>
  <c r="G523" i="1"/>
  <c r="F523" i="1"/>
  <c r="E523" i="1"/>
  <c r="D523" i="1"/>
  <c r="C523" i="1"/>
  <c r="B523" i="1"/>
  <c r="A523" i="1"/>
  <c r="N522" i="1"/>
  <c r="M522" i="1"/>
  <c r="L522" i="1"/>
  <c r="K522" i="1"/>
  <c r="J522" i="1"/>
  <c r="I522" i="1"/>
  <c r="H522" i="1"/>
  <c r="G522" i="1"/>
  <c r="F522" i="1"/>
  <c r="E522" i="1"/>
  <c r="D522" i="1"/>
  <c r="C522" i="1"/>
  <c r="B522" i="1"/>
  <c r="A522" i="1"/>
  <c r="N521" i="1"/>
  <c r="M521" i="1"/>
  <c r="L521" i="1"/>
  <c r="K521" i="1"/>
  <c r="J521" i="1"/>
  <c r="I521" i="1"/>
  <c r="H521" i="1"/>
  <c r="G521" i="1"/>
  <c r="F521" i="1"/>
  <c r="E521" i="1"/>
  <c r="D521" i="1"/>
  <c r="C521" i="1"/>
  <c r="B521" i="1"/>
  <c r="A521" i="1"/>
  <c r="N520" i="1"/>
  <c r="M520" i="1"/>
  <c r="L520" i="1"/>
  <c r="K520" i="1"/>
  <c r="J520" i="1"/>
  <c r="I520" i="1"/>
  <c r="H520" i="1"/>
  <c r="G520" i="1"/>
  <c r="F520" i="1"/>
  <c r="E520" i="1"/>
  <c r="D520" i="1"/>
  <c r="C520" i="1"/>
  <c r="B520" i="1"/>
  <c r="A520" i="1"/>
  <c r="N519" i="1"/>
  <c r="M519" i="1"/>
  <c r="L519" i="1"/>
  <c r="K519" i="1"/>
  <c r="J519" i="1"/>
  <c r="I519" i="1"/>
  <c r="H519" i="1"/>
  <c r="G519" i="1"/>
  <c r="F519" i="1"/>
  <c r="E519" i="1"/>
  <c r="D519" i="1"/>
  <c r="C519" i="1"/>
  <c r="B519" i="1"/>
  <c r="A519" i="1"/>
  <c r="N518" i="1"/>
  <c r="M518" i="1"/>
  <c r="L518" i="1"/>
  <c r="K518" i="1"/>
  <c r="J518" i="1"/>
  <c r="I518" i="1"/>
  <c r="H518" i="1"/>
  <c r="G518" i="1"/>
  <c r="F518" i="1"/>
  <c r="E518" i="1"/>
  <c r="D518" i="1"/>
  <c r="C518" i="1"/>
  <c r="B518" i="1"/>
  <c r="A518" i="1"/>
  <c r="N517" i="1"/>
  <c r="M517" i="1"/>
  <c r="L517" i="1"/>
  <c r="K517" i="1"/>
  <c r="J517" i="1"/>
  <c r="I517" i="1"/>
  <c r="H517" i="1"/>
  <c r="G517" i="1"/>
  <c r="F517" i="1"/>
  <c r="E517" i="1"/>
  <c r="D517" i="1"/>
  <c r="C517" i="1"/>
  <c r="B517" i="1"/>
  <c r="A517" i="1"/>
  <c r="N516" i="1"/>
  <c r="M516" i="1"/>
  <c r="L516" i="1"/>
  <c r="K516" i="1"/>
  <c r="J516" i="1"/>
  <c r="I516" i="1"/>
  <c r="H516" i="1"/>
  <c r="G516" i="1"/>
  <c r="F516" i="1"/>
  <c r="E516" i="1"/>
  <c r="D516" i="1"/>
  <c r="C516" i="1"/>
  <c r="B516" i="1"/>
  <c r="A516" i="1"/>
  <c r="N515" i="1"/>
  <c r="M515" i="1"/>
  <c r="L515" i="1"/>
  <c r="K515" i="1"/>
  <c r="J515" i="1"/>
  <c r="I515" i="1"/>
  <c r="H515" i="1"/>
  <c r="G515" i="1"/>
  <c r="F515" i="1"/>
  <c r="E515" i="1"/>
  <c r="D515" i="1"/>
  <c r="C515" i="1"/>
  <c r="B515" i="1"/>
  <c r="A515" i="1"/>
  <c r="N514" i="1"/>
  <c r="M514" i="1"/>
  <c r="L514" i="1"/>
  <c r="K514" i="1"/>
  <c r="J514" i="1"/>
  <c r="I514" i="1"/>
  <c r="H514" i="1"/>
  <c r="G514" i="1"/>
  <c r="F514" i="1"/>
  <c r="E514" i="1"/>
  <c r="D514" i="1"/>
  <c r="C514" i="1"/>
  <c r="B514" i="1"/>
  <c r="A514" i="1"/>
  <c r="N513" i="1"/>
  <c r="M513" i="1"/>
  <c r="L513" i="1"/>
  <c r="K513" i="1"/>
  <c r="J513" i="1"/>
  <c r="I513" i="1"/>
  <c r="H513" i="1"/>
  <c r="G513" i="1"/>
  <c r="F513" i="1"/>
  <c r="E513" i="1"/>
  <c r="D513" i="1"/>
  <c r="C513" i="1"/>
  <c r="B513" i="1"/>
  <c r="A513" i="1"/>
  <c r="N512" i="1"/>
  <c r="M512" i="1"/>
  <c r="L512" i="1"/>
  <c r="K512" i="1"/>
  <c r="J512" i="1"/>
  <c r="I512" i="1"/>
  <c r="H512" i="1"/>
  <c r="G512" i="1"/>
  <c r="F512" i="1"/>
  <c r="E512" i="1"/>
  <c r="D512" i="1"/>
  <c r="C512" i="1"/>
  <c r="B512" i="1"/>
  <c r="A512" i="1"/>
  <c r="N511" i="1"/>
  <c r="M511" i="1"/>
  <c r="L511" i="1"/>
  <c r="K511" i="1"/>
  <c r="J511" i="1"/>
  <c r="I511" i="1"/>
  <c r="H511" i="1"/>
  <c r="G511" i="1"/>
  <c r="F511" i="1"/>
  <c r="E511" i="1"/>
  <c r="D511" i="1"/>
  <c r="C511" i="1"/>
  <c r="B511" i="1"/>
  <c r="A511" i="1"/>
  <c r="N510" i="1"/>
  <c r="M510" i="1"/>
  <c r="L510" i="1"/>
  <c r="K510" i="1"/>
  <c r="J510" i="1"/>
  <c r="I510" i="1"/>
  <c r="H510" i="1"/>
  <c r="G510" i="1"/>
  <c r="F510" i="1"/>
  <c r="E510" i="1"/>
  <c r="D510" i="1"/>
  <c r="C510" i="1"/>
  <c r="B510" i="1"/>
  <c r="A510" i="1"/>
  <c r="N509" i="1"/>
  <c r="M509" i="1"/>
  <c r="L509" i="1"/>
  <c r="K509" i="1"/>
  <c r="J509" i="1"/>
  <c r="I509" i="1"/>
  <c r="H509" i="1"/>
  <c r="G509" i="1"/>
  <c r="F509" i="1"/>
  <c r="E509" i="1"/>
  <c r="D509" i="1"/>
  <c r="C509" i="1"/>
  <c r="B509" i="1"/>
  <c r="A509" i="1"/>
  <c r="N508" i="1"/>
  <c r="M508" i="1"/>
  <c r="L508" i="1"/>
  <c r="K508" i="1"/>
  <c r="J508" i="1"/>
  <c r="I508" i="1"/>
  <c r="H508" i="1"/>
  <c r="G508" i="1"/>
  <c r="F508" i="1"/>
  <c r="E508" i="1"/>
  <c r="D508" i="1"/>
  <c r="C508" i="1"/>
  <c r="B508" i="1"/>
  <c r="A508" i="1"/>
  <c r="N507" i="1"/>
  <c r="M507" i="1"/>
  <c r="L507" i="1"/>
  <c r="K507" i="1"/>
  <c r="J507" i="1"/>
  <c r="I507" i="1"/>
  <c r="H507" i="1"/>
  <c r="G507" i="1"/>
  <c r="F507" i="1"/>
  <c r="E507" i="1"/>
  <c r="D507" i="1"/>
  <c r="C507" i="1"/>
  <c r="B507" i="1"/>
  <c r="A507" i="1"/>
  <c r="N506" i="1"/>
  <c r="M506" i="1"/>
  <c r="L506" i="1"/>
  <c r="K506" i="1"/>
  <c r="J506" i="1"/>
  <c r="I506" i="1"/>
  <c r="H506" i="1"/>
  <c r="G506" i="1"/>
  <c r="F506" i="1"/>
  <c r="E506" i="1"/>
  <c r="D506" i="1"/>
  <c r="C506" i="1"/>
  <c r="B506" i="1"/>
  <c r="A506" i="1"/>
  <c r="N505" i="1"/>
  <c r="M505" i="1"/>
  <c r="L505" i="1"/>
  <c r="K505" i="1"/>
  <c r="J505" i="1"/>
  <c r="I505" i="1"/>
  <c r="H505" i="1"/>
  <c r="G505" i="1"/>
  <c r="F505" i="1"/>
  <c r="E505" i="1"/>
  <c r="D505" i="1"/>
  <c r="C505" i="1"/>
  <c r="B505" i="1"/>
  <c r="A505" i="1"/>
  <c r="N504" i="1"/>
  <c r="M504" i="1"/>
  <c r="L504" i="1"/>
  <c r="K504" i="1"/>
  <c r="J504" i="1"/>
  <c r="I504" i="1"/>
  <c r="H504" i="1"/>
  <c r="G504" i="1"/>
  <c r="F504" i="1"/>
  <c r="E504" i="1"/>
  <c r="D504" i="1"/>
  <c r="C504" i="1"/>
  <c r="B504" i="1"/>
  <c r="A504" i="1"/>
  <c r="N503" i="1"/>
  <c r="M503" i="1"/>
  <c r="L503" i="1"/>
  <c r="K503" i="1"/>
  <c r="J503" i="1"/>
  <c r="I503" i="1"/>
  <c r="H503" i="1"/>
  <c r="G503" i="1"/>
  <c r="F503" i="1"/>
  <c r="E503" i="1"/>
  <c r="D503" i="1"/>
  <c r="C503" i="1"/>
  <c r="B503" i="1"/>
  <c r="A503" i="1"/>
  <c r="N502" i="1"/>
  <c r="M502" i="1"/>
  <c r="L502" i="1"/>
  <c r="K502" i="1"/>
  <c r="J502" i="1"/>
  <c r="I502" i="1"/>
  <c r="H502" i="1"/>
  <c r="G502" i="1"/>
  <c r="F502" i="1"/>
  <c r="E502" i="1"/>
  <c r="D502" i="1"/>
  <c r="C502" i="1"/>
  <c r="B502" i="1"/>
  <c r="A502" i="1"/>
  <c r="N501" i="1"/>
  <c r="M501" i="1"/>
  <c r="L501" i="1"/>
  <c r="K501" i="1"/>
  <c r="J501" i="1"/>
  <c r="I501" i="1"/>
  <c r="H501" i="1"/>
  <c r="G501" i="1"/>
  <c r="F501" i="1"/>
  <c r="E501" i="1"/>
  <c r="D501" i="1"/>
  <c r="C501" i="1"/>
  <c r="B501" i="1"/>
  <c r="A501" i="1"/>
  <c r="N500" i="1"/>
  <c r="M500" i="1"/>
  <c r="L500" i="1"/>
  <c r="K500" i="1"/>
  <c r="J500" i="1"/>
  <c r="I500" i="1"/>
  <c r="H500" i="1"/>
  <c r="G500" i="1"/>
  <c r="F500" i="1"/>
  <c r="E500" i="1"/>
  <c r="D500" i="1"/>
  <c r="C500" i="1"/>
  <c r="B500" i="1"/>
  <c r="A500" i="1"/>
  <c r="N499" i="1"/>
  <c r="M499" i="1"/>
  <c r="L499" i="1"/>
  <c r="K499" i="1"/>
  <c r="J499" i="1"/>
  <c r="I499" i="1"/>
  <c r="H499" i="1"/>
  <c r="G499" i="1"/>
  <c r="F499" i="1"/>
  <c r="E499" i="1"/>
  <c r="D499" i="1"/>
  <c r="C499" i="1"/>
  <c r="B499" i="1"/>
  <c r="A499" i="1"/>
  <c r="N498" i="1"/>
  <c r="M498" i="1"/>
  <c r="L498" i="1"/>
  <c r="K498" i="1"/>
  <c r="J498" i="1"/>
  <c r="I498" i="1"/>
  <c r="H498" i="1"/>
  <c r="G498" i="1"/>
  <c r="F498" i="1"/>
  <c r="E498" i="1"/>
  <c r="D498" i="1"/>
  <c r="C498" i="1"/>
  <c r="B498" i="1"/>
  <c r="A498" i="1"/>
  <c r="N497" i="1"/>
  <c r="M497" i="1"/>
  <c r="L497" i="1"/>
  <c r="K497" i="1"/>
  <c r="J497" i="1"/>
  <c r="I497" i="1"/>
  <c r="H497" i="1"/>
  <c r="G497" i="1"/>
  <c r="F497" i="1"/>
  <c r="E497" i="1"/>
  <c r="D497" i="1"/>
  <c r="C497" i="1"/>
  <c r="B497" i="1"/>
  <c r="A497" i="1"/>
  <c r="N496" i="1"/>
  <c r="M496" i="1"/>
  <c r="L496" i="1"/>
  <c r="K496" i="1"/>
  <c r="J496" i="1"/>
  <c r="I496" i="1"/>
  <c r="H496" i="1"/>
  <c r="G496" i="1"/>
  <c r="F496" i="1"/>
  <c r="E496" i="1"/>
  <c r="D496" i="1"/>
  <c r="C496" i="1"/>
  <c r="B496" i="1"/>
  <c r="A496" i="1"/>
  <c r="N495" i="1"/>
  <c r="M495" i="1"/>
  <c r="L495" i="1"/>
  <c r="K495" i="1"/>
  <c r="J495" i="1"/>
  <c r="I495" i="1"/>
  <c r="H495" i="1"/>
  <c r="G495" i="1"/>
  <c r="F495" i="1"/>
  <c r="E495" i="1"/>
  <c r="D495" i="1"/>
  <c r="C495" i="1"/>
  <c r="B495" i="1"/>
  <c r="A495" i="1"/>
  <c r="N494" i="1"/>
  <c r="M494" i="1"/>
  <c r="L494" i="1"/>
  <c r="K494" i="1"/>
  <c r="J494" i="1"/>
  <c r="I494" i="1"/>
  <c r="H494" i="1"/>
  <c r="G494" i="1"/>
  <c r="F494" i="1"/>
  <c r="E494" i="1"/>
  <c r="D494" i="1"/>
  <c r="C494" i="1"/>
  <c r="B494" i="1"/>
  <c r="A494" i="1"/>
  <c r="N493" i="1"/>
  <c r="M493" i="1"/>
  <c r="L493" i="1"/>
  <c r="K493" i="1"/>
  <c r="J493" i="1"/>
  <c r="I493" i="1"/>
  <c r="H493" i="1"/>
  <c r="G493" i="1"/>
  <c r="F493" i="1"/>
  <c r="E493" i="1"/>
  <c r="D493" i="1"/>
  <c r="C493" i="1"/>
  <c r="B493" i="1"/>
  <c r="A493" i="1"/>
  <c r="N492" i="1"/>
  <c r="M492" i="1"/>
  <c r="L492" i="1"/>
  <c r="K492" i="1"/>
  <c r="J492" i="1"/>
  <c r="I492" i="1"/>
  <c r="H492" i="1"/>
  <c r="G492" i="1"/>
  <c r="F492" i="1"/>
  <c r="E492" i="1"/>
  <c r="D492" i="1"/>
  <c r="C492" i="1"/>
  <c r="B492" i="1"/>
  <c r="A492" i="1"/>
  <c r="N491" i="1"/>
  <c r="M491" i="1"/>
  <c r="L491" i="1"/>
  <c r="K491" i="1"/>
  <c r="J491" i="1"/>
  <c r="I491" i="1"/>
  <c r="H491" i="1"/>
  <c r="G491" i="1"/>
  <c r="F491" i="1"/>
  <c r="E491" i="1"/>
  <c r="D491" i="1"/>
  <c r="C491" i="1"/>
  <c r="B491" i="1"/>
  <c r="A491" i="1"/>
  <c r="N490" i="1"/>
  <c r="M490" i="1"/>
  <c r="L490" i="1"/>
  <c r="K490" i="1"/>
  <c r="J490" i="1"/>
  <c r="I490" i="1"/>
  <c r="H490" i="1"/>
  <c r="G490" i="1"/>
  <c r="F490" i="1"/>
  <c r="E490" i="1"/>
  <c r="D490" i="1"/>
  <c r="C490" i="1"/>
  <c r="B490" i="1"/>
  <c r="A490" i="1"/>
  <c r="N489" i="1"/>
  <c r="M489" i="1"/>
  <c r="L489" i="1"/>
  <c r="K489" i="1"/>
  <c r="J489" i="1"/>
  <c r="I489" i="1"/>
  <c r="H489" i="1"/>
  <c r="G489" i="1"/>
  <c r="F489" i="1"/>
  <c r="E489" i="1"/>
  <c r="D489" i="1"/>
  <c r="C489" i="1"/>
  <c r="B489" i="1"/>
  <c r="A489" i="1"/>
  <c r="N488" i="1"/>
  <c r="M488" i="1"/>
  <c r="L488" i="1"/>
  <c r="K488" i="1"/>
  <c r="J488" i="1"/>
  <c r="I488" i="1"/>
  <c r="H488" i="1"/>
  <c r="G488" i="1"/>
  <c r="F488" i="1"/>
  <c r="E488" i="1"/>
  <c r="D488" i="1"/>
  <c r="C488" i="1"/>
  <c r="B488" i="1"/>
  <c r="A488" i="1"/>
  <c r="N487" i="1"/>
  <c r="M487" i="1"/>
  <c r="L487" i="1"/>
  <c r="K487" i="1"/>
  <c r="J487" i="1"/>
  <c r="I487" i="1"/>
  <c r="H487" i="1"/>
  <c r="G487" i="1"/>
  <c r="F487" i="1"/>
  <c r="E487" i="1"/>
  <c r="D487" i="1"/>
  <c r="C487" i="1"/>
  <c r="B487" i="1"/>
  <c r="A487" i="1"/>
  <c r="N486" i="1"/>
  <c r="M486" i="1"/>
  <c r="L486" i="1"/>
  <c r="K486" i="1"/>
  <c r="J486" i="1"/>
  <c r="I486" i="1"/>
  <c r="H486" i="1"/>
  <c r="G486" i="1"/>
  <c r="F486" i="1"/>
  <c r="E486" i="1"/>
  <c r="D486" i="1"/>
  <c r="C486" i="1"/>
  <c r="B486" i="1"/>
  <c r="A486" i="1"/>
  <c r="N485" i="1"/>
  <c r="M485" i="1"/>
  <c r="L485" i="1"/>
  <c r="K485" i="1"/>
  <c r="J485" i="1"/>
  <c r="I485" i="1"/>
  <c r="H485" i="1"/>
  <c r="G485" i="1"/>
  <c r="F485" i="1"/>
  <c r="E485" i="1"/>
  <c r="D485" i="1"/>
  <c r="C485" i="1"/>
  <c r="B485" i="1"/>
  <c r="A485" i="1"/>
  <c r="N484" i="1"/>
  <c r="M484" i="1"/>
  <c r="L484" i="1"/>
  <c r="K484" i="1"/>
  <c r="J484" i="1"/>
  <c r="I484" i="1"/>
  <c r="H484" i="1"/>
  <c r="G484" i="1"/>
  <c r="F484" i="1"/>
  <c r="E484" i="1"/>
  <c r="D484" i="1"/>
  <c r="C484" i="1"/>
  <c r="B484" i="1"/>
  <c r="A484" i="1"/>
  <c r="N483" i="1"/>
  <c r="M483" i="1"/>
  <c r="L483" i="1"/>
  <c r="K483" i="1"/>
  <c r="J483" i="1"/>
  <c r="I483" i="1"/>
  <c r="H483" i="1"/>
  <c r="G483" i="1"/>
  <c r="F483" i="1"/>
  <c r="E483" i="1"/>
  <c r="D483" i="1"/>
  <c r="C483" i="1"/>
  <c r="B483" i="1"/>
  <c r="A483" i="1"/>
  <c r="N482" i="1"/>
  <c r="M482" i="1"/>
  <c r="L482" i="1"/>
  <c r="K482" i="1"/>
  <c r="J482" i="1"/>
  <c r="I482" i="1"/>
  <c r="H482" i="1"/>
  <c r="G482" i="1"/>
  <c r="F482" i="1"/>
  <c r="E482" i="1"/>
  <c r="D482" i="1"/>
  <c r="C482" i="1"/>
  <c r="B482" i="1"/>
  <c r="A482" i="1"/>
  <c r="N481" i="1"/>
  <c r="M481" i="1"/>
  <c r="L481" i="1"/>
  <c r="K481" i="1"/>
  <c r="J481" i="1"/>
  <c r="I481" i="1"/>
  <c r="H481" i="1"/>
  <c r="G481" i="1"/>
  <c r="F481" i="1"/>
  <c r="E481" i="1"/>
  <c r="D481" i="1"/>
  <c r="C481" i="1"/>
  <c r="B481" i="1"/>
  <c r="A481" i="1"/>
  <c r="N480" i="1"/>
  <c r="M480" i="1"/>
  <c r="L480" i="1"/>
  <c r="K480" i="1"/>
  <c r="J480" i="1"/>
  <c r="I480" i="1"/>
  <c r="H480" i="1"/>
  <c r="G480" i="1"/>
  <c r="F480" i="1"/>
  <c r="E480" i="1"/>
  <c r="D480" i="1"/>
  <c r="C480" i="1"/>
  <c r="B480" i="1"/>
  <c r="A480" i="1"/>
  <c r="N479" i="1"/>
  <c r="M479" i="1"/>
  <c r="L479" i="1"/>
  <c r="K479" i="1"/>
  <c r="J479" i="1"/>
  <c r="I479" i="1"/>
  <c r="H479" i="1"/>
  <c r="G479" i="1"/>
  <c r="F479" i="1"/>
  <c r="E479" i="1"/>
  <c r="D479" i="1"/>
  <c r="C479" i="1"/>
  <c r="B479" i="1"/>
  <c r="A479" i="1"/>
  <c r="N478" i="1"/>
  <c r="M478" i="1"/>
  <c r="L478" i="1"/>
  <c r="K478" i="1"/>
  <c r="J478" i="1"/>
  <c r="I478" i="1"/>
  <c r="H478" i="1"/>
  <c r="G478" i="1"/>
  <c r="F478" i="1"/>
  <c r="E478" i="1"/>
  <c r="D478" i="1"/>
  <c r="C478" i="1"/>
  <c r="B478" i="1"/>
  <c r="A478" i="1"/>
  <c r="N477" i="1"/>
  <c r="M477" i="1"/>
  <c r="L477" i="1"/>
  <c r="K477" i="1"/>
  <c r="J477" i="1"/>
  <c r="I477" i="1"/>
  <c r="H477" i="1"/>
  <c r="G477" i="1"/>
  <c r="F477" i="1"/>
  <c r="E477" i="1"/>
  <c r="D477" i="1"/>
  <c r="C477" i="1"/>
  <c r="B477" i="1"/>
  <c r="A477" i="1"/>
  <c r="N476" i="1"/>
  <c r="M476" i="1"/>
  <c r="L476" i="1"/>
  <c r="K476" i="1"/>
  <c r="J476" i="1"/>
  <c r="I476" i="1"/>
  <c r="H476" i="1"/>
  <c r="G476" i="1"/>
  <c r="F476" i="1"/>
  <c r="E476" i="1"/>
  <c r="D476" i="1"/>
  <c r="C476" i="1"/>
  <c r="B476" i="1"/>
  <c r="A476" i="1"/>
  <c r="N475" i="1"/>
  <c r="M475" i="1"/>
  <c r="L475" i="1"/>
  <c r="K475" i="1"/>
  <c r="J475" i="1"/>
  <c r="I475" i="1"/>
  <c r="H475" i="1"/>
  <c r="G475" i="1"/>
  <c r="F475" i="1"/>
  <c r="E475" i="1"/>
  <c r="D475" i="1"/>
  <c r="C475" i="1"/>
  <c r="B475" i="1"/>
  <c r="A475" i="1"/>
  <c r="N474" i="1"/>
  <c r="M474" i="1"/>
  <c r="L474" i="1"/>
  <c r="K474" i="1"/>
  <c r="J474" i="1"/>
  <c r="I474" i="1"/>
  <c r="H474" i="1"/>
  <c r="G474" i="1"/>
  <c r="F474" i="1"/>
  <c r="E474" i="1"/>
  <c r="D474" i="1"/>
  <c r="C474" i="1"/>
  <c r="B474" i="1"/>
  <c r="A474" i="1"/>
  <c r="N473" i="1"/>
  <c r="M473" i="1"/>
  <c r="L473" i="1"/>
  <c r="K473" i="1"/>
  <c r="J473" i="1"/>
  <c r="I473" i="1"/>
  <c r="H473" i="1"/>
  <c r="G473" i="1"/>
  <c r="F473" i="1"/>
  <c r="E473" i="1"/>
  <c r="D473" i="1"/>
  <c r="C473" i="1"/>
  <c r="B473" i="1"/>
  <c r="A473" i="1"/>
  <c r="N472" i="1"/>
  <c r="M472" i="1"/>
  <c r="L472" i="1"/>
  <c r="K472" i="1"/>
  <c r="J472" i="1"/>
  <c r="I472" i="1"/>
  <c r="H472" i="1"/>
  <c r="G472" i="1"/>
  <c r="F472" i="1"/>
  <c r="E472" i="1"/>
  <c r="D472" i="1"/>
  <c r="C472" i="1"/>
  <c r="B472" i="1"/>
  <c r="A472" i="1"/>
  <c r="N471" i="1"/>
  <c r="M471" i="1"/>
  <c r="L471" i="1"/>
  <c r="K471" i="1"/>
  <c r="J471" i="1"/>
  <c r="I471" i="1"/>
  <c r="H471" i="1"/>
  <c r="G471" i="1"/>
  <c r="F471" i="1"/>
  <c r="E471" i="1"/>
  <c r="D471" i="1"/>
  <c r="C471" i="1"/>
  <c r="B471" i="1"/>
  <c r="A471" i="1"/>
  <c r="N470" i="1"/>
  <c r="M470" i="1"/>
  <c r="L470" i="1"/>
  <c r="K470" i="1"/>
  <c r="J470" i="1"/>
  <c r="I470" i="1"/>
  <c r="H470" i="1"/>
  <c r="G470" i="1"/>
  <c r="F470" i="1"/>
  <c r="E470" i="1"/>
  <c r="D470" i="1"/>
  <c r="C470" i="1"/>
  <c r="B470" i="1"/>
  <c r="A470" i="1"/>
  <c r="N469" i="1"/>
  <c r="M469" i="1"/>
  <c r="L469" i="1"/>
  <c r="K469" i="1"/>
  <c r="J469" i="1"/>
  <c r="I469" i="1"/>
  <c r="H469" i="1"/>
  <c r="G469" i="1"/>
  <c r="F469" i="1"/>
  <c r="E469" i="1"/>
  <c r="D469" i="1"/>
  <c r="C469" i="1"/>
  <c r="B469" i="1"/>
  <c r="A469" i="1"/>
  <c r="N468" i="1"/>
  <c r="M468" i="1"/>
  <c r="L468" i="1"/>
  <c r="K468" i="1"/>
  <c r="J468" i="1"/>
  <c r="I468" i="1"/>
  <c r="H468" i="1"/>
  <c r="G468" i="1"/>
  <c r="F468" i="1"/>
  <c r="E468" i="1"/>
  <c r="D468" i="1"/>
  <c r="C468" i="1"/>
  <c r="B468" i="1"/>
  <c r="A468" i="1"/>
  <c r="N467" i="1"/>
  <c r="M467" i="1"/>
  <c r="L467" i="1"/>
  <c r="K467" i="1"/>
  <c r="J467" i="1"/>
  <c r="I467" i="1"/>
  <c r="H467" i="1"/>
  <c r="G467" i="1"/>
  <c r="F467" i="1"/>
  <c r="E467" i="1"/>
  <c r="D467" i="1"/>
  <c r="C467" i="1"/>
  <c r="B467" i="1"/>
  <c r="A467" i="1"/>
  <c r="N466" i="1"/>
  <c r="M466" i="1"/>
  <c r="L466" i="1"/>
  <c r="K466" i="1"/>
  <c r="J466" i="1"/>
  <c r="I466" i="1"/>
  <c r="H466" i="1"/>
  <c r="G466" i="1"/>
  <c r="F466" i="1"/>
  <c r="E466" i="1"/>
  <c r="D466" i="1"/>
  <c r="C466" i="1"/>
  <c r="B466" i="1"/>
  <c r="A466" i="1"/>
  <c r="N465" i="1"/>
  <c r="M465" i="1"/>
  <c r="L465" i="1"/>
  <c r="K465" i="1"/>
  <c r="J465" i="1"/>
  <c r="I465" i="1"/>
  <c r="H465" i="1"/>
  <c r="G465" i="1"/>
  <c r="F465" i="1"/>
  <c r="E465" i="1"/>
  <c r="D465" i="1"/>
  <c r="C465" i="1"/>
  <c r="B465" i="1"/>
  <c r="A465" i="1"/>
  <c r="N464" i="1"/>
  <c r="M464" i="1"/>
  <c r="L464" i="1"/>
  <c r="K464" i="1"/>
  <c r="J464" i="1"/>
  <c r="I464" i="1"/>
  <c r="H464" i="1"/>
  <c r="G464" i="1"/>
  <c r="F464" i="1"/>
  <c r="E464" i="1"/>
  <c r="D464" i="1"/>
  <c r="C464" i="1"/>
  <c r="B464" i="1"/>
  <c r="A464" i="1"/>
  <c r="N463" i="1"/>
  <c r="M463" i="1"/>
  <c r="L463" i="1"/>
  <c r="K463" i="1"/>
  <c r="J463" i="1"/>
  <c r="I463" i="1"/>
  <c r="H463" i="1"/>
  <c r="G463" i="1"/>
  <c r="F463" i="1"/>
  <c r="E463" i="1"/>
  <c r="D463" i="1"/>
  <c r="C463" i="1"/>
  <c r="B463" i="1"/>
  <c r="A463" i="1"/>
  <c r="N462" i="1"/>
  <c r="M462" i="1"/>
  <c r="L462" i="1"/>
  <c r="K462" i="1"/>
  <c r="J462" i="1"/>
  <c r="I462" i="1"/>
  <c r="H462" i="1"/>
  <c r="G462" i="1"/>
  <c r="F462" i="1"/>
  <c r="E462" i="1"/>
  <c r="D462" i="1"/>
  <c r="C462" i="1"/>
  <c r="B462" i="1"/>
  <c r="A462" i="1"/>
  <c r="N461" i="1"/>
  <c r="M461" i="1"/>
  <c r="L461" i="1"/>
  <c r="K461" i="1"/>
  <c r="J461" i="1"/>
  <c r="I461" i="1"/>
  <c r="H461" i="1"/>
  <c r="G461" i="1"/>
  <c r="F461" i="1"/>
  <c r="E461" i="1"/>
  <c r="D461" i="1"/>
  <c r="C461" i="1"/>
  <c r="B461" i="1"/>
  <c r="A461" i="1"/>
  <c r="N460" i="1"/>
  <c r="M460" i="1"/>
  <c r="L460" i="1"/>
  <c r="K460" i="1"/>
  <c r="J460" i="1"/>
  <c r="I460" i="1"/>
  <c r="H460" i="1"/>
  <c r="G460" i="1"/>
  <c r="F460" i="1"/>
  <c r="E460" i="1"/>
  <c r="D460" i="1"/>
  <c r="C460" i="1"/>
  <c r="B460" i="1"/>
  <c r="A460" i="1"/>
  <c r="N459" i="1"/>
  <c r="M459" i="1"/>
  <c r="L459" i="1"/>
  <c r="K459" i="1"/>
  <c r="J459" i="1"/>
  <c r="I459" i="1"/>
  <c r="H459" i="1"/>
  <c r="G459" i="1"/>
  <c r="F459" i="1"/>
  <c r="E459" i="1"/>
  <c r="D459" i="1"/>
  <c r="C459" i="1"/>
  <c r="B459" i="1"/>
  <c r="A459" i="1"/>
  <c r="N458" i="1"/>
  <c r="M458" i="1"/>
  <c r="L458" i="1"/>
  <c r="K458" i="1"/>
  <c r="J458" i="1"/>
  <c r="I458" i="1"/>
  <c r="H458" i="1"/>
  <c r="G458" i="1"/>
  <c r="F458" i="1"/>
  <c r="E458" i="1"/>
  <c r="D458" i="1"/>
  <c r="C458" i="1"/>
  <c r="B458" i="1"/>
  <c r="A458" i="1"/>
  <c r="N457" i="1"/>
  <c r="M457" i="1"/>
  <c r="L457" i="1"/>
  <c r="K457" i="1"/>
  <c r="J457" i="1"/>
  <c r="I457" i="1"/>
  <c r="H457" i="1"/>
  <c r="G457" i="1"/>
  <c r="F457" i="1"/>
  <c r="E457" i="1"/>
  <c r="D457" i="1"/>
  <c r="C457" i="1"/>
  <c r="B457" i="1"/>
  <c r="A457" i="1"/>
  <c r="N456" i="1"/>
  <c r="M456" i="1"/>
  <c r="L456" i="1"/>
  <c r="K456" i="1"/>
  <c r="J456" i="1"/>
  <c r="I456" i="1"/>
  <c r="H456" i="1"/>
  <c r="G456" i="1"/>
  <c r="F456" i="1"/>
  <c r="E456" i="1"/>
  <c r="D456" i="1"/>
  <c r="C456" i="1"/>
  <c r="B456" i="1"/>
  <c r="A456" i="1"/>
  <c r="N455" i="1"/>
  <c r="M455" i="1"/>
  <c r="L455" i="1"/>
  <c r="K455" i="1"/>
  <c r="J455" i="1"/>
  <c r="I455" i="1"/>
  <c r="H455" i="1"/>
  <c r="G455" i="1"/>
  <c r="F455" i="1"/>
  <c r="E455" i="1"/>
  <c r="D455" i="1"/>
  <c r="C455" i="1"/>
  <c r="B455" i="1"/>
  <c r="A455" i="1"/>
  <c r="N454" i="1"/>
  <c r="M454" i="1"/>
  <c r="L454" i="1"/>
  <c r="K454" i="1"/>
  <c r="J454" i="1"/>
  <c r="I454" i="1"/>
  <c r="H454" i="1"/>
  <c r="G454" i="1"/>
  <c r="F454" i="1"/>
  <c r="E454" i="1"/>
  <c r="D454" i="1"/>
  <c r="C454" i="1"/>
  <c r="B454" i="1"/>
  <c r="A454" i="1"/>
  <c r="N453" i="1"/>
  <c r="M453" i="1"/>
  <c r="L453" i="1"/>
  <c r="K453" i="1"/>
  <c r="J453" i="1"/>
  <c r="I453" i="1"/>
  <c r="H453" i="1"/>
  <c r="G453" i="1"/>
  <c r="F453" i="1"/>
  <c r="E453" i="1"/>
  <c r="D453" i="1"/>
  <c r="C453" i="1"/>
  <c r="B453" i="1"/>
  <c r="A453" i="1"/>
  <c r="N452" i="1"/>
  <c r="M452" i="1"/>
  <c r="L452" i="1"/>
  <c r="K452" i="1"/>
  <c r="J452" i="1"/>
  <c r="I452" i="1"/>
  <c r="H452" i="1"/>
  <c r="G452" i="1"/>
  <c r="F452" i="1"/>
  <c r="E452" i="1"/>
  <c r="D452" i="1"/>
  <c r="C452" i="1"/>
  <c r="B452" i="1"/>
  <c r="A452" i="1"/>
  <c r="N451" i="1"/>
  <c r="M451" i="1"/>
  <c r="L451" i="1"/>
  <c r="K451" i="1"/>
  <c r="J451" i="1"/>
  <c r="I451" i="1"/>
  <c r="H451" i="1"/>
  <c r="G451" i="1"/>
  <c r="F451" i="1"/>
  <c r="E451" i="1"/>
  <c r="D451" i="1"/>
  <c r="C451" i="1"/>
  <c r="B451" i="1"/>
  <c r="A451" i="1"/>
  <c r="N450" i="1"/>
  <c r="M450" i="1"/>
  <c r="L450" i="1"/>
  <c r="K450" i="1"/>
  <c r="J450" i="1"/>
  <c r="I450" i="1"/>
  <c r="H450" i="1"/>
  <c r="G450" i="1"/>
  <c r="F450" i="1"/>
  <c r="E450" i="1"/>
  <c r="D450" i="1"/>
  <c r="C450" i="1"/>
  <c r="B450" i="1"/>
  <c r="A450" i="1"/>
  <c r="N449" i="1"/>
  <c r="M449" i="1"/>
  <c r="L449" i="1"/>
  <c r="K449" i="1"/>
  <c r="J449" i="1"/>
  <c r="I449" i="1"/>
  <c r="H449" i="1"/>
  <c r="G449" i="1"/>
  <c r="F449" i="1"/>
  <c r="E449" i="1"/>
  <c r="D449" i="1"/>
  <c r="C449" i="1"/>
  <c r="B449" i="1"/>
  <c r="A449" i="1"/>
  <c r="N448" i="1"/>
  <c r="M448" i="1"/>
  <c r="L448" i="1"/>
  <c r="K448" i="1"/>
  <c r="J448" i="1"/>
  <c r="I448" i="1"/>
  <c r="H448" i="1"/>
  <c r="G448" i="1"/>
  <c r="F448" i="1"/>
  <c r="E448" i="1"/>
  <c r="D448" i="1"/>
  <c r="C448" i="1"/>
  <c r="B448" i="1"/>
  <c r="A448" i="1"/>
  <c r="N447" i="1"/>
  <c r="M447" i="1"/>
  <c r="L447" i="1"/>
  <c r="K447" i="1"/>
  <c r="J447" i="1"/>
  <c r="I447" i="1"/>
  <c r="H447" i="1"/>
  <c r="G447" i="1"/>
  <c r="F447" i="1"/>
  <c r="E447" i="1"/>
  <c r="D447" i="1"/>
  <c r="C447" i="1"/>
  <c r="B447" i="1"/>
  <c r="A447" i="1"/>
  <c r="N446" i="1"/>
  <c r="M446" i="1"/>
  <c r="L446" i="1"/>
  <c r="K446" i="1"/>
  <c r="J446" i="1"/>
  <c r="I446" i="1"/>
  <c r="H446" i="1"/>
  <c r="G446" i="1"/>
  <c r="F446" i="1"/>
  <c r="E446" i="1"/>
  <c r="D446" i="1"/>
  <c r="C446" i="1"/>
  <c r="B446" i="1"/>
  <c r="A446" i="1"/>
  <c r="N445" i="1"/>
  <c r="M445" i="1"/>
  <c r="L445" i="1"/>
  <c r="K445" i="1"/>
  <c r="J445" i="1"/>
  <c r="I445" i="1"/>
  <c r="H445" i="1"/>
  <c r="G445" i="1"/>
  <c r="F445" i="1"/>
  <c r="E445" i="1"/>
  <c r="D445" i="1"/>
  <c r="C445" i="1"/>
  <c r="B445" i="1"/>
  <c r="A445" i="1"/>
  <c r="N444" i="1"/>
  <c r="M444" i="1"/>
  <c r="L444" i="1"/>
  <c r="K444" i="1"/>
  <c r="J444" i="1"/>
  <c r="I444" i="1"/>
  <c r="H444" i="1"/>
  <c r="G444" i="1"/>
  <c r="F444" i="1"/>
  <c r="E444" i="1"/>
  <c r="D444" i="1"/>
  <c r="C444" i="1"/>
  <c r="B444" i="1"/>
  <c r="A444" i="1"/>
  <c r="N443" i="1"/>
  <c r="M443" i="1"/>
  <c r="L443" i="1"/>
  <c r="K443" i="1"/>
  <c r="J443" i="1"/>
  <c r="I443" i="1"/>
  <c r="H443" i="1"/>
  <c r="G443" i="1"/>
  <c r="F443" i="1"/>
  <c r="E443" i="1"/>
  <c r="D443" i="1"/>
  <c r="C443" i="1"/>
  <c r="B443" i="1"/>
  <c r="A443" i="1"/>
  <c r="N442" i="1"/>
  <c r="M442" i="1"/>
  <c r="L442" i="1"/>
  <c r="K442" i="1"/>
  <c r="J442" i="1"/>
  <c r="I442" i="1"/>
  <c r="H442" i="1"/>
  <c r="G442" i="1"/>
  <c r="F442" i="1"/>
  <c r="E442" i="1"/>
  <c r="D442" i="1"/>
  <c r="C442" i="1"/>
  <c r="B442" i="1"/>
  <c r="A442" i="1"/>
  <c r="N441" i="1"/>
  <c r="M441" i="1"/>
  <c r="L441" i="1"/>
  <c r="K441" i="1"/>
  <c r="J441" i="1"/>
  <c r="I441" i="1"/>
  <c r="H441" i="1"/>
  <c r="G441" i="1"/>
  <c r="F441" i="1"/>
  <c r="E441" i="1"/>
  <c r="D441" i="1"/>
  <c r="C441" i="1"/>
  <c r="B441" i="1"/>
  <c r="A441" i="1"/>
  <c r="N440" i="1"/>
  <c r="M440" i="1"/>
  <c r="L440" i="1"/>
  <c r="K440" i="1"/>
  <c r="J440" i="1"/>
  <c r="I440" i="1"/>
  <c r="H440" i="1"/>
  <c r="G440" i="1"/>
  <c r="F440" i="1"/>
  <c r="E440" i="1"/>
  <c r="D440" i="1"/>
  <c r="C440" i="1"/>
  <c r="B440" i="1"/>
  <c r="A440" i="1"/>
  <c r="N439" i="1"/>
  <c r="M439" i="1"/>
  <c r="L439" i="1"/>
  <c r="K439" i="1"/>
  <c r="J439" i="1"/>
  <c r="I439" i="1"/>
  <c r="H439" i="1"/>
  <c r="G439" i="1"/>
  <c r="F439" i="1"/>
  <c r="E439" i="1"/>
  <c r="D439" i="1"/>
  <c r="C439" i="1"/>
  <c r="B439" i="1"/>
  <c r="A439" i="1"/>
  <c r="N438" i="1"/>
  <c r="M438" i="1"/>
  <c r="L438" i="1"/>
  <c r="K438" i="1"/>
  <c r="J438" i="1"/>
  <c r="I438" i="1"/>
  <c r="H438" i="1"/>
  <c r="G438" i="1"/>
  <c r="F438" i="1"/>
  <c r="E438" i="1"/>
  <c r="D438" i="1"/>
  <c r="C438" i="1"/>
  <c r="B438" i="1"/>
  <c r="A438" i="1"/>
  <c r="N437" i="1"/>
  <c r="M437" i="1"/>
  <c r="L437" i="1"/>
  <c r="K437" i="1"/>
  <c r="J437" i="1"/>
  <c r="I437" i="1"/>
  <c r="H437" i="1"/>
  <c r="G437" i="1"/>
  <c r="F437" i="1"/>
  <c r="E437" i="1"/>
  <c r="D437" i="1"/>
  <c r="C437" i="1"/>
  <c r="B437" i="1"/>
  <c r="A437" i="1"/>
  <c r="N436" i="1"/>
  <c r="M436" i="1"/>
  <c r="L436" i="1"/>
  <c r="K436" i="1"/>
  <c r="J436" i="1"/>
  <c r="I436" i="1"/>
  <c r="H436" i="1"/>
  <c r="G436" i="1"/>
  <c r="F436" i="1"/>
  <c r="E436" i="1"/>
  <c r="D436" i="1"/>
  <c r="C436" i="1"/>
  <c r="B436" i="1"/>
  <c r="A436" i="1"/>
  <c r="N435" i="1"/>
  <c r="M435" i="1"/>
  <c r="L435" i="1"/>
  <c r="K435" i="1"/>
  <c r="J435" i="1"/>
  <c r="I435" i="1"/>
  <c r="H435" i="1"/>
  <c r="G435" i="1"/>
  <c r="F435" i="1"/>
  <c r="E435" i="1"/>
  <c r="D435" i="1"/>
  <c r="C435" i="1"/>
  <c r="B435" i="1"/>
  <c r="A435" i="1"/>
  <c r="N434" i="1"/>
  <c r="M434" i="1"/>
  <c r="L434" i="1"/>
  <c r="K434" i="1"/>
  <c r="J434" i="1"/>
  <c r="I434" i="1"/>
  <c r="H434" i="1"/>
  <c r="G434" i="1"/>
  <c r="F434" i="1"/>
  <c r="E434" i="1"/>
  <c r="D434" i="1"/>
  <c r="C434" i="1"/>
  <c r="B434" i="1"/>
  <c r="A434" i="1"/>
  <c r="N433" i="1"/>
  <c r="M433" i="1"/>
  <c r="L433" i="1"/>
  <c r="K433" i="1"/>
  <c r="J433" i="1"/>
  <c r="I433" i="1"/>
  <c r="H433" i="1"/>
  <c r="G433" i="1"/>
  <c r="F433" i="1"/>
  <c r="E433" i="1"/>
  <c r="D433" i="1"/>
  <c r="C433" i="1"/>
  <c r="B433" i="1"/>
  <c r="A433" i="1"/>
  <c r="N432" i="1"/>
  <c r="M432" i="1"/>
  <c r="L432" i="1"/>
  <c r="K432" i="1"/>
  <c r="J432" i="1"/>
  <c r="I432" i="1"/>
  <c r="H432" i="1"/>
  <c r="G432" i="1"/>
  <c r="F432" i="1"/>
  <c r="E432" i="1"/>
  <c r="D432" i="1"/>
  <c r="C432" i="1"/>
  <c r="B432" i="1"/>
  <c r="A432" i="1"/>
  <c r="N431" i="1"/>
  <c r="M431" i="1"/>
  <c r="L431" i="1"/>
  <c r="K431" i="1"/>
  <c r="J431" i="1"/>
  <c r="I431" i="1"/>
  <c r="H431" i="1"/>
  <c r="G431" i="1"/>
  <c r="F431" i="1"/>
  <c r="E431" i="1"/>
  <c r="D431" i="1"/>
  <c r="C431" i="1"/>
  <c r="B431" i="1"/>
  <c r="A431" i="1"/>
  <c r="N430" i="1"/>
  <c r="M430" i="1"/>
  <c r="L430" i="1"/>
  <c r="K430" i="1"/>
  <c r="J430" i="1"/>
  <c r="I430" i="1"/>
  <c r="H430" i="1"/>
  <c r="G430" i="1"/>
  <c r="F430" i="1"/>
  <c r="E430" i="1"/>
  <c r="D430" i="1"/>
  <c r="C430" i="1"/>
  <c r="B430" i="1"/>
  <c r="A430" i="1"/>
  <c r="N429" i="1"/>
  <c r="M429" i="1"/>
  <c r="L429" i="1"/>
  <c r="K429" i="1"/>
  <c r="J429" i="1"/>
  <c r="I429" i="1"/>
  <c r="H429" i="1"/>
  <c r="G429" i="1"/>
  <c r="F429" i="1"/>
  <c r="E429" i="1"/>
  <c r="D429" i="1"/>
  <c r="C429" i="1"/>
  <c r="B429" i="1"/>
  <c r="A429" i="1"/>
  <c r="N428" i="1"/>
  <c r="M428" i="1"/>
  <c r="L428" i="1"/>
  <c r="K428" i="1"/>
  <c r="J428" i="1"/>
  <c r="I428" i="1"/>
  <c r="H428" i="1"/>
  <c r="G428" i="1"/>
  <c r="F428" i="1"/>
  <c r="E428" i="1"/>
  <c r="D428" i="1"/>
  <c r="C428" i="1"/>
  <c r="B428" i="1"/>
  <c r="A428" i="1"/>
  <c r="N427" i="1"/>
  <c r="M427" i="1"/>
  <c r="L427" i="1"/>
  <c r="K427" i="1"/>
  <c r="J427" i="1"/>
  <c r="I427" i="1"/>
  <c r="H427" i="1"/>
  <c r="G427" i="1"/>
  <c r="F427" i="1"/>
  <c r="E427" i="1"/>
  <c r="D427" i="1"/>
  <c r="C427" i="1"/>
  <c r="B427" i="1"/>
  <c r="A427" i="1"/>
  <c r="N426" i="1"/>
  <c r="M426" i="1"/>
  <c r="L426" i="1"/>
  <c r="K426" i="1"/>
  <c r="J426" i="1"/>
  <c r="I426" i="1"/>
  <c r="H426" i="1"/>
  <c r="G426" i="1"/>
  <c r="F426" i="1"/>
  <c r="E426" i="1"/>
  <c r="D426" i="1"/>
  <c r="C426" i="1"/>
  <c r="B426" i="1"/>
  <c r="A426" i="1"/>
  <c r="N425" i="1"/>
  <c r="M425" i="1"/>
  <c r="L425" i="1"/>
  <c r="K425" i="1"/>
  <c r="J425" i="1"/>
  <c r="I425" i="1"/>
  <c r="H425" i="1"/>
  <c r="G425" i="1"/>
  <c r="F425" i="1"/>
  <c r="E425" i="1"/>
  <c r="D425" i="1"/>
  <c r="C425" i="1"/>
  <c r="B425" i="1"/>
  <c r="A425" i="1"/>
  <c r="N424" i="1"/>
  <c r="M424" i="1"/>
  <c r="L424" i="1"/>
  <c r="K424" i="1"/>
  <c r="J424" i="1"/>
  <c r="I424" i="1"/>
  <c r="H424" i="1"/>
  <c r="G424" i="1"/>
  <c r="F424" i="1"/>
  <c r="E424" i="1"/>
  <c r="D424" i="1"/>
  <c r="C424" i="1"/>
  <c r="B424" i="1"/>
  <c r="A424" i="1"/>
  <c r="N423" i="1"/>
  <c r="M423" i="1"/>
  <c r="L423" i="1"/>
  <c r="K423" i="1"/>
  <c r="J423" i="1"/>
  <c r="I423" i="1"/>
  <c r="H423" i="1"/>
  <c r="G423" i="1"/>
  <c r="F423" i="1"/>
  <c r="E423" i="1"/>
  <c r="D423" i="1"/>
  <c r="C423" i="1"/>
  <c r="B423" i="1"/>
  <c r="A423" i="1"/>
  <c r="N422" i="1"/>
  <c r="M422" i="1"/>
  <c r="L422" i="1"/>
  <c r="K422" i="1"/>
  <c r="J422" i="1"/>
  <c r="I422" i="1"/>
  <c r="H422" i="1"/>
  <c r="G422" i="1"/>
  <c r="F422" i="1"/>
  <c r="E422" i="1"/>
  <c r="D422" i="1"/>
  <c r="C422" i="1"/>
  <c r="B422" i="1"/>
  <c r="A422" i="1"/>
  <c r="N421" i="1"/>
  <c r="M421" i="1"/>
  <c r="L421" i="1"/>
  <c r="K421" i="1"/>
  <c r="J421" i="1"/>
  <c r="I421" i="1"/>
  <c r="H421" i="1"/>
  <c r="G421" i="1"/>
  <c r="F421" i="1"/>
  <c r="E421" i="1"/>
  <c r="D421" i="1"/>
  <c r="C421" i="1"/>
  <c r="B421" i="1"/>
  <c r="A421" i="1"/>
  <c r="N420" i="1"/>
  <c r="M420" i="1"/>
  <c r="L420" i="1"/>
  <c r="K420" i="1"/>
  <c r="J420" i="1"/>
  <c r="I420" i="1"/>
  <c r="H420" i="1"/>
  <c r="G420" i="1"/>
  <c r="F420" i="1"/>
  <c r="E420" i="1"/>
  <c r="D420" i="1"/>
  <c r="C420" i="1"/>
  <c r="B420" i="1"/>
  <c r="A420" i="1"/>
  <c r="N419" i="1"/>
  <c r="M419" i="1"/>
  <c r="L419" i="1"/>
  <c r="K419" i="1"/>
  <c r="J419" i="1"/>
  <c r="I419" i="1"/>
  <c r="H419" i="1"/>
  <c r="G419" i="1"/>
  <c r="F419" i="1"/>
  <c r="E419" i="1"/>
  <c r="D419" i="1"/>
  <c r="C419" i="1"/>
  <c r="B419" i="1"/>
  <c r="A419" i="1"/>
  <c r="N418" i="1"/>
  <c r="M418" i="1"/>
  <c r="L418" i="1"/>
  <c r="K418" i="1"/>
  <c r="J418" i="1"/>
  <c r="I418" i="1"/>
  <c r="H418" i="1"/>
  <c r="G418" i="1"/>
  <c r="F418" i="1"/>
  <c r="E418" i="1"/>
  <c r="D418" i="1"/>
  <c r="C418" i="1"/>
  <c r="B418" i="1"/>
  <c r="A418" i="1"/>
  <c r="N417" i="1"/>
  <c r="M417" i="1"/>
  <c r="L417" i="1"/>
  <c r="K417" i="1"/>
  <c r="J417" i="1"/>
  <c r="I417" i="1"/>
  <c r="H417" i="1"/>
  <c r="G417" i="1"/>
  <c r="F417" i="1"/>
  <c r="E417" i="1"/>
  <c r="D417" i="1"/>
  <c r="C417" i="1"/>
  <c r="B417" i="1"/>
  <c r="A417" i="1"/>
  <c r="N416" i="1"/>
  <c r="M416" i="1"/>
  <c r="L416" i="1"/>
  <c r="K416" i="1"/>
  <c r="J416" i="1"/>
  <c r="I416" i="1"/>
  <c r="H416" i="1"/>
  <c r="G416" i="1"/>
  <c r="F416" i="1"/>
  <c r="E416" i="1"/>
  <c r="D416" i="1"/>
  <c r="C416" i="1"/>
  <c r="B416" i="1"/>
  <c r="A416" i="1"/>
  <c r="N415" i="1"/>
  <c r="M415" i="1"/>
  <c r="L415" i="1"/>
  <c r="K415" i="1"/>
  <c r="J415" i="1"/>
  <c r="I415" i="1"/>
  <c r="H415" i="1"/>
  <c r="G415" i="1"/>
  <c r="F415" i="1"/>
  <c r="E415" i="1"/>
  <c r="D415" i="1"/>
  <c r="C415" i="1"/>
  <c r="B415" i="1"/>
  <c r="A415" i="1"/>
  <c r="N414" i="1"/>
  <c r="M414" i="1"/>
  <c r="L414" i="1"/>
  <c r="K414" i="1"/>
  <c r="J414" i="1"/>
  <c r="I414" i="1"/>
  <c r="H414" i="1"/>
  <c r="G414" i="1"/>
  <c r="F414" i="1"/>
  <c r="E414" i="1"/>
  <c r="D414" i="1"/>
  <c r="C414" i="1"/>
  <c r="B414" i="1"/>
  <c r="A414" i="1"/>
  <c r="N413" i="1"/>
  <c r="M413" i="1"/>
  <c r="L413" i="1"/>
  <c r="K413" i="1"/>
  <c r="J413" i="1"/>
  <c r="I413" i="1"/>
  <c r="H413" i="1"/>
  <c r="G413" i="1"/>
  <c r="F413" i="1"/>
  <c r="E413" i="1"/>
  <c r="D413" i="1"/>
  <c r="C413" i="1"/>
  <c r="B413" i="1"/>
  <c r="A413" i="1"/>
  <c r="N412" i="1"/>
  <c r="M412" i="1"/>
  <c r="L412" i="1"/>
  <c r="K412" i="1"/>
  <c r="J412" i="1"/>
  <c r="I412" i="1"/>
  <c r="H412" i="1"/>
  <c r="G412" i="1"/>
  <c r="F412" i="1"/>
  <c r="E412" i="1"/>
  <c r="D412" i="1"/>
  <c r="C412" i="1"/>
  <c r="B412" i="1"/>
  <c r="A412" i="1"/>
  <c r="N411" i="1"/>
  <c r="M411" i="1"/>
  <c r="L411" i="1"/>
  <c r="K411" i="1"/>
  <c r="J411" i="1"/>
  <c r="I411" i="1"/>
  <c r="H411" i="1"/>
  <c r="G411" i="1"/>
  <c r="F411" i="1"/>
  <c r="E411" i="1"/>
  <c r="D411" i="1"/>
  <c r="C411" i="1"/>
  <c r="B411" i="1"/>
  <c r="A411" i="1"/>
  <c r="N410" i="1"/>
  <c r="M410" i="1"/>
  <c r="L410" i="1"/>
  <c r="K410" i="1"/>
  <c r="J410" i="1"/>
  <c r="I410" i="1"/>
  <c r="H410" i="1"/>
  <c r="G410" i="1"/>
  <c r="F410" i="1"/>
  <c r="E410" i="1"/>
  <c r="D410" i="1"/>
  <c r="C410" i="1"/>
  <c r="B410" i="1"/>
  <c r="A410" i="1"/>
  <c r="N409" i="1"/>
  <c r="M409" i="1"/>
  <c r="L409" i="1"/>
  <c r="K409" i="1"/>
  <c r="J409" i="1"/>
  <c r="I409" i="1"/>
  <c r="H409" i="1"/>
  <c r="G409" i="1"/>
  <c r="F409" i="1"/>
  <c r="E409" i="1"/>
  <c r="D409" i="1"/>
  <c r="C409" i="1"/>
  <c r="B409" i="1"/>
  <c r="A409" i="1"/>
  <c r="N408" i="1"/>
  <c r="M408" i="1"/>
  <c r="L408" i="1"/>
  <c r="K408" i="1"/>
  <c r="J408" i="1"/>
  <c r="I408" i="1"/>
  <c r="H408" i="1"/>
  <c r="G408" i="1"/>
  <c r="F408" i="1"/>
  <c r="E408" i="1"/>
  <c r="D408" i="1"/>
  <c r="C408" i="1"/>
  <c r="B408" i="1"/>
  <c r="A408" i="1"/>
  <c r="N407" i="1"/>
  <c r="M407" i="1"/>
  <c r="L407" i="1"/>
  <c r="K407" i="1"/>
  <c r="J407" i="1"/>
  <c r="I407" i="1"/>
  <c r="H407" i="1"/>
  <c r="G407" i="1"/>
  <c r="F407" i="1"/>
  <c r="E407" i="1"/>
  <c r="D407" i="1"/>
  <c r="C407" i="1"/>
  <c r="B407" i="1"/>
  <c r="A407" i="1"/>
  <c r="N406" i="1"/>
  <c r="M406" i="1"/>
  <c r="L406" i="1"/>
  <c r="K406" i="1"/>
  <c r="J406" i="1"/>
  <c r="I406" i="1"/>
  <c r="H406" i="1"/>
  <c r="G406" i="1"/>
  <c r="F406" i="1"/>
  <c r="E406" i="1"/>
  <c r="D406" i="1"/>
  <c r="C406" i="1"/>
  <c r="B406" i="1"/>
  <c r="A406" i="1"/>
  <c r="N405" i="1"/>
  <c r="M405" i="1"/>
  <c r="L405" i="1"/>
  <c r="K405" i="1"/>
  <c r="J405" i="1"/>
  <c r="I405" i="1"/>
  <c r="H405" i="1"/>
  <c r="G405" i="1"/>
  <c r="F405" i="1"/>
  <c r="E405" i="1"/>
  <c r="D405" i="1"/>
  <c r="C405" i="1"/>
  <c r="B405" i="1"/>
  <c r="A405" i="1"/>
  <c r="N404" i="1"/>
  <c r="M404" i="1"/>
  <c r="L404" i="1"/>
  <c r="K404" i="1"/>
  <c r="J404" i="1"/>
  <c r="I404" i="1"/>
  <c r="H404" i="1"/>
  <c r="G404" i="1"/>
  <c r="F404" i="1"/>
  <c r="E404" i="1"/>
  <c r="D404" i="1"/>
  <c r="C404" i="1"/>
  <c r="B404" i="1"/>
  <c r="A404" i="1"/>
  <c r="N403" i="1"/>
  <c r="M403" i="1"/>
  <c r="L403" i="1"/>
  <c r="K403" i="1"/>
  <c r="J403" i="1"/>
  <c r="I403" i="1"/>
  <c r="H403" i="1"/>
  <c r="G403" i="1"/>
  <c r="F403" i="1"/>
  <c r="E403" i="1"/>
  <c r="D403" i="1"/>
  <c r="C403" i="1"/>
  <c r="B403" i="1"/>
  <c r="A403" i="1"/>
  <c r="N402" i="1"/>
  <c r="M402" i="1"/>
  <c r="L402" i="1"/>
  <c r="K402" i="1"/>
  <c r="J402" i="1"/>
  <c r="I402" i="1"/>
  <c r="H402" i="1"/>
  <c r="G402" i="1"/>
  <c r="F402" i="1"/>
  <c r="E402" i="1"/>
  <c r="D402" i="1"/>
  <c r="C402" i="1"/>
  <c r="B402" i="1"/>
  <c r="A402" i="1"/>
  <c r="N401" i="1"/>
  <c r="M401" i="1"/>
  <c r="L401" i="1"/>
  <c r="K401" i="1"/>
  <c r="J401" i="1"/>
  <c r="I401" i="1"/>
  <c r="H401" i="1"/>
  <c r="G401" i="1"/>
  <c r="F401" i="1"/>
  <c r="E401" i="1"/>
  <c r="D401" i="1"/>
  <c r="C401" i="1"/>
  <c r="B401" i="1"/>
  <c r="A401" i="1"/>
  <c r="N400" i="1"/>
  <c r="M400" i="1"/>
  <c r="L400" i="1"/>
  <c r="K400" i="1"/>
  <c r="J400" i="1"/>
  <c r="I400" i="1"/>
  <c r="H400" i="1"/>
  <c r="G400" i="1"/>
  <c r="F400" i="1"/>
  <c r="E400" i="1"/>
  <c r="D400" i="1"/>
  <c r="C400" i="1"/>
  <c r="B400" i="1"/>
  <c r="A400" i="1"/>
  <c r="N399" i="1"/>
  <c r="M399" i="1"/>
  <c r="L399" i="1"/>
  <c r="K399" i="1"/>
  <c r="J399" i="1"/>
  <c r="I399" i="1"/>
  <c r="H399" i="1"/>
  <c r="G399" i="1"/>
  <c r="F399" i="1"/>
  <c r="E399" i="1"/>
  <c r="D399" i="1"/>
  <c r="C399" i="1"/>
  <c r="B399" i="1"/>
  <c r="A399" i="1"/>
  <c r="N398" i="1"/>
  <c r="M398" i="1"/>
  <c r="L398" i="1"/>
  <c r="K398" i="1"/>
  <c r="J398" i="1"/>
  <c r="I398" i="1"/>
  <c r="H398" i="1"/>
  <c r="G398" i="1"/>
  <c r="F398" i="1"/>
  <c r="E398" i="1"/>
  <c r="D398" i="1"/>
  <c r="C398" i="1"/>
  <c r="B398" i="1"/>
  <c r="A398" i="1"/>
  <c r="N397" i="1"/>
  <c r="M397" i="1"/>
  <c r="L397" i="1"/>
  <c r="K397" i="1"/>
  <c r="J397" i="1"/>
  <c r="I397" i="1"/>
  <c r="H397" i="1"/>
  <c r="G397" i="1"/>
  <c r="F397" i="1"/>
  <c r="E397" i="1"/>
  <c r="D397" i="1"/>
  <c r="C397" i="1"/>
  <c r="B397" i="1"/>
  <c r="A397" i="1"/>
  <c r="N396" i="1"/>
  <c r="M396" i="1"/>
  <c r="L396" i="1"/>
  <c r="K396" i="1"/>
  <c r="J396" i="1"/>
  <c r="I396" i="1"/>
  <c r="H396" i="1"/>
  <c r="G396" i="1"/>
  <c r="F396" i="1"/>
  <c r="E396" i="1"/>
  <c r="D396" i="1"/>
  <c r="C396" i="1"/>
  <c r="B396" i="1"/>
  <c r="A396" i="1"/>
  <c r="N395" i="1"/>
  <c r="M395" i="1"/>
  <c r="L395" i="1"/>
  <c r="K395" i="1"/>
  <c r="J395" i="1"/>
  <c r="I395" i="1"/>
  <c r="H395" i="1"/>
  <c r="G395" i="1"/>
  <c r="F395" i="1"/>
  <c r="E395" i="1"/>
  <c r="D395" i="1"/>
  <c r="C395" i="1"/>
  <c r="B395" i="1"/>
  <c r="A395" i="1"/>
  <c r="N394" i="1"/>
  <c r="M394" i="1"/>
  <c r="L394" i="1"/>
  <c r="K394" i="1"/>
  <c r="J394" i="1"/>
  <c r="I394" i="1"/>
  <c r="H394" i="1"/>
  <c r="G394" i="1"/>
  <c r="F394" i="1"/>
  <c r="E394" i="1"/>
  <c r="D394" i="1"/>
  <c r="C394" i="1"/>
  <c r="B394" i="1"/>
  <c r="A394" i="1"/>
  <c r="N393" i="1"/>
  <c r="M393" i="1"/>
  <c r="L393" i="1"/>
  <c r="K393" i="1"/>
  <c r="J393" i="1"/>
  <c r="I393" i="1"/>
  <c r="H393" i="1"/>
  <c r="G393" i="1"/>
  <c r="F393" i="1"/>
  <c r="E393" i="1"/>
  <c r="D393" i="1"/>
  <c r="C393" i="1"/>
  <c r="B393" i="1"/>
  <c r="A393" i="1"/>
  <c r="N392" i="1"/>
  <c r="M392" i="1"/>
  <c r="L392" i="1"/>
  <c r="K392" i="1"/>
  <c r="J392" i="1"/>
  <c r="I392" i="1"/>
  <c r="H392" i="1"/>
  <c r="G392" i="1"/>
  <c r="F392" i="1"/>
  <c r="E392" i="1"/>
  <c r="D392" i="1"/>
  <c r="C392" i="1"/>
  <c r="B392" i="1"/>
  <c r="A392" i="1"/>
  <c r="N391" i="1"/>
  <c r="M391" i="1"/>
  <c r="L391" i="1"/>
  <c r="K391" i="1"/>
  <c r="J391" i="1"/>
  <c r="I391" i="1"/>
  <c r="H391" i="1"/>
  <c r="G391" i="1"/>
  <c r="F391" i="1"/>
  <c r="E391" i="1"/>
  <c r="D391" i="1"/>
  <c r="C391" i="1"/>
  <c r="B391" i="1"/>
  <c r="A391" i="1"/>
  <c r="N390" i="1"/>
  <c r="M390" i="1"/>
  <c r="L390" i="1"/>
  <c r="K390" i="1"/>
  <c r="J390" i="1"/>
  <c r="I390" i="1"/>
  <c r="H390" i="1"/>
  <c r="G390" i="1"/>
  <c r="F390" i="1"/>
  <c r="E390" i="1"/>
  <c r="D390" i="1"/>
  <c r="C390" i="1"/>
  <c r="B390" i="1"/>
  <c r="A390" i="1"/>
  <c r="N389" i="1"/>
  <c r="M389" i="1"/>
  <c r="L389" i="1"/>
  <c r="K389" i="1"/>
  <c r="J389" i="1"/>
  <c r="I389" i="1"/>
  <c r="H389" i="1"/>
  <c r="G389" i="1"/>
  <c r="F389" i="1"/>
  <c r="E389" i="1"/>
  <c r="D389" i="1"/>
  <c r="C389" i="1"/>
  <c r="B389" i="1"/>
  <c r="A389" i="1"/>
  <c r="N388" i="1"/>
  <c r="M388" i="1"/>
  <c r="L388" i="1"/>
  <c r="K388" i="1"/>
  <c r="J388" i="1"/>
  <c r="I388" i="1"/>
  <c r="H388" i="1"/>
  <c r="G388" i="1"/>
  <c r="F388" i="1"/>
  <c r="E388" i="1"/>
  <c r="D388" i="1"/>
  <c r="C388" i="1"/>
  <c r="B388" i="1"/>
  <c r="A388" i="1"/>
  <c r="N387" i="1"/>
  <c r="M387" i="1"/>
  <c r="L387" i="1"/>
  <c r="K387" i="1"/>
  <c r="J387" i="1"/>
  <c r="I387" i="1"/>
  <c r="H387" i="1"/>
  <c r="G387" i="1"/>
  <c r="F387" i="1"/>
  <c r="E387" i="1"/>
  <c r="D387" i="1"/>
  <c r="C387" i="1"/>
  <c r="B387" i="1"/>
  <c r="A387" i="1"/>
  <c r="N386" i="1"/>
  <c r="M386" i="1"/>
  <c r="L386" i="1"/>
  <c r="K386" i="1"/>
  <c r="J386" i="1"/>
  <c r="I386" i="1"/>
  <c r="H386" i="1"/>
  <c r="G386" i="1"/>
  <c r="F386" i="1"/>
  <c r="E386" i="1"/>
  <c r="D386" i="1"/>
  <c r="C386" i="1"/>
  <c r="B386" i="1"/>
  <c r="A386" i="1"/>
  <c r="N385" i="1"/>
  <c r="M385" i="1"/>
  <c r="L385" i="1"/>
  <c r="K385" i="1"/>
  <c r="J385" i="1"/>
  <c r="I385" i="1"/>
  <c r="H385" i="1"/>
  <c r="G385" i="1"/>
  <c r="F385" i="1"/>
  <c r="E385" i="1"/>
  <c r="D385" i="1"/>
  <c r="C385" i="1"/>
  <c r="B385" i="1"/>
  <c r="A385" i="1"/>
  <c r="N384" i="1"/>
  <c r="M384" i="1"/>
  <c r="L384" i="1"/>
  <c r="K384" i="1"/>
  <c r="J384" i="1"/>
  <c r="I384" i="1"/>
  <c r="H384" i="1"/>
  <c r="G384" i="1"/>
  <c r="F384" i="1"/>
  <c r="E384" i="1"/>
  <c r="D384" i="1"/>
  <c r="C384" i="1"/>
  <c r="B384" i="1"/>
  <c r="A384" i="1"/>
  <c r="N383" i="1"/>
  <c r="M383" i="1"/>
  <c r="L383" i="1"/>
  <c r="K383" i="1"/>
  <c r="J383" i="1"/>
  <c r="I383" i="1"/>
  <c r="H383" i="1"/>
  <c r="G383" i="1"/>
  <c r="F383" i="1"/>
  <c r="E383" i="1"/>
  <c r="D383" i="1"/>
  <c r="C383" i="1"/>
  <c r="B383" i="1"/>
  <c r="A383" i="1"/>
  <c r="N382" i="1"/>
  <c r="M382" i="1"/>
  <c r="L382" i="1"/>
  <c r="K382" i="1"/>
  <c r="J382" i="1"/>
  <c r="I382" i="1"/>
  <c r="H382" i="1"/>
  <c r="G382" i="1"/>
  <c r="F382" i="1"/>
  <c r="E382" i="1"/>
  <c r="D382" i="1"/>
  <c r="C382" i="1"/>
  <c r="B382" i="1"/>
  <c r="A382" i="1"/>
  <c r="N381" i="1"/>
  <c r="M381" i="1"/>
  <c r="L381" i="1"/>
  <c r="K381" i="1"/>
  <c r="J381" i="1"/>
  <c r="I381" i="1"/>
  <c r="H381" i="1"/>
  <c r="G381" i="1"/>
  <c r="F381" i="1"/>
  <c r="E381" i="1"/>
  <c r="D381" i="1"/>
  <c r="C381" i="1"/>
  <c r="B381" i="1"/>
  <c r="A381" i="1"/>
  <c r="N380" i="1"/>
  <c r="M380" i="1"/>
  <c r="L380" i="1"/>
  <c r="K380" i="1"/>
  <c r="J380" i="1"/>
  <c r="I380" i="1"/>
  <c r="H380" i="1"/>
  <c r="G380" i="1"/>
  <c r="F380" i="1"/>
  <c r="E380" i="1"/>
  <c r="D380" i="1"/>
  <c r="C380" i="1"/>
  <c r="B380" i="1"/>
  <c r="A380" i="1"/>
  <c r="N379" i="1"/>
  <c r="M379" i="1"/>
  <c r="L379" i="1"/>
  <c r="K379" i="1"/>
  <c r="J379" i="1"/>
  <c r="I379" i="1"/>
  <c r="H379" i="1"/>
  <c r="G379" i="1"/>
  <c r="F379" i="1"/>
  <c r="E379" i="1"/>
  <c r="D379" i="1"/>
  <c r="C379" i="1"/>
  <c r="B379" i="1"/>
  <c r="A379" i="1"/>
  <c r="N378" i="1"/>
  <c r="M378" i="1"/>
  <c r="L378" i="1"/>
  <c r="K378" i="1"/>
  <c r="J378" i="1"/>
  <c r="I378" i="1"/>
  <c r="H378" i="1"/>
  <c r="G378" i="1"/>
  <c r="F378" i="1"/>
  <c r="E378" i="1"/>
  <c r="D378" i="1"/>
  <c r="C378" i="1"/>
  <c r="B378" i="1"/>
  <c r="A378" i="1"/>
  <c r="N377" i="1"/>
  <c r="M377" i="1"/>
  <c r="L377" i="1"/>
  <c r="K377" i="1"/>
  <c r="J377" i="1"/>
  <c r="I377" i="1"/>
  <c r="H377" i="1"/>
  <c r="G377" i="1"/>
  <c r="F377" i="1"/>
  <c r="E377" i="1"/>
  <c r="D377" i="1"/>
  <c r="C377" i="1"/>
  <c r="B377" i="1"/>
  <c r="A377" i="1"/>
  <c r="N376" i="1"/>
  <c r="M376" i="1"/>
  <c r="L376" i="1"/>
  <c r="K376" i="1"/>
  <c r="J376" i="1"/>
  <c r="I376" i="1"/>
  <c r="H376" i="1"/>
  <c r="G376" i="1"/>
  <c r="F376" i="1"/>
  <c r="E376" i="1"/>
  <c r="D376" i="1"/>
  <c r="C376" i="1"/>
  <c r="B376" i="1"/>
  <c r="A376" i="1"/>
  <c r="N375" i="1"/>
  <c r="M375" i="1"/>
  <c r="L375" i="1"/>
  <c r="K375" i="1"/>
  <c r="J375" i="1"/>
  <c r="I375" i="1"/>
  <c r="H375" i="1"/>
  <c r="G375" i="1"/>
  <c r="F375" i="1"/>
  <c r="E375" i="1"/>
  <c r="D375" i="1"/>
  <c r="C375" i="1"/>
  <c r="B375" i="1"/>
  <c r="A375" i="1"/>
  <c r="N374" i="1"/>
  <c r="M374" i="1"/>
  <c r="L374" i="1"/>
  <c r="K374" i="1"/>
  <c r="J374" i="1"/>
  <c r="I374" i="1"/>
  <c r="H374" i="1"/>
  <c r="G374" i="1"/>
  <c r="F374" i="1"/>
  <c r="E374" i="1"/>
  <c r="D374" i="1"/>
  <c r="C374" i="1"/>
  <c r="B374" i="1"/>
  <c r="A374" i="1"/>
  <c r="N373" i="1"/>
  <c r="M373" i="1"/>
  <c r="L373" i="1"/>
  <c r="K373" i="1"/>
  <c r="J373" i="1"/>
  <c r="I373" i="1"/>
  <c r="H373" i="1"/>
  <c r="G373" i="1"/>
  <c r="F373" i="1"/>
  <c r="E373" i="1"/>
  <c r="D373" i="1"/>
  <c r="C373" i="1"/>
  <c r="B373" i="1"/>
  <c r="A373" i="1"/>
  <c r="N372" i="1"/>
  <c r="M372" i="1"/>
  <c r="L372" i="1"/>
  <c r="K372" i="1"/>
  <c r="J372" i="1"/>
  <c r="I372" i="1"/>
  <c r="H372" i="1"/>
  <c r="G372" i="1"/>
  <c r="F372" i="1"/>
  <c r="E372" i="1"/>
  <c r="D372" i="1"/>
  <c r="C372" i="1"/>
  <c r="B372" i="1"/>
  <c r="A372" i="1"/>
  <c r="N371" i="1"/>
  <c r="M371" i="1"/>
  <c r="L371" i="1"/>
  <c r="K371" i="1"/>
  <c r="J371" i="1"/>
  <c r="I371" i="1"/>
  <c r="H371" i="1"/>
  <c r="G371" i="1"/>
  <c r="F371" i="1"/>
  <c r="E371" i="1"/>
  <c r="D371" i="1"/>
  <c r="C371" i="1"/>
  <c r="B371" i="1"/>
  <c r="A371" i="1"/>
  <c r="N370" i="1"/>
  <c r="M370" i="1"/>
  <c r="L370" i="1"/>
  <c r="K370" i="1"/>
  <c r="J370" i="1"/>
  <c r="I370" i="1"/>
  <c r="H370" i="1"/>
  <c r="G370" i="1"/>
  <c r="F370" i="1"/>
  <c r="E370" i="1"/>
  <c r="D370" i="1"/>
  <c r="C370" i="1"/>
  <c r="B370" i="1"/>
  <c r="A370" i="1"/>
  <c r="N369" i="1"/>
  <c r="M369" i="1"/>
  <c r="L369" i="1"/>
  <c r="K369" i="1"/>
  <c r="J369" i="1"/>
  <c r="I369" i="1"/>
  <c r="H369" i="1"/>
  <c r="G369" i="1"/>
  <c r="F369" i="1"/>
  <c r="E369" i="1"/>
  <c r="D369" i="1"/>
  <c r="C369" i="1"/>
  <c r="B369" i="1"/>
  <c r="A369" i="1"/>
  <c r="N368" i="1"/>
  <c r="M368" i="1"/>
  <c r="L368" i="1"/>
  <c r="K368" i="1"/>
  <c r="J368" i="1"/>
  <c r="I368" i="1"/>
  <c r="H368" i="1"/>
  <c r="G368" i="1"/>
  <c r="F368" i="1"/>
  <c r="E368" i="1"/>
  <c r="D368" i="1"/>
  <c r="C368" i="1"/>
  <c r="B368" i="1"/>
  <c r="A368" i="1"/>
  <c r="N367" i="1"/>
  <c r="M367" i="1"/>
  <c r="L367" i="1"/>
  <c r="K367" i="1"/>
  <c r="J367" i="1"/>
  <c r="I367" i="1"/>
  <c r="H367" i="1"/>
  <c r="G367" i="1"/>
  <c r="F367" i="1"/>
  <c r="E367" i="1"/>
  <c r="D367" i="1"/>
  <c r="C367" i="1"/>
  <c r="B367" i="1"/>
  <c r="A367" i="1"/>
  <c r="N366" i="1"/>
  <c r="M366" i="1"/>
  <c r="L366" i="1"/>
  <c r="K366" i="1"/>
  <c r="J366" i="1"/>
  <c r="I366" i="1"/>
  <c r="H366" i="1"/>
  <c r="G366" i="1"/>
  <c r="F366" i="1"/>
  <c r="E366" i="1"/>
  <c r="D366" i="1"/>
  <c r="C366" i="1"/>
  <c r="B366" i="1"/>
  <c r="A366" i="1"/>
  <c r="N365" i="1"/>
  <c r="M365" i="1"/>
  <c r="L365" i="1"/>
  <c r="K365" i="1"/>
  <c r="J365" i="1"/>
  <c r="I365" i="1"/>
  <c r="H365" i="1"/>
  <c r="G365" i="1"/>
  <c r="F365" i="1"/>
  <c r="E365" i="1"/>
  <c r="D365" i="1"/>
  <c r="C365" i="1"/>
  <c r="B365" i="1"/>
  <c r="A365" i="1"/>
  <c r="N364" i="1"/>
  <c r="M364" i="1"/>
  <c r="L364" i="1"/>
  <c r="K364" i="1"/>
  <c r="J364" i="1"/>
  <c r="I364" i="1"/>
  <c r="H364" i="1"/>
  <c r="G364" i="1"/>
  <c r="F364" i="1"/>
  <c r="E364" i="1"/>
  <c r="D364" i="1"/>
  <c r="C364" i="1"/>
  <c r="B364" i="1"/>
  <c r="A364" i="1"/>
  <c r="N363" i="1"/>
  <c r="M363" i="1"/>
  <c r="L363" i="1"/>
  <c r="K363" i="1"/>
  <c r="J363" i="1"/>
  <c r="I363" i="1"/>
  <c r="H363" i="1"/>
  <c r="G363" i="1"/>
  <c r="F363" i="1"/>
  <c r="E363" i="1"/>
  <c r="D363" i="1"/>
  <c r="C363" i="1"/>
  <c r="B363" i="1"/>
  <c r="A363" i="1"/>
  <c r="N362" i="1"/>
  <c r="M362" i="1"/>
  <c r="L362" i="1"/>
  <c r="K362" i="1"/>
  <c r="J362" i="1"/>
  <c r="I362" i="1"/>
  <c r="H362" i="1"/>
  <c r="G362" i="1"/>
  <c r="F362" i="1"/>
  <c r="E362" i="1"/>
  <c r="D362" i="1"/>
  <c r="C362" i="1"/>
  <c r="B362" i="1"/>
  <c r="A362" i="1"/>
  <c r="N361" i="1"/>
  <c r="M361" i="1"/>
  <c r="L361" i="1"/>
  <c r="K361" i="1"/>
  <c r="J361" i="1"/>
  <c r="I361" i="1"/>
  <c r="H361" i="1"/>
  <c r="G361" i="1"/>
  <c r="F361" i="1"/>
  <c r="E361" i="1"/>
  <c r="D361" i="1"/>
  <c r="C361" i="1"/>
  <c r="B361" i="1"/>
  <c r="A361" i="1"/>
  <c r="N360" i="1"/>
  <c r="M360" i="1"/>
  <c r="L360" i="1"/>
  <c r="K360" i="1"/>
  <c r="J360" i="1"/>
  <c r="I360" i="1"/>
  <c r="H360" i="1"/>
  <c r="G360" i="1"/>
  <c r="F360" i="1"/>
  <c r="E360" i="1"/>
  <c r="D360" i="1"/>
  <c r="C360" i="1"/>
  <c r="B360" i="1"/>
  <c r="A360" i="1"/>
  <c r="N359" i="1"/>
  <c r="M359" i="1"/>
  <c r="L359" i="1"/>
  <c r="K359" i="1"/>
  <c r="J359" i="1"/>
  <c r="I359" i="1"/>
  <c r="H359" i="1"/>
  <c r="G359" i="1"/>
  <c r="F359" i="1"/>
  <c r="E359" i="1"/>
  <c r="D359" i="1"/>
  <c r="C359" i="1"/>
  <c r="B359" i="1"/>
  <c r="A359" i="1"/>
  <c r="N358" i="1"/>
  <c r="M358" i="1"/>
  <c r="L358" i="1"/>
  <c r="K358" i="1"/>
  <c r="J358" i="1"/>
  <c r="I358" i="1"/>
  <c r="H358" i="1"/>
  <c r="G358" i="1"/>
  <c r="F358" i="1"/>
  <c r="E358" i="1"/>
  <c r="D358" i="1"/>
  <c r="C358" i="1"/>
  <c r="B358" i="1"/>
  <c r="A358" i="1"/>
  <c r="N357" i="1"/>
  <c r="M357" i="1"/>
  <c r="L357" i="1"/>
  <c r="K357" i="1"/>
  <c r="J357" i="1"/>
  <c r="I357" i="1"/>
  <c r="H357" i="1"/>
  <c r="G357" i="1"/>
  <c r="F357" i="1"/>
  <c r="E357" i="1"/>
  <c r="D357" i="1"/>
  <c r="C357" i="1"/>
  <c r="B357" i="1"/>
  <c r="A357" i="1"/>
  <c r="N356" i="1"/>
  <c r="M356" i="1"/>
  <c r="L356" i="1"/>
  <c r="K356" i="1"/>
  <c r="J356" i="1"/>
  <c r="I356" i="1"/>
  <c r="H356" i="1"/>
  <c r="G356" i="1"/>
  <c r="F356" i="1"/>
  <c r="E356" i="1"/>
  <c r="D356" i="1"/>
  <c r="C356" i="1"/>
  <c r="B356" i="1"/>
  <c r="A356" i="1"/>
  <c r="N355" i="1"/>
  <c r="M355" i="1"/>
  <c r="L355" i="1"/>
  <c r="K355" i="1"/>
  <c r="J355" i="1"/>
  <c r="I355" i="1"/>
  <c r="H355" i="1"/>
  <c r="G355" i="1"/>
  <c r="F355" i="1"/>
  <c r="E355" i="1"/>
  <c r="D355" i="1"/>
  <c r="C355" i="1"/>
  <c r="B355" i="1"/>
  <c r="A355" i="1"/>
  <c r="N354" i="1"/>
  <c r="M354" i="1"/>
  <c r="L354" i="1"/>
  <c r="K354" i="1"/>
  <c r="J354" i="1"/>
  <c r="I354" i="1"/>
  <c r="H354" i="1"/>
  <c r="G354" i="1"/>
  <c r="F354" i="1"/>
  <c r="E354" i="1"/>
  <c r="D354" i="1"/>
  <c r="C354" i="1"/>
  <c r="B354" i="1"/>
  <c r="A354" i="1"/>
  <c r="N353" i="1"/>
  <c r="M353" i="1"/>
  <c r="L353" i="1"/>
  <c r="K353" i="1"/>
  <c r="J353" i="1"/>
  <c r="I353" i="1"/>
  <c r="H353" i="1"/>
  <c r="G353" i="1"/>
  <c r="F353" i="1"/>
  <c r="E353" i="1"/>
  <c r="D353" i="1"/>
  <c r="C353" i="1"/>
  <c r="B353" i="1"/>
  <c r="A353" i="1"/>
  <c r="N352" i="1"/>
  <c r="M352" i="1"/>
  <c r="L352" i="1"/>
  <c r="K352" i="1"/>
  <c r="J352" i="1"/>
  <c r="I352" i="1"/>
  <c r="H352" i="1"/>
  <c r="G352" i="1"/>
  <c r="F352" i="1"/>
  <c r="E352" i="1"/>
  <c r="D352" i="1"/>
  <c r="C352" i="1"/>
  <c r="B352" i="1"/>
  <c r="A352" i="1"/>
  <c r="N351" i="1"/>
  <c r="M351" i="1"/>
  <c r="L351" i="1"/>
  <c r="K351" i="1"/>
  <c r="J351" i="1"/>
  <c r="I351" i="1"/>
  <c r="H351" i="1"/>
  <c r="G351" i="1"/>
  <c r="F351" i="1"/>
  <c r="E351" i="1"/>
  <c r="D351" i="1"/>
  <c r="C351" i="1"/>
  <c r="B351" i="1"/>
  <c r="A351" i="1"/>
  <c r="N350" i="1"/>
  <c r="M350" i="1"/>
  <c r="L350" i="1"/>
  <c r="K350" i="1"/>
  <c r="J350" i="1"/>
  <c r="I350" i="1"/>
  <c r="H350" i="1"/>
  <c r="G350" i="1"/>
  <c r="F350" i="1"/>
  <c r="E350" i="1"/>
  <c r="D350" i="1"/>
  <c r="C350" i="1"/>
  <c r="B350" i="1"/>
  <c r="A350" i="1"/>
  <c r="N349" i="1"/>
  <c r="M349" i="1"/>
  <c r="L349" i="1"/>
  <c r="K349" i="1"/>
  <c r="J349" i="1"/>
  <c r="I349" i="1"/>
  <c r="H349" i="1"/>
  <c r="G349" i="1"/>
  <c r="F349" i="1"/>
  <c r="E349" i="1"/>
  <c r="D349" i="1"/>
  <c r="C349" i="1"/>
  <c r="B349" i="1"/>
  <c r="A349" i="1"/>
  <c r="N348" i="1"/>
  <c r="M348" i="1"/>
  <c r="L348" i="1"/>
  <c r="K348" i="1"/>
  <c r="J348" i="1"/>
  <c r="I348" i="1"/>
  <c r="H348" i="1"/>
  <c r="G348" i="1"/>
  <c r="F348" i="1"/>
  <c r="E348" i="1"/>
  <c r="D348" i="1"/>
  <c r="C348" i="1"/>
  <c r="B348" i="1"/>
  <c r="A348" i="1"/>
  <c r="N347" i="1"/>
  <c r="M347" i="1"/>
  <c r="L347" i="1"/>
  <c r="K347" i="1"/>
  <c r="J347" i="1"/>
  <c r="I347" i="1"/>
  <c r="H347" i="1"/>
  <c r="G347" i="1"/>
  <c r="F347" i="1"/>
  <c r="E347" i="1"/>
  <c r="D347" i="1"/>
  <c r="C347" i="1"/>
  <c r="B347" i="1"/>
  <c r="A347" i="1"/>
  <c r="N346" i="1"/>
  <c r="M346" i="1"/>
  <c r="L346" i="1"/>
  <c r="K346" i="1"/>
  <c r="J346" i="1"/>
  <c r="I346" i="1"/>
  <c r="H346" i="1"/>
  <c r="G346" i="1"/>
  <c r="F346" i="1"/>
  <c r="E346" i="1"/>
  <c r="D346" i="1"/>
  <c r="C346" i="1"/>
  <c r="B346" i="1"/>
  <c r="A346" i="1"/>
  <c r="N345" i="1"/>
  <c r="M345" i="1"/>
  <c r="L345" i="1"/>
  <c r="K345" i="1"/>
  <c r="J345" i="1"/>
  <c r="I345" i="1"/>
  <c r="H345" i="1"/>
  <c r="G345" i="1"/>
  <c r="F345" i="1"/>
  <c r="E345" i="1"/>
  <c r="D345" i="1"/>
  <c r="C345" i="1"/>
  <c r="B345" i="1"/>
  <c r="A345" i="1"/>
  <c r="N344" i="1"/>
  <c r="M344" i="1"/>
  <c r="L344" i="1"/>
  <c r="K344" i="1"/>
  <c r="J344" i="1"/>
  <c r="I344" i="1"/>
  <c r="H344" i="1"/>
  <c r="G344" i="1"/>
  <c r="F344" i="1"/>
  <c r="E344" i="1"/>
  <c r="D344" i="1"/>
  <c r="C344" i="1"/>
  <c r="B344" i="1"/>
  <c r="A344" i="1"/>
  <c r="N343" i="1"/>
  <c r="M343" i="1"/>
  <c r="L343" i="1"/>
  <c r="K343" i="1"/>
  <c r="J343" i="1"/>
  <c r="I343" i="1"/>
  <c r="H343" i="1"/>
  <c r="G343" i="1"/>
  <c r="F343" i="1"/>
  <c r="E343" i="1"/>
  <c r="D343" i="1"/>
  <c r="C343" i="1"/>
  <c r="B343" i="1"/>
  <c r="A343" i="1"/>
  <c r="N342" i="1"/>
  <c r="M342" i="1"/>
  <c r="L342" i="1"/>
  <c r="K342" i="1"/>
  <c r="J342" i="1"/>
  <c r="I342" i="1"/>
  <c r="H342" i="1"/>
  <c r="G342" i="1"/>
  <c r="F342" i="1"/>
  <c r="E342" i="1"/>
  <c r="D342" i="1"/>
  <c r="C342" i="1"/>
  <c r="B342" i="1"/>
  <c r="A342" i="1"/>
  <c r="N341" i="1"/>
  <c r="M341" i="1"/>
  <c r="L341" i="1"/>
  <c r="K341" i="1"/>
  <c r="J341" i="1"/>
  <c r="I341" i="1"/>
  <c r="H341" i="1"/>
  <c r="G341" i="1"/>
  <c r="F341" i="1"/>
  <c r="E341" i="1"/>
  <c r="D341" i="1"/>
  <c r="C341" i="1"/>
  <c r="B341" i="1"/>
  <c r="A341" i="1"/>
  <c r="N340" i="1"/>
  <c r="M340" i="1"/>
  <c r="L340" i="1"/>
  <c r="K340" i="1"/>
  <c r="J340" i="1"/>
  <c r="I340" i="1"/>
  <c r="H340" i="1"/>
  <c r="G340" i="1"/>
  <c r="F340" i="1"/>
  <c r="E340" i="1"/>
  <c r="D340" i="1"/>
  <c r="C340" i="1"/>
  <c r="B340" i="1"/>
  <c r="A340" i="1"/>
  <c r="N339" i="1"/>
  <c r="M339" i="1"/>
  <c r="L339" i="1"/>
  <c r="K339" i="1"/>
  <c r="J339" i="1"/>
  <c r="I339" i="1"/>
  <c r="H339" i="1"/>
  <c r="G339" i="1"/>
  <c r="F339" i="1"/>
  <c r="E339" i="1"/>
  <c r="D339" i="1"/>
  <c r="C339" i="1"/>
  <c r="B339" i="1"/>
  <c r="A339" i="1"/>
  <c r="N338" i="1"/>
  <c r="M338" i="1"/>
  <c r="L338" i="1"/>
  <c r="K338" i="1"/>
  <c r="J338" i="1"/>
  <c r="I338" i="1"/>
  <c r="H338" i="1"/>
  <c r="G338" i="1"/>
  <c r="F338" i="1"/>
  <c r="E338" i="1"/>
  <c r="D338" i="1"/>
  <c r="C338" i="1"/>
  <c r="B338" i="1"/>
  <c r="A338" i="1"/>
  <c r="N337" i="1"/>
  <c r="M337" i="1"/>
  <c r="L337" i="1"/>
  <c r="K337" i="1"/>
  <c r="J337" i="1"/>
  <c r="I337" i="1"/>
  <c r="H337" i="1"/>
  <c r="G337" i="1"/>
  <c r="F337" i="1"/>
  <c r="E337" i="1"/>
  <c r="D337" i="1"/>
  <c r="C337" i="1"/>
  <c r="B337" i="1"/>
  <c r="A337" i="1"/>
  <c r="N336" i="1"/>
  <c r="M336" i="1"/>
  <c r="L336" i="1"/>
  <c r="K336" i="1"/>
  <c r="J336" i="1"/>
  <c r="I336" i="1"/>
  <c r="H336" i="1"/>
  <c r="G336" i="1"/>
  <c r="F336" i="1"/>
  <c r="E336" i="1"/>
  <c r="D336" i="1"/>
  <c r="C336" i="1"/>
  <c r="B336" i="1"/>
  <c r="A336" i="1"/>
  <c r="N335" i="1"/>
  <c r="M335" i="1"/>
  <c r="L335" i="1"/>
  <c r="K335" i="1"/>
  <c r="J335" i="1"/>
  <c r="I335" i="1"/>
  <c r="H335" i="1"/>
  <c r="G335" i="1"/>
  <c r="F335" i="1"/>
  <c r="E335" i="1"/>
  <c r="D335" i="1"/>
  <c r="C335" i="1"/>
  <c r="B335" i="1"/>
  <c r="A335" i="1"/>
  <c r="N334" i="1"/>
  <c r="M334" i="1"/>
  <c r="L334" i="1"/>
  <c r="K334" i="1"/>
  <c r="J334" i="1"/>
  <c r="I334" i="1"/>
  <c r="H334" i="1"/>
  <c r="G334" i="1"/>
  <c r="F334" i="1"/>
  <c r="E334" i="1"/>
  <c r="D334" i="1"/>
  <c r="C334" i="1"/>
  <c r="B334" i="1"/>
  <c r="A334" i="1"/>
  <c r="N333" i="1"/>
  <c r="M333" i="1"/>
  <c r="L333" i="1"/>
  <c r="K333" i="1"/>
  <c r="J333" i="1"/>
  <c r="I333" i="1"/>
  <c r="H333" i="1"/>
  <c r="G333" i="1"/>
  <c r="F333" i="1"/>
  <c r="E333" i="1"/>
  <c r="D333" i="1"/>
  <c r="C333" i="1"/>
  <c r="B333" i="1"/>
  <c r="A333" i="1"/>
  <c r="N332" i="1"/>
  <c r="M332" i="1"/>
  <c r="L332" i="1"/>
  <c r="K332" i="1"/>
  <c r="J332" i="1"/>
  <c r="I332" i="1"/>
  <c r="H332" i="1"/>
  <c r="G332" i="1"/>
  <c r="F332" i="1"/>
  <c r="E332" i="1"/>
  <c r="D332" i="1"/>
  <c r="C332" i="1"/>
  <c r="B332" i="1"/>
  <c r="A332" i="1"/>
  <c r="N331" i="1"/>
  <c r="M331" i="1"/>
  <c r="L331" i="1"/>
  <c r="K331" i="1"/>
  <c r="J331" i="1"/>
  <c r="I331" i="1"/>
  <c r="H331" i="1"/>
  <c r="G331" i="1"/>
  <c r="F331" i="1"/>
  <c r="E331" i="1"/>
  <c r="D331" i="1"/>
  <c r="C331" i="1"/>
  <c r="B331" i="1"/>
  <c r="A331" i="1"/>
  <c r="N330" i="1"/>
  <c r="M330" i="1"/>
  <c r="L330" i="1"/>
  <c r="K330" i="1"/>
  <c r="J330" i="1"/>
  <c r="I330" i="1"/>
  <c r="H330" i="1"/>
  <c r="G330" i="1"/>
  <c r="F330" i="1"/>
  <c r="E330" i="1"/>
  <c r="D330" i="1"/>
  <c r="C330" i="1"/>
  <c r="B330" i="1"/>
  <c r="A330" i="1"/>
  <c r="N329" i="1"/>
  <c r="M329" i="1"/>
  <c r="L329" i="1"/>
  <c r="K329" i="1"/>
  <c r="J329" i="1"/>
  <c r="I329" i="1"/>
  <c r="H329" i="1"/>
  <c r="G329" i="1"/>
  <c r="F329" i="1"/>
  <c r="E329" i="1"/>
  <c r="D329" i="1"/>
  <c r="C329" i="1"/>
  <c r="B329" i="1"/>
  <c r="A329" i="1"/>
  <c r="N328" i="1"/>
  <c r="M328" i="1"/>
  <c r="L328" i="1"/>
  <c r="K328" i="1"/>
  <c r="J328" i="1"/>
  <c r="I328" i="1"/>
  <c r="H328" i="1"/>
  <c r="G328" i="1"/>
  <c r="F328" i="1"/>
  <c r="E328" i="1"/>
  <c r="D328" i="1"/>
  <c r="C328" i="1"/>
  <c r="B328" i="1"/>
  <c r="A328" i="1"/>
  <c r="N327" i="1"/>
  <c r="M327" i="1"/>
  <c r="L327" i="1"/>
  <c r="K327" i="1"/>
  <c r="J327" i="1"/>
  <c r="I327" i="1"/>
  <c r="H327" i="1"/>
  <c r="G327" i="1"/>
  <c r="F327" i="1"/>
  <c r="E327" i="1"/>
  <c r="D327" i="1"/>
  <c r="C327" i="1"/>
  <c r="B327" i="1"/>
  <c r="A327" i="1"/>
  <c r="N326" i="1"/>
  <c r="M326" i="1"/>
  <c r="L326" i="1"/>
  <c r="K326" i="1"/>
  <c r="J326" i="1"/>
  <c r="I326" i="1"/>
  <c r="H326" i="1"/>
  <c r="G326" i="1"/>
  <c r="F326" i="1"/>
  <c r="E326" i="1"/>
  <c r="D326" i="1"/>
  <c r="C326" i="1"/>
  <c r="B326" i="1"/>
  <c r="A326" i="1"/>
  <c r="N325" i="1"/>
  <c r="M325" i="1"/>
  <c r="L325" i="1"/>
  <c r="K325" i="1"/>
  <c r="J325" i="1"/>
  <c r="I325" i="1"/>
  <c r="H325" i="1"/>
  <c r="G325" i="1"/>
  <c r="F325" i="1"/>
  <c r="E325" i="1"/>
  <c r="D325" i="1"/>
  <c r="C325" i="1"/>
  <c r="B325" i="1"/>
  <c r="A325" i="1"/>
  <c r="N324" i="1"/>
  <c r="M324" i="1"/>
  <c r="L324" i="1"/>
  <c r="K324" i="1"/>
  <c r="J324" i="1"/>
  <c r="I324" i="1"/>
  <c r="H324" i="1"/>
  <c r="G324" i="1"/>
  <c r="F324" i="1"/>
  <c r="E324" i="1"/>
  <c r="D324" i="1"/>
  <c r="C324" i="1"/>
  <c r="B324" i="1"/>
  <c r="A324" i="1"/>
  <c r="N323" i="1"/>
  <c r="M323" i="1"/>
  <c r="L323" i="1"/>
  <c r="K323" i="1"/>
  <c r="J323" i="1"/>
  <c r="I323" i="1"/>
  <c r="H323" i="1"/>
  <c r="G323" i="1"/>
  <c r="F323" i="1"/>
  <c r="E323" i="1"/>
  <c r="D323" i="1"/>
  <c r="C323" i="1"/>
  <c r="B323" i="1"/>
  <c r="A323" i="1"/>
  <c r="N322" i="1"/>
  <c r="M322" i="1"/>
  <c r="L322" i="1"/>
  <c r="K322" i="1"/>
  <c r="J322" i="1"/>
  <c r="I322" i="1"/>
  <c r="H322" i="1"/>
  <c r="G322" i="1"/>
  <c r="F322" i="1"/>
  <c r="E322" i="1"/>
  <c r="D322" i="1"/>
  <c r="C322" i="1"/>
  <c r="B322" i="1"/>
  <c r="A322" i="1"/>
  <c r="N321" i="1"/>
  <c r="M321" i="1"/>
  <c r="L321" i="1"/>
  <c r="K321" i="1"/>
  <c r="J321" i="1"/>
  <c r="I321" i="1"/>
  <c r="H321" i="1"/>
  <c r="G321" i="1"/>
  <c r="F321" i="1"/>
  <c r="E321" i="1"/>
  <c r="D321" i="1"/>
  <c r="C321" i="1"/>
  <c r="B321" i="1"/>
  <c r="A321" i="1"/>
  <c r="N320" i="1"/>
  <c r="M320" i="1"/>
  <c r="L320" i="1"/>
  <c r="K320" i="1"/>
  <c r="J320" i="1"/>
  <c r="I320" i="1"/>
  <c r="H320" i="1"/>
  <c r="G320" i="1"/>
  <c r="F320" i="1"/>
  <c r="E320" i="1"/>
  <c r="D320" i="1"/>
  <c r="C320" i="1"/>
  <c r="B320" i="1"/>
  <c r="A320" i="1"/>
  <c r="N319" i="1"/>
  <c r="M319" i="1"/>
  <c r="L319" i="1"/>
  <c r="K319" i="1"/>
  <c r="J319" i="1"/>
  <c r="I319" i="1"/>
  <c r="H319" i="1"/>
  <c r="G319" i="1"/>
  <c r="F319" i="1"/>
  <c r="E319" i="1"/>
  <c r="D319" i="1"/>
  <c r="C319" i="1"/>
  <c r="B319" i="1"/>
  <c r="A319" i="1"/>
  <c r="N318" i="1"/>
  <c r="M318" i="1"/>
  <c r="L318" i="1"/>
  <c r="K318" i="1"/>
  <c r="J318" i="1"/>
  <c r="I318" i="1"/>
  <c r="H318" i="1"/>
  <c r="G318" i="1"/>
  <c r="F318" i="1"/>
  <c r="E318" i="1"/>
  <c r="D318" i="1"/>
  <c r="C318" i="1"/>
  <c r="B318" i="1"/>
  <c r="A318" i="1"/>
  <c r="N317" i="1"/>
  <c r="M317" i="1"/>
  <c r="L317" i="1"/>
  <c r="K317" i="1"/>
  <c r="J317" i="1"/>
  <c r="I317" i="1"/>
  <c r="H317" i="1"/>
  <c r="G317" i="1"/>
  <c r="F317" i="1"/>
  <c r="E317" i="1"/>
  <c r="D317" i="1"/>
  <c r="C317" i="1"/>
  <c r="B317" i="1"/>
  <c r="A317" i="1"/>
  <c r="N316" i="1"/>
  <c r="M316" i="1"/>
  <c r="L316" i="1"/>
  <c r="K316" i="1"/>
  <c r="J316" i="1"/>
  <c r="I316" i="1"/>
  <c r="H316" i="1"/>
  <c r="G316" i="1"/>
  <c r="F316" i="1"/>
  <c r="E316" i="1"/>
  <c r="D316" i="1"/>
  <c r="C316" i="1"/>
  <c r="B316" i="1"/>
  <c r="A316" i="1"/>
  <c r="N315" i="1"/>
  <c r="M315" i="1"/>
  <c r="L315" i="1"/>
  <c r="K315" i="1"/>
  <c r="J315" i="1"/>
  <c r="I315" i="1"/>
  <c r="H315" i="1"/>
  <c r="G315" i="1"/>
  <c r="F315" i="1"/>
  <c r="E315" i="1"/>
  <c r="D315" i="1"/>
  <c r="C315" i="1"/>
  <c r="B315" i="1"/>
  <c r="A315" i="1"/>
  <c r="N314" i="1"/>
  <c r="M314" i="1"/>
  <c r="L314" i="1"/>
  <c r="K314" i="1"/>
  <c r="J314" i="1"/>
  <c r="I314" i="1"/>
  <c r="H314" i="1"/>
  <c r="G314" i="1"/>
  <c r="F314" i="1"/>
  <c r="E314" i="1"/>
  <c r="D314" i="1"/>
  <c r="C314" i="1"/>
  <c r="B314" i="1"/>
  <c r="A314" i="1"/>
  <c r="N313" i="1"/>
  <c r="M313" i="1"/>
  <c r="L313" i="1"/>
  <c r="K313" i="1"/>
  <c r="J313" i="1"/>
  <c r="I313" i="1"/>
  <c r="H313" i="1"/>
  <c r="G313" i="1"/>
  <c r="F313" i="1"/>
  <c r="E313" i="1"/>
  <c r="D313" i="1"/>
  <c r="C313" i="1"/>
  <c r="B313" i="1"/>
  <c r="A313" i="1"/>
  <c r="N312" i="1"/>
  <c r="M312" i="1"/>
  <c r="L312" i="1"/>
  <c r="K312" i="1"/>
  <c r="J312" i="1"/>
  <c r="I312" i="1"/>
  <c r="H312" i="1"/>
  <c r="G312" i="1"/>
  <c r="F312" i="1"/>
  <c r="E312" i="1"/>
  <c r="D312" i="1"/>
  <c r="C312" i="1"/>
  <c r="B312" i="1"/>
  <c r="A312" i="1"/>
  <c r="N311" i="1"/>
  <c r="M311" i="1"/>
  <c r="L311" i="1"/>
  <c r="K311" i="1"/>
  <c r="J311" i="1"/>
  <c r="I311" i="1"/>
  <c r="H311" i="1"/>
  <c r="G311" i="1"/>
  <c r="F311" i="1"/>
  <c r="E311" i="1"/>
  <c r="D311" i="1"/>
  <c r="C311" i="1"/>
  <c r="B311" i="1"/>
  <c r="A311" i="1"/>
  <c r="N310" i="1"/>
  <c r="M310" i="1"/>
  <c r="L310" i="1"/>
  <c r="K310" i="1"/>
  <c r="J310" i="1"/>
  <c r="I310" i="1"/>
  <c r="H310" i="1"/>
  <c r="G310" i="1"/>
  <c r="F310" i="1"/>
  <c r="E310" i="1"/>
  <c r="D310" i="1"/>
  <c r="C310" i="1"/>
  <c r="B310" i="1"/>
  <c r="A310" i="1"/>
  <c r="N309" i="1"/>
  <c r="M309" i="1"/>
  <c r="L309" i="1"/>
  <c r="K309" i="1"/>
  <c r="J309" i="1"/>
  <c r="I309" i="1"/>
  <c r="H309" i="1"/>
  <c r="G309" i="1"/>
  <c r="F309" i="1"/>
  <c r="E309" i="1"/>
  <c r="D309" i="1"/>
  <c r="C309" i="1"/>
  <c r="B309" i="1"/>
  <c r="A309" i="1"/>
  <c r="N308" i="1"/>
  <c r="M308" i="1"/>
  <c r="L308" i="1"/>
  <c r="K308" i="1"/>
  <c r="J308" i="1"/>
  <c r="I308" i="1"/>
  <c r="H308" i="1"/>
  <c r="G308" i="1"/>
  <c r="F308" i="1"/>
  <c r="E308" i="1"/>
  <c r="D308" i="1"/>
  <c r="C308" i="1"/>
  <c r="B308" i="1"/>
  <c r="A308" i="1"/>
  <c r="N307" i="1"/>
  <c r="M307" i="1"/>
  <c r="L307" i="1"/>
  <c r="K307" i="1"/>
  <c r="J307" i="1"/>
  <c r="I307" i="1"/>
  <c r="H307" i="1"/>
  <c r="G307" i="1"/>
  <c r="F307" i="1"/>
  <c r="E307" i="1"/>
  <c r="D307" i="1"/>
  <c r="C307" i="1"/>
  <c r="B307" i="1"/>
  <c r="A307" i="1"/>
  <c r="N306" i="1"/>
  <c r="M306" i="1"/>
  <c r="L306" i="1"/>
  <c r="K306" i="1"/>
  <c r="J306" i="1"/>
  <c r="I306" i="1"/>
  <c r="H306" i="1"/>
  <c r="G306" i="1"/>
  <c r="F306" i="1"/>
  <c r="E306" i="1"/>
  <c r="D306" i="1"/>
  <c r="C306" i="1"/>
  <c r="B306" i="1"/>
  <c r="A306" i="1"/>
  <c r="N305" i="1"/>
  <c r="M305" i="1"/>
  <c r="L305" i="1"/>
  <c r="K305" i="1"/>
  <c r="J305" i="1"/>
  <c r="I305" i="1"/>
  <c r="H305" i="1"/>
  <c r="G305" i="1"/>
  <c r="F305" i="1"/>
  <c r="E305" i="1"/>
  <c r="D305" i="1"/>
  <c r="C305" i="1"/>
  <c r="B305" i="1"/>
  <c r="A305" i="1"/>
  <c r="N304" i="1"/>
  <c r="M304" i="1"/>
  <c r="L304" i="1"/>
  <c r="K304" i="1"/>
  <c r="J304" i="1"/>
  <c r="I304" i="1"/>
  <c r="H304" i="1"/>
  <c r="G304" i="1"/>
  <c r="F304" i="1"/>
  <c r="E304" i="1"/>
  <c r="D304" i="1"/>
  <c r="C304" i="1"/>
  <c r="B304" i="1"/>
  <c r="A304" i="1"/>
  <c r="N303" i="1"/>
  <c r="M303" i="1"/>
  <c r="L303" i="1"/>
  <c r="K303" i="1"/>
  <c r="J303" i="1"/>
  <c r="I303" i="1"/>
  <c r="H303" i="1"/>
  <c r="G303" i="1"/>
  <c r="F303" i="1"/>
  <c r="E303" i="1"/>
  <c r="D303" i="1"/>
  <c r="C303" i="1"/>
  <c r="B303" i="1"/>
  <c r="A303" i="1"/>
  <c r="N302" i="1"/>
  <c r="M302" i="1"/>
  <c r="L302" i="1"/>
  <c r="K302" i="1"/>
  <c r="J302" i="1"/>
  <c r="I302" i="1"/>
  <c r="H302" i="1"/>
  <c r="G302" i="1"/>
  <c r="F302" i="1"/>
  <c r="E302" i="1"/>
  <c r="D302" i="1"/>
  <c r="C302" i="1"/>
  <c r="B302" i="1"/>
  <c r="A302" i="1"/>
  <c r="N301" i="1"/>
  <c r="M301" i="1"/>
  <c r="L301" i="1"/>
  <c r="K301" i="1"/>
  <c r="J301" i="1"/>
  <c r="I301" i="1"/>
  <c r="H301" i="1"/>
  <c r="G301" i="1"/>
  <c r="F301" i="1"/>
  <c r="E301" i="1"/>
  <c r="D301" i="1"/>
  <c r="C301" i="1"/>
  <c r="B301" i="1"/>
  <c r="A301" i="1"/>
  <c r="N300" i="1"/>
  <c r="M300" i="1"/>
  <c r="L300" i="1"/>
  <c r="K300" i="1"/>
  <c r="J300" i="1"/>
  <c r="I300" i="1"/>
  <c r="H300" i="1"/>
  <c r="G300" i="1"/>
  <c r="F300" i="1"/>
  <c r="E300" i="1"/>
  <c r="D300" i="1"/>
  <c r="C300" i="1"/>
  <c r="B300" i="1"/>
  <c r="A300" i="1"/>
  <c r="N299" i="1"/>
  <c r="M299" i="1"/>
  <c r="L299" i="1"/>
  <c r="K299" i="1"/>
  <c r="J299" i="1"/>
  <c r="I299" i="1"/>
  <c r="H299" i="1"/>
  <c r="G299" i="1"/>
  <c r="F299" i="1"/>
  <c r="E299" i="1"/>
  <c r="D299" i="1"/>
  <c r="C299" i="1"/>
  <c r="B299" i="1"/>
  <c r="A299" i="1"/>
  <c r="N298" i="1"/>
  <c r="M298" i="1"/>
  <c r="L298" i="1"/>
  <c r="K298" i="1"/>
  <c r="J298" i="1"/>
  <c r="I298" i="1"/>
  <c r="H298" i="1"/>
  <c r="G298" i="1"/>
  <c r="F298" i="1"/>
  <c r="E298" i="1"/>
  <c r="D298" i="1"/>
  <c r="C298" i="1"/>
  <c r="B298" i="1"/>
  <c r="A298" i="1"/>
  <c r="N297" i="1"/>
  <c r="M297" i="1"/>
  <c r="L297" i="1"/>
  <c r="K297" i="1"/>
  <c r="J297" i="1"/>
  <c r="I297" i="1"/>
  <c r="H297" i="1"/>
  <c r="G297" i="1"/>
  <c r="F297" i="1"/>
  <c r="E297" i="1"/>
  <c r="D297" i="1"/>
  <c r="C297" i="1"/>
  <c r="B297" i="1"/>
  <c r="A297" i="1"/>
  <c r="N296" i="1"/>
  <c r="M296" i="1"/>
  <c r="L296" i="1"/>
  <c r="K296" i="1"/>
  <c r="J296" i="1"/>
  <c r="I296" i="1"/>
  <c r="H296" i="1"/>
  <c r="G296" i="1"/>
  <c r="F296" i="1"/>
  <c r="E296" i="1"/>
  <c r="D296" i="1"/>
  <c r="C296" i="1"/>
  <c r="B296" i="1"/>
  <c r="A296" i="1"/>
  <c r="N295" i="1"/>
  <c r="M295" i="1"/>
  <c r="L295" i="1"/>
  <c r="K295" i="1"/>
  <c r="J295" i="1"/>
  <c r="I295" i="1"/>
  <c r="H295" i="1"/>
  <c r="G295" i="1"/>
  <c r="F295" i="1"/>
  <c r="E295" i="1"/>
  <c r="D295" i="1"/>
  <c r="C295" i="1"/>
  <c r="B295" i="1"/>
  <c r="A295" i="1"/>
  <c r="N294" i="1"/>
  <c r="M294" i="1"/>
  <c r="L294" i="1"/>
  <c r="K294" i="1"/>
  <c r="J294" i="1"/>
  <c r="I294" i="1"/>
  <c r="H294" i="1"/>
  <c r="G294" i="1"/>
  <c r="F294" i="1"/>
  <c r="E294" i="1"/>
  <c r="D294" i="1"/>
  <c r="C294" i="1"/>
  <c r="B294" i="1"/>
  <c r="A294" i="1"/>
  <c r="N293" i="1"/>
  <c r="M293" i="1"/>
  <c r="L293" i="1"/>
  <c r="K293" i="1"/>
  <c r="J293" i="1"/>
  <c r="I293" i="1"/>
  <c r="H293" i="1"/>
  <c r="G293" i="1"/>
  <c r="F293" i="1"/>
  <c r="E293" i="1"/>
  <c r="D293" i="1"/>
  <c r="C293" i="1"/>
  <c r="B293" i="1"/>
  <c r="A293" i="1"/>
  <c r="N292" i="1"/>
  <c r="M292" i="1"/>
  <c r="L292" i="1"/>
  <c r="K292" i="1"/>
  <c r="J292" i="1"/>
  <c r="I292" i="1"/>
  <c r="H292" i="1"/>
  <c r="G292" i="1"/>
  <c r="F292" i="1"/>
  <c r="E292" i="1"/>
  <c r="D292" i="1"/>
  <c r="C292" i="1"/>
  <c r="B292" i="1"/>
  <c r="A292" i="1"/>
  <c r="N291" i="1"/>
  <c r="M291" i="1"/>
  <c r="L291" i="1"/>
  <c r="K291" i="1"/>
  <c r="J291" i="1"/>
  <c r="I291" i="1"/>
  <c r="H291" i="1"/>
  <c r="G291" i="1"/>
  <c r="F291" i="1"/>
  <c r="E291" i="1"/>
  <c r="D291" i="1"/>
  <c r="C291" i="1"/>
  <c r="B291" i="1"/>
  <c r="A291" i="1"/>
  <c r="N290" i="1"/>
  <c r="M290" i="1"/>
  <c r="L290" i="1"/>
  <c r="K290" i="1"/>
  <c r="J290" i="1"/>
  <c r="I290" i="1"/>
  <c r="H290" i="1"/>
  <c r="G290" i="1"/>
  <c r="F290" i="1"/>
  <c r="E290" i="1"/>
  <c r="D290" i="1"/>
  <c r="C290" i="1"/>
  <c r="B290" i="1"/>
  <c r="A290" i="1"/>
  <c r="N289" i="1"/>
  <c r="M289" i="1"/>
  <c r="L289" i="1"/>
  <c r="K289" i="1"/>
  <c r="J289" i="1"/>
  <c r="I289" i="1"/>
  <c r="H289" i="1"/>
  <c r="G289" i="1"/>
  <c r="F289" i="1"/>
  <c r="E289" i="1"/>
  <c r="D289" i="1"/>
  <c r="C289" i="1"/>
  <c r="B289" i="1"/>
  <c r="A289" i="1"/>
  <c r="N288" i="1"/>
  <c r="M288" i="1"/>
  <c r="L288" i="1"/>
  <c r="K288" i="1"/>
  <c r="J288" i="1"/>
  <c r="I288" i="1"/>
  <c r="H288" i="1"/>
  <c r="G288" i="1"/>
  <c r="F288" i="1"/>
  <c r="E288" i="1"/>
  <c r="D288" i="1"/>
  <c r="C288" i="1"/>
  <c r="B288" i="1"/>
  <c r="A288" i="1"/>
  <c r="N287" i="1"/>
  <c r="M287" i="1"/>
  <c r="L287" i="1"/>
  <c r="K287" i="1"/>
  <c r="J287" i="1"/>
  <c r="I287" i="1"/>
  <c r="H287" i="1"/>
  <c r="G287" i="1"/>
  <c r="F287" i="1"/>
  <c r="E287" i="1"/>
  <c r="D287" i="1"/>
  <c r="C287" i="1"/>
  <c r="B287" i="1"/>
  <c r="A287" i="1"/>
  <c r="N286" i="1"/>
  <c r="M286" i="1"/>
  <c r="L286" i="1"/>
  <c r="K286" i="1"/>
  <c r="J286" i="1"/>
  <c r="I286" i="1"/>
  <c r="H286" i="1"/>
  <c r="G286" i="1"/>
  <c r="F286" i="1"/>
  <c r="E286" i="1"/>
  <c r="D286" i="1"/>
  <c r="C286" i="1"/>
  <c r="B286" i="1"/>
  <c r="A286" i="1"/>
  <c r="N285" i="1"/>
  <c r="M285" i="1"/>
  <c r="L285" i="1"/>
  <c r="K285" i="1"/>
  <c r="J285" i="1"/>
  <c r="I285" i="1"/>
  <c r="H285" i="1"/>
  <c r="G285" i="1"/>
  <c r="F285" i="1"/>
  <c r="E285" i="1"/>
  <c r="D285" i="1"/>
  <c r="C285" i="1"/>
  <c r="B285" i="1"/>
  <c r="A285" i="1"/>
  <c r="N284" i="1"/>
  <c r="M284" i="1"/>
  <c r="L284" i="1"/>
  <c r="K284" i="1"/>
  <c r="J284" i="1"/>
  <c r="I284" i="1"/>
  <c r="H284" i="1"/>
  <c r="G284" i="1"/>
  <c r="F284" i="1"/>
  <c r="E284" i="1"/>
  <c r="D284" i="1"/>
  <c r="C284" i="1"/>
  <c r="B284" i="1"/>
  <c r="A284" i="1"/>
  <c r="N283" i="1"/>
  <c r="M283" i="1"/>
  <c r="L283" i="1"/>
  <c r="K283" i="1"/>
  <c r="J283" i="1"/>
  <c r="I283" i="1"/>
  <c r="H283" i="1"/>
  <c r="G283" i="1"/>
  <c r="F283" i="1"/>
  <c r="E283" i="1"/>
  <c r="D283" i="1"/>
  <c r="C283" i="1"/>
  <c r="B283" i="1"/>
  <c r="A283" i="1"/>
  <c r="N282" i="1"/>
  <c r="M282" i="1"/>
  <c r="L282" i="1"/>
  <c r="K282" i="1"/>
  <c r="J282" i="1"/>
  <c r="I282" i="1"/>
  <c r="H282" i="1"/>
  <c r="G282" i="1"/>
  <c r="F282" i="1"/>
  <c r="E282" i="1"/>
  <c r="D282" i="1"/>
  <c r="C282" i="1"/>
  <c r="B282" i="1"/>
  <c r="A282" i="1"/>
  <c r="N281" i="1"/>
  <c r="M281" i="1"/>
  <c r="L281" i="1"/>
  <c r="K281" i="1"/>
  <c r="J281" i="1"/>
  <c r="I281" i="1"/>
  <c r="H281" i="1"/>
  <c r="G281" i="1"/>
  <c r="F281" i="1"/>
  <c r="E281" i="1"/>
  <c r="D281" i="1"/>
  <c r="C281" i="1"/>
  <c r="B281" i="1"/>
  <c r="A281" i="1"/>
  <c r="N280" i="1"/>
  <c r="M280" i="1"/>
  <c r="L280" i="1"/>
  <c r="K280" i="1"/>
  <c r="J280" i="1"/>
  <c r="I280" i="1"/>
  <c r="H280" i="1"/>
  <c r="G280" i="1"/>
  <c r="F280" i="1"/>
  <c r="E280" i="1"/>
  <c r="D280" i="1"/>
  <c r="C280" i="1"/>
  <c r="B280" i="1"/>
  <c r="A280" i="1"/>
  <c r="N279" i="1"/>
  <c r="M279" i="1"/>
  <c r="L279" i="1"/>
  <c r="K279" i="1"/>
  <c r="J279" i="1"/>
  <c r="I279" i="1"/>
  <c r="H279" i="1"/>
  <c r="G279" i="1"/>
  <c r="F279" i="1"/>
  <c r="E279" i="1"/>
  <c r="D279" i="1"/>
  <c r="C279" i="1"/>
  <c r="B279" i="1"/>
  <c r="A279" i="1"/>
  <c r="N278" i="1"/>
  <c r="M278" i="1"/>
  <c r="L278" i="1"/>
  <c r="K278" i="1"/>
  <c r="J278" i="1"/>
  <c r="I278" i="1"/>
  <c r="H278" i="1"/>
  <c r="G278" i="1"/>
  <c r="F278" i="1"/>
  <c r="E278" i="1"/>
  <c r="D278" i="1"/>
  <c r="C278" i="1"/>
  <c r="B278" i="1"/>
  <c r="A278" i="1"/>
  <c r="N277" i="1"/>
  <c r="M277" i="1"/>
  <c r="L277" i="1"/>
  <c r="K277" i="1"/>
  <c r="J277" i="1"/>
  <c r="I277" i="1"/>
  <c r="H277" i="1"/>
  <c r="G277" i="1"/>
  <c r="F277" i="1"/>
  <c r="E277" i="1"/>
  <c r="D277" i="1"/>
  <c r="C277" i="1"/>
  <c r="B277" i="1"/>
  <c r="A277" i="1"/>
  <c r="N276" i="1"/>
  <c r="M276" i="1"/>
  <c r="L276" i="1"/>
  <c r="K276" i="1"/>
  <c r="J276" i="1"/>
  <c r="I276" i="1"/>
  <c r="H276" i="1"/>
  <c r="G276" i="1"/>
  <c r="F276" i="1"/>
  <c r="E276" i="1"/>
  <c r="D276" i="1"/>
  <c r="C276" i="1"/>
  <c r="B276" i="1"/>
  <c r="A276" i="1"/>
  <c r="N275" i="1"/>
  <c r="M275" i="1"/>
  <c r="L275" i="1"/>
  <c r="K275" i="1"/>
  <c r="J275" i="1"/>
  <c r="I275" i="1"/>
  <c r="H275" i="1"/>
  <c r="G275" i="1"/>
  <c r="F275" i="1"/>
  <c r="E275" i="1"/>
  <c r="D275" i="1"/>
  <c r="C275" i="1"/>
  <c r="B275" i="1"/>
  <c r="A275" i="1"/>
  <c r="N274" i="1"/>
  <c r="M274" i="1"/>
  <c r="L274" i="1"/>
  <c r="K274" i="1"/>
  <c r="J274" i="1"/>
  <c r="I274" i="1"/>
  <c r="H274" i="1"/>
  <c r="G274" i="1"/>
  <c r="F274" i="1"/>
  <c r="E274" i="1"/>
  <c r="D274" i="1"/>
  <c r="C274" i="1"/>
  <c r="B274" i="1"/>
  <c r="A274" i="1"/>
  <c r="N273" i="1"/>
  <c r="M273" i="1"/>
  <c r="L273" i="1"/>
  <c r="K273" i="1"/>
  <c r="J273" i="1"/>
  <c r="I273" i="1"/>
  <c r="H273" i="1"/>
  <c r="G273" i="1"/>
  <c r="F273" i="1"/>
  <c r="E273" i="1"/>
  <c r="D273" i="1"/>
  <c r="C273" i="1"/>
  <c r="B273" i="1"/>
  <c r="A273" i="1"/>
  <c r="N272" i="1"/>
  <c r="M272" i="1"/>
  <c r="L272" i="1"/>
  <c r="K272" i="1"/>
  <c r="J272" i="1"/>
  <c r="I272" i="1"/>
  <c r="H272" i="1"/>
  <c r="G272" i="1"/>
  <c r="F272" i="1"/>
  <c r="E272" i="1"/>
  <c r="D272" i="1"/>
  <c r="C272" i="1"/>
  <c r="B272" i="1"/>
  <c r="A272" i="1"/>
  <c r="N271" i="1"/>
  <c r="M271" i="1"/>
  <c r="L271" i="1"/>
  <c r="K271" i="1"/>
  <c r="J271" i="1"/>
  <c r="I271" i="1"/>
  <c r="H271" i="1"/>
  <c r="G271" i="1"/>
  <c r="F271" i="1"/>
  <c r="E271" i="1"/>
  <c r="D271" i="1"/>
  <c r="C271" i="1"/>
  <c r="B271" i="1"/>
  <c r="A271" i="1"/>
  <c r="N270" i="1"/>
  <c r="M270" i="1"/>
  <c r="L270" i="1"/>
  <c r="K270" i="1"/>
  <c r="J270" i="1"/>
  <c r="I270" i="1"/>
  <c r="H270" i="1"/>
  <c r="G270" i="1"/>
  <c r="F270" i="1"/>
  <c r="E270" i="1"/>
  <c r="D270" i="1"/>
  <c r="C270" i="1"/>
  <c r="B270" i="1"/>
  <c r="A270" i="1"/>
  <c r="N269" i="1"/>
  <c r="M269" i="1"/>
  <c r="L269" i="1"/>
  <c r="K269" i="1"/>
  <c r="J269" i="1"/>
  <c r="I269" i="1"/>
  <c r="H269" i="1"/>
  <c r="G269" i="1"/>
  <c r="F269" i="1"/>
  <c r="E269" i="1"/>
  <c r="D269" i="1"/>
  <c r="C269" i="1"/>
  <c r="B269" i="1"/>
  <c r="A269" i="1"/>
  <c r="N268" i="1"/>
  <c r="M268" i="1"/>
  <c r="L268" i="1"/>
  <c r="K268" i="1"/>
  <c r="J268" i="1"/>
  <c r="I268" i="1"/>
  <c r="H268" i="1"/>
  <c r="G268" i="1"/>
  <c r="F268" i="1"/>
  <c r="E268" i="1"/>
  <c r="D268" i="1"/>
  <c r="C268" i="1"/>
  <c r="B268" i="1"/>
  <c r="A268" i="1"/>
  <c r="N267" i="1"/>
  <c r="M267" i="1"/>
  <c r="L267" i="1"/>
  <c r="K267" i="1"/>
  <c r="J267" i="1"/>
  <c r="I267" i="1"/>
  <c r="H267" i="1"/>
  <c r="G267" i="1"/>
  <c r="F267" i="1"/>
  <c r="E267" i="1"/>
  <c r="D267" i="1"/>
  <c r="C267" i="1"/>
  <c r="B267" i="1"/>
  <c r="A267" i="1"/>
  <c r="N266" i="1"/>
  <c r="M266" i="1"/>
  <c r="L266" i="1"/>
  <c r="K266" i="1"/>
  <c r="J266" i="1"/>
  <c r="I266" i="1"/>
  <c r="H266" i="1"/>
  <c r="G266" i="1"/>
  <c r="F266" i="1"/>
  <c r="E266" i="1"/>
  <c r="D266" i="1"/>
  <c r="C266" i="1"/>
  <c r="B266" i="1"/>
  <c r="A266" i="1"/>
  <c r="N265" i="1"/>
  <c r="M265" i="1"/>
  <c r="L265" i="1"/>
  <c r="K265" i="1"/>
  <c r="J265" i="1"/>
  <c r="I265" i="1"/>
  <c r="H265" i="1"/>
  <c r="G265" i="1"/>
  <c r="F265" i="1"/>
  <c r="E265" i="1"/>
  <c r="D265" i="1"/>
  <c r="C265" i="1"/>
  <c r="B265" i="1"/>
  <c r="A265" i="1"/>
  <c r="N264" i="1"/>
  <c r="M264" i="1"/>
  <c r="L264" i="1"/>
  <c r="K264" i="1"/>
  <c r="J264" i="1"/>
  <c r="I264" i="1"/>
  <c r="H264" i="1"/>
  <c r="G264" i="1"/>
  <c r="F264" i="1"/>
  <c r="E264" i="1"/>
  <c r="D264" i="1"/>
  <c r="C264" i="1"/>
  <c r="B264" i="1"/>
  <c r="A264" i="1"/>
  <c r="N263" i="1"/>
  <c r="M263" i="1"/>
  <c r="L263" i="1"/>
  <c r="K263" i="1"/>
  <c r="J263" i="1"/>
  <c r="I263" i="1"/>
  <c r="H263" i="1"/>
  <c r="G263" i="1"/>
  <c r="F263" i="1"/>
  <c r="E263" i="1"/>
  <c r="D263" i="1"/>
  <c r="C263" i="1"/>
  <c r="B263" i="1"/>
  <c r="A263" i="1"/>
  <c r="N262" i="1"/>
  <c r="M262" i="1"/>
  <c r="L262" i="1"/>
  <c r="K262" i="1"/>
  <c r="J262" i="1"/>
  <c r="I262" i="1"/>
  <c r="H262" i="1"/>
  <c r="G262" i="1"/>
  <c r="F262" i="1"/>
  <c r="E262" i="1"/>
  <c r="D262" i="1"/>
  <c r="C262" i="1"/>
  <c r="B262" i="1"/>
  <c r="A262" i="1"/>
  <c r="N261" i="1"/>
  <c r="M261" i="1"/>
  <c r="L261" i="1"/>
  <c r="K261" i="1"/>
  <c r="J261" i="1"/>
  <c r="I261" i="1"/>
  <c r="H261" i="1"/>
  <c r="G261" i="1"/>
  <c r="F261" i="1"/>
  <c r="E261" i="1"/>
  <c r="D261" i="1"/>
  <c r="C261" i="1"/>
  <c r="B261" i="1"/>
  <c r="A261" i="1"/>
  <c r="N260" i="1"/>
  <c r="M260" i="1"/>
  <c r="L260" i="1"/>
  <c r="K260" i="1"/>
  <c r="J260" i="1"/>
  <c r="I260" i="1"/>
  <c r="H260" i="1"/>
  <c r="G260" i="1"/>
  <c r="F260" i="1"/>
  <c r="E260" i="1"/>
  <c r="D260" i="1"/>
  <c r="C260" i="1"/>
  <c r="B260" i="1"/>
  <c r="A260" i="1"/>
  <c r="N259" i="1"/>
  <c r="M259" i="1"/>
  <c r="L259" i="1"/>
  <c r="K259" i="1"/>
  <c r="J259" i="1"/>
  <c r="I259" i="1"/>
  <c r="H259" i="1"/>
  <c r="G259" i="1"/>
  <c r="F259" i="1"/>
  <c r="E259" i="1"/>
  <c r="D259" i="1"/>
  <c r="C259" i="1"/>
  <c r="B259" i="1"/>
  <c r="A259" i="1"/>
  <c r="N258" i="1"/>
  <c r="M258" i="1"/>
  <c r="L258" i="1"/>
  <c r="K258" i="1"/>
  <c r="J258" i="1"/>
  <c r="I258" i="1"/>
  <c r="H258" i="1"/>
  <c r="G258" i="1"/>
  <c r="F258" i="1"/>
  <c r="E258" i="1"/>
  <c r="D258" i="1"/>
  <c r="C258" i="1"/>
  <c r="B258" i="1"/>
  <c r="A258" i="1"/>
  <c r="N257" i="1"/>
  <c r="M257" i="1"/>
  <c r="L257" i="1"/>
  <c r="K257" i="1"/>
  <c r="J257" i="1"/>
  <c r="I257" i="1"/>
  <c r="H257" i="1"/>
  <c r="G257" i="1"/>
  <c r="F257" i="1"/>
  <c r="E257" i="1"/>
  <c r="D257" i="1"/>
  <c r="C257" i="1"/>
  <c r="B257" i="1"/>
  <c r="A257" i="1"/>
  <c r="N256" i="1"/>
  <c r="M256" i="1"/>
  <c r="L256" i="1"/>
  <c r="K256" i="1"/>
  <c r="J256" i="1"/>
  <c r="I256" i="1"/>
  <c r="H256" i="1"/>
  <c r="G256" i="1"/>
  <c r="F256" i="1"/>
  <c r="E256" i="1"/>
  <c r="D256" i="1"/>
  <c r="C256" i="1"/>
  <c r="B256" i="1"/>
  <c r="A256" i="1"/>
  <c r="N255" i="1"/>
  <c r="M255" i="1"/>
  <c r="L255" i="1"/>
  <c r="K255" i="1"/>
  <c r="J255" i="1"/>
  <c r="I255" i="1"/>
  <c r="H255" i="1"/>
  <c r="G255" i="1"/>
  <c r="F255" i="1"/>
  <c r="E255" i="1"/>
  <c r="D255" i="1"/>
  <c r="C255" i="1"/>
  <c r="B255" i="1"/>
  <c r="A255" i="1"/>
  <c r="N254" i="1"/>
  <c r="M254" i="1"/>
  <c r="L254" i="1"/>
  <c r="K254" i="1"/>
  <c r="J254" i="1"/>
  <c r="I254" i="1"/>
  <c r="H254" i="1"/>
  <c r="G254" i="1"/>
  <c r="F254" i="1"/>
  <c r="E254" i="1"/>
  <c r="D254" i="1"/>
  <c r="C254" i="1"/>
  <c r="B254" i="1"/>
  <c r="A254" i="1"/>
  <c r="N253" i="1"/>
  <c r="M253" i="1"/>
  <c r="L253" i="1"/>
  <c r="K253" i="1"/>
  <c r="J253" i="1"/>
  <c r="I253" i="1"/>
  <c r="H253" i="1"/>
  <c r="G253" i="1"/>
  <c r="F253" i="1"/>
  <c r="E253" i="1"/>
  <c r="D253" i="1"/>
  <c r="C253" i="1"/>
  <c r="B253" i="1"/>
  <c r="A253" i="1"/>
  <c r="N252" i="1"/>
  <c r="M252" i="1"/>
  <c r="L252" i="1"/>
  <c r="K252" i="1"/>
  <c r="J252" i="1"/>
  <c r="I252" i="1"/>
  <c r="H252" i="1"/>
  <c r="G252" i="1"/>
  <c r="F252" i="1"/>
  <c r="E252" i="1"/>
  <c r="D252" i="1"/>
  <c r="C252" i="1"/>
  <c r="B252" i="1"/>
  <c r="A252" i="1"/>
  <c r="N251" i="1"/>
  <c r="M251" i="1"/>
  <c r="L251" i="1"/>
  <c r="K251" i="1"/>
  <c r="J251" i="1"/>
  <c r="I251" i="1"/>
  <c r="H251" i="1"/>
  <c r="G251" i="1"/>
  <c r="F251" i="1"/>
  <c r="E251" i="1"/>
  <c r="D251" i="1"/>
  <c r="C251" i="1"/>
  <c r="B251" i="1"/>
  <c r="A251" i="1"/>
  <c r="N250" i="1"/>
  <c r="M250" i="1"/>
  <c r="L250" i="1"/>
  <c r="K250" i="1"/>
  <c r="J250" i="1"/>
  <c r="I250" i="1"/>
  <c r="H250" i="1"/>
  <c r="G250" i="1"/>
  <c r="F250" i="1"/>
  <c r="E250" i="1"/>
  <c r="D250" i="1"/>
  <c r="C250" i="1"/>
  <c r="B250" i="1"/>
  <c r="A250" i="1"/>
  <c r="N249" i="1"/>
  <c r="M249" i="1"/>
  <c r="L249" i="1"/>
  <c r="K249" i="1"/>
  <c r="J249" i="1"/>
  <c r="I249" i="1"/>
  <c r="H249" i="1"/>
  <c r="G249" i="1"/>
  <c r="F249" i="1"/>
  <c r="E249" i="1"/>
  <c r="D249" i="1"/>
  <c r="C249" i="1"/>
  <c r="B249" i="1"/>
  <c r="A249" i="1"/>
  <c r="N248" i="1"/>
  <c r="M248" i="1"/>
  <c r="L248" i="1"/>
  <c r="K248" i="1"/>
  <c r="J248" i="1"/>
  <c r="I248" i="1"/>
  <c r="H248" i="1"/>
  <c r="G248" i="1"/>
  <c r="F248" i="1"/>
  <c r="E248" i="1"/>
  <c r="D248" i="1"/>
  <c r="C248" i="1"/>
  <c r="B248" i="1"/>
  <c r="A248" i="1"/>
  <c r="N247" i="1"/>
  <c r="M247" i="1"/>
  <c r="L247" i="1"/>
  <c r="K247" i="1"/>
  <c r="J247" i="1"/>
  <c r="I247" i="1"/>
  <c r="H247" i="1"/>
  <c r="G247" i="1"/>
  <c r="F247" i="1"/>
  <c r="E247" i="1"/>
  <c r="D247" i="1"/>
  <c r="C247" i="1"/>
  <c r="B247" i="1"/>
  <c r="A247" i="1"/>
  <c r="N246" i="1"/>
  <c r="M246" i="1"/>
  <c r="L246" i="1"/>
  <c r="K246" i="1"/>
  <c r="J246" i="1"/>
  <c r="I246" i="1"/>
  <c r="H246" i="1"/>
  <c r="G246" i="1"/>
  <c r="F246" i="1"/>
  <c r="E246" i="1"/>
  <c r="D246" i="1"/>
  <c r="C246" i="1"/>
  <c r="B246" i="1"/>
  <c r="A246" i="1"/>
  <c r="N245" i="1"/>
  <c r="M245" i="1"/>
  <c r="L245" i="1"/>
  <c r="K245" i="1"/>
  <c r="J245" i="1"/>
  <c r="I245" i="1"/>
  <c r="H245" i="1"/>
  <c r="G245" i="1"/>
  <c r="F245" i="1"/>
  <c r="E245" i="1"/>
  <c r="D245" i="1"/>
  <c r="C245" i="1"/>
  <c r="B245" i="1"/>
  <c r="A245" i="1"/>
  <c r="N244" i="1"/>
  <c r="M244" i="1"/>
  <c r="L244" i="1"/>
  <c r="K244" i="1"/>
  <c r="J244" i="1"/>
  <c r="I244" i="1"/>
  <c r="H244" i="1"/>
  <c r="G244" i="1"/>
  <c r="F244" i="1"/>
  <c r="E244" i="1"/>
  <c r="D244" i="1"/>
  <c r="C244" i="1"/>
  <c r="B244" i="1"/>
  <c r="A244" i="1"/>
  <c r="N243" i="1"/>
  <c r="M243" i="1"/>
  <c r="L243" i="1"/>
  <c r="K243" i="1"/>
  <c r="J243" i="1"/>
  <c r="I243" i="1"/>
  <c r="H243" i="1"/>
  <c r="G243" i="1"/>
  <c r="F243" i="1"/>
  <c r="E243" i="1"/>
  <c r="D243" i="1"/>
  <c r="C243" i="1"/>
  <c r="B243" i="1"/>
  <c r="A243" i="1"/>
  <c r="N242" i="1"/>
  <c r="M242" i="1"/>
  <c r="L242" i="1"/>
  <c r="K242" i="1"/>
  <c r="J242" i="1"/>
  <c r="I242" i="1"/>
  <c r="H242" i="1"/>
  <c r="G242" i="1"/>
  <c r="F242" i="1"/>
  <c r="E242" i="1"/>
  <c r="D242" i="1"/>
  <c r="C242" i="1"/>
  <c r="B242" i="1"/>
  <c r="A242" i="1"/>
  <c r="N241" i="1"/>
  <c r="M241" i="1"/>
  <c r="L241" i="1"/>
  <c r="K241" i="1"/>
  <c r="J241" i="1"/>
  <c r="I241" i="1"/>
  <c r="H241" i="1"/>
  <c r="G241" i="1"/>
  <c r="F241" i="1"/>
  <c r="E241" i="1"/>
  <c r="D241" i="1"/>
  <c r="C241" i="1"/>
  <c r="B241" i="1"/>
  <c r="A241" i="1"/>
  <c r="N240" i="1"/>
  <c r="M240" i="1"/>
  <c r="L240" i="1"/>
  <c r="K240" i="1"/>
  <c r="J240" i="1"/>
  <c r="I240" i="1"/>
  <c r="H240" i="1"/>
  <c r="G240" i="1"/>
  <c r="F240" i="1"/>
  <c r="E240" i="1"/>
  <c r="D240" i="1"/>
  <c r="C240" i="1"/>
  <c r="B240" i="1"/>
  <c r="A240" i="1"/>
  <c r="N239" i="1"/>
  <c r="M239" i="1"/>
  <c r="L239" i="1"/>
  <c r="K239" i="1"/>
  <c r="J239" i="1"/>
  <c r="I239" i="1"/>
  <c r="H239" i="1"/>
  <c r="G239" i="1"/>
  <c r="F239" i="1"/>
  <c r="E239" i="1"/>
  <c r="D239" i="1"/>
  <c r="C239" i="1"/>
  <c r="B239" i="1"/>
  <c r="A239" i="1"/>
  <c r="N238" i="1"/>
  <c r="M238" i="1"/>
  <c r="L238" i="1"/>
  <c r="K238" i="1"/>
  <c r="J238" i="1"/>
  <c r="I238" i="1"/>
  <c r="H238" i="1"/>
  <c r="G238" i="1"/>
  <c r="F238" i="1"/>
  <c r="E238" i="1"/>
  <c r="D238" i="1"/>
  <c r="C238" i="1"/>
  <c r="B238" i="1"/>
  <c r="A238" i="1"/>
  <c r="N237" i="1"/>
  <c r="M237" i="1"/>
  <c r="L237" i="1"/>
  <c r="K237" i="1"/>
  <c r="J237" i="1"/>
  <c r="I237" i="1"/>
  <c r="H237" i="1"/>
  <c r="G237" i="1"/>
  <c r="F237" i="1"/>
  <c r="E237" i="1"/>
  <c r="D237" i="1"/>
  <c r="C237" i="1"/>
  <c r="B237" i="1"/>
  <c r="A237" i="1"/>
  <c r="N236" i="1"/>
  <c r="M236" i="1"/>
  <c r="L236" i="1"/>
  <c r="K236" i="1"/>
  <c r="J236" i="1"/>
  <c r="I236" i="1"/>
  <c r="H236" i="1"/>
  <c r="G236" i="1"/>
  <c r="F236" i="1"/>
  <c r="E236" i="1"/>
  <c r="D236" i="1"/>
  <c r="C236" i="1"/>
  <c r="B236" i="1"/>
  <c r="A236" i="1"/>
  <c r="N235" i="1"/>
  <c r="M235" i="1"/>
  <c r="L235" i="1"/>
  <c r="K235" i="1"/>
  <c r="J235" i="1"/>
  <c r="I235" i="1"/>
  <c r="H235" i="1"/>
  <c r="G235" i="1"/>
  <c r="F235" i="1"/>
  <c r="E235" i="1"/>
  <c r="D235" i="1"/>
  <c r="C235" i="1"/>
  <c r="B235" i="1"/>
  <c r="A235" i="1"/>
  <c r="N234" i="1"/>
  <c r="M234" i="1"/>
  <c r="L234" i="1"/>
  <c r="K234" i="1"/>
  <c r="J234" i="1"/>
  <c r="I234" i="1"/>
  <c r="H234" i="1"/>
  <c r="G234" i="1"/>
  <c r="F234" i="1"/>
  <c r="E234" i="1"/>
  <c r="D234" i="1"/>
  <c r="C234" i="1"/>
  <c r="B234" i="1"/>
  <c r="A234" i="1"/>
  <c r="N233" i="1"/>
  <c r="M233" i="1"/>
  <c r="L233" i="1"/>
  <c r="K233" i="1"/>
  <c r="J233" i="1"/>
  <c r="I233" i="1"/>
  <c r="H233" i="1"/>
  <c r="G233" i="1"/>
  <c r="F233" i="1"/>
  <c r="E233" i="1"/>
  <c r="D233" i="1"/>
  <c r="C233" i="1"/>
  <c r="B233" i="1"/>
  <c r="A233" i="1"/>
  <c r="N232" i="1"/>
  <c r="M232" i="1"/>
  <c r="L232" i="1"/>
  <c r="K232" i="1"/>
  <c r="J232" i="1"/>
  <c r="I232" i="1"/>
  <c r="H232" i="1"/>
  <c r="G232" i="1"/>
  <c r="F232" i="1"/>
  <c r="E232" i="1"/>
  <c r="D232" i="1"/>
  <c r="C232" i="1"/>
  <c r="B232" i="1"/>
  <c r="A232" i="1"/>
  <c r="N231" i="1"/>
  <c r="M231" i="1"/>
  <c r="L231" i="1"/>
  <c r="K231" i="1"/>
  <c r="J231" i="1"/>
  <c r="I231" i="1"/>
  <c r="H231" i="1"/>
  <c r="G231" i="1"/>
  <c r="F231" i="1"/>
  <c r="E231" i="1"/>
  <c r="D231" i="1"/>
  <c r="C231" i="1"/>
  <c r="B231" i="1"/>
  <c r="A231" i="1"/>
  <c r="N230" i="1"/>
  <c r="M230" i="1"/>
  <c r="L230" i="1"/>
  <c r="K230" i="1"/>
  <c r="J230" i="1"/>
  <c r="I230" i="1"/>
  <c r="H230" i="1"/>
  <c r="G230" i="1"/>
  <c r="F230" i="1"/>
  <c r="E230" i="1"/>
  <c r="D230" i="1"/>
  <c r="C230" i="1"/>
  <c r="B230" i="1"/>
  <c r="A230" i="1"/>
  <c r="N229" i="1"/>
  <c r="M229" i="1"/>
  <c r="L229" i="1"/>
  <c r="K229" i="1"/>
  <c r="J229" i="1"/>
  <c r="I229" i="1"/>
  <c r="H229" i="1"/>
  <c r="G229" i="1"/>
  <c r="F229" i="1"/>
  <c r="E229" i="1"/>
  <c r="D229" i="1"/>
  <c r="C229" i="1"/>
  <c r="B229" i="1"/>
  <c r="A229" i="1"/>
  <c r="N228" i="1"/>
  <c r="M228" i="1"/>
  <c r="L228" i="1"/>
  <c r="K228" i="1"/>
  <c r="J228" i="1"/>
  <c r="I228" i="1"/>
  <c r="H228" i="1"/>
  <c r="G228" i="1"/>
  <c r="F228" i="1"/>
  <c r="E228" i="1"/>
  <c r="D228" i="1"/>
  <c r="C228" i="1"/>
  <c r="B228" i="1"/>
  <c r="A228" i="1"/>
  <c r="N227" i="1"/>
  <c r="M227" i="1"/>
  <c r="L227" i="1"/>
  <c r="K227" i="1"/>
  <c r="J227" i="1"/>
  <c r="I227" i="1"/>
  <c r="H227" i="1"/>
  <c r="G227" i="1"/>
  <c r="F227" i="1"/>
  <c r="E227" i="1"/>
  <c r="D227" i="1"/>
  <c r="C227" i="1"/>
  <c r="B227" i="1"/>
  <c r="A227" i="1"/>
  <c r="N226" i="1"/>
  <c r="M226" i="1"/>
  <c r="L226" i="1"/>
  <c r="K226" i="1"/>
  <c r="J226" i="1"/>
  <c r="I226" i="1"/>
  <c r="H226" i="1"/>
  <c r="G226" i="1"/>
  <c r="F226" i="1"/>
  <c r="E226" i="1"/>
  <c r="D226" i="1"/>
  <c r="C226" i="1"/>
  <c r="B226" i="1"/>
  <c r="A226" i="1"/>
  <c r="N225" i="1"/>
  <c r="M225" i="1"/>
  <c r="L225" i="1"/>
  <c r="K225" i="1"/>
  <c r="J225" i="1"/>
  <c r="I225" i="1"/>
  <c r="H225" i="1"/>
  <c r="G225" i="1"/>
  <c r="F225" i="1"/>
  <c r="E225" i="1"/>
  <c r="D225" i="1"/>
  <c r="C225" i="1"/>
  <c r="B225" i="1"/>
  <c r="A225" i="1"/>
  <c r="N224" i="1"/>
  <c r="M224" i="1"/>
  <c r="L224" i="1"/>
  <c r="K224" i="1"/>
  <c r="J224" i="1"/>
  <c r="I224" i="1"/>
  <c r="H224" i="1"/>
  <c r="G224" i="1"/>
  <c r="F224" i="1"/>
  <c r="E224" i="1"/>
  <c r="D224" i="1"/>
  <c r="C224" i="1"/>
  <c r="B224" i="1"/>
  <c r="A224" i="1"/>
  <c r="N223" i="1"/>
  <c r="M223" i="1"/>
  <c r="L223" i="1"/>
  <c r="K223" i="1"/>
  <c r="J223" i="1"/>
  <c r="I223" i="1"/>
  <c r="H223" i="1"/>
  <c r="G223" i="1"/>
  <c r="F223" i="1"/>
  <c r="E223" i="1"/>
  <c r="D223" i="1"/>
  <c r="C223" i="1"/>
  <c r="B223" i="1"/>
  <c r="A223" i="1"/>
  <c r="N222" i="1"/>
  <c r="M222" i="1"/>
  <c r="L222" i="1"/>
  <c r="K222" i="1"/>
  <c r="J222" i="1"/>
  <c r="I222" i="1"/>
  <c r="H222" i="1"/>
  <c r="G222" i="1"/>
  <c r="F222" i="1"/>
  <c r="E222" i="1"/>
  <c r="D222" i="1"/>
  <c r="C222" i="1"/>
  <c r="B222" i="1"/>
  <c r="A222" i="1"/>
  <c r="N221" i="1"/>
  <c r="M221" i="1"/>
  <c r="L221" i="1"/>
  <c r="K221" i="1"/>
  <c r="J221" i="1"/>
  <c r="I221" i="1"/>
  <c r="H221" i="1"/>
  <c r="G221" i="1"/>
  <c r="F221" i="1"/>
  <c r="E221" i="1"/>
  <c r="D221" i="1"/>
  <c r="C221" i="1"/>
  <c r="B221" i="1"/>
  <c r="A221" i="1"/>
  <c r="N220" i="1"/>
  <c r="M220" i="1"/>
  <c r="L220" i="1"/>
  <c r="K220" i="1"/>
  <c r="J220" i="1"/>
  <c r="I220" i="1"/>
  <c r="H220" i="1"/>
  <c r="G220" i="1"/>
  <c r="F220" i="1"/>
  <c r="E220" i="1"/>
  <c r="D220" i="1"/>
  <c r="C220" i="1"/>
  <c r="B220" i="1"/>
  <c r="A220" i="1"/>
  <c r="N219" i="1"/>
  <c r="M219" i="1"/>
  <c r="L219" i="1"/>
  <c r="K219" i="1"/>
  <c r="J219" i="1"/>
  <c r="I219" i="1"/>
  <c r="H219" i="1"/>
  <c r="G219" i="1"/>
  <c r="F219" i="1"/>
  <c r="E219" i="1"/>
  <c r="D219" i="1"/>
  <c r="C219" i="1"/>
  <c r="B219" i="1"/>
  <c r="A219" i="1"/>
  <c r="N218" i="1"/>
  <c r="M218" i="1"/>
  <c r="L218" i="1"/>
  <c r="K218" i="1"/>
  <c r="J218" i="1"/>
  <c r="I218" i="1"/>
  <c r="H218" i="1"/>
  <c r="G218" i="1"/>
  <c r="F218" i="1"/>
  <c r="E218" i="1"/>
  <c r="D218" i="1"/>
  <c r="C218" i="1"/>
  <c r="B218" i="1"/>
  <c r="A218" i="1"/>
  <c r="N217" i="1"/>
  <c r="M217" i="1"/>
  <c r="L217" i="1"/>
  <c r="K217" i="1"/>
  <c r="J217" i="1"/>
  <c r="I217" i="1"/>
  <c r="H217" i="1"/>
  <c r="G217" i="1"/>
  <c r="F217" i="1"/>
  <c r="E217" i="1"/>
  <c r="D217" i="1"/>
  <c r="C217" i="1"/>
  <c r="B217" i="1"/>
  <c r="A217" i="1"/>
  <c r="N216" i="1"/>
  <c r="M216" i="1"/>
  <c r="L216" i="1"/>
  <c r="K216" i="1"/>
  <c r="J216" i="1"/>
  <c r="I216" i="1"/>
  <c r="H216" i="1"/>
  <c r="G216" i="1"/>
  <c r="F216" i="1"/>
  <c r="E216" i="1"/>
  <c r="D216" i="1"/>
  <c r="C216" i="1"/>
  <c r="B216" i="1"/>
  <c r="A216" i="1"/>
  <c r="N215" i="1"/>
  <c r="M215" i="1"/>
  <c r="L215" i="1"/>
  <c r="K215" i="1"/>
  <c r="J215" i="1"/>
  <c r="I215" i="1"/>
  <c r="H215" i="1"/>
  <c r="G215" i="1"/>
  <c r="F215" i="1"/>
  <c r="E215" i="1"/>
  <c r="D215" i="1"/>
  <c r="C215" i="1"/>
  <c r="B215" i="1"/>
  <c r="A215" i="1"/>
  <c r="N214" i="1"/>
  <c r="M214" i="1"/>
  <c r="L214" i="1"/>
  <c r="K214" i="1"/>
  <c r="J214" i="1"/>
  <c r="I214" i="1"/>
  <c r="H214" i="1"/>
  <c r="G214" i="1"/>
  <c r="F214" i="1"/>
  <c r="E214" i="1"/>
  <c r="D214" i="1"/>
  <c r="C214" i="1"/>
  <c r="B214" i="1"/>
  <c r="A214" i="1"/>
  <c r="N213" i="1"/>
  <c r="M213" i="1"/>
  <c r="L213" i="1"/>
  <c r="K213" i="1"/>
  <c r="J213" i="1"/>
  <c r="I213" i="1"/>
  <c r="H213" i="1"/>
  <c r="G213" i="1"/>
  <c r="F213" i="1"/>
  <c r="E213" i="1"/>
  <c r="D213" i="1"/>
  <c r="C213" i="1"/>
  <c r="B213" i="1"/>
  <c r="A213" i="1"/>
  <c r="N212" i="1"/>
  <c r="M212" i="1"/>
  <c r="L212" i="1"/>
  <c r="K212" i="1"/>
  <c r="J212" i="1"/>
  <c r="I212" i="1"/>
  <c r="H212" i="1"/>
  <c r="G212" i="1"/>
  <c r="F212" i="1"/>
  <c r="E212" i="1"/>
  <c r="D212" i="1"/>
  <c r="C212" i="1"/>
  <c r="B212" i="1"/>
  <c r="A212" i="1"/>
  <c r="N211" i="1"/>
  <c r="M211" i="1"/>
  <c r="L211" i="1"/>
  <c r="K211" i="1"/>
  <c r="J211" i="1"/>
  <c r="I211" i="1"/>
  <c r="H211" i="1"/>
  <c r="G211" i="1"/>
  <c r="F211" i="1"/>
  <c r="E211" i="1"/>
  <c r="D211" i="1"/>
  <c r="C211" i="1"/>
  <c r="B211" i="1"/>
  <c r="A211" i="1"/>
  <c r="N210" i="1"/>
  <c r="M210" i="1"/>
  <c r="L210" i="1"/>
  <c r="K210" i="1"/>
  <c r="J210" i="1"/>
  <c r="I210" i="1"/>
  <c r="H210" i="1"/>
  <c r="G210" i="1"/>
  <c r="F210" i="1"/>
  <c r="E210" i="1"/>
  <c r="D210" i="1"/>
  <c r="C210" i="1"/>
  <c r="B210" i="1"/>
  <c r="A210" i="1"/>
  <c r="N209" i="1"/>
  <c r="M209" i="1"/>
  <c r="L209" i="1"/>
  <c r="K209" i="1"/>
  <c r="J209" i="1"/>
  <c r="I209" i="1"/>
  <c r="H209" i="1"/>
  <c r="G209" i="1"/>
  <c r="F209" i="1"/>
  <c r="E209" i="1"/>
  <c r="D209" i="1"/>
  <c r="C209" i="1"/>
  <c r="B209" i="1"/>
  <c r="A209" i="1"/>
  <c r="N208" i="1"/>
  <c r="M208" i="1"/>
  <c r="L208" i="1"/>
  <c r="K208" i="1"/>
  <c r="J208" i="1"/>
  <c r="I208" i="1"/>
  <c r="H208" i="1"/>
  <c r="G208" i="1"/>
  <c r="F208" i="1"/>
  <c r="E208" i="1"/>
  <c r="D208" i="1"/>
  <c r="C208" i="1"/>
  <c r="B208" i="1"/>
  <c r="A208" i="1"/>
  <c r="N207" i="1"/>
  <c r="M207" i="1"/>
  <c r="L207" i="1"/>
  <c r="K207" i="1"/>
  <c r="J207" i="1"/>
  <c r="I207" i="1"/>
  <c r="H207" i="1"/>
  <c r="G207" i="1"/>
  <c r="F207" i="1"/>
  <c r="E207" i="1"/>
  <c r="D207" i="1"/>
  <c r="C207" i="1"/>
  <c r="B207" i="1"/>
  <c r="A207" i="1"/>
  <c r="N206" i="1"/>
  <c r="M206" i="1"/>
  <c r="L206" i="1"/>
  <c r="K206" i="1"/>
  <c r="J206" i="1"/>
  <c r="I206" i="1"/>
  <c r="H206" i="1"/>
  <c r="G206" i="1"/>
  <c r="F206" i="1"/>
  <c r="E206" i="1"/>
  <c r="D206" i="1"/>
  <c r="C206" i="1"/>
  <c r="B206" i="1"/>
  <c r="A206" i="1"/>
  <c r="N205" i="1"/>
  <c r="M205" i="1"/>
  <c r="L205" i="1"/>
  <c r="K205" i="1"/>
  <c r="J205" i="1"/>
  <c r="I205" i="1"/>
  <c r="H205" i="1"/>
  <c r="G205" i="1"/>
  <c r="F205" i="1"/>
  <c r="E205" i="1"/>
  <c r="D205" i="1"/>
  <c r="C205" i="1"/>
  <c r="B205" i="1"/>
  <c r="A205" i="1"/>
  <c r="N204" i="1"/>
  <c r="M204" i="1"/>
  <c r="L204" i="1"/>
  <c r="K204" i="1"/>
  <c r="J204" i="1"/>
  <c r="I204" i="1"/>
  <c r="H204" i="1"/>
  <c r="G204" i="1"/>
  <c r="F204" i="1"/>
  <c r="E204" i="1"/>
  <c r="D204" i="1"/>
  <c r="C204" i="1"/>
  <c r="B204" i="1"/>
  <c r="A204" i="1"/>
  <c r="N203" i="1"/>
  <c r="M203" i="1"/>
  <c r="L203" i="1"/>
  <c r="K203" i="1"/>
  <c r="J203" i="1"/>
  <c r="I203" i="1"/>
  <c r="H203" i="1"/>
  <c r="G203" i="1"/>
  <c r="F203" i="1"/>
  <c r="E203" i="1"/>
  <c r="D203" i="1"/>
  <c r="C203" i="1"/>
  <c r="B203" i="1"/>
  <c r="A203" i="1"/>
  <c r="N202" i="1"/>
  <c r="M202" i="1"/>
  <c r="L202" i="1"/>
  <c r="K202" i="1"/>
  <c r="J202" i="1"/>
  <c r="I202" i="1"/>
  <c r="H202" i="1"/>
  <c r="G202" i="1"/>
  <c r="F202" i="1"/>
  <c r="E202" i="1"/>
  <c r="D202" i="1"/>
  <c r="C202" i="1"/>
  <c r="B202" i="1"/>
  <c r="A202" i="1"/>
  <c r="N201" i="1"/>
  <c r="M201" i="1"/>
  <c r="L201" i="1"/>
  <c r="K201" i="1"/>
  <c r="J201" i="1"/>
  <c r="I201" i="1"/>
  <c r="H201" i="1"/>
  <c r="G201" i="1"/>
  <c r="F201" i="1"/>
  <c r="E201" i="1"/>
  <c r="D201" i="1"/>
  <c r="C201" i="1"/>
  <c r="B201" i="1"/>
  <c r="A201" i="1"/>
  <c r="N200" i="1"/>
  <c r="M200" i="1"/>
  <c r="L200" i="1"/>
  <c r="K200" i="1"/>
  <c r="J200" i="1"/>
  <c r="I200" i="1"/>
  <c r="H200" i="1"/>
  <c r="G200" i="1"/>
  <c r="F200" i="1"/>
  <c r="E200" i="1"/>
  <c r="D200" i="1"/>
  <c r="C200" i="1"/>
  <c r="B200" i="1"/>
  <c r="A200" i="1"/>
  <c r="N199" i="1"/>
  <c r="M199" i="1"/>
  <c r="L199" i="1"/>
  <c r="K199" i="1"/>
  <c r="J199" i="1"/>
  <c r="I199" i="1"/>
  <c r="H199" i="1"/>
  <c r="G199" i="1"/>
  <c r="F199" i="1"/>
  <c r="E199" i="1"/>
  <c r="D199" i="1"/>
  <c r="C199" i="1"/>
  <c r="B199" i="1"/>
  <c r="A199" i="1"/>
  <c r="N198" i="1"/>
  <c r="M198" i="1"/>
  <c r="L198" i="1"/>
  <c r="K198" i="1"/>
  <c r="J198" i="1"/>
  <c r="I198" i="1"/>
  <c r="H198" i="1"/>
  <c r="G198" i="1"/>
  <c r="F198" i="1"/>
  <c r="E198" i="1"/>
  <c r="D198" i="1"/>
  <c r="C198" i="1"/>
  <c r="B198" i="1"/>
  <c r="A198" i="1"/>
  <c r="N197" i="1"/>
  <c r="M197" i="1"/>
  <c r="L197" i="1"/>
  <c r="K197" i="1"/>
  <c r="J197" i="1"/>
  <c r="I197" i="1"/>
  <c r="H197" i="1"/>
  <c r="G197" i="1"/>
  <c r="F197" i="1"/>
  <c r="E197" i="1"/>
  <c r="D197" i="1"/>
  <c r="C197" i="1"/>
  <c r="B197" i="1"/>
  <c r="A197" i="1"/>
  <c r="N196" i="1"/>
  <c r="M196" i="1"/>
  <c r="L196" i="1"/>
  <c r="K196" i="1"/>
  <c r="J196" i="1"/>
  <c r="I196" i="1"/>
  <c r="H196" i="1"/>
  <c r="G196" i="1"/>
  <c r="F196" i="1"/>
  <c r="E196" i="1"/>
  <c r="D196" i="1"/>
  <c r="C196" i="1"/>
  <c r="B196" i="1"/>
  <c r="A196" i="1"/>
  <c r="N195" i="1"/>
  <c r="M195" i="1"/>
  <c r="L195" i="1"/>
  <c r="K195" i="1"/>
  <c r="J195" i="1"/>
  <c r="I195" i="1"/>
  <c r="H195" i="1"/>
  <c r="G195" i="1"/>
  <c r="F195" i="1"/>
  <c r="E195" i="1"/>
  <c r="D195" i="1"/>
  <c r="C195" i="1"/>
  <c r="B195" i="1"/>
  <c r="A195" i="1"/>
  <c r="N194" i="1"/>
  <c r="M194" i="1"/>
  <c r="L194" i="1"/>
  <c r="K194" i="1"/>
  <c r="J194" i="1"/>
  <c r="I194" i="1"/>
  <c r="H194" i="1"/>
  <c r="G194" i="1"/>
  <c r="F194" i="1"/>
  <c r="E194" i="1"/>
  <c r="D194" i="1"/>
  <c r="C194" i="1"/>
  <c r="B194" i="1"/>
  <c r="A194" i="1"/>
  <c r="N193" i="1"/>
  <c r="M193" i="1"/>
  <c r="L193" i="1"/>
  <c r="K193" i="1"/>
  <c r="J193" i="1"/>
  <c r="I193" i="1"/>
  <c r="H193" i="1"/>
  <c r="G193" i="1"/>
  <c r="F193" i="1"/>
  <c r="E193" i="1"/>
  <c r="D193" i="1"/>
  <c r="C193" i="1"/>
  <c r="B193" i="1"/>
  <c r="A193" i="1"/>
  <c r="N192" i="1"/>
  <c r="M192" i="1"/>
  <c r="L192" i="1"/>
  <c r="K192" i="1"/>
  <c r="J192" i="1"/>
  <c r="I192" i="1"/>
  <c r="H192" i="1"/>
  <c r="G192" i="1"/>
  <c r="F192" i="1"/>
  <c r="E192" i="1"/>
  <c r="D192" i="1"/>
  <c r="C192" i="1"/>
  <c r="B192" i="1"/>
  <c r="A192" i="1"/>
  <c r="N191" i="1"/>
  <c r="M191" i="1"/>
  <c r="L191" i="1"/>
  <c r="K191" i="1"/>
  <c r="J191" i="1"/>
  <c r="I191" i="1"/>
  <c r="H191" i="1"/>
  <c r="G191" i="1"/>
  <c r="F191" i="1"/>
  <c r="E191" i="1"/>
  <c r="D191" i="1"/>
  <c r="C191" i="1"/>
  <c r="B191" i="1"/>
  <c r="A191" i="1"/>
  <c r="N190" i="1"/>
  <c r="M190" i="1"/>
  <c r="L190" i="1"/>
  <c r="K190" i="1"/>
  <c r="J190" i="1"/>
  <c r="I190" i="1"/>
  <c r="H190" i="1"/>
  <c r="G190" i="1"/>
  <c r="F190" i="1"/>
  <c r="E190" i="1"/>
  <c r="D190" i="1"/>
  <c r="C190" i="1"/>
  <c r="B190" i="1"/>
  <c r="A190" i="1"/>
  <c r="N189" i="1"/>
  <c r="M189" i="1"/>
  <c r="L189" i="1"/>
  <c r="K189" i="1"/>
  <c r="J189" i="1"/>
  <c r="I189" i="1"/>
  <c r="H189" i="1"/>
  <c r="G189" i="1"/>
  <c r="F189" i="1"/>
  <c r="E189" i="1"/>
  <c r="D189" i="1"/>
  <c r="C189" i="1"/>
  <c r="B189" i="1"/>
  <c r="A189" i="1"/>
  <c r="N188" i="1"/>
  <c r="M188" i="1"/>
  <c r="L188" i="1"/>
  <c r="K188" i="1"/>
  <c r="J188" i="1"/>
  <c r="I188" i="1"/>
  <c r="H188" i="1"/>
  <c r="G188" i="1"/>
  <c r="F188" i="1"/>
  <c r="E188" i="1"/>
  <c r="D188" i="1"/>
  <c r="C188" i="1"/>
  <c r="B188" i="1"/>
  <c r="A188" i="1"/>
  <c r="N187" i="1"/>
  <c r="M187" i="1"/>
  <c r="L187" i="1"/>
  <c r="K187" i="1"/>
  <c r="J187" i="1"/>
  <c r="I187" i="1"/>
  <c r="H187" i="1"/>
  <c r="G187" i="1"/>
  <c r="F187" i="1"/>
  <c r="E187" i="1"/>
  <c r="D187" i="1"/>
  <c r="C187" i="1"/>
  <c r="B187" i="1"/>
  <c r="A187" i="1"/>
  <c r="N186" i="1"/>
  <c r="M186" i="1"/>
  <c r="L186" i="1"/>
  <c r="K186" i="1"/>
  <c r="J186" i="1"/>
  <c r="I186" i="1"/>
  <c r="H186" i="1"/>
  <c r="G186" i="1"/>
  <c r="F186" i="1"/>
  <c r="E186" i="1"/>
  <c r="D186" i="1"/>
  <c r="C186" i="1"/>
  <c r="B186" i="1"/>
  <c r="A186" i="1"/>
  <c r="N185" i="1"/>
  <c r="M185" i="1"/>
  <c r="L185" i="1"/>
  <c r="K185" i="1"/>
  <c r="J185" i="1"/>
  <c r="I185" i="1"/>
  <c r="H185" i="1"/>
  <c r="G185" i="1"/>
  <c r="F185" i="1"/>
  <c r="E185" i="1"/>
  <c r="D185" i="1"/>
  <c r="C185" i="1"/>
  <c r="B185" i="1"/>
  <c r="A185" i="1"/>
  <c r="N184" i="1"/>
  <c r="M184" i="1"/>
  <c r="L184" i="1"/>
  <c r="K184" i="1"/>
  <c r="J184" i="1"/>
  <c r="I184" i="1"/>
  <c r="H184" i="1"/>
  <c r="G184" i="1"/>
  <c r="F184" i="1"/>
  <c r="E184" i="1"/>
  <c r="D184" i="1"/>
  <c r="C184" i="1"/>
  <c r="B184" i="1"/>
  <c r="A184" i="1"/>
  <c r="N183" i="1"/>
  <c r="M183" i="1"/>
  <c r="L183" i="1"/>
  <c r="K183" i="1"/>
  <c r="J183" i="1"/>
  <c r="I183" i="1"/>
  <c r="H183" i="1"/>
  <c r="G183" i="1"/>
  <c r="F183" i="1"/>
  <c r="E183" i="1"/>
  <c r="D183" i="1"/>
  <c r="C183" i="1"/>
  <c r="B183" i="1"/>
  <c r="A183" i="1"/>
  <c r="N182" i="1"/>
  <c r="M182" i="1"/>
  <c r="L182" i="1"/>
  <c r="K182" i="1"/>
  <c r="J182" i="1"/>
  <c r="I182" i="1"/>
  <c r="H182" i="1"/>
  <c r="G182" i="1"/>
  <c r="F182" i="1"/>
  <c r="E182" i="1"/>
  <c r="D182" i="1"/>
  <c r="C182" i="1"/>
  <c r="B182" i="1"/>
  <c r="A182" i="1"/>
  <c r="N181" i="1"/>
  <c r="M181" i="1"/>
  <c r="L181" i="1"/>
  <c r="K181" i="1"/>
  <c r="J181" i="1"/>
  <c r="I181" i="1"/>
  <c r="H181" i="1"/>
  <c r="G181" i="1"/>
  <c r="F181" i="1"/>
  <c r="E181" i="1"/>
  <c r="D181" i="1"/>
  <c r="C181" i="1"/>
  <c r="B181" i="1"/>
  <c r="A181" i="1"/>
  <c r="N180" i="1"/>
  <c r="M180" i="1"/>
  <c r="L180" i="1"/>
  <c r="K180" i="1"/>
  <c r="J180" i="1"/>
  <c r="I180" i="1"/>
  <c r="H180" i="1"/>
  <c r="G180" i="1"/>
  <c r="F180" i="1"/>
  <c r="E180" i="1"/>
  <c r="D180" i="1"/>
  <c r="C180" i="1"/>
  <c r="B180" i="1"/>
  <c r="A180" i="1"/>
  <c r="N179" i="1"/>
  <c r="M179" i="1"/>
  <c r="L179" i="1"/>
  <c r="K179" i="1"/>
  <c r="J179" i="1"/>
  <c r="I179" i="1"/>
  <c r="H179" i="1"/>
  <c r="G179" i="1"/>
  <c r="F179" i="1"/>
  <c r="E179" i="1"/>
  <c r="D179" i="1"/>
  <c r="C179" i="1"/>
  <c r="B179" i="1"/>
  <c r="A179" i="1"/>
  <c r="N178" i="1"/>
  <c r="M178" i="1"/>
  <c r="L178" i="1"/>
  <c r="K178" i="1"/>
  <c r="J178" i="1"/>
  <c r="I178" i="1"/>
  <c r="H178" i="1"/>
  <c r="G178" i="1"/>
  <c r="F178" i="1"/>
  <c r="E178" i="1"/>
  <c r="D178" i="1"/>
  <c r="C178" i="1"/>
  <c r="B178" i="1"/>
  <c r="A178" i="1"/>
  <c r="N177" i="1"/>
  <c r="M177" i="1"/>
  <c r="L177" i="1"/>
  <c r="K177" i="1"/>
  <c r="J177" i="1"/>
  <c r="I177" i="1"/>
  <c r="H177" i="1"/>
  <c r="G177" i="1"/>
  <c r="F177" i="1"/>
  <c r="E177" i="1"/>
  <c r="D177" i="1"/>
  <c r="C177" i="1"/>
  <c r="B177" i="1"/>
  <c r="A177" i="1"/>
  <c r="N176" i="1"/>
  <c r="M176" i="1"/>
  <c r="L176" i="1"/>
  <c r="K176" i="1"/>
  <c r="J176" i="1"/>
  <c r="I176" i="1"/>
  <c r="H176" i="1"/>
  <c r="G176" i="1"/>
  <c r="F176" i="1"/>
  <c r="E176" i="1"/>
  <c r="D176" i="1"/>
  <c r="C176" i="1"/>
  <c r="B176" i="1"/>
  <c r="A176" i="1"/>
  <c r="N175" i="1"/>
  <c r="M175" i="1"/>
  <c r="L175" i="1"/>
  <c r="K175" i="1"/>
  <c r="J175" i="1"/>
  <c r="I175" i="1"/>
  <c r="H175" i="1"/>
  <c r="G175" i="1"/>
  <c r="F175" i="1"/>
  <c r="E175" i="1"/>
  <c r="D175" i="1"/>
  <c r="C175" i="1"/>
  <c r="B175" i="1"/>
  <c r="A175" i="1"/>
  <c r="N174" i="1"/>
  <c r="M174" i="1"/>
  <c r="L174" i="1"/>
  <c r="K174" i="1"/>
  <c r="J174" i="1"/>
  <c r="I174" i="1"/>
  <c r="H174" i="1"/>
  <c r="G174" i="1"/>
  <c r="F174" i="1"/>
  <c r="E174" i="1"/>
  <c r="D174" i="1"/>
  <c r="C174" i="1"/>
  <c r="B174" i="1"/>
  <c r="A174" i="1"/>
  <c r="N173" i="1"/>
  <c r="M173" i="1"/>
  <c r="L173" i="1"/>
  <c r="K173" i="1"/>
  <c r="J173" i="1"/>
  <c r="I173" i="1"/>
  <c r="H173" i="1"/>
  <c r="G173" i="1"/>
  <c r="F173" i="1"/>
  <c r="E173" i="1"/>
  <c r="D173" i="1"/>
  <c r="C173" i="1"/>
  <c r="B173" i="1"/>
  <c r="A173" i="1"/>
  <c r="N172" i="1"/>
  <c r="M172" i="1"/>
  <c r="L172" i="1"/>
  <c r="K172" i="1"/>
  <c r="J172" i="1"/>
  <c r="I172" i="1"/>
  <c r="H172" i="1"/>
  <c r="G172" i="1"/>
  <c r="F172" i="1"/>
  <c r="E172" i="1"/>
  <c r="D172" i="1"/>
  <c r="C172" i="1"/>
  <c r="B172" i="1"/>
  <c r="A172" i="1"/>
  <c r="N171" i="1"/>
  <c r="M171" i="1"/>
  <c r="L171" i="1"/>
  <c r="K171" i="1"/>
  <c r="J171" i="1"/>
  <c r="I171" i="1"/>
  <c r="H171" i="1"/>
  <c r="G171" i="1"/>
  <c r="F171" i="1"/>
  <c r="E171" i="1"/>
  <c r="D171" i="1"/>
  <c r="C171" i="1"/>
  <c r="B171" i="1"/>
  <c r="A171" i="1"/>
  <c r="N170" i="1"/>
  <c r="M170" i="1"/>
  <c r="L170" i="1"/>
  <c r="K170" i="1"/>
  <c r="J170" i="1"/>
  <c r="I170" i="1"/>
  <c r="H170" i="1"/>
  <c r="G170" i="1"/>
  <c r="F170" i="1"/>
  <c r="E170" i="1"/>
  <c r="D170" i="1"/>
  <c r="C170" i="1"/>
  <c r="B170" i="1"/>
  <c r="A170" i="1"/>
  <c r="N169" i="1"/>
  <c r="M169" i="1"/>
  <c r="L169" i="1"/>
  <c r="K169" i="1"/>
  <c r="J169" i="1"/>
  <c r="I169" i="1"/>
  <c r="H169" i="1"/>
  <c r="G169" i="1"/>
  <c r="F169" i="1"/>
  <c r="E169" i="1"/>
  <c r="D169" i="1"/>
  <c r="C169" i="1"/>
  <c r="B169" i="1"/>
  <c r="A169" i="1"/>
  <c r="N168" i="1"/>
  <c r="M168" i="1"/>
  <c r="L168" i="1"/>
  <c r="K168" i="1"/>
  <c r="J168" i="1"/>
  <c r="I168" i="1"/>
  <c r="H168" i="1"/>
  <c r="G168" i="1"/>
  <c r="F168" i="1"/>
  <c r="E168" i="1"/>
  <c r="D168" i="1"/>
  <c r="C168" i="1"/>
  <c r="B168" i="1"/>
  <c r="A168" i="1"/>
  <c r="N167" i="1"/>
  <c r="M167" i="1"/>
  <c r="L167" i="1"/>
  <c r="K167" i="1"/>
  <c r="J167" i="1"/>
  <c r="I167" i="1"/>
  <c r="H167" i="1"/>
  <c r="G167" i="1"/>
  <c r="F167" i="1"/>
  <c r="E167" i="1"/>
  <c r="D167" i="1"/>
  <c r="C167" i="1"/>
  <c r="B167" i="1"/>
  <c r="A167" i="1"/>
  <c r="N166" i="1"/>
  <c r="M166" i="1"/>
  <c r="L166" i="1"/>
  <c r="K166" i="1"/>
  <c r="J166" i="1"/>
  <c r="I166" i="1"/>
  <c r="H166" i="1"/>
  <c r="G166" i="1"/>
  <c r="F166" i="1"/>
  <c r="E166" i="1"/>
  <c r="D166" i="1"/>
  <c r="C166" i="1"/>
  <c r="B166" i="1"/>
  <c r="A166" i="1"/>
  <c r="N165" i="1"/>
  <c r="M165" i="1"/>
  <c r="L165" i="1"/>
  <c r="K165" i="1"/>
  <c r="J165" i="1"/>
  <c r="I165" i="1"/>
  <c r="H165" i="1"/>
  <c r="G165" i="1"/>
  <c r="F165" i="1"/>
  <c r="E165" i="1"/>
  <c r="D165" i="1"/>
  <c r="C165" i="1"/>
  <c r="B165" i="1"/>
  <c r="A165" i="1"/>
  <c r="N164" i="1"/>
  <c r="M164" i="1"/>
  <c r="L164" i="1"/>
  <c r="K164" i="1"/>
  <c r="J164" i="1"/>
  <c r="I164" i="1"/>
  <c r="H164" i="1"/>
  <c r="G164" i="1"/>
  <c r="F164" i="1"/>
  <c r="E164" i="1"/>
  <c r="D164" i="1"/>
  <c r="C164" i="1"/>
  <c r="B164" i="1"/>
  <c r="A164" i="1"/>
  <c r="N163" i="1"/>
  <c r="M163" i="1"/>
  <c r="L163" i="1"/>
  <c r="K163" i="1"/>
  <c r="J163" i="1"/>
  <c r="I163" i="1"/>
  <c r="H163" i="1"/>
  <c r="G163" i="1"/>
  <c r="F163" i="1"/>
  <c r="E163" i="1"/>
  <c r="D163" i="1"/>
  <c r="C163" i="1"/>
  <c r="B163" i="1"/>
  <c r="A163" i="1"/>
  <c r="N162" i="1"/>
  <c r="M162" i="1"/>
  <c r="L162" i="1"/>
  <c r="K162" i="1"/>
  <c r="J162" i="1"/>
  <c r="I162" i="1"/>
  <c r="H162" i="1"/>
  <c r="G162" i="1"/>
  <c r="F162" i="1"/>
  <c r="E162" i="1"/>
  <c r="D162" i="1"/>
  <c r="C162" i="1"/>
  <c r="B162" i="1"/>
  <c r="A162" i="1"/>
  <c r="N161" i="1"/>
  <c r="M161" i="1"/>
  <c r="L161" i="1"/>
  <c r="K161" i="1"/>
  <c r="J161" i="1"/>
  <c r="I161" i="1"/>
  <c r="H161" i="1"/>
  <c r="G161" i="1"/>
  <c r="F161" i="1"/>
  <c r="E161" i="1"/>
  <c r="D161" i="1"/>
  <c r="C161" i="1"/>
  <c r="B161" i="1"/>
  <c r="A161" i="1"/>
  <c r="N160" i="1"/>
  <c r="M160" i="1"/>
  <c r="L160" i="1"/>
  <c r="K160" i="1"/>
  <c r="J160" i="1"/>
  <c r="I160" i="1"/>
  <c r="H160" i="1"/>
  <c r="G160" i="1"/>
  <c r="F160" i="1"/>
  <c r="E160" i="1"/>
  <c r="D160" i="1"/>
  <c r="C160" i="1"/>
  <c r="B160" i="1"/>
  <c r="A160" i="1"/>
  <c r="N159" i="1"/>
  <c r="M159" i="1"/>
  <c r="L159" i="1"/>
  <c r="K159" i="1"/>
  <c r="J159" i="1"/>
  <c r="I159" i="1"/>
  <c r="H159" i="1"/>
  <c r="G159" i="1"/>
  <c r="F159" i="1"/>
  <c r="E159" i="1"/>
  <c r="D159" i="1"/>
  <c r="C159" i="1"/>
  <c r="B159" i="1"/>
  <c r="A159" i="1"/>
  <c r="N158" i="1"/>
  <c r="M158" i="1"/>
  <c r="L158" i="1"/>
  <c r="K158" i="1"/>
  <c r="J158" i="1"/>
  <c r="I158" i="1"/>
  <c r="H158" i="1"/>
  <c r="G158" i="1"/>
  <c r="F158" i="1"/>
  <c r="E158" i="1"/>
  <c r="D158" i="1"/>
  <c r="C158" i="1"/>
  <c r="B158" i="1"/>
  <c r="A158" i="1"/>
  <c r="N157" i="1"/>
  <c r="M157" i="1"/>
  <c r="L157" i="1"/>
  <c r="K157" i="1"/>
  <c r="J157" i="1"/>
  <c r="I157" i="1"/>
  <c r="H157" i="1"/>
  <c r="G157" i="1"/>
  <c r="F157" i="1"/>
  <c r="E157" i="1"/>
  <c r="D157" i="1"/>
  <c r="C157" i="1"/>
  <c r="B157" i="1"/>
  <c r="A157" i="1"/>
  <c r="N156" i="1"/>
  <c r="M156" i="1"/>
  <c r="L156" i="1"/>
  <c r="K156" i="1"/>
  <c r="J156" i="1"/>
  <c r="I156" i="1"/>
  <c r="H156" i="1"/>
  <c r="G156" i="1"/>
  <c r="F156" i="1"/>
  <c r="E156" i="1"/>
  <c r="D156" i="1"/>
  <c r="C156" i="1"/>
  <c r="B156" i="1"/>
  <c r="A156" i="1"/>
  <c r="N155" i="1"/>
  <c r="M155" i="1"/>
  <c r="L155" i="1"/>
  <c r="K155" i="1"/>
  <c r="J155" i="1"/>
  <c r="I155" i="1"/>
  <c r="H155" i="1"/>
  <c r="G155" i="1"/>
  <c r="F155" i="1"/>
  <c r="E155" i="1"/>
  <c r="D155" i="1"/>
  <c r="C155" i="1"/>
  <c r="B155" i="1"/>
  <c r="A155" i="1"/>
  <c r="N154" i="1"/>
  <c r="M154" i="1"/>
  <c r="L154" i="1"/>
  <c r="K154" i="1"/>
  <c r="J154" i="1"/>
  <c r="I154" i="1"/>
  <c r="H154" i="1"/>
  <c r="G154" i="1"/>
  <c r="F154" i="1"/>
  <c r="E154" i="1"/>
  <c r="D154" i="1"/>
  <c r="C154" i="1"/>
  <c r="B154" i="1"/>
  <c r="A154" i="1"/>
  <c r="N153" i="1"/>
  <c r="M153" i="1"/>
  <c r="L153" i="1"/>
  <c r="K153" i="1"/>
  <c r="J153" i="1"/>
  <c r="I153" i="1"/>
  <c r="H153" i="1"/>
  <c r="G153" i="1"/>
  <c r="F153" i="1"/>
  <c r="E153" i="1"/>
  <c r="D153" i="1"/>
  <c r="C153" i="1"/>
  <c r="B153" i="1"/>
  <c r="A153" i="1"/>
  <c r="N152" i="1"/>
  <c r="M152" i="1"/>
  <c r="L152" i="1"/>
  <c r="K152" i="1"/>
  <c r="J152" i="1"/>
  <c r="I152" i="1"/>
  <c r="H152" i="1"/>
  <c r="G152" i="1"/>
  <c r="F152" i="1"/>
  <c r="E152" i="1"/>
  <c r="D152" i="1"/>
  <c r="C152" i="1"/>
  <c r="B152" i="1"/>
  <c r="A152" i="1"/>
  <c r="N151" i="1"/>
  <c r="M151" i="1"/>
  <c r="L151" i="1"/>
  <c r="K151" i="1"/>
  <c r="J151" i="1"/>
  <c r="I151" i="1"/>
  <c r="H151" i="1"/>
  <c r="G151" i="1"/>
  <c r="F151" i="1"/>
  <c r="E151" i="1"/>
  <c r="D151" i="1"/>
  <c r="C151" i="1"/>
  <c r="B151" i="1"/>
  <c r="A151" i="1"/>
  <c r="N150" i="1"/>
  <c r="M150" i="1"/>
  <c r="L150" i="1"/>
  <c r="K150" i="1"/>
  <c r="J150" i="1"/>
  <c r="I150" i="1"/>
  <c r="H150" i="1"/>
  <c r="G150" i="1"/>
  <c r="F150" i="1"/>
  <c r="E150" i="1"/>
  <c r="D150" i="1"/>
  <c r="C150" i="1"/>
  <c r="B150" i="1"/>
  <c r="A150" i="1"/>
  <c r="N149" i="1"/>
  <c r="M149" i="1"/>
  <c r="L149" i="1"/>
  <c r="K149" i="1"/>
  <c r="J149" i="1"/>
  <c r="I149" i="1"/>
  <c r="H149" i="1"/>
  <c r="G149" i="1"/>
  <c r="F149" i="1"/>
  <c r="E149" i="1"/>
  <c r="D149" i="1"/>
  <c r="C149" i="1"/>
  <c r="B149" i="1"/>
  <c r="A149" i="1"/>
  <c r="N148" i="1"/>
  <c r="M148" i="1"/>
  <c r="L148" i="1"/>
  <c r="K148" i="1"/>
  <c r="J148" i="1"/>
  <c r="I148" i="1"/>
  <c r="H148" i="1"/>
  <c r="G148" i="1"/>
  <c r="F148" i="1"/>
  <c r="E148" i="1"/>
  <c r="D148" i="1"/>
  <c r="C148" i="1"/>
  <c r="B148" i="1"/>
  <c r="A148" i="1"/>
  <c r="N147" i="1"/>
  <c r="M147" i="1"/>
  <c r="L147" i="1"/>
  <c r="K147" i="1"/>
  <c r="J147" i="1"/>
  <c r="I147" i="1"/>
  <c r="H147" i="1"/>
  <c r="G147" i="1"/>
  <c r="F147" i="1"/>
  <c r="E147" i="1"/>
  <c r="D147" i="1"/>
  <c r="C147" i="1"/>
  <c r="B147" i="1"/>
  <c r="A147" i="1"/>
  <c r="N146" i="1"/>
  <c r="M146" i="1"/>
  <c r="L146" i="1"/>
  <c r="K146" i="1"/>
  <c r="J146" i="1"/>
  <c r="I146" i="1"/>
  <c r="H146" i="1"/>
  <c r="G146" i="1"/>
  <c r="F146" i="1"/>
  <c r="E146" i="1"/>
  <c r="D146" i="1"/>
  <c r="C146" i="1"/>
  <c r="B146" i="1"/>
  <c r="A146" i="1"/>
  <c r="N145" i="1"/>
  <c r="M145" i="1"/>
  <c r="L145" i="1"/>
  <c r="K145" i="1"/>
  <c r="J145" i="1"/>
  <c r="I145" i="1"/>
  <c r="H145" i="1"/>
  <c r="G145" i="1"/>
  <c r="F145" i="1"/>
  <c r="E145" i="1"/>
  <c r="D145" i="1"/>
  <c r="C145" i="1"/>
  <c r="B145" i="1"/>
  <c r="A145" i="1"/>
  <c r="N144" i="1"/>
  <c r="M144" i="1"/>
  <c r="L144" i="1"/>
  <c r="K144" i="1"/>
  <c r="J144" i="1"/>
  <c r="I144" i="1"/>
  <c r="H144" i="1"/>
  <c r="G144" i="1"/>
  <c r="F144" i="1"/>
  <c r="E144" i="1"/>
  <c r="D144" i="1"/>
  <c r="C144" i="1"/>
  <c r="B144" i="1"/>
  <c r="A144" i="1"/>
  <c r="N143" i="1"/>
  <c r="M143" i="1"/>
  <c r="L143" i="1"/>
  <c r="K143" i="1"/>
  <c r="J143" i="1"/>
  <c r="I143" i="1"/>
  <c r="H143" i="1"/>
  <c r="G143" i="1"/>
  <c r="F143" i="1"/>
  <c r="E143" i="1"/>
  <c r="D143" i="1"/>
  <c r="C143" i="1"/>
  <c r="B143" i="1"/>
  <c r="A143" i="1"/>
  <c r="N142" i="1"/>
  <c r="M142" i="1"/>
  <c r="L142" i="1"/>
  <c r="K142" i="1"/>
  <c r="J142" i="1"/>
  <c r="I142" i="1"/>
  <c r="H142" i="1"/>
  <c r="G142" i="1"/>
  <c r="F142" i="1"/>
  <c r="E142" i="1"/>
  <c r="D142" i="1"/>
  <c r="C142" i="1"/>
  <c r="B142" i="1"/>
  <c r="A142" i="1"/>
  <c r="K141" i="1"/>
  <c r="J141" i="1"/>
  <c r="I141" i="1"/>
  <c r="H141" i="1"/>
  <c r="G141" i="1"/>
  <c r="F141" i="1"/>
  <c r="E141" i="1"/>
  <c r="D141" i="1"/>
  <c r="C141" i="1"/>
  <c r="B141" i="1"/>
  <c r="A141" i="1"/>
  <c r="K140" i="1"/>
  <c r="J140" i="1"/>
  <c r="I140" i="1"/>
  <c r="H140" i="1"/>
  <c r="G140" i="1"/>
  <c r="F140" i="1"/>
  <c r="E140" i="1"/>
  <c r="D140" i="1"/>
  <c r="C140" i="1"/>
  <c r="B140" i="1"/>
  <c r="A140" i="1"/>
  <c r="K139" i="1"/>
  <c r="J139" i="1"/>
  <c r="I139" i="1"/>
  <c r="H139" i="1"/>
  <c r="G139" i="1"/>
  <c r="F139" i="1"/>
  <c r="E139" i="1"/>
  <c r="D139" i="1"/>
  <c r="C139" i="1"/>
  <c r="B139" i="1"/>
  <c r="A139" i="1"/>
  <c r="K138" i="1"/>
  <c r="J138" i="1"/>
  <c r="I138" i="1"/>
  <c r="H138" i="1"/>
  <c r="G138" i="1"/>
  <c r="F138" i="1"/>
  <c r="E138" i="1"/>
  <c r="D138" i="1"/>
  <c r="C138" i="1"/>
  <c r="B138" i="1"/>
  <c r="A138" i="1"/>
  <c r="K137" i="1"/>
  <c r="J137" i="1"/>
  <c r="I137" i="1"/>
  <c r="H137" i="1"/>
  <c r="G137" i="1"/>
  <c r="F137" i="1"/>
  <c r="E137" i="1"/>
  <c r="D137" i="1"/>
  <c r="C137" i="1"/>
  <c r="B137" i="1"/>
  <c r="A137" i="1"/>
  <c r="K136" i="1"/>
  <c r="J136" i="1"/>
  <c r="I136" i="1"/>
  <c r="H136" i="1"/>
  <c r="G136" i="1"/>
  <c r="F136" i="1"/>
  <c r="E136" i="1"/>
  <c r="D136" i="1"/>
  <c r="C136" i="1"/>
  <c r="B136" i="1"/>
  <c r="A136" i="1"/>
  <c r="K135" i="1"/>
  <c r="J135" i="1"/>
  <c r="I135" i="1"/>
  <c r="H135" i="1"/>
  <c r="G135" i="1"/>
  <c r="F135" i="1"/>
  <c r="E135" i="1"/>
  <c r="D135" i="1"/>
  <c r="C135" i="1"/>
  <c r="B135" i="1"/>
  <c r="A135" i="1"/>
  <c r="K134" i="1"/>
  <c r="J134" i="1"/>
  <c r="I134" i="1"/>
  <c r="H134" i="1"/>
  <c r="G134" i="1"/>
  <c r="F134" i="1"/>
  <c r="E134" i="1"/>
  <c r="D134" i="1"/>
  <c r="C134" i="1"/>
  <c r="B134" i="1"/>
  <c r="A134" i="1"/>
  <c r="K133" i="1"/>
  <c r="J133" i="1"/>
  <c r="I133" i="1"/>
  <c r="H133" i="1"/>
  <c r="G133" i="1"/>
  <c r="F133" i="1"/>
  <c r="E133" i="1"/>
  <c r="D133" i="1"/>
  <c r="C133" i="1"/>
  <c r="B133" i="1"/>
  <c r="A133" i="1"/>
  <c r="K132" i="1"/>
  <c r="J132" i="1"/>
  <c r="I132" i="1"/>
  <c r="H132" i="1"/>
  <c r="G132" i="1"/>
  <c r="F132" i="1"/>
  <c r="E132" i="1"/>
  <c r="D132" i="1"/>
  <c r="C132" i="1"/>
  <c r="B132" i="1"/>
  <c r="A132" i="1"/>
  <c r="K131" i="1"/>
  <c r="J131" i="1"/>
  <c r="I131" i="1"/>
  <c r="H131" i="1"/>
  <c r="G131" i="1"/>
  <c r="F131" i="1"/>
  <c r="E131" i="1"/>
  <c r="D131" i="1"/>
  <c r="C131" i="1"/>
  <c r="B131" i="1"/>
  <c r="A131" i="1"/>
  <c r="K130" i="1"/>
  <c r="J130" i="1"/>
  <c r="I130" i="1"/>
  <c r="H130" i="1"/>
  <c r="G130" i="1"/>
  <c r="F130" i="1"/>
  <c r="E130" i="1"/>
  <c r="D130" i="1"/>
  <c r="C130" i="1"/>
  <c r="B130" i="1"/>
  <c r="A130" i="1"/>
  <c r="K129" i="1"/>
  <c r="J129" i="1"/>
  <c r="I129" i="1"/>
  <c r="H129" i="1"/>
  <c r="G129" i="1"/>
  <c r="F129" i="1"/>
  <c r="E129" i="1"/>
  <c r="D129" i="1"/>
  <c r="C129" i="1"/>
  <c r="B129" i="1"/>
  <c r="A129" i="1"/>
  <c r="K128" i="1"/>
  <c r="J128" i="1"/>
  <c r="I128" i="1"/>
  <c r="H128" i="1"/>
  <c r="G128" i="1"/>
  <c r="F128" i="1"/>
  <c r="E128" i="1"/>
  <c r="D128" i="1"/>
  <c r="C128" i="1"/>
  <c r="B128" i="1"/>
  <c r="A128" i="1"/>
  <c r="K127" i="1"/>
  <c r="J127" i="1"/>
  <c r="I127" i="1"/>
  <c r="H127" i="1"/>
  <c r="G127" i="1"/>
  <c r="F127" i="1"/>
  <c r="E127" i="1"/>
  <c r="D127" i="1"/>
  <c r="C127" i="1"/>
  <c r="B127" i="1"/>
  <c r="A127" i="1"/>
  <c r="K126" i="1"/>
  <c r="J126" i="1"/>
  <c r="I126" i="1"/>
  <c r="H126" i="1"/>
  <c r="G126" i="1"/>
  <c r="F126" i="1"/>
  <c r="E126" i="1"/>
  <c r="D126" i="1"/>
  <c r="C126" i="1"/>
  <c r="B126" i="1"/>
  <c r="A126" i="1"/>
  <c r="K125" i="1"/>
  <c r="J125" i="1"/>
  <c r="I125" i="1"/>
  <c r="H125" i="1"/>
  <c r="G125" i="1"/>
  <c r="F125" i="1"/>
  <c r="E125" i="1"/>
  <c r="D125" i="1"/>
  <c r="C125" i="1"/>
  <c r="B125" i="1"/>
  <c r="A125" i="1"/>
  <c r="K124" i="1"/>
  <c r="J124" i="1"/>
  <c r="I124" i="1"/>
  <c r="H124" i="1"/>
  <c r="G124" i="1"/>
  <c r="F124" i="1"/>
  <c r="E124" i="1"/>
  <c r="D124" i="1"/>
  <c r="C124" i="1"/>
  <c r="B124" i="1"/>
  <c r="A124" i="1"/>
  <c r="K123" i="1"/>
  <c r="J123" i="1"/>
  <c r="I123" i="1"/>
  <c r="H123" i="1"/>
  <c r="G123" i="1"/>
  <c r="F123" i="1"/>
  <c r="E123" i="1"/>
  <c r="D123" i="1"/>
  <c r="C123" i="1"/>
  <c r="B123" i="1"/>
  <c r="A123" i="1"/>
  <c r="K122" i="1"/>
  <c r="J122" i="1"/>
  <c r="I122" i="1"/>
  <c r="H122" i="1"/>
  <c r="G122" i="1"/>
  <c r="F122" i="1"/>
  <c r="E122" i="1"/>
  <c r="D122" i="1"/>
  <c r="C122" i="1"/>
  <c r="B122" i="1"/>
  <c r="A122" i="1"/>
  <c r="K121" i="1"/>
  <c r="J121" i="1"/>
  <c r="I121" i="1"/>
  <c r="H121" i="1"/>
  <c r="G121" i="1"/>
  <c r="F121" i="1"/>
  <c r="E121" i="1"/>
  <c r="D121" i="1"/>
  <c r="C121" i="1"/>
  <c r="B121" i="1"/>
  <c r="A121" i="1"/>
  <c r="K120" i="1"/>
  <c r="J120" i="1"/>
  <c r="I120" i="1"/>
  <c r="H120" i="1"/>
  <c r="G120" i="1"/>
  <c r="F120" i="1"/>
  <c r="E120" i="1"/>
  <c r="D120" i="1"/>
  <c r="C120" i="1"/>
  <c r="B120" i="1"/>
  <c r="A120" i="1"/>
  <c r="K119" i="1"/>
  <c r="J119" i="1"/>
  <c r="I119" i="1"/>
  <c r="H119" i="1"/>
  <c r="G119" i="1"/>
  <c r="F119" i="1"/>
  <c r="E119" i="1"/>
  <c r="D119" i="1"/>
  <c r="C119" i="1"/>
  <c r="B119" i="1"/>
  <c r="A119" i="1"/>
  <c r="K118" i="1"/>
  <c r="J118" i="1"/>
  <c r="I118" i="1"/>
  <c r="H118" i="1"/>
  <c r="G118" i="1"/>
  <c r="F118" i="1"/>
  <c r="E118" i="1"/>
  <c r="D118" i="1"/>
  <c r="C118" i="1"/>
  <c r="B118" i="1"/>
  <c r="A118" i="1"/>
  <c r="K117" i="1"/>
  <c r="J117" i="1"/>
  <c r="I117" i="1"/>
  <c r="H117" i="1"/>
  <c r="G117" i="1"/>
  <c r="F117" i="1"/>
  <c r="E117" i="1"/>
  <c r="D117" i="1"/>
  <c r="C117" i="1"/>
  <c r="B117" i="1"/>
  <c r="A117" i="1"/>
  <c r="K116" i="1"/>
  <c r="J116" i="1"/>
  <c r="I116" i="1"/>
  <c r="H116" i="1"/>
  <c r="G116" i="1"/>
  <c r="F116" i="1"/>
  <c r="E116" i="1"/>
  <c r="D116" i="1"/>
  <c r="C116" i="1"/>
  <c r="B116" i="1"/>
  <c r="A116" i="1"/>
  <c r="K115" i="1"/>
  <c r="J115" i="1"/>
  <c r="I115" i="1"/>
  <c r="H115" i="1"/>
  <c r="G115" i="1"/>
  <c r="F115" i="1"/>
  <c r="E115" i="1"/>
  <c r="D115" i="1"/>
  <c r="C115" i="1"/>
  <c r="B115" i="1"/>
  <c r="A115" i="1"/>
  <c r="K114" i="1"/>
  <c r="J114" i="1"/>
  <c r="I114" i="1"/>
  <c r="H114" i="1"/>
  <c r="G114" i="1"/>
  <c r="F114" i="1"/>
  <c r="E114" i="1"/>
  <c r="D114" i="1"/>
  <c r="C114" i="1"/>
  <c r="B114" i="1"/>
  <c r="A114" i="1"/>
  <c r="K113" i="1"/>
  <c r="J113" i="1"/>
  <c r="I113" i="1"/>
  <c r="H113" i="1"/>
  <c r="G113" i="1"/>
  <c r="F113" i="1"/>
  <c r="E113" i="1"/>
  <c r="D113" i="1"/>
  <c r="C113" i="1"/>
  <c r="B113" i="1"/>
  <c r="A113" i="1"/>
  <c r="K112" i="1"/>
  <c r="J112" i="1"/>
  <c r="I112" i="1"/>
  <c r="H112" i="1"/>
  <c r="G112" i="1"/>
  <c r="F112" i="1"/>
  <c r="E112" i="1"/>
  <c r="D112" i="1"/>
  <c r="C112" i="1"/>
  <c r="B112" i="1"/>
  <c r="A112" i="1"/>
  <c r="K111" i="1"/>
  <c r="J111" i="1"/>
  <c r="I111" i="1"/>
  <c r="H111" i="1"/>
  <c r="G111" i="1"/>
  <c r="F111" i="1"/>
  <c r="E111" i="1"/>
  <c r="D111" i="1"/>
  <c r="C111" i="1"/>
  <c r="B111" i="1"/>
  <c r="A111" i="1"/>
  <c r="K110" i="1"/>
  <c r="J110" i="1"/>
  <c r="I110" i="1"/>
  <c r="H110" i="1"/>
  <c r="G110" i="1"/>
  <c r="F110" i="1"/>
  <c r="E110" i="1"/>
  <c r="D110" i="1"/>
  <c r="C110" i="1"/>
  <c r="B110" i="1"/>
  <c r="A110" i="1"/>
  <c r="K109" i="1"/>
  <c r="J109" i="1"/>
  <c r="I109" i="1"/>
  <c r="H109" i="1"/>
  <c r="G109" i="1"/>
  <c r="F109" i="1"/>
  <c r="E109" i="1"/>
  <c r="D109" i="1"/>
  <c r="C109" i="1"/>
  <c r="B109" i="1"/>
  <c r="A109" i="1"/>
  <c r="K108" i="1"/>
  <c r="J108" i="1"/>
  <c r="I108" i="1"/>
  <c r="H108" i="1"/>
  <c r="G108" i="1"/>
  <c r="F108" i="1"/>
  <c r="E108" i="1"/>
  <c r="D108" i="1"/>
  <c r="C108" i="1"/>
  <c r="B108" i="1"/>
  <c r="A108" i="1"/>
  <c r="K107" i="1"/>
  <c r="J107" i="1"/>
  <c r="I107" i="1"/>
  <c r="H107" i="1"/>
  <c r="G107" i="1"/>
  <c r="F107" i="1"/>
  <c r="E107" i="1"/>
  <c r="D107" i="1"/>
  <c r="C107" i="1"/>
  <c r="B107" i="1"/>
  <c r="A107" i="1"/>
  <c r="K106" i="1"/>
  <c r="J106" i="1"/>
  <c r="I106" i="1"/>
  <c r="H106" i="1"/>
  <c r="G106" i="1"/>
  <c r="F106" i="1"/>
  <c r="E106" i="1"/>
  <c r="D106" i="1"/>
  <c r="C106" i="1"/>
  <c r="B106" i="1"/>
  <c r="A106" i="1"/>
  <c r="K105" i="1"/>
  <c r="J105" i="1"/>
  <c r="I105" i="1"/>
  <c r="H105" i="1"/>
  <c r="G105" i="1"/>
  <c r="F105" i="1"/>
  <c r="E105" i="1"/>
  <c r="D105" i="1"/>
  <c r="C105" i="1"/>
  <c r="B105" i="1"/>
  <c r="A105" i="1"/>
  <c r="K104" i="1"/>
  <c r="J104" i="1"/>
  <c r="I104" i="1"/>
  <c r="H104" i="1"/>
  <c r="G104" i="1"/>
  <c r="F104" i="1"/>
  <c r="E104" i="1"/>
  <c r="D104" i="1"/>
  <c r="C104" i="1"/>
  <c r="B104" i="1"/>
  <c r="A104" i="1"/>
  <c r="K103" i="1"/>
  <c r="J103" i="1"/>
  <c r="I103" i="1"/>
  <c r="H103" i="1"/>
  <c r="G103" i="1"/>
  <c r="F103" i="1"/>
  <c r="E103" i="1"/>
  <c r="D103" i="1"/>
  <c r="C103" i="1"/>
  <c r="B103" i="1"/>
  <c r="A103" i="1"/>
  <c r="K102" i="1"/>
  <c r="J102" i="1"/>
  <c r="I102" i="1"/>
  <c r="H102" i="1"/>
  <c r="G102" i="1"/>
  <c r="F102" i="1"/>
  <c r="E102" i="1"/>
  <c r="D102" i="1"/>
  <c r="C102" i="1"/>
  <c r="B102" i="1"/>
  <c r="A102" i="1"/>
  <c r="K101" i="1"/>
  <c r="J101" i="1"/>
  <c r="I101" i="1"/>
  <c r="H101" i="1"/>
  <c r="G101" i="1"/>
  <c r="F101" i="1"/>
  <c r="E101" i="1"/>
  <c r="D101" i="1"/>
  <c r="C101" i="1"/>
  <c r="B101" i="1"/>
  <c r="A101" i="1"/>
  <c r="K100" i="1"/>
  <c r="J100" i="1"/>
  <c r="I100" i="1"/>
  <c r="H100" i="1"/>
  <c r="G100" i="1"/>
  <c r="F100" i="1"/>
  <c r="E100" i="1"/>
  <c r="D100" i="1"/>
  <c r="C100" i="1"/>
  <c r="B100" i="1"/>
  <c r="A100" i="1"/>
  <c r="K99" i="1"/>
  <c r="J99" i="1"/>
  <c r="I99" i="1"/>
  <c r="H99" i="1"/>
  <c r="G99" i="1"/>
  <c r="F99" i="1"/>
  <c r="E99" i="1"/>
  <c r="D99" i="1"/>
  <c r="C99" i="1"/>
  <c r="B99" i="1"/>
  <c r="A99" i="1"/>
  <c r="K98" i="1"/>
  <c r="J98" i="1"/>
  <c r="I98" i="1"/>
  <c r="H98" i="1"/>
  <c r="G98" i="1"/>
  <c r="F98" i="1"/>
  <c r="E98" i="1"/>
  <c r="D98" i="1"/>
  <c r="C98" i="1"/>
  <c r="B98" i="1"/>
  <c r="A98" i="1"/>
  <c r="K97" i="1"/>
  <c r="J97" i="1"/>
  <c r="I97" i="1"/>
  <c r="H97" i="1"/>
  <c r="G97" i="1"/>
  <c r="F97" i="1"/>
  <c r="E97" i="1"/>
  <c r="D97" i="1"/>
  <c r="C97" i="1"/>
  <c r="B97" i="1"/>
  <c r="A97" i="1"/>
  <c r="K96" i="1"/>
  <c r="J96" i="1"/>
  <c r="I96" i="1"/>
  <c r="H96" i="1"/>
  <c r="G96" i="1"/>
  <c r="F96" i="1"/>
  <c r="E96" i="1"/>
  <c r="D96" i="1"/>
  <c r="C96" i="1"/>
  <c r="B96" i="1"/>
  <c r="A96" i="1"/>
  <c r="K95" i="1"/>
  <c r="J95" i="1"/>
  <c r="I95" i="1"/>
  <c r="H95" i="1"/>
  <c r="G95" i="1"/>
  <c r="F95" i="1"/>
  <c r="E95" i="1"/>
  <c r="D95" i="1"/>
  <c r="C95" i="1"/>
  <c r="B95" i="1"/>
  <c r="A95" i="1"/>
  <c r="K94" i="1"/>
  <c r="J94" i="1"/>
  <c r="I94" i="1"/>
  <c r="H94" i="1"/>
  <c r="G94" i="1"/>
  <c r="F94" i="1"/>
  <c r="E94" i="1"/>
  <c r="D94" i="1"/>
  <c r="C94" i="1"/>
  <c r="B94" i="1"/>
  <c r="A94" i="1"/>
  <c r="K93" i="1"/>
  <c r="J93" i="1"/>
  <c r="I93" i="1"/>
  <c r="H93" i="1"/>
  <c r="G93" i="1"/>
  <c r="F93" i="1"/>
  <c r="E93" i="1"/>
  <c r="D93" i="1"/>
  <c r="C93" i="1"/>
  <c r="B93" i="1"/>
  <c r="A93" i="1"/>
  <c r="K92" i="1"/>
  <c r="J92" i="1"/>
  <c r="I92" i="1"/>
  <c r="H92" i="1"/>
  <c r="G92" i="1"/>
  <c r="F92" i="1"/>
  <c r="E92" i="1"/>
  <c r="D92" i="1"/>
  <c r="C92" i="1"/>
  <c r="B92" i="1"/>
  <c r="A92" i="1"/>
  <c r="K91" i="1"/>
  <c r="J91" i="1"/>
  <c r="I91" i="1"/>
  <c r="H91" i="1"/>
  <c r="G91" i="1"/>
  <c r="F91" i="1"/>
  <c r="E91" i="1"/>
  <c r="D91" i="1"/>
  <c r="C91" i="1"/>
  <c r="B91" i="1"/>
  <c r="A91" i="1"/>
  <c r="K90" i="1"/>
  <c r="J90" i="1"/>
  <c r="I90" i="1"/>
  <c r="H90" i="1"/>
  <c r="G90" i="1"/>
  <c r="F90" i="1"/>
  <c r="E90" i="1"/>
  <c r="D90" i="1"/>
  <c r="C90" i="1"/>
  <c r="B90" i="1"/>
  <c r="A90" i="1"/>
  <c r="K89" i="1"/>
  <c r="J89" i="1"/>
  <c r="I89" i="1"/>
  <c r="H89" i="1"/>
  <c r="G89" i="1"/>
  <c r="F89" i="1"/>
  <c r="E89" i="1"/>
  <c r="D89" i="1"/>
  <c r="C89" i="1"/>
  <c r="B89" i="1"/>
  <c r="A89" i="1"/>
  <c r="K88" i="1"/>
  <c r="J88" i="1"/>
  <c r="I88" i="1"/>
  <c r="H88" i="1"/>
  <c r="G88" i="1"/>
  <c r="F88" i="1"/>
  <c r="E88" i="1"/>
  <c r="D88" i="1"/>
  <c r="C88" i="1"/>
  <c r="B88" i="1"/>
  <c r="A88" i="1"/>
  <c r="K87" i="1"/>
  <c r="J87" i="1"/>
  <c r="I87" i="1"/>
  <c r="H87" i="1"/>
  <c r="G87" i="1"/>
  <c r="F87" i="1"/>
  <c r="E87" i="1"/>
  <c r="D87" i="1"/>
  <c r="C87" i="1"/>
  <c r="B87" i="1"/>
  <c r="A87" i="1"/>
  <c r="K86" i="1"/>
  <c r="J86" i="1"/>
  <c r="I86" i="1"/>
  <c r="H86" i="1"/>
  <c r="G86" i="1"/>
  <c r="F86" i="1"/>
  <c r="E86" i="1"/>
  <c r="D86" i="1"/>
  <c r="C86" i="1"/>
  <c r="B86" i="1"/>
  <c r="A86" i="1"/>
  <c r="K85" i="1"/>
  <c r="J85" i="1"/>
  <c r="I85" i="1"/>
  <c r="H85" i="1"/>
  <c r="G85" i="1"/>
  <c r="F85" i="1"/>
  <c r="E85" i="1"/>
  <c r="D85" i="1"/>
  <c r="C85" i="1"/>
  <c r="B85" i="1"/>
  <c r="A85" i="1"/>
  <c r="K84" i="1"/>
  <c r="J84" i="1"/>
  <c r="I84" i="1"/>
  <c r="H84" i="1"/>
  <c r="G84" i="1"/>
  <c r="F84" i="1"/>
  <c r="E84" i="1"/>
  <c r="D84" i="1"/>
  <c r="C84" i="1"/>
  <c r="B84" i="1"/>
  <c r="A84" i="1"/>
  <c r="K83" i="1"/>
  <c r="J83" i="1"/>
  <c r="I83" i="1"/>
  <c r="H83" i="1"/>
  <c r="G83" i="1"/>
  <c r="F83" i="1"/>
  <c r="E83" i="1"/>
  <c r="D83" i="1"/>
  <c r="C83" i="1"/>
  <c r="B83" i="1"/>
  <c r="A83" i="1"/>
  <c r="K82" i="1"/>
  <c r="J82" i="1"/>
  <c r="I82" i="1"/>
  <c r="H82" i="1"/>
  <c r="G82" i="1"/>
  <c r="F82" i="1"/>
  <c r="E82" i="1"/>
  <c r="D82" i="1"/>
  <c r="C82" i="1"/>
  <c r="B82" i="1"/>
  <c r="A82" i="1"/>
  <c r="K81" i="1"/>
  <c r="J81" i="1"/>
  <c r="I81" i="1"/>
  <c r="H81" i="1"/>
  <c r="G81" i="1"/>
  <c r="F81" i="1"/>
  <c r="E81" i="1"/>
  <c r="D81" i="1"/>
  <c r="C81" i="1"/>
  <c r="B81" i="1"/>
  <c r="A81" i="1"/>
  <c r="K80" i="1"/>
  <c r="J80" i="1"/>
  <c r="I80" i="1"/>
  <c r="H80" i="1"/>
  <c r="G80" i="1"/>
  <c r="F80" i="1"/>
  <c r="E80" i="1"/>
  <c r="D80" i="1"/>
  <c r="C80" i="1"/>
  <c r="B80" i="1"/>
  <c r="A80" i="1"/>
  <c r="K79" i="1"/>
  <c r="J79" i="1"/>
  <c r="I79" i="1"/>
  <c r="H79" i="1"/>
  <c r="G79" i="1"/>
  <c r="F79" i="1"/>
  <c r="E79" i="1"/>
  <c r="D79" i="1"/>
  <c r="C79" i="1"/>
  <c r="B79" i="1"/>
  <c r="A79" i="1"/>
  <c r="K78" i="1"/>
  <c r="J78" i="1"/>
  <c r="I78" i="1"/>
  <c r="H78" i="1"/>
  <c r="G78" i="1"/>
  <c r="F78" i="1"/>
  <c r="E78" i="1"/>
  <c r="D78" i="1"/>
  <c r="C78" i="1"/>
  <c r="B78" i="1"/>
  <c r="A78" i="1"/>
  <c r="K77" i="1"/>
  <c r="J77" i="1"/>
  <c r="I77" i="1"/>
  <c r="H77" i="1"/>
  <c r="G77" i="1"/>
  <c r="F77" i="1"/>
  <c r="E77" i="1"/>
  <c r="D77" i="1"/>
  <c r="C77" i="1"/>
  <c r="B77" i="1"/>
  <c r="A77" i="1"/>
  <c r="K76" i="1"/>
  <c r="J76" i="1"/>
  <c r="I76" i="1"/>
  <c r="H76" i="1"/>
  <c r="G76" i="1"/>
  <c r="F76" i="1"/>
  <c r="E76" i="1"/>
  <c r="D76" i="1"/>
  <c r="C76" i="1"/>
  <c r="B76" i="1"/>
  <c r="A76" i="1"/>
  <c r="K75" i="1"/>
  <c r="J75" i="1"/>
  <c r="I75" i="1"/>
  <c r="H75" i="1"/>
  <c r="G75" i="1"/>
  <c r="F75" i="1"/>
  <c r="E75" i="1"/>
  <c r="D75" i="1"/>
  <c r="C75" i="1"/>
  <c r="B75" i="1"/>
  <c r="A75" i="1"/>
  <c r="K74" i="1"/>
  <c r="J74" i="1"/>
  <c r="I74" i="1"/>
  <c r="H74" i="1"/>
  <c r="G74" i="1"/>
  <c r="F74" i="1"/>
  <c r="E74" i="1"/>
  <c r="D74" i="1"/>
  <c r="C74" i="1"/>
  <c r="B74" i="1"/>
  <c r="A74" i="1"/>
  <c r="K73" i="1"/>
  <c r="J73" i="1"/>
  <c r="I73" i="1"/>
  <c r="H73" i="1"/>
  <c r="G73" i="1"/>
  <c r="F73" i="1"/>
  <c r="E73" i="1"/>
  <c r="D73" i="1"/>
  <c r="C73" i="1"/>
  <c r="B73" i="1"/>
  <c r="A73" i="1"/>
  <c r="K72" i="1"/>
  <c r="J72" i="1"/>
  <c r="I72" i="1"/>
  <c r="H72" i="1"/>
  <c r="G72" i="1"/>
  <c r="F72" i="1"/>
  <c r="E72" i="1"/>
  <c r="D72" i="1"/>
  <c r="C72" i="1"/>
  <c r="B72" i="1"/>
  <c r="A72" i="1"/>
  <c r="K71" i="1"/>
  <c r="J71" i="1"/>
  <c r="I71" i="1"/>
  <c r="H71" i="1"/>
  <c r="G71" i="1"/>
  <c r="F71" i="1"/>
  <c r="E71" i="1"/>
  <c r="D71" i="1"/>
  <c r="C71" i="1"/>
  <c r="B71" i="1"/>
  <c r="A71" i="1"/>
  <c r="K70" i="1"/>
  <c r="J70" i="1"/>
  <c r="I70" i="1"/>
  <c r="H70" i="1"/>
  <c r="G70" i="1"/>
  <c r="F70" i="1"/>
  <c r="E70" i="1"/>
  <c r="D70" i="1"/>
  <c r="C70" i="1"/>
  <c r="B70" i="1"/>
  <c r="A70" i="1"/>
  <c r="K69" i="1"/>
  <c r="J69" i="1"/>
  <c r="I69" i="1"/>
  <c r="H69" i="1"/>
  <c r="G69" i="1"/>
  <c r="F69" i="1"/>
  <c r="E69" i="1"/>
  <c r="D69" i="1"/>
  <c r="C69" i="1"/>
  <c r="B69" i="1"/>
  <c r="A69" i="1"/>
  <c r="K68" i="1"/>
  <c r="J68" i="1"/>
  <c r="I68" i="1"/>
  <c r="H68" i="1"/>
  <c r="G68" i="1"/>
  <c r="F68" i="1"/>
  <c r="E68" i="1"/>
  <c r="D68" i="1"/>
  <c r="C68" i="1"/>
  <c r="B68" i="1"/>
  <c r="A68" i="1"/>
  <c r="K67" i="1"/>
  <c r="J67" i="1"/>
  <c r="I67" i="1"/>
  <c r="H67" i="1"/>
  <c r="G67" i="1"/>
  <c r="F67" i="1"/>
  <c r="E67" i="1"/>
  <c r="D67" i="1"/>
  <c r="C67" i="1"/>
  <c r="B67" i="1"/>
  <c r="A67" i="1"/>
  <c r="K66" i="1"/>
  <c r="J66" i="1"/>
  <c r="I66" i="1"/>
  <c r="H66" i="1"/>
  <c r="G66" i="1"/>
  <c r="F66" i="1"/>
  <c r="E66" i="1"/>
  <c r="D66" i="1"/>
  <c r="C66" i="1"/>
  <c r="B66" i="1"/>
  <c r="A66" i="1"/>
  <c r="K65" i="1"/>
  <c r="J65" i="1"/>
  <c r="I65" i="1"/>
  <c r="H65" i="1"/>
  <c r="G65" i="1"/>
  <c r="F65" i="1"/>
  <c r="E65" i="1"/>
  <c r="D65" i="1"/>
  <c r="C65" i="1"/>
  <c r="B65" i="1"/>
  <c r="A65" i="1"/>
  <c r="K64" i="1"/>
  <c r="J64" i="1"/>
  <c r="I64" i="1"/>
  <c r="H64" i="1"/>
  <c r="G64" i="1"/>
  <c r="F64" i="1"/>
  <c r="E64" i="1"/>
  <c r="D64" i="1"/>
  <c r="C64" i="1"/>
  <c r="B64" i="1"/>
  <c r="A64" i="1"/>
  <c r="K63" i="1"/>
  <c r="J63" i="1"/>
  <c r="I63" i="1"/>
  <c r="H63" i="1"/>
  <c r="G63" i="1"/>
  <c r="F63" i="1"/>
  <c r="E63" i="1"/>
  <c r="D63" i="1"/>
  <c r="C63" i="1"/>
  <c r="B63" i="1"/>
  <c r="A63" i="1"/>
  <c r="K62" i="1"/>
  <c r="J62" i="1"/>
  <c r="I62" i="1"/>
  <c r="H62" i="1"/>
  <c r="G62" i="1"/>
  <c r="F62" i="1"/>
  <c r="E62" i="1"/>
  <c r="D62" i="1"/>
  <c r="C62" i="1"/>
  <c r="B62" i="1"/>
  <c r="A62" i="1"/>
  <c r="K61" i="1"/>
  <c r="J61" i="1"/>
  <c r="I61" i="1"/>
  <c r="H61" i="1"/>
  <c r="G61" i="1"/>
  <c r="F61" i="1"/>
  <c r="E61" i="1"/>
  <c r="D61" i="1"/>
  <c r="C61" i="1"/>
  <c r="B61" i="1"/>
  <c r="A61" i="1"/>
  <c r="K60" i="1"/>
  <c r="J60" i="1"/>
  <c r="I60" i="1"/>
  <c r="H60" i="1"/>
  <c r="G60" i="1"/>
  <c r="F60" i="1"/>
  <c r="E60" i="1"/>
  <c r="D60" i="1"/>
  <c r="C60" i="1"/>
  <c r="B60" i="1"/>
  <c r="A60" i="1"/>
  <c r="K59" i="1"/>
  <c r="J59" i="1"/>
  <c r="I59" i="1"/>
  <c r="H59" i="1"/>
  <c r="G59" i="1"/>
  <c r="F59" i="1"/>
  <c r="E59" i="1"/>
  <c r="D59" i="1"/>
  <c r="C59" i="1"/>
  <c r="B59" i="1"/>
  <c r="A59" i="1"/>
  <c r="K58" i="1"/>
  <c r="J58" i="1"/>
  <c r="I58" i="1"/>
  <c r="H58" i="1"/>
  <c r="G58" i="1"/>
  <c r="F58" i="1"/>
  <c r="E58" i="1"/>
  <c r="D58" i="1"/>
  <c r="C58" i="1"/>
  <c r="B58" i="1"/>
  <c r="A58" i="1"/>
  <c r="K57" i="1"/>
  <c r="J57" i="1"/>
  <c r="I57" i="1"/>
  <c r="H57" i="1"/>
  <c r="G57" i="1"/>
  <c r="F57" i="1"/>
  <c r="E57" i="1"/>
  <c r="D57" i="1"/>
  <c r="C57" i="1"/>
  <c r="B57" i="1"/>
  <c r="A57" i="1"/>
  <c r="K56" i="1"/>
  <c r="J56" i="1"/>
  <c r="I56" i="1"/>
  <c r="H56" i="1"/>
  <c r="G56" i="1"/>
  <c r="F56" i="1"/>
  <c r="E56" i="1"/>
  <c r="D56" i="1"/>
  <c r="C56" i="1"/>
  <c r="B56" i="1"/>
  <c r="A56" i="1"/>
  <c r="K55" i="1"/>
  <c r="J55" i="1"/>
  <c r="I55" i="1"/>
  <c r="H55" i="1"/>
  <c r="G55" i="1"/>
  <c r="F55" i="1"/>
  <c r="E55" i="1"/>
  <c r="D55" i="1"/>
  <c r="C55" i="1"/>
  <c r="B55" i="1"/>
  <c r="A55" i="1"/>
  <c r="K54" i="1"/>
  <c r="J54" i="1"/>
  <c r="I54" i="1"/>
  <c r="H54" i="1"/>
  <c r="G54" i="1"/>
  <c r="F54" i="1"/>
  <c r="E54" i="1"/>
  <c r="D54" i="1"/>
  <c r="C54" i="1"/>
  <c r="B54" i="1"/>
  <c r="A54" i="1"/>
  <c r="K53" i="1"/>
  <c r="J53" i="1"/>
  <c r="I53" i="1"/>
  <c r="H53" i="1"/>
  <c r="G53" i="1"/>
  <c r="F53" i="1"/>
  <c r="E53" i="1"/>
  <c r="D53" i="1"/>
  <c r="C53" i="1"/>
  <c r="B53" i="1"/>
  <c r="A53" i="1"/>
  <c r="K52" i="1"/>
  <c r="J52" i="1"/>
  <c r="I52" i="1"/>
  <c r="H52" i="1"/>
  <c r="G52" i="1"/>
  <c r="F52" i="1"/>
  <c r="E52" i="1"/>
  <c r="D52" i="1"/>
  <c r="C52" i="1"/>
  <c r="B52" i="1"/>
  <c r="A52" i="1"/>
  <c r="K51" i="1"/>
  <c r="J51" i="1"/>
  <c r="I51" i="1"/>
  <c r="H51" i="1"/>
  <c r="G51" i="1"/>
  <c r="F51" i="1"/>
  <c r="E51" i="1"/>
  <c r="D51" i="1"/>
  <c r="C51" i="1"/>
  <c r="B51" i="1"/>
  <c r="A51" i="1"/>
  <c r="K50" i="1"/>
  <c r="J50" i="1"/>
  <c r="I50" i="1"/>
  <c r="H50" i="1"/>
  <c r="G50" i="1"/>
  <c r="F50" i="1"/>
  <c r="E50" i="1"/>
  <c r="D50" i="1"/>
  <c r="C50" i="1"/>
  <c r="B50" i="1"/>
  <c r="A50" i="1"/>
  <c r="K49" i="1"/>
  <c r="J49" i="1"/>
  <c r="I49" i="1"/>
  <c r="H49" i="1"/>
  <c r="G49" i="1"/>
  <c r="F49" i="1"/>
  <c r="E49" i="1"/>
  <c r="D49" i="1"/>
  <c r="C49" i="1"/>
  <c r="B49" i="1"/>
  <c r="A49" i="1"/>
  <c r="K48" i="1"/>
  <c r="J48" i="1"/>
  <c r="I48" i="1"/>
  <c r="H48" i="1"/>
  <c r="G48" i="1"/>
  <c r="F48" i="1"/>
  <c r="E48" i="1"/>
  <c r="D48" i="1"/>
  <c r="C48" i="1"/>
  <c r="B48" i="1"/>
  <c r="A48" i="1"/>
  <c r="K47" i="1"/>
  <c r="J47" i="1"/>
  <c r="I47" i="1"/>
  <c r="H47" i="1"/>
  <c r="G47" i="1"/>
  <c r="F47" i="1"/>
  <c r="E47" i="1"/>
  <c r="D47" i="1"/>
  <c r="C47" i="1"/>
  <c r="B47" i="1"/>
  <c r="A47" i="1"/>
  <c r="K46" i="1"/>
  <c r="J46" i="1"/>
  <c r="I46" i="1"/>
  <c r="H46" i="1"/>
  <c r="G46" i="1"/>
  <c r="F46" i="1"/>
  <c r="E46" i="1"/>
  <c r="D46" i="1"/>
  <c r="C46" i="1"/>
  <c r="B46" i="1"/>
  <c r="A46" i="1"/>
  <c r="K45" i="1"/>
  <c r="J45" i="1"/>
  <c r="I45" i="1"/>
  <c r="H45" i="1"/>
  <c r="G45" i="1"/>
  <c r="F45" i="1"/>
  <c r="E45" i="1"/>
  <c r="D45" i="1"/>
  <c r="C45" i="1"/>
  <c r="B45" i="1"/>
  <c r="A45" i="1"/>
  <c r="K44" i="1"/>
  <c r="J44" i="1"/>
  <c r="I44" i="1"/>
  <c r="H44" i="1"/>
  <c r="G44" i="1"/>
  <c r="F44" i="1"/>
  <c r="E44" i="1"/>
  <c r="D44" i="1"/>
  <c r="C44" i="1"/>
  <c r="B44" i="1"/>
  <c r="A44" i="1"/>
  <c r="K43" i="1"/>
  <c r="J43" i="1"/>
  <c r="I43" i="1"/>
  <c r="H43" i="1"/>
  <c r="G43" i="1"/>
  <c r="F43" i="1"/>
  <c r="E43" i="1"/>
  <c r="D43" i="1"/>
  <c r="C43" i="1"/>
  <c r="B43" i="1"/>
  <c r="A43" i="1"/>
  <c r="K42" i="1"/>
  <c r="J42" i="1"/>
  <c r="I42" i="1"/>
  <c r="H42" i="1"/>
  <c r="G42" i="1"/>
  <c r="F42" i="1"/>
  <c r="E42" i="1"/>
  <c r="D42" i="1"/>
  <c r="C42" i="1"/>
  <c r="B42" i="1"/>
  <c r="A42" i="1"/>
  <c r="K41" i="1"/>
  <c r="J41" i="1"/>
  <c r="I41" i="1"/>
  <c r="H41" i="1"/>
  <c r="G41" i="1"/>
  <c r="F41" i="1"/>
  <c r="E41" i="1"/>
  <c r="D41" i="1"/>
  <c r="C41" i="1"/>
  <c r="B41" i="1"/>
  <c r="A41" i="1"/>
  <c r="K40" i="1"/>
  <c r="J40" i="1"/>
  <c r="I40" i="1"/>
  <c r="H40" i="1"/>
  <c r="G40" i="1"/>
  <c r="F40" i="1"/>
  <c r="E40" i="1"/>
  <c r="D40" i="1"/>
  <c r="C40" i="1"/>
  <c r="B40" i="1"/>
  <c r="A40" i="1"/>
  <c r="K39" i="1"/>
  <c r="J39" i="1"/>
  <c r="I39" i="1"/>
  <c r="H39" i="1"/>
  <c r="G39" i="1"/>
  <c r="F39" i="1"/>
  <c r="E39" i="1"/>
  <c r="D39" i="1"/>
  <c r="C39" i="1"/>
  <c r="B39" i="1"/>
  <c r="A39" i="1"/>
  <c r="K38" i="1"/>
  <c r="J38" i="1"/>
  <c r="I38" i="1"/>
  <c r="H38" i="1"/>
  <c r="G38" i="1"/>
  <c r="F38" i="1"/>
  <c r="E38" i="1"/>
  <c r="D38" i="1"/>
  <c r="C38" i="1"/>
  <c r="B38" i="1"/>
  <c r="A38" i="1"/>
  <c r="K37" i="1"/>
  <c r="J37" i="1"/>
  <c r="I37" i="1"/>
  <c r="H37" i="1"/>
  <c r="G37" i="1"/>
  <c r="F37" i="1"/>
  <c r="E37" i="1"/>
  <c r="D37" i="1"/>
  <c r="C37" i="1"/>
  <c r="B37" i="1"/>
  <c r="A37" i="1"/>
  <c r="K36" i="1"/>
  <c r="J36" i="1"/>
  <c r="I36" i="1"/>
  <c r="H36" i="1"/>
  <c r="G36" i="1"/>
  <c r="F36" i="1"/>
  <c r="E36" i="1"/>
  <c r="D36" i="1"/>
  <c r="C36" i="1"/>
  <c r="B36" i="1"/>
  <c r="A36" i="1"/>
  <c r="K35" i="1"/>
  <c r="J35" i="1"/>
  <c r="I35" i="1"/>
  <c r="H35" i="1"/>
  <c r="G35" i="1"/>
  <c r="F35" i="1"/>
  <c r="E35" i="1"/>
  <c r="D35" i="1"/>
  <c r="C35" i="1"/>
  <c r="B35" i="1"/>
  <c r="A35" i="1"/>
  <c r="K34" i="1"/>
  <c r="J34" i="1"/>
  <c r="I34" i="1"/>
  <c r="H34" i="1"/>
  <c r="G34" i="1"/>
  <c r="F34" i="1"/>
  <c r="E34" i="1"/>
  <c r="D34" i="1"/>
  <c r="C34" i="1"/>
  <c r="B34" i="1"/>
  <c r="A34" i="1"/>
  <c r="K33" i="1"/>
  <c r="J33" i="1"/>
  <c r="I33" i="1"/>
  <c r="H33" i="1"/>
  <c r="G33" i="1"/>
  <c r="F33" i="1"/>
  <c r="E33" i="1"/>
  <c r="D33" i="1"/>
  <c r="C33" i="1"/>
  <c r="B33" i="1"/>
  <c r="A33" i="1"/>
  <c r="K32" i="1"/>
  <c r="J32" i="1"/>
  <c r="I32" i="1"/>
  <c r="H32" i="1"/>
  <c r="G32" i="1"/>
  <c r="F32" i="1"/>
  <c r="E32" i="1"/>
  <c r="D32" i="1"/>
  <c r="C32" i="1"/>
  <c r="B32" i="1"/>
  <c r="A32" i="1"/>
  <c r="K31" i="1"/>
  <c r="J31" i="1"/>
  <c r="I31" i="1"/>
  <c r="H31" i="1"/>
  <c r="G31" i="1"/>
  <c r="F31" i="1"/>
  <c r="E31" i="1"/>
  <c r="D31" i="1"/>
  <c r="C31" i="1"/>
  <c r="B31" i="1"/>
  <c r="A31" i="1"/>
  <c r="K30" i="1"/>
  <c r="J30" i="1"/>
  <c r="I30" i="1"/>
  <c r="H30" i="1"/>
  <c r="G30" i="1"/>
  <c r="F30" i="1"/>
  <c r="E30" i="1"/>
  <c r="D30" i="1"/>
  <c r="C30" i="1"/>
  <c r="B30" i="1"/>
  <c r="A30" i="1"/>
  <c r="K29" i="1"/>
  <c r="J29" i="1"/>
  <c r="I29" i="1"/>
  <c r="H29" i="1"/>
  <c r="G29" i="1"/>
  <c r="F29" i="1"/>
  <c r="E29" i="1"/>
  <c r="D29" i="1"/>
  <c r="C29" i="1"/>
  <c r="B29" i="1"/>
  <c r="A29" i="1"/>
  <c r="K28" i="1"/>
  <c r="J28" i="1"/>
  <c r="I28" i="1"/>
  <c r="H28" i="1"/>
  <c r="G28" i="1"/>
  <c r="F28" i="1"/>
  <c r="E28" i="1"/>
  <c r="D28" i="1"/>
  <c r="C28" i="1"/>
  <c r="B28" i="1"/>
  <c r="A28" i="1"/>
  <c r="K27" i="1"/>
  <c r="J27" i="1"/>
  <c r="I27" i="1"/>
  <c r="H27" i="1"/>
  <c r="G27" i="1"/>
  <c r="F27" i="1"/>
  <c r="E27" i="1"/>
  <c r="D27" i="1"/>
  <c r="C27" i="1"/>
  <c r="B27" i="1"/>
  <c r="A27" i="1"/>
  <c r="K26" i="1"/>
  <c r="J26" i="1"/>
  <c r="I26" i="1"/>
  <c r="H26" i="1"/>
  <c r="G26" i="1"/>
  <c r="F26" i="1"/>
  <c r="E26" i="1"/>
  <c r="D26" i="1"/>
  <c r="C26" i="1"/>
  <c r="B26" i="1"/>
  <c r="A26" i="1"/>
  <c r="K25" i="1"/>
  <c r="J25" i="1"/>
  <c r="I25" i="1"/>
  <c r="H25" i="1"/>
  <c r="G25" i="1"/>
  <c r="F25" i="1"/>
  <c r="E25" i="1"/>
  <c r="D25" i="1"/>
  <c r="C25" i="1"/>
  <c r="B25" i="1"/>
  <c r="A25" i="1"/>
  <c r="K24" i="1"/>
  <c r="J24" i="1"/>
  <c r="I24" i="1"/>
  <c r="H24" i="1"/>
  <c r="G24" i="1"/>
  <c r="F24" i="1"/>
  <c r="E24" i="1"/>
  <c r="D24" i="1"/>
  <c r="C24" i="1"/>
  <c r="B24" i="1"/>
  <c r="A24" i="1"/>
  <c r="K23" i="1"/>
  <c r="J23" i="1"/>
  <c r="I23" i="1"/>
  <c r="H23" i="1"/>
  <c r="G23" i="1"/>
  <c r="F23" i="1"/>
  <c r="E23" i="1"/>
  <c r="D23" i="1"/>
  <c r="C23" i="1"/>
  <c r="B23" i="1"/>
  <c r="A23" i="1"/>
  <c r="K22" i="1"/>
  <c r="J22" i="1"/>
  <c r="I22" i="1"/>
  <c r="H22" i="1"/>
  <c r="G22" i="1"/>
  <c r="F22" i="1"/>
  <c r="E22" i="1"/>
  <c r="D22" i="1"/>
  <c r="C22" i="1"/>
  <c r="B22" i="1"/>
  <c r="A22" i="1"/>
  <c r="K21" i="1"/>
  <c r="J21" i="1"/>
  <c r="I21" i="1"/>
  <c r="H21" i="1"/>
  <c r="G21" i="1"/>
  <c r="F21" i="1"/>
  <c r="E21" i="1"/>
  <c r="D21" i="1"/>
  <c r="C21" i="1"/>
  <c r="B21" i="1"/>
  <c r="A21" i="1"/>
  <c r="K20" i="1"/>
  <c r="J20" i="1"/>
  <c r="I20" i="1"/>
  <c r="H20" i="1"/>
  <c r="G20" i="1"/>
  <c r="F20" i="1"/>
  <c r="E20" i="1"/>
  <c r="D20" i="1"/>
  <c r="C20" i="1"/>
  <c r="A20" i="1"/>
  <c r="K19" i="1"/>
  <c r="J19" i="1"/>
  <c r="I19" i="1"/>
  <c r="H19" i="1"/>
  <c r="G19" i="1"/>
  <c r="F19" i="1"/>
  <c r="E19" i="1"/>
  <c r="D19" i="1"/>
  <c r="C19" i="1"/>
  <c r="A19" i="1"/>
  <c r="K18" i="1"/>
  <c r="J18" i="1"/>
  <c r="I18" i="1"/>
  <c r="H18" i="1"/>
  <c r="G18" i="1"/>
  <c r="F18" i="1"/>
  <c r="E18" i="1"/>
  <c r="D18" i="1"/>
  <c r="C18" i="1"/>
  <c r="A18" i="1"/>
  <c r="K17" i="1"/>
  <c r="J17" i="1"/>
  <c r="I17" i="1"/>
  <c r="H17" i="1"/>
  <c r="G17" i="1"/>
  <c r="F17" i="1"/>
  <c r="E17" i="1"/>
  <c r="D17" i="1"/>
  <c r="C17" i="1"/>
  <c r="A17" i="1"/>
  <c r="K16" i="1"/>
  <c r="J16" i="1"/>
  <c r="I16" i="1"/>
  <c r="H16" i="1"/>
  <c r="G16" i="1"/>
  <c r="F16" i="1"/>
  <c r="E16" i="1"/>
  <c r="D16" i="1"/>
  <c r="C16" i="1"/>
  <c r="A16" i="1"/>
  <c r="K15" i="1"/>
  <c r="J15" i="1"/>
  <c r="I15" i="1"/>
  <c r="H15" i="1"/>
  <c r="G15" i="1"/>
  <c r="F15" i="1"/>
  <c r="E15" i="1"/>
  <c r="D15" i="1"/>
  <c r="C15" i="1"/>
  <c r="A15" i="1"/>
  <c r="K14" i="1"/>
  <c r="J14" i="1"/>
  <c r="I14" i="1"/>
  <c r="H14" i="1"/>
  <c r="G14" i="1"/>
  <c r="F14" i="1"/>
  <c r="E14" i="1"/>
  <c r="D14" i="1"/>
  <c r="C14" i="1"/>
  <c r="A14" i="1"/>
  <c r="K13" i="1"/>
  <c r="J13" i="1"/>
  <c r="I13" i="1"/>
  <c r="H13" i="1"/>
  <c r="G13" i="1"/>
  <c r="F13" i="1"/>
  <c r="E13" i="1"/>
  <c r="D13" i="1"/>
  <c r="C13" i="1"/>
  <c r="A13" i="1"/>
  <c r="K12" i="1"/>
  <c r="J12" i="1"/>
  <c r="I12" i="1"/>
  <c r="H12" i="1"/>
  <c r="G12" i="1"/>
  <c r="F12" i="1"/>
  <c r="E12" i="1"/>
  <c r="D12" i="1"/>
  <c r="C12" i="1"/>
  <c r="A12" i="1"/>
  <c r="K11" i="1"/>
  <c r="J11" i="1"/>
  <c r="I11" i="1"/>
  <c r="H11" i="1"/>
  <c r="G11" i="1"/>
  <c r="F11" i="1"/>
  <c r="E11" i="1"/>
  <c r="D11" i="1"/>
  <c r="C11" i="1"/>
  <c r="A11" i="1"/>
  <c r="K10" i="1"/>
  <c r="J10" i="1"/>
  <c r="I10" i="1"/>
  <c r="H10" i="1"/>
  <c r="G10" i="1"/>
  <c r="F10" i="1"/>
  <c r="E10" i="1"/>
  <c r="D10" i="1"/>
  <c r="C10" i="1"/>
  <c r="A10" i="1"/>
  <c r="K9" i="1"/>
  <c r="J9" i="1"/>
  <c r="I9" i="1"/>
  <c r="H9" i="1"/>
  <c r="G9" i="1"/>
  <c r="F9" i="1"/>
  <c r="E9" i="1"/>
  <c r="D9" i="1"/>
  <c r="C9" i="1"/>
  <c r="A9" i="1"/>
  <c r="K8" i="1"/>
  <c r="J8" i="1"/>
  <c r="I8" i="1"/>
  <c r="H8" i="1"/>
  <c r="G8" i="1"/>
  <c r="F8" i="1"/>
  <c r="E8" i="1"/>
  <c r="D8" i="1"/>
  <c r="C8" i="1"/>
  <c r="A8" i="1"/>
  <c r="K7" i="1"/>
  <c r="J7" i="1"/>
  <c r="I7" i="1"/>
  <c r="H7" i="1"/>
  <c r="G7" i="1"/>
  <c r="F7" i="1"/>
  <c r="E7" i="1"/>
  <c r="D7" i="1"/>
  <c r="C7" i="1"/>
  <c r="A7" i="1"/>
  <c r="K6" i="1"/>
  <c r="J6" i="1"/>
  <c r="I6" i="1"/>
  <c r="H6" i="1"/>
  <c r="G6" i="1"/>
  <c r="F6" i="1"/>
  <c r="E6" i="1"/>
  <c r="D6" i="1"/>
  <c r="C6" i="1"/>
  <c r="A6" i="1"/>
  <c r="K5" i="1"/>
  <c r="J5" i="1"/>
  <c r="I5" i="1"/>
  <c r="H5" i="1"/>
  <c r="G5" i="1"/>
  <c r="F5" i="1"/>
  <c r="E5" i="1"/>
  <c r="D5" i="1"/>
  <c r="C5" i="1"/>
  <c r="A5" i="1"/>
  <c r="K4" i="1"/>
  <c r="J4" i="1"/>
  <c r="I4" i="1"/>
  <c r="H4" i="1"/>
  <c r="G4" i="1"/>
  <c r="F4" i="1"/>
  <c r="E4" i="1"/>
  <c r="D4" i="1"/>
  <c r="C4" i="1"/>
  <c r="A4" i="1"/>
  <c r="K3" i="1"/>
  <c r="J3" i="1"/>
  <c r="I3" i="1"/>
  <c r="H3" i="1"/>
  <c r="G3" i="1"/>
  <c r="F3" i="1"/>
  <c r="E3" i="1"/>
  <c r="D3" i="1"/>
  <c r="C3" i="1"/>
  <c r="A3" i="1"/>
  <c r="K2" i="1"/>
  <c r="J2" i="1"/>
  <c r="I2" i="1"/>
  <c r="H2" i="1"/>
  <c r="G2" i="1"/>
  <c r="F2" i="1"/>
  <c r="E2" i="1"/>
  <c r="D2" i="1"/>
  <c r="C2" i="1"/>
  <c r="A2" i="1"/>
  <c r="S21" i="5" l="1"/>
  <c r="V25" i="5"/>
  <c r="S37" i="5"/>
  <c r="S40" i="5"/>
  <c r="U40" i="5" s="1"/>
  <c r="F62" i="5"/>
  <c r="S62" i="5"/>
  <c r="U62" i="5" s="1"/>
  <c r="S112" i="5"/>
  <c r="U112" i="5" s="1"/>
  <c r="F112" i="5"/>
  <c r="F117" i="5"/>
  <c r="S117" i="5"/>
  <c r="F137" i="5"/>
  <c r="S137" i="5"/>
  <c r="S181" i="5"/>
  <c r="U181" i="5" s="1"/>
  <c r="N181" i="5"/>
  <c r="S203" i="5"/>
  <c r="F203" i="5"/>
  <c r="S210" i="5"/>
  <c r="J210" i="5"/>
  <c r="BF132" i="8"/>
  <c r="BH132" i="8" s="1"/>
  <c r="BM132" i="8"/>
  <c r="F14" i="5"/>
  <c r="S35" i="5"/>
  <c r="V35" i="5" s="1"/>
  <c r="F162" i="5"/>
  <c r="S162" i="5"/>
  <c r="P189" i="5"/>
  <c r="P190" i="5"/>
  <c r="P241" i="5"/>
  <c r="P242" i="5"/>
  <c r="AZ26" i="8"/>
  <c r="F6" i="5"/>
  <c r="N18" i="5"/>
  <c r="S20" i="5"/>
  <c r="F20" i="5"/>
  <c r="V52" i="5"/>
  <c r="P53" i="5"/>
  <c r="P86" i="5"/>
  <c r="F146" i="5"/>
  <c r="S146" i="5"/>
  <c r="V146" i="5" s="1"/>
  <c r="S156" i="5"/>
  <c r="F156" i="5"/>
  <c r="N196" i="5"/>
  <c r="N227" i="5"/>
  <c r="S227" i="5"/>
  <c r="J235" i="5"/>
  <c r="S235" i="5"/>
  <c r="V235" i="5" s="1"/>
  <c r="AZ22" i="8"/>
  <c r="AA176" i="8"/>
  <c r="O42" i="5"/>
  <c r="S46" i="5"/>
  <c r="V46" i="5" s="1"/>
  <c r="F46" i="5"/>
  <c r="F75" i="5"/>
  <c r="S75" i="5"/>
  <c r="S88" i="5"/>
  <c r="U88" i="5" s="1"/>
  <c r="P112" i="5"/>
  <c r="S116" i="5"/>
  <c r="F116" i="5"/>
  <c r="F226" i="5"/>
  <c r="S226" i="5"/>
  <c r="BB115" i="8"/>
  <c r="BN115" i="8" s="1"/>
  <c r="AZ115" i="8"/>
  <c r="BB116" i="8"/>
  <c r="BN116" i="8" s="1"/>
  <c r="BE115" i="8"/>
  <c r="S13" i="5"/>
  <c r="F13" i="5"/>
  <c r="P49" i="5"/>
  <c r="S66" i="5"/>
  <c r="O66" i="5" s="1"/>
  <c r="V124" i="5"/>
  <c r="S170" i="5"/>
  <c r="U170" i="5" s="1"/>
  <c r="J195" i="5"/>
  <c r="S195" i="5"/>
  <c r="U195" i="5" s="1"/>
  <c r="S205" i="5"/>
  <c r="J205" i="5"/>
  <c r="BA23" i="8"/>
  <c r="AZ86" i="8"/>
  <c r="AA112" i="8"/>
  <c r="BE112" i="8"/>
  <c r="BG112" i="8" s="1"/>
  <c r="AZ112" i="8"/>
  <c r="S41" i="5"/>
  <c r="F100" i="5"/>
  <c r="P167" i="5"/>
  <c r="P168" i="5"/>
  <c r="AZ9" i="8"/>
  <c r="P25" i="5"/>
  <c r="S72" i="5"/>
  <c r="S184" i="5"/>
  <c r="V184" i="5" s="1"/>
  <c r="F184" i="5"/>
  <c r="S105" i="5"/>
  <c r="O106" i="5" s="1"/>
  <c r="S114" i="5"/>
  <c r="V114" i="5" s="1"/>
  <c r="U160" i="5"/>
  <c r="S204" i="5"/>
  <c r="O204" i="5" s="1"/>
  <c r="Q204" i="5" s="1"/>
  <c r="S213" i="5"/>
  <c r="U213" i="5" s="1"/>
  <c r="U6" i="8"/>
  <c r="BA9" i="8"/>
  <c r="AZ13" i="8"/>
  <c r="AZ16" i="8"/>
  <c r="AZ19" i="8"/>
  <c r="BA22" i="8"/>
  <c r="AZ23" i="8"/>
  <c r="BA26" i="8"/>
  <c r="AZ36" i="8"/>
  <c r="AZ46" i="8"/>
  <c r="AZ87" i="8"/>
  <c r="AB137" i="8"/>
  <c r="AA171" i="8"/>
  <c r="S10" i="5"/>
  <c r="U10" i="5" s="1"/>
  <c r="S39" i="5"/>
  <c r="S78" i="5"/>
  <c r="U78" i="5" s="1"/>
  <c r="U85" i="5"/>
  <c r="F90" i="5"/>
  <c r="P127" i="5"/>
  <c r="P157" i="5"/>
  <c r="P159" i="5"/>
  <c r="F160" i="5"/>
  <c r="P162" i="5"/>
  <c r="S172" i="5"/>
  <c r="S198" i="5"/>
  <c r="P200" i="5"/>
  <c r="J204" i="5"/>
  <c r="J213" i="5"/>
  <c r="P215" i="5"/>
  <c r="S238" i="5"/>
  <c r="O238" i="5" s="1"/>
  <c r="BA6" i="8"/>
  <c r="AZ10" i="8"/>
  <c r="BA13" i="8"/>
  <c r="BA16" i="8"/>
  <c r="BA19" i="8"/>
  <c r="BA36" i="8"/>
  <c r="BA46" i="8"/>
  <c r="AZ47" i="8"/>
  <c r="BA87" i="8"/>
  <c r="AZ93" i="8"/>
  <c r="BB111" i="8"/>
  <c r="BE111" i="8"/>
  <c r="BG111" i="8" s="1"/>
  <c r="BH124" i="8"/>
  <c r="AB171" i="8"/>
  <c r="S12" i="5"/>
  <c r="U12" i="5" s="1"/>
  <c r="S30" i="5"/>
  <c r="V30" i="5" s="1"/>
  <c r="S38" i="5"/>
  <c r="V38" i="5" s="1"/>
  <c r="S65" i="5"/>
  <c r="U65" i="5" s="1"/>
  <c r="J78" i="5"/>
  <c r="S82" i="5"/>
  <c r="U82" i="5" s="1"/>
  <c r="S94" i="5"/>
  <c r="O94" i="5" s="1"/>
  <c r="Q94" i="5" s="1"/>
  <c r="P105" i="5"/>
  <c r="R105" i="5" s="1"/>
  <c r="S149" i="5"/>
  <c r="S155" i="5"/>
  <c r="O156" i="5" s="1"/>
  <c r="V157" i="5"/>
  <c r="S159" i="5"/>
  <c r="S174" i="5"/>
  <c r="S192" i="5"/>
  <c r="U192" i="5" s="1"/>
  <c r="J198" i="5"/>
  <c r="S208" i="5"/>
  <c r="V208" i="5" s="1"/>
  <c r="S212" i="5"/>
  <c r="O212" i="5" s="1"/>
  <c r="Q212" i="5" s="1"/>
  <c r="F220" i="5"/>
  <c r="P226" i="5"/>
  <c r="S240" i="5"/>
  <c r="T7" i="8"/>
  <c r="AZ27" i="8"/>
  <c r="AA183" i="8"/>
  <c r="S4" i="5"/>
  <c r="V4" i="5" s="1"/>
  <c r="P15" i="5"/>
  <c r="S22" i="5"/>
  <c r="S27" i="5"/>
  <c r="O27" i="5" s="1"/>
  <c r="Q27" i="5" s="1"/>
  <c r="F30" i="5"/>
  <c r="S43" i="5"/>
  <c r="U43" i="5" s="1"/>
  <c r="S58" i="5"/>
  <c r="U58" i="5" s="1"/>
  <c r="S59" i="5"/>
  <c r="U59" i="5" s="1"/>
  <c r="N65" i="5"/>
  <c r="P87" i="5"/>
  <c r="J94" i="5"/>
  <c r="S104" i="5"/>
  <c r="O104" i="5" s="1"/>
  <c r="S113" i="5"/>
  <c r="S126" i="5"/>
  <c r="U126" i="5" s="1"/>
  <c r="P134" i="5"/>
  <c r="S144" i="5"/>
  <c r="V144" i="5" s="1"/>
  <c r="S164" i="5"/>
  <c r="P165" i="5"/>
  <c r="S178" i="5"/>
  <c r="S179" i="5"/>
  <c r="P185" i="5"/>
  <c r="S201" i="5"/>
  <c r="S223" i="5"/>
  <c r="V223" i="5" s="1"/>
  <c r="S234" i="5"/>
  <c r="O234" i="5" s="1"/>
  <c r="Q234" i="5" s="1"/>
  <c r="S244" i="5"/>
  <c r="O244" i="5" s="1"/>
  <c r="U7" i="8"/>
  <c r="AZ113" i="8"/>
  <c r="BB113" i="8"/>
  <c r="BG154" i="8"/>
  <c r="BG168" i="8"/>
  <c r="AB183" i="8"/>
  <c r="J4" i="5"/>
  <c r="S16" i="5"/>
  <c r="V16" i="5" s="1"/>
  <c r="P23" i="5"/>
  <c r="S25" i="5"/>
  <c r="N27" i="5"/>
  <c r="J58" i="5"/>
  <c r="N59" i="5"/>
  <c r="V72" i="5"/>
  <c r="V79" i="5"/>
  <c r="S96" i="5"/>
  <c r="V96" i="5" s="1"/>
  <c r="N104" i="5"/>
  <c r="S129" i="5"/>
  <c r="S130" i="5"/>
  <c r="S135" i="5"/>
  <c r="U135" i="5" s="1"/>
  <c r="F144" i="5"/>
  <c r="S161" i="5"/>
  <c r="U161" i="5" s="1"/>
  <c r="F178" i="5"/>
  <c r="P191" i="5"/>
  <c r="J197" i="5"/>
  <c r="S200" i="5"/>
  <c r="F201" i="5"/>
  <c r="S231" i="5"/>
  <c r="V231" i="5" s="1"/>
  <c r="P234" i="5"/>
  <c r="F244" i="5"/>
  <c r="AZ11" i="8"/>
  <c r="BA14" i="8"/>
  <c r="BA17" i="8"/>
  <c r="BA18" i="8"/>
  <c r="BA21" i="8"/>
  <c r="BA24" i="8"/>
  <c r="BA28" i="8"/>
  <c r="AZ39" i="8"/>
  <c r="AZ73" i="8"/>
  <c r="AA139" i="8"/>
  <c r="S11" i="5"/>
  <c r="O12" i="5" s="1"/>
  <c r="P46" i="5"/>
  <c r="P78" i="5"/>
  <c r="S81" i="5"/>
  <c r="O98" i="5"/>
  <c r="O160" i="5"/>
  <c r="Q160" i="5" s="1"/>
  <c r="S169" i="5"/>
  <c r="U169" i="5" s="1"/>
  <c r="S173" i="5"/>
  <c r="V173" i="5" s="1"/>
  <c r="S177" i="5"/>
  <c r="U177" i="5" s="1"/>
  <c r="S186" i="5"/>
  <c r="F200" i="5"/>
  <c r="S202" i="5"/>
  <c r="S206" i="5"/>
  <c r="S211" i="5"/>
  <c r="O211" i="5" s="1"/>
  <c r="BA11" i="8"/>
  <c r="BA39" i="8"/>
  <c r="AZ62" i="8"/>
  <c r="AZ107" i="8"/>
  <c r="BN144" i="8"/>
  <c r="BA54" i="8"/>
  <c r="AZ55" i="8"/>
  <c r="BA62" i="8"/>
  <c r="AZ63" i="8"/>
  <c r="AZ83" i="8"/>
  <c r="BA86" i="8"/>
  <c r="AZ90" i="8"/>
  <c r="BA93" i="8"/>
  <c r="BA96" i="8"/>
  <c r="AZ99" i="8"/>
  <c r="BA107" i="8"/>
  <c r="BC111" i="8"/>
  <c r="BO111" i="8" s="1"/>
  <c r="AB112" i="8"/>
  <c r="AB118" i="8"/>
  <c r="AA119" i="8"/>
  <c r="BG124" i="8"/>
  <c r="BG131" i="8"/>
  <c r="BH145" i="8"/>
  <c r="BG147" i="8"/>
  <c r="BG151" i="8"/>
  <c r="BH168" i="8"/>
  <c r="BG170" i="8"/>
  <c r="BH180" i="8"/>
  <c r="BG182" i="8"/>
  <c r="BA35" i="8"/>
  <c r="BA43" i="8"/>
  <c r="AZ51" i="8"/>
  <c r="AZ59" i="8"/>
  <c r="AZ70" i="8"/>
  <c r="BA73" i="8"/>
  <c r="AZ77" i="8"/>
  <c r="AZ80" i="8"/>
  <c r="BA83" i="8"/>
  <c r="BA99" i="8"/>
  <c r="AZ100" i="8"/>
  <c r="AZ103" i="8"/>
  <c r="AZ108" i="8"/>
  <c r="BN113" i="8"/>
  <c r="AB119" i="8"/>
  <c r="BC121" i="8"/>
  <c r="AA125" i="8"/>
  <c r="BN125" i="8"/>
  <c r="BH129" i="8"/>
  <c r="AA130" i="8"/>
  <c r="AA132" i="8"/>
  <c r="BH147" i="8"/>
  <c r="BH151" i="8"/>
  <c r="BG152" i="8"/>
  <c r="BH154" i="8"/>
  <c r="BH158" i="8"/>
  <c r="BO159" i="8"/>
  <c r="BN160" i="8"/>
  <c r="AB162" i="8"/>
  <c r="AB164" i="8"/>
  <c r="BH170" i="8"/>
  <c r="AB174" i="8"/>
  <c r="AB176" i="8"/>
  <c r="BH182" i="8"/>
  <c r="AZ32" i="8"/>
  <c r="BA51" i="8"/>
  <c r="BA59" i="8"/>
  <c r="AZ67" i="8"/>
  <c r="BA70" i="8"/>
  <c r="AZ74" i="8"/>
  <c r="BA77" i="8"/>
  <c r="BA80" i="8"/>
  <c r="AZ94" i="8"/>
  <c r="BA103" i="8"/>
  <c r="AZ104" i="8"/>
  <c r="BA112" i="8"/>
  <c r="BC113" i="8"/>
  <c r="BO113" i="8" s="1"/>
  <c r="BG114" i="8"/>
  <c r="BO115" i="8"/>
  <c r="BA115" i="8"/>
  <c r="BN117" i="8"/>
  <c r="BC118" i="8"/>
  <c r="BO118" i="8" s="1"/>
  <c r="BH123" i="8"/>
  <c r="AB125" i="8"/>
  <c r="BO126" i="8"/>
  <c r="AB130" i="8"/>
  <c r="BO131" i="8"/>
  <c r="BG135" i="8"/>
  <c r="AA140" i="8"/>
  <c r="AB141" i="8"/>
  <c r="BN141" i="8"/>
  <c r="BO150" i="8"/>
  <c r="BN154" i="8"/>
  <c r="BO161" i="8"/>
  <c r="AA163" i="8"/>
  <c r="BN170" i="8"/>
  <c r="BG172" i="8"/>
  <c r="AA175" i="8"/>
  <c r="BN182" i="8"/>
  <c r="BG184" i="8"/>
  <c r="BA32" i="8"/>
  <c r="BA40" i="8"/>
  <c r="AZ48" i="8"/>
  <c r="AZ56" i="8"/>
  <c r="AZ64" i="8"/>
  <c r="BA67" i="8"/>
  <c r="BA94" i="8"/>
  <c r="BA97" i="8"/>
  <c r="BA104" i="8"/>
  <c r="BN111" i="8"/>
  <c r="BF111" i="8"/>
  <c r="BH111" i="8" s="1"/>
  <c r="BH114" i="8"/>
  <c r="AA116" i="8"/>
  <c r="BH119" i="8"/>
  <c r="AZ122" i="8"/>
  <c r="AZ123" i="8"/>
  <c r="BH130" i="8"/>
  <c r="BH133" i="8"/>
  <c r="AA134" i="8"/>
  <c r="BN135" i="8"/>
  <c r="BG139" i="8"/>
  <c r="BO147" i="8"/>
  <c r="BO154" i="8"/>
  <c r="AB166" i="8"/>
  <c r="BO170" i="8"/>
  <c r="BH172" i="8"/>
  <c r="AB178" i="8"/>
  <c r="BO182" i="8"/>
  <c r="BG183" i="8"/>
  <c r="BH184" i="8"/>
  <c r="AZ29" i="8"/>
  <c r="BA33" i="8"/>
  <c r="AZ37" i="8"/>
  <c r="BA41" i="8"/>
  <c r="BA48" i="8"/>
  <c r="BA56" i="8"/>
  <c r="BA64" i="8"/>
  <c r="AZ78" i="8"/>
  <c r="BA81" i="8"/>
  <c r="BA82" i="8"/>
  <c r="AZ85" i="8"/>
  <c r="AZ88" i="8"/>
  <c r="BA91" i="8"/>
  <c r="BA98" i="8"/>
  <c r="AZ101" i="8"/>
  <c r="BA105" i="8"/>
  <c r="BF113" i="8"/>
  <c r="BH113" i="8" s="1"/>
  <c r="AZ114" i="8"/>
  <c r="BC115" i="8"/>
  <c r="AB116" i="8"/>
  <c r="AA117" i="8"/>
  <c r="AA120" i="8"/>
  <c r="BA122" i="8"/>
  <c r="BA123" i="8"/>
  <c r="AA124" i="8"/>
  <c r="BG127" i="8"/>
  <c r="AA131" i="8"/>
  <c r="AB134" i="8"/>
  <c r="BO135" i="8"/>
  <c r="BH137" i="8"/>
  <c r="AA138" i="8"/>
  <c r="BN139" i="8"/>
  <c r="BH139" i="8"/>
  <c r="BO140" i="8"/>
  <c r="AB143" i="8"/>
  <c r="AB145" i="8"/>
  <c r="BN145" i="8"/>
  <c r="AA147" i="8"/>
  <c r="BN148" i="8"/>
  <c r="BH149" i="8"/>
  <c r="BO163" i="8"/>
  <c r="BN168" i="8"/>
  <c r="AA170" i="8"/>
  <c r="BO172" i="8"/>
  <c r="BO175" i="8"/>
  <c r="AA179" i="8"/>
  <c r="AB180" i="8"/>
  <c r="BN180" i="8"/>
  <c r="AA182" i="8"/>
  <c r="BO184" i="8"/>
  <c r="BA78" i="8"/>
  <c r="BA85" i="8"/>
  <c r="BA88" i="8"/>
  <c r="BA101" i="8"/>
  <c r="BA106" i="8"/>
  <c r="BH115" i="8"/>
  <c r="AB121" i="8"/>
  <c r="BN129" i="8"/>
  <c r="BH134" i="8"/>
  <c r="BO139" i="8"/>
  <c r="BO152" i="8"/>
  <c r="BN158" i="8"/>
  <c r="BN162" i="8"/>
  <c r="BH163" i="8"/>
  <c r="BN174" i="8"/>
  <c r="BH175" i="8"/>
  <c r="O22" i="5"/>
  <c r="U22" i="5"/>
  <c r="S5" i="5"/>
  <c r="F5" i="5"/>
  <c r="O10" i="5"/>
  <c r="U13" i="5"/>
  <c r="S23" i="5"/>
  <c r="J23" i="5"/>
  <c r="V27" i="5"/>
  <c r="U27" i="5"/>
  <c r="O30" i="5"/>
  <c r="Q30" i="5" s="1"/>
  <c r="O43" i="5"/>
  <c r="U61" i="5"/>
  <c r="V61" i="5"/>
  <c r="O61" i="5"/>
  <c r="Q61" i="5" s="1"/>
  <c r="J74" i="5"/>
  <c r="S74" i="5"/>
  <c r="V12" i="5"/>
  <c r="V13" i="5"/>
  <c r="P13" i="5"/>
  <c r="O14" i="5"/>
  <c r="U14" i="5"/>
  <c r="U35" i="5"/>
  <c r="U37" i="5"/>
  <c r="O37" i="5"/>
  <c r="Q37" i="5" s="1"/>
  <c r="P42" i="5"/>
  <c r="R42" i="5" s="1"/>
  <c r="V42" i="5"/>
  <c r="P43" i="5"/>
  <c r="U46" i="5"/>
  <c r="O52" i="5"/>
  <c r="O82" i="5"/>
  <c r="V82" i="5"/>
  <c r="P97" i="5"/>
  <c r="V97" i="5"/>
  <c r="S128" i="5"/>
  <c r="J128" i="5"/>
  <c r="U4" i="5"/>
  <c r="S9" i="5"/>
  <c r="F9" i="5"/>
  <c r="F12" i="5"/>
  <c r="U17" i="5"/>
  <c r="O17" i="5"/>
  <c r="Q17" i="5" s="1"/>
  <c r="S29" i="5"/>
  <c r="F29" i="5"/>
  <c r="F37" i="5"/>
  <c r="P41" i="5"/>
  <c r="U42" i="5"/>
  <c r="J47" i="5"/>
  <c r="S47" i="5"/>
  <c r="V47" i="5" s="1"/>
  <c r="J51" i="5"/>
  <c r="S51" i="5"/>
  <c r="O62" i="5"/>
  <c r="F64" i="5"/>
  <c r="J82" i="5"/>
  <c r="R120" i="5"/>
  <c r="F123" i="5"/>
  <c r="S123" i="5"/>
  <c r="V17" i="5"/>
  <c r="P17" i="5"/>
  <c r="O18" i="5"/>
  <c r="U18" i="5"/>
  <c r="P19" i="5"/>
  <c r="P20" i="5"/>
  <c r="V19" i="5"/>
  <c r="U21" i="5"/>
  <c r="O21" i="5"/>
  <c r="O26" i="5"/>
  <c r="U26" i="5"/>
  <c r="S31" i="5"/>
  <c r="U56" i="5"/>
  <c r="O56" i="5"/>
  <c r="V62" i="5"/>
  <c r="P62" i="5"/>
  <c r="P63" i="5"/>
  <c r="U81" i="5"/>
  <c r="U103" i="5"/>
  <c r="S7" i="5"/>
  <c r="V7" i="5" s="1"/>
  <c r="F21" i="5"/>
  <c r="P26" i="5"/>
  <c r="V26" i="5"/>
  <c r="P27" i="5"/>
  <c r="P31" i="5"/>
  <c r="P32" i="5"/>
  <c r="P38" i="5"/>
  <c r="P39" i="5"/>
  <c r="F56" i="5"/>
  <c r="J81" i="5"/>
  <c r="O105" i="5"/>
  <c r="U105" i="5"/>
  <c r="O114" i="5"/>
  <c r="U114" i="5"/>
  <c r="P138" i="5"/>
  <c r="S143" i="5"/>
  <c r="F143" i="5"/>
  <c r="V15" i="5"/>
  <c r="U15" i="5"/>
  <c r="O15" i="5"/>
  <c r="S24" i="5"/>
  <c r="F24" i="5"/>
  <c r="U30" i="5"/>
  <c r="O40" i="5"/>
  <c r="P47" i="5"/>
  <c r="P66" i="5"/>
  <c r="V66" i="5"/>
  <c r="P67" i="5"/>
  <c r="O117" i="5"/>
  <c r="Q117" i="5" s="1"/>
  <c r="U117" i="5"/>
  <c r="S3" i="5"/>
  <c r="J15" i="5"/>
  <c r="P22" i="5"/>
  <c r="V22" i="5"/>
  <c r="F40" i="5"/>
  <c r="U64" i="5"/>
  <c r="O65" i="5"/>
  <c r="Q65" i="5" s="1"/>
  <c r="S107" i="5"/>
  <c r="F107" i="5"/>
  <c r="P117" i="5"/>
  <c r="V117" i="5"/>
  <c r="P118" i="5"/>
  <c r="O130" i="5"/>
  <c r="U130" i="5"/>
  <c r="P9" i="5"/>
  <c r="V21" i="5"/>
  <c r="P21" i="5"/>
  <c r="R21" i="5" s="1"/>
  <c r="J39" i="5"/>
  <c r="N43" i="5"/>
  <c r="V64" i="5"/>
  <c r="S86" i="5"/>
  <c r="U49" i="5"/>
  <c r="V119" i="5"/>
  <c r="U119" i="5"/>
  <c r="V127" i="5"/>
  <c r="U127" i="5"/>
  <c r="P141" i="5"/>
  <c r="P142" i="5"/>
  <c r="V141" i="5"/>
  <c r="O162" i="5"/>
  <c r="U162" i="5"/>
  <c r="P3" i="5"/>
  <c r="P14" i="5"/>
  <c r="V14" i="5"/>
  <c r="P18" i="5"/>
  <c r="R18" i="5" s="1"/>
  <c r="V18" i="5"/>
  <c r="S33" i="5"/>
  <c r="P36" i="5"/>
  <c r="V49" i="5"/>
  <c r="J52" i="5"/>
  <c r="S53" i="5"/>
  <c r="F53" i="5"/>
  <c r="P54" i="5"/>
  <c r="P71" i="5"/>
  <c r="O72" i="5"/>
  <c r="Q72" i="5" s="1"/>
  <c r="U75" i="5"/>
  <c r="O79" i="5"/>
  <c r="Q79" i="5" s="1"/>
  <c r="U104" i="5"/>
  <c r="J105" i="5"/>
  <c r="N114" i="5"/>
  <c r="U116" i="5"/>
  <c r="F127" i="5"/>
  <c r="O135" i="5"/>
  <c r="Q135" i="5" s="1"/>
  <c r="V135" i="5"/>
  <c r="P144" i="5"/>
  <c r="V6" i="5"/>
  <c r="U6" i="5"/>
  <c r="V33" i="5"/>
  <c r="U41" i="5"/>
  <c r="V68" i="5"/>
  <c r="P74" i="5"/>
  <c r="P75" i="5"/>
  <c r="P76" i="5"/>
  <c r="V75" i="5"/>
  <c r="V77" i="5"/>
  <c r="U77" i="5"/>
  <c r="P84" i="5"/>
  <c r="F95" i="5"/>
  <c r="S95" i="5"/>
  <c r="P108" i="5"/>
  <c r="V107" i="5"/>
  <c r="P107" i="5"/>
  <c r="P123" i="5"/>
  <c r="V123" i="5"/>
  <c r="P128" i="5"/>
  <c r="V128" i="5"/>
  <c r="P129" i="5"/>
  <c r="U132" i="5"/>
  <c r="V132" i="5"/>
  <c r="P4" i="5"/>
  <c r="P11" i="5"/>
  <c r="V20" i="5"/>
  <c r="U20" i="5"/>
  <c r="U25" i="5"/>
  <c r="J41" i="5"/>
  <c r="S44" i="5"/>
  <c r="F68" i="5"/>
  <c r="U72" i="5"/>
  <c r="U79" i="5"/>
  <c r="V90" i="5"/>
  <c r="P90" i="5"/>
  <c r="S92" i="5"/>
  <c r="F92" i="5"/>
  <c r="P98" i="5"/>
  <c r="R98" i="5" s="1"/>
  <c r="N132" i="5"/>
  <c r="P7" i="5"/>
  <c r="S19" i="5"/>
  <c r="S28" i="5"/>
  <c r="S36" i="5"/>
  <c r="F36" i="5"/>
  <c r="V37" i="5"/>
  <c r="P37" i="5"/>
  <c r="S45" i="5"/>
  <c r="F45" i="5"/>
  <c r="P51" i="5"/>
  <c r="P52" i="5"/>
  <c r="R52" i="5" s="1"/>
  <c r="V51" i="5"/>
  <c r="U55" i="5"/>
  <c r="V55" i="5"/>
  <c r="V56" i="5"/>
  <c r="P56" i="5"/>
  <c r="V58" i="5"/>
  <c r="J69" i="5"/>
  <c r="S69" i="5"/>
  <c r="S70" i="5"/>
  <c r="V70" i="5" s="1"/>
  <c r="F70" i="5"/>
  <c r="S71" i="5"/>
  <c r="S83" i="5"/>
  <c r="V83" i="5" s="1"/>
  <c r="F83" i="5"/>
  <c r="P88" i="5"/>
  <c r="S91" i="5"/>
  <c r="F91" i="5"/>
  <c r="U94" i="5"/>
  <c r="U97" i="5"/>
  <c r="U98" i="5"/>
  <c r="P99" i="5"/>
  <c r="S101" i="5"/>
  <c r="U144" i="5"/>
  <c r="O144" i="5"/>
  <c r="P131" i="5"/>
  <c r="P132" i="5"/>
  <c r="V131" i="5"/>
  <c r="O201" i="5"/>
  <c r="V201" i="5"/>
  <c r="U201" i="5"/>
  <c r="S87" i="5"/>
  <c r="S102" i="5"/>
  <c r="F102" i="5"/>
  <c r="V103" i="5"/>
  <c r="P103" i="5"/>
  <c r="O113" i="5"/>
  <c r="U113" i="5"/>
  <c r="P114" i="5"/>
  <c r="R114" i="5" s="1"/>
  <c r="V116" i="5"/>
  <c r="P116" i="5"/>
  <c r="S122" i="5"/>
  <c r="F122" i="5"/>
  <c r="P130" i="5"/>
  <c r="V130" i="5"/>
  <c r="F133" i="5"/>
  <c r="S133" i="5"/>
  <c r="U137" i="5"/>
  <c r="U153" i="5"/>
  <c r="U156" i="5"/>
  <c r="S167" i="5"/>
  <c r="F167" i="5"/>
  <c r="U172" i="5"/>
  <c r="V172" i="5"/>
  <c r="O182" i="5"/>
  <c r="Q182" i="5" s="1"/>
  <c r="U182" i="5"/>
  <c r="S34" i="5"/>
  <c r="O35" i="5" s="1"/>
  <c r="S50" i="5"/>
  <c r="F55" i="5"/>
  <c r="S57" i="5"/>
  <c r="P59" i="5"/>
  <c r="P60" i="5"/>
  <c r="F61" i="5"/>
  <c r="S63" i="5"/>
  <c r="O64" i="5" s="1"/>
  <c r="P65" i="5"/>
  <c r="S67" i="5"/>
  <c r="V67" i="5" s="1"/>
  <c r="F67" i="5"/>
  <c r="S73" i="5"/>
  <c r="S80" i="5"/>
  <c r="O81" i="5" s="1"/>
  <c r="F80" i="5"/>
  <c r="P81" i="5"/>
  <c r="P82" i="5"/>
  <c r="S93" i="5"/>
  <c r="N106" i="5"/>
  <c r="V113" i="5"/>
  <c r="P113" i="5"/>
  <c r="O124" i="5"/>
  <c r="V137" i="5"/>
  <c r="P137" i="5"/>
  <c r="P148" i="5"/>
  <c r="P149" i="5"/>
  <c r="V148" i="5"/>
  <c r="P151" i="5"/>
  <c r="F153" i="5"/>
  <c r="J172" i="5"/>
  <c r="O193" i="5"/>
  <c r="Q193" i="5" s="1"/>
  <c r="V193" i="5"/>
  <c r="U193" i="5"/>
  <c r="O196" i="5"/>
  <c r="U196" i="5"/>
  <c r="S218" i="5"/>
  <c r="F218" i="5"/>
  <c r="N228" i="5"/>
  <c r="S228" i="5"/>
  <c r="V228" i="5" s="1"/>
  <c r="S8" i="5"/>
  <c r="V29" i="5"/>
  <c r="S32" i="5"/>
  <c r="P34" i="5"/>
  <c r="P44" i="5"/>
  <c r="S48" i="5"/>
  <c r="P50" i="5"/>
  <c r="V57" i="5"/>
  <c r="P91" i="5"/>
  <c r="V105" i="5"/>
  <c r="U120" i="5"/>
  <c r="O120" i="5"/>
  <c r="Q120" i="5" s="1"/>
  <c r="P124" i="5"/>
  <c r="U129" i="5"/>
  <c r="O129" i="5"/>
  <c r="Q129" i="5" s="1"/>
  <c r="V145" i="5"/>
  <c r="P145" i="5"/>
  <c r="P146" i="5"/>
  <c r="U148" i="5"/>
  <c r="S180" i="5"/>
  <c r="V180" i="5" s="1"/>
  <c r="N180" i="5"/>
  <c r="S54" i="5"/>
  <c r="V59" i="5"/>
  <c r="V65" i="5"/>
  <c r="S76" i="5"/>
  <c r="F76" i="5"/>
  <c r="V81" i="5"/>
  <c r="V85" i="5"/>
  <c r="S89" i="5"/>
  <c r="U90" i="5"/>
  <c r="V94" i="5"/>
  <c r="P94" i="5"/>
  <c r="V100" i="5"/>
  <c r="P106" i="5"/>
  <c r="S121" i="5"/>
  <c r="U124" i="5"/>
  <c r="S136" i="5"/>
  <c r="O137" i="5" s="1"/>
  <c r="Q137" i="5" s="1"/>
  <c r="F136" i="5"/>
  <c r="J140" i="5"/>
  <c r="S140" i="5"/>
  <c r="V140" i="5" s="1"/>
  <c r="N171" i="5"/>
  <c r="S171" i="5"/>
  <c r="O172" i="5" s="1"/>
  <c r="U178" i="5"/>
  <c r="F187" i="5"/>
  <c r="S187" i="5"/>
  <c r="O188" i="5" s="1"/>
  <c r="S215" i="5"/>
  <c r="F215" i="5"/>
  <c r="O157" i="5"/>
  <c r="Q157" i="5" s="1"/>
  <c r="O159" i="5"/>
  <c r="Q159" i="5" s="1"/>
  <c r="S168" i="5"/>
  <c r="F168" i="5"/>
  <c r="O170" i="5"/>
  <c r="Q170" i="5" s="1"/>
  <c r="P182" i="5"/>
  <c r="V182" i="5"/>
  <c r="P183" i="5"/>
  <c r="O186" i="5"/>
  <c r="Q186" i="5" s="1"/>
  <c r="U186" i="5"/>
  <c r="O203" i="5"/>
  <c r="Q203" i="5" s="1"/>
  <c r="U203" i="5"/>
  <c r="P229" i="5"/>
  <c r="P230" i="5"/>
  <c r="U231" i="5"/>
  <c r="O231" i="5"/>
  <c r="Q231" i="5" s="1"/>
  <c r="V233" i="5"/>
  <c r="S109" i="5"/>
  <c r="J157" i="5"/>
  <c r="F159" i="5"/>
  <c r="P170" i="5"/>
  <c r="O179" i="5"/>
  <c r="U179" i="5"/>
  <c r="F186" i="5"/>
  <c r="S189" i="5"/>
  <c r="J189" i="5"/>
  <c r="S194" i="5"/>
  <c r="O195" i="5" s="1"/>
  <c r="Q195" i="5" s="1"/>
  <c r="F194" i="5"/>
  <c r="O202" i="5"/>
  <c r="U202" i="5"/>
  <c r="S99" i="5"/>
  <c r="O100" i="5" s="1"/>
  <c r="F99" i="5"/>
  <c r="P104" i="5"/>
  <c r="J111" i="5"/>
  <c r="S111" i="5"/>
  <c r="F120" i="5"/>
  <c r="S139" i="5"/>
  <c r="V139" i="5" s="1"/>
  <c r="F139" i="5"/>
  <c r="S150" i="5"/>
  <c r="F150" i="5"/>
  <c r="O164" i="5"/>
  <c r="Q164" i="5" s="1"/>
  <c r="P174" i="5"/>
  <c r="V185" i="5"/>
  <c r="U185" i="5"/>
  <c r="O185" i="5"/>
  <c r="Q185" i="5" s="1"/>
  <c r="O198" i="5"/>
  <c r="V198" i="5"/>
  <c r="U198" i="5"/>
  <c r="S60" i="5"/>
  <c r="P73" i="5"/>
  <c r="F85" i="5"/>
  <c r="S108" i="5"/>
  <c r="S115" i="5"/>
  <c r="O116" i="5" s="1"/>
  <c r="Q116" i="5" s="1"/>
  <c r="F115" i="5"/>
  <c r="V120" i="5"/>
  <c r="P121" i="5"/>
  <c r="P122" i="5"/>
  <c r="S131" i="5"/>
  <c r="P135" i="5"/>
  <c r="S138" i="5"/>
  <c r="S145" i="5"/>
  <c r="R157" i="5"/>
  <c r="J164" i="5"/>
  <c r="S165" i="5"/>
  <c r="P175" i="5"/>
  <c r="V178" i="5"/>
  <c r="P178" i="5"/>
  <c r="U188" i="5"/>
  <c r="V188" i="5"/>
  <c r="U220" i="5"/>
  <c r="P235" i="5"/>
  <c r="S84" i="5"/>
  <c r="P89" i="5"/>
  <c r="V102" i="5"/>
  <c r="V104" i="5"/>
  <c r="F108" i="5"/>
  <c r="S110" i="5"/>
  <c r="P110" i="5"/>
  <c r="F126" i="5"/>
  <c r="J131" i="5"/>
  <c r="V133" i="5"/>
  <c r="J138" i="5"/>
  <c r="J145" i="5"/>
  <c r="S152" i="5"/>
  <c r="O153" i="5" s="1"/>
  <c r="Q153" i="5" s="1"/>
  <c r="F152" i="5"/>
  <c r="V153" i="5"/>
  <c r="P153" i="5"/>
  <c r="U157" i="5"/>
  <c r="U174" i="5"/>
  <c r="U176" i="5"/>
  <c r="O176" i="5"/>
  <c r="Q176" i="5" s="1"/>
  <c r="V176" i="5"/>
  <c r="J188" i="5"/>
  <c r="S191" i="5"/>
  <c r="F191" i="5"/>
  <c r="P194" i="5"/>
  <c r="V194" i="5"/>
  <c r="U197" i="5"/>
  <c r="O197" i="5"/>
  <c r="S219" i="5"/>
  <c r="V219" i="5" s="1"/>
  <c r="J219" i="5"/>
  <c r="P179" i="5"/>
  <c r="V179" i="5"/>
  <c r="U208" i="5"/>
  <c r="O208" i="5"/>
  <c r="S216" i="5"/>
  <c r="F216" i="5"/>
  <c r="O226" i="5"/>
  <c r="U226" i="5"/>
  <c r="O227" i="5"/>
  <c r="U227" i="5"/>
  <c r="P228" i="5"/>
  <c r="S232" i="5"/>
  <c r="F232" i="5"/>
  <c r="S233" i="5"/>
  <c r="F233" i="5"/>
  <c r="V238" i="5"/>
  <c r="P238" i="5"/>
  <c r="S142" i="5"/>
  <c r="S154" i="5"/>
  <c r="P156" i="5"/>
  <c r="S158" i="5"/>
  <c r="F158" i="5"/>
  <c r="V162" i="5"/>
  <c r="S163" i="5"/>
  <c r="P171" i="5"/>
  <c r="V171" i="5"/>
  <c r="F208" i="5"/>
  <c r="J212" i="5"/>
  <c r="P219" i="5"/>
  <c r="U238" i="5"/>
  <c r="S118" i="5"/>
  <c r="S125" i="5"/>
  <c r="F129" i="5"/>
  <c r="P139" i="5"/>
  <c r="F142" i="5"/>
  <c r="S147" i="5"/>
  <c r="O148" i="5" s="1"/>
  <c r="P163" i="5"/>
  <c r="V163" i="5"/>
  <c r="S166" i="5"/>
  <c r="P180" i="5"/>
  <c r="U211" i="5"/>
  <c r="V220" i="5"/>
  <c r="P221" i="5"/>
  <c r="P222" i="5"/>
  <c r="V221" i="5"/>
  <c r="U223" i="5"/>
  <c r="S239" i="5"/>
  <c r="F239" i="5"/>
  <c r="P115" i="5"/>
  <c r="F118" i="5"/>
  <c r="V126" i="5"/>
  <c r="V129" i="5"/>
  <c r="F135" i="5"/>
  <c r="P147" i="5"/>
  <c r="S151" i="5"/>
  <c r="V156" i="5"/>
  <c r="V158" i="5"/>
  <c r="V160" i="5"/>
  <c r="P172" i="5"/>
  <c r="U184" i="5"/>
  <c r="P187" i="5"/>
  <c r="O206" i="5"/>
  <c r="Q206" i="5" s="1"/>
  <c r="U210" i="5"/>
  <c r="J211" i="5"/>
  <c r="S224" i="5"/>
  <c r="O225" i="5" s="1"/>
  <c r="F224" i="5"/>
  <c r="P236" i="5"/>
  <c r="V236" i="5"/>
  <c r="S134" i="5"/>
  <c r="S141" i="5"/>
  <c r="P164" i="5"/>
  <c r="S175" i="5"/>
  <c r="F175" i="5"/>
  <c r="V177" i="5"/>
  <c r="V186" i="5"/>
  <c r="P186" i="5"/>
  <c r="P195" i="5"/>
  <c r="V195" i="5"/>
  <c r="P196" i="5"/>
  <c r="R196" i="5" s="1"/>
  <c r="V196" i="5"/>
  <c r="U205" i="5"/>
  <c r="P218" i="5"/>
  <c r="V218" i="5"/>
  <c r="U236" i="5"/>
  <c r="V192" i="5"/>
  <c r="S199" i="5"/>
  <c r="F199" i="5"/>
  <c r="P202" i="5"/>
  <c r="R202" i="5" s="1"/>
  <c r="V202" i="5"/>
  <c r="P203" i="5"/>
  <c r="V203" i="5"/>
  <c r="S209" i="5"/>
  <c r="U225" i="5"/>
  <c r="V225" i="5"/>
  <c r="P227" i="5"/>
  <c r="V227" i="5"/>
  <c r="S237" i="5"/>
  <c r="F192" i="5"/>
  <c r="P197" i="5"/>
  <c r="P204" i="5"/>
  <c r="S214" i="5"/>
  <c r="F225" i="5"/>
  <c r="F166" i="5"/>
  <c r="F174" i="5"/>
  <c r="P181" i="5"/>
  <c r="S183" i="5"/>
  <c r="O184" i="5" s="1"/>
  <c r="F183" i="5"/>
  <c r="P188" i="5"/>
  <c r="S190" i="5"/>
  <c r="V190" i="5"/>
  <c r="S207" i="5"/>
  <c r="F207" i="5"/>
  <c r="P210" i="5"/>
  <c r="V210" i="5"/>
  <c r="P211" i="5"/>
  <c r="V211" i="5"/>
  <c r="S217" i="5"/>
  <c r="V217" i="5" s="1"/>
  <c r="S221" i="5"/>
  <c r="S230" i="5"/>
  <c r="F185" i="5"/>
  <c r="V197" i="5"/>
  <c r="P198" i="5"/>
  <c r="R198" i="5" s="1"/>
  <c r="V200" i="5"/>
  <c r="U200" i="5"/>
  <c r="P205" i="5"/>
  <c r="P212" i="5"/>
  <c r="S222" i="5"/>
  <c r="S229" i="5"/>
  <c r="P239" i="5"/>
  <c r="P240" i="5"/>
  <c r="F223" i="5"/>
  <c r="F231" i="5"/>
  <c r="J238" i="5"/>
  <c r="V243" i="5"/>
  <c r="BO119" i="8"/>
  <c r="F214" i="5"/>
  <c r="F222" i="5"/>
  <c r="V226" i="5"/>
  <c r="F230" i="5"/>
  <c r="V234" i="5"/>
  <c r="V244" i="5"/>
  <c r="U244" i="5"/>
  <c r="P237" i="5"/>
  <c r="S242" i="5"/>
  <c r="V242" i="5" s="1"/>
  <c r="F242" i="5"/>
  <c r="F243" i="5"/>
  <c r="S243" i="5"/>
  <c r="BF118" i="8"/>
  <c r="BH118" i="8" s="1"/>
  <c r="BE121" i="8"/>
  <c r="BG121" i="8" s="1"/>
  <c r="BB121" i="8"/>
  <c r="BN121" i="8" s="1"/>
  <c r="AZ110" i="8"/>
  <c r="S241" i="5"/>
  <c r="BB112" i="8"/>
  <c r="BN112" i="8" s="1"/>
  <c r="BC117" i="8"/>
  <c r="BO117" i="8" s="1"/>
  <c r="BB119" i="8"/>
  <c r="BN119" i="8" s="1"/>
  <c r="BC120" i="8"/>
  <c r="BO120" i="8" s="1"/>
  <c r="BA120" i="8"/>
  <c r="BG123" i="8"/>
  <c r="BE132" i="8"/>
  <c r="BG132" i="8" s="1"/>
  <c r="BL132" i="8"/>
  <c r="BE136" i="8"/>
  <c r="BG136" i="8" s="1"/>
  <c r="BL136" i="8"/>
  <c r="BG163" i="8"/>
  <c r="BC112" i="8"/>
  <c r="BO112" i="8" s="1"/>
  <c r="BE113" i="8"/>
  <c r="BG113" i="8" s="1"/>
  <c r="BB114" i="8"/>
  <c r="BN114" i="8" s="1"/>
  <c r="BG115" i="8"/>
  <c r="BC116" i="8"/>
  <c r="BO116" i="8" s="1"/>
  <c r="AZ117" i="8"/>
  <c r="AZ118" i="8"/>
  <c r="BC119" i="8"/>
  <c r="BB120" i="8"/>
  <c r="BN120" i="8" s="1"/>
  <c r="BO121" i="8"/>
  <c r="BA121" i="8"/>
  <c r="BB122" i="8"/>
  <c r="BN122" i="8" s="1"/>
  <c r="AA126" i="8"/>
  <c r="AA127" i="8"/>
  <c r="BG144" i="8"/>
  <c r="AA169" i="8"/>
  <c r="BG175" i="8"/>
  <c r="AZ111" i="8"/>
  <c r="BC114" i="8"/>
  <c r="BO114" i="8" s="1"/>
  <c r="BA117" i="8"/>
  <c r="BA118" i="8"/>
  <c r="BC122" i="8"/>
  <c r="BO122" i="8" s="1"/>
  <c r="AB126" i="8"/>
  <c r="AA136" i="8"/>
  <c r="BG148" i="8"/>
  <c r="BG157" i="8"/>
  <c r="AB169" i="8"/>
  <c r="BA111" i="8"/>
  <c r="AA114" i="8"/>
  <c r="BE116" i="8"/>
  <c r="BG116" i="8" s="1"/>
  <c r="BB118" i="8"/>
  <c r="BN118" i="8" s="1"/>
  <c r="BG119" i="8"/>
  <c r="BE120" i="8"/>
  <c r="BG120" i="8" s="1"/>
  <c r="BF121" i="8"/>
  <c r="BH121" i="8" s="1"/>
  <c r="AA122" i="8"/>
  <c r="BG128" i="8"/>
  <c r="AB132" i="8"/>
  <c r="BG133" i="8"/>
  <c r="AB136" i="8"/>
  <c r="BG137" i="8"/>
  <c r="BH148" i="8"/>
  <c r="BG167" i="8"/>
  <c r="AB114" i="8"/>
  <c r="BF116" i="8"/>
  <c r="BH116" i="8" s="1"/>
  <c r="BE117" i="8"/>
  <c r="BG117" i="8" s="1"/>
  <c r="BF120" i="8"/>
  <c r="BH120" i="8" s="1"/>
  <c r="AB122" i="8"/>
  <c r="BN127" i="8"/>
  <c r="BH127" i="8"/>
  <c r="BE130" i="8"/>
  <c r="BG130" i="8" s="1"/>
  <c r="BL130" i="8"/>
  <c r="BE134" i="8"/>
  <c r="BG134" i="8" s="1"/>
  <c r="BL134" i="8"/>
  <c r="BN138" i="8"/>
  <c r="BG140" i="8"/>
  <c r="AA142" i="8"/>
  <c r="AA173" i="8"/>
  <c r="BG179" i="8"/>
  <c r="BF117" i="8"/>
  <c r="BH117" i="8" s="1"/>
  <c r="AA121" i="8"/>
  <c r="BB123" i="8"/>
  <c r="BN123" i="8" s="1"/>
  <c r="BO129" i="8"/>
  <c r="BO133" i="8"/>
  <c r="BF138" i="8"/>
  <c r="BH138" i="8" s="1"/>
  <c r="BM138" i="8"/>
  <c r="AB139" i="8"/>
  <c r="AB142" i="8"/>
  <c r="AB173" i="8"/>
  <c r="Q100" i="5" l="1"/>
  <c r="R100" i="5"/>
  <c r="Q197" i="5"/>
  <c r="Q82" i="5"/>
  <c r="U164" i="5"/>
  <c r="V164" i="5"/>
  <c r="U149" i="5"/>
  <c r="V149" i="5"/>
  <c r="O39" i="5"/>
  <c r="R39" i="5" s="1"/>
  <c r="U39" i="5"/>
  <c r="V39" i="5"/>
  <c r="V11" i="5"/>
  <c r="O220" i="5"/>
  <c r="Q220" i="5" s="1"/>
  <c r="O11" i="5"/>
  <c r="Q11" i="5" s="1"/>
  <c r="V213" i="5"/>
  <c r="V112" i="5"/>
  <c r="V155" i="5"/>
  <c r="O146" i="5"/>
  <c r="Q146" i="5" s="1"/>
  <c r="V88" i="5"/>
  <c r="O177" i="5"/>
  <c r="Q177" i="5" s="1"/>
  <c r="R41" i="5"/>
  <c r="U16" i="5"/>
  <c r="R148" i="5"/>
  <c r="U146" i="5"/>
  <c r="V78" i="5"/>
  <c r="O178" i="5"/>
  <c r="Q178" i="5" s="1"/>
  <c r="R130" i="5"/>
  <c r="Q98" i="5"/>
  <c r="O38" i="5"/>
  <c r="Q38" i="5" s="1"/>
  <c r="U96" i="5"/>
  <c r="U11" i="5"/>
  <c r="O16" i="5"/>
  <c r="O213" i="5"/>
  <c r="Q213" i="5" s="1"/>
  <c r="R212" i="5"/>
  <c r="O173" i="5"/>
  <c r="Q173" i="5" s="1"/>
  <c r="Q81" i="5"/>
  <c r="O149" i="5"/>
  <c r="R149" i="5" s="1"/>
  <c r="O59" i="5"/>
  <c r="R59" i="5" s="1"/>
  <c r="V10" i="5"/>
  <c r="O78" i="5"/>
  <c r="Q78" i="5" s="1"/>
  <c r="Q15" i="5"/>
  <c r="R43" i="5"/>
  <c r="V206" i="5"/>
  <c r="U206" i="5"/>
  <c r="O174" i="5"/>
  <c r="Q174" i="5" s="1"/>
  <c r="V212" i="5"/>
  <c r="U38" i="5"/>
  <c r="U235" i="5"/>
  <c r="R30" i="5"/>
  <c r="U155" i="5"/>
  <c r="O235" i="5"/>
  <c r="Q235" i="5" s="1"/>
  <c r="R179" i="5"/>
  <c r="R205" i="5"/>
  <c r="U173" i="5"/>
  <c r="R113" i="5"/>
  <c r="O97" i="5"/>
  <c r="Q97" i="5" s="1"/>
  <c r="R56" i="5"/>
  <c r="O68" i="5"/>
  <c r="Q68" i="5" s="1"/>
  <c r="O13" i="5"/>
  <c r="R13" i="5" s="1"/>
  <c r="R22" i="5"/>
  <c r="R66" i="5"/>
  <c r="Q105" i="5"/>
  <c r="V240" i="5"/>
  <c r="U240" i="5"/>
  <c r="V169" i="5"/>
  <c r="O205" i="5"/>
  <c r="V205" i="5"/>
  <c r="O236" i="5"/>
  <c r="Q236" i="5" s="1"/>
  <c r="R227" i="5"/>
  <c r="R193" i="5"/>
  <c r="U234" i="5"/>
  <c r="V204" i="5"/>
  <c r="U204" i="5"/>
  <c r="R156" i="5"/>
  <c r="O161" i="5"/>
  <c r="Q161" i="5" s="1"/>
  <c r="V43" i="5"/>
  <c r="R144" i="5"/>
  <c r="R14" i="5"/>
  <c r="U159" i="5"/>
  <c r="V159" i="5"/>
  <c r="O41" i="5"/>
  <c r="Q41" i="5" s="1"/>
  <c r="V181" i="5"/>
  <c r="R104" i="5"/>
  <c r="R211" i="5"/>
  <c r="R238" i="5"/>
  <c r="R172" i="5"/>
  <c r="R106" i="5"/>
  <c r="Q124" i="5"/>
  <c r="U212" i="5"/>
  <c r="R206" i="5"/>
  <c r="V174" i="5"/>
  <c r="V170" i="5"/>
  <c r="Q188" i="5"/>
  <c r="R160" i="5"/>
  <c r="V161" i="5"/>
  <c r="O127" i="5"/>
  <c r="U66" i="5"/>
  <c r="V40" i="5"/>
  <c r="R26" i="5"/>
  <c r="R62" i="5"/>
  <c r="V41" i="5"/>
  <c r="Q35" i="5"/>
  <c r="R35" i="5"/>
  <c r="Q184" i="5"/>
  <c r="R184" i="5"/>
  <c r="Q225" i="5"/>
  <c r="R225" i="5"/>
  <c r="Q64" i="5"/>
  <c r="R64" i="5"/>
  <c r="U241" i="5"/>
  <c r="V241" i="5"/>
  <c r="O241" i="5"/>
  <c r="O138" i="5"/>
  <c r="Q138" i="5" s="1"/>
  <c r="U138" i="5"/>
  <c r="U109" i="5"/>
  <c r="O109" i="5"/>
  <c r="O87" i="5"/>
  <c r="U87" i="5"/>
  <c r="O74" i="5"/>
  <c r="Q74" i="5" s="1"/>
  <c r="U74" i="5"/>
  <c r="O75" i="5"/>
  <c r="Q75" i="5" s="1"/>
  <c r="U190" i="5"/>
  <c r="O190" i="5"/>
  <c r="U175" i="5"/>
  <c r="V175" i="5"/>
  <c r="O175" i="5"/>
  <c r="Q175" i="5" s="1"/>
  <c r="U166" i="5"/>
  <c r="O166" i="5"/>
  <c r="V216" i="5"/>
  <c r="U216" i="5"/>
  <c r="O216" i="5"/>
  <c r="O54" i="5"/>
  <c r="Q54" i="5" s="1"/>
  <c r="V54" i="5"/>
  <c r="U54" i="5"/>
  <c r="O55" i="5"/>
  <c r="O44" i="5"/>
  <c r="Q44" i="5" s="1"/>
  <c r="V44" i="5"/>
  <c r="U44" i="5"/>
  <c r="U9" i="5"/>
  <c r="V9" i="5"/>
  <c r="O9" i="5"/>
  <c r="Q9" i="5" s="1"/>
  <c r="R204" i="5"/>
  <c r="V118" i="5"/>
  <c r="U118" i="5"/>
  <c r="O118" i="5"/>
  <c r="Q118" i="5" s="1"/>
  <c r="Q113" i="5"/>
  <c r="O95" i="5"/>
  <c r="U95" i="5"/>
  <c r="U53" i="5"/>
  <c r="O53" i="5"/>
  <c r="O3" i="5"/>
  <c r="Q3" i="5" s="1"/>
  <c r="U3" i="5"/>
  <c r="Q114" i="5"/>
  <c r="O4" i="5"/>
  <c r="Q4" i="5" s="1"/>
  <c r="U128" i="5"/>
  <c r="O128" i="5"/>
  <c r="Q128" i="5" s="1"/>
  <c r="O229" i="5"/>
  <c r="Q229" i="5" s="1"/>
  <c r="U229" i="5"/>
  <c r="Q179" i="5"/>
  <c r="R34" i="5"/>
  <c r="R68" i="5"/>
  <c r="Q10" i="5"/>
  <c r="R10" i="5"/>
  <c r="V214" i="5"/>
  <c r="U214" i="5"/>
  <c r="O214" i="5"/>
  <c r="O154" i="5"/>
  <c r="U154" i="5"/>
  <c r="V87" i="5"/>
  <c r="O88" i="5"/>
  <c r="Q88" i="5" s="1"/>
  <c r="O24" i="5"/>
  <c r="V24" i="5"/>
  <c r="U24" i="5"/>
  <c r="O25" i="5"/>
  <c r="R188" i="5"/>
  <c r="R164" i="5"/>
  <c r="O108" i="5"/>
  <c r="Q108" i="5" s="1"/>
  <c r="V108" i="5"/>
  <c r="U108" i="5"/>
  <c r="O19" i="5"/>
  <c r="Q19" i="5" s="1"/>
  <c r="O20" i="5"/>
  <c r="Q20" i="5" s="1"/>
  <c r="U19" i="5"/>
  <c r="Q130" i="5"/>
  <c r="O141" i="5"/>
  <c r="Q141" i="5" s="1"/>
  <c r="U141" i="5"/>
  <c r="O165" i="5"/>
  <c r="V165" i="5"/>
  <c r="U165" i="5"/>
  <c r="O150" i="5"/>
  <c r="U150" i="5"/>
  <c r="Q149" i="5"/>
  <c r="U45" i="5"/>
  <c r="O45" i="5"/>
  <c r="R72" i="5"/>
  <c r="Q52" i="5"/>
  <c r="O5" i="5"/>
  <c r="O6" i="5"/>
  <c r="V5" i="5"/>
  <c r="U5" i="5"/>
  <c r="O110" i="5"/>
  <c r="Q110" i="5" s="1"/>
  <c r="V110" i="5"/>
  <c r="U110" i="5"/>
  <c r="O112" i="5"/>
  <c r="V111" i="5"/>
  <c r="U111" i="5"/>
  <c r="O111" i="5"/>
  <c r="O63" i="5"/>
  <c r="Q63" i="5" s="1"/>
  <c r="U63" i="5"/>
  <c r="R135" i="5"/>
  <c r="Q196" i="5"/>
  <c r="R4" i="5"/>
  <c r="O131" i="5"/>
  <c r="Q131" i="5" s="1"/>
  <c r="U131" i="5"/>
  <c r="R131" i="5"/>
  <c r="R170" i="5"/>
  <c r="O8" i="5"/>
  <c r="V8" i="5"/>
  <c r="U8" i="5"/>
  <c r="U73" i="5"/>
  <c r="V73" i="5"/>
  <c r="O73" i="5"/>
  <c r="Q73" i="5" s="1"/>
  <c r="R118" i="5"/>
  <c r="O163" i="5"/>
  <c r="Q163" i="5" s="1"/>
  <c r="U163" i="5"/>
  <c r="V229" i="5"/>
  <c r="R124" i="5"/>
  <c r="O228" i="5"/>
  <c r="Q228" i="5" s="1"/>
  <c r="U228" i="5"/>
  <c r="O57" i="5"/>
  <c r="U57" i="5"/>
  <c r="Q172" i="5"/>
  <c r="Q148" i="5"/>
  <c r="O122" i="5"/>
  <c r="Q122" i="5" s="1"/>
  <c r="U122" i="5"/>
  <c r="V122" i="5"/>
  <c r="Q201" i="5"/>
  <c r="R201" i="5"/>
  <c r="Q144" i="5"/>
  <c r="O71" i="5"/>
  <c r="Q71" i="5" s="1"/>
  <c r="U71" i="5"/>
  <c r="R37" i="5"/>
  <c r="R7" i="5"/>
  <c r="O132" i="5"/>
  <c r="Q132" i="5" s="1"/>
  <c r="V71" i="5"/>
  <c r="V3" i="5"/>
  <c r="Q39" i="5"/>
  <c r="Q26" i="5"/>
  <c r="Q18" i="5"/>
  <c r="R16" i="5"/>
  <c r="Q16" i="5"/>
  <c r="R97" i="5"/>
  <c r="Q12" i="5"/>
  <c r="R12" i="5"/>
  <c r="V232" i="5"/>
  <c r="U232" i="5"/>
  <c r="O232" i="5"/>
  <c r="U121" i="5"/>
  <c r="O121" i="5"/>
  <c r="Q121" i="5" s="1"/>
  <c r="R81" i="5"/>
  <c r="Q198" i="5"/>
  <c r="V89" i="5"/>
  <c r="O90" i="5"/>
  <c r="Q90" i="5" s="1"/>
  <c r="U89" i="5"/>
  <c r="O89" i="5"/>
  <c r="Q89" i="5" s="1"/>
  <c r="V32" i="5"/>
  <c r="U32" i="5"/>
  <c r="O32" i="5"/>
  <c r="Q32" i="5" s="1"/>
  <c r="U86" i="5"/>
  <c r="O86" i="5"/>
  <c r="R79" i="5"/>
  <c r="O31" i="5"/>
  <c r="Q31" i="5" s="1"/>
  <c r="U31" i="5"/>
  <c r="R213" i="5"/>
  <c r="O194" i="5"/>
  <c r="Q194" i="5" s="1"/>
  <c r="U194" i="5"/>
  <c r="U168" i="5"/>
  <c r="V168" i="5"/>
  <c r="O168" i="5"/>
  <c r="O169" i="5"/>
  <c r="Q238" i="5"/>
  <c r="O209" i="5"/>
  <c r="V209" i="5"/>
  <c r="U209" i="5"/>
  <c r="O239" i="5"/>
  <c r="Q239" i="5" s="1"/>
  <c r="O240" i="5"/>
  <c r="Q240" i="5" s="1"/>
  <c r="V239" i="5"/>
  <c r="U239" i="5"/>
  <c r="V154" i="5"/>
  <c r="R89" i="5"/>
  <c r="O243" i="5"/>
  <c r="U243" i="5"/>
  <c r="R231" i="5"/>
  <c r="O134" i="5"/>
  <c r="U134" i="5"/>
  <c r="V134" i="5"/>
  <c r="O210" i="5"/>
  <c r="Q210" i="5" s="1"/>
  <c r="Q211" i="5"/>
  <c r="O147" i="5"/>
  <c r="Q147" i="5" s="1"/>
  <c r="U147" i="5"/>
  <c r="V147" i="5"/>
  <c r="O219" i="5"/>
  <c r="Q219" i="5" s="1"/>
  <c r="U219" i="5"/>
  <c r="O191" i="5"/>
  <c r="O192" i="5"/>
  <c r="U191" i="5"/>
  <c r="V191" i="5"/>
  <c r="O84" i="5"/>
  <c r="Q84" i="5" s="1"/>
  <c r="V84" i="5"/>
  <c r="U84" i="5"/>
  <c r="O85" i="5"/>
  <c r="V121" i="5"/>
  <c r="O60" i="5"/>
  <c r="Q60" i="5" s="1"/>
  <c r="V60" i="5"/>
  <c r="U60" i="5"/>
  <c r="U99" i="5"/>
  <c r="O99" i="5"/>
  <c r="Q99" i="5" s="1"/>
  <c r="O189" i="5"/>
  <c r="U189" i="5"/>
  <c r="V189" i="5"/>
  <c r="O171" i="5"/>
  <c r="Q171" i="5" s="1"/>
  <c r="U171" i="5"/>
  <c r="O76" i="5"/>
  <c r="Q76" i="5" s="1"/>
  <c r="V76" i="5"/>
  <c r="U76" i="5"/>
  <c r="R146" i="5"/>
  <c r="O48" i="5"/>
  <c r="V48" i="5"/>
  <c r="U48" i="5"/>
  <c r="V99" i="5"/>
  <c r="R116" i="5"/>
  <c r="U92" i="5"/>
  <c r="O92" i="5"/>
  <c r="V92" i="5"/>
  <c r="R15" i="5"/>
  <c r="O49" i="5"/>
  <c r="Q13" i="5"/>
  <c r="R117" i="5"/>
  <c r="O7" i="5"/>
  <c r="Q7" i="5" s="1"/>
  <c r="U7" i="5"/>
  <c r="R17" i="5"/>
  <c r="Q62" i="5"/>
  <c r="O46" i="5"/>
  <c r="R234" i="5"/>
  <c r="O23" i="5"/>
  <c r="V23" i="5"/>
  <c r="U23" i="5"/>
  <c r="Q22" i="5"/>
  <c r="U125" i="5"/>
  <c r="O126" i="5"/>
  <c r="V125" i="5"/>
  <c r="O125" i="5"/>
  <c r="U152" i="5"/>
  <c r="V152" i="5"/>
  <c r="O152" i="5"/>
  <c r="O28" i="5"/>
  <c r="V28" i="5"/>
  <c r="U28" i="5"/>
  <c r="R20" i="5"/>
  <c r="V222" i="5"/>
  <c r="U222" i="5"/>
  <c r="O222" i="5"/>
  <c r="Q222" i="5" s="1"/>
  <c r="R195" i="5"/>
  <c r="V109" i="5"/>
  <c r="V63" i="5"/>
  <c r="R197" i="5"/>
  <c r="V187" i="5"/>
  <c r="R122" i="5"/>
  <c r="R244" i="5"/>
  <c r="Q244" i="5"/>
  <c r="U183" i="5"/>
  <c r="V183" i="5"/>
  <c r="O183" i="5"/>
  <c r="Q183" i="5" s="1"/>
  <c r="R186" i="5"/>
  <c r="Q227" i="5"/>
  <c r="R176" i="5"/>
  <c r="V230" i="5"/>
  <c r="U230" i="5"/>
  <c r="O230" i="5"/>
  <c r="Q230" i="5" s="1"/>
  <c r="U237" i="5"/>
  <c r="O237" i="5"/>
  <c r="Q237" i="5" s="1"/>
  <c r="V237" i="5"/>
  <c r="O223" i="5"/>
  <c r="R185" i="5"/>
  <c r="O233" i="5"/>
  <c r="U233" i="5"/>
  <c r="R226" i="5"/>
  <c r="Q226" i="5"/>
  <c r="Q205" i="5"/>
  <c r="R153" i="5"/>
  <c r="R177" i="5"/>
  <c r="U139" i="5"/>
  <c r="O139" i="5"/>
  <c r="Q139" i="5" s="1"/>
  <c r="V95" i="5"/>
  <c r="R229" i="5"/>
  <c r="R182" i="5"/>
  <c r="R94" i="5"/>
  <c r="V45" i="5"/>
  <c r="U93" i="5"/>
  <c r="O93" i="5"/>
  <c r="V93" i="5"/>
  <c r="U67" i="5"/>
  <c r="O67" i="5"/>
  <c r="Q67" i="5" s="1"/>
  <c r="O50" i="5"/>
  <c r="Q50" i="5" s="1"/>
  <c r="U50" i="5"/>
  <c r="V50" i="5"/>
  <c r="O167" i="5"/>
  <c r="V167" i="5"/>
  <c r="U167" i="5"/>
  <c r="U101" i="5"/>
  <c r="O101" i="5"/>
  <c r="V101" i="5"/>
  <c r="O91" i="5"/>
  <c r="Q91" i="5" s="1"/>
  <c r="U91" i="5"/>
  <c r="V91" i="5"/>
  <c r="U70" i="5"/>
  <c r="O70" i="5"/>
  <c r="R61" i="5"/>
  <c r="R78" i="5"/>
  <c r="V74" i="5"/>
  <c r="O119" i="5"/>
  <c r="O96" i="5"/>
  <c r="Q40" i="5"/>
  <c r="R40" i="5"/>
  <c r="O143" i="5"/>
  <c r="V143" i="5"/>
  <c r="U143" i="5"/>
  <c r="V31" i="5"/>
  <c r="Q21" i="5"/>
  <c r="V166" i="5"/>
  <c r="O58" i="5"/>
  <c r="U242" i="5"/>
  <c r="O242" i="5"/>
  <c r="O217" i="5"/>
  <c r="U217" i="5"/>
  <c r="U115" i="5"/>
  <c r="V115" i="5"/>
  <c r="O115" i="5"/>
  <c r="Q115" i="5" s="1"/>
  <c r="O187" i="5"/>
  <c r="Q187" i="5" s="1"/>
  <c r="U187" i="5"/>
  <c r="R88" i="5"/>
  <c r="Q42" i="5"/>
  <c r="V224" i="5"/>
  <c r="U224" i="5"/>
  <c r="O224" i="5"/>
  <c r="Q202" i="5"/>
  <c r="O140" i="5"/>
  <c r="U140" i="5"/>
  <c r="O47" i="5"/>
  <c r="Q47" i="5" s="1"/>
  <c r="U47" i="5"/>
  <c r="U142" i="5"/>
  <c r="V142" i="5"/>
  <c r="O142" i="5"/>
  <c r="Q142" i="5" s="1"/>
  <c r="O80" i="5"/>
  <c r="U80" i="5"/>
  <c r="V80" i="5"/>
  <c r="U199" i="5"/>
  <c r="V199" i="5"/>
  <c r="O200" i="5"/>
  <c r="O199" i="5"/>
  <c r="R163" i="5"/>
  <c r="Q208" i="5"/>
  <c r="R208" i="5"/>
  <c r="O180" i="5"/>
  <c r="Q180" i="5" s="1"/>
  <c r="U180" i="5"/>
  <c r="O83" i="5"/>
  <c r="U83" i="5"/>
  <c r="R76" i="5"/>
  <c r="V151" i="5"/>
  <c r="U151" i="5"/>
  <c r="O151" i="5"/>
  <c r="Q151" i="5" s="1"/>
  <c r="U136" i="5"/>
  <c r="V136" i="5"/>
  <c r="O136" i="5"/>
  <c r="U221" i="5"/>
  <c r="O221" i="5"/>
  <c r="Q221" i="5" s="1"/>
  <c r="U207" i="5"/>
  <c r="V207" i="5"/>
  <c r="O207" i="5"/>
  <c r="R203" i="5"/>
  <c r="O181" i="5"/>
  <c r="Q181" i="5" s="1"/>
  <c r="R180" i="5"/>
  <c r="R139" i="5"/>
  <c r="U158" i="5"/>
  <c r="O158" i="5"/>
  <c r="R235" i="5"/>
  <c r="R178" i="5"/>
  <c r="U145" i="5"/>
  <c r="O145" i="5"/>
  <c r="Q145" i="5" s="1"/>
  <c r="V86" i="5"/>
  <c r="U215" i="5"/>
  <c r="O215" i="5"/>
  <c r="V215" i="5"/>
  <c r="Q106" i="5"/>
  <c r="R44" i="5"/>
  <c r="O218" i="5"/>
  <c r="Q218" i="5" s="1"/>
  <c r="U218" i="5"/>
  <c r="V150" i="5"/>
  <c r="R137" i="5"/>
  <c r="R82" i="5"/>
  <c r="R65" i="5"/>
  <c r="O34" i="5"/>
  <c r="Q34" i="5" s="1"/>
  <c r="U34" i="5"/>
  <c r="V34" i="5"/>
  <c r="Q156" i="5"/>
  <c r="O133" i="5"/>
  <c r="U133" i="5"/>
  <c r="U102" i="5"/>
  <c r="O102" i="5"/>
  <c r="R99" i="5"/>
  <c r="U69" i="5"/>
  <c r="V69" i="5"/>
  <c r="O69" i="5"/>
  <c r="V36" i="5"/>
  <c r="U36" i="5"/>
  <c r="O36" i="5"/>
  <c r="Q36" i="5" s="1"/>
  <c r="R129" i="5"/>
  <c r="O77" i="5"/>
  <c r="Q104" i="5"/>
  <c r="V53" i="5"/>
  <c r="U33" i="5"/>
  <c r="O33" i="5"/>
  <c r="R162" i="5"/>
  <c r="Q162" i="5"/>
  <c r="O107" i="5"/>
  <c r="Q107" i="5" s="1"/>
  <c r="U107" i="5"/>
  <c r="V138" i="5"/>
  <c r="Q66" i="5"/>
  <c r="R27" i="5"/>
  <c r="O103" i="5"/>
  <c r="Q103" i="5" s="1"/>
  <c r="Q56" i="5"/>
  <c r="O123" i="5"/>
  <c r="Q123" i="5" s="1"/>
  <c r="U123" i="5"/>
  <c r="O51" i="5"/>
  <c r="Q51" i="5" s="1"/>
  <c r="U51" i="5"/>
  <c r="U29" i="5"/>
  <c r="O29" i="5"/>
  <c r="O155" i="5"/>
  <c r="Q14" i="5"/>
  <c r="R159" i="5"/>
  <c r="Q43" i="5"/>
  <c r="R171" i="5" l="1"/>
  <c r="R51" i="5"/>
  <c r="Q127" i="5"/>
  <c r="R127" i="5"/>
  <c r="R161" i="5"/>
  <c r="R236" i="5"/>
  <c r="R11" i="5"/>
  <c r="R218" i="5"/>
  <c r="Q59" i="5"/>
  <c r="R141" i="5"/>
  <c r="R220" i="5"/>
  <c r="R138" i="5"/>
  <c r="R240" i="5"/>
  <c r="R47" i="5"/>
  <c r="R151" i="5"/>
  <c r="R91" i="5"/>
  <c r="R90" i="5"/>
  <c r="R187" i="5"/>
  <c r="R60" i="5"/>
  <c r="R222" i="5"/>
  <c r="R174" i="5"/>
  <c r="R38" i="5"/>
  <c r="R173" i="5"/>
  <c r="R228" i="5"/>
  <c r="Q80" i="5"/>
  <c r="R80" i="5"/>
  <c r="Q23" i="5"/>
  <c r="R23" i="5"/>
  <c r="Q85" i="5"/>
  <c r="R85" i="5"/>
  <c r="Q169" i="5"/>
  <c r="R169" i="5"/>
  <c r="R237" i="5"/>
  <c r="Q189" i="5"/>
  <c r="R189" i="5"/>
  <c r="Q214" i="5"/>
  <c r="R214" i="5"/>
  <c r="Q109" i="5"/>
  <c r="R109" i="5"/>
  <c r="Q46" i="5"/>
  <c r="R46" i="5"/>
  <c r="R219" i="5"/>
  <c r="R183" i="5"/>
  <c r="R123" i="5"/>
  <c r="Q53" i="5"/>
  <c r="R53" i="5"/>
  <c r="Q33" i="5"/>
  <c r="R33" i="5"/>
  <c r="Q126" i="5"/>
  <c r="R126" i="5"/>
  <c r="Q224" i="5"/>
  <c r="R224" i="5"/>
  <c r="R36" i="5"/>
  <c r="Q232" i="5"/>
  <c r="R232" i="5"/>
  <c r="Q111" i="5"/>
  <c r="R111" i="5"/>
  <c r="R221" i="5"/>
  <c r="R54" i="5"/>
  <c r="Q242" i="5"/>
  <c r="R242" i="5"/>
  <c r="R107" i="5"/>
  <c r="Q55" i="5"/>
  <c r="R55" i="5"/>
  <c r="Q200" i="5"/>
  <c r="R200" i="5"/>
  <c r="Q101" i="5"/>
  <c r="R101" i="5"/>
  <c r="Q165" i="5"/>
  <c r="R165" i="5"/>
  <c r="Q29" i="5"/>
  <c r="R29" i="5"/>
  <c r="R142" i="5"/>
  <c r="R115" i="5"/>
  <c r="Q96" i="5"/>
  <c r="R96" i="5"/>
  <c r="Q133" i="5"/>
  <c r="R133" i="5"/>
  <c r="Q207" i="5"/>
  <c r="R207" i="5"/>
  <c r="R9" i="5"/>
  <c r="R239" i="5"/>
  <c r="R210" i="5"/>
  <c r="R86" i="5"/>
  <c r="Q86" i="5"/>
  <c r="Q6" i="5"/>
  <c r="R6" i="5"/>
  <c r="Q95" i="5"/>
  <c r="R95" i="5"/>
  <c r="R175" i="5"/>
  <c r="R108" i="5"/>
  <c r="Q241" i="5"/>
  <c r="R241" i="5"/>
  <c r="Q154" i="5"/>
  <c r="R154" i="5"/>
  <c r="Q143" i="5"/>
  <c r="R143" i="5"/>
  <c r="Q125" i="5"/>
  <c r="R125" i="5"/>
  <c r="Q243" i="5"/>
  <c r="R243" i="5"/>
  <c r="Q102" i="5"/>
  <c r="R102" i="5"/>
  <c r="Q136" i="5"/>
  <c r="R136" i="5"/>
  <c r="Q140" i="5"/>
  <c r="R140" i="5"/>
  <c r="Q49" i="5"/>
  <c r="R49" i="5"/>
  <c r="R24" i="5"/>
  <c r="Q24" i="5"/>
  <c r="Q83" i="5"/>
  <c r="R83" i="5"/>
  <c r="R3" i="5"/>
  <c r="R75" i="5"/>
  <c r="Q45" i="5"/>
  <c r="R45" i="5"/>
  <c r="Q70" i="5"/>
  <c r="R70" i="5"/>
  <c r="R233" i="5"/>
  <c r="Q233" i="5"/>
  <c r="R181" i="5"/>
  <c r="Q93" i="5"/>
  <c r="R93" i="5"/>
  <c r="Q28" i="5"/>
  <c r="R28" i="5"/>
  <c r="Q167" i="5"/>
  <c r="R167" i="5"/>
  <c r="Q223" i="5"/>
  <c r="R223" i="5"/>
  <c r="Q152" i="5"/>
  <c r="R152" i="5"/>
  <c r="R74" i="5"/>
  <c r="R230" i="5"/>
  <c r="Q192" i="5"/>
  <c r="R192" i="5"/>
  <c r="R194" i="5"/>
  <c r="R63" i="5"/>
  <c r="R50" i="5"/>
  <c r="Q5" i="5"/>
  <c r="R5" i="5"/>
  <c r="R132" i="5"/>
  <c r="Q216" i="5"/>
  <c r="R216" i="5"/>
  <c r="Q190" i="5"/>
  <c r="R190" i="5"/>
  <c r="Q217" i="5"/>
  <c r="R217" i="5"/>
  <c r="Q199" i="5"/>
  <c r="R199" i="5"/>
  <c r="Q92" i="5"/>
  <c r="R92" i="5"/>
  <c r="Q168" i="5"/>
  <c r="R168" i="5"/>
  <c r="Q8" i="5"/>
  <c r="R8" i="5"/>
  <c r="Q166" i="5"/>
  <c r="R166" i="5"/>
  <c r="Q155" i="5"/>
  <c r="R155" i="5"/>
  <c r="R145" i="5"/>
  <c r="Q58" i="5"/>
  <c r="R58" i="5"/>
  <c r="R19" i="5"/>
  <c r="Q134" i="5"/>
  <c r="R134" i="5"/>
  <c r="Q57" i="5"/>
  <c r="R57" i="5"/>
  <c r="Q209" i="5"/>
  <c r="R209" i="5"/>
  <c r="R103" i="5"/>
  <c r="Q215" i="5"/>
  <c r="R215" i="5"/>
  <c r="R110" i="5"/>
  <c r="R121" i="5"/>
  <c r="R67" i="5"/>
  <c r="Q69" i="5"/>
  <c r="R69" i="5"/>
  <c r="Q119" i="5"/>
  <c r="R119" i="5"/>
  <c r="Q77" i="5"/>
  <c r="R77" i="5"/>
  <c r="Q158" i="5"/>
  <c r="R158" i="5"/>
  <c r="R73" i="5"/>
  <c r="R31" i="5"/>
  <c r="R84" i="5"/>
  <c r="Q48" i="5"/>
  <c r="R48" i="5"/>
  <c r="Q191" i="5"/>
  <c r="R191" i="5"/>
  <c r="R147" i="5"/>
  <c r="R71" i="5"/>
  <c r="R128" i="5"/>
  <c r="R32" i="5"/>
  <c r="Q112" i="5"/>
  <c r="R112" i="5"/>
  <c r="Q150" i="5"/>
  <c r="R150" i="5"/>
  <c r="Q25" i="5"/>
  <c r="R25" i="5"/>
  <c r="Q87" i="5"/>
  <c r="R87" i="5"/>
</calcChain>
</file>

<file path=xl/sharedStrings.xml><?xml version="1.0" encoding="utf-8"?>
<sst xmlns="http://schemas.openxmlformats.org/spreadsheetml/2006/main" count="1378" uniqueCount="515">
  <si>
    <t>Tanggal</t>
  </si>
  <si>
    <t>Jam</t>
  </si>
  <si>
    <t>Tanggal Jam</t>
  </si>
  <si>
    <t>Meninggal</t>
  </si>
  <si>
    <t>Sembuh</t>
  </si>
  <si>
    <t>Self Isolation</t>
  </si>
  <si>
    <t>Masih Perawatan</t>
  </si>
  <si>
    <t>Total Pasien</t>
  </si>
  <si>
    <t>Positif Harian</t>
  </si>
  <si>
    <t>Positif Aktif</t>
  </si>
  <si>
    <t>Sembuh Harian</t>
  </si>
  <si>
    <t>Tanpa Gejala</t>
  </si>
  <si>
    <t>Bergejala</t>
  </si>
  <si>
    <t>Belum Ada Data</t>
  </si>
  <si>
    <t>Positif (Indonesia)</t>
  </si>
  <si>
    <t>Dirawat (Indonesia)</t>
  </si>
  <si>
    <t>Sembuh (Indonesia)</t>
  </si>
  <si>
    <t>Meninggal (Indonesia)</t>
  </si>
  <si>
    <t>Meninggal (Jakarta)</t>
  </si>
  <si>
    <t>Sembuh (Jakarta)</t>
  </si>
  <si>
    <t>Self-Isolation (Jakarta)</t>
  </si>
  <si>
    <t>Dirawat (Jakarta)</t>
  </si>
  <si>
    <t>Positif (Jakarta)</t>
  </si>
  <si>
    <t>Positif Aktif (Jakarta)</t>
  </si>
  <si>
    <t>Positif Harian (Indonesia)</t>
  </si>
  <si>
    <t>Dirawat Harian (Indonesia)</t>
  </si>
  <si>
    <t>Sembuh Harian (Indonesia)</t>
  </si>
  <si>
    <t>Meninggal Harian (Indonesia)</t>
  </si>
  <si>
    <t>Meninggal Harian (Jakarta)</t>
  </si>
  <si>
    <t>Sembuh Harian (Jakarta)</t>
  </si>
  <si>
    <t>Self-Isolation Harian (Jakarta)</t>
  </si>
  <si>
    <t>Dirawat Harian (Jakarta)</t>
  </si>
  <si>
    <t>Positif Harian (Jakarta)</t>
  </si>
  <si>
    <t>Positif Aktif Harian (Jakarta)</t>
  </si>
  <si>
    <t>Total Discarded</t>
  </si>
  <si>
    <t>Isolasi di RS (Discarded)</t>
  </si>
  <si>
    <t>Isolasi di Rumah (Discarded)</t>
  </si>
  <si>
    <t>Meninggal (Discarded)</t>
  </si>
  <si>
    <t>Selesai Isolasi (Discarded)</t>
  </si>
  <si>
    <t>Total Kontak Erat</t>
  </si>
  <si>
    <t>Isolasi di RS (Kontak Erat)</t>
  </si>
  <si>
    <t>Isolasi di Rumah (Kontak Erat)</t>
  </si>
  <si>
    <t>Meninggal (Kontak Erat)</t>
  </si>
  <si>
    <t>Selesai Isolasi (Kontak Erat)</t>
  </si>
  <si>
    <t>Total Pelaku Perjalanan</t>
  </si>
  <si>
    <t>Isolasi di RS (Pelaku Perjalanan)</t>
  </si>
  <si>
    <t>Isolasi di Rumah (Pelaku Perjalanan)</t>
  </si>
  <si>
    <t>Meninggal (Pelaku Perjalanan)</t>
  </si>
  <si>
    <t>Selesai Isolasi (Pelaku Perjalanan)</t>
  </si>
  <si>
    <t>Total Probable</t>
  </si>
  <si>
    <t>Isolasi di RS (Probable)</t>
  </si>
  <si>
    <t>Isolasi di Rumah (Probable)</t>
  </si>
  <si>
    <t>Meninggal (Probable)</t>
  </si>
  <si>
    <t>Selesai Isolasi (Probable)</t>
  </si>
  <si>
    <t>Total Suspek</t>
  </si>
  <si>
    <t>Isolasi di RS (Suspek)</t>
  </si>
  <si>
    <t>Isolasi di Rumah (Suspek)</t>
  </si>
  <si>
    <t>Meninggal (Suspek)</t>
  </si>
  <si>
    <t>Selesai Isolasi (Suspek)</t>
  </si>
  <si>
    <t>GRAND TOTAL</t>
  </si>
  <si>
    <t>No.</t>
  </si>
  <si>
    <t>Reaktif</t>
  </si>
  <si>
    <t>Non-Reaktif</t>
  </si>
  <si>
    <t>Total</t>
  </si>
  <si>
    <t>Positivity Rate</t>
  </si>
  <si>
    <t>catatan:</t>
  </si>
  <si>
    <t>kolom "Tanggal" = tanggal 1 hari sebelum update web</t>
  </si>
  <si>
    <t>EIS</t>
  </si>
  <si>
    <t>NAR</t>
  </si>
  <si>
    <t>Excel</t>
  </si>
  <si>
    <t>Total DKI Jakarta</t>
  </si>
  <si>
    <t>Tgl</t>
  </si>
  <si>
    <t>Positif</t>
  </si>
  <si>
    <t>Negatif</t>
  </si>
  <si>
    <t>Tes Harian</t>
  </si>
  <si>
    <t>Positif  Harian</t>
  </si>
  <si>
    <t>Negatif Harian</t>
  </si>
  <si>
    <t>Positivity Rate Harian</t>
  </si>
  <si>
    <t>Total Kumulatif</t>
  </si>
  <si>
    <t>Positif Kumulatif</t>
  </si>
  <si>
    <t>Negatif Kumulatif</t>
  </si>
  <si>
    <t>Positivity Rate Kumulatif</t>
  </si>
  <si>
    <t>Jumlah Orang di Test</t>
  </si>
  <si>
    <t>Orang Positif Harian</t>
  </si>
  <si>
    <t>Orang Negatif Harian</t>
  </si>
  <si>
    <t>Positivity Rate Kasus Baru Harian</t>
  </si>
  <si>
    <t>Total Spesimen di Test</t>
  </si>
  <si>
    <t>Positivity Rate Spesimen Harian</t>
  </si>
  <si>
    <t>0,0%</t>
  </si>
  <si>
    <t>20,0%</t>
  </si>
  <si>
    <t>11,1%</t>
  </si>
  <si>
    <t>34,2%</t>
  </si>
  <si>
    <t>6,3%</t>
  </si>
  <si>
    <t>41,1%</t>
  </si>
  <si>
    <t>33,3%</t>
  </si>
  <si>
    <t>6,8%</t>
  </si>
  <si>
    <t>36,6%</t>
  </si>
  <si>
    <t>4,3%</t>
  </si>
  <si>
    <t>25,0%</t>
  </si>
  <si>
    <t>28,8%</t>
  </si>
  <si>
    <t>31,2%</t>
  </si>
  <si>
    <t>10,2%</t>
  </si>
  <si>
    <t>9,6%</t>
  </si>
  <si>
    <t>3,4%</t>
  </si>
  <si>
    <t>7,7%</t>
  </si>
  <si>
    <t>20,5%</t>
  </si>
  <si>
    <t>23,5%</t>
  </si>
  <si>
    <t>14,9%</t>
  </si>
  <si>
    <t>24,0%</t>
  </si>
  <si>
    <t>9,7%</t>
  </si>
  <si>
    <t>80,3%</t>
  </si>
  <si>
    <t>12,0%</t>
  </si>
  <si>
    <t>10,3%</t>
  </si>
  <si>
    <t>40,2%</t>
  </si>
  <si>
    <t>16,9%</t>
  </si>
  <si>
    <t>16,8%</t>
  </si>
  <si>
    <t>8,8%</t>
  </si>
  <si>
    <t>12,9%</t>
  </si>
  <si>
    <t>11,6%</t>
  </si>
  <si>
    <t>10,7%</t>
  </si>
  <si>
    <t>9,5%</t>
  </si>
  <si>
    <t>14,0%</t>
  </si>
  <si>
    <t>8,7%</t>
  </si>
  <si>
    <t>12,2%</t>
  </si>
  <si>
    <t>14,4%</t>
  </si>
  <si>
    <t>10,1%</t>
  </si>
  <si>
    <t>8,6%</t>
  </si>
  <si>
    <t>13,2%</t>
  </si>
  <si>
    <t>7,6%</t>
  </si>
  <si>
    <t>7,8%</t>
  </si>
  <si>
    <t>3,7%</t>
  </si>
  <si>
    <t>8,1%</t>
  </si>
  <si>
    <t>7,2%</t>
  </si>
  <si>
    <t>5,1%</t>
  </si>
  <si>
    <t>5,2%</t>
  </si>
  <si>
    <t>5,3%</t>
  </si>
  <si>
    <t>3,3%</t>
  </si>
  <si>
    <t>2,6%</t>
  </si>
  <si>
    <t>6,7%</t>
  </si>
  <si>
    <t>3,8%</t>
  </si>
  <si>
    <t>4,8%</t>
  </si>
  <si>
    <t>3,2%</t>
  </si>
  <si>
    <t>7,0%</t>
  </si>
  <si>
    <t>5,6%</t>
  </si>
  <si>
    <t>8,2%</t>
  </si>
  <si>
    <t>4,9%</t>
  </si>
  <si>
    <t>6,9%</t>
  </si>
  <si>
    <t>12,3%</t>
  </si>
  <si>
    <t>11,7%</t>
  </si>
  <si>
    <t>8,3%</t>
  </si>
  <si>
    <t>7,3%</t>
  </si>
  <si>
    <t>6,1%</t>
  </si>
  <si>
    <t>8,5%</t>
  </si>
  <si>
    <t>6,4%</t>
  </si>
  <si>
    <t>8,0%</t>
  </si>
  <si>
    <t>11,0%</t>
  </si>
  <si>
    <t>9,8%</t>
  </si>
  <si>
    <t>9,2%</t>
  </si>
  <si>
    <t>5,9%</t>
  </si>
  <si>
    <t>8,4%</t>
  </si>
  <si>
    <t>7,5%</t>
  </si>
  <si>
    <t>5,5%</t>
  </si>
  <si>
    <t>7,1%</t>
  </si>
  <si>
    <t>10,6%</t>
  </si>
  <si>
    <t>7,4%</t>
  </si>
  <si>
    <t>7,9%</t>
  </si>
  <si>
    <t>9,4%</t>
  </si>
  <si>
    <t>10,9%</t>
  </si>
  <si>
    <t>6,6%</t>
  </si>
  <si>
    <t>9,3%</t>
  </si>
  <si>
    <t>10,5%</t>
  </si>
  <si>
    <t>10,0%</t>
  </si>
  <si>
    <t>10,4%</t>
  </si>
  <si>
    <t>8,9%</t>
  </si>
  <si>
    <t>13,9%</t>
  </si>
  <si>
    <t>13,4%</t>
  </si>
  <si>
    <t>11,3%</t>
  </si>
  <si>
    <t>13,1%</t>
  </si>
  <si>
    <t>11,8%</t>
  </si>
  <si>
    <t>14,1%</t>
  </si>
  <si>
    <t>15,2%</t>
  </si>
  <si>
    <t>15,3%</t>
  </si>
  <si>
    <t>16,5%</t>
  </si>
  <si>
    <t>18,4%</t>
  </si>
  <si>
    <t>17,8%</t>
  </si>
  <si>
    <t>15,5%</t>
  </si>
  <si>
    <t>16,7%</t>
  </si>
  <si>
    <t>15,1%</t>
  </si>
  <si>
    <t>16,3%</t>
  </si>
  <si>
    <t>20,7%</t>
  </si>
  <si>
    <t>19,9%</t>
  </si>
  <si>
    <t>18,1%</t>
  </si>
  <si>
    <t>18,5%</t>
  </si>
  <si>
    <t>18,8%</t>
  </si>
  <si>
    <t>17,6%</t>
  </si>
  <si>
    <t>16,4%</t>
  </si>
  <si>
    <t>18,3%</t>
  </si>
  <si>
    <t>18,7%</t>
  </si>
  <si>
    <t>21,6%</t>
  </si>
  <si>
    <t>20,6%</t>
  </si>
  <si>
    <t>20,3%</t>
  </si>
  <si>
    <t>20,4%</t>
  </si>
  <si>
    <t>17,2%</t>
  </si>
  <si>
    <t>17,3%</t>
  </si>
  <si>
    <t>20,1%</t>
  </si>
  <si>
    <t>21,4%</t>
  </si>
  <si>
    <t>16,2%</t>
  </si>
  <si>
    <t>17,7%</t>
  </si>
  <si>
    <t>16,1%</t>
  </si>
  <si>
    <t>17,4%</t>
  </si>
  <si>
    <t>19,2%</t>
  </si>
  <si>
    <t>15,7%</t>
  </si>
  <si>
    <t>17,5%</t>
  </si>
  <si>
    <t>18,2%</t>
  </si>
  <si>
    <t>14,6%</t>
  </si>
  <si>
    <t>16,6%</t>
  </si>
  <si>
    <t>15,4%</t>
  </si>
  <si>
    <t>13,8%</t>
  </si>
  <si>
    <t>17,1%</t>
  </si>
  <si>
    <t>15,0%</t>
  </si>
  <si>
    <t>12,6%</t>
  </si>
  <si>
    <t>14,2%</t>
  </si>
  <si>
    <t>13,7%</t>
  </si>
  <si>
    <t>12,8%</t>
  </si>
  <si>
    <t>13,5%</t>
  </si>
  <si>
    <t>14,5%</t>
  </si>
  <si>
    <t>22,1%</t>
  </si>
  <si>
    <t>17,0%</t>
  </si>
  <si>
    <t>21,3%</t>
  </si>
  <si>
    <t>19,1%</t>
  </si>
  <si>
    <t>22,7%</t>
  </si>
  <si>
    <t>18,0%</t>
  </si>
  <si>
    <t>20,2%</t>
  </si>
  <si>
    <t>18,6%</t>
  </si>
  <si>
    <t>20,9%</t>
  </si>
  <si>
    <t>25,2%</t>
  </si>
  <si>
    <t>15,6%</t>
  </si>
  <si>
    <t>21,9%</t>
  </si>
  <si>
    <t>22,8%</t>
  </si>
  <si>
    <t>23,7%</t>
  </si>
  <si>
    <t>21,8%</t>
  </si>
  <si>
    <t>23,3%</t>
  </si>
  <si>
    <t>24,5%</t>
  </si>
  <si>
    <t>29,8%</t>
  </si>
  <si>
    <t>26,5%</t>
  </si>
  <si>
    <t>27,5%</t>
  </si>
  <si>
    <t>25,7%</t>
  </si>
  <si>
    <t>29,3%</t>
  </si>
  <si>
    <t>29,5%</t>
  </si>
  <si>
    <t>31,9%</t>
  </si>
  <si>
    <t>33,6%</t>
  </si>
  <si>
    <t>32,8%</t>
  </si>
  <si>
    <t>28,7%</t>
  </si>
  <si>
    <t>30,1%</t>
  </si>
  <si>
    <t>29,7%</t>
  </si>
  <si>
    <t>31,4%</t>
  </si>
  <si>
    <t>30,9%</t>
  </si>
  <si>
    <t>32,2%</t>
  </si>
  <si>
    <t>35,1%</t>
  </si>
  <si>
    <t>29,6%</t>
  </si>
  <si>
    <t>30,5%</t>
  </si>
  <si>
    <t>34,0%</t>
  </si>
  <si>
    <t>30,0%</t>
  </si>
  <si>
    <t>33,5%</t>
  </si>
  <si>
    <t>35,0%</t>
  </si>
  <si>
    <t>33,8%</t>
  </si>
  <si>
    <t>30,7%</t>
  </si>
  <si>
    <t>33,4%</t>
  </si>
  <si>
    <t>35,2%</t>
  </si>
  <si>
    <t>31,1%</t>
  </si>
  <si>
    <t>28,4%</t>
  </si>
  <si>
    <t>26,2%</t>
  </si>
  <si>
    <t>28,9%</t>
  </si>
  <si>
    <t>29,4%</t>
  </si>
  <si>
    <t>32,7%</t>
  </si>
  <si>
    <t>28,5%</t>
  </si>
  <si>
    <t>30,8%</t>
  </si>
  <si>
    <t>27,8%</t>
  </si>
  <si>
    <t>28,3%</t>
  </si>
  <si>
    <t>26,4%</t>
  </si>
  <si>
    <t>27,2%</t>
  </si>
  <si>
    <t>22,6%</t>
  </si>
  <si>
    <t>26,7%</t>
  </si>
  <si>
    <t>25,3%</t>
  </si>
  <si>
    <t>29,1%</t>
  </si>
  <si>
    <t>28,1%</t>
  </si>
  <si>
    <t>25,4%</t>
  </si>
  <si>
    <t>30,6%</t>
  </si>
  <si>
    <t>27,4%</t>
  </si>
  <si>
    <t>23,0%</t>
  </si>
  <si>
    <t>23,1%</t>
  </si>
  <si>
    <t>30,4%</t>
  </si>
  <si>
    <t>24,7%</t>
  </si>
  <si>
    <t>23,4%</t>
  </si>
  <si>
    <t>19,5%</t>
  </si>
  <si>
    <t>23,8%</t>
  </si>
  <si>
    <t>21,5%</t>
  </si>
  <si>
    <t>19,3%</t>
  </si>
  <si>
    <t>15,8%</t>
  </si>
  <si>
    <t>14,3%</t>
  </si>
  <si>
    <t>12,5%</t>
  </si>
  <si>
    <t>15,9%</t>
  </si>
  <si>
    <t>13,6%</t>
  </si>
  <si>
    <t>14,7%</t>
  </si>
  <si>
    <t>11,2%</t>
  </si>
  <si>
    <t>12,1%</t>
  </si>
  <si>
    <t>10,8%</t>
  </si>
  <si>
    <t>11,9%</t>
  </si>
  <si>
    <t>12,4%</t>
  </si>
  <si>
    <t>14,8%</t>
  </si>
  <si>
    <t>19,7%</t>
  </si>
  <si>
    <t>22,3%</t>
  </si>
  <si>
    <t>26,3%</t>
  </si>
  <si>
    <t>34,7%</t>
  </si>
  <si>
    <t>40,8%</t>
  </si>
  <si>
    <t>39,3%</t>
  </si>
  <si>
    <t>42,0%</t>
  </si>
  <si>
    <t>42,3%</t>
  </si>
  <si>
    <t>46,8%</t>
  </si>
  <si>
    <t>45,4%</t>
  </si>
  <si>
    <t>44,0%</t>
  </si>
  <si>
    <t>46,1%</t>
  </si>
  <si>
    <t>48,6%</t>
  </si>
  <si>
    <t>47,2%</t>
  </si>
  <si>
    <t>49,2%</t>
  </si>
  <si>
    <t>51,7%</t>
  </si>
  <si>
    <t>48,4%</t>
  </si>
  <si>
    <t>46,4%</t>
  </si>
  <si>
    <t>51,6%</t>
  </si>
  <si>
    <t>49,0%</t>
  </si>
  <si>
    <t>49,3%</t>
  </si>
  <si>
    <t>47,1%</t>
  </si>
  <si>
    <t>43,7%</t>
  </si>
  <si>
    <t>42,5%</t>
  </si>
  <si>
    <t>43,6%</t>
  </si>
  <si>
    <t>43,8%</t>
  </si>
  <si>
    <t>41,2%</t>
  </si>
  <si>
    <t>39,9%</t>
  </si>
  <si>
    <t>37,7%</t>
  </si>
  <si>
    <t>Jumlah Laporan</t>
  </si>
  <si>
    <t>Akumulasi</t>
  </si>
  <si>
    <t>Harian Pemakaman Umum</t>
  </si>
  <si>
    <t>Total Pemakaman Umum</t>
  </si>
  <si>
    <t>Sasaran Total Indonesia: 181.554.465</t>
  </si>
  <si>
    <t>Disclaimer: Data vaksinasi program total dari tanggal 5 Maret 2021 hingga 28 Juli 2021 masih mencantumkan data vaksinasi gotong royong. Sejak 29 Juli 2021 terjadi penyesuaian data dengan mengeluarkan data vaksinasi gotong royong sehingga terjadi data minus di tanggal 29 Juli 2021.</t>
  </si>
  <si>
    <t>Sasaran Total DKI Jakarta: 8.815.157</t>
  </si>
  <si>
    <t>DKI</t>
  </si>
  <si>
    <t>Vaksin Gotong Royong</t>
  </si>
  <si>
    <t>Tenaga Kesehatan</t>
  </si>
  <si>
    <t>Lansia</t>
  </si>
  <si>
    <t>Pelayan Publik</t>
  </si>
  <si>
    <t>Vaksinasi Harian</t>
  </si>
  <si>
    <t>Total 18 - 59 Tahun DKI Jakarta</t>
  </si>
  <si>
    <t>Total 12 - 17 Tahun DKI Jakarta</t>
  </si>
  <si>
    <t>Total Indonesia</t>
  </si>
  <si>
    <t>Total 18 - 59 Tahun Indonesia</t>
  </si>
  <si>
    <t>Total 12 - 17 Tahun Indonesia</t>
  </si>
  <si>
    <t>Proposi Vaksin Jakarta D1</t>
  </si>
  <si>
    <t>Proposi Vaksin Jakarta D2</t>
  </si>
  <si>
    <t>Jakarta</t>
  </si>
  <si>
    <t>Indonesia</t>
  </si>
  <si>
    <t>Target Vaksinasi</t>
  </si>
  <si>
    <t>Vaksinasi 1</t>
  </si>
  <si>
    <t>Vaksinasi 2</t>
  </si>
  <si>
    <t>Persentase 1</t>
  </si>
  <si>
    <t>Persentase 2</t>
  </si>
  <si>
    <t>N/A</t>
  </si>
  <si>
    <t>Kecamatan</t>
  </si>
  <si>
    <t>Kota / Kabupaten</t>
  </si>
  <si>
    <t>Target Total per Kecamatan</t>
  </si>
  <si>
    <t>Target Harian per Kecamatan</t>
  </si>
  <si>
    <t>Cakupan 13 Jan - 11 Juni</t>
  </si>
  <si>
    <t>Cakupan 12 Juni</t>
  </si>
  <si>
    <t>Cakupan 13 Juni</t>
  </si>
  <si>
    <t>Cakupan 14 Juni</t>
  </si>
  <si>
    <t>Cakupan 15 Juni</t>
  </si>
  <si>
    <t>Cakupan 16 Juni</t>
  </si>
  <si>
    <t>Cakupan 17 Juni</t>
  </si>
  <si>
    <t>Cakupan 18 Juni</t>
  </si>
  <si>
    <t>Cakupan 19 Juni</t>
  </si>
  <si>
    <t>Cakupan 20 Juni</t>
  </si>
  <si>
    <t>Cakupan 21 Juni</t>
  </si>
  <si>
    <t>Cakupan 22 Juni</t>
  </si>
  <si>
    <t>Cakupan 23 Juni</t>
  </si>
  <si>
    <t>Cakupan 24 Juni</t>
  </si>
  <si>
    <t>Cakupan 25 Juni</t>
  </si>
  <si>
    <t>Cakupan 26 Juni</t>
  </si>
  <si>
    <t>Cakupan 27 Juni</t>
  </si>
  <si>
    <t>Cakupan 28 Juni</t>
  </si>
  <si>
    <t>Cakupan 29 Juni</t>
  </si>
  <si>
    <t>Cakupan 30 Juni</t>
  </si>
  <si>
    <t>Cakupan 1 Juli</t>
  </si>
  <si>
    <t>Cakupan 2 Juli</t>
  </si>
  <si>
    <t>Cakupan 3 Juli</t>
  </si>
  <si>
    <t>Cakupan 4 Juli</t>
  </si>
  <si>
    <t>Cakupan 5 Juli</t>
  </si>
  <si>
    <t>Cakupan 6 Juli</t>
  </si>
  <si>
    <t>Cakupan 7 Juli</t>
  </si>
  <si>
    <t>Cakupan 8 Juli</t>
  </si>
  <si>
    <t>Cakupan 9 Juli</t>
  </si>
  <si>
    <t>Cakupan 10 Juli</t>
  </si>
  <si>
    <t>Cakupan 11 Juli</t>
  </si>
  <si>
    <t>Cakupan 12 Juli</t>
  </si>
  <si>
    <t>Cakupan 13 Juli</t>
  </si>
  <si>
    <t>Cakupan 14 Juli</t>
  </si>
  <si>
    <t>Cakupan 15 Juli</t>
  </si>
  <si>
    <t>Cakupan 16 Juli</t>
  </si>
  <si>
    <t>Cakupan 17 Juli</t>
  </si>
  <si>
    <t>Cakupan 18 Juli</t>
  </si>
  <si>
    <t>Cakupan 19 Juli</t>
  </si>
  <si>
    <t>Cakupan 20 Juli</t>
  </si>
  <si>
    <t>Cakupan 21 Juli</t>
  </si>
  <si>
    <t>Cakupan 22 Juli</t>
  </si>
  <si>
    <t>Cakupan 23 Juli</t>
  </si>
  <si>
    <t>Cakupan 24 Juli</t>
  </si>
  <si>
    <t>Cakupan 25 Juli</t>
  </si>
  <si>
    <t>Cakupan 26 Juli</t>
  </si>
  <si>
    <t>Cakupan 27 Juli</t>
  </si>
  <si>
    <t>Cakupan 28 Juli</t>
  </si>
  <si>
    <t>Cakupan 29 Juli</t>
  </si>
  <si>
    <t>Cakupan 30 Juli</t>
  </si>
  <si>
    <t>Cakupan 31 Juli</t>
  </si>
  <si>
    <t>Cakupan 1 Agustus</t>
  </si>
  <si>
    <t>Cakupan 2 Agustus</t>
  </si>
  <si>
    <t>Cakupan 3 Agustus</t>
  </si>
  <si>
    <t>Cakupan 4 Agustus</t>
  </si>
  <si>
    <t>Cakupan 5 Agustus</t>
  </si>
  <si>
    <t>Cakupan 6 Agustus</t>
  </si>
  <si>
    <t>Cakupan 7 Agustus</t>
  </si>
  <si>
    <t>Cakupan 8 Agustus</t>
  </si>
  <si>
    <t>Cakupan 9 Agustus</t>
  </si>
  <si>
    <t>Cakupan 10 Agustus</t>
  </si>
  <si>
    <t>Cakupan 11 Agustus</t>
  </si>
  <si>
    <t>Cakupan 12 Agustus</t>
  </si>
  <si>
    <t>Cakupan 13 Agustus</t>
  </si>
  <si>
    <t>Cakupan 14 Agustus</t>
  </si>
  <si>
    <t>Cakupan 15 Agustus</t>
  </si>
  <si>
    <t>Cakupan 16 Agustus</t>
  </si>
  <si>
    <t>Cakupan 17 Agustus</t>
  </si>
  <si>
    <t>Cakupan 18 Agustus</t>
  </si>
  <si>
    <t>Cakupan 19 Agustus</t>
  </si>
  <si>
    <t>Cakupan 20 Agustus</t>
  </si>
  <si>
    <t>Cakupan 21 Agustus</t>
  </si>
  <si>
    <t>Cakupan 22 Agustus</t>
  </si>
  <si>
    <t>Cakupan 23 Agustus</t>
  </si>
  <si>
    <t>Cakupan 24 Agustus</t>
  </si>
  <si>
    <t>Cakupan 25 Agustus</t>
  </si>
  <si>
    <t>Cakupan 26 Agustus</t>
  </si>
  <si>
    <t>Cakupan 27 Agustus</t>
  </si>
  <si>
    <t>Cakupan 28 Agustus</t>
  </si>
  <si>
    <t>Cakupan 29 Agustus</t>
  </si>
  <si>
    <t>Cakupan 30 Agustus</t>
  </si>
  <si>
    <t>Cakupan Suntik 1</t>
  </si>
  <si>
    <t>Keterangan</t>
  </si>
  <si>
    <t>Cakupan Suntik 2</t>
  </si>
  <si>
    <t>Cakung</t>
  </si>
  <si>
    <t>Jakarta Timur</t>
  </si>
  <si>
    <t>Tidak Tercapai</t>
  </si>
  <si>
    <t>Cengkareng</t>
  </si>
  <si>
    <t>Jakarta Barat</t>
  </si>
  <si>
    <t>Kali Deres</t>
  </si>
  <si>
    <t>Cilincing</t>
  </si>
  <si>
    <t>Jakarta Utara</t>
  </si>
  <si>
    <t>Duren Sawit</t>
  </si>
  <si>
    <t>Tanjung Priok</t>
  </si>
  <si>
    <t>Jagakarsa</t>
  </si>
  <si>
    <t>Jakarta Selatan</t>
  </si>
  <si>
    <t>Kebon Jeruk</t>
  </si>
  <si>
    <t>Koja</t>
  </si>
  <si>
    <t>Kebayoran Lama</t>
  </si>
  <si>
    <t>Jatinegara</t>
  </si>
  <si>
    <t>Kramat Jati</t>
  </si>
  <si>
    <t>Pasar Minggu</t>
  </si>
  <si>
    <t>Penjaringan</t>
  </si>
  <si>
    <t>Ciracas</t>
  </si>
  <si>
    <t>Pulo Gadung</t>
  </si>
  <si>
    <t>Kembangan</t>
  </si>
  <si>
    <t>Cipayung</t>
  </si>
  <si>
    <t>Tambora</t>
  </si>
  <si>
    <t>Pesanggrahan</t>
  </si>
  <si>
    <t>Kemayoran</t>
  </si>
  <si>
    <t>Jakarta Pusat</t>
  </si>
  <si>
    <t>Tebet</t>
  </si>
  <si>
    <t>Grogol Petamburan</t>
  </si>
  <si>
    <t>Palmerah</t>
  </si>
  <si>
    <t>Pasar Rebo</t>
  </si>
  <si>
    <t>Cilandak</t>
  </si>
  <si>
    <t>Makasar</t>
  </si>
  <si>
    <t>Matraman</t>
  </si>
  <si>
    <t>Tanah Abang</t>
  </si>
  <si>
    <t>Pancoran</t>
  </si>
  <si>
    <t>Pademangan</t>
  </si>
  <si>
    <t>Mampang Prapatan</t>
  </si>
  <si>
    <t>Kebayoran Baru</t>
  </si>
  <si>
    <t>Taman Sari</t>
  </si>
  <si>
    <t>Sawah Besar</t>
  </si>
  <si>
    <t>Kelapa Gading</t>
  </si>
  <si>
    <t>Johar Baru</t>
  </si>
  <si>
    <t>Senen</t>
  </si>
  <si>
    <t>Setia Budi</t>
  </si>
  <si>
    <t>Cempaka Putih</t>
  </si>
  <si>
    <t>Gambir</t>
  </si>
  <si>
    <t>Menteng</t>
  </si>
  <si>
    <t>Kep. Seribu Utara</t>
  </si>
  <si>
    <t>Kepulauan Seribu</t>
  </si>
  <si>
    <t>Kep. Seribu Selatan</t>
  </si>
  <si>
    <t>Data cakupan akumulasi 13 January - 11 June 2021</t>
  </si>
  <si>
    <t>retail_and_recreation_percent_change_from_baseline</t>
  </si>
  <si>
    <t>grocery_and_pharmacy_percent_change_from_baseline</t>
  </si>
  <si>
    <t>parks_percent_change_from_baseline</t>
  </si>
  <si>
    <t>transit_stations_percent_change_from_baseline</t>
  </si>
  <si>
    <t>workplaces_percent_change_from_baseline</t>
  </si>
  <si>
    <t>residential_percent_change_from_baseline</t>
  </si>
  <si>
    <t>Vaksinasi 1 Harian</t>
  </si>
  <si>
    <t>Vaksinasi 2 Harian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</si>
</sst>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d/yyyy"/>
    <numFmt numFmtId="165" formatCode="m/d/yyyy\ h:mm"/>
    <numFmt numFmtId="166" formatCode="mm/dd/yyyy"/>
    <numFmt numFmtId="167" formatCode="d\-mmm\-yy"/>
    <numFmt numFmtId="168" formatCode="0.0%"/>
    <numFmt numFmtId="169" formatCode="###0"/>
    <numFmt numFmtId="170" formatCode="d\ mmmm\ yyyy"/>
  </numFmts>
  <fonts count="21" x14ac:knownFonts="1">
    <font>
      <sz val="10"/>
      <color rgb="FF000000"/>
      <name val="Arial"/>
    </font>
    <font>
      <b/>
      <sz val="11"/>
      <color rgb="FF000000"/>
      <name val="Calibri"/>
      <family val="2"/>
    </font>
    <font>
      <sz val="10"/>
      <color theme="1"/>
      <name val="Arial"/>
      <family val="2"/>
    </font>
    <font>
      <b/>
      <sz val="10"/>
      <color theme="1"/>
      <name val="Arial"/>
      <family val="2"/>
    </font>
    <font>
      <sz val="11"/>
      <color theme="1"/>
      <name val="Calibri"/>
      <family val="2"/>
    </font>
    <font>
      <sz val="11"/>
      <color rgb="FF000000"/>
      <name val="Calibri"/>
      <family val="2"/>
    </font>
    <font>
      <sz val="10"/>
      <color rgb="FF000000"/>
      <name val="Arial"/>
      <family val="2"/>
    </font>
    <font>
      <sz val="10"/>
      <color rgb="FFFFFFFF"/>
      <name val="Arial"/>
      <family val="2"/>
    </font>
    <font>
      <sz val="10"/>
      <color rgb="FF000000"/>
      <name val="Calibri"/>
      <family val="2"/>
    </font>
    <font>
      <b/>
      <sz val="9"/>
      <color theme="1"/>
      <name val="Arial"/>
      <family val="2"/>
    </font>
    <font>
      <sz val="9"/>
      <color theme="1"/>
      <name val="Arial"/>
      <family val="2"/>
    </font>
    <font>
      <b/>
      <sz val="12"/>
      <color theme="1"/>
      <name val="Arial"/>
      <family val="2"/>
    </font>
    <font>
      <b/>
      <sz val="12"/>
      <color rgb="FF000000"/>
      <name val="Arial"/>
      <family val="2"/>
    </font>
    <font>
      <sz val="12"/>
      <color rgb="FF000000"/>
      <name val="Arial"/>
      <family val="2"/>
    </font>
    <font>
      <sz val="12"/>
      <color rgb="FF000000"/>
      <name val="Calibri"/>
      <family val="2"/>
    </font>
    <font>
      <sz val="10"/>
      <name val="Arial"/>
      <family val="2"/>
    </font>
    <font>
      <sz val="11"/>
      <color rgb="FF000000"/>
      <name val="Arial"/>
      <family val="2"/>
    </font>
    <font>
      <b/>
      <sz val="11"/>
      <color rgb="FF000000"/>
      <name val="Arial"/>
      <family val="2"/>
    </font>
    <font>
      <sz val="10"/>
      <color theme="1"/>
      <name val="Calibri"/>
      <family val="2"/>
    </font>
    <font>
      <sz val="11"/>
      <color rgb="FFFF0000"/>
      <name val="Calibri"/>
      <family val="2"/>
    </font>
    <font>
      <sz val="10"/>
      <color rgb="FFFF0000"/>
      <name val="Arial"/>
      <family val="2"/>
    </font>
  </fonts>
  <fills count="11">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D9D9D9"/>
        <bgColor rgb="FFD9D9D9"/>
      </patternFill>
    </fill>
    <fill>
      <patternFill patternType="solid">
        <fgColor rgb="FFF2F2F2"/>
        <bgColor rgb="FFF2F2F2"/>
      </patternFill>
    </fill>
    <fill>
      <patternFill patternType="solid">
        <fgColor rgb="FFFCE5CD"/>
        <bgColor rgb="FFFCE5CD"/>
      </patternFill>
    </fill>
    <fill>
      <patternFill patternType="solid">
        <fgColor rgb="FFFFFF00"/>
        <bgColor rgb="FFFFFF00"/>
      </patternFill>
    </fill>
    <fill>
      <patternFill patternType="solid">
        <fgColor rgb="FFB0C10F"/>
        <bgColor rgb="FFB0C10F"/>
      </patternFill>
    </fill>
    <fill>
      <patternFill patternType="solid">
        <fgColor rgb="FFD9EAD3"/>
        <bgColor rgb="FFD9EAD3"/>
      </patternFill>
    </fill>
    <fill>
      <patternFill patternType="solid">
        <fgColor theme="0"/>
        <bgColor theme="0"/>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bottom style="thin">
        <color rgb="FF000000"/>
      </bottom>
      <diagonal/>
    </border>
  </borders>
  <cellStyleXfs count="1">
    <xf numFmtId="0" fontId="0" fillId="0" borderId="0"/>
  </cellStyleXfs>
  <cellXfs count="236">
    <xf numFmtId="0" fontId="0" fillId="0" borderId="0" xfId="0" applyFont="1" applyAlignment="1"/>
    <xf numFmtId="0" fontId="1" fillId="0" borderId="0" xfId="0" applyFont="1" applyAlignment="1"/>
    <xf numFmtId="164" fontId="2" fillId="0" borderId="0" xfId="0" applyNumberFormat="1" applyFont="1" applyAlignment="1">
      <alignment horizontal="right"/>
    </xf>
    <xf numFmtId="0" fontId="2" fillId="0" borderId="0" xfId="0" applyFont="1" applyAlignment="1"/>
    <xf numFmtId="165" fontId="2" fillId="0" borderId="0" xfId="0" applyNumberFormat="1" applyFont="1" applyAlignment="1">
      <alignment horizontal="right"/>
    </xf>
    <xf numFmtId="0" fontId="2" fillId="0" borderId="0" xfId="0" applyFont="1" applyAlignment="1">
      <alignment horizontal="right"/>
    </xf>
    <xf numFmtId="164" fontId="2" fillId="0" borderId="0" xfId="0" applyNumberFormat="1" applyFont="1"/>
    <xf numFmtId="0" fontId="2" fillId="0" borderId="0" xfId="0" applyFont="1"/>
    <xf numFmtId="165" fontId="2" fillId="0" borderId="0" xfId="0" applyNumberFormat="1" applyFont="1"/>
    <xf numFmtId="0" fontId="3" fillId="2" borderId="0" xfId="0" applyFont="1" applyFill="1" applyAlignment="1">
      <alignment horizontal="center" vertical="center" wrapText="1"/>
    </xf>
    <xf numFmtId="3" fontId="3" fillId="2" borderId="0" xfId="0" applyNumberFormat="1" applyFont="1" applyFill="1" applyAlignment="1">
      <alignment horizontal="center" vertical="center" wrapText="1"/>
    </xf>
    <xf numFmtId="166" fontId="2" fillId="0" borderId="0" xfId="0" applyNumberFormat="1" applyFont="1"/>
    <xf numFmtId="3" fontId="2" fillId="0" borderId="0" xfId="0" applyNumberFormat="1" applyFont="1"/>
    <xf numFmtId="0" fontId="3" fillId="0" borderId="0" xfId="0" applyFont="1" applyAlignment="1">
      <alignment horizontal="center" vertical="center" wrapText="1"/>
    </xf>
    <xf numFmtId="0" fontId="3" fillId="3" borderId="0" xfId="0" applyFont="1" applyFill="1" applyAlignment="1">
      <alignment horizontal="center" vertical="center" wrapText="1"/>
    </xf>
    <xf numFmtId="0" fontId="3" fillId="4" borderId="0" xfId="0" applyFont="1" applyFill="1" applyAlignment="1">
      <alignment horizontal="center" vertical="center" wrapText="1"/>
    </xf>
    <xf numFmtId="167" fontId="2" fillId="0" borderId="0" xfId="0" applyNumberFormat="1" applyFont="1" applyAlignment="1"/>
    <xf numFmtId="0" fontId="2" fillId="3" borderId="0" xfId="0" applyFont="1" applyFill="1" applyAlignment="1"/>
    <xf numFmtId="0" fontId="2" fillId="0" borderId="0" xfId="0" applyFont="1" applyAlignment="1"/>
    <xf numFmtId="0" fontId="2" fillId="4" borderId="0" xfId="0" applyFont="1" applyFill="1" applyAlignment="1"/>
    <xf numFmtId="0" fontId="4" fillId="3" borderId="0" xfId="0" applyFont="1" applyFill="1" applyAlignment="1">
      <alignment horizontal="right"/>
    </xf>
    <xf numFmtId="0" fontId="5" fillId="0" borderId="0" xfId="0" applyFont="1" applyAlignment="1"/>
    <xf numFmtId="0" fontId="5" fillId="0" borderId="0" xfId="0" applyFont="1" applyAlignment="1">
      <alignment horizontal="right"/>
    </xf>
    <xf numFmtId="0" fontId="5" fillId="3" borderId="0" xfId="0" applyFont="1" applyFill="1" applyAlignment="1">
      <alignment horizontal="right"/>
    </xf>
    <xf numFmtId="0" fontId="1" fillId="5" borderId="0" xfId="0" applyFont="1" applyFill="1" applyAlignment="1">
      <alignment horizontal="right"/>
    </xf>
    <xf numFmtId="0" fontId="6" fillId="0" borderId="0" xfId="0" applyFont="1" applyAlignment="1">
      <alignment horizontal="right"/>
    </xf>
    <xf numFmtId="167" fontId="6" fillId="0" borderId="0" xfId="0" applyNumberFormat="1" applyFont="1" applyAlignment="1">
      <alignment horizontal="right"/>
    </xf>
    <xf numFmtId="0" fontId="2" fillId="4" borderId="0" xfId="0" applyFont="1" applyFill="1"/>
    <xf numFmtId="0" fontId="6" fillId="0" borderId="0" xfId="0" applyFont="1" applyAlignment="1">
      <alignment horizontal="right"/>
    </xf>
    <xf numFmtId="167" fontId="6" fillId="0" borderId="0" xfId="0" applyNumberFormat="1" applyFont="1" applyAlignment="1"/>
    <xf numFmtId="0" fontId="2" fillId="3" borderId="0" xfId="0" applyFont="1" applyFill="1"/>
    <xf numFmtId="0" fontId="3" fillId="0" borderId="0" xfId="0" applyFont="1" applyAlignment="1">
      <alignment horizontal="left"/>
    </xf>
    <xf numFmtId="0" fontId="3" fillId="0" borderId="0" xfId="0" applyFont="1" applyAlignment="1"/>
    <xf numFmtId="0" fontId="7" fillId="0" borderId="0" xfId="0" applyFont="1" applyAlignment="1"/>
    <xf numFmtId="0" fontId="2" fillId="0" borderId="0" xfId="0" applyFont="1" applyAlignment="1">
      <alignment horizontal="left"/>
    </xf>
    <xf numFmtId="164" fontId="2" fillId="0" borderId="0" xfId="0" applyNumberFormat="1" applyFont="1" applyAlignment="1">
      <alignment horizontal="left"/>
    </xf>
    <xf numFmtId="10" fontId="2" fillId="0" borderId="0" xfId="0" applyNumberFormat="1" applyFont="1"/>
    <xf numFmtId="0" fontId="5" fillId="0" borderId="0" xfId="0" applyFont="1" applyAlignment="1">
      <alignment horizontal="left"/>
    </xf>
    <xf numFmtId="0" fontId="8" fillId="0" borderId="0" xfId="0" applyFont="1" applyAlignment="1">
      <alignment horizontal="left"/>
    </xf>
    <xf numFmtId="0" fontId="6" fillId="0" borderId="0" xfId="0" applyFont="1" applyAlignment="1">
      <alignment horizontal="left"/>
    </xf>
    <xf numFmtId="0" fontId="2" fillId="0" borderId="0" xfId="0" applyFont="1" applyAlignment="1">
      <alignment horizontal="left"/>
    </xf>
    <xf numFmtId="0" fontId="6" fillId="0" borderId="0" xfId="0" applyFont="1" applyAlignment="1">
      <alignment horizontal="left"/>
    </xf>
    <xf numFmtId="0" fontId="2" fillId="0" borderId="0" xfId="0" applyFont="1" applyAlignment="1">
      <alignment horizontal="left"/>
    </xf>
    <xf numFmtId="0" fontId="9" fillId="0" borderId="0" xfId="0" applyFont="1" applyAlignment="1">
      <alignment horizontal="center" vertical="center" wrapText="1"/>
    </xf>
    <xf numFmtId="168" fontId="9" fillId="0" borderId="0" xfId="0" applyNumberFormat="1" applyFont="1" applyAlignment="1">
      <alignment horizontal="center" vertical="center" wrapText="1"/>
    </xf>
    <xf numFmtId="10" fontId="9" fillId="0" borderId="0" xfId="0" applyNumberFormat="1" applyFont="1" applyAlignment="1">
      <alignment horizontal="center" vertical="center" wrapText="1"/>
    </xf>
    <xf numFmtId="49"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0" fontId="10" fillId="0" borderId="0" xfId="0" applyFont="1" applyAlignment="1">
      <alignment horizontal="left"/>
    </xf>
    <xf numFmtId="164" fontId="10" fillId="0" borderId="0" xfId="0" applyNumberFormat="1" applyFont="1" applyAlignment="1">
      <alignment horizontal="left"/>
    </xf>
    <xf numFmtId="168" fontId="10" fillId="0" borderId="0" xfId="0" applyNumberFormat="1" applyFont="1" applyAlignment="1">
      <alignment horizontal="left"/>
    </xf>
    <xf numFmtId="10" fontId="10" fillId="0" borderId="0" xfId="0" applyNumberFormat="1" applyFont="1" applyAlignment="1">
      <alignment horizontal="left"/>
    </xf>
    <xf numFmtId="0" fontId="10" fillId="0" borderId="0" xfId="0" applyFont="1" applyAlignment="1">
      <alignment horizontal="left"/>
    </xf>
    <xf numFmtId="49" fontId="10" fillId="0" borderId="0" xfId="0" applyNumberFormat="1" applyFont="1" applyAlignment="1">
      <alignment horizontal="left"/>
    </xf>
    <xf numFmtId="49" fontId="10" fillId="0" borderId="0" xfId="0" applyNumberFormat="1" applyFont="1" applyAlignment="1">
      <alignment horizontal="left"/>
    </xf>
    <xf numFmtId="0" fontId="10" fillId="0" borderId="0" xfId="0" applyFont="1" applyAlignment="1">
      <alignment horizontal="left"/>
    </xf>
    <xf numFmtId="0" fontId="10" fillId="0" borderId="0" xfId="0" applyFont="1" applyAlignment="1">
      <alignment horizontal="left"/>
    </xf>
    <xf numFmtId="0" fontId="10" fillId="0" borderId="0" xfId="0" applyFont="1" applyAlignment="1">
      <alignment horizontal="left"/>
    </xf>
    <xf numFmtId="10" fontId="10" fillId="0" borderId="0" xfId="0" applyNumberFormat="1" applyFont="1" applyAlignment="1">
      <alignment horizontal="left"/>
    </xf>
    <xf numFmtId="168" fontId="10" fillId="0" borderId="0" xfId="0" applyNumberFormat="1" applyFont="1" applyAlignment="1">
      <alignment horizontal="left"/>
    </xf>
    <xf numFmtId="1"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168" fontId="12" fillId="7" borderId="1" xfId="0" applyNumberFormat="1" applyFont="1" applyFill="1" applyBorder="1" applyAlignment="1">
      <alignment horizontal="center" vertical="center" wrapText="1"/>
    </xf>
    <xf numFmtId="0" fontId="12" fillId="8" borderId="2" xfId="0" applyFont="1" applyFill="1" applyBorder="1" applyAlignment="1">
      <alignment horizontal="center" vertical="center" wrapText="1"/>
    </xf>
    <xf numFmtId="10" fontId="12" fillId="8" borderId="2" xfId="0" applyNumberFormat="1" applyFont="1" applyFill="1" applyBorder="1" applyAlignment="1">
      <alignment horizontal="center" vertical="center" wrapText="1"/>
    </xf>
    <xf numFmtId="0" fontId="2" fillId="0" borderId="0" xfId="0" applyFont="1" applyAlignment="1">
      <alignment horizontal="center" vertical="center" wrapText="1"/>
    </xf>
    <xf numFmtId="14" fontId="13" fillId="0" borderId="1" xfId="0" applyNumberFormat="1" applyFont="1" applyBorder="1" applyAlignment="1">
      <alignment horizontal="right"/>
    </xf>
    <xf numFmtId="0" fontId="13" fillId="0" borderId="3" xfId="0" applyFont="1" applyBorder="1" applyAlignment="1">
      <alignment horizontal="center"/>
    </xf>
    <xf numFmtId="168" fontId="13" fillId="0" borderId="3" xfId="0" applyNumberFormat="1" applyFont="1" applyBorder="1" applyAlignment="1">
      <alignment horizontal="center"/>
    </xf>
    <xf numFmtId="0" fontId="13" fillId="0" borderId="1" xfId="0" applyFont="1" applyBorder="1" applyAlignment="1">
      <alignment horizontal="center"/>
    </xf>
    <xf numFmtId="0" fontId="13" fillId="0" borderId="1" xfId="0" applyFont="1" applyBorder="1" applyAlignment="1">
      <alignment horizontal="center"/>
    </xf>
    <xf numFmtId="0" fontId="13" fillId="9" borderId="1" xfId="0" applyFont="1" applyFill="1" applyBorder="1" applyAlignment="1">
      <alignment horizontal="center"/>
    </xf>
    <xf numFmtId="0" fontId="13" fillId="0" borderId="0" xfId="0" applyFont="1" applyAlignment="1">
      <alignment horizontal="center"/>
    </xf>
    <xf numFmtId="0" fontId="13" fillId="0" borderId="4" xfId="0" applyFont="1" applyBorder="1" applyAlignment="1">
      <alignment horizontal="center"/>
    </xf>
    <xf numFmtId="0" fontId="13" fillId="0" borderId="2" xfId="0" applyFont="1" applyBorder="1" applyAlignment="1">
      <alignment horizontal="center"/>
    </xf>
    <xf numFmtId="0" fontId="13" fillId="0" borderId="5" xfId="0" applyFont="1" applyBorder="1" applyAlignment="1">
      <alignment horizontal="center"/>
    </xf>
    <xf numFmtId="0" fontId="13" fillId="0" borderId="1" xfId="0" applyFont="1" applyBorder="1" applyAlignment="1">
      <alignment horizontal="center"/>
    </xf>
    <xf numFmtId="168" fontId="13" fillId="0" borderId="1" xfId="0" applyNumberFormat="1" applyFont="1" applyBorder="1" applyAlignment="1">
      <alignment horizontal="center"/>
    </xf>
    <xf numFmtId="0" fontId="13" fillId="0" borderId="0" xfId="0" applyFont="1" applyAlignment="1">
      <alignment horizontal="center"/>
    </xf>
    <xf numFmtId="1" fontId="13" fillId="0" borderId="1" xfId="0" applyNumberFormat="1" applyFont="1" applyBorder="1" applyAlignment="1">
      <alignment horizontal="center"/>
    </xf>
    <xf numFmtId="1" fontId="13" fillId="0" borderId="1" xfId="0" applyNumberFormat="1" applyFont="1" applyBorder="1" applyAlignment="1">
      <alignment horizontal="center"/>
    </xf>
    <xf numFmtId="0" fontId="13" fillId="0" borderId="6" xfId="0" applyFont="1" applyBorder="1" applyAlignment="1">
      <alignment horizontal="center"/>
    </xf>
    <xf numFmtId="168" fontId="13" fillId="0" borderId="6" xfId="0" applyNumberFormat="1" applyFont="1" applyBorder="1" applyAlignment="1">
      <alignment horizontal="center"/>
    </xf>
    <xf numFmtId="0" fontId="14" fillId="0" borderId="0" xfId="0" applyFont="1" applyAlignment="1">
      <alignment horizontal="right"/>
    </xf>
    <xf numFmtId="9" fontId="14" fillId="0" borderId="0" xfId="0" applyNumberFormat="1" applyFont="1" applyAlignment="1">
      <alignment horizontal="right"/>
    </xf>
    <xf numFmtId="10" fontId="13" fillId="9" borderId="1" xfId="0" applyNumberFormat="1" applyFont="1" applyFill="1" applyBorder="1" applyAlignment="1">
      <alignment horizontal="center"/>
    </xf>
    <xf numFmtId="0" fontId="13" fillId="0" borderId="1" xfId="0" applyFont="1" applyBorder="1" applyAlignment="1">
      <alignment horizontal="center" vertical="center"/>
    </xf>
    <xf numFmtId="0" fontId="13" fillId="0" borderId="1" xfId="0" applyFont="1" applyBorder="1" applyAlignment="1">
      <alignment horizontal="center"/>
    </xf>
    <xf numFmtId="164" fontId="13" fillId="0" borderId="0" xfId="0" applyNumberFormat="1" applyFont="1" applyAlignment="1">
      <alignment horizontal="center"/>
    </xf>
    <xf numFmtId="168" fontId="13" fillId="0" borderId="0" xfId="0" applyNumberFormat="1" applyFont="1" applyAlignment="1">
      <alignment horizontal="center"/>
    </xf>
    <xf numFmtId="10" fontId="13" fillId="0" borderId="0" xfId="0" applyNumberFormat="1" applyFont="1" applyAlignment="1">
      <alignment horizontal="center"/>
    </xf>
    <xf numFmtId="0" fontId="5" fillId="0" borderId="0" xfId="0" applyFont="1" applyAlignment="1"/>
    <xf numFmtId="0" fontId="3" fillId="0" borderId="0" xfId="0" applyFont="1"/>
    <xf numFmtId="14" fontId="2" fillId="0" borderId="0" xfId="0" applyNumberFormat="1" applyFont="1"/>
    <xf numFmtId="0" fontId="1" fillId="0" borderId="0" xfId="0" applyFont="1" applyAlignment="1">
      <alignment horizontal="left" vertical="top"/>
    </xf>
    <xf numFmtId="169" fontId="5" fillId="0" borderId="0" xfId="0" applyNumberFormat="1" applyFont="1" applyAlignment="1">
      <alignment horizontal="center" vertical="top"/>
    </xf>
    <xf numFmtId="169" fontId="5" fillId="0" borderId="0" xfId="0" applyNumberFormat="1" applyFont="1" applyAlignment="1">
      <alignment horizontal="left" vertical="top"/>
    </xf>
    <xf numFmtId="168" fontId="5" fillId="0" borderId="0" xfId="0" applyNumberFormat="1" applyFont="1" applyAlignment="1">
      <alignment horizontal="center" vertical="top"/>
    </xf>
    <xf numFmtId="10" fontId="5" fillId="0" borderId="0" xfId="0" applyNumberFormat="1" applyFont="1" applyAlignment="1">
      <alignment horizontal="center" vertical="top"/>
    </xf>
    <xf numFmtId="49" fontId="5" fillId="0" borderId="0" xfId="0" applyNumberFormat="1" applyFont="1" applyAlignment="1">
      <alignment horizontal="center" vertical="top"/>
    </xf>
    <xf numFmtId="3" fontId="5" fillId="0" borderId="0" xfId="0" applyNumberFormat="1" applyFont="1" applyAlignment="1">
      <alignment horizontal="center" vertical="top"/>
    </xf>
    <xf numFmtId="169" fontId="5" fillId="0" borderId="0" xfId="0" applyNumberFormat="1" applyFont="1" applyAlignment="1">
      <alignment horizontal="center" vertical="top"/>
    </xf>
    <xf numFmtId="169" fontId="5" fillId="0" borderId="1" xfId="0" applyNumberFormat="1" applyFont="1" applyBorder="1" applyAlignment="1">
      <alignment horizontal="center" vertical="top"/>
    </xf>
    <xf numFmtId="168" fontId="5" fillId="0" borderId="1" xfId="0" applyNumberFormat="1" applyFont="1" applyBorder="1" applyAlignment="1">
      <alignment horizontal="center" vertical="top"/>
    </xf>
    <xf numFmtId="3" fontId="5" fillId="0" borderId="1" xfId="0" applyNumberFormat="1" applyFont="1" applyBorder="1" applyAlignment="1">
      <alignment horizontal="center" vertical="top"/>
    </xf>
    <xf numFmtId="169" fontId="5" fillId="7" borderId="1" xfId="0" applyNumberFormat="1" applyFont="1" applyFill="1" applyBorder="1" applyAlignment="1">
      <alignment horizontal="center" vertical="top"/>
    </xf>
    <xf numFmtId="10" fontId="5" fillId="0" borderId="1" xfId="0" applyNumberFormat="1" applyFont="1" applyBorder="1" applyAlignment="1">
      <alignment horizontal="center" vertical="top"/>
    </xf>
    <xf numFmtId="3" fontId="5" fillId="7" borderId="1" xfId="0" applyNumberFormat="1" applyFont="1" applyFill="1" applyBorder="1" applyAlignment="1">
      <alignment horizontal="center" vertical="top"/>
    </xf>
    <xf numFmtId="169" fontId="5" fillId="0" borderId="1" xfId="0" applyNumberFormat="1" applyFont="1" applyBorder="1" applyAlignment="1">
      <alignment horizontal="center" vertical="top"/>
    </xf>
    <xf numFmtId="170" fontId="5" fillId="0" borderId="1" xfId="0" applyNumberFormat="1" applyFont="1" applyBorder="1" applyAlignment="1">
      <alignment horizontal="left" vertical="top"/>
    </xf>
    <xf numFmtId="169" fontId="5" fillId="0" borderId="1" xfId="0" applyNumberFormat="1" applyFont="1" applyBorder="1" applyAlignment="1">
      <alignment horizontal="left" vertical="top"/>
    </xf>
    <xf numFmtId="168" fontId="5" fillId="0" borderId="1" xfId="0" applyNumberFormat="1" applyFont="1" applyBorder="1" applyAlignment="1">
      <alignment horizontal="left" vertical="top"/>
    </xf>
    <xf numFmtId="10" fontId="5" fillId="0" borderId="1" xfId="0" applyNumberFormat="1" applyFont="1" applyBorder="1" applyAlignment="1">
      <alignment horizontal="left" vertical="top"/>
    </xf>
    <xf numFmtId="168" fontId="5" fillId="0" borderId="1" xfId="0" applyNumberFormat="1" applyFont="1" applyBorder="1" applyAlignment="1">
      <alignment horizontal="left" vertical="top"/>
    </xf>
    <xf numFmtId="169" fontId="2" fillId="0" borderId="1" xfId="0" applyNumberFormat="1" applyFont="1" applyBorder="1" applyAlignment="1">
      <alignment horizontal="left" vertical="top"/>
    </xf>
    <xf numFmtId="169" fontId="5" fillId="0" borderId="1" xfId="0" applyNumberFormat="1" applyFont="1" applyBorder="1" applyAlignment="1">
      <alignment horizontal="left" vertical="top"/>
    </xf>
    <xf numFmtId="49" fontId="5" fillId="0" borderId="1" xfId="0" applyNumberFormat="1" applyFont="1" applyBorder="1" applyAlignment="1">
      <alignment horizontal="left" vertical="top"/>
    </xf>
    <xf numFmtId="3" fontId="5" fillId="0" borderId="1" xfId="0" applyNumberFormat="1" applyFont="1" applyBorder="1" applyAlignment="1">
      <alignment horizontal="left" vertical="top"/>
    </xf>
    <xf numFmtId="169" fontId="5" fillId="0" borderId="1" xfId="0" applyNumberFormat="1" applyFont="1" applyBorder="1" applyAlignment="1">
      <alignment horizontal="left" vertical="top"/>
    </xf>
    <xf numFmtId="169" fontId="2" fillId="0" borderId="1" xfId="0" applyNumberFormat="1" applyFont="1" applyBorder="1" applyAlignment="1">
      <alignment horizontal="left" vertical="top"/>
    </xf>
    <xf numFmtId="170" fontId="5" fillId="7" borderId="1" xfId="0" applyNumberFormat="1" applyFont="1" applyFill="1" applyBorder="1" applyAlignment="1">
      <alignment horizontal="left" vertical="top"/>
    </xf>
    <xf numFmtId="169" fontId="5" fillId="0" borderId="2" xfId="0" applyNumberFormat="1" applyFont="1" applyBorder="1" applyAlignment="1">
      <alignment horizontal="left" vertical="top"/>
    </xf>
    <xf numFmtId="169" fontId="2" fillId="0" borderId="2" xfId="0" applyNumberFormat="1" applyFont="1" applyBorder="1" applyAlignment="1">
      <alignment horizontal="left" vertical="top"/>
    </xf>
    <xf numFmtId="168" fontId="5" fillId="0" borderId="2" xfId="0" applyNumberFormat="1" applyFont="1" applyBorder="1" applyAlignment="1">
      <alignment horizontal="left" vertical="top"/>
    </xf>
    <xf numFmtId="169" fontId="5" fillId="0" borderId="2" xfId="0" applyNumberFormat="1" applyFont="1" applyBorder="1" applyAlignment="1">
      <alignment horizontal="left" vertical="top"/>
    </xf>
    <xf numFmtId="170" fontId="5" fillId="10" borderId="1" xfId="0" applyNumberFormat="1" applyFont="1" applyFill="1" applyBorder="1" applyAlignment="1">
      <alignment horizontal="left" vertical="top"/>
    </xf>
    <xf numFmtId="169" fontId="5" fillId="10" borderId="2" xfId="0" applyNumberFormat="1" applyFont="1" applyFill="1" applyBorder="1" applyAlignment="1">
      <alignment horizontal="left" vertical="top"/>
    </xf>
    <xf numFmtId="169" fontId="2" fillId="10" borderId="2" xfId="0" applyNumberFormat="1" applyFont="1" applyFill="1" applyBorder="1" applyAlignment="1">
      <alignment horizontal="left" vertical="top"/>
    </xf>
    <xf numFmtId="168" fontId="5" fillId="10" borderId="1" xfId="0" applyNumberFormat="1" applyFont="1" applyFill="1" applyBorder="1" applyAlignment="1">
      <alignment horizontal="left" vertical="top"/>
    </xf>
    <xf numFmtId="10" fontId="5" fillId="10" borderId="1" xfId="0" applyNumberFormat="1" applyFont="1" applyFill="1" applyBorder="1" applyAlignment="1">
      <alignment horizontal="left" vertical="top"/>
    </xf>
    <xf numFmtId="169" fontId="2" fillId="10" borderId="1" xfId="0" applyNumberFormat="1" applyFont="1" applyFill="1" applyBorder="1" applyAlignment="1">
      <alignment horizontal="left" vertical="top"/>
    </xf>
    <xf numFmtId="168" fontId="5" fillId="10" borderId="1" xfId="0" applyNumberFormat="1" applyFont="1" applyFill="1" applyBorder="1" applyAlignment="1">
      <alignment horizontal="left" vertical="top"/>
    </xf>
    <xf numFmtId="169" fontId="5" fillId="10" borderId="1" xfId="0" applyNumberFormat="1" applyFont="1" applyFill="1" applyBorder="1" applyAlignment="1">
      <alignment horizontal="left" vertical="top"/>
    </xf>
    <xf numFmtId="168" fontId="5" fillId="10" borderId="2" xfId="0" applyNumberFormat="1" applyFont="1" applyFill="1" applyBorder="1" applyAlignment="1">
      <alignment horizontal="left" vertical="top"/>
    </xf>
    <xf numFmtId="169" fontId="5" fillId="10" borderId="1" xfId="0" applyNumberFormat="1" applyFont="1" applyFill="1" applyBorder="1" applyAlignment="1">
      <alignment horizontal="left" vertical="top"/>
    </xf>
    <xf numFmtId="3" fontId="5" fillId="10" borderId="1" xfId="0" applyNumberFormat="1" applyFont="1" applyFill="1" applyBorder="1" applyAlignment="1">
      <alignment horizontal="left" vertical="top"/>
    </xf>
    <xf numFmtId="169" fontId="5" fillId="10" borderId="2" xfId="0" applyNumberFormat="1" applyFont="1" applyFill="1" applyBorder="1" applyAlignment="1">
      <alignment horizontal="left" vertical="top"/>
    </xf>
    <xf numFmtId="0" fontId="5" fillId="10" borderId="1" xfId="0" applyFont="1" applyFill="1" applyBorder="1" applyAlignment="1">
      <alignment horizontal="left" vertical="top"/>
    </xf>
    <xf numFmtId="169" fontId="16" fillId="10" borderId="2" xfId="0" applyNumberFormat="1" applyFont="1" applyFill="1" applyBorder="1" applyAlignment="1">
      <alignment horizontal="left" vertical="top"/>
    </xf>
    <xf numFmtId="0" fontId="16" fillId="10" borderId="1" xfId="0" applyFont="1" applyFill="1" applyBorder="1" applyAlignment="1">
      <alignment horizontal="left" vertical="top"/>
    </xf>
    <xf numFmtId="169" fontId="16" fillId="10" borderId="2" xfId="0" applyNumberFormat="1" applyFont="1" applyFill="1" applyBorder="1" applyAlignment="1">
      <alignment horizontal="left" vertical="top"/>
    </xf>
    <xf numFmtId="169" fontId="2" fillId="2" borderId="2" xfId="0" applyNumberFormat="1" applyFont="1" applyFill="1" applyBorder="1" applyAlignment="1">
      <alignment horizontal="left" vertical="top"/>
    </xf>
    <xf numFmtId="169" fontId="16" fillId="2" borderId="2" xfId="0" applyNumberFormat="1" applyFont="1" applyFill="1" applyBorder="1" applyAlignment="1">
      <alignment horizontal="left" vertical="top"/>
    </xf>
    <xf numFmtId="169" fontId="16" fillId="2" borderId="2" xfId="0" applyNumberFormat="1" applyFont="1" applyFill="1" applyBorder="1" applyAlignment="1">
      <alignment horizontal="left" vertical="top"/>
    </xf>
    <xf numFmtId="168" fontId="5" fillId="2" borderId="1" xfId="0" applyNumberFormat="1" applyFont="1" applyFill="1" applyBorder="1" applyAlignment="1">
      <alignment horizontal="left" vertical="top"/>
    </xf>
    <xf numFmtId="169" fontId="5" fillId="2" borderId="2" xfId="0" applyNumberFormat="1" applyFont="1" applyFill="1" applyBorder="1" applyAlignment="1">
      <alignment horizontal="left" vertical="top"/>
    </xf>
    <xf numFmtId="10" fontId="5" fillId="2" borderId="1" xfId="0" applyNumberFormat="1" applyFont="1" applyFill="1" applyBorder="1" applyAlignment="1">
      <alignment horizontal="left" vertical="top"/>
    </xf>
    <xf numFmtId="169" fontId="2" fillId="2" borderId="1" xfId="0" applyNumberFormat="1" applyFont="1" applyFill="1" applyBorder="1" applyAlignment="1">
      <alignment horizontal="left" vertical="top"/>
    </xf>
    <xf numFmtId="168" fontId="5" fillId="2" borderId="1" xfId="0" applyNumberFormat="1" applyFont="1" applyFill="1" applyBorder="1" applyAlignment="1">
      <alignment horizontal="left" vertical="top"/>
    </xf>
    <xf numFmtId="169" fontId="5" fillId="2" borderId="1" xfId="0" applyNumberFormat="1" applyFont="1" applyFill="1" applyBorder="1" applyAlignment="1">
      <alignment horizontal="left" vertical="top"/>
    </xf>
    <xf numFmtId="168" fontId="5" fillId="2" borderId="2" xfId="0" applyNumberFormat="1" applyFont="1" applyFill="1" applyBorder="1" applyAlignment="1">
      <alignment horizontal="left" vertical="top"/>
    </xf>
    <xf numFmtId="169" fontId="5" fillId="2" borderId="1" xfId="0" applyNumberFormat="1" applyFont="1" applyFill="1" applyBorder="1" applyAlignment="1">
      <alignment horizontal="left" vertical="top"/>
    </xf>
    <xf numFmtId="0" fontId="16" fillId="2" borderId="1" xfId="0" applyFont="1" applyFill="1" applyBorder="1" applyAlignment="1">
      <alignment horizontal="left" vertical="top"/>
    </xf>
    <xf numFmtId="169" fontId="5" fillId="2" borderId="2" xfId="0" applyNumberFormat="1" applyFont="1" applyFill="1" applyBorder="1" applyAlignment="1">
      <alignment horizontal="left" vertical="top"/>
    </xf>
    <xf numFmtId="0" fontId="2" fillId="0" borderId="0" xfId="0" applyFont="1" applyAlignment="1">
      <alignment horizontal="left" vertical="top"/>
    </xf>
    <xf numFmtId="169" fontId="2" fillId="0" borderId="0" xfId="0" applyNumberFormat="1" applyFont="1" applyAlignment="1">
      <alignment horizontal="left" vertical="top"/>
    </xf>
    <xf numFmtId="168" fontId="2" fillId="0" borderId="0" xfId="0" applyNumberFormat="1" applyFont="1" applyAlignment="1">
      <alignment horizontal="left" vertical="top"/>
    </xf>
    <xf numFmtId="10" fontId="2" fillId="0" borderId="0" xfId="0" applyNumberFormat="1" applyFont="1" applyAlignment="1">
      <alignment horizontal="left" vertical="top"/>
    </xf>
    <xf numFmtId="49" fontId="2" fillId="0" borderId="0" xfId="0" applyNumberFormat="1" applyFont="1" applyAlignment="1">
      <alignment horizontal="left" vertical="top"/>
    </xf>
    <xf numFmtId="3" fontId="2" fillId="0" borderId="0" xfId="0" applyNumberFormat="1" applyFont="1" applyAlignment="1">
      <alignment horizontal="left" vertical="top"/>
    </xf>
    <xf numFmtId="169" fontId="2" fillId="0" borderId="0" xfId="0" applyNumberFormat="1" applyFont="1" applyAlignment="1">
      <alignment horizontal="left" vertical="top"/>
    </xf>
    <xf numFmtId="0" fontId="1" fillId="0" borderId="1" xfId="0" applyFont="1" applyBorder="1" applyAlignment="1">
      <alignment horizontal="left" wrapText="1"/>
    </xf>
    <xf numFmtId="0" fontId="1" fillId="10" borderId="1" xfId="0" applyFont="1" applyFill="1" applyBorder="1" applyAlignment="1">
      <alignment horizontal="left" wrapText="1"/>
    </xf>
    <xf numFmtId="0" fontId="17" fillId="0" borderId="0" xfId="0" applyFont="1" applyAlignment="1">
      <alignment horizontal="center" wrapText="1"/>
    </xf>
    <xf numFmtId="0" fontId="1" fillId="0" borderId="1" xfId="0" applyFont="1" applyBorder="1" applyAlignment="1">
      <alignment horizontal="left"/>
    </xf>
    <xf numFmtId="0" fontId="1" fillId="0" borderId="1" xfId="0" applyFont="1" applyBorder="1" applyAlignment="1">
      <alignment horizontal="left"/>
    </xf>
    <xf numFmtId="0" fontId="1" fillId="0" borderId="0" xfId="0" applyFont="1" applyAlignment="1">
      <alignment horizontal="left"/>
    </xf>
    <xf numFmtId="0" fontId="5" fillId="0" borderId="1" xfId="0" applyFont="1" applyBorder="1" applyAlignment="1">
      <alignment horizontal="left"/>
    </xf>
    <xf numFmtId="0" fontId="6" fillId="0" borderId="1" xfId="0" applyFont="1" applyBorder="1" applyAlignment="1">
      <alignment horizontal="left"/>
    </xf>
    <xf numFmtId="0" fontId="5" fillId="0" borderId="1" xfId="0" applyFont="1" applyBorder="1" applyAlignment="1">
      <alignment horizontal="right"/>
    </xf>
    <xf numFmtId="0" fontId="14" fillId="0" borderId="1" xfId="0" applyFont="1" applyBorder="1" applyAlignment="1">
      <alignment horizontal="right"/>
    </xf>
    <xf numFmtId="0" fontId="5" fillId="10" borderId="1" xfId="0" applyFont="1" applyFill="1" applyBorder="1" applyAlignment="1">
      <alignment horizontal="left"/>
    </xf>
    <xf numFmtId="0" fontId="5" fillId="0" borderId="1" xfId="0" applyFont="1" applyBorder="1" applyAlignment="1">
      <alignment horizontal="left"/>
    </xf>
    <xf numFmtId="0" fontId="2" fillId="0" borderId="1" xfId="0" applyFont="1" applyBorder="1" applyAlignment="1">
      <alignment horizontal="left"/>
    </xf>
    <xf numFmtId="0" fontId="14" fillId="0" borderId="1" xfId="0" applyFont="1" applyBorder="1" applyAlignment="1">
      <alignment horizontal="left"/>
    </xf>
    <xf numFmtId="0" fontId="14" fillId="0" borderId="1" xfId="0" applyFont="1" applyBorder="1" applyAlignment="1">
      <alignment horizontal="left"/>
    </xf>
    <xf numFmtId="0" fontId="5" fillId="2" borderId="1" xfId="0" applyFont="1" applyFill="1" applyBorder="1" applyAlignment="1">
      <alignment horizontal="left"/>
    </xf>
    <xf numFmtId="0" fontId="14" fillId="0" borderId="1" xfId="0" applyFont="1" applyBorder="1" applyAlignment="1">
      <alignment horizontal="left"/>
    </xf>
    <xf numFmtId="0" fontId="14" fillId="0" borderId="1" xfId="0" applyFont="1" applyBorder="1" applyAlignment="1">
      <alignment horizontal="right"/>
    </xf>
    <xf numFmtId="0" fontId="5" fillId="2" borderId="1" xfId="0" applyFont="1" applyFill="1" applyBorder="1"/>
    <xf numFmtId="0" fontId="5" fillId="0" borderId="1" xfId="0" applyFont="1" applyBorder="1" applyAlignment="1">
      <alignment horizontal="center"/>
    </xf>
    <xf numFmtId="1" fontId="5" fillId="0" borderId="1" xfId="0" applyNumberFormat="1" applyFont="1" applyBorder="1" applyAlignment="1"/>
    <xf numFmtId="0" fontId="14" fillId="2" borderId="1" xfId="0" applyFont="1" applyFill="1" applyBorder="1" applyAlignment="1">
      <alignment horizontal="right"/>
    </xf>
    <xf numFmtId="0" fontId="5" fillId="0" borderId="4" xfId="0" applyFont="1" applyBorder="1" applyAlignment="1">
      <alignment horizontal="center"/>
    </xf>
    <xf numFmtId="0" fontId="14" fillId="0" borderId="4" xfId="0" applyFont="1" applyBorder="1" applyAlignment="1">
      <alignment horizontal="right"/>
    </xf>
    <xf numFmtId="1" fontId="5" fillId="0" borderId="4" xfId="0" applyNumberFormat="1" applyFont="1" applyBorder="1" applyAlignment="1"/>
    <xf numFmtId="0" fontId="14" fillId="2" borderId="4" xfId="0" applyFont="1" applyFill="1" applyBorder="1" applyAlignment="1">
      <alignment horizontal="right"/>
    </xf>
    <xf numFmtId="0" fontId="14" fillId="0" borderId="4" xfId="0" applyFont="1" applyBorder="1" applyAlignment="1">
      <alignment horizontal="right"/>
    </xf>
    <xf numFmtId="0" fontId="14" fillId="0" borderId="4" xfId="0" applyFont="1" applyBorder="1" applyAlignment="1">
      <alignment horizontal="left"/>
    </xf>
    <xf numFmtId="0" fontId="6" fillId="0" borderId="1" xfId="0" applyFont="1" applyBorder="1" applyAlignment="1">
      <alignment horizontal="left"/>
    </xf>
    <xf numFmtId="0" fontId="13" fillId="0" borderId="4" xfId="0" applyFont="1" applyBorder="1" applyAlignment="1">
      <alignment horizontal="right"/>
    </xf>
    <xf numFmtId="0" fontId="14" fillId="0" borderId="9" xfId="0" applyFont="1" applyBorder="1" applyAlignment="1">
      <alignment horizontal="right"/>
    </xf>
    <xf numFmtId="0" fontId="16" fillId="0" borderId="1" xfId="0" applyFont="1" applyBorder="1" applyAlignment="1">
      <alignment horizontal="right"/>
    </xf>
    <xf numFmtId="0" fontId="2" fillId="10" borderId="0" xfId="0" applyFont="1" applyFill="1" applyAlignment="1">
      <alignment horizontal="left"/>
    </xf>
    <xf numFmtId="0" fontId="2" fillId="0" borderId="0" xfId="0" applyFont="1" applyAlignment="1">
      <alignment horizontal="left"/>
    </xf>
    <xf numFmtId="0" fontId="18" fillId="0" borderId="0" xfId="0" applyFont="1" applyAlignment="1">
      <alignment horizontal="left"/>
    </xf>
    <xf numFmtId="0" fontId="3" fillId="3" borderId="1"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170" fontId="19" fillId="3" borderId="1" xfId="0" applyNumberFormat="1" applyFont="1" applyFill="1" applyBorder="1" applyAlignment="1">
      <alignment horizontal="left" vertical="top"/>
    </xf>
    <xf numFmtId="0" fontId="20" fillId="0" borderId="0" xfId="0" applyFont="1" applyAlignment="1"/>
    <xf numFmtId="170" fontId="5" fillId="3" borderId="1" xfId="0" applyNumberFormat="1" applyFont="1" applyFill="1" applyBorder="1" applyAlignment="1">
      <alignment horizontal="left" vertical="top"/>
    </xf>
    <xf numFmtId="1" fontId="2" fillId="3" borderId="0" xfId="0" applyNumberFormat="1" applyFont="1" applyFill="1"/>
    <xf numFmtId="0" fontId="2" fillId="3" borderId="1" xfId="0" applyFont="1" applyFill="1" applyBorder="1"/>
    <xf numFmtId="170" fontId="5" fillId="3" borderId="6" xfId="0" applyNumberFormat="1" applyFont="1" applyFill="1" applyBorder="1" applyAlignment="1">
      <alignment horizontal="left" vertical="top"/>
    </xf>
    <xf numFmtId="0" fontId="2" fillId="3" borderId="6" xfId="0" applyFont="1" applyFill="1" applyBorder="1"/>
    <xf numFmtId="170" fontId="5" fillId="3" borderId="10" xfId="0" applyNumberFormat="1" applyFont="1" applyFill="1" applyBorder="1" applyAlignment="1">
      <alignment horizontal="left" vertical="top"/>
    </xf>
    <xf numFmtId="0" fontId="2" fillId="3" borderId="10" xfId="0" applyFont="1" applyFill="1" applyBorder="1"/>
    <xf numFmtId="0" fontId="2" fillId="3" borderId="0" xfId="0" applyFont="1" applyFill="1" applyAlignment="1">
      <alignment horizontal="center"/>
    </xf>
    <xf numFmtId="0" fontId="0" fillId="0" borderId="0" xfId="0" applyFont="1" applyAlignment="1"/>
    <xf numFmtId="0" fontId="0" fillId="0" borderId="0" xfId="0"/>
    <xf numFmtId="0" fontId="6" fillId="0" borderId="0" xfId="0" applyFont="1" applyAlignment="1"/>
    <xf numFmtId="2" fontId="0" fillId="0" borderId="0" xfId="0" applyNumberFormat="1" applyFont="1" applyAlignment="1"/>
    <xf numFmtId="0" fontId="0" fillId="0" borderId="0" xfId="0" applyFont="1" applyAlignment="1"/>
    <xf numFmtId="0" fontId="6" fillId="0" borderId="12" xfId="0" applyFont="1" applyBorder="1" applyAlignment="1"/>
    <xf numFmtId="170" fontId="5" fillId="0" borderId="13" xfId="0" applyNumberFormat="1" applyFont="1" applyBorder="1" applyAlignment="1">
      <alignment horizontal="left" vertical="top"/>
    </xf>
    <xf numFmtId="170" fontId="5" fillId="0" borderId="7" xfId="0" applyNumberFormat="1" applyFont="1" applyBorder="1" applyAlignment="1">
      <alignment horizontal="left" vertical="top"/>
    </xf>
    <xf numFmtId="170" fontId="5" fillId="7" borderId="7" xfId="0" applyNumberFormat="1" applyFont="1" applyFill="1" applyBorder="1" applyAlignment="1">
      <alignment horizontal="left" vertical="top"/>
    </xf>
    <xf numFmtId="170" fontId="5" fillId="10" borderId="7" xfId="0" applyNumberFormat="1" applyFont="1" applyFill="1" applyBorder="1" applyAlignment="1">
      <alignment horizontal="left" vertical="top"/>
    </xf>
    <xf numFmtId="0" fontId="6" fillId="0" borderId="11" xfId="0" applyFont="1" applyBorder="1" applyAlignment="1">
      <alignment horizontal="center"/>
    </xf>
    <xf numFmtId="0" fontId="0" fillId="0" borderId="11" xfId="0" applyFont="1" applyBorder="1" applyAlignment="1">
      <alignment horizontal="center"/>
    </xf>
    <xf numFmtId="1" fontId="13" fillId="9" borderId="1" xfId="0" applyNumberFormat="1" applyFont="1" applyFill="1" applyBorder="1" applyAlignment="1">
      <alignment horizontal="center"/>
    </xf>
    <xf numFmtId="0" fontId="9" fillId="0" borderId="0" xfId="0" applyFont="1" applyAlignment="1">
      <alignment horizontal="center" vertical="top"/>
    </xf>
    <xf numFmtId="0" fontId="0" fillId="0" borderId="0" xfId="0" applyFont="1" applyAlignment="1"/>
    <xf numFmtId="0" fontId="9" fillId="6" borderId="0" xfId="0" applyFont="1" applyFill="1" applyAlignment="1">
      <alignment horizontal="center"/>
    </xf>
    <xf numFmtId="169" fontId="5" fillId="10" borderId="7" xfId="0" applyNumberFormat="1" applyFont="1" applyFill="1" applyBorder="1" applyAlignment="1">
      <alignment horizontal="center" vertical="top"/>
    </xf>
    <xf numFmtId="0" fontId="15" fillId="0" borderId="8" xfId="0" applyFont="1" applyBorder="1"/>
    <xf numFmtId="0" fontId="15" fillId="0" borderId="2" xfId="0" applyFont="1" applyBorder="1"/>
    <xf numFmtId="168" fontId="5" fillId="10" borderId="6" xfId="0" applyNumberFormat="1" applyFont="1" applyFill="1" applyBorder="1" applyAlignment="1">
      <alignment horizontal="center" vertical="top" wrapText="1"/>
    </xf>
    <xf numFmtId="0" fontId="15" fillId="0" borderId="4" xfId="0" applyFont="1" applyBorder="1"/>
    <xf numFmtId="168" fontId="5" fillId="10" borderId="6" xfId="0" applyNumberFormat="1" applyFont="1" applyFill="1" applyBorder="1" applyAlignment="1">
      <alignment horizontal="center" vertical="center" wrapText="1"/>
    </xf>
    <xf numFmtId="0" fontId="5" fillId="0" borderId="6" xfId="0" applyFont="1" applyBorder="1" applyAlignment="1">
      <alignment horizontal="center" vertical="center"/>
    </xf>
    <xf numFmtId="0" fontId="15" fillId="0" borderId="9" xfId="0" applyFont="1" applyBorder="1"/>
    <xf numFmtId="169" fontId="5" fillId="0" borderId="7" xfId="0" applyNumberFormat="1" applyFont="1" applyBorder="1" applyAlignment="1">
      <alignment horizontal="center" vertical="top"/>
    </xf>
    <xf numFmtId="0" fontId="1" fillId="0" borderId="7" xfId="0" applyFont="1" applyBorder="1" applyAlignment="1">
      <alignment horizontal="center" wrapText="1"/>
    </xf>
    <xf numFmtId="0" fontId="17"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000"/>
  <sheetViews>
    <sheetView topLeftCell="J1" workbookViewId="0">
      <pane ySplit="1" topLeftCell="A2" activePane="bottomLeft" state="frozen"/>
      <selection pane="bottomLeft" activeCell="N11" sqref="N11"/>
    </sheetView>
  </sheetViews>
  <sheetFormatPr defaultColWidth="14.44140625" defaultRowHeight="15.75" customHeight="1" x14ac:dyDescent="0.25"/>
  <sheetData>
    <row r="1" spans="1:14"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3.2" x14ac:dyDescent="0.25">
      <c r="A2" s="2">
        <f ca="1">IFERROR(__xludf.DUMMYFUNCTION("IMPORTRANGE(""https://docs.google.com/spreadsheets/d/1Xn9jFnhuJi5zY1GsAOHKKWOWFm19gsfN05WfR69DfvY/edit#gid=1255631436"",""[INPUT] Data Jakarta!A2:H"")"),43891)</f>
        <v>43891</v>
      </c>
      <c r="B2" s="3"/>
      <c r="C2" s="4">
        <f ca="1">IFERROR(__xludf.DUMMYFUNCTION("""COMPUTED_VALUE"""),43891.75)</f>
        <v>43891.75</v>
      </c>
      <c r="D2" s="5">
        <f ca="1">IFERROR(__xludf.DUMMYFUNCTION("""COMPUTED_VALUE"""),0)</f>
        <v>0</v>
      </c>
      <c r="E2" s="5">
        <f ca="1">IFERROR(__xludf.DUMMYFUNCTION("""COMPUTED_VALUE"""),0)</f>
        <v>0</v>
      </c>
      <c r="F2" s="5">
        <f ca="1">IFERROR(__xludf.DUMMYFUNCTION("""COMPUTED_VALUE"""),0)</f>
        <v>0</v>
      </c>
      <c r="G2" s="5">
        <f ca="1">IFERROR(__xludf.DUMMYFUNCTION("""COMPUTED_VALUE"""),0)</f>
        <v>0</v>
      </c>
      <c r="H2" s="5">
        <f ca="1">IFERROR(__xludf.DUMMYFUNCTION("""COMPUTED_VALUE"""),0)</f>
        <v>0</v>
      </c>
      <c r="I2" s="5">
        <f ca="1">IFERROR(__xludf.DUMMYFUNCTION("IMPORTRANGE(""https://docs.google.com/spreadsheets/d/1Xn9jFnhuJi5zY1GsAOHKKWOWFm19gsfN05WfR69DfvY/"",""[INPUT] Data Jakarta!L2:Q"")"),0)</f>
        <v>0</v>
      </c>
      <c r="J2" s="5">
        <f ca="1">IFERROR(__xludf.DUMMYFUNCTION("""COMPUTED_VALUE"""),0)</f>
        <v>0</v>
      </c>
      <c r="K2" s="5">
        <f ca="1">IFERROR(__xludf.DUMMYFUNCTION("""COMPUTED_VALUE"""),0)</f>
        <v>0</v>
      </c>
      <c r="L2" s="3"/>
      <c r="M2" s="3"/>
      <c r="N2" s="3"/>
    </row>
    <row r="3" spans="1:14" ht="13.2" x14ac:dyDescent="0.25">
      <c r="A3" s="6">
        <f ca="1">IFERROR(__xludf.DUMMYFUNCTION("""COMPUTED_VALUE"""),43892)</f>
        <v>43892</v>
      </c>
      <c r="B3" s="7"/>
      <c r="C3" s="8">
        <f ca="1">IFERROR(__xludf.DUMMYFUNCTION("""COMPUTED_VALUE"""),43892.75)</f>
        <v>43892.75</v>
      </c>
      <c r="D3" s="7">
        <f ca="1">IFERROR(__xludf.DUMMYFUNCTION("""COMPUTED_VALUE"""),0)</f>
        <v>0</v>
      </c>
      <c r="E3" s="7">
        <f ca="1">IFERROR(__xludf.DUMMYFUNCTION("""COMPUTED_VALUE"""),0)</f>
        <v>0</v>
      </c>
      <c r="F3" s="7">
        <f ca="1">IFERROR(__xludf.DUMMYFUNCTION("""COMPUTED_VALUE"""),0)</f>
        <v>0</v>
      </c>
      <c r="G3" s="7">
        <f ca="1">IFERROR(__xludf.DUMMYFUNCTION("""COMPUTED_VALUE"""),0)</f>
        <v>0</v>
      </c>
      <c r="H3" s="7">
        <f ca="1">IFERROR(__xludf.DUMMYFUNCTION("""COMPUTED_VALUE"""),0)</f>
        <v>0</v>
      </c>
      <c r="I3" s="7">
        <f ca="1">IFERROR(__xludf.DUMMYFUNCTION("""COMPUTED_VALUE"""),0)</f>
        <v>0</v>
      </c>
      <c r="J3" s="7">
        <f ca="1">IFERROR(__xludf.DUMMYFUNCTION("""COMPUTED_VALUE"""),0)</f>
        <v>0</v>
      </c>
      <c r="K3" s="7">
        <f ca="1">IFERROR(__xludf.DUMMYFUNCTION("""COMPUTED_VALUE"""),0)</f>
        <v>0</v>
      </c>
      <c r="L3" s="7"/>
      <c r="M3" s="7"/>
      <c r="N3" s="7"/>
    </row>
    <row r="4" spans="1:14" ht="13.2" x14ac:dyDescent="0.25">
      <c r="A4" s="6">
        <f ca="1">IFERROR(__xludf.DUMMYFUNCTION("""COMPUTED_VALUE"""),43893)</f>
        <v>43893</v>
      </c>
      <c r="B4" s="7"/>
      <c r="C4" s="8">
        <f ca="1">IFERROR(__xludf.DUMMYFUNCTION("""COMPUTED_VALUE"""),43893.75)</f>
        <v>43893.75</v>
      </c>
      <c r="D4" s="7">
        <f ca="1">IFERROR(__xludf.DUMMYFUNCTION("""COMPUTED_VALUE"""),1)</f>
        <v>1</v>
      </c>
      <c r="E4" s="7">
        <f ca="1">IFERROR(__xludf.DUMMYFUNCTION("""COMPUTED_VALUE"""),0)</f>
        <v>0</v>
      </c>
      <c r="F4" s="7">
        <f ca="1">IFERROR(__xludf.DUMMYFUNCTION("""COMPUTED_VALUE"""),0)</f>
        <v>0</v>
      </c>
      <c r="G4" s="7">
        <f ca="1">IFERROR(__xludf.DUMMYFUNCTION("""COMPUTED_VALUE"""),2)</f>
        <v>2</v>
      </c>
      <c r="H4" s="7">
        <f ca="1">IFERROR(__xludf.DUMMYFUNCTION("""COMPUTED_VALUE"""),3)</f>
        <v>3</v>
      </c>
      <c r="I4" s="7">
        <f ca="1">IFERROR(__xludf.DUMMYFUNCTION("""COMPUTED_VALUE"""),3)</f>
        <v>3</v>
      </c>
      <c r="J4" s="7">
        <f ca="1">IFERROR(__xludf.DUMMYFUNCTION("""COMPUTED_VALUE"""),2)</f>
        <v>2</v>
      </c>
      <c r="K4" s="7">
        <f ca="1">IFERROR(__xludf.DUMMYFUNCTION("""COMPUTED_VALUE"""),0)</f>
        <v>0</v>
      </c>
      <c r="L4" s="7"/>
      <c r="M4" s="7"/>
      <c r="N4" s="7"/>
    </row>
    <row r="5" spans="1:14" ht="13.2" x14ac:dyDescent="0.25">
      <c r="A5" s="6">
        <f ca="1">IFERROR(__xludf.DUMMYFUNCTION("""COMPUTED_VALUE"""),43894)</f>
        <v>43894</v>
      </c>
      <c r="B5" s="7"/>
      <c r="C5" s="8">
        <f ca="1">IFERROR(__xludf.DUMMYFUNCTION("""COMPUTED_VALUE"""),43894.75)</f>
        <v>43894.75</v>
      </c>
      <c r="D5" s="7">
        <f ca="1">IFERROR(__xludf.DUMMYFUNCTION("""COMPUTED_VALUE"""),1)</f>
        <v>1</v>
      </c>
      <c r="E5" s="7">
        <f ca="1">IFERROR(__xludf.DUMMYFUNCTION("""COMPUTED_VALUE"""),0)</f>
        <v>0</v>
      </c>
      <c r="F5" s="7">
        <f ca="1">IFERROR(__xludf.DUMMYFUNCTION("""COMPUTED_VALUE"""),0)</f>
        <v>0</v>
      </c>
      <c r="G5" s="7">
        <f ca="1">IFERROR(__xludf.DUMMYFUNCTION("""COMPUTED_VALUE"""),2)</f>
        <v>2</v>
      </c>
      <c r="H5" s="7">
        <f ca="1">IFERROR(__xludf.DUMMYFUNCTION("""COMPUTED_VALUE"""),3)</f>
        <v>3</v>
      </c>
      <c r="I5" s="7">
        <f ca="1">IFERROR(__xludf.DUMMYFUNCTION("""COMPUTED_VALUE"""),0)</f>
        <v>0</v>
      </c>
      <c r="J5" s="7">
        <f ca="1">IFERROR(__xludf.DUMMYFUNCTION("""COMPUTED_VALUE"""),2)</f>
        <v>2</v>
      </c>
      <c r="K5" s="7">
        <f ca="1">IFERROR(__xludf.DUMMYFUNCTION("""COMPUTED_VALUE"""),0)</f>
        <v>0</v>
      </c>
      <c r="L5" s="7"/>
      <c r="M5" s="7"/>
      <c r="N5" s="7"/>
    </row>
    <row r="6" spans="1:14" ht="13.2" x14ac:dyDescent="0.25">
      <c r="A6" s="6">
        <f ca="1">IFERROR(__xludf.DUMMYFUNCTION("""COMPUTED_VALUE"""),43895)</f>
        <v>43895</v>
      </c>
      <c r="B6" s="7"/>
      <c r="C6" s="8">
        <f ca="1">IFERROR(__xludf.DUMMYFUNCTION("""COMPUTED_VALUE"""),43895.75)</f>
        <v>43895.75</v>
      </c>
      <c r="D6" s="7">
        <f ca="1">IFERROR(__xludf.DUMMYFUNCTION("""COMPUTED_VALUE"""),3)</f>
        <v>3</v>
      </c>
      <c r="E6" s="7">
        <f ca="1">IFERROR(__xludf.DUMMYFUNCTION("""COMPUTED_VALUE"""),0)</f>
        <v>0</v>
      </c>
      <c r="F6" s="7">
        <f ca="1">IFERROR(__xludf.DUMMYFUNCTION("""COMPUTED_VALUE"""),0)</f>
        <v>0</v>
      </c>
      <c r="G6" s="7">
        <f ca="1">IFERROR(__xludf.DUMMYFUNCTION("""COMPUTED_VALUE"""),4)</f>
        <v>4</v>
      </c>
      <c r="H6" s="7">
        <f ca="1">IFERROR(__xludf.DUMMYFUNCTION("""COMPUTED_VALUE"""),7)</f>
        <v>7</v>
      </c>
      <c r="I6" s="7">
        <f ca="1">IFERROR(__xludf.DUMMYFUNCTION("""COMPUTED_VALUE"""),4)</f>
        <v>4</v>
      </c>
      <c r="J6" s="7">
        <f ca="1">IFERROR(__xludf.DUMMYFUNCTION("""COMPUTED_VALUE"""),4)</f>
        <v>4</v>
      </c>
      <c r="K6" s="7">
        <f ca="1">IFERROR(__xludf.DUMMYFUNCTION("""COMPUTED_VALUE"""),0)</f>
        <v>0</v>
      </c>
      <c r="L6" s="7"/>
      <c r="M6" s="7"/>
      <c r="N6" s="7"/>
    </row>
    <row r="7" spans="1:14" ht="13.2" x14ac:dyDescent="0.25">
      <c r="A7" s="6">
        <f ca="1">IFERROR(__xludf.DUMMYFUNCTION("""COMPUTED_VALUE"""),43896)</f>
        <v>43896</v>
      </c>
      <c r="B7" s="7"/>
      <c r="C7" s="8">
        <f ca="1">IFERROR(__xludf.DUMMYFUNCTION("""COMPUTED_VALUE"""),43896.75)</f>
        <v>43896.75</v>
      </c>
      <c r="D7" s="7">
        <f ca="1">IFERROR(__xludf.DUMMYFUNCTION("""COMPUTED_VALUE"""),3)</f>
        <v>3</v>
      </c>
      <c r="E7" s="7">
        <f ca="1">IFERROR(__xludf.DUMMYFUNCTION("""COMPUTED_VALUE"""),0)</f>
        <v>0</v>
      </c>
      <c r="F7" s="7">
        <f ca="1">IFERROR(__xludf.DUMMYFUNCTION("""COMPUTED_VALUE"""),0)</f>
        <v>0</v>
      </c>
      <c r="G7" s="7">
        <f ca="1">IFERROR(__xludf.DUMMYFUNCTION("""COMPUTED_VALUE"""),4)</f>
        <v>4</v>
      </c>
      <c r="H7" s="7">
        <f ca="1">IFERROR(__xludf.DUMMYFUNCTION("""COMPUTED_VALUE"""),7)</f>
        <v>7</v>
      </c>
      <c r="I7" s="7">
        <f ca="1">IFERROR(__xludf.DUMMYFUNCTION("""COMPUTED_VALUE"""),0)</f>
        <v>0</v>
      </c>
      <c r="J7" s="7">
        <f ca="1">IFERROR(__xludf.DUMMYFUNCTION("""COMPUTED_VALUE"""),4)</f>
        <v>4</v>
      </c>
      <c r="K7" s="7">
        <f ca="1">IFERROR(__xludf.DUMMYFUNCTION("""COMPUTED_VALUE"""),0)</f>
        <v>0</v>
      </c>
      <c r="L7" s="7"/>
      <c r="M7" s="7"/>
      <c r="N7" s="7"/>
    </row>
    <row r="8" spans="1:14" ht="13.2" x14ac:dyDescent="0.25">
      <c r="A8" s="6">
        <f ca="1">IFERROR(__xludf.DUMMYFUNCTION("""COMPUTED_VALUE"""),43897)</f>
        <v>43897</v>
      </c>
      <c r="B8" s="7"/>
      <c r="C8" s="8">
        <f ca="1">IFERROR(__xludf.DUMMYFUNCTION("""COMPUTED_VALUE"""),43897.75)</f>
        <v>43897.75</v>
      </c>
      <c r="D8" s="7">
        <f ca="1">IFERROR(__xludf.DUMMYFUNCTION("""COMPUTED_VALUE"""),3)</f>
        <v>3</v>
      </c>
      <c r="E8" s="7">
        <f ca="1">IFERROR(__xludf.DUMMYFUNCTION("""COMPUTED_VALUE"""),0)</f>
        <v>0</v>
      </c>
      <c r="F8" s="7">
        <f ca="1">IFERROR(__xludf.DUMMYFUNCTION("""COMPUTED_VALUE"""),0)</f>
        <v>0</v>
      </c>
      <c r="G8" s="7">
        <f ca="1">IFERROR(__xludf.DUMMYFUNCTION("""COMPUTED_VALUE"""),4)</f>
        <v>4</v>
      </c>
      <c r="H8" s="7">
        <f ca="1">IFERROR(__xludf.DUMMYFUNCTION("""COMPUTED_VALUE"""),7)</f>
        <v>7</v>
      </c>
      <c r="I8" s="7">
        <f ca="1">IFERROR(__xludf.DUMMYFUNCTION("""COMPUTED_VALUE"""),0)</f>
        <v>0</v>
      </c>
      <c r="J8" s="7">
        <f ca="1">IFERROR(__xludf.DUMMYFUNCTION("""COMPUTED_VALUE"""),4)</f>
        <v>4</v>
      </c>
      <c r="K8" s="7">
        <f ca="1">IFERROR(__xludf.DUMMYFUNCTION("""COMPUTED_VALUE"""),0)</f>
        <v>0</v>
      </c>
      <c r="L8" s="7"/>
      <c r="M8" s="7"/>
      <c r="N8" s="7"/>
    </row>
    <row r="9" spans="1:14" ht="13.2" x14ac:dyDescent="0.25">
      <c r="A9" s="6">
        <f ca="1">IFERROR(__xludf.DUMMYFUNCTION("""COMPUTED_VALUE"""),43898)</f>
        <v>43898</v>
      </c>
      <c r="B9" s="7"/>
      <c r="C9" s="8">
        <f ca="1">IFERROR(__xludf.DUMMYFUNCTION("""COMPUTED_VALUE"""),43898.75)</f>
        <v>43898.75</v>
      </c>
      <c r="D9" s="7">
        <f ca="1">IFERROR(__xludf.DUMMYFUNCTION("""COMPUTED_VALUE"""),3)</f>
        <v>3</v>
      </c>
      <c r="E9" s="7">
        <f ca="1">IFERROR(__xludf.DUMMYFUNCTION("""COMPUTED_VALUE"""),0)</f>
        <v>0</v>
      </c>
      <c r="F9" s="7">
        <f ca="1">IFERROR(__xludf.DUMMYFUNCTION("""COMPUTED_VALUE"""),0)</f>
        <v>0</v>
      </c>
      <c r="G9" s="7">
        <f ca="1">IFERROR(__xludf.DUMMYFUNCTION("""COMPUTED_VALUE"""),4)</f>
        <v>4</v>
      </c>
      <c r="H9" s="7">
        <f ca="1">IFERROR(__xludf.DUMMYFUNCTION("""COMPUTED_VALUE"""),7)</f>
        <v>7</v>
      </c>
      <c r="I9" s="7">
        <f ca="1">IFERROR(__xludf.DUMMYFUNCTION("""COMPUTED_VALUE"""),0)</f>
        <v>0</v>
      </c>
      <c r="J9" s="7">
        <f ca="1">IFERROR(__xludf.DUMMYFUNCTION("""COMPUTED_VALUE"""),4)</f>
        <v>4</v>
      </c>
      <c r="K9" s="7">
        <f ca="1">IFERROR(__xludf.DUMMYFUNCTION("""COMPUTED_VALUE"""),0)</f>
        <v>0</v>
      </c>
      <c r="L9" s="7"/>
      <c r="M9" s="7"/>
      <c r="N9" s="7"/>
    </row>
    <row r="10" spans="1:14" ht="13.2" x14ac:dyDescent="0.25">
      <c r="A10" s="6">
        <f ca="1">IFERROR(__xludf.DUMMYFUNCTION("""COMPUTED_VALUE"""),43899)</f>
        <v>43899</v>
      </c>
      <c r="B10" s="7"/>
      <c r="C10" s="8">
        <f ca="1">IFERROR(__xludf.DUMMYFUNCTION("""COMPUTED_VALUE"""),43899.75)</f>
        <v>43899.75</v>
      </c>
      <c r="D10" s="7">
        <f ca="1">IFERROR(__xludf.DUMMYFUNCTION("""COMPUTED_VALUE"""),3)</f>
        <v>3</v>
      </c>
      <c r="E10" s="7">
        <f ca="1">IFERROR(__xludf.DUMMYFUNCTION("""COMPUTED_VALUE"""),0)</f>
        <v>0</v>
      </c>
      <c r="F10" s="7">
        <f ca="1">IFERROR(__xludf.DUMMYFUNCTION("""COMPUTED_VALUE"""),0)</f>
        <v>0</v>
      </c>
      <c r="G10" s="7">
        <f ca="1">IFERROR(__xludf.DUMMYFUNCTION("""COMPUTED_VALUE"""),31)</f>
        <v>31</v>
      </c>
      <c r="H10" s="7">
        <f ca="1">IFERROR(__xludf.DUMMYFUNCTION("""COMPUTED_VALUE"""),34)</f>
        <v>34</v>
      </c>
      <c r="I10" s="7">
        <f ca="1">IFERROR(__xludf.DUMMYFUNCTION("""COMPUTED_VALUE"""),27)</f>
        <v>27</v>
      </c>
      <c r="J10" s="7">
        <f ca="1">IFERROR(__xludf.DUMMYFUNCTION("""COMPUTED_VALUE"""),31)</f>
        <v>31</v>
      </c>
      <c r="K10" s="7">
        <f ca="1">IFERROR(__xludf.DUMMYFUNCTION("""COMPUTED_VALUE"""),0)</f>
        <v>0</v>
      </c>
      <c r="L10" s="7"/>
      <c r="M10" s="7"/>
      <c r="N10" s="7"/>
    </row>
    <row r="11" spans="1:14" ht="13.2" x14ac:dyDescent="0.25">
      <c r="A11" s="6">
        <f ca="1">IFERROR(__xludf.DUMMYFUNCTION("""COMPUTED_VALUE"""),43900)</f>
        <v>43900</v>
      </c>
      <c r="B11" s="7"/>
      <c r="C11" s="8">
        <f ca="1">IFERROR(__xludf.DUMMYFUNCTION("""COMPUTED_VALUE"""),43900.75)</f>
        <v>43900.75</v>
      </c>
      <c r="D11" s="7">
        <f ca="1">IFERROR(__xludf.DUMMYFUNCTION("""COMPUTED_VALUE"""),3)</f>
        <v>3</v>
      </c>
      <c r="E11" s="7">
        <f ca="1">IFERROR(__xludf.DUMMYFUNCTION("""COMPUTED_VALUE"""),0)</f>
        <v>0</v>
      </c>
      <c r="F11" s="7">
        <f ca="1">IFERROR(__xludf.DUMMYFUNCTION("""COMPUTED_VALUE"""),0)</f>
        <v>0</v>
      </c>
      <c r="G11" s="7">
        <f ca="1">IFERROR(__xludf.DUMMYFUNCTION("""COMPUTED_VALUE"""),31)</f>
        <v>31</v>
      </c>
      <c r="H11" s="7">
        <f ca="1">IFERROR(__xludf.DUMMYFUNCTION("""COMPUTED_VALUE"""),34)</f>
        <v>34</v>
      </c>
      <c r="I11" s="7">
        <f ca="1">IFERROR(__xludf.DUMMYFUNCTION("""COMPUTED_VALUE"""),0)</f>
        <v>0</v>
      </c>
      <c r="J11" s="7">
        <f ca="1">IFERROR(__xludf.DUMMYFUNCTION("""COMPUTED_VALUE"""),31)</f>
        <v>31</v>
      </c>
      <c r="K11" s="7">
        <f ca="1">IFERROR(__xludf.DUMMYFUNCTION("""COMPUTED_VALUE"""),0)</f>
        <v>0</v>
      </c>
      <c r="L11" s="7"/>
      <c r="M11" s="7"/>
      <c r="N11" s="7"/>
    </row>
    <row r="12" spans="1:14" ht="13.2" x14ac:dyDescent="0.25">
      <c r="A12" s="6">
        <f ca="1">IFERROR(__xludf.DUMMYFUNCTION("""COMPUTED_VALUE"""),43901)</f>
        <v>43901</v>
      </c>
      <c r="B12" s="7"/>
      <c r="C12" s="8">
        <f ca="1">IFERROR(__xludf.DUMMYFUNCTION("""COMPUTED_VALUE"""),43901.75)</f>
        <v>43901.75</v>
      </c>
      <c r="D12" s="7">
        <f ca="1">IFERROR(__xludf.DUMMYFUNCTION("""COMPUTED_VALUE"""),3)</f>
        <v>3</v>
      </c>
      <c r="E12" s="7">
        <f ca="1">IFERROR(__xludf.DUMMYFUNCTION("""COMPUTED_VALUE"""),0)</f>
        <v>0</v>
      </c>
      <c r="F12" s="7">
        <f ca="1">IFERROR(__xludf.DUMMYFUNCTION("""COMPUTED_VALUE"""),0)</f>
        <v>0</v>
      </c>
      <c r="G12" s="7">
        <f ca="1">IFERROR(__xludf.DUMMYFUNCTION("""COMPUTED_VALUE"""),33)</f>
        <v>33</v>
      </c>
      <c r="H12" s="7">
        <f ca="1">IFERROR(__xludf.DUMMYFUNCTION("""COMPUTED_VALUE"""),36)</f>
        <v>36</v>
      </c>
      <c r="I12" s="7">
        <f ca="1">IFERROR(__xludf.DUMMYFUNCTION("""COMPUTED_VALUE"""),2)</f>
        <v>2</v>
      </c>
      <c r="J12" s="7">
        <f ca="1">IFERROR(__xludf.DUMMYFUNCTION("""COMPUTED_VALUE"""),33)</f>
        <v>33</v>
      </c>
      <c r="K12" s="7">
        <f ca="1">IFERROR(__xludf.DUMMYFUNCTION("""COMPUTED_VALUE"""),0)</f>
        <v>0</v>
      </c>
      <c r="L12" s="7"/>
      <c r="M12" s="7"/>
      <c r="N12" s="7"/>
    </row>
    <row r="13" spans="1:14" ht="13.2" x14ac:dyDescent="0.25">
      <c r="A13" s="6">
        <f ca="1">IFERROR(__xludf.DUMMYFUNCTION("""COMPUTED_VALUE"""),43902)</f>
        <v>43902</v>
      </c>
      <c r="B13" s="7"/>
      <c r="C13" s="8">
        <f ca="1">IFERROR(__xludf.DUMMYFUNCTION("""COMPUTED_VALUE"""),43902.75)</f>
        <v>43902.75</v>
      </c>
      <c r="D13" s="7">
        <f ca="1">IFERROR(__xludf.DUMMYFUNCTION("""COMPUTED_VALUE"""),5)</f>
        <v>5</v>
      </c>
      <c r="E13" s="7">
        <f ca="1">IFERROR(__xludf.DUMMYFUNCTION("""COMPUTED_VALUE"""),0)</f>
        <v>0</v>
      </c>
      <c r="F13" s="7">
        <f ca="1">IFERROR(__xludf.DUMMYFUNCTION("""COMPUTED_VALUE"""),0)</f>
        <v>0</v>
      </c>
      <c r="G13" s="7">
        <f ca="1">IFERROR(__xludf.DUMMYFUNCTION("""COMPUTED_VALUE"""),57)</f>
        <v>57</v>
      </c>
      <c r="H13" s="7">
        <f ca="1">IFERROR(__xludf.DUMMYFUNCTION("""COMPUTED_VALUE"""),62)</f>
        <v>62</v>
      </c>
      <c r="I13" s="7">
        <f ca="1">IFERROR(__xludf.DUMMYFUNCTION("""COMPUTED_VALUE"""),26)</f>
        <v>26</v>
      </c>
      <c r="J13" s="7">
        <f ca="1">IFERROR(__xludf.DUMMYFUNCTION("""COMPUTED_VALUE"""),57)</f>
        <v>57</v>
      </c>
      <c r="K13" s="7">
        <f ca="1">IFERROR(__xludf.DUMMYFUNCTION("""COMPUTED_VALUE"""),0)</f>
        <v>0</v>
      </c>
      <c r="L13" s="7"/>
      <c r="M13" s="7"/>
      <c r="N13" s="7"/>
    </row>
    <row r="14" spans="1:14" ht="13.2" x14ac:dyDescent="0.25">
      <c r="A14" s="6">
        <f ca="1">IFERROR(__xludf.DUMMYFUNCTION("""COMPUTED_VALUE"""),43903)</f>
        <v>43903</v>
      </c>
      <c r="B14" s="7"/>
      <c r="C14" s="8">
        <f ca="1">IFERROR(__xludf.DUMMYFUNCTION("""COMPUTED_VALUE"""),43903.75)</f>
        <v>43903.75</v>
      </c>
      <c r="D14" s="7">
        <f ca="1">IFERROR(__xludf.DUMMYFUNCTION("""COMPUTED_VALUE"""),7)</f>
        <v>7</v>
      </c>
      <c r="E14" s="7">
        <f ca="1">IFERROR(__xludf.DUMMYFUNCTION("""COMPUTED_VALUE"""),0)</f>
        <v>0</v>
      </c>
      <c r="F14" s="7">
        <f ca="1">IFERROR(__xludf.DUMMYFUNCTION("""COMPUTED_VALUE"""),0)</f>
        <v>0</v>
      </c>
      <c r="G14" s="7">
        <f ca="1">IFERROR(__xludf.DUMMYFUNCTION("""COMPUTED_VALUE"""),65)</f>
        <v>65</v>
      </c>
      <c r="H14" s="7">
        <f ca="1">IFERROR(__xludf.DUMMYFUNCTION("""COMPUTED_VALUE"""),72)</f>
        <v>72</v>
      </c>
      <c r="I14" s="7">
        <f ca="1">IFERROR(__xludf.DUMMYFUNCTION("""COMPUTED_VALUE"""),10)</f>
        <v>10</v>
      </c>
      <c r="J14" s="7">
        <f ca="1">IFERROR(__xludf.DUMMYFUNCTION("""COMPUTED_VALUE"""),65)</f>
        <v>65</v>
      </c>
      <c r="K14" s="7">
        <f ca="1">IFERROR(__xludf.DUMMYFUNCTION("""COMPUTED_VALUE"""),0)</f>
        <v>0</v>
      </c>
      <c r="L14" s="7"/>
      <c r="M14" s="7"/>
      <c r="N14" s="7"/>
    </row>
    <row r="15" spans="1:14" ht="13.2" x14ac:dyDescent="0.25">
      <c r="A15" s="6">
        <f ca="1">IFERROR(__xludf.DUMMYFUNCTION("""COMPUTED_VALUE"""),43904)</f>
        <v>43904</v>
      </c>
      <c r="B15" s="7"/>
      <c r="C15" s="8">
        <f ca="1">IFERROR(__xludf.DUMMYFUNCTION("""COMPUTED_VALUE"""),43904.75)</f>
        <v>43904.75</v>
      </c>
      <c r="D15" s="7">
        <f ca="1">IFERROR(__xludf.DUMMYFUNCTION("""COMPUTED_VALUE"""),9)</f>
        <v>9</v>
      </c>
      <c r="E15" s="7">
        <f ca="1">IFERROR(__xludf.DUMMYFUNCTION("""COMPUTED_VALUE"""),0)</f>
        <v>0</v>
      </c>
      <c r="F15" s="7">
        <f ca="1">IFERROR(__xludf.DUMMYFUNCTION("""COMPUTED_VALUE"""),0)</f>
        <v>0</v>
      </c>
      <c r="G15" s="7">
        <f ca="1">IFERROR(__xludf.DUMMYFUNCTION("""COMPUTED_VALUE"""),70)</f>
        <v>70</v>
      </c>
      <c r="H15" s="7">
        <f ca="1">IFERROR(__xludf.DUMMYFUNCTION("""COMPUTED_VALUE"""),79)</f>
        <v>79</v>
      </c>
      <c r="I15" s="7">
        <f ca="1">IFERROR(__xludf.DUMMYFUNCTION("""COMPUTED_VALUE"""),7)</f>
        <v>7</v>
      </c>
      <c r="J15" s="7">
        <f ca="1">IFERROR(__xludf.DUMMYFUNCTION("""COMPUTED_VALUE"""),70)</f>
        <v>70</v>
      </c>
      <c r="K15" s="7">
        <f ca="1">IFERROR(__xludf.DUMMYFUNCTION("""COMPUTED_VALUE"""),0)</f>
        <v>0</v>
      </c>
      <c r="L15" s="7"/>
      <c r="M15" s="7"/>
      <c r="N15" s="7"/>
    </row>
    <row r="16" spans="1:14" ht="13.2" x14ac:dyDescent="0.25">
      <c r="A16" s="6">
        <f ca="1">IFERROR(__xludf.DUMMYFUNCTION("""COMPUTED_VALUE"""),43905)</f>
        <v>43905</v>
      </c>
      <c r="B16" s="7"/>
      <c r="C16" s="8">
        <f ca="1">IFERROR(__xludf.DUMMYFUNCTION("""COMPUTED_VALUE"""),43905.75)</f>
        <v>43905.75</v>
      </c>
      <c r="D16" s="7">
        <f ca="1">IFERROR(__xludf.DUMMYFUNCTION("""COMPUTED_VALUE"""),11)</f>
        <v>11</v>
      </c>
      <c r="E16" s="7">
        <f ca="1">IFERROR(__xludf.DUMMYFUNCTION("""COMPUTED_VALUE"""),0)</f>
        <v>0</v>
      </c>
      <c r="F16" s="7">
        <f ca="1">IFERROR(__xludf.DUMMYFUNCTION("""COMPUTED_VALUE"""),0)</f>
        <v>0</v>
      </c>
      <c r="G16" s="7">
        <f ca="1">IFERROR(__xludf.DUMMYFUNCTION("""COMPUTED_VALUE"""),84)</f>
        <v>84</v>
      </c>
      <c r="H16" s="7">
        <f ca="1">IFERROR(__xludf.DUMMYFUNCTION("""COMPUTED_VALUE"""),95)</f>
        <v>95</v>
      </c>
      <c r="I16" s="7">
        <f ca="1">IFERROR(__xludf.DUMMYFUNCTION("""COMPUTED_VALUE"""),16)</f>
        <v>16</v>
      </c>
      <c r="J16" s="7">
        <f ca="1">IFERROR(__xludf.DUMMYFUNCTION("""COMPUTED_VALUE"""),84)</f>
        <v>84</v>
      </c>
      <c r="K16" s="7">
        <f ca="1">IFERROR(__xludf.DUMMYFUNCTION("""COMPUTED_VALUE"""),0)</f>
        <v>0</v>
      </c>
      <c r="L16" s="7"/>
      <c r="M16" s="7"/>
      <c r="N16" s="7"/>
    </row>
    <row r="17" spans="1:14" ht="13.2" x14ac:dyDescent="0.25">
      <c r="A17" s="6">
        <f ca="1">IFERROR(__xludf.DUMMYFUNCTION("""COMPUTED_VALUE"""),43906)</f>
        <v>43906</v>
      </c>
      <c r="B17" s="7"/>
      <c r="C17" s="8">
        <f ca="1">IFERROR(__xludf.DUMMYFUNCTION("""COMPUTED_VALUE"""),43906.75)</f>
        <v>43906.75</v>
      </c>
      <c r="D17" s="7">
        <f ca="1">IFERROR(__xludf.DUMMYFUNCTION("""COMPUTED_VALUE"""),12)</f>
        <v>12</v>
      </c>
      <c r="E17" s="7">
        <f ca="1">IFERROR(__xludf.DUMMYFUNCTION("""COMPUTED_VALUE"""),0)</f>
        <v>0</v>
      </c>
      <c r="F17" s="7">
        <f ca="1">IFERROR(__xludf.DUMMYFUNCTION("""COMPUTED_VALUE"""),7)</f>
        <v>7</v>
      </c>
      <c r="G17" s="7">
        <f ca="1">IFERROR(__xludf.DUMMYFUNCTION("""COMPUTED_VALUE"""),78)</f>
        <v>78</v>
      </c>
      <c r="H17" s="7">
        <f ca="1">IFERROR(__xludf.DUMMYFUNCTION("""COMPUTED_VALUE"""),97)</f>
        <v>97</v>
      </c>
      <c r="I17" s="7">
        <f ca="1">IFERROR(__xludf.DUMMYFUNCTION("""COMPUTED_VALUE"""),2)</f>
        <v>2</v>
      </c>
      <c r="J17" s="7">
        <f ca="1">IFERROR(__xludf.DUMMYFUNCTION("""COMPUTED_VALUE"""),85)</f>
        <v>85</v>
      </c>
      <c r="K17" s="7">
        <f ca="1">IFERROR(__xludf.DUMMYFUNCTION("""COMPUTED_VALUE"""),0)</f>
        <v>0</v>
      </c>
      <c r="L17" s="7"/>
      <c r="M17" s="7"/>
      <c r="N17" s="7"/>
    </row>
    <row r="18" spans="1:14" ht="13.2" x14ac:dyDescent="0.25">
      <c r="A18" s="6">
        <f ca="1">IFERROR(__xludf.DUMMYFUNCTION("""COMPUTED_VALUE"""),43907)</f>
        <v>43907</v>
      </c>
      <c r="B18" s="7"/>
      <c r="C18" s="8">
        <f ca="1">IFERROR(__xludf.DUMMYFUNCTION("""COMPUTED_VALUE"""),43907.75)</f>
        <v>43907.75</v>
      </c>
      <c r="D18" s="7">
        <f ca="1">IFERROR(__xludf.DUMMYFUNCTION("""COMPUTED_VALUE"""),12)</f>
        <v>12</v>
      </c>
      <c r="E18" s="7">
        <f ca="1">IFERROR(__xludf.DUMMYFUNCTION("""COMPUTED_VALUE"""),0)</f>
        <v>0</v>
      </c>
      <c r="F18" s="7">
        <f ca="1">IFERROR(__xludf.DUMMYFUNCTION("""COMPUTED_VALUE"""),27)</f>
        <v>27</v>
      </c>
      <c r="G18" s="7">
        <f ca="1">IFERROR(__xludf.DUMMYFUNCTION("""COMPUTED_VALUE"""),83)</f>
        <v>83</v>
      </c>
      <c r="H18" s="7">
        <f ca="1">IFERROR(__xludf.DUMMYFUNCTION("""COMPUTED_VALUE"""),122)</f>
        <v>122</v>
      </c>
      <c r="I18" s="7">
        <f ca="1">IFERROR(__xludf.DUMMYFUNCTION("""COMPUTED_VALUE"""),25)</f>
        <v>25</v>
      </c>
      <c r="J18" s="7">
        <f ca="1">IFERROR(__xludf.DUMMYFUNCTION("""COMPUTED_VALUE"""),110)</f>
        <v>110</v>
      </c>
      <c r="K18" s="7">
        <f ca="1">IFERROR(__xludf.DUMMYFUNCTION("""COMPUTED_VALUE"""),0)</f>
        <v>0</v>
      </c>
      <c r="L18" s="7"/>
      <c r="M18" s="7"/>
      <c r="N18" s="7"/>
    </row>
    <row r="19" spans="1:14" ht="13.2" x14ac:dyDescent="0.25">
      <c r="A19" s="6">
        <f ca="1">IFERROR(__xludf.DUMMYFUNCTION("""COMPUTED_VALUE"""),43908)</f>
        <v>43908</v>
      </c>
      <c r="B19" s="7"/>
      <c r="C19" s="8">
        <f ca="1">IFERROR(__xludf.DUMMYFUNCTION("""COMPUTED_VALUE"""),43908.75)</f>
        <v>43908.75</v>
      </c>
      <c r="D19" s="7">
        <f ca="1">IFERROR(__xludf.DUMMYFUNCTION("""COMPUTED_VALUE"""),15)</f>
        <v>15</v>
      </c>
      <c r="E19" s="7">
        <f ca="1">IFERROR(__xludf.DUMMYFUNCTION("""COMPUTED_VALUE"""),12)</f>
        <v>12</v>
      </c>
      <c r="F19" s="7">
        <f ca="1">IFERROR(__xludf.DUMMYFUNCTION("""COMPUTED_VALUE"""),42)</f>
        <v>42</v>
      </c>
      <c r="G19" s="7">
        <f ca="1">IFERROR(__xludf.DUMMYFUNCTION("""COMPUTED_VALUE"""),91)</f>
        <v>91</v>
      </c>
      <c r="H19" s="7">
        <f ca="1">IFERROR(__xludf.DUMMYFUNCTION("""COMPUTED_VALUE"""),160)</f>
        <v>160</v>
      </c>
      <c r="I19" s="7">
        <f ca="1">IFERROR(__xludf.DUMMYFUNCTION("""COMPUTED_VALUE"""),38)</f>
        <v>38</v>
      </c>
      <c r="J19" s="7">
        <f ca="1">IFERROR(__xludf.DUMMYFUNCTION("""COMPUTED_VALUE"""),133)</f>
        <v>133</v>
      </c>
      <c r="K19" s="7">
        <f ca="1">IFERROR(__xludf.DUMMYFUNCTION("""COMPUTED_VALUE"""),12)</f>
        <v>12</v>
      </c>
      <c r="L19" s="7"/>
      <c r="M19" s="7"/>
      <c r="N19" s="7"/>
    </row>
    <row r="20" spans="1:14" ht="13.2" x14ac:dyDescent="0.25">
      <c r="A20" s="6">
        <f ca="1">IFERROR(__xludf.DUMMYFUNCTION("""COMPUTED_VALUE"""),43909)</f>
        <v>43909</v>
      </c>
      <c r="B20" s="7"/>
      <c r="C20" s="8">
        <f ca="1">IFERROR(__xludf.DUMMYFUNCTION("""COMPUTED_VALUE"""),43909.75)</f>
        <v>43909.75</v>
      </c>
      <c r="D20" s="7">
        <f ca="1">IFERROR(__xludf.DUMMYFUNCTION("""COMPUTED_VALUE"""),19)</f>
        <v>19</v>
      </c>
      <c r="E20" s="7">
        <f ca="1">IFERROR(__xludf.DUMMYFUNCTION("""COMPUTED_VALUE"""),13)</f>
        <v>13</v>
      </c>
      <c r="F20" s="7">
        <f ca="1">IFERROR(__xludf.DUMMYFUNCTION("""COMPUTED_VALUE"""),57)</f>
        <v>57</v>
      </c>
      <c r="G20" s="7">
        <f ca="1">IFERROR(__xludf.DUMMYFUNCTION("""COMPUTED_VALUE"""),121)</f>
        <v>121</v>
      </c>
      <c r="H20" s="7">
        <f ca="1">IFERROR(__xludf.DUMMYFUNCTION("""COMPUTED_VALUE"""),210)</f>
        <v>210</v>
      </c>
      <c r="I20" s="7">
        <f ca="1">IFERROR(__xludf.DUMMYFUNCTION("""COMPUTED_VALUE"""),50)</f>
        <v>50</v>
      </c>
      <c r="J20" s="7">
        <f ca="1">IFERROR(__xludf.DUMMYFUNCTION("""COMPUTED_VALUE"""),178)</f>
        <v>178</v>
      </c>
      <c r="K20" s="7">
        <f ca="1">IFERROR(__xludf.DUMMYFUNCTION("""COMPUTED_VALUE"""),1)</f>
        <v>1</v>
      </c>
      <c r="L20" s="7"/>
      <c r="M20" s="7"/>
      <c r="N20" s="7"/>
    </row>
    <row r="21" spans="1:14" ht="13.2" x14ac:dyDescent="0.25">
      <c r="A21" s="6">
        <f ca="1">IFERROR(__xludf.DUMMYFUNCTION("""COMPUTED_VALUE"""),43910)</f>
        <v>43910</v>
      </c>
      <c r="B21" s="7">
        <f ca="1">IFERROR(__xludf.DUMMYFUNCTION("""COMPUTED_VALUE"""),18)</f>
        <v>18</v>
      </c>
      <c r="C21" s="8">
        <f ca="1">IFERROR(__xludf.DUMMYFUNCTION("""COMPUTED_VALUE"""),43910.75)</f>
        <v>43910.75</v>
      </c>
      <c r="D21" s="7">
        <f ca="1">IFERROR(__xludf.DUMMYFUNCTION("""COMPUTED_VALUE"""),20)</f>
        <v>20</v>
      </c>
      <c r="E21" s="7">
        <f ca="1">IFERROR(__xludf.DUMMYFUNCTION("""COMPUTED_VALUE"""),13)</f>
        <v>13</v>
      </c>
      <c r="F21" s="7">
        <f ca="1">IFERROR(__xludf.DUMMYFUNCTION("""COMPUTED_VALUE"""),66)</f>
        <v>66</v>
      </c>
      <c r="G21" s="7">
        <f ca="1">IFERROR(__xludf.DUMMYFUNCTION("""COMPUTED_VALUE"""),125)</f>
        <v>125</v>
      </c>
      <c r="H21" s="7">
        <f ca="1">IFERROR(__xludf.DUMMYFUNCTION("""COMPUTED_VALUE"""),224)</f>
        <v>224</v>
      </c>
      <c r="I21" s="7">
        <f ca="1">IFERROR(__xludf.DUMMYFUNCTION("""COMPUTED_VALUE"""),14)</f>
        <v>14</v>
      </c>
      <c r="J21" s="7">
        <f ca="1">IFERROR(__xludf.DUMMYFUNCTION("""COMPUTED_VALUE"""),191)</f>
        <v>191</v>
      </c>
      <c r="K21" s="7">
        <f ca="1">IFERROR(__xludf.DUMMYFUNCTION("""COMPUTED_VALUE"""),0)</f>
        <v>0</v>
      </c>
      <c r="L21" s="7"/>
      <c r="M21" s="7"/>
      <c r="N21" s="7"/>
    </row>
    <row r="22" spans="1:14" ht="13.2" x14ac:dyDescent="0.25">
      <c r="A22" s="6">
        <f ca="1">IFERROR(__xludf.DUMMYFUNCTION("""COMPUTED_VALUE"""),43911)</f>
        <v>43911</v>
      </c>
      <c r="B22" s="7">
        <f ca="1">IFERROR(__xludf.DUMMYFUNCTION("""COMPUTED_VALUE"""),8)</f>
        <v>8</v>
      </c>
      <c r="C22" s="8">
        <f ca="1">IFERROR(__xludf.DUMMYFUNCTION("""COMPUTED_VALUE"""),43911.3333333333)</f>
        <v>43911.333333333299</v>
      </c>
      <c r="D22" s="7">
        <f ca="1">IFERROR(__xludf.DUMMYFUNCTION("""COMPUTED_VALUE"""),23)</f>
        <v>23</v>
      </c>
      <c r="E22" s="7">
        <f ca="1">IFERROR(__xludf.DUMMYFUNCTION("""COMPUTED_VALUE"""),17)</f>
        <v>17</v>
      </c>
      <c r="F22" s="7">
        <f ca="1">IFERROR(__xludf.DUMMYFUNCTION("""COMPUTED_VALUE"""),71)</f>
        <v>71</v>
      </c>
      <c r="G22" s="7">
        <f ca="1">IFERROR(__xludf.DUMMYFUNCTION("""COMPUTED_VALUE"""),157)</f>
        <v>157</v>
      </c>
      <c r="H22" s="7">
        <f ca="1">IFERROR(__xludf.DUMMYFUNCTION("""COMPUTED_VALUE"""),268)</f>
        <v>268</v>
      </c>
      <c r="I22" s="7">
        <f ca="1">IFERROR(__xludf.DUMMYFUNCTION("""COMPUTED_VALUE"""),44)</f>
        <v>44</v>
      </c>
      <c r="J22" s="7">
        <f ca="1">IFERROR(__xludf.DUMMYFUNCTION("""COMPUTED_VALUE"""),228)</f>
        <v>228</v>
      </c>
      <c r="K22" s="7">
        <f ca="1">IFERROR(__xludf.DUMMYFUNCTION("""COMPUTED_VALUE"""),4)</f>
        <v>4</v>
      </c>
      <c r="L22" s="7"/>
      <c r="M22" s="7"/>
      <c r="N22" s="7"/>
    </row>
    <row r="23" spans="1:14" ht="13.2" x14ac:dyDescent="0.25">
      <c r="A23" s="6">
        <f ca="1">IFERROR(__xludf.DUMMYFUNCTION("""COMPUTED_VALUE"""),43912)</f>
        <v>43912</v>
      </c>
      <c r="B23" s="7">
        <f ca="1">IFERROR(__xludf.DUMMYFUNCTION("""COMPUTED_VALUE"""),8)</f>
        <v>8</v>
      </c>
      <c r="C23" s="8">
        <f ca="1">IFERROR(__xludf.DUMMYFUNCTION("""COMPUTED_VALUE"""),43912.3333333333)</f>
        <v>43912.333333333299</v>
      </c>
      <c r="D23" s="7">
        <f ca="1">IFERROR(__xludf.DUMMYFUNCTION("""COMPUTED_VALUE"""),29)</f>
        <v>29</v>
      </c>
      <c r="E23" s="7">
        <f ca="1">IFERROR(__xludf.DUMMYFUNCTION("""COMPUTED_VALUE"""),21)</f>
        <v>21</v>
      </c>
      <c r="F23" s="7">
        <f ca="1">IFERROR(__xludf.DUMMYFUNCTION("""COMPUTED_VALUE"""),77)</f>
        <v>77</v>
      </c>
      <c r="G23" s="7">
        <f ca="1">IFERROR(__xludf.DUMMYFUNCTION("""COMPUTED_VALUE"""),177)</f>
        <v>177</v>
      </c>
      <c r="H23" s="7">
        <f ca="1">IFERROR(__xludf.DUMMYFUNCTION("""COMPUTED_VALUE"""),304)</f>
        <v>304</v>
      </c>
      <c r="I23" s="7">
        <f ca="1">IFERROR(__xludf.DUMMYFUNCTION("""COMPUTED_VALUE"""),36)</f>
        <v>36</v>
      </c>
      <c r="J23" s="7">
        <f ca="1">IFERROR(__xludf.DUMMYFUNCTION("""COMPUTED_VALUE"""),254)</f>
        <v>254</v>
      </c>
      <c r="K23" s="7">
        <f ca="1">IFERROR(__xludf.DUMMYFUNCTION("""COMPUTED_VALUE"""),4)</f>
        <v>4</v>
      </c>
      <c r="L23" s="7"/>
      <c r="M23" s="7"/>
      <c r="N23" s="7"/>
    </row>
    <row r="24" spans="1:14" ht="13.2" x14ac:dyDescent="0.25">
      <c r="A24" s="6">
        <f ca="1">IFERROR(__xludf.DUMMYFUNCTION("""COMPUTED_VALUE"""),43913)</f>
        <v>43913</v>
      </c>
      <c r="B24" s="7">
        <f ca="1">IFERROR(__xludf.DUMMYFUNCTION("""COMPUTED_VALUE"""),8)</f>
        <v>8</v>
      </c>
      <c r="C24" s="8">
        <f ca="1">IFERROR(__xludf.DUMMYFUNCTION("""COMPUTED_VALUE"""),43913.3333333333)</f>
        <v>43913.333333333299</v>
      </c>
      <c r="D24" s="7">
        <f ca="1">IFERROR(__xludf.DUMMYFUNCTION("""COMPUTED_VALUE"""),29)</f>
        <v>29</v>
      </c>
      <c r="E24" s="7">
        <f ca="1">IFERROR(__xludf.DUMMYFUNCTION("""COMPUTED_VALUE"""),22)</f>
        <v>22</v>
      </c>
      <c r="F24" s="7">
        <f ca="1">IFERROR(__xludf.DUMMYFUNCTION("""COMPUTED_VALUE"""),79)</f>
        <v>79</v>
      </c>
      <c r="G24" s="7">
        <f ca="1">IFERROR(__xludf.DUMMYFUNCTION("""COMPUTED_VALUE"""),225)</f>
        <v>225</v>
      </c>
      <c r="H24" s="7">
        <f ca="1">IFERROR(__xludf.DUMMYFUNCTION("""COMPUTED_VALUE"""),355)</f>
        <v>355</v>
      </c>
      <c r="I24" s="7">
        <f ca="1">IFERROR(__xludf.DUMMYFUNCTION("""COMPUTED_VALUE"""),51)</f>
        <v>51</v>
      </c>
      <c r="J24" s="7">
        <f ca="1">IFERROR(__xludf.DUMMYFUNCTION("""COMPUTED_VALUE"""),304)</f>
        <v>304</v>
      </c>
      <c r="K24" s="7">
        <f ca="1">IFERROR(__xludf.DUMMYFUNCTION("""COMPUTED_VALUE"""),1)</f>
        <v>1</v>
      </c>
      <c r="L24" s="7"/>
      <c r="M24" s="7"/>
      <c r="N24" s="7"/>
    </row>
    <row r="25" spans="1:14" ht="13.2" x14ac:dyDescent="0.25">
      <c r="A25" s="6">
        <f ca="1">IFERROR(__xludf.DUMMYFUNCTION("""COMPUTED_VALUE"""),43914)</f>
        <v>43914</v>
      </c>
      <c r="B25" s="7">
        <f ca="1">IFERROR(__xludf.DUMMYFUNCTION("""COMPUTED_VALUE"""),18)</f>
        <v>18</v>
      </c>
      <c r="C25" s="8">
        <f ca="1">IFERROR(__xludf.DUMMYFUNCTION("""COMPUTED_VALUE"""),43914.75)</f>
        <v>43914.75</v>
      </c>
      <c r="D25" s="7">
        <f ca="1">IFERROR(__xludf.DUMMYFUNCTION("""COMPUTED_VALUE"""),34)</f>
        <v>34</v>
      </c>
      <c r="E25" s="7">
        <f ca="1">IFERROR(__xludf.DUMMYFUNCTION("""COMPUTED_VALUE"""),23)</f>
        <v>23</v>
      </c>
      <c r="F25" s="7">
        <f ca="1">IFERROR(__xludf.DUMMYFUNCTION("""COMPUTED_VALUE"""),109)</f>
        <v>109</v>
      </c>
      <c r="G25" s="7">
        <f ca="1">IFERROR(__xludf.DUMMYFUNCTION("""COMPUTED_VALUE"""),260)</f>
        <v>260</v>
      </c>
      <c r="H25" s="7">
        <f ca="1">IFERROR(__xludf.DUMMYFUNCTION("""COMPUTED_VALUE"""),426)</f>
        <v>426</v>
      </c>
      <c r="I25" s="7">
        <f ca="1">IFERROR(__xludf.DUMMYFUNCTION("""COMPUTED_VALUE"""),71)</f>
        <v>71</v>
      </c>
      <c r="J25" s="7">
        <f ca="1">IFERROR(__xludf.DUMMYFUNCTION("""COMPUTED_VALUE"""),369)</f>
        <v>369</v>
      </c>
      <c r="K25" s="7">
        <f ca="1">IFERROR(__xludf.DUMMYFUNCTION("""COMPUTED_VALUE"""),1)</f>
        <v>1</v>
      </c>
      <c r="L25" s="7"/>
      <c r="M25" s="7"/>
      <c r="N25" s="7"/>
    </row>
    <row r="26" spans="1:14" ht="13.2" x14ac:dyDescent="0.25">
      <c r="A26" s="6">
        <f ca="1">IFERROR(__xludf.DUMMYFUNCTION("""COMPUTED_VALUE"""),43915)</f>
        <v>43915</v>
      </c>
      <c r="B26" s="7">
        <f ca="1">IFERROR(__xludf.DUMMYFUNCTION("""COMPUTED_VALUE"""),18)</f>
        <v>18</v>
      </c>
      <c r="C26" s="8">
        <f ca="1">IFERROR(__xludf.DUMMYFUNCTION("""COMPUTED_VALUE"""),43915.75)</f>
        <v>43915.75</v>
      </c>
      <c r="D26" s="7">
        <f ca="1">IFERROR(__xludf.DUMMYFUNCTION("""COMPUTED_VALUE"""),43)</f>
        <v>43</v>
      </c>
      <c r="E26" s="7">
        <f ca="1">IFERROR(__xludf.DUMMYFUNCTION("""COMPUTED_VALUE"""),27)</f>
        <v>27</v>
      </c>
      <c r="F26" s="7">
        <f ca="1">IFERROR(__xludf.DUMMYFUNCTION("""COMPUTED_VALUE"""),112)</f>
        <v>112</v>
      </c>
      <c r="G26" s="7">
        <f ca="1">IFERROR(__xludf.DUMMYFUNCTION("""COMPUTED_VALUE"""),290)</f>
        <v>290</v>
      </c>
      <c r="H26" s="7">
        <f ca="1">IFERROR(__xludf.DUMMYFUNCTION("""COMPUTED_VALUE"""),472)</f>
        <v>472</v>
      </c>
      <c r="I26" s="7">
        <f ca="1">IFERROR(__xludf.DUMMYFUNCTION("""COMPUTED_VALUE"""),46)</f>
        <v>46</v>
      </c>
      <c r="J26" s="7">
        <f ca="1">IFERROR(__xludf.DUMMYFUNCTION("""COMPUTED_VALUE"""),402)</f>
        <v>402</v>
      </c>
      <c r="K26" s="7">
        <f ca="1">IFERROR(__xludf.DUMMYFUNCTION("""COMPUTED_VALUE"""),4)</f>
        <v>4</v>
      </c>
      <c r="L26" s="7"/>
      <c r="M26" s="7"/>
      <c r="N26" s="7"/>
    </row>
    <row r="27" spans="1:14" ht="13.2" x14ac:dyDescent="0.25">
      <c r="A27" s="6">
        <f ca="1">IFERROR(__xludf.DUMMYFUNCTION("""COMPUTED_VALUE"""),43916)</f>
        <v>43916</v>
      </c>
      <c r="B27" s="7">
        <f ca="1">IFERROR(__xludf.DUMMYFUNCTION("""COMPUTED_VALUE"""),18)</f>
        <v>18</v>
      </c>
      <c r="C27" s="8">
        <f ca="1">IFERROR(__xludf.DUMMYFUNCTION("""COMPUTED_VALUE"""),43916.75)</f>
        <v>43916.75</v>
      </c>
      <c r="D27" s="7">
        <f ca="1">IFERROR(__xludf.DUMMYFUNCTION("""COMPUTED_VALUE"""),49)</f>
        <v>49</v>
      </c>
      <c r="E27" s="7">
        <f ca="1">IFERROR(__xludf.DUMMYFUNCTION("""COMPUTED_VALUE"""),29)</f>
        <v>29</v>
      </c>
      <c r="F27" s="7">
        <f ca="1">IFERROR(__xludf.DUMMYFUNCTION("""COMPUTED_VALUE"""),113)</f>
        <v>113</v>
      </c>
      <c r="G27" s="7">
        <f ca="1">IFERROR(__xludf.DUMMYFUNCTION("""COMPUTED_VALUE"""),324)</f>
        <v>324</v>
      </c>
      <c r="H27" s="7">
        <f ca="1">IFERROR(__xludf.DUMMYFUNCTION("""COMPUTED_VALUE"""),515)</f>
        <v>515</v>
      </c>
      <c r="I27" s="7">
        <f ca="1">IFERROR(__xludf.DUMMYFUNCTION("""COMPUTED_VALUE"""),43)</f>
        <v>43</v>
      </c>
      <c r="J27" s="7">
        <f ca="1">IFERROR(__xludf.DUMMYFUNCTION("""COMPUTED_VALUE"""),437)</f>
        <v>437</v>
      </c>
      <c r="K27" s="7">
        <f ca="1">IFERROR(__xludf.DUMMYFUNCTION("""COMPUTED_VALUE"""),2)</f>
        <v>2</v>
      </c>
      <c r="L27" s="7"/>
      <c r="M27" s="7"/>
      <c r="N27" s="7"/>
    </row>
    <row r="28" spans="1:14" ht="13.2" x14ac:dyDescent="0.25">
      <c r="A28" s="6">
        <f ca="1">IFERROR(__xludf.DUMMYFUNCTION("""COMPUTED_VALUE"""),43917)</f>
        <v>43917</v>
      </c>
      <c r="B28" s="7">
        <f ca="1">IFERROR(__xludf.DUMMYFUNCTION("""COMPUTED_VALUE"""),18)</f>
        <v>18</v>
      </c>
      <c r="C28" s="8">
        <f ca="1">IFERROR(__xludf.DUMMYFUNCTION("""COMPUTED_VALUE"""),43917.75)</f>
        <v>43917.75</v>
      </c>
      <c r="D28" s="7">
        <f ca="1">IFERROR(__xludf.DUMMYFUNCTION("""COMPUTED_VALUE"""),57)</f>
        <v>57</v>
      </c>
      <c r="E28" s="7">
        <f ca="1">IFERROR(__xludf.DUMMYFUNCTION("""COMPUTED_VALUE"""),31)</f>
        <v>31</v>
      </c>
      <c r="F28" s="7">
        <f ca="1">IFERROR(__xludf.DUMMYFUNCTION("""COMPUTED_VALUE"""),132)</f>
        <v>132</v>
      </c>
      <c r="G28" s="7">
        <f ca="1">IFERROR(__xludf.DUMMYFUNCTION("""COMPUTED_VALUE"""),346)</f>
        <v>346</v>
      </c>
      <c r="H28" s="7">
        <f ca="1">IFERROR(__xludf.DUMMYFUNCTION("""COMPUTED_VALUE"""),566)</f>
        <v>566</v>
      </c>
      <c r="I28" s="7">
        <f ca="1">IFERROR(__xludf.DUMMYFUNCTION("""COMPUTED_VALUE"""),51)</f>
        <v>51</v>
      </c>
      <c r="J28" s="7">
        <f ca="1">IFERROR(__xludf.DUMMYFUNCTION("""COMPUTED_VALUE"""),478)</f>
        <v>478</v>
      </c>
      <c r="K28" s="7">
        <f ca="1">IFERROR(__xludf.DUMMYFUNCTION("""COMPUTED_VALUE"""),2)</f>
        <v>2</v>
      </c>
      <c r="L28" s="7"/>
      <c r="M28" s="7"/>
      <c r="N28" s="7"/>
    </row>
    <row r="29" spans="1:14" ht="13.2" x14ac:dyDescent="0.25">
      <c r="A29" s="6">
        <f ca="1">IFERROR(__xludf.DUMMYFUNCTION("""COMPUTED_VALUE"""),43918)</f>
        <v>43918</v>
      </c>
      <c r="B29" s="7">
        <f ca="1">IFERROR(__xludf.DUMMYFUNCTION("""COMPUTED_VALUE"""),18)</f>
        <v>18</v>
      </c>
      <c r="C29" s="8">
        <f ca="1">IFERROR(__xludf.DUMMYFUNCTION("""COMPUTED_VALUE"""),43918.75)</f>
        <v>43918.75</v>
      </c>
      <c r="D29" s="7">
        <f ca="1">IFERROR(__xludf.DUMMYFUNCTION("""COMPUTED_VALUE"""),62)</f>
        <v>62</v>
      </c>
      <c r="E29" s="7">
        <f ca="1">IFERROR(__xludf.DUMMYFUNCTION("""COMPUTED_VALUE"""),43)</f>
        <v>43</v>
      </c>
      <c r="F29" s="7">
        <f ca="1">IFERROR(__xludf.DUMMYFUNCTION("""COMPUTED_VALUE"""),134)</f>
        <v>134</v>
      </c>
      <c r="G29" s="7">
        <f ca="1">IFERROR(__xludf.DUMMYFUNCTION("""COMPUTED_VALUE"""),364)</f>
        <v>364</v>
      </c>
      <c r="H29" s="7">
        <f ca="1">IFERROR(__xludf.DUMMYFUNCTION("""COMPUTED_VALUE"""),603)</f>
        <v>603</v>
      </c>
      <c r="I29" s="7">
        <f ca="1">IFERROR(__xludf.DUMMYFUNCTION("""COMPUTED_VALUE"""),37)</f>
        <v>37</v>
      </c>
      <c r="J29" s="7">
        <f ca="1">IFERROR(__xludf.DUMMYFUNCTION("""COMPUTED_VALUE"""),498)</f>
        <v>498</v>
      </c>
      <c r="K29" s="7">
        <f ca="1">IFERROR(__xludf.DUMMYFUNCTION("""COMPUTED_VALUE"""),12)</f>
        <v>12</v>
      </c>
      <c r="L29" s="7"/>
      <c r="M29" s="7"/>
      <c r="N29" s="7"/>
    </row>
    <row r="30" spans="1:14" ht="13.2" x14ac:dyDescent="0.25">
      <c r="A30" s="6">
        <f ca="1">IFERROR(__xludf.DUMMYFUNCTION("""COMPUTED_VALUE"""),43919)</f>
        <v>43919</v>
      </c>
      <c r="B30" s="7">
        <f ca="1">IFERROR(__xludf.DUMMYFUNCTION("""COMPUTED_VALUE"""),18)</f>
        <v>18</v>
      </c>
      <c r="C30" s="8">
        <f ca="1">IFERROR(__xludf.DUMMYFUNCTION("""COMPUTED_VALUE"""),43919.75)</f>
        <v>43919.75</v>
      </c>
      <c r="D30" s="7">
        <f ca="1">IFERROR(__xludf.DUMMYFUNCTION("""COMPUTED_VALUE"""),67)</f>
        <v>67</v>
      </c>
      <c r="E30" s="7">
        <f ca="1">IFERROR(__xludf.DUMMYFUNCTION("""COMPUTED_VALUE"""),48)</f>
        <v>48</v>
      </c>
      <c r="F30" s="7">
        <f ca="1">IFERROR(__xludf.DUMMYFUNCTION("""COMPUTED_VALUE"""),151)</f>
        <v>151</v>
      </c>
      <c r="G30" s="7">
        <f ca="1">IFERROR(__xludf.DUMMYFUNCTION("""COMPUTED_VALUE"""),435)</f>
        <v>435</v>
      </c>
      <c r="H30" s="7">
        <f ca="1">IFERROR(__xludf.DUMMYFUNCTION("""COMPUTED_VALUE"""),701)</f>
        <v>701</v>
      </c>
      <c r="I30" s="7">
        <f ca="1">IFERROR(__xludf.DUMMYFUNCTION("""COMPUTED_VALUE"""),98)</f>
        <v>98</v>
      </c>
      <c r="J30" s="7">
        <f ca="1">IFERROR(__xludf.DUMMYFUNCTION("""COMPUTED_VALUE"""),586)</f>
        <v>586</v>
      </c>
      <c r="K30" s="7">
        <f ca="1">IFERROR(__xludf.DUMMYFUNCTION("""COMPUTED_VALUE"""),5)</f>
        <v>5</v>
      </c>
      <c r="L30" s="7"/>
      <c r="M30" s="7"/>
      <c r="N30" s="7"/>
    </row>
    <row r="31" spans="1:14" ht="13.2" x14ac:dyDescent="0.25">
      <c r="A31" s="6">
        <f ca="1">IFERROR(__xludf.DUMMYFUNCTION("""COMPUTED_VALUE"""),43920)</f>
        <v>43920</v>
      </c>
      <c r="B31" s="7">
        <f ca="1">IFERROR(__xludf.DUMMYFUNCTION("""COMPUTED_VALUE"""),18)</f>
        <v>18</v>
      </c>
      <c r="C31" s="8">
        <f ca="1">IFERROR(__xludf.DUMMYFUNCTION("""COMPUTED_VALUE"""),43920.75)</f>
        <v>43920.75</v>
      </c>
      <c r="D31" s="7">
        <f ca="1">IFERROR(__xludf.DUMMYFUNCTION("""COMPUTED_VALUE"""),78)</f>
        <v>78</v>
      </c>
      <c r="E31" s="7">
        <f ca="1">IFERROR(__xludf.DUMMYFUNCTION("""COMPUTED_VALUE"""),49)</f>
        <v>49</v>
      </c>
      <c r="F31" s="7">
        <f ca="1">IFERROR(__xludf.DUMMYFUNCTION("""COMPUTED_VALUE"""),151)</f>
        <v>151</v>
      </c>
      <c r="G31" s="7">
        <f ca="1">IFERROR(__xludf.DUMMYFUNCTION("""COMPUTED_VALUE"""),449)</f>
        <v>449</v>
      </c>
      <c r="H31" s="7">
        <f ca="1">IFERROR(__xludf.DUMMYFUNCTION("""COMPUTED_VALUE"""),727)</f>
        <v>727</v>
      </c>
      <c r="I31" s="7">
        <f ca="1">IFERROR(__xludf.DUMMYFUNCTION("""COMPUTED_VALUE"""),26)</f>
        <v>26</v>
      </c>
      <c r="J31" s="7">
        <f ca="1">IFERROR(__xludf.DUMMYFUNCTION("""COMPUTED_VALUE"""),600)</f>
        <v>600</v>
      </c>
      <c r="K31" s="7">
        <f ca="1">IFERROR(__xludf.DUMMYFUNCTION("""COMPUTED_VALUE"""),1)</f>
        <v>1</v>
      </c>
      <c r="L31" s="7"/>
      <c r="M31" s="7"/>
      <c r="N31" s="7"/>
    </row>
    <row r="32" spans="1:14" ht="13.2" x14ac:dyDescent="0.25">
      <c r="A32" s="6">
        <f ca="1">IFERROR(__xludf.DUMMYFUNCTION("""COMPUTED_VALUE"""),43921)</f>
        <v>43921</v>
      </c>
      <c r="B32" s="7">
        <f ca="1">IFERROR(__xludf.DUMMYFUNCTION("""COMPUTED_VALUE"""),18)</f>
        <v>18</v>
      </c>
      <c r="C32" s="8">
        <f ca="1">IFERROR(__xludf.DUMMYFUNCTION("""COMPUTED_VALUE"""),43921.75)</f>
        <v>43921.75</v>
      </c>
      <c r="D32" s="7">
        <f ca="1">IFERROR(__xludf.DUMMYFUNCTION("""COMPUTED_VALUE"""),84)</f>
        <v>84</v>
      </c>
      <c r="E32" s="7">
        <f ca="1">IFERROR(__xludf.DUMMYFUNCTION("""COMPUTED_VALUE"""),49)</f>
        <v>49</v>
      </c>
      <c r="F32" s="7">
        <f ca="1">IFERROR(__xludf.DUMMYFUNCTION("""COMPUTED_VALUE"""),157)</f>
        <v>157</v>
      </c>
      <c r="G32" s="7">
        <f ca="1">IFERROR(__xludf.DUMMYFUNCTION("""COMPUTED_VALUE"""),451)</f>
        <v>451</v>
      </c>
      <c r="H32" s="7">
        <f ca="1">IFERROR(__xludf.DUMMYFUNCTION("""COMPUTED_VALUE"""),741)</f>
        <v>741</v>
      </c>
      <c r="I32" s="7">
        <f ca="1">IFERROR(__xludf.DUMMYFUNCTION("""COMPUTED_VALUE"""),14)</f>
        <v>14</v>
      </c>
      <c r="J32" s="7">
        <f ca="1">IFERROR(__xludf.DUMMYFUNCTION("""COMPUTED_VALUE"""),608)</f>
        <v>608</v>
      </c>
      <c r="K32" s="7">
        <f ca="1">IFERROR(__xludf.DUMMYFUNCTION("""COMPUTED_VALUE"""),0)</f>
        <v>0</v>
      </c>
      <c r="L32" s="7"/>
      <c r="M32" s="7"/>
      <c r="N32" s="7"/>
    </row>
    <row r="33" spans="1:14" ht="13.2" x14ac:dyDescent="0.25">
      <c r="A33" s="6">
        <f ca="1">IFERROR(__xludf.DUMMYFUNCTION("""COMPUTED_VALUE"""),43922)</f>
        <v>43922</v>
      </c>
      <c r="B33" s="7">
        <f ca="1">IFERROR(__xludf.DUMMYFUNCTION("""COMPUTED_VALUE"""),18)</f>
        <v>18</v>
      </c>
      <c r="C33" s="8">
        <f ca="1">IFERROR(__xludf.DUMMYFUNCTION("""COMPUTED_VALUE"""),43922.75)</f>
        <v>43922.75</v>
      </c>
      <c r="D33" s="7">
        <f ca="1">IFERROR(__xludf.DUMMYFUNCTION("""COMPUTED_VALUE"""),90)</f>
        <v>90</v>
      </c>
      <c r="E33" s="7">
        <f ca="1">IFERROR(__xludf.DUMMYFUNCTION("""COMPUTED_VALUE"""),51)</f>
        <v>51</v>
      </c>
      <c r="F33" s="7">
        <f ca="1">IFERROR(__xludf.DUMMYFUNCTION("""COMPUTED_VALUE"""),176)</f>
        <v>176</v>
      </c>
      <c r="G33" s="7">
        <f ca="1">IFERROR(__xludf.DUMMYFUNCTION("""COMPUTED_VALUE"""),499)</f>
        <v>499</v>
      </c>
      <c r="H33" s="7">
        <f ca="1">IFERROR(__xludf.DUMMYFUNCTION("""COMPUTED_VALUE"""),816)</f>
        <v>816</v>
      </c>
      <c r="I33" s="7">
        <f ca="1">IFERROR(__xludf.DUMMYFUNCTION("""COMPUTED_VALUE"""),75)</f>
        <v>75</v>
      </c>
      <c r="J33" s="7">
        <f ca="1">IFERROR(__xludf.DUMMYFUNCTION("""COMPUTED_VALUE"""),675)</f>
        <v>675</v>
      </c>
      <c r="K33" s="7">
        <f ca="1">IFERROR(__xludf.DUMMYFUNCTION("""COMPUTED_VALUE"""),2)</f>
        <v>2</v>
      </c>
      <c r="L33" s="7"/>
      <c r="M33" s="7"/>
      <c r="N33" s="7"/>
    </row>
    <row r="34" spans="1:14" ht="13.2" x14ac:dyDescent="0.25">
      <c r="A34" s="6">
        <f ca="1">IFERROR(__xludf.DUMMYFUNCTION("""COMPUTED_VALUE"""),43923)</f>
        <v>43923</v>
      </c>
      <c r="B34" s="7">
        <f ca="1">IFERROR(__xludf.DUMMYFUNCTION("""COMPUTED_VALUE"""),18)</f>
        <v>18</v>
      </c>
      <c r="C34" s="8">
        <f ca="1">IFERROR(__xludf.DUMMYFUNCTION("""COMPUTED_VALUE"""),43923.75)</f>
        <v>43923.75</v>
      </c>
      <c r="D34" s="7">
        <f ca="1">IFERROR(__xludf.DUMMYFUNCTION("""COMPUTED_VALUE"""),95)</f>
        <v>95</v>
      </c>
      <c r="E34" s="7">
        <f ca="1">IFERROR(__xludf.DUMMYFUNCTION("""COMPUTED_VALUE"""),54)</f>
        <v>54</v>
      </c>
      <c r="F34" s="7">
        <f ca="1">IFERROR(__xludf.DUMMYFUNCTION("""COMPUTED_VALUE"""),195)</f>
        <v>195</v>
      </c>
      <c r="G34" s="7">
        <f ca="1">IFERROR(__xludf.DUMMYFUNCTION("""COMPUTED_VALUE"""),565)</f>
        <v>565</v>
      </c>
      <c r="H34" s="7">
        <f ca="1">IFERROR(__xludf.DUMMYFUNCTION("""COMPUTED_VALUE"""),909)</f>
        <v>909</v>
      </c>
      <c r="I34" s="7">
        <f ca="1">IFERROR(__xludf.DUMMYFUNCTION("""COMPUTED_VALUE"""),93)</f>
        <v>93</v>
      </c>
      <c r="J34" s="7">
        <f ca="1">IFERROR(__xludf.DUMMYFUNCTION("""COMPUTED_VALUE"""),760)</f>
        <v>760</v>
      </c>
      <c r="K34" s="7">
        <f ca="1">IFERROR(__xludf.DUMMYFUNCTION("""COMPUTED_VALUE"""),3)</f>
        <v>3</v>
      </c>
      <c r="L34" s="7"/>
      <c r="M34" s="7"/>
      <c r="N34" s="7"/>
    </row>
    <row r="35" spans="1:14" ht="13.2" x14ac:dyDescent="0.25">
      <c r="A35" s="6">
        <f ca="1">IFERROR(__xludf.DUMMYFUNCTION("""COMPUTED_VALUE"""),43924)</f>
        <v>43924</v>
      </c>
      <c r="B35" s="7">
        <f ca="1">IFERROR(__xludf.DUMMYFUNCTION("""COMPUTED_VALUE"""),8)</f>
        <v>8</v>
      </c>
      <c r="C35" s="8">
        <f ca="1">IFERROR(__xludf.DUMMYFUNCTION("""COMPUTED_VALUE"""),43924.3333333333)</f>
        <v>43924.333333333299</v>
      </c>
      <c r="D35" s="7">
        <f ca="1">IFERROR(__xludf.DUMMYFUNCTION("""COMPUTED_VALUE"""),98)</f>
        <v>98</v>
      </c>
      <c r="E35" s="7">
        <f ca="1">IFERROR(__xludf.DUMMYFUNCTION("""COMPUTED_VALUE"""),56)</f>
        <v>56</v>
      </c>
      <c r="F35" s="7">
        <f ca="1">IFERROR(__xludf.DUMMYFUNCTION("""COMPUTED_VALUE"""),209)</f>
        <v>209</v>
      </c>
      <c r="G35" s="7">
        <f ca="1">IFERROR(__xludf.DUMMYFUNCTION("""COMPUTED_VALUE"""),627)</f>
        <v>627</v>
      </c>
      <c r="H35" s="7">
        <f ca="1">IFERROR(__xludf.DUMMYFUNCTION("""COMPUTED_VALUE"""),990)</f>
        <v>990</v>
      </c>
      <c r="I35" s="7">
        <f ca="1">IFERROR(__xludf.DUMMYFUNCTION("""COMPUTED_VALUE"""),81)</f>
        <v>81</v>
      </c>
      <c r="J35" s="7">
        <f ca="1">IFERROR(__xludf.DUMMYFUNCTION("""COMPUTED_VALUE"""),836)</f>
        <v>836</v>
      </c>
      <c r="K35" s="7">
        <f ca="1">IFERROR(__xludf.DUMMYFUNCTION("""COMPUTED_VALUE"""),2)</f>
        <v>2</v>
      </c>
      <c r="L35" s="7"/>
      <c r="M35" s="7"/>
      <c r="N35" s="7"/>
    </row>
    <row r="36" spans="1:14" ht="13.2" x14ac:dyDescent="0.25">
      <c r="A36" s="6">
        <f ca="1">IFERROR(__xludf.DUMMYFUNCTION("""COMPUTED_VALUE"""),43925)</f>
        <v>43925</v>
      </c>
      <c r="B36" s="7">
        <f ca="1">IFERROR(__xludf.DUMMYFUNCTION("""COMPUTED_VALUE"""),18)</f>
        <v>18</v>
      </c>
      <c r="C36" s="8">
        <f ca="1">IFERROR(__xludf.DUMMYFUNCTION("""COMPUTED_VALUE"""),43925.75)</f>
        <v>43925.75</v>
      </c>
      <c r="D36" s="7">
        <f ca="1">IFERROR(__xludf.DUMMYFUNCTION("""COMPUTED_VALUE"""),99)</f>
        <v>99</v>
      </c>
      <c r="E36" s="7">
        <f ca="1">IFERROR(__xludf.DUMMYFUNCTION("""COMPUTED_VALUE"""),58)</f>
        <v>58</v>
      </c>
      <c r="F36" s="7">
        <f ca="1">IFERROR(__xludf.DUMMYFUNCTION("""COMPUTED_VALUE"""),223)</f>
        <v>223</v>
      </c>
      <c r="G36" s="7">
        <f ca="1">IFERROR(__xludf.DUMMYFUNCTION("""COMPUTED_VALUE"""),691)</f>
        <v>691</v>
      </c>
      <c r="H36" s="7">
        <f ca="1">IFERROR(__xludf.DUMMYFUNCTION("""COMPUTED_VALUE"""),1071)</f>
        <v>1071</v>
      </c>
      <c r="I36" s="7">
        <f ca="1">IFERROR(__xludf.DUMMYFUNCTION("""COMPUTED_VALUE"""),81)</f>
        <v>81</v>
      </c>
      <c r="J36" s="7">
        <f ca="1">IFERROR(__xludf.DUMMYFUNCTION("""COMPUTED_VALUE"""),914)</f>
        <v>914</v>
      </c>
      <c r="K36" s="7">
        <f ca="1">IFERROR(__xludf.DUMMYFUNCTION("""COMPUTED_VALUE"""),2)</f>
        <v>2</v>
      </c>
      <c r="L36" s="7"/>
      <c r="M36" s="7"/>
      <c r="N36" s="7"/>
    </row>
    <row r="37" spans="1:14" ht="13.2" x14ac:dyDescent="0.25">
      <c r="A37" s="6">
        <f ca="1">IFERROR(__xludf.DUMMYFUNCTION("""COMPUTED_VALUE"""),43926)</f>
        <v>43926</v>
      </c>
      <c r="B37" s="7">
        <f ca="1">IFERROR(__xludf.DUMMYFUNCTION("""COMPUTED_VALUE"""),18)</f>
        <v>18</v>
      </c>
      <c r="C37" s="8">
        <f ca="1">IFERROR(__xludf.DUMMYFUNCTION("""COMPUTED_VALUE"""),43926.75)</f>
        <v>43926.75</v>
      </c>
      <c r="D37" s="7">
        <f ca="1">IFERROR(__xludf.DUMMYFUNCTION("""COMPUTED_VALUE"""),123)</f>
        <v>123</v>
      </c>
      <c r="E37" s="7">
        <f ca="1">IFERROR(__xludf.DUMMYFUNCTION("""COMPUTED_VALUE"""),64)</f>
        <v>64</v>
      </c>
      <c r="F37" s="7">
        <f ca="1">IFERROR(__xludf.DUMMYFUNCTION("""COMPUTED_VALUE"""),279)</f>
        <v>279</v>
      </c>
      <c r="G37" s="7">
        <f ca="1">IFERROR(__xludf.DUMMYFUNCTION("""COMPUTED_VALUE"""),685)</f>
        <v>685</v>
      </c>
      <c r="H37" s="7">
        <f ca="1">IFERROR(__xludf.DUMMYFUNCTION("""COMPUTED_VALUE"""),1151)</f>
        <v>1151</v>
      </c>
      <c r="I37" s="7">
        <f ca="1">IFERROR(__xludf.DUMMYFUNCTION("""COMPUTED_VALUE"""),80)</f>
        <v>80</v>
      </c>
      <c r="J37" s="7">
        <f ca="1">IFERROR(__xludf.DUMMYFUNCTION("""COMPUTED_VALUE"""),964)</f>
        <v>964</v>
      </c>
      <c r="K37" s="7">
        <f ca="1">IFERROR(__xludf.DUMMYFUNCTION("""COMPUTED_VALUE"""),6)</f>
        <v>6</v>
      </c>
      <c r="L37" s="7"/>
      <c r="M37" s="7"/>
      <c r="N37" s="7"/>
    </row>
    <row r="38" spans="1:14" ht="13.2" x14ac:dyDescent="0.25">
      <c r="A38" s="6">
        <f ca="1">IFERROR(__xludf.DUMMYFUNCTION("""COMPUTED_VALUE"""),43927)</f>
        <v>43927</v>
      </c>
      <c r="B38" s="7">
        <f ca="1">IFERROR(__xludf.DUMMYFUNCTION("""COMPUTED_VALUE"""),18)</f>
        <v>18</v>
      </c>
      <c r="C38" s="8">
        <f ca="1">IFERROR(__xludf.DUMMYFUNCTION("""COMPUTED_VALUE"""),43927.75)</f>
        <v>43927.75</v>
      </c>
      <c r="D38" s="7">
        <f ca="1">IFERROR(__xludf.DUMMYFUNCTION("""COMPUTED_VALUE"""),131)</f>
        <v>131</v>
      </c>
      <c r="E38" s="7">
        <f ca="1">IFERROR(__xludf.DUMMYFUNCTION("""COMPUTED_VALUE"""),68)</f>
        <v>68</v>
      </c>
      <c r="F38" s="7">
        <f ca="1">IFERROR(__xludf.DUMMYFUNCTION("""COMPUTED_VALUE"""),317)</f>
        <v>317</v>
      </c>
      <c r="G38" s="7">
        <f ca="1">IFERROR(__xludf.DUMMYFUNCTION("""COMPUTED_VALUE"""),783)</f>
        <v>783</v>
      </c>
      <c r="H38" s="7">
        <f ca="1">IFERROR(__xludf.DUMMYFUNCTION("""COMPUTED_VALUE"""),1299)</f>
        <v>1299</v>
      </c>
      <c r="I38" s="7">
        <f ca="1">IFERROR(__xludf.DUMMYFUNCTION("""COMPUTED_VALUE"""),148)</f>
        <v>148</v>
      </c>
      <c r="J38" s="7">
        <f ca="1">IFERROR(__xludf.DUMMYFUNCTION("""COMPUTED_VALUE"""),1100)</f>
        <v>1100</v>
      </c>
      <c r="K38" s="7">
        <f ca="1">IFERROR(__xludf.DUMMYFUNCTION("""COMPUTED_VALUE"""),4)</f>
        <v>4</v>
      </c>
      <c r="L38" s="7"/>
      <c r="M38" s="7"/>
      <c r="N38" s="7"/>
    </row>
    <row r="39" spans="1:14" ht="13.2" x14ac:dyDescent="0.25">
      <c r="A39" s="6">
        <f ca="1">IFERROR(__xludf.DUMMYFUNCTION("""COMPUTED_VALUE"""),43928)</f>
        <v>43928</v>
      </c>
      <c r="B39" s="7">
        <f ca="1">IFERROR(__xludf.DUMMYFUNCTION("""COMPUTED_VALUE"""),18)</f>
        <v>18</v>
      </c>
      <c r="C39" s="8">
        <f ca="1">IFERROR(__xludf.DUMMYFUNCTION("""COMPUTED_VALUE"""),43928.75)</f>
        <v>43928.75</v>
      </c>
      <c r="D39" s="7">
        <f ca="1">IFERROR(__xludf.DUMMYFUNCTION("""COMPUTED_VALUE"""),141)</f>
        <v>141</v>
      </c>
      <c r="E39" s="7">
        <f ca="1">IFERROR(__xludf.DUMMYFUNCTION("""COMPUTED_VALUE"""),69)</f>
        <v>69</v>
      </c>
      <c r="F39" s="7">
        <f ca="1">IFERROR(__xludf.DUMMYFUNCTION("""COMPUTED_VALUE"""),338)</f>
        <v>338</v>
      </c>
      <c r="G39" s="7">
        <f ca="1">IFERROR(__xludf.DUMMYFUNCTION("""COMPUTED_VALUE"""),895)</f>
        <v>895</v>
      </c>
      <c r="H39" s="7">
        <f ca="1">IFERROR(__xludf.DUMMYFUNCTION("""COMPUTED_VALUE"""),1443)</f>
        <v>1443</v>
      </c>
      <c r="I39" s="7">
        <f ca="1">IFERROR(__xludf.DUMMYFUNCTION("""COMPUTED_VALUE"""),144)</f>
        <v>144</v>
      </c>
      <c r="J39" s="7">
        <f ca="1">IFERROR(__xludf.DUMMYFUNCTION("""COMPUTED_VALUE"""),1233)</f>
        <v>1233</v>
      </c>
      <c r="K39" s="7">
        <f ca="1">IFERROR(__xludf.DUMMYFUNCTION("""COMPUTED_VALUE"""),1)</f>
        <v>1</v>
      </c>
      <c r="L39" s="7"/>
      <c r="M39" s="7"/>
      <c r="N39" s="7"/>
    </row>
    <row r="40" spans="1:14" ht="13.2" x14ac:dyDescent="0.25">
      <c r="A40" s="6">
        <f ca="1">IFERROR(__xludf.DUMMYFUNCTION("""COMPUTED_VALUE"""),43929)</f>
        <v>43929</v>
      </c>
      <c r="B40" s="7">
        <f ca="1">IFERROR(__xludf.DUMMYFUNCTION("""COMPUTED_VALUE"""),18)</f>
        <v>18</v>
      </c>
      <c r="C40" s="8">
        <f ca="1">IFERROR(__xludf.DUMMYFUNCTION("""COMPUTED_VALUE"""),43929.75)</f>
        <v>43929.75</v>
      </c>
      <c r="D40" s="7">
        <f ca="1">IFERROR(__xludf.DUMMYFUNCTION("""COMPUTED_VALUE"""),144)</f>
        <v>144</v>
      </c>
      <c r="E40" s="7">
        <f ca="1">IFERROR(__xludf.DUMMYFUNCTION("""COMPUTED_VALUE"""),75)</f>
        <v>75</v>
      </c>
      <c r="F40" s="7">
        <f ca="1">IFERROR(__xludf.DUMMYFUNCTION("""COMPUTED_VALUE"""),357)</f>
        <v>357</v>
      </c>
      <c r="G40" s="7">
        <f ca="1">IFERROR(__xludf.DUMMYFUNCTION("""COMPUTED_VALUE"""),976)</f>
        <v>976</v>
      </c>
      <c r="H40" s="7">
        <f ca="1">IFERROR(__xludf.DUMMYFUNCTION("""COMPUTED_VALUE"""),1552)</f>
        <v>1552</v>
      </c>
      <c r="I40" s="7">
        <f ca="1">IFERROR(__xludf.DUMMYFUNCTION("""COMPUTED_VALUE"""),109)</f>
        <v>109</v>
      </c>
      <c r="J40" s="7">
        <f ca="1">IFERROR(__xludf.DUMMYFUNCTION("""COMPUTED_VALUE"""),1333)</f>
        <v>1333</v>
      </c>
      <c r="K40" s="7">
        <f ca="1">IFERROR(__xludf.DUMMYFUNCTION("""COMPUTED_VALUE"""),6)</f>
        <v>6</v>
      </c>
      <c r="L40" s="7"/>
      <c r="M40" s="7"/>
      <c r="N40" s="7"/>
    </row>
    <row r="41" spans="1:14" ht="13.2" x14ac:dyDescent="0.25">
      <c r="A41" s="6">
        <f ca="1">IFERROR(__xludf.DUMMYFUNCTION("""COMPUTED_VALUE"""),43930)</f>
        <v>43930</v>
      </c>
      <c r="B41" s="7">
        <f ca="1">IFERROR(__xludf.DUMMYFUNCTION("""COMPUTED_VALUE"""),18)</f>
        <v>18</v>
      </c>
      <c r="C41" s="8">
        <f ca="1">IFERROR(__xludf.DUMMYFUNCTION("""COMPUTED_VALUE"""),43930.75)</f>
        <v>43930.75</v>
      </c>
      <c r="D41" s="7">
        <f ca="1">IFERROR(__xludf.DUMMYFUNCTION("""COMPUTED_VALUE"""),155)</f>
        <v>155</v>
      </c>
      <c r="E41" s="7">
        <f ca="1">IFERROR(__xludf.DUMMYFUNCTION("""COMPUTED_VALUE"""),82)</f>
        <v>82</v>
      </c>
      <c r="F41" s="7">
        <f ca="1">IFERROR(__xludf.DUMMYFUNCTION("""COMPUTED_VALUE"""),405)</f>
        <v>405</v>
      </c>
      <c r="G41" s="7">
        <f ca="1">IFERROR(__xludf.DUMMYFUNCTION("""COMPUTED_VALUE"""),1077)</f>
        <v>1077</v>
      </c>
      <c r="H41" s="7">
        <f ca="1">IFERROR(__xludf.DUMMYFUNCTION("""COMPUTED_VALUE"""),1719)</f>
        <v>1719</v>
      </c>
      <c r="I41" s="7">
        <f ca="1">IFERROR(__xludf.DUMMYFUNCTION("""COMPUTED_VALUE"""),167)</f>
        <v>167</v>
      </c>
      <c r="J41" s="7">
        <f ca="1">IFERROR(__xludf.DUMMYFUNCTION("""COMPUTED_VALUE"""),1482)</f>
        <v>1482</v>
      </c>
      <c r="K41" s="7">
        <f ca="1">IFERROR(__xludf.DUMMYFUNCTION("""COMPUTED_VALUE"""),7)</f>
        <v>7</v>
      </c>
      <c r="L41" s="7"/>
      <c r="M41" s="7"/>
      <c r="N41" s="7"/>
    </row>
    <row r="42" spans="1:14" ht="13.2" x14ac:dyDescent="0.25">
      <c r="A42" s="6">
        <f ca="1">IFERROR(__xludf.DUMMYFUNCTION("""COMPUTED_VALUE"""),43931)</f>
        <v>43931</v>
      </c>
      <c r="B42" s="7">
        <f ca="1">IFERROR(__xludf.DUMMYFUNCTION("""COMPUTED_VALUE"""),18)</f>
        <v>18</v>
      </c>
      <c r="C42" s="8">
        <f ca="1">IFERROR(__xludf.DUMMYFUNCTION("""COMPUTED_VALUE"""),43931.75)</f>
        <v>43931.75</v>
      </c>
      <c r="D42" s="7">
        <f ca="1">IFERROR(__xludf.DUMMYFUNCTION("""COMPUTED_VALUE"""),156)</f>
        <v>156</v>
      </c>
      <c r="E42" s="7">
        <f ca="1">IFERROR(__xludf.DUMMYFUNCTION("""COMPUTED_VALUE"""),82)</f>
        <v>82</v>
      </c>
      <c r="F42" s="7">
        <f ca="1">IFERROR(__xludf.DUMMYFUNCTION("""COMPUTED_VALUE"""),433)</f>
        <v>433</v>
      </c>
      <c r="G42" s="7">
        <f ca="1">IFERROR(__xludf.DUMMYFUNCTION("""COMPUTED_VALUE"""),1139)</f>
        <v>1139</v>
      </c>
      <c r="H42" s="7">
        <f ca="1">IFERROR(__xludf.DUMMYFUNCTION("""COMPUTED_VALUE"""),1810)</f>
        <v>1810</v>
      </c>
      <c r="I42" s="7">
        <f ca="1">IFERROR(__xludf.DUMMYFUNCTION("""COMPUTED_VALUE"""),91)</f>
        <v>91</v>
      </c>
      <c r="J42" s="7">
        <f ca="1">IFERROR(__xludf.DUMMYFUNCTION("""COMPUTED_VALUE"""),1572)</f>
        <v>1572</v>
      </c>
      <c r="K42" s="7">
        <f ca="1">IFERROR(__xludf.DUMMYFUNCTION("""COMPUTED_VALUE"""),0)</f>
        <v>0</v>
      </c>
      <c r="L42" s="7"/>
      <c r="M42" s="7"/>
      <c r="N42" s="7"/>
    </row>
    <row r="43" spans="1:14" ht="13.2" x14ac:dyDescent="0.25">
      <c r="A43" s="6">
        <f ca="1">IFERROR(__xludf.DUMMYFUNCTION("""COMPUTED_VALUE"""),43932)</f>
        <v>43932</v>
      </c>
      <c r="B43" s="7">
        <f ca="1">IFERROR(__xludf.DUMMYFUNCTION("""COMPUTED_VALUE"""),8)</f>
        <v>8</v>
      </c>
      <c r="C43" s="8">
        <f ca="1">IFERROR(__xludf.DUMMYFUNCTION("""COMPUTED_VALUE"""),43932.3333333333)</f>
        <v>43932.333333333299</v>
      </c>
      <c r="D43" s="7">
        <f ca="1">IFERROR(__xludf.DUMMYFUNCTION("""COMPUTED_VALUE"""),168)</f>
        <v>168</v>
      </c>
      <c r="E43" s="7">
        <f ca="1">IFERROR(__xludf.DUMMYFUNCTION("""COMPUTED_VALUE"""),142)</f>
        <v>142</v>
      </c>
      <c r="F43" s="7">
        <f ca="1">IFERROR(__xludf.DUMMYFUNCTION("""COMPUTED_VALUE"""),441)</f>
        <v>441</v>
      </c>
      <c r="G43" s="7">
        <f ca="1">IFERROR(__xludf.DUMMYFUNCTION("""COMPUTED_VALUE"""),1152)</f>
        <v>1152</v>
      </c>
      <c r="H43" s="7">
        <f ca="1">IFERROR(__xludf.DUMMYFUNCTION("""COMPUTED_VALUE"""),1903)</f>
        <v>1903</v>
      </c>
      <c r="I43" s="7">
        <f ca="1">IFERROR(__xludf.DUMMYFUNCTION("""COMPUTED_VALUE"""),93)</f>
        <v>93</v>
      </c>
      <c r="J43" s="7">
        <f ca="1">IFERROR(__xludf.DUMMYFUNCTION("""COMPUTED_VALUE"""),1593)</f>
        <v>1593</v>
      </c>
      <c r="K43" s="7">
        <f ca="1">IFERROR(__xludf.DUMMYFUNCTION("""COMPUTED_VALUE"""),60)</f>
        <v>60</v>
      </c>
      <c r="L43" s="7"/>
      <c r="M43" s="7"/>
      <c r="N43" s="7"/>
    </row>
    <row r="44" spans="1:14" ht="13.2" x14ac:dyDescent="0.25">
      <c r="A44" s="6">
        <f ca="1">IFERROR(__xludf.DUMMYFUNCTION("""COMPUTED_VALUE"""),43933)</f>
        <v>43933</v>
      </c>
      <c r="B44" s="7">
        <f ca="1">IFERROR(__xludf.DUMMYFUNCTION("""COMPUTED_VALUE"""),8)</f>
        <v>8</v>
      </c>
      <c r="C44" s="8">
        <f ca="1">IFERROR(__xludf.DUMMYFUNCTION("""COMPUTED_VALUE"""),43933.3333333333)</f>
        <v>43933.333333333299</v>
      </c>
      <c r="D44" s="7">
        <f ca="1">IFERROR(__xludf.DUMMYFUNCTION("""COMPUTED_VALUE"""),195)</f>
        <v>195</v>
      </c>
      <c r="E44" s="7">
        <f ca="1">IFERROR(__xludf.DUMMYFUNCTION("""COMPUTED_VALUE"""),142)</f>
        <v>142</v>
      </c>
      <c r="F44" s="7">
        <f ca="1">IFERROR(__xludf.DUMMYFUNCTION("""COMPUTED_VALUE"""),468)</f>
        <v>468</v>
      </c>
      <c r="G44" s="7">
        <f ca="1">IFERROR(__xludf.DUMMYFUNCTION("""COMPUTED_VALUE"""),1277)</f>
        <v>1277</v>
      </c>
      <c r="H44" s="7">
        <f ca="1">IFERROR(__xludf.DUMMYFUNCTION("""COMPUTED_VALUE"""),2082)</f>
        <v>2082</v>
      </c>
      <c r="I44" s="7">
        <f ca="1">IFERROR(__xludf.DUMMYFUNCTION("""COMPUTED_VALUE"""),179)</f>
        <v>179</v>
      </c>
      <c r="J44" s="7">
        <f ca="1">IFERROR(__xludf.DUMMYFUNCTION("""COMPUTED_VALUE"""),1745)</f>
        <v>1745</v>
      </c>
      <c r="K44" s="7">
        <f ca="1">IFERROR(__xludf.DUMMYFUNCTION("""COMPUTED_VALUE"""),0)</f>
        <v>0</v>
      </c>
      <c r="L44" s="7"/>
      <c r="M44" s="7"/>
      <c r="N44" s="7"/>
    </row>
    <row r="45" spans="1:14" ht="13.2" x14ac:dyDescent="0.25">
      <c r="A45" s="6">
        <f ca="1">IFERROR(__xludf.DUMMYFUNCTION("""COMPUTED_VALUE"""),43934)</f>
        <v>43934</v>
      </c>
      <c r="B45" s="7">
        <f ca="1">IFERROR(__xludf.DUMMYFUNCTION("""COMPUTED_VALUE"""),8)</f>
        <v>8</v>
      </c>
      <c r="C45" s="8">
        <f ca="1">IFERROR(__xludf.DUMMYFUNCTION("""COMPUTED_VALUE"""),43934.3333333333)</f>
        <v>43934.333333333299</v>
      </c>
      <c r="D45" s="7">
        <f ca="1">IFERROR(__xludf.DUMMYFUNCTION("""COMPUTED_VALUE"""),209)</f>
        <v>209</v>
      </c>
      <c r="E45" s="7">
        <f ca="1">IFERROR(__xludf.DUMMYFUNCTION("""COMPUTED_VALUE"""),142)</f>
        <v>142</v>
      </c>
      <c r="F45" s="7">
        <f ca="1">IFERROR(__xludf.DUMMYFUNCTION("""COMPUTED_VALUE"""),521)</f>
        <v>521</v>
      </c>
      <c r="G45" s="7">
        <f ca="1">IFERROR(__xludf.DUMMYFUNCTION("""COMPUTED_VALUE"""),1370)</f>
        <v>1370</v>
      </c>
      <c r="H45" s="7">
        <f ca="1">IFERROR(__xludf.DUMMYFUNCTION("""COMPUTED_VALUE"""),2242)</f>
        <v>2242</v>
      </c>
      <c r="I45" s="7">
        <f ca="1">IFERROR(__xludf.DUMMYFUNCTION("""COMPUTED_VALUE"""),160)</f>
        <v>160</v>
      </c>
      <c r="J45" s="7">
        <f ca="1">IFERROR(__xludf.DUMMYFUNCTION("""COMPUTED_VALUE"""),1891)</f>
        <v>1891</v>
      </c>
      <c r="K45" s="7">
        <f ca="1">IFERROR(__xludf.DUMMYFUNCTION("""COMPUTED_VALUE"""),0)</f>
        <v>0</v>
      </c>
      <c r="L45" s="7"/>
      <c r="M45" s="7"/>
      <c r="N45" s="7"/>
    </row>
    <row r="46" spans="1:14" ht="13.2" x14ac:dyDescent="0.25">
      <c r="A46" s="6">
        <f ca="1">IFERROR(__xludf.DUMMYFUNCTION("""COMPUTED_VALUE"""),43935)</f>
        <v>43935</v>
      </c>
      <c r="B46" s="7">
        <f ca="1">IFERROR(__xludf.DUMMYFUNCTION("""COMPUTED_VALUE"""),8)</f>
        <v>8</v>
      </c>
      <c r="C46" s="8">
        <f ca="1">IFERROR(__xludf.DUMMYFUNCTION("""COMPUTED_VALUE"""),43935.3333333333)</f>
        <v>43935.333333333299</v>
      </c>
      <c r="D46" s="7">
        <f ca="1">IFERROR(__xludf.DUMMYFUNCTION("""COMPUTED_VALUE"""),243)</f>
        <v>243</v>
      </c>
      <c r="E46" s="7">
        <f ca="1">IFERROR(__xludf.DUMMYFUNCTION("""COMPUTED_VALUE"""),163)</f>
        <v>163</v>
      </c>
      <c r="F46" s="7">
        <f ca="1">IFERROR(__xludf.DUMMYFUNCTION("""COMPUTED_VALUE"""),558)</f>
        <v>558</v>
      </c>
      <c r="G46" s="7">
        <f ca="1">IFERROR(__xludf.DUMMYFUNCTION("""COMPUTED_VALUE"""),1385)</f>
        <v>1385</v>
      </c>
      <c r="H46" s="7">
        <f ca="1">IFERROR(__xludf.DUMMYFUNCTION("""COMPUTED_VALUE"""),2349)</f>
        <v>2349</v>
      </c>
      <c r="I46" s="7">
        <f ca="1">IFERROR(__xludf.DUMMYFUNCTION("""COMPUTED_VALUE"""),107)</f>
        <v>107</v>
      </c>
      <c r="J46" s="7">
        <f ca="1">IFERROR(__xludf.DUMMYFUNCTION("""COMPUTED_VALUE"""),1943)</f>
        <v>1943</v>
      </c>
      <c r="K46" s="7">
        <f ca="1">IFERROR(__xludf.DUMMYFUNCTION("""COMPUTED_VALUE"""),21)</f>
        <v>21</v>
      </c>
      <c r="L46" s="7"/>
      <c r="M46" s="7"/>
      <c r="N46" s="7"/>
    </row>
    <row r="47" spans="1:14" ht="13.2" x14ac:dyDescent="0.25">
      <c r="A47" s="6">
        <f ca="1">IFERROR(__xludf.DUMMYFUNCTION("""COMPUTED_VALUE"""),43936)</f>
        <v>43936</v>
      </c>
      <c r="B47" s="7">
        <f ca="1">IFERROR(__xludf.DUMMYFUNCTION("""COMPUTED_VALUE"""),8)</f>
        <v>8</v>
      </c>
      <c r="C47" s="8">
        <f ca="1">IFERROR(__xludf.DUMMYFUNCTION("""COMPUTED_VALUE"""),43936.3333333333)</f>
        <v>43936.333333333299</v>
      </c>
      <c r="D47" s="7">
        <f ca="1">IFERROR(__xludf.DUMMYFUNCTION("""COMPUTED_VALUE"""),246)</f>
        <v>246</v>
      </c>
      <c r="E47" s="7">
        <f ca="1">IFERROR(__xludf.DUMMYFUNCTION("""COMPUTED_VALUE"""),164)</f>
        <v>164</v>
      </c>
      <c r="F47" s="7">
        <f ca="1">IFERROR(__xludf.DUMMYFUNCTION("""COMPUTED_VALUE"""),613)</f>
        <v>613</v>
      </c>
      <c r="G47" s="7">
        <f ca="1">IFERROR(__xludf.DUMMYFUNCTION("""COMPUTED_VALUE"""),1424)</f>
        <v>1424</v>
      </c>
      <c r="H47" s="7">
        <f ca="1">IFERROR(__xludf.DUMMYFUNCTION("""COMPUTED_VALUE"""),2447)</f>
        <v>2447</v>
      </c>
      <c r="I47" s="7">
        <f ca="1">IFERROR(__xludf.DUMMYFUNCTION("""COMPUTED_VALUE"""),98)</f>
        <v>98</v>
      </c>
      <c r="J47" s="7">
        <f ca="1">IFERROR(__xludf.DUMMYFUNCTION("""COMPUTED_VALUE"""),2037)</f>
        <v>2037</v>
      </c>
      <c r="K47" s="7">
        <f ca="1">IFERROR(__xludf.DUMMYFUNCTION("""COMPUTED_VALUE"""),1)</f>
        <v>1</v>
      </c>
      <c r="L47" s="7"/>
      <c r="M47" s="7"/>
      <c r="N47" s="7"/>
    </row>
    <row r="48" spans="1:14" ht="13.2" x14ac:dyDescent="0.25">
      <c r="A48" s="6">
        <f ca="1">IFERROR(__xludf.DUMMYFUNCTION("""COMPUTED_VALUE"""),43937)</f>
        <v>43937</v>
      </c>
      <c r="B48" s="7">
        <f ca="1">IFERROR(__xludf.DUMMYFUNCTION("""COMPUTED_VALUE"""),8)</f>
        <v>8</v>
      </c>
      <c r="C48" s="8">
        <f ca="1">IFERROR(__xludf.DUMMYFUNCTION("""COMPUTED_VALUE"""),43937.3333333333)</f>
        <v>43937.333333333299</v>
      </c>
      <c r="D48" s="7">
        <f ca="1">IFERROR(__xludf.DUMMYFUNCTION("""COMPUTED_VALUE"""),248)</f>
        <v>248</v>
      </c>
      <c r="E48" s="7">
        <f ca="1">IFERROR(__xludf.DUMMYFUNCTION("""COMPUTED_VALUE"""),202)</f>
        <v>202</v>
      </c>
      <c r="F48" s="7">
        <f ca="1">IFERROR(__xludf.DUMMYFUNCTION("""COMPUTED_VALUE"""),619)</f>
        <v>619</v>
      </c>
      <c r="G48" s="7">
        <f ca="1">IFERROR(__xludf.DUMMYFUNCTION("""COMPUTED_VALUE"""),1601)</f>
        <v>1601</v>
      </c>
      <c r="H48" s="7">
        <f ca="1">IFERROR(__xludf.DUMMYFUNCTION("""COMPUTED_VALUE"""),2670)</f>
        <v>2670</v>
      </c>
      <c r="I48" s="7">
        <f ca="1">IFERROR(__xludf.DUMMYFUNCTION("""COMPUTED_VALUE"""),223)</f>
        <v>223</v>
      </c>
      <c r="J48" s="7">
        <f ca="1">IFERROR(__xludf.DUMMYFUNCTION("""COMPUTED_VALUE"""),2220)</f>
        <v>2220</v>
      </c>
      <c r="K48" s="7">
        <f ca="1">IFERROR(__xludf.DUMMYFUNCTION("""COMPUTED_VALUE"""),38)</f>
        <v>38</v>
      </c>
      <c r="L48" s="7"/>
      <c r="M48" s="7"/>
      <c r="N48" s="7"/>
    </row>
    <row r="49" spans="1:14" ht="13.2" x14ac:dyDescent="0.25">
      <c r="A49" s="6">
        <f ca="1">IFERROR(__xludf.DUMMYFUNCTION("""COMPUTED_VALUE"""),43938)</f>
        <v>43938</v>
      </c>
      <c r="B49" s="7">
        <f ca="1">IFERROR(__xludf.DUMMYFUNCTION("""COMPUTED_VALUE"""),8)</f>
        <v>8</v>
      </c>
      <c r="C49" s="8">
        <f ca="1">IFERROR(__xludf.DUMMYFUNCTION("""COMPUTED_VALUE"""),43938.3333333333)</f>
        <v>43938.333333333299</v>
      </c>
      <c r="D49" s="7">
        <f ca="1">IFERROR(__xludf.DUMMYFUNCTION("""COMPUTED_VALUE"""),250)</f>
        <v>250</v>
      </c>
      <c r="E49" s="7">
        <f ca="1">IFERROR(__xludf.DUMMYFUNCTION("""COMPUTED_VALUE"""),203)</f>
        <v>203</v>
      </c>
      <c r="F49" s="7">
        <f ca="1">IFERROR(__xludf.DUMMYFUNCTION("""COMPUTED_VALUE"""),643)</f>
        <v>643</v>
      </c>
      <c r="G49" s="7">
        <f ca="1">IFERROR(__xludf.DUMMYFUNCTION("""COMPUTED_VALUE"""),1727)</f>
        <v>1727</v>
      </c>
      <c r="H49" s="7">
        <f ca="1">IFERROR(__xludf.DUMMYFUNCTION("""COMPUTED_VALUE"""),2823)</f>
        <v>2823</v>
      </c>
      <c r="I49" s="7">
        <f ca="1">IFERROR(__xludf.DUMMYFUNCTION("""COMPUTED_VALUE"""),153)</f>
        <v>153</v>
      </c>
      <c r="J49" s="7">
        <f ca="1">IFERROR(__xludf.DUMMYFUNCTION("""COMPUTED_VALUE"""),2370)</f>
        <v>2370</v>
      </c>
      <c r="K49" s="7">
        <f ca="1">IFERROR(__xludf.DUMMYFUNCTION("""COMPUTED_VALUE"""),1)</f>
        <v>1</v>
      </c>
      <c r="L49" s="7"/>
      <c r="M49" s="7"/>
      <c r="N49" s="7"/>
    </row>
    <row r="50" spans="1:14" ht="13.2" x14ac:dyDescent="0.25">
      <c r="A50" s="6">
        <f ca="1">IFERROR(__xludf.DUMMYFUNCTION("""COMPUTED_VALUE"""),43939)</f>
        <v>43939</v>
      </c>
      <c r="B50" s="7">
        <f ca="1">IFERROR(__xludf.DUMMYFUNCTION("""COMPUTED_VALUE"""),8)</f>
        <v>8</v>
      </c>
      <c r="C50" s="8">
        <f ca="1">IFERROR(__xludf.DUMMYFUNCTION("""COMPUTED_VALUE"""),43939.3333333333)</f>
        <v>43939.333333333299</v>
      </c>
      <c r="D50" s="7">
        <f ca="1">IFERROR(__xludf.DUMMYFUNCTION("""COMPUTED_VALUE"""),257)</f>
        <v>257</v>
      </c>
      <c r="E50" s="7">
        <f ca="1">IFERROR(__xludf.DUMMYFUNCTION("""COMPUTED_VALUE"""),206)</f>
        <v>206</v>
      </c>
      <c r="F50" s="7">
        <f ca="1">IFERROR(__xludf.DUMMYFUNCTION("""COMPUTED_VALUE"""),670)</f>
        <v>670</v>
      </c>
      <c r="G50" s="7">
        <f ca="1">IFERROR(__xludf.DUMMYFUNCTION("""COMPUTED_VALUE"""),1769)</f>
        <v>1769</v>
      </c>
      <c r="H50" s="7">
        <f ca="1">IFERROR(__xludf.DUMMYFUNCTION("""COMPUTED_VALUE"""),2902)</f>
        <v>2902</v>
      </c>
      <c r="I50" s="7">
        <f ca="1">IFERROR(__xludf.DUMMYFUNCTION("""COMPUTED_VALUE"""),79)</f>
        <v>79</v>
      </c>
      <c r="J50" s="7">
        <f ca="1">IFERROR(__xludf.DUMMYFUNCTION("""COMPUTED_VALUE"""),2439)</f>
        <v>2439</v>
      </c>
      <c r="K50" s="7">
        <f ca="1">IFERROR(__xludf.DUMMYFUNCTION("""COMPUTED_VALUE"""),3)</f>
        <v>3</v>
      </c>
      <c r="L50" s="7"/>
      <c r="M50" s="7"/>
      <c r="N50" s="7"/>
    </row>
    <row r="51" spans="1:14" ht="13.2" x14ac:dyDescent="0.25">
      <c r="A51" s="6">
        <f ca="1">IFERROR(__xludf.DUMMYFUNCTION("""COMPUTED_VALUE"""),43940)</f>
        <v>43940</v>
      </c>
      <c r="B51" s="7">
        <f ca="1">IFERROR(__xludf.DUMMYFUNCTION("""COMPUTED_VALUE"""),8)</f>
        <v>8</v>
      </c>
      <c r="C51" s="8">
        <f ca="1">IFERROR(__xludf.DUMMYFUNCTION("""COMPUTED_VALUE"""),43940.3333333333)</f>
        <v>43940.333333333299</v>
      </c>
      <c r="D51" s="7">
        <f ca="1">IFERROR(__xludf.DUMMYFUNCTION("""COMPUTED_VALUE"""),292)</f>
        <v>292</v>
      </c>
      <c r="E51" s="7">
        <f ca="1">IFERROR(__xludf.DUMMYFUNCTION("""COMPUTED_VALUE"""),207)</f>
        <v>207</v>
      </c>
      <c r="F51" s="7">
        <f ca="1">IFERROR(__xludf.DUMMYFUNCTION("""COMPUTED_VALUE"""),695)</f>
        <v>695</v>
      </c>
      <c r="G51" s="7">
        <f ca="1">IFERROR(__xludf.DUMMYFUNCTION("""COMPUTED_VALUE"""),1839)</f>
        <v>1839</v>
      </c>
      <c r="H51" s="7">
        <f ca="1">IFERROR(__xludf.DUMMYFUNCTION("""COMPUTED_VALUE"""),3033)</f>
        <v>3033</v>
      </c>
      <c r="I51" s="7">
        <f ca="1">IFERROR(__xludf.DUMMYFUNCTION("""COMPUTED_VALUE"""),131)</f>
        <v>131</v>
      </c>
      <c r="J51" s="7">
        <f ca="1">IFERROR(__xludf.DUMMYFUNCTION("""COMPUTED_VALUE"""),2534)</f>
        <v>2534</v>
      </c>
      <c r="K51" s="7">
        <f ca="1">IFERROR(__xludf.DUMMYFUNCTION("""COMPUTED_VALUE"""),1)</f>
        <v>1</v>
      </c>
      <c r="L51" s="7"/>
      <c r="M51" s="7"/>
      <c r="N51" s="7"/>
    </row>
    <row r="52" spans="1:14" ht="13.2" x14ac:dyDescent="0.25">
      <c r="A52" s="6">
        <f ca="1">IFERROR(__xludf.DUMMYFUNCTION("""COMPUTED_VALUE"""),43941)</f>
        <v>43941</v>
      </c>
      <c r="B52" s="7">
        <f ca="1">IFERROR(__xludf.DUMMYFUNCTION("""COMPUTED_VALUE"""),8)</f>
        <v>8</v>
      </c>
      <c r="C52" s="8">
        <f ca="1">IFERROR(__xludf.DUMMYFUNCTION("""COMPUTED_VALUE"""),43941.3333333333)</f>
        <v>43941.333333333299</v>
      </c>
      <c r="D52" s="7">
        <f ca="1">IFERROR(__xludf.DUMMYFUNCTION("""COMPUTED_VALUE"""),297)</f>
        <v>297</v>
      </c>
      <c r="E52" s="7">
        <f ca="1">IFERROR(__xludf.DUMMYFUNCTION("""COMPUTED_VALUE"""),237)</f>
        <v>237</v>
      </c>
      <c r="F52" s="7">
        <f ca="1">IFERROR(__xludf.DUMMYFUNCTION("""COMPUTED_VALUE"""),752)</f>
        <v>752</v>
      </c>
      <c r="G52" s="7">
        <f ca="1">IFERROR(__xludf.DUMMYFUNCTION("""COMPUTED_VALUE"""),1826)</f>
        <v>1826</v>
      </c>
      <c r="H52" s="7">
        <f ca="1">IFERROR(__xludf.DUMMYFUNCTION("""COMPUTED_VALUE"""),3112)</f>
        <v>3112</v>
      </c>
      <c r="I52" s="7">
        <f ca="1">IFERROR(__xludf.DUMMYFUNCTION("""COMPUTED_VALUE"""),79)</f>
        <v>79</v>
      </c>
      <c r="J52" s="7">
        <f ca="1">IFERROR(__xludf.DUMMYFUNCTION("""COMPUTED_VALUE"""),2578)</f>
        <v>2578</v>
      </c>
      <c r="K52" s="7">
        <f ca="1">IFERROR(__xludf.DUMMYFUNCTION("""COMPUTED_VALUE"""),30)</f>
        <v>30</v>
      </c>
      <c r="L52" s="7"/>
      <c r="M52" s="7"/>
      <c r="N52" s="7"/>
    </row>
    <row r="53" spans="1:14" ht="13.2" x14ac:dyDescent="0.25">
      <c r="A53" s="6">
        <f ca="1">IFERROR(__xludf.DUMMYFUNCTION("""COMPUTED_VALUE"""),43942)</f>
        <v>43942</v>
      </c>
      <c r="B53" s="7">
        <f ca="1">IFERROR(__xludf.DUMMYFUNCTION("""COMPUTED_VALUE"""),8)</f>
        <v>8</v>
      </c>
      <c r="C53" s="8">
        <f ca="1">IFERROR(__xludf.DUMMYFUNCTION("""COMPUTED_VALUE"""),43942.3333333333)</f>
        <v>43942.333333333299</v>
      </c>
      <c r="D53" s="7">
        <f ca="1">IFERROR(__xludf.DUMMYFUNCTION("""COMPUTED_VALUE"""),305)</f>
        <v>305</v>
      </c>
      <c r="E53" s="7">
        <f ca="1">IFERROR(__xludf.DUMMYFUNCTION("""COMPUTED_VALUE"""),286)</f>
        <v>286</v>
      </c>
      <c r="F53" s="7">
        <f ca="1">IFERROR(__xludf.DUMMYFUNCTION("""COMPUTED_VALUE"""),753)</f>
        <v>753</v>
      </c>
      <c r="G53" s="7">
        <f ca="1">IFERROR(__xludf.DUMMYFUNCTION("""COMPUTED_VALUE"""),1935)</f>
        <v>1935</v>
      </c>
      <c r="H53" s="7">
        <f ca="1">IFERROR(__xludf.DUMMYFUNCTION("""COMPUTED_VALUE"""),3279)</f>
        <v>3279</v>
      </c>
      <c r="I53" s="7">
        <f ca="1">IFERROR(__xludf.DUMMYFUNCTION("""COMPUTED_VALUE"""),167)</f>
        <v>167</v>
      </c>
      <c r="J53" s="7">
        <f ca="1">IFERROR(__xludf.DUMMYFUNCTION("""COMPUTED_VALUE"""),2688)</f>
        <v>2688</v>
      </c>
      <c r="K53" s="7">
        <f ca="1">IFERROR(__xludf.DUMMYFUNCTION("""COMPUTED_VALUE"""),49)</f>
        <v>49</v>
      </c>
      <c r="L53" s="7"/>
      <c r="M53" s="7"/>
      <c r="N53" s="7"/>
    </row>
    <row r="54" spans="1:14" ht="13.2" x14ac:dyDescent="0.25">
      <c r="A54" s="6">
        <f ca="1">IFERROR(__xludf.DUMMYFUNCTION("""COMPUTED_VALUE"""),43943)</f>
        <v>43943</v>
      </c>
      <c r="B54" s="7">
        <f ca="1">IFERROR(__xludf.DUMMYFUNCTION("""COMPUTED_VALUE"""),8)</f>
        <v>8</v>
      </c>
      <c r="C54" s="8">
        <f ca="1">IFERROR(__xludf.DUMMYFUNCTION("""COMPUTED_VALUE"""),43943.3333333333)</f>
        <v>43943.333333333299</v>
      </c>
      <c r="D54" s="7">
        <f ca="1">IFERROR(__xludf.DUMMYFUNCTION("""COMPUTED_VALUE"""),308)</f>
        <v>308</v>
      </c>
      <c r="E54" s="7">
        <f ca="1">IFERROR(__xludf.DUMMYFUNCTION("""COMPUTED_VALUE"""),291)</f>
        <v>291</v>
      </c>
      <c r="F54" s="7">
        <f ca="1">IFERROR(__xludf.DUMMYFUNCTION("""COMPUTED_VALUE"""),815)</f>
        <v>815</v>
      </c>
      <c r="G54" s="7">
        <f ca="1">IFERROR(__xludf.DUMMYFUNCTION("""COMPUTED_VALUE"""),1985)</f>
        <v>1985</v>
      </c>
      <c r="H54" s="7">
        <f ca="1">IFERROR(__xludf.DUMMYFUNCTION("""COMPUTED_VALUE"""),3399)</f>
        <v>3399</v>
      </c>
      <c r="I54" s="7">
        <f ca="1">IFERROR(__xludf.DUMMYFUNCTION("""COMPUTED_VALUE"""),120)</f>
        <v>120</v>
      </c>
      <c r="J54" s="7">
        <f ca="1">IFERROR(__xludf.DUMMYFUNCTION("""COMPUTED_VALUE"""),2800)</f>
        <v>2800</v>
      </c>
      <c r="K54" s="7">
        <f ca="1">IFERROR(__xludf.DUMMYFUNCTION("""COMPUTED_VALUE"""),5)</f>
        <v>5</v>
      </c>
      <c r="L54" s="7"/>
      <c r="M54" s="7"/>
      <c r="N54" s="7"/>
    </row>
    <row r="55" spans="1:14" ht="13.2" x14ac:dyDescent="0.25">
      <c r="A55" s="6">
        <f ca="1">IFERROR(__xludf.DUMMYFUNCTION("""COMPUTED_VALUE"""),43944)</f>
        <v>43944</v>
      </c>
      <c r="B55" s="7">
        <f ca="1">IFERROR(__xludf.DUMMYFUNCTION("""COMPUTED_VALUE"""),8)</f>
        <v>8</v>
      </c>
      <c r="C55" s="8">
        <f ca="1">IFERROR(__xludf.DUMMYFUNCTION("""COMPUTED_VALUE"""),43944.3333333333)</f>
        <v>43944.333333333299</v>
      </c>
      <c r="D55" s="7">
        <f ca="1">IFERROR(__xludf.DUMMYFUNCTION("""COMPUTED_VALUE"""),316)</f>
        <v>316</v>
      </c>
      <c r="E55" s="7">
        <f ca="1">IFERROR(__xludf.DUMMYFUNCTION("""COMPUTED_VALUE"""),292)</f>
        <v>292</v>
      </c>
      <c r="F55" s="7">
        <f ca="1">IFERROR(__xludf.DUMMYFUNCTION("""COMPUTED_VALUE"""),888)</f>
        <v>888</v>
      </c>
      <c r="G55" s="7">
        <f ca="1">IFERROR(__xludf.DUMMYFUNCTION("""COMPUTED_VALUE"""),2010)</f>
        <v>2010</v>
      </c>
      <c r="H55" s="7">
        <f ca="1">IFERROR(__xludf.DUMMYFUNCTION("""COMPUTED_VALUE"""),3506)</f>
        <v>3506</v>
      </c>
      <c r="I55" s="7">
        <f ca="1">IFERROR(__xludf.DUMMYFUNCTION("""COMPUTED_VALUE"""),107)</f>
        <v>107</v>
      </c>
      <c r="J55" s="7">
        <f ca="1">IFERROR(__xludf.DUMMYFUNCTION("""COMPUTED_VALUE"""),2898)</f>
        <v>2898</v>
      </c>
      <c r="K55" s="7">
        <f ca="1">IFERROR(__xludf.DUMMYFUNCTION("""COMPUTED_VALUE"""),1)</f>
        <v>1</v>
      </c>
      <c r="L55" s="7"/>
      <c r="M55" s="7"/>
      <c r="N55" s="7"/>
    </row>
    <row r="56" spans="1:14" ht="13.2" x14ac:dyDescent="0.25">
      <c r="A56" s="6">
        <f ca="1">IFERROR(__xludf.DUMMYFUNCTION("""COMPUTED_VALUE"""),43945)</f>
        <v>43945</v>
      </c>
      <c r="B56" s="7">
        <f ca="1">IFERROR(__xludf.DUMMYFUNCTION("""COMPUTED_VALUE"""),8)</f>
        <v>8</v>
      </c>
      <c r="C56" s="8">
        <f ca="1">IFERROR(__xludf.DUMMYFUNCTION("""COMPUTED_VALUE"""),43945.3333333333)</f>
        <v>43945.333333333299</v>
      </c>
      <c r="D56" s="7">
        <f ca="1">IFERROR(__xludf.DUMMYFUNCTION("""COMPUTED_VALUE"""),331)</f>
        <v>331</v>
      </c>
      <c r="E56" s="7">
        <f ca="1">IFERROR(__xludf.DUMMYFUNCTION("""COMPUTED_VALUE"""),327)</f>
        <v>327</v>
      </c>
      <c r="F56" s="7">
        <f ca="1">IFERROR(__xludf.DUMMYFUNCTION("""COMPUTED_VALUE"""),959)</f>
        <v>959</v>
      </c>
      <c r="G56" s="7">
        <f ca="1">IFERROR(__xludf.DUMMYFUNCTION("""COMPUTED_VALUE"""),1988)</f>
        <v>1988</v>
      </c>
      <c r="H56" s="7">
        <f ca="1">IFERROR(__xludf.DUMMYFUNCTION("""COMPUTED_VALUE"""),3605)</f>
        <v>3605</v>
      </c>
      <c r="I56" s="7">
        <f ca="1">IFERROR(__xludf.DUMMYFUNCTION("""COMPUTED_VALUE"""),99)</f>
        <v>99</v>
      </c>
      <c r="J56" s="7">
        <f ca="1">IFERROR(__xludf.DUMMYFUNCTION("""COMPUTED_VALUE"""),2947)</f>
        <v>2947</v>
      </c>
      <c r="K56" s="7">
        <f ca="1">IFERROR(__xludf.DUMMYFUNCTION("""COMPUTED_VALUE"""),35)</f>
        <v>35</v>
      </c>
      <c r="L56" s="7"/>
      <c r="M56" s="7"/>
      <c r="N56" s="7"/>
    </row>
    <row r="57" spans="1:14" ht="13.2" x14ac:dyDescent="0.25">
      <c r="A57" s="6">
        <f ca="1">IFERROR(__xludf.DUMMYFUNCTION("""COMPUTED_VALUE"""),43946)</f>
        <v>43946</v>
      </c>
      <c r="B57" s="7">
        <f ca="1">IFERROR(__xludf.DUMMYFUNCTION("""COMPUTED_VALUE"""),8)</f>
        <v>8</v>
      </c>
      <c r="C57" s="8">
        <f ca="1">IFERROR(__xludf.DUMMYFUNCTION("""COMPUTED_VALUE"""),43946.3333333333)</f>
        <v>43946.333333333299</v>
      </c>
      <c r="D57" s="7">
        <f ca="1">IFERROR(__xludf.DUMMYFUNCTION("""COMPUTED_VALUE"""),350)</f>
        <v>350</v>
      </c>
      <c r="E57" s="7">
        <f ca="1">IFERROR(__xludf.DUMMYFUNCTION("""COMPUTED_VALUE"""),334)</f>
        <v>334</v>
      </c>
      <c r="F57" s="7">
        <f ca="1">IFERROR(__xludf.DUMMYFUNCTION("""COMPUTED_VALUE"""),1050)</f>
        <v>1050</v>
      </c>
      <c r="G57" s="7">
        <f ca="1">IFERROR(__xludf.DUMMYFUNCTION("""COMPUTED_VALUE"""),1947)</f>
        <v>1947</v>
      </c>
      <c r="H57" s="7">
        <f ca="1">IFERROR(__xludf.DUMMYFUNCTION("""COMPUTED_VALUE"""),3681)</f>
        <v>3681</v>
      </c>
      <c r="I57" s="7">
        <f ca="1">IFERROR(__xludf.DUMMYFUNCTION("""COMPUTED_VALUE"""),76)</f>
        <v>76</v>
      </c>
      <c r="J57" s="7">
        <f ca="1">IFERROR(__xludf.DUMMYFUNCTION("""COMPUTED_VALUE"""),2997)</f>
        <v>2997</v>
      </c>
      <c r="K57" s="7">
        <f ca="1">IFERROR(__xludf.DUMMYFUNCTION("""COMPUTED_VALUE"""),7)</f>
        <v>7</v>
      </c>
      <c r="L57" s="7"/>
      <c r="M57" s="7"/>
      <c r="N57" s="7"/>
    </row>
    <row r="58" spans="1:14" ht="13.2" x14ac:dyDescent="0.25">
      <c r="A58" s="6">
        <f ca="1">IFERROR(__xludf.DUMMYFUNCTION("""COMPUTED_VALUE"""),43947)</f>
        <v>43947</v>
      </c>
      <c r="B58" s="7">
        <f ca="1">IFERROR(__xludf.DUMMYFUNCTION("""COMPUTED_VALUE"""),8)</f>
        <v>8</v>
      </c>
      <c r="C58" s="8">
        <f ca="1">IFERROR(__xludf.DUMMYFUNCTION("""COMPUTED_VALUE"""),43947.3333333333)</f>
        <v>43947.333333333299</v>
      </c>
      <c r="D58" s="7">
        <f ca="1">IFERROR(__xludf.DUMMYFUNCTION("""COMPUTED_VALUE"""),357)</f>
        <v>357</v>
      </c>
      <c r="E58" s="7">
        <f ca="1">IFERROR(__xludf.DUMMYFUNCTION("""COMPUTED_VALUE"""),338)</f>
        <v>338</v>
      </c>
      <c r="F58" s="7">
        <f ca="1">IFERROR(__xludf.DUMMYFUNCTION("""COMPUTED_VALUE"""),1099)</f>
        <v>1099</v>
      </c>
      <c r="G58" s="7">
        <f ca="1">IFERROR(__xludf.DUMMYFUNCTION("""COMPUTED_VALUE"""),1952)</f>
        <v>1952</v>
      </c>
      <c r="H58" s="7">
        <f ca="1">IFERROR(__xludf.DUMMYFUNCTION("""COMPUTED_VALUE"""),3746)</f>
        <v>3746</v>
      </c>
      <c r="I58" s="7">
        <f ca="1">IFERROR(__xludf.DUMMYFUNCTION("""COMPUTED_VALUE"""),65)</f>
        <v>65</v>
      </c>
      <c r="J58" s="7">
        <f ca="1">IFERROR(__xludf.DUMMYFUNCTION("""COMPUTED_VALUE"""),3051)</f>
        <v>3051</v>
      </c>
      <c r="K58" s="7">
        <f ca="1">IFERROR(__xludf.DUMMYFUNCTION("""COMPUTED_VALUE"""),4)</f>
        <v>4</v>
      </c>
      <c r="L58" s="7"/>
      <c r="M58" s="7"/>
      <c r="N58" s="7"/>
    </row>
    <row r="59" spans="1:14" ht="13.2" x14ac:dyDescent="0.25">
      <c r="A59" s="6">
        <f ca="1">IFERROR(__xludf.DUMMYFUNCTION("""COMPUTED_VALUE"""),43948)</f>
        <v>43948</v>
      </c>
      <c r="B59" s="7">
        <f ca="1">IFERROR(__xludf.DUMMYFUNCTION("""COMPUTED_VALUE"""),8)</f>
        <v>8</v>
      </c>
      <c r="C59" s="8">
        <f ca="1">IFERROR(__xludf.DUMMYFUNCTION("""COMPUTED_VALUE"""),43948.3333333333)</f>
        <v>43948.333333333299</v>
      </c>
      <c r="D59" s="7">
        <f ca="1">IFERROR(__xludf.DUMMYFUNCTION("""COMPUTED_VALUE"""),375)</f>
        <v>375</v>
      </c>
      <c r="E59" s="7">
        <f ca="1">IFERROR(__xludf.DUMMYFUNCTION("""COMPUTED_VALUE"""),338)</f>
        <v>338</v>
      </c>
      <c r="F59" s="7">
        <f ca="1">IFERROR(__xludf.DUMMYFUNCTION("""COMPUTED_VALUE"""),1169)</f>
        <v>1169</v>
      </c>
      <c r="G59" s="7">
        <f ca="1">IFERROR(__xludf.DUMMYFUNCTION("""COMPUTED_VALUE"""),1950)</f>
        <v>1950</v>
      </c>
      <c r="H59" s="7">
        <f ca="1">IFERROR(__xludf.DUMMYFUNCTION("""COMPUTED_VALUE"""),3832)</f>
        <v>3832</v>
      </c>
      <c r="I59" s="7">
        <f ca="1">IFERROR(__xludf.DUMMYFUNCTION("""COMPUTED_VALUE"""),86)</f>
        <v>86</v>
      </c>
      <c r="J59" s="7">
        <f ca="1">IFERROR(__xludf.DUMMYFUNCTION("""COMPUTED_VALUE"""),3119)</f>
        <v>3119</v>
      </c>
      <c r="K59" s="7">
        <f ca="1">IFERROR(__xludf.DUMMYFUNCTION("""COMPUTED_VALUE"""),0)</f>
        <v>0</v>
      </c>
      <c r="L59" s="7"/>
      <c r="M59" s="7"/>
      <c r="N59" s="7"/>
    </row>
    <row r="60" spans="1:14" ht="13.2" x14ac:dyDescent="0.25">
      <c r="A60" s="6">
        <f ca="1">IFERROR(__xludf.DUMMYFUNCTION("""COMPUTED_VALUE"""),43949)</f>
        <v>43949</v>
      </c>
      <c r="B60" s="7">
        <f ca="1">IFERROR(__xludf.DUMMYFUNCTION("""COMPUTED_VALUE"""),8)</f>
        <v>8</v>
      </c>
      <c r="C60" s="8">
        <f ca="1">IFERROR(__xludf.DUMMYFUNCTION("""COMPUTED_VALUE"""),43949.3333333333)</f>
        <v>43949.333333333299</v>
      </c>
      <c r="D60" s="7">
        <f ca="1">IFERROR(__xludf.DUMMYFUNCTION("""COMPUTED_VALUE"""),379)</f>
        <v>379</v>
      </c>
      <c r="E60" s="7">
        <f ca="1">IFERROR(__xludf.DUMMYFUNCTION("""COMPUTED_VALUE"""),341)</f>
        <v>341</v>
      </c>
      <c r="F60" s="7">
        <f ca="1">IFERROR(__xludf.DUMMYFUNCTION("""COMPUTED_VALUE"""),1206)</f>
        <v>1206</v>
      </c>
      <c r="G60" s="7">
        <f ca="1">IFERROR(__xludf.DUMMYFUNCTION("""COMPUTED_VALUE"""),2024)</f>
        <v>2024</v>
      </c>
      <c r="H60" s="7">
        <f ca="1">IFERROR(__xludf.DUMMYFUNCTION("""COMPUTED_VALUE"""),3950)</f>
        <v>3950</v>
      </c>
      <c r="I60" s="7">
        <f ca="1">IFERROR(__xludf.DUMMYFUNCTION("""COMPUTED_VALUE"""),118)</f>
        <v>118</v>
      </c>
      <c r="J60" s="7">
        <f ca="1">IFERROR(__xludf.DUMMYFUNCTION("""COMPUTED_VALUE"""),3230)</f>
        <v>3230</v>
      </c>
      <c r="K60" s="7">
        <f ca="1">IFERROR(__xludf.DUMMYFUNCTION("""COMPUTED_VALUE"""),3)</f>
        <v>3</v>
      </c>
      <c r="L60" s="7"/>
      <c r="M60" s="7"/>
      <c r="N60" s="7"/>
    </row>
    <row r="61" spans="1:14" ht="13.2" x14ac:dyDescent="0.25">
      <c r="A61" s="6">
        <f ca="1">IFERROR(__xludf.DUMMYFUNCTION("""COMPUTED_VALUE"""),43950)</f>
        <v>43950</v>
      </c>
      <c r="B61" s="7">
        <f ca="1">IFERROR(__xludf.DUMMYFUNCTION("""COMPUTED_VALUE"""),8)</f>
        <v>8</v>
      </c>
      <c r="C61" s="8">
        <f ca="1">IFERROR(__xludf.DUMMYFUNCTION("""COMPUTED_VALUE"""),43950.3333333333)</f>
        <v>43950.333333333299</v>
      </c>
      <c r="D61" s="7">
        <f ca="1">IFERROR(__xludf.DUMMYFUNCTION("""COMPUTED_VALUE"""),381)</f>
        <v>381</v>
      </c>
      <c r="E61" s="7">
        <f ca="1">IFERROR(__xludf.DUMMYFUNCTION("""COMPUTED_VALUE"""),412)</f>
        <v>412</v>
      </c>
      <c r="F61" s="7">
        <f ca="1">IFERROR(__xludf.DUMMYFUNCTION("""COMPUTED_VALUE"""),1238)</f>
        <v>1238</v>
      </c>
      <c r="G61" s="7">
        <f ca="1">IFERROR(__xludf.DUMMYFUNCTION("""COMPUTED_VALUE"""),2002)</f>
        <v>2002</v>
      </c>
      <c r="H61" s="7">
        <f ca="1">IFERROR(__xludf.DUMMYFUNCTION("""COMPUTED_VALUE"""),4033)</f>
        <v>4033</v>
      </c>
      <c r="I61" s="7">
        <f ca="1">IFERROR(__xludf.DUMMYFUNCTION("""COMPUTED_VALUE"""),83)</f>
        <v>83</v>
      </c>
      <c r="J61" s="7">
        <f ca="1">IFERROR(__xludf.DUMMYFUNCTION("""COMPUTED_VALUE"""),3240)</f>
        <v>3240</v>
      </c>
      <c r="K61" s="7">
        <f ca="1">IFERROR(__xludf.DUMMYFUNCTION("""COMPUTED_VALUE"""),71)</f>
        <v>71</v>
      </c>
      <c r="L61" s="7"/>
      <c r="M61" s="7"/>
      <c r="N61" s="7"/>
    </row>
    <row r="62" spans="1:14" ht="13.2" x14ac:dyDescent="0.25">
      <c r="A62" s="6">
        <f ca="1">IFERROR(__xludf.DUMMYFUNCTION("""COMPUTED_VALUE"""),43951)</f>
        <v>43951</v>
      </c>
      <c r="B62" s="7">
        <f ca="1">IFERROR(__xludf.DUMMYFUNCTION("""COMPUTED_VALUE"""),8)</f>
        <v>8</v>
      </c>
      <c r="C62" s="8">
        <f ca="1">IFERROR(__xludf.DUMMYFUNCTION("""COMPUTED_VALUE"""),43951.3333333333)</f>
        <v>43951.333333333299</v>
      </c>
      <c r="D62" s="7">
        <f ca="1">IFERROR(__xludf.DUMMYFUNCTION("""COMPUTED_VALUE"""),381)</f>
        <v>381</v>
      </c>
      <c r="E62" s="7">
        <f ca="1">IFERROR(__xludf.DUMMYFUNCTION("""COMPUTED_VALUE"""),412)</f>
        <v>412</v>
      </c>
      <c r="F62" s="7">
        <f ca="1">IFERROR(__xludf.DUMMYFUNCTION("""COMPUTED_VALUE"""),1272)</f>
        <v>1272</v>
      </c>
      <c r="G62" s="7">
        <f ca="1">IFERROR(__xludf.DUMMYFUNCTION("""COMPUTED_VALUE"""),2073)</f>
        <v>2073</v>
      </c>
      <c r="H62" s="7">
        <f ca="1">IFERROR(__xludf.DUMMYFUNCTION("""COMPUTED_VALUE"""),4138)</f>
        <v>4138</v>
      </c>
      <c r="I62" s="7">
        <f ca="1">IFERROR(__xludf.DUMMYFUNCTION("""COMPUTED_VALUE"""),105)</f>
        <v>105</v>
      </c>
      <c r="J62" s="7">
        <f ca="1">IFERROR(__xludf.DUMMYFUNCTION("""COMPUTED_VALUE"""),3345)</f>
        <v>3345</v>
      </c>
      <c r="K62" s="7">
        <f ca="1">IFERROR(__xludf.DUMMYFUNCTION("""COMPUTED_VALUE"""),0)</f>
        <v>0</v>
      </c>
      <c r="L62" s="7"/>
      <c r="M62" s="7"/>
      <c r="N62" s="7"/>
    </row>
    <row r="63" spans="1:14" ht="13.2" x14ac:dyDescent="0.25">
      <c r="A63" s="6">
        <f ca="1">IFERROR(__xludf.DUMMYFUNCTION("""COMPUTED_VALUE"""),43952)</f>
        <v>43952</v>
      </c>
      <c r="B63" s="7">
        <f ca="1">IFERROR(__xludf.DUMMYFUNCTION("""COMPUTED_VALUE"""),8)</f>
        <v>8</v>
      </c>
      <c r="C63" s="8">
        <f ca="1">IFERROR(__xludf.DUMMYFUNCTION("""COMPUTED_VALUE"""),43952.3333333333)</f>
        <v>43952.333333333299</v>
      </c>
      <c r="D63" s="7">
        <f ca="1">IFERROR(__xludf.DUMMYFUNCTION("""COMPUTED_VALUE"""),393)</f>
        <v>393</v>
      </c>
      <c r="E63" s="7">
        <f ca="1">IFERROR(__xludf.DUMMYFUNCTION("""COMPUTED_VALUE"""),427)</f>
        <v>427</v>
      </c>
      <c r="F63" s="7">
        <f ca="1">IFERROR(__xludf.DUMMYFUNCTION("""COMPUTED_VALUE"""),1312)</f>
        <v>1312</v>
      </c>
      <c r="G63" s="7">
        <f ca="1">IFERROR(__xludf.DUMMYFUNCTION("""COMPUTED_VALUE"""),2151)</f>
        <v>2151</v>
      </c>
      <c r="H63" s="7">
        <f ca="1">IFERROR(__xludf.DUMMYFUNCTION("""COMPUTED_VALUE"""),4283)</f>
        <v>4283</v>
      </c>
      <c r="I63" s="7">
        <f ca="1">IFERROR(__xludf.DUMMYFUNCTION("""COMPUTED_VALUE"""),145)</f>
        <v>145</v>
      </c>
      <c r="J63" s="7">
        <f ca="1">IFERROR(__xludf.DUMMYFUNCTION("""COMPUTED_VALUE"""),3463)</f>
        <v>3463</v>
      </c>
      <c r="K63" s="7">
        <f ca="1">IFERROR(__xludf.DUMMYFUNCTION("""COMPUTED_VALUE"""),15)</f>
        <v>15</v>
      </c>
      <c r="L63" s="7"/>
      <c r="M63" s="7"/>
      <c r="N63" s="7"/>
    </row>
    <row r="64" spans="1:14" ht="13.2" x14ac:dyDescent="0.25">
      <c r="A64" s="6">
        <f ca="1">IFERROR(__xludf.DUMMYFUNCTION("""COMPUTED_VALUE"""),43953)</f>
        <v>43953</v>
      </c>
      <c r="B64" s="7">
        <f ca="1">IFERROR(__xludf.DUMMYFUNCTION("""COMPUTED_VALUE"""),8)</f>
        <v>8</v>
      </c>
      <c r="C64" s="8">
        <f ca="1">IFERROR(__xludf.DUMMYFUNCTION("""COMPUTED_VALUE"""),43953.3333333333)</f>
        <v>43953.333333333299</v>
      </c>
      <c r="D64" s="7">
        <f ca="1">IFERROR(__xludf.DUMMYFUNCTION("""COMPUTED_VALUE"""),400)</f>
        <v>400</v>
      </c>
      <c r="E64" s="7">
        <f ca="1">IFERROR(__xludf.DUMMYFUNCTION("""COMPUTED_VALUE"""),562)</f>
        <v>562</v>
      </c>
      <c r="F64" s="7">
        <f ca="1">IFERROR(__xludf.DUMMYFUNCTION("""COMPUTED_VALUE"""),1304)</f>
        <v>1304</v>
      </c>
      <c r="G64" s="7">
        <f ca="1">IFERROR(__xludf.DUMMYFUNCTION("""COMPUTED_VALUE"""),2089)</f>
        <v>2089</v>
      </c>
      <c r="H64" s="7">
        <f ca="1">IFERROR(__xludf.DUMMYFUNCTION("""COMPUTED_VALUE"""),4355)</f>
        <v>4355</v>
      </c>
      <c r="I64" s="7">
        <f ca="1">IFERROR(__xludf.DUMMYFUNCTION("""COMPUTED_VALUE"""),72)</f>
        <v>72</v>
      </c>
      <c r="J64" s="7">
        <f ca="1">IFERROR(__xludf.DUMMYFUNCTION("""COMPUTED_VALUE"""),3393)</f>
        <v>3393</v>
      </c>
      <c r="K64" s="7">
        <f ca="1">IFERROR(__xludf.DUMMYFUNCTION("""COMPUTED_VALUE"""),135)</f>
        <v>135</v>
      </c>
      <c r="L64" s="7"/>
      <c r="M64" s="7"/>
      <c r="N64" s="7"/>
    </row>
    <row r="65" spans="1:14" ht="13.2" x14ac:dyDescent="0.25">
      <c r="A65" s="6">
        <f ca="1">IFERROR(__xludf.DUMMYFUNCTION("""COMPUTED_VALUE"""),43954)</f>
        <v>43954</v>
      </c>
      <c r="B65" s="7">
        <f ca="1">IFERROR(__xludf.DUMMYFUNCTION("""COMPUTED_VALUE"""),8)</f>
        <v>8</v>
      </c>
      <c r="C65" s="8">
        <f ca="1">IFERROR(__xludf.DUMMYFUNCTION("""COMPUTED_VALUE"""),43954.3333333333)</f>
        <v>43954.333333333299</v>
      </c>
      <c r="D65" s="7">
        <f ca="1">IFERROR(__xludf.DUMMYFUNCTION("""COMPUTED_VALUE"""),410)</f>
        <v>410</v>
      </c>
      <c r="E65" s="7">
        <f ca="1">IFERROR(__xludf.DUMMYFUNCTION("""COMPUTED_VALUE"""),622)</f>
        <v>622</v>
      </c>
      <c r="F65" s="7">
        <f ca="1">IFERROR(__xludf.DUMMYFUNCTION("""COMPUTED_VALUE"""),1323)</f>
        <v>1323</v>
      </c>
      <c r="G65" s="7">
        <f ca="1">IFERROR(__xludf.DUMMYFUNCTION("""COMPUTED_VALUE"""),2062)</f>
        <v>2062</v>
      </c>
      <c r="H65" s="7">
        <f ca="1">IFERROR(__xludf.DUMMYFUNCTION("""COMPUTED_VALUE"""),4417)</f>
        <v>4417</v>
      </c>
      <c r="I65" s="7">
        <f ca="1">IFERROR(__xludf.DUMMYFUNCTION("""COMPUTED_VALUE"""),62)</f>
        <v>62</v>
      </c>
      <c r="J65" s="7">
        <f ca="1">IFERROR(__xludf.DUMMYFUNCTION("""COMPUTED_VALUE"""),3385)</f>
        <v>3385</v>
      </c>
      <c r="K65" s="7">
        <f ca="1">IFERROR(__xludf.DUMMYFUNCTION("""COMPUTED_VALUE"""),60)</f>
        <v>60</v>
      </c>
      <c r="L65" s="7"/>
      <c r="M65" s="7"/>
      <c r="N65" s="7"/>
    </row>
    <row r="66" spans="1:14" ht="13.2" x14ac:dyDescent="0.25">
      <c r="A66" s="6">
        <f ca="1">IFERROR(__xludf.DUMMYFUNCTION("""COMPUTED_VALUE"""),43955)</f>
        <v>43955</v>
      </c>
      <c r="B66" s="7">
        <f ca="1">IFERROR(__xludf.DUMMYFUNCTION("""COMPUTED_VALUE"""),8)</f>
        <v>8</v>
      </c>
      <c r="C66" s="8">
        <f ca="1">IFERROR(__xludf.DUMMYFUNCTION("""COMPUTED_VALUE"""),43955.3333333333)</f>
        <v>43955.333333333299</v>
      </c>
      <c r="D66" s="7">
        <f ca="1">IFERROR(__xludf.DUMMYFUNCTION("""COMPUTED_VALUE"""),412)</f>
        <v>412</v>
      </c>
      <c r="E66" s="7">
        <f ca="1">IFERROR(__xludf.DUMMYFUNCTION("""COMPUTED_VALUE"""),650)</f>
        <v>650</v>
      </c>
      <c r="F66" s="7">
        <f ca="1">IFERROR(__xludf.DUMMYFUNCTION("""COMPUTED_VALUE"""),1330)</f>
        <v>1330</v>
      </c>
      <c r="G66" s="7">
        <f ca="1">IFERROR(__xludf.DUMMYFUNCTION("""COMPUTED_VALUE"""),2080)</f>
        <v>2080</v>
      </c>
      <c r="H66" s="7">
        <f ca="1">IFERROR(__xludf.DUMMYFUNCTION("""COMPUTED_VALUE"""),4472)</f>
        <v>4472</v>
      </c>
      <c r="I66" s="7">
        <f ca="1">IFERROR(__xludf.DUMMYFUNCTION("""COMPUTED_VALUE"""),55)</f>
        <v>55</v>
      </c>
      <c r="J66" s="7">
        <f ca="1">IFERROR(__xludf.DUMMYFUNCTION("""COMPUTED_VALUE"""),3410)</f>
        <v>3410</v>
      </c>
      <c r="K66" s="7">
        <f ca="1">IFERROR(__xludf.DUMMYFUNCTION("""COMPUTED_VALUE"""),28)</f>
        <v>28</v>
      </c>
      <c r="L66" s="7"/>
      <c r="M66" s="7"/>
      <c r="N66" s="7"/>
    </row>
    <row r="67" spans="1:14" ht="13.2" x14ac:dyDescent="0.25">
      <c r="A67" s="6">
        <f ca="1">IFERROR(__xludf.DUMMYFUNCTION("""COMPUTED_VALUE"""),43956)</f>
        <v>43956</v>
      </c>
      <c r="B67" s="7">
        <f ca="1">IFERROR(__xludf.DUMMYFUNCTION("""COMPUTED_VALUE"""),8)</f>
        <v>8</v>
      </c>
      <c r="C67" s="8">
        <f ca="1">IFERROR(__xludf.DUMMYFUNCTION("""COMPUTED_VALUE"""),43956.3333333333)</f>
        <v>43956.333333333299</v>
      </c>
      <c r="D67" s="7">
        <f ca="1">IFERROR(__xludf.DUMMYFUNCTION("""COMPUTED_VALUE"""),414)</f>
        <v>414</v>
      </c>
      <c r="E67" s="7">
        <f ca="1">IFERROR(__xludf.DUMMYFUNCTION("""COMPUTED_VALUE"""),711)</f>
        <v>711</v>
      </c>
      <c r="F67" s="7">
        <f ca="1">IFERROR(__xludf.DUMMYFUNCTION("""COMPUTED_VALUE"""),1370)</f>
        <v>1370</v>
      </c>
      <c r="G67" s="7">
        <f ca="1">IFERROR(__xludf.DUMMYFUNCTION("""COMPUTED_VALUE"""),2146)</f>
        <v>2146</v>
      </c>
      <c r="H67" s="7">
        <f ca="1">IFERROR(__xludf.DUMMYFUNCTION("""COMPUTED_VALUE"""),4641)</f>
        <v>4641</v>
      </c>
      <c r="I67" s="7">
        <f ca="1">IFERROR(__xludf.DUMMYFUNCTION("""COMPUTED_VALUE"""),169)</f>
        <v>169</v>
      </c>
      <c r="J67" s="7">
        <f ca="1">IFERROR(__xludf.DUMMYFUNCTION("""COMPUTED_VALUE"""),3516)</f>
        <v>3516</v>
      </c>
      <c r="K67" s="7">
        <f ca="1">IFERROR(__xludf.DUMMYFUNCTION("""COMPUTED_VALUE"""),61)</f>
        <v>61</v>
      </c>
      <c r="L67" s="7"/>
      <c r="M67" s="7"/>
      <c r="N67" s="7"/>
    </row>
    <row r="68" spans="1:14" ht="13.2" x14ac:dyDescent="0.25">
      <c r="A68" s="6">
        <f ca="1">IFERROR(__xludf.DUMMYFUNCTION("""COMPUTED_VALUE"""),43957)</f>
        <v>43957</v>
      </c>
      <c r="B68" s="7">
        <f ca="1">IFERROR(__xludf.DUMMYFUNCTION("""COMPUTED_VALUE"""),8)</f>
        <v>8</v>
      </c>
      <c r="C68" s="8">
        <f ca="1">IFERROR(__xludf.DUMMYFUNCTION("""COMPUTED_VALUE"""),43957.3333333333)</f>
        <v>43957.333333333299</v>
      </c>
      <c r="D68" s="7">
        <f ca="1">IFERROR(__xludf.DUMMYFUNCTION("""COMPUTED_VALUE"""),420)</f>
        <v>420</v>
      </c>
      <c r="E68" s="7">
        <f ca="1">IFERROR(__xludf.DUMMYFUNCTION("""COMPUTED_VALUE"""),713)</f>
        <v>713</v>
      </c>
      <c r="F68" s="7">
        <f ca="1">IFERROR(__xludf.DUMMYFUNCTION("""COMPUTED_VALUE"""),1381)</f>
        <v>1381</v>
      </c>
      <c r="G68" s="7">
        <f ca="1">IFERROR(__xludf.DUMMYFUNCTION("""COMPUTED_VALUE"""),2195)</f>
        <v>2195</v>
      </c>
      <c r="H68" s="7">
        <f ca="1">IFERROR(__xludf.DUMMYFUNCTION("""COMPUTED_VALUE"""),4709)</f>
        <v>4709</v>
      </c>
      <c r="I68" s="7">
        <f ca="1">IFERROR(__xludf.DUMMYFUNCTION("""COMPUTED_VALUE"""),68)</f>
        <v>68</v>
      </c>
      <c r="J68" s="7">
        <f ca="1">IFERROR(__xludf.DUMMYFUNCTION("""COMPUTED_VALUE"""),3576)</f>
        <v>3576</v>
      </c>
      <c r="K68" s="7">
        <f ca="1">IFERROR(__xludf.DUMMYFUNCTION("""COMPUTED_VALUE"""),2)</f>
        <v>2</v>
      </c>
      <c r="L68" s="7"/>
      <c r="M68" s="7"/>
      <c r="N68" s="7"/>
    </row>
    <row r="69" spans="1:14" ht="13.2" x14ac:dyDescent="0.25">
      <c r="A69" s="6">
        <f ca="1">IFERROR(__xludf.DUMMYFUNCTION("""COMPUTED_VALUE"""),43958)</f>
        <v>43958</v>
      </c>
      <c r="B69" s="7">
        <f ca="1">IFERROR(__xludf.DUMMYFUNCTION("""COMPUTED_VALUE"""),8)</f>
        <v>8</v>
      </c>
      <c r="C69" s="8">
        <f ca="1">IFERROR(__xludf.DUMMYFUNCTION("""COMPUTED_VALUE"""),43958.3333333333)</f>
        <v>43958.333333333299</v>
      </c>
      <c r="D69" s="7">
        <f ca="1">IFERROR(__xludf.DUMMYFUNCTION("""COMPUTED_VALUE"""),430)</f>
        <v>430</v>
      </c>
      <c r="E69" s="7">
        <f ca="1">IFERROR(__xludf.DUMMYFUNCTION("""COMPUTED_VALUE"""),718)</f>
        <v>718</v>
      </c>
      <c r="F69" s="7">
        <f ca="1">IFERROR(__xludf.DUMMYFUNCTION("""COMPUTED_VALUE"""),1431)</f>
        <v>1431</v>
      </c>
      <c r="G69" s="7">
        <f ca="1">IFERROR(__xludf.DUMMYFUNCTION("""COMPUTED_VALUE"""),2196)</f>
        <v>2196</v>
      </c>
      <c r="H69" s="7">
        <f ca="1">IFERROR(__xludf.DUMMYFUNCTION("""COMPUTED_VALUE"""),4775)</f>
        <v>4775</v>
      </c>
      <c r="I69" s="7">
        <f ca="1">IFERROR(__xludf.DUMMYFUNCTION("""COMPUTED_VALUE"""),66)</f>
        <v>66</v>
      </c>
      <c r="J69" s="7">
        <f ca="1">IFERROR(__xludf.DUMMYFUNCTION("""COMPUTED_VALUE"""),3627)</f>
        <v>3627</v>
      </c>
      <c r="K69" s="7">
        <f ca="1">IFERROR(__xludf.DUMMYFUNCTION("""COMPUTED_VALUE"""),5)</f>
        <v>5</v>
      </c>
      <c r="L69" s="7"/>
      <c r="M69" s="7"/>
      <c r="N69" s="7"/>
    </row>
    <row r="70" spans="1:14" ht="13.2" x14ac:dyDescent="0.25">
      <c r="A70" s="6">
        <f ca="1">IFERROR(__xludf.DUMMYFUNCTION("""COMPUTED_VALUE"""),43959)</f>
        <v>43959</v>
      </c>
      <c r="B70" s="7">
        <f ca="1">IFERROR(__xludf.DUMMYFUNCTION("""COMPUTED_VALUE"""),8)</f>
        <v>8</v>
      </c>
      <c r="C70" s="8">
        <f ca="1">IFERROR(__xludf.DUMMYFUNCTION("""COMPUTED_VALUE"""),43959.3333333333)</f>
        <v>43959.333333333299</v>
      </c>
      <c r="D70" s="7">
        <f ca="1">IFERROR(__xludf.DUMMYFUNCTION("""COMPUTED_VALUE"""),431)</f>
        <v>431</v>
      </c>
      <c r="E70" s="7">
        <f ca="1">IFERROR(__xludf.DUMMYFUNCTION("""COMPUTED_VALUE"""),763)</f>
        <v>763</v>
      </c>
      <c r="F70" s="7">
        <f ca="1">IFERROR(__xludf.DUMMYFUNCTION("""COMPUTED_VALUE"""),1426)</f>
        <v>1426</v>
      </c>
      <c r="G70" s="7">
        <f ca="1">IFERROR(__xludf.DUMMYFUNCTION("""COMPUTED_VALUE"""),2281)</f>
        <v>2281</v>
      </c>
      <c r="H70" s="7">
        <f ca="1">IFERROR(__xludf.DUMMYFUNCTION("""COMPUTED_VALUE"""),4901)</f>
        <v>4901</v>
      </c>
      <c r="I70" s="7">
        <f ca="1">IFERROR(__xludf.DUMMYFUNCTION("""COMPUTED_VALUE"""),126)</f>
        <v>126</v>
      </c>
      <c r="J70" s="7">
        <f ca="1">IFERROR(__xludf.DUMMYFUNCTION("""COMPUTED_VALUE"""),3707)</f>
        <v>3707</v>
      </c>
      <c r="K70" s="7">
        <f ca="1">IFERROR(__xludf.DUMMYFUNCTION("""COMPUTED_VALUE"""),45)</f>
        <v>45</v>
      </c>
      <c r="L70" s="7"/>
      <c r="M70" s="7"/>
      <c r="N70" s="7"/>
    </row>
    <row r="71" spans="1:14" ht="13.2" x14ac:dyDescent="0.25">
      <c r="A71" s="6">
        <f ca="1">IFERROR(__xludf.DUMMYFUNCTION("""COMPUTED_VALUE"""),43960)</f>
        <v>43960</v>
      </c>
      <c r="B71" s="7">
        <f ca="1">IFERROR(__xludf.DUMMYFUNCTION("""COMPUTED_VALUE"""),8)</f>
        <v>8</v>
      </c>
      <c r="C71" s="8">
        <f ca="1">IFERROR(__xludf.DUMMYFUNCTION("""COMPUTED_VALUE"""),43960.3333333333)</f>
        <v>43960.333333333299</v>
      </c>
      <c r="D71" s="7">
        <f ca="1">IFERROR(__xludf.DUMMYFUNCTION("""COMPUTED_VALUE"""),437)</f>
        <v>437</v>
      </c>
      <c r="E71" s="7">
        <f ca="1">IFERROR(__xludf.DUMMYFUNCTION("""COMPUTED_VALUE"""),767)</f>
        <v>767</v>
      </c>
      <c r="F71" s="7">
        <f ca="1">IFERROR(__xludf.DUMMYFUNCTION("""COMPUTED_VALUE"""),1442)</f>
        <v>1442</v>
      </c>
      <c r="G71" s="7">
        <f ca="1">IFERROR(__xludf.DUMMYFUNCTION("""COMPUTED_VALUE"""),2312)</f>
        <v>2312</v>
      </c>
      <c r="H71" s="7">
        <f ca="1">IFERROR(__xludf.DUMMYFUNCTION("""COMPUTED_VALUE"""),4958)</f>
        <v>4958</v>
      </c>
      <c r="I71" s="7">
        <f ca="1">IFERROR(__xludf.DUMMYFUNCTION("""COMPUTED_VALUE"""),57)</f>
        <v>57</v>
      </c>
      <c r="J71" s="7">
        <f ca="1">IFERROR(__xludf.DUMMYFUNCTION("""COMPUTED_VALUE"""),3754)</f>
        <v>3754</v>
      </c>
      <c r="K71" s="7">
        <f ca="1">IFERROR(__xludf.DUMMYFUNCTION("""COMPUTED_VALUE"""),4)</f>
        <v>4</v>
      </c>
      <c r="L71" s="7"/>
      <c r="M71" s="7"/>
      <c r="N71" s="7"/>
    </row>
    <row r="72" spans="1:14" ht="13.2" x14ac:dyDescent="0.25">
      <c r="A72" s="6">
        <f ca="1">IFERROR(__xludf.DUMMYFUNCTION("""COMPUTED_VALUE"""),43961)</f>
        <v>43961</v>
      </c>
      <c r="B72" s="7">
        <f ca="1">IFERROR(__xludf.DUMMYFUNCTION("""COMPUTED_VALUE"""),8)</f>
        <v>8</v>
      </c>
      <c r="C72" s="8">
        <f ca="1">IFERROR(__xludf.DUMMYFUNCTION("""COMPUTED_VALUE"""),43961.3333333333)</f>
        <v>43961.333333333299</v>
      </c>
      <c r="D72" s="7">
        <f ca="1">IFERROR(__xludf.DUMMYFUNCTION("""COMPUTED_VALUE"""),444)</f>
        <v>444</v>
      </c>
      <c r="E72" s="7">
        <f ca="1">IFERROR(__xludf.DUMMYFUNCTION("""COMPUTED_VALUE"""),803)</f>
        <v>803</v>
      </c>
      <c r="F72" s="7">
        <f ca="1">IFERROR(__xludf.DUMMYFUNCTION("""COMPUTED_VALUE"""),1533)</f>
        <v>1533</v>
      </c>
      <c r="G72" s="7">
        <f ca="1">IFERROR(__xludf.DUMMYFUNCTION("""COMPUTED_VALUE"""),2360)</f>
        <v>2360</v>
      </c>
      <c r="H72" s="7">
        <f ca="1">IFERROR(__xludf.DUMMYFUNCTION("""COMPUTED_VALUE"""),5140)</f>
        <v>5140</v>
      </c>
      <c r="I72" s="7">
        <f ca="1">IFERROR(__xludf.DUMMYFUNCTION("""COMPUTED_VALUE"""),182)</f>
        <v>182</v>
      </c>
      <c r="J72" s="7">
        <f ca="1">IFERROR(__xludf.DUMMYFUNCTION("""COMPUTED_VALUE"""),3893)</f>
        <v>3893</v>
      </c>
      <c r="K72" s="7">
        <f ca="1">IFERROR(__xludf.DUMMYFUNCTION("""COMPUTED_VALUE"""),36)</f>
        <v>36</v>
      </c>
      <c r="L72" s="7"/>
      <c r="M72" s="7"/>
      <c r="N72" s="7"/>
    </row>
    <row r="73" spans="1:14" ht="13.2" x14ac:dyDescent="0.25">
      <c r="A73" s="6">
        <f ca="1">IFERROR(__xludf.DUMMYFUNCTION("""COMPUTED_VALUE"""),43962)</f>
        <v>43962</v>
      </c>
      <c r="B73" s="7">
        <f ca="1">IFERROR(__xludf.DUMMYFUNCTION("""COMPUTED_VALUE"""),8)</f>
        <v>8</v>
      </c>
      <c r="C73" s="8">
        <f ca="1">IFERROR(__xludf.DUMMYFUNCTION("""COMPUTED_VALUE"""),43962.3333333333)</f>
        <v>43962.333333333299</v>
      </c>
      <c r="D73" s="7">
        <f ca="1">IFERROR(__xludf.DUMMYFUNCTION("""COMPUTED_VALUE"""),453)</f>
        <v>453</v>
      </c>
      <c r="E73" s="7">
        <f ca="1">IFERROR(__xludf.DUMMYFUNCTION("""COMPUTED_VALUE"""),836)</f>
        <v>836</v>
      </c>
      <c r="F73" s="7">
        <f ca="1">IFERROR(__xludf.DUMMYFUNCTION("""COMPUTED_VALUE"""),1648)</f>
        <v>1648</v>
      </c>
      <c r="G73" s="7">
        <f ca="1">IFERROR(__xludf.DUMMYFUNCTION("""COMPUTED_VALUE"""),2258)</f>
        <v>2258</v>
      </c>
      <c r="H73" s="7">
        <f ca="1">IFERROR(__xludf.DUMMYFUNCTION("""COMPUTED_VALUE"""),5195)</f>
        <v>5195</v>
      </c>
      <c r="I73" s="7">
        <f ca="1">IFERROR(__xludf.DUMMYFUNCTION("""COMPUTED_VALUE"""),55)</f>
        <v>55</v>
      </c>
      <c r="J73" s="7">
        <f ca="1">IFERROR(__xludf.DUMMYFUNCTION("""COMPUTED_VALUE"""),3906)</f>
        <v>3906</v>
      </c>
      <c r="K73" s="7">
        <f ca="1">IFERROR(__xludf.DUMMYFUNCTION("""COMPUTED_VALUE"""),33)</f>
        <v>33</v>
      </c>
      <c r="L73" s="7"/>
      <c r="M73" s="7"/>
      <c r="N73" s="7"/>
    </row>
    <row r="74" spans="1:14" ht="13.2" x14ac:dyDescent="0.25">
      <c r="A74" s="6">
        <f ca="1">IFERROR(__xludf.DUMMYFUNCTION("""COMPUTED_VALUE"""),43963)</f>
        <v>43963</v>
      </c>
      <c r="B74" s="7">
        <f ca="1">IFERROR(__xludf.DUMMYFUNCTION("""COMPUTED_VALUE"""),8)</f>
        <v>8</v>
      </c>
      <c r="C74" s="8">
        <f ca="1">IFERROR(__xludf.DUMMYFUNCTION("""COMPUTED_VALUE"""),43963.3333333333)</f>
        <v>43963.333333333299</v>
      </c>
      <c r="D74" s="7">
        <f ca="1">IFERROR(__xludf.DUMMYFUNCTION("""COMPUTED_VALUE"""),457)</f>
        <v>457</v>
      </c>
      <c r="E74" s="7">
        <f ca="1">IFERROR(__xludf.DUMMYFUNCTION("""COMPUTED_VALUE"""),1262)</f>
        <v>1262</v>
      </c>
      <c r="F74" s="7">
        <f ca="1">IFERROR(__xludf.DUMMYFUNCTION("""COMPUTED_VALUE"""),1741)</f>
        <v>1741</v>
      </c>
      <c r="G74" s="7">
        <f ca="1">IFERROR(__xludf.DUMMYFUNCTION("""COMPUTED_VALUE"""),1843)</f>
        <v>1843</v>
      </c>
      <c r="H74" s="7">
        <f ca="1">IFERROR(__xludf.DUMMYFUNCTION("""COMPUTED_VALUE"""),5303)</f>
        <v>5303</v>
      </c>
      <c r="I74" s="7">
        <f ca="1">IFERROR(__xludf.DUMMYFUNCTION("""COMPUTED_VALUE"""),108)</f>
        <v>108</v>
      </c>
      <c r="J74" s="7">
        <f ca="1">IFERROR(__xludf.DUMMYFUNCTION("""COMPUTED_VALUE"""),3584)</f>
        <v>3584</v>
      </c>
      <c r="K74" s="7">
        <f ca="1">IFERROR(__xludf.DUMMYFUNCTION("""COMPUTED_VALUE"""),426)</f>
        <v>426</v>
      </c>
      <c r="L74" s="7"/>
      <c r="M74" s="7"/>
      <c r="N74" s="7"/>
    </row>
    <row r="75" spans="1:14" ht="13.2" x14ac:dyDescent="0.25">
      <c r="A75" s="6">
        <f ca="1">IFERROR(__xludf.DUMMYFUNCTION("""COMPUTED_VALUE"""),43964)</f>
        <v>43964</v>
      </c>
      <c r="B75" s="7">
        <f ca="1">IFERROR(__xludf.DUMMYFUNCTION("""COMPUTED_VALUE"""),8)</f>
        <v>8</v>
      </c>
      <c r="C75" s="8">
        <f ca="1">IFERROR(__xludf.DUMMYFUNCTION("""COMPUTED_VALUE"""),43964.3333333333)</f>
        <v>43964.333333333299</v>
      </c>
      <c r="D75" s="7">
        <f ca="1">IFERROR(__xludf.DUMMYFUNCTION("""COMPUTED_VALUE"""),461)</f>
        <v>461</v>
      </c>
      <c r="E75" s="7">
        <f ca="1">IFERROR(__xludf.DUMMYFUNCTION("""COMPUTED_VALUE"""),1277)</f>
        <v>1277</v>
      </c>
      <c r="F75" s="7">
        <f ca="1">IFERROR(__xludf.DUMMYFUNCTION("""COMPUTED_VALUE"""),1866)</f>
        <v>1866</v>
      </c>
      <c r="G75" s="7">
        <f ca="1">IFERROR(__xludf.DUMMYFUNCTION("""COMPUTED_VALUE"""),1833)</f>
        <v>1833</v>
      </c>
      <c r="H75" s="7">
        <f ca="1">IFERROR(__xludf.DUMMYFUNCTION("""COMPUTED_VALUE"""),5437)</f>
        <v>5437</v>
      </c>
      <c r="I75" s="7">
        <f ca="1">IFERROR(__xludf.DUMMYFUNCTION("""COMPUTED_VALUE"""),134)</f>
        <v>134</v>
      </c>
      <c r="J75" s="7">
        <f ca="1">IFERROR(__xludf.DUMMYFUNCTION("""COMPUTED_VALUE"""),3699)</f>
        <v>3699</v>
      </c>
      <c r="K75" s="7">
        <f ca="1">IFERROR(__xludf.DUMMYFUNCTION("""COMPUTED_VALUE"""),15)</f>
        <v>15</v>
      </c>
      <c r="L75" s="7"/>
      <c r="M75" s="7"/>
      <c r="N75" s="7"/>
    </row>
    <row r="76" spans="1:14" ht="13.2" x14ac:dyDescent="0.25">
      <c r="A76" s="6">
        <f ca="1">IFERROR(__xludf.DUMMYFUNCTION("""COMPUTED_VALUE"""),43965)</f>
        <v>43965</v>
      </c>
      <c r="B76" s="7">
        <f ca="1">IFERROR(__xludf.DUMMYFUNCTION("""COMPUTED_VALUE"""),8)</f>
        <v>8</v>
      </c>
      <c r="C76" s="8">
        <f ca="1">IFERROR(__xludf.DUMMYFUNCTION("""COMPUTED_VALUE"""),43965.3333333333)</f>
        <v>43965.333333333299</v>
      </c>
      <c r="D76" s="7">
        <f ca="1">IFERROR(__xludf.DUMMYFUNCTION("""COMPUTED_VALUE"""),466)</f>
        <v>466</v>
      </c>
      <c r="E76" s="7">
        <f ca="1">IFERROR(__xludf.DUMMYFUNCTION("""COMPUTED_VALUE"""),1279)</f>
        <v>1279</v>
      </c>
      <c r="F76" s="7">
        <f ca="1">IFERROR(__xludf.DUMMYFUNCTION("""COMPUTED_VALUE"""),1995)</f>
        <v>1995</v>
      </c>
      <c r="G76" s="7">
        <f ca="1">IFERROR(__xludf.DUMMYFUNCTION("""COMPUTED_VALUE"""),1877)</f>
        <v>1877</v>
      </c>
      <c r="H76" s="7">
        <f ca="1">IFERROR(__xludf.DUMMYFUNCTION("""COMPUTED_VALUE"""),5617)</f>
        <v>5617</v>
      </c>
      <c r="I76" s="7">
        <f ca="1">IFERROR(__xludf.DUMMYFUNCTION("""COMPUTED_VALUE"""),180)</f>
        <v>180</v>
      </c>
      <c r="J76" s="7">
        <f ca="1">IFERROR(__xludf.DUMMYFUNCTION("""COMPUTED_VALUE"""),3872)</f>
        <v>3872</v>
      </c>
      <c r="K76" s="7">
        <f ca="1">IFERROR(__xludf.DUMMYFUNCTION("""COMPUTED_VALUE"""),2)</f>
        <v>2</v>
      </c>
      <c r="L76" s="7"/>
      <c r="M76" s="7"/>
      <c r="N76" s="7"/>
    </row>
    <row r="77" spans="1:14" ht="13.2" x14ac:dyDescent="0.25">
      <c r="A77" s="6">
        <f ca="1">IFERROR(__xludf.DUMMYFUNCTION("""COMPUTED_VALUE"""),43966)</f>
        <v>43966</v>
      </c>
      <c r="B77" s="7">
        <f ca="1">IFERROR(__xludf.DUMMYFUNCTION("""COMPUTED_VALUE"""),8)</f>
        <v>8</v>
      </c>
      <c r="C77" s="8">
        <f ca="1">IFERROR(__xludf.DUMMYFUNCTION("""COMPUTED_VALUE"""),43966.3333333333)</f>
        <v>43966.333333333299</v>
      </c>
      <c r="D77" s="7">
        <f ca="1">IFERROR(__xludf.DUMMYFUNCTION("""COMPUTED_VALUE"""),474)</f>
        <v>474</v>
      </c>
      <c r="E77" s="7">
        <f ca="1">IFERROR(__xludf.DUMMYFUNCTION("""COMPUTED_VALUE"""),1286)</f>
        <v>1286</v>
      </c>
      <c r="F77" s="7">
        <f ca="1">IFERROR(__xludf.DUMMYFUNCTION("""COMPUTED_VALUE"""),2019)</f>
        <v>2019</v>
      </c>
      <c r="G77" s="7">
        <f ca="1">IFERROR(__xludf.DUMMYFUNCTION("""COMPUTED_VALUE"""),1900)</f>
        <v>1900</v>
      </c>
      <c r="H77" s="7">
        <f ca="1">IFERROR(__xludf.DUMMYFUNCTION("""COMPUTED_VALUE"""),5679)</f>
        <v>5679</v>
      </c>
      <c r="I77" s="7">
        <f ca="1">IFERROR(__xludf.DUMMYFUNCTION("""COMPUTED_VALUE"""),62)</f>
        <v>62</v>
      </c>
      <c r="J77" s="7">
        <f ca="1">IFERROR(__xludf.DUMMYFUNCTION("""COMPUTED_VALUE"""),3919)</f>
        <v>3919</v>
      </c>
      <c r="K77" s="7">
        <f ca="1">IFERROR(__xludf.DUMMYFUNCTION("""COMPUTED_VALUE"""),7)</f>
        <v>7</v>
      </c>
      <c r="L77" s="7"/>
      <c r="M77" s="7"/>
      <c r="N77" s="7"/>
    </row>
    <row r="78" spans="1:14" ht="13.2" x14ac:dyDescent="0.25">
      <c r="A78" s="6">
        <f ca="1">IFERROR(__xludf.DUMMYFUNCTION("""COMPUTED_VALUE"""),43967)</f>
        <v>43967</v>
      </c>
      <c r="B78" s="7">
        <f ca="1">IFERROR(__xludf.DUMMYFUNCTION("""COMPUTED_VALUE"""),8)</f>
        <v>8</v>
      </c>
      <c r="C78" s="8">
        <f ca="1">IFERROR(__xludf.DUMMYFUNCTION("""COMPUTED_VALUE"""),43967.3333333333)</f>
        <v>43967.333333333299</v>
      </c>
      <c r="D78" s="7">
        <f ca="1">IFERROR(__xludf.DUMMYFUNCTION("""COMPUTED_VALUE"""),475)</f>
        <v>475</v>
      </c>
      <c r="E78" s="7">
        <f ca="1">IFERROR(__xludf.DUMMYFUNCTION("""COMPUTED_VALUE"""),1292)</f>
        <v>1292</v>
      </c>
      <c r="F78" s="7">
        <f ca="1">IFERROR(__xludf.DUMMYFUNCTION("""COMPUTED_VALUE"""),2120)</f>
        <v>2120</v>
      </c>
      <c r="G78" s="7">
        <f ca="1">IFERROR(__xludf.DUMMYFUNCTION("""COMPUTED_VALUE"""),1908)</f>
        <v>1908</v>
      </c>
      <c r="H78" s="7">
        <f ca="1">IFERROR(__xludf.DUMMYFUNCTION("""COMPUTED_VALUE"""),5795)</f>
        <v>5795</v>
      </c>
      <c r="I78" s="7">
        <f ca="1">IFERROR(__xludf.DUMMYFUNCTION("""COMPUTED_VALUE"""),116)</f>
        <v>116</v>
      </c>
      <c r="J78" s="7">
        <f ca="1">IFERROR(__xludf.DUMMYFUNCTION("""COMPUTED_VALUE"""),4028)</f>
        <v>4028</v>
      </c>
      <c r="K78" s="7">
        <f ca="1">IFERROR(__xludf.DUMMYFUNCTION("""COMPUTED_VALUE"""),6)</f>
        <v>6</v>
      </c>
      <c r="L78" s="7"/>
      <c r="M78" s="7"/>
      <c r="N78" s="7"/>
    </row>
    <row r="79" spans="1:14" ht="13.2" x14ac:dyDescent="0.25">
      <c r="A79" s="6">
        <f ca="1">IFERROR(__xludf.DUMMYFUNCTION("""COMPUTED_VALUE"""),43968)</f>
        <v>43968</v>
      </c>
      <c r="B79" s="7">
        <f ca="1">IFERROR(__xludf.DUMMYFUNCTION("""COMPUTED_VALUE"""),8)</f>
        <v>8</v>
      </c>
      <c r="C79" s="8">
        <f ca="1">IFERROR(__xludf.DUMMYFUNCTION("""COMPUTED_VALUE"""),43968.3333333333)</f>
        <v>43968.333333333299</v>
      </c>
      <c r="D79" s="7">
        <f ca="1">IFERROR(__xludf.DUMMYFUNCTION("""COMPUTED_VALUE"""),478)</f>
        <v>478</v>
      </c>
      <c r="E79" s="7">
        <f ca="1">IFERROR(__xludf.DUMMYFUNCTION("""COMPUTED_VALUE"""),1295)</f>
        <v>1295</v>
      </c>
      <c r="F79" s="7">
        <f ca="1">IFERROR(__xludf.DUMMYFUNCTION("""COMPUTED_VALUE"""),2217)</f>
        <v>2217</v>
      </c>
      <c r="G79" s="7">
        <f ca="1">IFERROR(__xludf.DUMMYFUNCTION("""COMPUTED_VALUE"""),1932)</f>
        <v>1932</v>
      </c>
      <c r="H79" s="7">
        <f ca="1">IFERROR(__xludf.DUMMYFUNCTION("""COMPUTED_VALUE"""),5922)</f>
        <v>5922</v>
      </c>
      <c r="I79" s="7">
        <f ca="1">IFERROR(__xludf.DUMMYFUNCTION("""COMPUTED_VALUE"""),127)</f>
        <v>127</v>
      </c>
      <c r="J79" s="7">
        <f ca="1">IFERROR(__xludf.DUMMYFUNCTION("""COMPUTED_VALUE"""),4149)</f>
        <v>4149</v>
      </c>
      <c r="K79" s="7">
        <f ca="1">IFERROR(__xludf.DUMMYFUNCTION("""COMPUTED_VALUE"""),3)</f>
        <v>3</v>
      </c>
      <c r="L79" s="7"/>
      <c r="M79" s="7"/>
      <c r="N79" s="7"/>
    </row>
    <row r="80" spans="1:14" ht="13.2" x14ac:dyDescent="0.25">
      <c r="A80" s="6">
        <f ca="1">IFERROR(__xludf.DUMMYFUNCTION("""COMPUTED_VALUE"""),43969)</f>
        <v>43969</v>
      </c>
      <c r="B80" s="7">
        <f ca="1">IFERROR(__xludf.DUMMYFUNCTION("""COMPUTED_VALUE"""),8)</f>
        <v>8</v>
      </c>
      <c r="C80" s="8">
        <f ca="1">IFERROR(__xludf.DUMMYFUNCTION("""COMPUTED_VALUE"""),43969.3333333333)</f>
        <v>43969.333333333299</v>
      </c>
      <c r="D80" s="7">
        <f ca="1">IFERROR(__xludf.DUMMYFUNCTION("""COMPUTED_VALUE"""),483)</f>
        <v>483</v>
      </c>
      <c r="E80" s="7">
        <f ca="1">IFERROR(__xludf.DUMMYFUNCTION("""COMPUTED_VALUE"""),1301)</f>
        <v>1301</v>
      </c>
      <c r="F80" s="7">
        <f ca="1">IFERROR(__xludf.DUMMYFUNCTION("""COMPUTED_VALUE"""),2266)</f>
        <v>2266</v>
      </c>
      <c r="G80" s="7">
        <f ca="1">IFERROR(__xludf.DUMMYFUNCTION("""COMPUTED_VALUE"""),1946)</f>
        <v>1946</v>
      </c>
      <c r="H80" s="7">
        <f ca="1">IFERROR(__xludf.DUMMYFUNCTION("""COMPUTED_VALUE"""),5996)</f>
        <v>5996</v>
      </c>
      <c r="I80" s="7">
        <f ca="1">IFERROR(__xludf.DUMMYFUNCTION("""COMPUTED_VALUE"""),74)</f>
        <v>74</v>
      </c>
      <c r="J80" s="7">
        <f ca="1">IFERROR(__xludf.DUMMYFUNCTION("""COMPUTED_VALUE"""),4212)</f>
        <v>4212</v>
      </c>
      <c r="K80" s="7">
        <f ca="1">IFERROR(__xludf.DUMMYFUNCTION("""COMPUTED_VALUE"""),6)</f>
        <v>6</v>
      </c>
      <c r="L80" s="7"/>
      <c r="M80" s="7"/>
      <c r="N80" s="7"/>
    </row>
    <row r="81" spans="1:14" ht="13.2" x14ac:dyDescent="0.25">
      <c r="A81" s="6">
        <f ca="1">IFERROR(__xludf.DUMMYFUNCTION("""COMPUTED_VALUE"""),43970)</f>
        <v>43970</v>
      </c>
      <c r="B81" s="7">
        <f ca="1">IFERROR(__xludf.DUMMYFUNCTION("""COMPUTED_VALUE"""),8)</f>
        <v>8</v>
      </c>
      <c r="C81" s="8">
        <f ca="1">IFERROR(__xludf.DUMMYFUNCTION("""COMPUTED_VALUE"""),43970.3333333333)</f>
        <v>43970.333333333299</v>
      </c>
      <c r="D81" s="7">
        <f ca="1">IFERROR(__xludf.DUMMYFUNCTION("""COMPUTED_VALUE"""),487)</f>
        <v>487</v>
      </c>
      <c r="E81" s="7">
        <f ca="1">IFERROR(__xludf.DUMMYFUNCTION("""COMPUTED_VALUE"""),1417)</f>
        <v>1417</v>
      </c>
      <c r="F81" s="7">
        <f ca="1">IFERROR(__xludf.DUMMYFUNCTION("""COMPUTED_VALUE"""),2213)</f>
        <v>2213</v>
      </c>
      <c r="G81" s="7">
        <f ca="1">IFERROR(__xludf.DUMMYFUNCTION("""COMPUTED_VALUE"""),1936)</f>
        <v>1936</v>
      </c>
      <c r="H81" s="7">
        <f ca="1">IFERROR(__xludf.DUMMYFUNCTION("""COMPUTED_VALUE"""),6053)</f>
        <v>6053</v>
      </c>
      <c r="I81" s="7">
        <f ca="1">IFERROR(__xludf.DUMMYFUNCTION("""COMPUTED_VALUE"""),57)</f>
        <v>57</v>
      </c>
      <c r="J81" s="7">
        <f ca="1">IFERROR(__xludf.DUMMYFUNCTION("""COMPUTED_VALUE"""),4149)</f>
        <v>4149</v>
      </c>
      <c r="K81" s="7">
        <f ca="1">IFERROR(__xludf.DUMMYFUNCTION("""COMPUTED_VALUE"""),116)</f>
        <v>116</v>
      </c>
      <c r="L81" s="7"/>
      <c r="M81" s="7"/>
      <c r="N81" s="7"/>
    </row>
    <row r="82" spans="1:14" ht="13.2" x14ac:dyDescent="0.25">
      <c r="A82" s="6">
        <f ca="1">IFERROR(__xludf.DUMMYFUNCTION("""COMPUTED_VALUE"""),43971)</f>
        <v>43971</v>
      </c>
      <c r="B82" s="7">
        <f ca="1">IFERROR(__xludf.DUMMYFUNCTION("""COMPUTED_VALUE"""),8)</f>
        <v>8</v>
      </c>
      <c r="C82" s="8">
        <f ca="1">IFERROR(__xludf.DUMMYFUNCTION("""COMPUTED_VALUE"""),43971.3333333333)</f>
        <v>43971.333333333299</v>
      </c>
      <c r="D82" s="7">
        <f ca="1">IFERROR(__xludf.DUMMYFUNCTION("""COMPUTED_VALUE"""),493)</f>
        <v>493</v>
      </c>
      <c r="E82" s="7">
        <f ca="1">IFERROR(__xludf.DUMMYFUNCTION("""COMPUTED_VALUE"""),1425)</f>
        <v>1425</v>
      </c>
      <c r="F82" s="7">
        <f ca="1">IFERROR(__xludf.DUMMYFUNCTION("""COMPUTED_VALUE"""),2263)</f>
        <v>2263</v>
      </c>
      <c r="G82" s="7">
        <f ca="1">IFERROR(__xludf.DUMMYFUNCTION("""COMPUTED_VALUE"""),1969)</f>
        <v>1969</v>
      </c>
      <c r="H82" s="7">
        <f ca="1">IFERROR(__xludf.DUMMYFUNCTION("""COMPUTED_VALUE"""),6150)</f>
        <v>6150</v>
      </c>
      <c r="I82" s="7">
        <f ca="1">IFERROR(__xludf.DUMMYFUNCTION("""COMPUTED_VALUE"""),97)</f>
        <v>97</v>
      </c>
      <c r="J82" s="7">
        <f ca="1">IFERROR(__xludf.DUMMYFUNCTION("""COMPUTED_VALUE"""),4232)</f>
        <v>4232</v>
      </c>
      <c r="K82" s="7">
        <f ca="1">IFERROR(__xludf.DUMMYFUNCTION("""COMPUTED_VALUE"""),8)</f>
        <v>8</v>
      </c>
      <c r="L82" s="7"/>
      <c r="M82" s="7"/>
      <c r="N82" s="7"/>
    </row>
    <row r="83" spans="1:14" ht="13.2" x14ac:dyDescent="0.25">
      <c r="A83" s="6">
        <f ca="1">IFERROR(__xludf.DUMMYFUNCTION("""COMPUTED_VALUE"""),43972)</f>
        <v>43972</v>
      </c>
      <c r="B83" s="7">
        <f ca="1">IFERROR(__xludf.DUMMYFUNCTION("""COMPUTED_VALUE"""),8)</f>
        <v>8</v>
      </c>
      <c r="C83" s="8">
        <f ca="1">IFERROR(__xludf.DUMMYFUNCTION("""COMPUTED_VALUE"""),43972.3333333333)</f>
        <v>43972.333333333299</v>
      </c>
      <c r="D83" s="7">
        <f ca="1">IFERROR(__xludf.DUMMYFUNCTION("""COMPUTED_VALUE"""),498)</f>
        <v>498</v>
      </c>
      <c r="E83" s="7">
        <f ca="1">IFERROR(__xludf.DUMMYFUNCTION("""COMPUTED_VALUE"""),1536)</f>
        <v>1536</v>
      </c>
      <c r="F83" s="7">
        <f ca="1">IFERROR(__xludf.DUMMYFUNCTION("""COMPUTED_VALUE"""),2231)</f>
        <v>2231</v>
      </c>
      <c r="G83" s="7">
        <f ca="1">IFERROR(__xludf.DUMMYFUNCTION("""COMPUTED_VALUE"""),1955)</f>
        <v>1955</v>
      </c>
      <c r="H83" s="7">
        <f ca="1">IFERROR(__xludf.DUMMYFUNCTION("""COMPUTED_VALUE"""),6220)</f>
        <v>6220</v>
      </c>
      <c r="I83" s="7">
        <f ca="1">IFERROR(__xludf.DUMMYFUNCTION("""COMPUTED_VALUE"""),70)</f>
        <v>70</v>
      </c>
      <c r="J83" s="7">
        <f ca="1">IFERROR(__xludf.DUMMYFUNCTION("""COMPUTED_VALUE"""),4186)</f>
        <v>4186</v>
      </c>
      <c r="K83" s="7">
        <f ca="1">IFERROR(__xludf.DUMMYFUNCTION("""COMPUTED_VALUE"""),111)</f>
        <v>111</v>
      </c>
      <c r="L83" s="7"/>
      <c r="M83" s="7"/>
      <c r="N83" s="7"/>
    </row>
    <row r="84" spans="1:14" ht="13.2" x14ac:dyDescent="0.25">
      <c r="A84" s="6">
        <f ca="1">IFERROR(__xludf.DUMMYFUNCTION("""COMPUTED_VALUE"""),43973)</f>
        <v>43973</v>
      </c>
      <c r="B84" s="7">
        <f ca="1">IFERROR(__xludf.DUMMYFUNCTION("""COMPUTED_VALUE"""),8)</f>
        <v>8</v>
      </c>
      <c r="C84" s="8">
        <f ca="1">IFERROR(__xludf.DUMMYFUNCTION("""COMPUTED_VALUE"""),43973.3333333333)</f>
        <v>43973.333333333299</v>
      </c>
      <c r="D84" s="7">
        <f ca="1">IFERROR(__xludf.DUMMYFUNCTION("""COMPUTED_VALUE"""),501)</f>
        <v>501</v>
      </c>
      <c r="E84" s="7">
        <f ca="1">IFERROR(__xludf.DUMMYFUNCTION("""COMPUTED_VALUE"""),1558)</f>
        <v>1558</v>
      </c>
      <c r="F84" s="7">
        <f ca="1">IFERROR(__xludf.DUMMYFUNCTION("""COMPUTED_VALUE"""),2282)</f>
        <v>2282</v>
      </c>
      <c r="G84" s="7">
        <f ca="1">IFERROR(__xludf.DUMMYFUNCTION("""COMPUTED_VALUE"""),1975)</f>
        <v>1975</v>
      </c>
      <c r="H84" s="7">
        <f ca="1">IFERROR(__xludf.DUMMYFUNCTION("""COMPUTED_VALUE"""),6316)</f>
        <v>6316</v>
      </c>
      <c r="I84" s="7">
        <f ca="1">IFERROR(__xludf.DUMMYFUNCTION("""COMPUTED_VALUE"""),96)</f>
        <v>96</v>
      </c>
      <c r="J84" s="7">
        <f ca="1">IFERROR(__xludf.DUMMYFUNCTION("""COMPUTED_VALUE"""),4257)</f>
        <v>4257</v>
      </c>
      <c r="K84" s="7">
        <f ca="1">IFERROR(__xludf.DUMMYFUNCTION("""COMPUTED_VALUE"""),22)</f>
        <v>22</v>
      </c>
      <c r="L84" s="7"/>
      <c r="M84" s="7"/>
      <c r="N84" s="7"/>
    </row>
    <row r="85" spans="1:14" ht="13.2" x14ac:dyDescent="0.25">
      <c r="A85" s="6">
        <f ca="1">IFERROR(__xludf.DUMMYFUNCTION("""COMPUTED_VALUE"""),43974)</f>
        <v>43974</v>
      </c>
      <c r="B85" s="7">
        <f ca="1">IFERROR(__xludf.DUMMYFUNCTION("""COMPUTED_VALUE"""),8)</f>
        <v>8</v>
      </c>
      <c r="C85" s="8">
        <f ca="1">IFERROR(__xludf.DUMMYFUNCTION("""COMPUTED_VALUE"""),43974.3333333333)</f>
        <v>43974.333333333299</v>
      </c>
      <c r="D85" s="7">
        <f ca="1">IFERROR(__xludf.DUMMYFUNCTION("""COMPUTED_VALUE"""),504)</f>
        <v>504</v>
      </c>
      <c r="E85" s="7">
        <f ca="1">IFERROR(__xludf.DUMMYFUNCTION("""COMPUTED_VALUE"""),1587)</f>
        <v>1587</v>
      </c>
      <c r="F85" s="7">
        <f ca="1">IFERROR(__xludf.DUMMYFUNCTION("""COMPUTED_VALUE"""),2346)</f>
        <v>2346</v>
      </c>
      <c r="G85" s="7">
        <f ca="1">IFERROR(__xludf.DUMMYFUNCTION("""COMPUTED_VALUE"""),2006)</f>
        <v>2006</v>
      </c>
      <c r="H85" s="7">
        <f ca="1">IFERROR(__xludf.DUMMYFUNCTION("""COMPUTED_VALUE"""),6443)</f>
        <v>6443</v>
      </c>
      <c r="I85" s="7">
        <f ca="1">IFERROR(__xludf.DUMMYFUNCTION("""COMPUTED_VALUE"""),127)</f>
        <v>127</v>
      </c>
      <c r="J85" s="7">
        <f ca="1">IFERROR(__xludf.DUMMYFUNCTION("""COMPUTED_VALUE"""),4352)</f>
        <v>4352</v>
      </c>
      <c r="K85" s="7">
        <f ca="1">IFERROR(__xludf.DUMMYFUNCTION("""COMPUTED_VALUE"""),29)</f>
        <v>29</v>
      </c>
      <c r="L85" s="7"/>
      <c r="M85" s="7"/>
      <c r="N85" s="7"/>
    </row>
    <row r="86" spans="1:14" ht="13.2" x14ac:dyDescent="0.25">
      <c r="A86" s="6">
        <f ca="1">IFERROR(__xludf.DUMMYFUNCTION("""COMPUTED_VALUE"""),43975)</f>
        <v>43975</v>
      </c>
      <c r="B86" s="7">
        <f ca="1">IFERROR(__xludf.DUMMYFUNCTION("""COMPUTED_VALUE"""),8)</f>
        <v>8</v>
      </c>
      <c r="C86" s="8">
        <f ca="1">IFERROR(__xludf.DUMMYFUNCTION("""COMPUTED_VALUE"""),43975.3333333333)</f>
        <v>43975.333333333299</v>
      </c>
      <c r="D86" s="7">
        <f ca="1">IFERROR(__xludf.DUMMYFUNCTION("""COMPUTED_VALUE"""),505)</f>
        <v>505</v>
      </c>
      <c r="E86" s="7">
        <f ca="1">IFERROR(__xludf.DUMMYFUNCTION("""COMPUTED_VALUE"""),1594)</f>
        <v>1594</v>
      </c>
      <c r="F86" s="7">
        <f ca="1">IFERROR(__xludf.DUMMYFUNCTION("""COMPUTED_VALUE"""),2431)</f>
        <v>2431</v>
      </c>
      <c r="G86" s="7">
        <f ca="1">IFERROR(__xludf.DUMMYFUNCTION("""COMPUTED_VALUE"""),2031)</f>
        <v>2031</v>
      </c>
      <c r="H86" s="7">
        <f ca="1">IFERROR(__xludf.DUMMYFUNCTION("""COMPUTED_VALUE"""),6561)</f>
        <v>6561</v>
      </c>
      <c r="I86" s="7">
        <f ca="1">IFERROR(__xludf.DUMMYFUNCTION("""COMPUTED_VALUE"""),118)</f>
        <v>118</v>
      </c>
      <c r="J86" s="7">
        <f ca="1">IFERROR(__xludf.DUMMYFUNCTION("""COMPUTED_VALUE"""),4462)</f>
        <v>4462</v>
      </c>
      <c r="K86" s="7">
        <f ca="1">IFERROR(__xludf.DUMMYFUNCTION("""COMPUTED_VALUE"""),7)</f>
        <v>7</v>
      </c>
      <c r="L86" s="7"/>
      <c r="M86" s="7"/>
      <c r="N86" s="7"/>
    </row>
    <row r="87" spans="1:14" ht="13.2" x14ac:dyDescent="0.25">
      <c r="A87" s="6">
        <f ca="1">IFERROR(__xludf.DUMMYFUNCTION("""COMPUTED_VALUE"""),43976)</f>
        <v>43976</v>
      </c>
      <c r="B87" s="7">
        <f ca="1">IFERROR(__xludf.DUMMYFUNCTION("""COMPUTED_VALUE"""),8)</f>
        <v>8</v>
      </c>
      <c r="C87" s="8">
        <f ca="1">IFERROR(__xludf.DUMMYFUNCTION("""COMPUTED_VALUE"""),43976.3333333333)</f>
        <v>43976.333333333299</v>
      </c>
      <c r="D87" s="7">
        <f ca="1">IFERROR(__xludf.DUMMYFUNCTION("""COMPUTED_VALUE"""),506)</f>
        <v>506</v>
      </c>
      <c r="E87" s="7">
        <f ca="1">IFERROR(__xludf.DUMMYFUNCTION("""COMPUTED_VALUE"""),1648)</f>
        <v>1648</v>
      </c>
      <c r="F87" s="7">
        <f ca="1">IFERROR(__xludf.DUMMYFUNCTION("""COMPUTED_VALUE"""),2430)</f>
        <v>2430</v>
      </c>
      <c r="G87" s="7">
        <f ca="1">IFERROR(__xludf.DUMMYFUNCTION("""COMPUTED_VALUE"""),2044)</f>
        <v>2044</v>
      </c>
      <c r="H87" s="7">
        <f ca="1">IFERROR(__xludf.DUMMYFUNCTION("""COMPUTED_VALUE"""),6628)</f>
        <v>6628</v>
      </c>
      <c r="I87" s="7">
        <f ca="1">IFERROR(__xludf.DUMMYFUNCTION("""COMPUTED_VALUE"""),67)</f>
        <v>67</v>
      </c>
      <c r="J87" s="7">
        <f ca="1">IFERROR(__xludf.DUMMYFUNCTION("""COMPUTED_VALUE"""),4474)</f>
        <v>4474</v>
      </c>
      <c r="K87" s="7">
        <f ca="1">IFERROR(__xludf.DUMMYFUNCTION("""COMPUTED_VALUE"""),54)</f>
        <v>54</v>
      </c>
      <c r="L87" s="7"/>
      <c r="M87" s="7"/>
      <c r="N87" s="7"/>
    </row>
    <row r="88" spans="1:14" ht="13.2" x14ac:dyDescent="0.25">
      <c r="A88" s="6">
        <f ca="1">IFERROR(__xludf.DUMMYFUNCTION("""COMPUTED_VALUE"""),43977)</f>
        <v>43977</v>
      </c>
      <c r="B88" s="7">
        <f ca="1">IFERROR(__xludf.DUMMYFUNCTION("""COMPUTED_VALUE"""),8)</f>
        <v>8</v>
      </c>
      <c r="C88" s="8">
        <f ca="1">IFERROR(__xludf.DUMMYFUNCTION("""COMPUTED_VALUE"""),43977.3333333333)</f>
        <v>43977.333333333299</v>
      </c>
      <c r="D88" s="7">
        <f ca="1">IFERROR(__xludf.DUMMYFUNCTION("""COMPUTED_VALUE"""),508)</f>
        <v>508</v>
      </c>
      <c r="E88" s="7">
        <f ca="1">IFERROR(__xludf.DUMMYFUNCTION("""COMPUTED_VALUE"""),1678)</f>
        <v>1678</v>
      </c>
      <c r="F88" s="7">
        <f ca="1">IFERROR(__xludf.DUMMYFUNCTION("""COMPUTED_VALUE"""),2459)</f>
        <v>2459</v>
      </c>
      <c r="G88" s="7">
        <f ca="1">IFERROR(__xludf.DUMMYFUNCTION("""COMPUTED_VALUE"""),2044)</f>
        <v>2044</v>
      </c>
      <c r="H88" s="7">
        <f ca="1">IFERROR(__xludf.DUMMYFUNCTION("""COMPUTED_VALUE"""),6689)</f>
        <v>6689</v>
      </c>
      <c r="I88" s="7">
        <f ca="1">IFERROR(__xludf.DUMMYFUNCTION("""COMPUTED_VALUE"""),61)</f>
        <v>61</v>
      </c>
      <c r="J88" s="7">
        <f ca="1">IFERROR(__xludf.DUMMYFUNCTION("""COMPUTED_VALUE"""),4503)</f>
        <v>4503</v>
      </c>
      <c r="K88" s="7">
        <f ca="1">IFERROR(__xludf.DUMMYFUNCTION("""COMPUTED_VALUE"""),30)</f>
        <v>30</v>
      </c>
      <c r="L88" s="7"/>
      <c r="M88" s="7"/>
      <c r="N88" s="7"/>
    </row>
    <row r="89" spans="1:14" ht="13.2" x14ac:dyDescent="0.25">
      <c r="A89" s="6">
        <f ca="1">IFERROR(__xludf.DUMMYFUNCTION("""COMPUTED_VALUE"""),43978)</f>
        <v>43978</v>
      </c>
      <c r="B89" s="7">
        <f ca="1">IFERROR(__xludf.DUMMYFUNCTION("""COMPUTED_VALUE"""),8)</f>
        <v>8</v>
      </c>
      <c r="C89" s="8">
        <f ca="1">IFERROR(__xludf.DUMMYFUNCTION("""COMPUTED_VALUE"""),43978.3333333333)</f>
        <v>43978.333333333299</v>
      </c>
      <c r="D89" s="7">
        <f ca="1">IFERROR(__xludf.DUMMYFUNCTION("""COMPUTED_VALUE"""),510)</f>
        <v>510</v>
      </c>
      <c r="E89" s="7">
        <f ca="1">IFERROR(__xludf.DUMMYFUNCTION("""COMPUTED_VALUE"""),1698)</f>
        <v>1698</v>
      </c>
      <c r="F89" s="7">
        <f ca="1">IFERROR(__xludf.DUMMYFUNCTION("""COMPUTED_VALUE"""),2584)</f>
        <v>2584</v>
      </c>
      <c r="G89" s="7">
        <f ca="1">IFERROR(__xludf.DUMMYFUNCTION("""COMPUTED_VALUE"""),2034)</f>
        <v>2034</v>
      </c>
      <c r="H89" s="7">
        <f ca="1">IFERROR(__xludf.DUMMYFUNCTION("""COMPUTED_VALUE"""),6826)</f>
        <v>6826</v>
      </c>
      <c r="I89" s="7">
        <f ca="1">IFERROR(__xludf.DUMMYFUNCTION("""COMPUTED_VALUE"""),137)</f>
        <v>137</v>
      </c>
      <c r="J89" s="7">
        <f ca="1">IFERROR(__xludf.DUMMYFUNCTION("""COMPUTED_VALUE"""),4618)</f>
        <v>4618</v>
      </c>
      <c r="K89" s="7">
        <f ca="1">IFERROR(__xludf.DUMMYFUNCTION("""COMPUTED_VALUE"""),20)</f>
        <v>20</v>
      </c>
      <c r="L89" s="7"/>
      <c r="M89" s="7"/>
      <c r="N89" s="7"/>
    </row>
    <row r="90" spans="1:14" ht="13.2" x14ac:dyDescent="0.25">
      <c r="A90" s="6">
        <f ca="1">IFERROR(__xludf.DUMMYFUNCTION("""COMPUTED_VALUE"""),43979)</f>
        <v>43979</v>
      </c>
      <c r="B90" s="7">
        <f ca="1">IFERROR(__xludf.DUMMYFUNCTION("""COMPUTED_VALUE"""),8)</f>
        <v>8</v>
      </c>
      <c r="C90" s="8">
        <f ca="1">IFERROR(__xludf.DUMMYFUNCTION("""COMPUTED_VALUE"""),43979.3333333333)</f>
        <v>43979.333333333299</v>
      </c>
      <c r="D90" s="7">
        <f ca="1">IFERROR(__xludf.DUMMYFUNCTION("""COMPUTED_VALUE"""),514)</f>
        <v>514</v>
      </c>
      <c r="E90" s="7">
        <f ca="1">IFERROR(__xludf.DUMMYFUNCTION("""COMPUTED_VALUE"""),1719)</f>
        <v>1719</v>
      </c>
      <c r="F90" s="7">
        <f ca="1">IFERROR(__xludf.DUMMYFUNCTION("""COMPUTED_VALUE"""),2641)</f>
        <v>2641</v>
      </c>
      <c r="G90" s="7">
        <f ca="1">IFERROR(__xludf.DUMMYFUNCTION("""COMPUTED_VALUE"""),2055)</f>
        <v>2055</v>
      </c>
      <c r="H90" s="7">
        <f ca="1">IFERROR(__xludf.DUMMYFUNCTION("""COMPUTED_VALUE"""),6929)</f>
        <v>6929</v>
      </c>
      <c r="I90" s="7">
        <f ca="1">IFERROR(__xludf.DUMMYFUNCTION("""COMPUTED_VALUE"""),103)</f>
        <v>103</v>
      </c>
      <c r="J90" s="7">
        <f ca="1">IFERROR(__xludf.DUMMYFUNCTION("""COMPUTED_VALUE"""),4696)</f>
        <v>4696</v>
      </c>
      <c r="K90" s="7">
        <f ca="1">IFERROR(__xludf.DUMMYFUNCTION("""COMPUTED_VALUE"""),21)</f>
        <v>21</v>
      </c>
      <c r="L90" s="7"/>
      <c r="M90" s="7"/>
      <c r="N90" s="7"/>
    </row>
    <row r="91" spans="1:14" ht="13.2" x14ac:dyDescent="0.25">
      <c r="A91" s="6">
        <f ca="1">IFERROR(__xludf.DUMMYFUNCTION("""COMPUTED_VALUE"""),43980)</f>
        <v>43980</v>
      </c>
      <c r="B91" s="7">
        <f ca="1">IFERROR(__xludf.DUMMYFUNCTION("""COMPUTED_VALUE"""),8)</f>
        <v>8</v>
      </c>
      <c r="C91" s="8">
        <f ca="1">IFERROR(__xludf.DUMMYFUNCTION("""COMPUTED_VALUE"""),43980.3333333333)</f>
        <v>43980.333333333299</v>
      </c>
      <c r="D91" s="7">
        <f ca="1">IFERROR(__xludf.DUMMYFUNCTION("""COMPUTED_VALUE"""),517)</f>
        <v>517</v>
      </c>
      <c r="E91" s="7">
        <f ca="1">IFERROR(__xludf.DUMMYFUNCTION("""COMPUTED_VALUE"""),1807)</f>
        <v>1807</v>
      </c>
      <c r="F91" s="7">
        <f ca="1">IFERROR(__xludf.DUMMYFUNCTION("""COMPUTED_VALUE"""),2722)</f>
        <v>2722</v>
      </c>
      <c r="G91" s="7">
        <f ca="1">IFERROR(__xludf.DUMMYFUNCTION("""COMPUTED_VALUE"""),2007)</f>
        <v>2007</v>
      </c>
      <c r="H91" s="7">
        <f ca="1">IFERROR(__xludf.DUMMYFUNCTION("""COMPUTED_VALUE"""),7053)</f>
        <v>7053</v>
      </c>
      <c r="I91" s="7">
        <f ca="1">IFERROR(__xludf.DUMMYFUNCTION("""COMPUTED_VALUE"""),124)</f>
        <v>124</v>
      </c>
      <c r="J91" s="7">
        <f ca="1">IFERROR(__xludf.DUMMYFUNCTION("""COMPUTED_VALUE"""),4729)</f>
        <v>4729</v>
      </c>
      <c r="K91" s="7">
        <f ca="1">IFERROR(__xludf.DUMMYFUNCTION("""COMPUTED_VALUE"""),88)</f>
        <v>88</v>
      </c>
      <c r="L91" s="7"/>
      <c r="M91" s="7"/>
      <c r="N91" s="7"/>
    </row>
    <row r="92" spans="1:14" ht="13.2" x14ac:dyDescent="0.25">
      <c r="A92" s="6">
        <f ca="1">IFERROR(__xludf.DUMMYFUNCTION("""COMPUTED_VALUE"""),43981)</f>
        <v>43981</v>
      </c>
      <c r="B92" s="7">
        <f ca="1">IFERROR(__xludf.DUMMYFUNCTION("""COMPUTED_VALUE"""),8)</f>
        <v>8</v>
      </c>
      <c r="C92" s="8">
        <f ca="1">IFERROR(__xludf.DUMMYFUNCTION("""COMPUTED_VALUE"""),43981.3333333333)</f>
        <v>43981.333333333299</v>
      </c>
      <c r="D92" s="7">
        <f ca="1">IFERROR(__xludf.DUMMYFUNCTION("""COMPUTED_VALUE"""),519)</f>
        <v>519</v>
      </c>
      <c r="E92" s="7">
        <f ca="1">IFERROR(__xludf.DUMMYFUNCTION("""COMPUTED_VALUE"""),2003)</f>
        <v>2003</v>
      </c>
      <c r="F92" s="7">
        <f ca="1">IFERROR(__xludf.DUMMYFUNCTION("""COMPUTED_VALUE"""),2781)</f>
        <v>2781</v>
      </c>
      <c r="G92" s="7">
        <f ca="1">IFERROR(__xludf.DUMMYFUNCTION("""COMPUTED_VALUE"""),1848)</f>
        <v>1848</v>
      </c>
      <c r="H92" s="7">
        <f ca="1">IFERROR(__xludf.DUMMYFUNCTION("""COMPUTED_VALUE"""),7151)</f>
        <v>7151</v>
      </c>
      <c r="I92" s="7">
        <f ca="1">IFERROR(__xludf.DUMMYFUNCTION("""COMPUTED_VALUE"""),98)</f>
        <v>98</v>
      </c>
      <c r="J92" s="7">
        <f ca="1">IFERROR(__xludf.DUMMYFUNCTION("""COMPUTED_VALUE"""),4629)</f>
        <v>4629</v>
      </c>
      <c r="K92" s="7">
        <f ca="1">IFERROR(__xludf.DUMMYFUNCTION("""COMPUTED_VALUE"""),196)</f>
        <v>196</v>
      </c>
      <c r="L92" s="7"/>
      <c r="M92" s="7"/>
      <c r="N92" s="7"/>
    </row>
    <row r="93" spans="1:14" ht="13.2" x14ac:dyDescent="0.25">
      <c r="A93" s="6">
        <f ca="1">IFERROR(__xludf.DUMMYFUNCTION("""COMPUTED_VALUE"""),43982)</f>
        <v>43982</v>
      </c>
      <c r="B93" s="7">
        <f ca="1">IFERROR(__xludf.DUMMYFUNCTION("""COMPUTED_VALUE"""),8)</f>
        <v>8</v>
      </c>
      <c r="C93" s="8">
        <f ca="1">IFERROR(__xludf.DUMMYFUNCTION("""COMPUTED_VALUE"""),43982.3333333333)</f>
        <v>43982.333333333299</v>
      </c>
      <c r="D93" s="7">
        <f ca="1">IFERROR(__xludf.DUMMYFUNCTION("""COMPUTED_VALUE"""),520)</f>
        <v>520</v>
      </c>
      <c r="E93" s="7">
        <f ca="1">IFERROR(__xludf.DUMMYFUNCTION("""COMPUTED_VALUE"""),2102)</f>
        <v>2102</v>
      </c>
      <c r="F93" s="7">
        <f ca="1">IFERROR(__xludf.DUMMYFUNCTION("""COMPUTED_VALUE"""),2827)</f>
        <v>2827</v>
      </c>
      <c r="G93" s="7">
        <f ca="1">IFERROR(__xludf.DUMMYFUNCTION("""COMPUTED_VALUE"""),1823)</f>
        <v>1823</v>
      </c>
      <c r="H93" s="7">
        <f ca="1">IFERROR(__xludf.DUMMYFUNCTION("""COMPUTED_VALUE"""),7272)</f>
        <v>7272</v>
      </c>
      <c r="I93" s="7">
        <f ca="1">IFERROR(__xludf.DUMMYFUNCTION("""COMPUTED_VALUE"""),121)</f>
        <v>121</v>
      </c>
      <c r="J93" s="7">
        <f ca="1">IFERROR(__xludf.DUMMYFUNCTION("""COMPUTED_VALUE"""),4650)</f>
        <v>4650</v>
      </c>
      <c r="K93" s="7">
        <f ca="1">IFERROR(__xludf.DUMMYFUNCTION("""COMPUTED_VALUE"""),99)</f>
        <v>99</v>
      </c>
      <c r="L93" s="7"/>
      <c r="M93" s="7"/>
      <c r="N93" s="7"/>
    </row>
    <row r="94" spans="1:14" ht="13.2" x14ac:dyDescent="0.25">
      <c r="A94" s="6">
        <f ca="1">IFERROR(__xludf.DUMMYFUNCTION("""COMPUTED_VALUE"""),43983)</f>
        <v>43983</v>
      </c>
      <c r="B94" s="7">
        <f ca="1">IFERROR(__xludf.DUMMYFUNCTION("""COMPUTED_VALUE"""),8)</f>
        <v>8</v>
      </c>
      <c r="C94" s="8">
        <f ca="1">IFERROR(__xludf.DUMMYFUNCTION("""COMPUTED_VALUE"""),43983.3333333333)</f>
        <v>43983.333333333299</v>
      </c>
      <c r="D94" s="7">
        <f ca="1">IFERROR(__xludf.DUMMYFUNCTION("""COMPUTED_VALUE"""),521)</f>
        <v>521</v>
      </c>
      <c r="E94" s="7">
        <f ca="1">IFERROR(__xludf.DUMMYFUNCTION("""COMPUTED_VALUE"""),2246)</f>
        <v>2246</v>
      </c>
      <c r="F94" s="7">
        <f ca="1">IFERROR(__xludf.DUMMYFUNCTION("""COMPUTED_VALUE"""),2822)</f>
        <v>2822</v>
      </c>
      <c r="G94" s="7">
        <f ca="1">IFERROR(__xludf.DUMMYFUNCTION("""COMPUTED_VALUE"""),1794)</f>
        <v>1794</v>
      </c>
      <c r="H94" s="7">
        <f ca="1">IFERROR(__xludf.DUMMYFUNCTION("""COMPUTED_VALUE"""),7383)</f>
        <v>7383</v>
      </c>
      <c r="I94" s="7">
        <f ca="1">IFERROR(__xludf.DUMMYFUNCTION("""COMPUTED_VALUE"""),111)</f>
        <v>111</v>
      </c>
      <c r="J94" s="7">
        <f ca="1">IFERROR(__xludf.DUMMYFUNCTION("""COMPUTED_VALUE"""),4616)</f>
        <v>4616</v>
      </c>
      <c r="K94" s="7">
        <f ca="1">IFERROR(__xludf.DUMMYFUNCTION("""COMPUTED_VALUE"""),144)</f>
        <v>144</v>
      </c>
      <c r="L94" s="7"/>
      <c r="M94" s="7"/>
      <c r="N94" s="7"/>
    </row>
    <row r="95" spans="1:14" ht="13.2" x14ac:dyDescent="0.25">
      <c r="A95" s="6">
        <f ca="1">IFERROR(__xludf.DUMMYFUNCTION("""COMPUTED_VALUE"""),43984)</f>
        <v>43984</v>
      </c>
      <c r="B95" s="7">
        <f ca="1">IFERROR(__xludf.DUMMYFUNCTION("""COMPUTED_VALUE"""),8)</f>
        <v>8</v>
      </c>
      <c r="C95" s="8">
        <f ca="1">IFERROR(__xludf.DUMMYFUNCTION("""COMPUTED_VALUE"""),43984.3333333333)</f>
        <v>43984.333333333299</v>
      </c>
      <c r="D95" s="7">
        <f ca="1">IFERROR(__xludf.DUMMYFUNCTION("""COMPUTED_VALUE"""),525)</f>
        <v>525</v>
      </c>
      <c r="E95" s="7">
        <f ca="1">IFERROR(__xludf.DUMMYFUNCTION("""COMPUTED_VALUE"""),2405)</f>
        <v>2405</v>
      </c>
      <c r="F95" s="7">
        <f ca="1">IFERROR(__xludf.DUMMYFUNCTION("""COMPUTED_VALUE"""),2786)</f>
        <v>2786</v>
      </c>
      <c r="G95" s="7">
        <f ca="1">IFERROR(__xludf.DUMMYFUNCTION("""COMPUTED_VALUE"""),1743)</f>
        <v>1743</v>
      </c>
      <c r="H95" s="7">
        <f ca="1">IFERROR(__xludf.DUMMYFUNCTION("""COMPUTED_VALUE"""),7459)</f>
        <v>7459</v>
      </c>
      <c r="I95" s="7">
        <f ca="1">IFERROR(__xludf.DUMMYFUNCTION("""COMPUTED_VALUE"""),76)</f>
        <v>76</v>
      </c>
      <c r="J95" s="7">
        <f ca="1">IFERROR(__xludf.DUMMYFUNCTION("""COMPUTED_VALUE"""),4529)</f>
        <v>4529</v>
      </c>
      <c r="K95" s="7">
        <f ca="1">IFERROR(__xludf.DUMMYFUNCTION("""COMPUTED_VALUE"""),159)</f>
        <v>159</v>
      </c>
      <c r="L95" s="7"/>
      <c r="M95" s="7"/>
      <c r="N95" s="7"/>
    </row>
    <row r="96" spans="1:14" ht="13.2" x14ac:dyDescent="0.25">
      <c r="A96" s="6">
        <f ca="1">IFERROR(__xludf.DUMMYFUNCTION("""COMPUTED_VALUE"""),43985)</f>
        <v>43985</v>
      </c>
      <c r="B96" s="7">
        <f ca="1">IFERROR(__xludf.DUMMYFUNCTION("""COMPUTED_VALUE"""),8)</f>
        <v>8</v>
      </c>
      <c r="C96" s="8">
        <f ca="1">IFERROR(__xludf.DUMMYFUNCTION("""COMPUTED_VALUE"""),43985.3333333333)</f>
        <v>43985.333333333299</v>
      </c>
      <c r="D96" s="7">
        <f ca="1">IFERROR(__xludf.DUMMYFUNCTION("""COMPUTED_VALUE"""),529)</f>
        <v>529</v>
      </c>
      <c r="E96" s="7">
        <f ca="1">IFERROR(__xludf.DUMMYFUNCTION("""COMPUTED_VALUE"""),2534)</f>
        <v>2534</v>
      </c>
      <c r="F96" s="7">
        <f ca="1">IFERROR(__xludf.DUMMYFUNCTION("""COMPUTED_VALUE"""),2777)</f>
        <v>2777</v>
      </c>
      <c r="G96" s="7">
        <f ca="1">IFERROR(__xludf.DUMMYFUNCTION("""COMPUTED_VALUE"""),1699)</f>
        <v>1699</v>
      </c>
      <c r="H96" s="7">
        <f ca="1">IFERROR(__xludf.DUMMYFUNCTION("""COMPUTED_VALUE"""),7539)</f>
        <v>7539</v>
      </c>
      <c r="I96" s="7">
        <f ca="1">IFERROR(__xludf.DUMMYFUNCTION("""COMPUTED_VALUE"""),80)</f>
        <v>80</v>
      </c>
      <c r="J96" s="7">
        <f ca="1">IFERROR(__xludf.DUMMYFUNCTION("""COMPUTED_VALUE"""),4476)</f>
        <v>4476</v>
      </c>
      <c r="K96" s="7">
        <f ca="1">IFERROR(__xludf.DUMMYFUNCTION("""COMPUTED_VALUE"""),129)</f>
        <v>129</v>
      </c>
      <c r="L96" s="7"/>
      <c r="M96" s="7"/>
      <c r="N96" s="7"/>
    </row>
    <row r="97" spans="1:14" ht="13.2" x14ac:dyDescent="0.25">
      <c r="A97" s="6">
        <f ca="1">IFERROR(__xludf.DUMMYFUNCTION("""COMPUTED_VALUE"""),43986)</f>
        <v>43986</v>
      </c>
      <c r="B97" s="7">
        <f ca="1">IFERROR(__xludf.DUMMYFUNCTION("""COMPUTED_VALUE"""),8)</f>
        <v>8</v>
      </c>
      <c r="C97" s="8">
        <f ca="1">IFERROR(__xludf.DUMMYFUNCTION("""COMPUTED_VALUE"""),43986.3333333333)</f>
        <v>43986.333333333299</v>
      </c>
      <c r="D97" s="7">
        <f ca="1">IFERROR(__xludf.DUMMYFUNCTION("""COMPUTED_VALUE"""),530)</f>
        <v>530</v>
      </c>
      <c r="E97" s="7">
        <f ca="1">IFERROR(__xludf.DUMMYFUNCTION("""COMPUTED_VALUE"""),2607)</f>
        <v>2607</v>
      </c>
      <c r="F97" s="7">
        <f ca="1">IFERROR(__xludf.DUMMYFUNCTION("""COMPUTED_VALUE"""),2793)</f>
        <v>2793</v>
      </c>
      <c r="G97" s="7">
        <f ca="1">IFERROR(__xludf.DUMMYFUNCTION("""COMPUTED_VALUE"""),1670)</f>
        <v>1670</v>
      </c>
      <c r="H97" s="7">
        <f ca="1">IFERROR(__xludf.DUMMYFUNCTION("""COMPUTED_VALUE"""),7600)</f>
        <v>7600</v>
      </c>
      <c r="I97" s="7">
        <f ca="1">IFERROR(__xludf.DUMMYFUNCTION("""COMPUTED_VALUE"""),61)</f>
        <v>61</v>
      </c>
      <c r="J97" s="7">
        <f ca="1">IFERROR(__xludf.DUMMYFUNCTION("""COMPUTED_VALUE"""),4463)</f>
        <v>4463</v>
      </c>
      <c r="K97" s="7">
        <f ca="1">IFERROR(__xludf.DUMMYFUNCTION("""COMPUTED_VALUE"""),73)</f>
        <v>73</v>
      </c>
      <c r="L97" s="7"/>
      <c r="M97" s="7"/>
      <c r="N97" s="7"/>
    </row>
    <row r="98" spans="1:14" ht="13.2" x14ac:dyDescent="0.25">
      <c r="A98" s="6">
        <f ca="1">IFERROR(__xludf.DUMMYFUNCTION("""COMPUTED_VALUE"""),43987)</f>
        <v>43987</v>
      </c>
      <c r="B98" s="7">
        <f ca="1">IFERROR(__xludf.DUMMYFUNCTION("""COMPUTED_VALUE"""),8)</f>
        <v>8</v>
      </c>
      <c r="C98" s="8">
        <f ca="1">IFERROR(__xludf.DUMMYFUNCTION("""COMPUTED_VALUE"""),43987.3333333333)</f>
        <v>43987.333333333299</v>
      </c>
      <c r="D98" s="7">
        <f ca="1">IFERROR(__xludf.DUMMYFUNCTION("""COMPUTED_VALUE"""),532)</f>
        <v>532</v>
      </c>
      <c r="E98" s="7">
        <f ca="1">IFERROR(__xludf.DUMMYFUNCTION("""COMPUTED_VALUE"""),2751)</f>
        <v>2751</v>
      </c>
      <c r="F98" s="7">
        <f ca="1">IFERROR(__xludf.DUMMYFUNCTION("""COMPUTED_VALUE"""),2768)</f>
        <v>2768</v>
      </c>
      <c r="G98" s="7">
        <f ca="1">IFERROR(__xludf.DUMMYFUNCTION("""COMPUTED_VALUE"""),1633)</f>
        <v>1633</v>
      </c>
      <c r="H98" s="7">
        <f ca="1">IFERROR(__xludf.DUMMYFUNCTION("""COMPUTED_VALUE"""),7684)</f>
        <v>7684</v>
      </c>
      <c r="I98" s="7">
        <f ca="1">IFERROR(__xludf.DUMMYFUNCTION("""COMPUTED_VALUE"""),84)</f>
        <v>84</v>
      </c>
      <c r="J98" s="7">
        <f ca="1">IFERROR(__xludf.DUMMYFUNCTION("""COMPUTED_VALUE"""),4401)</f>
        <v>4401</v>
      </c>
      <c r="K98" s="7">
        <f ca="1">IFERROR(__xludf.DUMMYFUNCTION("""COMPUTED_VALUE"""),144)</f>
        <v>144</v>
      </c>
      <c r="L98" s="7"/>
      <c r="M98" s="7"/>
      <c r="N98" s="7"/>
    </row>
    <row r="99" spans="1:14" ht="13.2" x14ac:dyDescent="0.25">
      <c r="A99" s="6">
        <f ca="1">IFERROR(__xludf.DUMMYFUNCTION("""COMPUTED_VALUE"""),43988)</f>
        <v>43988</v>
      </c>
      <c r="B99" s="7">
        <f ca="1">IFERROR(__xludf.DUMMYFUNCTION("""COMPUTED_VALUE"""),8)</f>
        <v>8</v>
      </c>
      <c r="C99" s="8">
        <f ca="1">IFERROR(__xludf.DUMMYFUNCTION("""COMPUTED_VALUE"""),43988.3333333333)</f>
        <v>43988.333333333299</v>
      </c>
      <c r="D99" s="7">
        <f ca="1">IFERROR(__xludf.DUMMYFUNCTION("""COMPUTED_VALUE"""),535)</f>
        <v>535</v>
      </c>
      <c r="E99" s="7">
        <f ca="1">IFERROR(__xludf.DUMMYFUNCTION("""COMPUTED_VALUE"""),2840)</f>
        <v>2840</v>
      </c>
      <c r="F99" s="7">
        <f ca="1">IFERROR(__xludf.DUMMYFUNCTION("""COMPUTED_VALUE"""),2776)</f>
        <v>2776</v>
      </c>
      <c r="G99" s="7">
        <f ca="1">IFERROR(__xludf.DUMMYFUNCTION("""COMPUTED_VALUE"""),1635)</f>
        <v>1635</v>
      </c>
      <c r="H99" s="7">
        <f ca="1">IFERROR(__xludf.DUMMYFUNCTION("""COMPUTED_VALUE"""),7786)</f>
        <v>7786</v>
      </c>
      <c r="I99" s="7">
        <f ca="1">IFERROR(__xludf.DUMMYFUNCTION("""COMPUTED_VALUE"""),102)</f>
        <v>102</v>
      </c>
      <c r="J99" s="7">
        <f ca="1">IFERROR(__xludf.DUMMYFUNCTION("""COMPUTED_VALUE"""),4411)</f>
        <v>4411</v>
      </c>
      <c r="K99" s="7">
        <f ca="1">IFERROR(__xludf.DUMMYFUNCTION("""COMPUTED_VALUE"""),89)</f>
        <v>89</v>
      </c>
      <c r="L99" s="7"/>
      <c r="M99" s="7"/>
      <c r="N99" s="7"/>
    </row>
    <row r="100" spans="1:14" ht="13.2" x14ac:dyDescent="0.25">
      <c r="A100" s="6">
        <f ca="1">IFERROR(__xludf.DUMMYFUNCTION("""COMPUTED_VALUE"""),43989)</f>
        <v>43989</v>
      </c>
      <c r="B100" s="7">
        <f ca="1">IFERROR(__xludf.DUMMYFUNCTION("""COMPUTED_VALUE"""),8)</f>
        <v>8</v>
      </c>
      <c r="C100" s="8">
        <f ca="1">IFERROR(__xludf.DUMMYFUNCTION("""COMPUTED_VALUE"""),43989.3333333333)</f>
        <v>43989.333333333299</v>
      </c>
      <c r="D100" s="7">
        <f ca="1">IFERROR(__xludf.DUMMYFUNCTION("""COMPUTED_VALUE"""),537)</f>
        <v>537</v>
      </c>
      <c r="E100" s="7">
        <f ca="1">IFERROR(__xludf.DUMMYFUNCTION("""COMPUTED_VALUE"""),3170)</f>
        <v>3170</v>
      </c>
      <c r="F100" s="7">
        <f ca="1">IFERROR(__xludf.DUMMYFUNCTION("""COMPUTED_VALUE"""),2794)</f>
        <v>2794</v>
      </c>
      <c r="G100" s="7">
        <f ca="1">IFERROR(__xludf.DUMMYFUNCTION("""COMPUTED_VALUE"""),1445)</f>
        <v>1445</v>
      </c>
      <c r="H100" s="7">
        <f ca="1">IFERROR(__xludf.DUMMYFUNCTION("""COMPUTED_VALUE"""),7946)</f>
        <v>7946</v>
      </c>
      <c r="I100" s="7">
        <f ca="1">IFERROR(__xludf.DUMMYFUNCTION("""COMPUTED_VALUE"""),160)</f>
        <v>160</v>
      </c>
      <c r="J100" s="7">
        <f ca="1">IFERROR(__xludf.DUMMYFUNCTION("""COMPUTED_VALUE"""),4239)</f>
        <v>4239</v>
      </c>
      <c r="K100" s="7">
        <f ca="1">IFERROR(__xludf.DUMMYFUNCTION("""COMPUTED_VALUE"""),330)</f>
        <v>330</v>
      </c>
      <c r="L100" s="7"/>
      <c r="M100" s="7"/>
      <c r="N100" s="7"/>
    </row>
    <row r="101" spans="1:14" ht="13.2" x14ac:dyDescent="0.25">
      <c r="A101" s="6">
        <f ca="1">IFERROR(__xludf.DUMMYFUNCTION("""COMPUTED_VALUE"""),43990)</f>
        <v>43990</v>
      </c>
      <c r="B101" s="7">
        <f ca="1">IFERROR(__xludf.DUMMYFUNCTION("""COMPUTED_VALUE"""),8)</f>
        <v>8</v>
      </c>
      <c r="C101" s="8">
        <f ca="1">IFERROR(__xludf.DUMMYFUNCTION("""COMPUTED_VALUE"""),43990.3333333333)</f>
        <v>43990.333333333299</v>
      </c>
      <c r="D101" s="7">
        <f ca="1">IFERROR(__xludf.DUMMYFUNCTION("""COMPUTED_VALUE"""),538)</f>
        <v>538</v>
      </c>
      <c r="E101" s="7">
        <f ca="1">IFERROR(__xludf.DUMMYFUNCTION("""COMPUTED_VALUE"""),3205)</f>
        <v>3205</v>
      </c>
      <c r="F101" s="7">
        <f ca="1">IFERROR(__xludf.DUMMYFUNCTION("""COMPUTED_VALUE"""),2846)</f>
        <v>2846</v>
      </c>
      <c r="G101" s="7">
        <f ca="1">IFERROR(__xludf.DUMMYFUNCTION("""COMPUTED_VALUE"""),1448)</f>
        <v>1448</v>
      </c>
      <c r="H101" s="7">
        <f ca="1">IFERROR(__xludf.DUMMYFUNCTION("""COMPUTED_VALUE"""),8037)</f>
        <v>8037</v>
      </c>
      <c r="I101" s="7">
        <f ca="1">IFERROR(__xludf.DUMMYFUNCTION("""COMPUTED_VALUE"""),91)</f>
        <v>91</v>
      </c>
      <c r="J101" s="7">
        <f ca="1">IFERROR(__xludf.DUMMYFUNCTION("""COMPUTED_VALUE"""),4294)</f>
        <v>4294</v>
      </c>
      <c r="K101" s="7">
        <f ca="1">IFERROR(__xludf.DUMMYFUNCTION("""COMPUTED_VALUE"""),35)</f>
        <v>35</v>
      </c>
      <c r="L101" s="7"/>
      <c r="M101" s="7"/>
      <c r="N101" s="7"/>
    </row>
    <row r="102" spans="1:14" ht="13.2" x14ac:dyDescent="0.25">
      <c r="A102" s="6">
        <f ca="1">IFERROR(__xludf.DUMMYFUNCTION("""COMPUTED_VALUE"""),43991)</f>
        <v>43991</v>
      </c>
      <c r="B102" s="7">
        <f ca="1">IFERROR(__xludf.DUMMYFUNCTION("""COMPUTED_VALUE"""),8)</f>
        <v>8</v>
      </c>
      <c r="C102" s="8">
        <f ca="1">IFERROR(__xludf.DUMMYFUNCTION("""COMPUTED_VALUE"""),43991.3333333333)</f>
        <v>43991.333333333299</v>
      </c>
      <c r="D102" s="7">
        <f ca="1">IFERROR(__xludf.DUMMYFUNCTION("""COMPUTED_VALUE"""),547)</f>
        <v>547</v>
      </c>
      <c r="E102" s="7">
        <f ca="1">IFERROR(__xludf.DUMMYFUNCTION("""COMPUTED_VALUE"""),3369)</f>
        <v>3369</v>
      </c>
      <c r="F102" s="7">
        <f ca="1">IFERROR(__xludf.DUMMYFUNCTION("""COMPUTED_VALUE"""),2918)</f>
        <v>2918</v>
      </c>
      <c r="G102" s="7">
        <f ca="1">IFERROR(__xludf.DUMMYFUNCTION("""COMPUTED_VALUE"""),1442)</f>
        <v>1442</v>
      </c>
      <c r="H102" s="7">
        <f ca="1">IFERROR(__xludf.DUMMYFUNCTION("""COMPUTED_VALUE"""),8276)</f>
        <v>8276</v>
      </c>
      <c r="I102" s="7">
        <f ca="1">IFERROR(__xludf.DUMMYFUNCTION("""COMPUTED_VALUE"""),239)</f>
        <v>239</v>
      </c>
      <c r="J102" s="7">
        <f ca="1">IFERROR(__xludf.DUMMYFUNCTION("""COMPUTED_VALUE"""),4360)</f>
        <v>4360</v>
      </c>
      <c r="K102" s="7">
        <f ca="1">IFERROR(__xludf.DUMMYFUNCTION("""COMPUTED_VALUE"""),164)</f>
        <v>164</v>
      </c>
      <c r="L102" s="7"/>
      <c r="M102" s="7"/>
      <c r="N102" s="7"/>
    </row>
    <row r="103" spans="1:14" ht="13.2" x14ac:dyDescent="0.25">
      <c r="A103" s="6">
        <f ca="1">IFERROR(__xludf.DUMMYFUNCTION("""COMPUTED_VALUE"""),43992)</f>
        <v>43992</v>
      </c>
      <c r="B103" s="7">
        <f ca="1">IFERROR(__xludf.DUMMYFUNCTION("""COMPUTED_VALUE"""),8)</f>
        <v>8</v>
      </c>
      <c r="C103" s="8">
        <f ca="1">IFERROR(__xludf.DUMMYFUNCTION("""COMPUTED_VALUE"""),43992.3333333333)</f>
        <v>43992.333333333299</v>
      </c>
      <c r="D103" s="7">
        <f ca="1">IFERROR(__xludf.DUMMYFUNCTION("""COMPUTED_VALUE"""),551)</f>
        <v>551</v>
      </c>
      <c r="E103" s="7">
        <f ca="1">IFERROR(__xludf.DUMMYFUNCTION("""COMPUTED_VALUE"""),3517)</f>
        <v>3517</v>
      </c>
      <c r="F103" s="7">
        <f ca="1">IFERROR(__xludf.DUMMYFUNCTION("""COMPUTED_VALUE"""),2928)</f>
        <v>2928</v>
      </c>
      <c r="G103" s="7">
        <f ca="1">IFERROR(__xludf.DUMMYFUNCTION("""COMPUTED_VALUE"""),1427)</f>
        <v>1427</v>
      </c>
      <c r="H103" s="7">
        <f ca="1">IFERROR(__xludf.DUMMYFUNCTION("""COMPUTED_VALUE"""),8423)</f>
        <v>8423</v>
      </c>
      <c r="I103" s="7">
        <f ca="1">IFERROR(__xludf.DUMMYFUNCTION("""COMPUTED_VALUE"""),147)</f>
        <v>147</v>
      </c>
      <c r="J103" s="7">
        <f ca="1">IFERROR(__xludf.DUMMYFUNCTION("""COMPUTED_VALUE"""),4355)</f>
        <v>4355</v>
      </c>
      <c r="K103" s="7">
        <f ca="1">IFERROR(__xludf.DUMMYFUNCTION("""COMPUTED_VALUE"""),148)</f>
        <v>148</v>
      </c>
      <c r="L103" s="7"/>
      <c r="M103" s="7"/>
      <c r="N103" s="7"/>
    </row>
    <row r="104" spans="1:14" ht="13.2" x14ac:dyDescent="0.25">
      <c r="A104" s="6">
        <f ca="1">IFERROR(__xludf.DUMMYFUNCTION("""COMPUTED_VALUE"""),43993)</f>
        <v>43993</v>
      </c>
      <c r="B104" s="7">
        <f ca="1">IFERROR(__xludf.DUMMYFUNCTION("""COMPUTED_VALUE"""),8)</f>
        <v>8</v>
      </c>
      <c r="C104" s="8">
        <f ca="1">IFERROR(__xludf.DUMMYFUNCTION("""COMPUTED_VALUE"""),43993.3333333333)</f>
        <v>43993.333333333299</v>
      </c>
      <c r="D104" s="7">
        <f ca="1">IFERROR(__xludf.DUMMYFUNCTION("""COMPUTED_VALUE"""),555)</f>
        <v>555</v>
      </c>
      <c r="E104" s="7">
        <f ca="1">IFERROR(__xludf.DUMMYFUNCTION("""COMPUTED_VALUE"""),3664)</f>
        <v>3664</v>
      </c>
      <c r="F104" s="7">
        <f ca="1">IFERROR(__xludf.DUMMYFUNCTION("""COMPUTED_VALUE"""),2887)</f>
        <v>2887</v>
      </c>
      <c r="G104" s="7">
        <f ca="1">IFERROR(__xludf.DUMMYFUNCTION("""COMPUTED_VALUE"""),1446)</f>
        <v>1446</v>
      </c>
      <c r="H104" s="7">
        <f ca="1">IFERROR(__xludf.DUMMYFUNCTION("""COMPUTED_VALUE"""),8552)</f>
        <v>8552</v>
      </c>
      <c r="I104" s="7">
        <f ca="1">IFERROR(__xludf.DUMMYFUNCTION("""COMPUTED_VALUE"""),129)</f>
        <v>129</v>
      </c>
      <c r="J104" s="7">
        <f ca="1">IFERROR(__xludf.DUMMYFUNCTION("""COMPUTED_VALUE"""),4333)</f>
        <v>4333</v>
      </c>
      <c r="K104" s="7">
        <f ca="1">IFERROR(__xludf.DUMMYFUNCTION("""COMPUTED_VALUE"""),147)</f>
        <v>147</v>
      </c>
      <c r="L104" s="7"/>
      <c r="M104" s="7"/>
      <c r="N104" s="7"/>
    </row>
    <row r="105" spans="1:14" ht="13.2" x14ac:dyDescent="0.25">
      <c r="A105" s="6">
        <f ca="1">IFERROR(__xludf.DUMMYFUNCTION("""COMPUTED_VALUE"""),43994)</f>
        <v>43994</v>
      </c>
      <c r="B105" s="7">
        <f ca="1">IFERROR(__xludf.DUMMYFUNCTION("""COMPUTED_VALUE"""),8)</f>
        <v>8</v>
      </c>
      <c r="C105" s="8">
        <f ca="1">IFERROR(__xludf.DUMMYFUNCTION("""COMPUTED_VALUE"""),43994.3333333333)</f>
        <v>43994.333333333299</v>
      </c>
      <c r="D105" s="7">
        <f ca="1">IFERROR(__xludf.DUMMYFUNCTION("""COMPUTED_VALUE"""),561)</f>
        <v>561</v>
      </c>
      <c r="E105" s="7">
        <f ca="1">IFERROR(__xludf.DUMMYFUNCTION("""COMPUTED_VALUE"""),3780)</f>
        <v>3780</v>
      </c>
      <c r="F105" s="7">
        <f ca="1">IFERROR(__xludf.DUMMYFUNCTION("""COMPUTED_VALUE"""),2863)</f>
        <v>2863</v>
      </c>
      <c r="G105" s="7">
        <f ca="1">IFERROR(__xludf.DUMMYFUNCTION("""COMPUTED_VALUE"""),1424)</f>
        <v>1424</v>
      </c>
      <c r="H105" s="7">
        <f ca="1">IFERROR(__xludf.DUMMYFUNCTION("""COMPUTED_VALUE"""),8628)</f>
        <v>8628</v>
      </c>
      <c r="I105" s="7">
        <f ca="1">IFERROR(__xludf.DUMMYFUNCTION("""COMPUTED_VALUE"""),76)</f>
        <v>76</v>
      </c>
      <c r="J105" s="7">
        <f ca="1">IFERROR(__xludf.DUMMYFUNCTION("""COMPUTED_VALUE"""),4287)</f>
        <v>4287</v>
      </c>
      <c r="K105" s="7">
        <f ca="1">IFERROR(__xludf.DUMMYFUNCTION("""COMPUTED_VALUE"""),116)</f>
        <v>116</v>
      </c>
      <c r="L105" s="7"/>
      <c r="M105" s="7"/>
      <c r="N105" s="7"/>
    </row>
    <row r="106" spans="1:14" ht="13.2" x14ac:dyDescent="0.25">
      <c r="A106" s="6">
        <f ca="1">IFERROR(__xludf.DUMMYFUNCTION("""COMPUTED_VALUE"""),43995)</f>
        <v>43995</v>
      </c>
      <c r="B106" s="7">
        <f ca="1">IFERROR(__xludf.DUMMYFUNCTION("""COMPUTED_VALUE"""),8)</f>
        <v>8</v>
      </c>
      <c r="C106" s="8">
        <f ca="1">IFERROR(__xludf.DUMMYFUNCTION("""COMPUTED_VALUE"""),43995.3333333333)</f>
        <v>43995.333333333299</v>
      </c>
      <c r="D106" s="7">
        <f ca="1">IFERROR(__xludf.DUMMYFUNCTION("""COMPUTED_VALUE"""),564)</f>
        <v>564</v>
      </c>
      <c r="E106" s="7">
        <f ca="1">IFERROR(__xludf.DUMMYFUNCTION("""COMPUTED_VALUE"""),3840)</f>
        <v>3840</v>
      </c>
      <c r="F106" s="7">
        <f ca="1">IFERROR(__xludf.DUMMYFUNCTION("""COMPUTED_VALUE"""),2925)</f>
        <v>2925</v>
      </c>
      <c r="G106" s="7">
        <f ca="1">IFERROR(__xludf.DUMMYFUNCTION("""COMPUTED_VALUE"""),1419)</f>
        <v>1419</v>
      </c>
      <c r="H106" s="7">
        <f ca="1">IFERROR(__xludf.DUMMYFUNCTION("""COMPUTED_VALUE"""),8748)</f>
        <v>8748</v>
      </c>
      <c r="I106" s="7">
        <f ca="1">IFERROR(__xludf.DUMMYFUNCTION("""COMPUTED_VALUE"""),120)</f>
        <v>120</v>
      </c>
      <c r="J106" s="7">
        <f ca="1">IFERROR(__xludf.DUMMYFUNCTION("""COMPUTED_VALUE"""),4344)</f>
        <v>4344</v>
      </c>
      <c r="K106" s="7">
        <f ca="1">IFERROR(__xludf.DUMMYFUNCTION("""COMPUTED_VALUE"""),60)</f>
        <v>60</v>
      </c>
      <c r="L106" s="7"/>
      <c r="M106" s="7"/>
      <c r="N106" s="7"/>
    </row>
    <row r="107" spans="1:14" ht="13.2" x14ac:dyDescent="0.25">
      <c r="A107" s="6">
        <f ca="1">IFERROR(__xludf.DUMMYFUNCTION("""COMPUTED_VALUE"""),43996)</f>
        <v>43996</v>
      </c>
      <c r="B107" s="7">
        <f ca="1">IFERROR(__xludf.DUMMYFUNCTION("""COMPUTED_VALUE"""),8)</f>
        <v>8</v>
      </c>
      <c r="C107" s="8">
        <f ca="1">IFERROR(__xludf.DUMMYFUNCTION("""COMPUTED_VALUE"""),43996.3333333333)</f>
        <v>43996.333333333299</v>
      </c>
      <c r="D107" s="7">
        <f ca="1">IFERROR(__xludf.DUMMYFUNCTION("""COMPUTED_VALUE"""),571)</f>
        <v>571</v>
      </c>
      <c r="E107" s="7">
        <f ca="1">IFERROR(__xludf.DUMMYFUNCTION("""COMPUTED_VALUE"""),4091)</f>
        <v>4091</v>
      </c>
      <c r="F107" s="7">
        <f ca="1">IFERROR(__xludf.DUMMYFUNCTION("""COMPUTED_VALUE"""),2833)</f>
        <v>2833</v>
      </c>
      <c r="G107" s="7">
        <f ca="1">IFERROR(__xludf.DUMMYFUNCTION("""COMPUTED_VALUE"""),1368)</f>
        <v>1368</v>
      </c>
      <c r="H107" s="7">
        <f ca="1">IFERROR(__xludf.DUMMYFUNCTION("""COMPUTED_VALUE"""),8863)</f>
        <v>8863</v>
      </c>
      <c r="I107" s="7">
        <f ca="1">IFERROR(__xludf.DUMMYFUNCTION("""COMPUTED_VALUE"""),115)</f>
        <v>115</v>
      </c>
      <c r="J107" s="7">
        <f ca="1">IFERROR(__xludf.DUMMYFUNCTION("""COMPUTED_VALUE"""),4201)</f>
        <v>4201</v>
      </c>
      <c r="K107" s="7">
        <f ca="1">IFERROR(__xludf.DUMMYFUNCTION("""COMPUTED_VALUE"""),251)</f>
        <v>251</v>
      </c>
      <c r="L107" s="7"/>
      <c r="M107" s="7"/>
      <c r="N107" s="7"/>
    </row>
    <row r="108" spans="1:14" ht="13.2" x14ac:dyDescent="0.25">
      <c r="A108" s="6">
        <f ca="1">IFERROR(__xludf.DUMMYFUNCTION("""COMPUTED_VALUE"""),43997)</f>
        <v>43997</v>
      </c>
      <c r="B108" s="7">
        <f ca="1">IFERROR(__xludf.DUMMYFUNCTION("""COMPUTED_VALUE"""),8)</f>
        <v>8</v>
      </c>
      <c r="C108" s="8">
        <f ca="1">IFERROR(__xludf.DUMMYFUNCTION("""COMPUTED_VALUE"""),43997.3333333333)</f>
        <v>43997.333333333299</v>
      </c>
      <c r="D108" s="7">
        <f ca="1">IFERROR(__xludf.DUMMYFUNCTION("""COMPUTED_VALUE"""),580)</f>
        <v>580</v>
      </c>
      <c r="E108" s="7">
        <f ca="1">IFERROR(__xludf.DUMMYFUNCTION("""COMPUTED_VALUE"""),4198)</f>
        <v>4198</v>
      </c>
      <c r="F108" s="7">
        <f ca="1">IFERROR(__xludf.DUMMYFUNCTION("""COMPUTED_VALUE"""),2800)</f>
        <v>2800</v>
      </c>
      <c r="G108" s="7">
        <f ca="1">IFERROR(__xludf.DUMMYFUNCTION("""COMPUTED_VALUE"""),1390)</f>
        <v>1390</v>
      </c>
      <c r="H108" s="7">
        <f ca="1">IFERROR(__xludf.DUMMYFUNCTION("""COMPUTED_VALUE"""),8968)</f>
        <v>8968</v>
      </c>
      <c r="I108" s="7">
        <f ca="1">IFERROR(__xludf.DUMMYFUNCTION("""COMPUTED_VALUE"""),105)</f>
        <v>105</v>
      </c>
      <c r="J108" s="7">
        <f ca="1">IFERROR(__xludf.DUMMYFUNCTION("""COMPUTED_VALUE"""),4190)</f>
        <v>4190</v>
      </c>
      <c r="K108" s="7">
        <f ca="1">IFERROR(__xludf.DUMMYFUNCTION("""COMPUTED_VALUE"""),107)</f>
        <v>107</v>
      </c>
      <c r="L108" s="7"/>
      <c r="M108" s="7"/>
      <c r="N108" s="7"/>
    </row>
    <row r="109" spans="1:14" ht="13.2" x14ac:dyDescent="0.25">
      <c r="A109" s="6">
        <f ca="1">IFERROR(__xludf.DUMMYFUNCTION("""COMPUTED_VALUE"""),43998)</f>
        <v>43998</v>
      </c>
      <c r="B109" s="7">
        <f ca="1">IFERROR(__xludf.DUMMYFUNCTION("""COMPUTED_VALUE"""),8)</f>
        <v>8</v>
      </c>
      <c r="C109" s="8">
        <f ca="1">IFERROR(__xludf.DUMMYFUNCTION("""COMPUTED_VALUE"""),43998.3333333333)</f>
        <v>43998.333333333299</v>
      </c>
      <c r="D109" s="7">
        <f ca="1">IFERROR(__xludf.DUMMYFUNCTION("""COMPUTED_VALUE"""),583)</f>
        <v>583</v>
      </c>
      <c r="E109" s="7">
        <f ca="1">IFERROR(__xludf.DUMMYFUNCTION("""COMPUTED_VALUE"""),4329)</f>
        <v>4329</v>
      </c>
      <c r="F109" s="7">
        <f ca="1">IFERROR(__xludf.DUMMYFUNCTION("""COMPUTED_VALUE"""),2764)</f>
        <v>2764</v>
      </c>
      <c r="G109" s="7">
        <f ca="1">IFERROR(__xludf.DUMMYFUNCTION("""COMPUTED_VALUE"""),1416)</f>
        <v>1416</v>
      </c>
      <c r="H109" s="7">
        <f ca="1">IFERROR(__xludf.DUMMYFUNCTION("""COMPUTED_VALUE"""),9092)</f>
        <v>9092</v>
      </c>
      <c r="I109" s="7">
        <f ca="1">IFERROR(__xludf.DUMMYFUNCTION("""COMPUTED_VALUE"""),124)</f>
        <v>124</v>
      </c>
      <c r="J109" s="7">
        <f ca="1">IFERROR(__xludf.DUMMYFUNCTION("""COMPUTED_VALUE"""),4180)</f>
        <v>4180</v>
      </c>
      <c r="K109" s="7">
        <f ca="1">IFERROR(__xludf.DUMMYFUNCTION("""COMPUTED_VALUE"""),131)</f>
        <v>131</v>
      </c>
      <c r="L109" s="7"/>
      <c r="M109" s="7"/>
      <c r="N109" s="7"/>
    </row>
    <row r="110" spans="1:14" ht="13.2" x14ac:dyDescent="0.25">
      <c r="A110" s="6">
        <f ca="1">IFERROR(__xludf.DUMMYFUNCTION("""COMPUTED_VALUE"""),43999)</f>
        <v>43999</v>
      </c>
      <c r="B110" s="7">
        <f ca="1">IFERROR(__xludf.DUMMYFUNCTION("""COMPUTED_VALUE"""),8)</f>
        <v>8</v>
      </c>
      <c r="C110" s="8">
        <f ca="1">IFERROR(__xludf.DUMMYFUNCTION("""COMPUTED_VALUE"""),43999.3333333333)</f>
        <v>43999.333333333299</v>
      </c>
      <c r="D110" s="7">
        <f ca="1">IFERROR(__xludf.DUMMYFUNCTION("""COMPUTED_VALUE"""),588)</f>
        <v>588</v>
      </c>
      <c r="E110" s="7">
        <f ca="1">IFERROR(__xludf.DUMMYFUNCTION("""COMPUTED_VALUE"""),4444)</f>
        <v>4444</v>
      </c>
      <c r="F110" s="7">
        <f ca="1">IFERROR(__xludf.DUMMYFUNCTION("""COMPUTED_VALUE"""),2775)</f>
        <v>2775</v>
      </c>
      <c r="G110" s="7">
        <f ca="1">IFERROR(__xludf.DUMMYFUNCTION("""COMPUTED_VALUE"""),1402)</f>
        <v>1402</v>
      </c>
      <c r="H110" s="7">
        <f ca="1">IFERROR(__xludf.DUMMYFUNCTION("""COMPUTED_VALUE"""),9209)</f>
        <v>9209</v>
      </c>
      <c r="I110" s="7">
        <f ca="1">IFERROR(__xludf.DUMMYFUNCTION("""COMPUTED_VALUE"""),117)</f>
        <v>117</v>
      </c>
      <c r="J110" s="7">
        <f ca="1">IFERROR(__xludf.DUMMYFUNCTION("""COMPUTED_VALUE"""),4177)</f>
        <v>4177</v>
      </c>
      <c r="K110" s="7">
        <f ca="1">IFERROR(__xludf.DUMMYFUNCTION("""COMPUTED_VALUE"""),115)</f>
        <v>115</v>
      </c>
      <c r="L110" s="7"/>
      <c r="M110" s="7"/>
      <c r="N110" s="7"/>
    </row>
    <row r="111" spans="1:14" ht="13.2" x14ac:dyDescent="0.25">
      <c r="A111" s="6">
        <f ca="1">IFERROR(__xludf.DUMMYFUNCTION("""COMPUTED_VALUE"""),44000)</f>
        <v>44000</v>
      </c>
      <c r="B111" s="7">
        <f ca="1">IFERROR(__xludf.DUMMYFUNCTION("""COMPUTED_VALUE"""),8)</f>
        <v>8</v>
      </c>
      <c r="C111" s="8">
        <f ca="1">IFERROR(__xludf.DUMMYFUNCTION("""COMPUTED_VALUE"""),44000.3333333333)</f>
        <v>44000.333333333299</v>
      </c>
      <c r="D111" s="7">
        <f ca="1">IFERROR(__xludf.DUMMYFUNCTION("""COMPUTED_VALUE"""),594)</f>
        <v>594</v>
      </c>
      <c r="E111" s="7">
        <f ca="1">IFERROR(__xludf.DUMMYFUNCTION("""COMPUTED_VALUE"""),4592)</f>
        <v>4592</v>
      </c>
      <c r="F111" s="7">
        <f ca="1">IFERROR(__xludf.DUMMYFUNCTION("""COMPUTED_VALUE"""),2822)</f>
        <v>2822</v>
      </c>
      <c r="G111" s="7">
        <f ca="1">IFERROR(__xludf.DUMMYFUNCTION("""COMPUTED_VALUE"""),1377)</f>
        <v>1377</v>
      </c>
      <c r="H111" s="7">
        <f ca="1">IFERROR(__xludf.DUMMYFUNCTION("""COMPUTED_VALUE"""),9385)</f>
        <v>9385</v>
      </c>
      <c r="I111" s="7">
        <f ca="1">IFERROR(__xludf.DUMMYFUNCTION("""COMPUTED_VALUE"""),176)</f>
        <v>176</v>
      </c>
      <c r="J111" s="7">
        <f ca="1">IFERROR(__xludf.DUMMYFUNCTION("""COMPUTED_VALUE"""),4199)</f>
        <v>4199</v>
      </c>
      <c r="K111" s="7">
        <f ca="1">IFERROR(__xludf.DUMMYFUNCTION("""COMPUTED_VALUE"""),148)</f>
        <v>148</v>
      </c>
      <c r="L111" s="7"/>
      <c r="M111" s="7"/>
      <c r="N111" s="7"/>
    </row>
    <row r="112" spans="1:14" ht="13.2" x14ac:dyDescent="0.25">
      <c r="A112" s="6">
        <f ca="1">IFERROR(__xludf.DUMMYFUNCTION("""COMPUTED_VALUE"""),44001)</f>
        <v>44001</v>
      </c>
      <c r="B112" s="7">
        <f ca="1">IFERROR(__xludf.DUMMYFUNCTION("""COMPUTED_VALUE"""),8)</f>
        <v>8</v>
      </c>
      <c r="C112" s="8">
        <f ca="1">IFERROR(__xludf.DUMMYFUNCTION("""COMPUTED_VALUE"""),44001.3333333333)</f>
        <v>44001.333333333299</v>
      </c>
      <c r="D112" s="7">
        <f ca="1">IFERROR(__xludf.DUMMYFUNCTION("""COMPUTED_VALUE"""),599)</f>
        <v>599</v>
      </c>
      <c r="E112" s="7">
        <f ca="1">IFERROR(__xludf.DUMMYFUNCTION("""COMPUTED_VALUE"""),4682)</f>
        <v>4682</v>
      </c>
      <c r="F112" s="7">
        <f ca="1">IFERROR(__xludf.DUMMYFUNCTION("""COMPUTED_VALUE"""),2862)</f>
        <v>2862</v>
      </c>
      <c r="G112" s="7">
        <f ca="1">IFERROR(__xludf.DUMMYFUNCTION("""COMPUTED_VALUE"""),1382)</f>
        <v>1382</v>
      </c>
      <c r="H112" s="7">
        <f ca="1">IFERROR(__xludf.DUMMYFUNCTION("""COMPUTED_VALUE"""),9525)</f>
        <v>9525</v>
      </c>
      <c r="I112" s="7">
        <f ca="1">IFERROR(__xludf.DUMMYFUNCTION("""COMPUTED_VALUE"""),140)</f>
        <v>140</v>
      </c>
      <c r="J112" s="7">
        <f ca="1">IFERROR(__xludf.DUMMYFUNCTION("""COMPUTED_VALUE"""),4244)</f>
        <v>4244</v>
      </c>
      <c r="K112" s="7">
        <f ca="1">IFERROR(__xludf.DUMMYFUNCTION("""COMPUTED_VALUE"""),90)</f>
        <v>90</v>
      </c>
      <c r="L112" s="7"/>
      <c r="M112" s="7"/>
      <c r="N112" s="7"/>
    </row>
    <row r="113" spans="1:14" ht="13.2" x14ac:dyDescent="0.25">
      <c r="A113" s="6">
        <f ca="1">IFERROR(__xludf.DUMMYFUNCTION("""COMPUTED_VALUE"""),44002)</f>
        <v>44002</v>
      </c>
      <c r="B113" s="7">
        <f ca="1">IFERROR(__xludf.DUMMYFUNCTION("""COMPUTED_VALUE"""),8)</f>
        <v>8</v>
      </c>
      <c r="C113" s="8">
        <f ca="1">IFERROR(__xludf.DUMMYFUNCTION("""COMPUTED_VALUE"""),44002.3333333333)</f>
        <v>44002.333333333299</v>
      </c>
      <c r="D113" s="7">
        <f ca="1">IFERROR(__xludf.DUMMYFUNCTION("""COMPUTED_VALUE"""),603)</f>
        <v>603</v>
      </c>
      <c r="E113" s="7">
        <f ca="1">IFERROR(__xludf.DUMMYFUNCTION("""COMPUTED_VALUE"""),4821)</f>
        <v>4821</v>
      </c>
      <c r="F113" s="7">
        <f ca="1">IFERROR(__xludf.DUMMYFUNCTION("""COMPUTED_VALUE"""),2939)</f>
        <v>2939</v>
      </c>
      <c r="G113" s="7">
        <f ca="1">IFERROR(__xludf.DUMMYFUNCTION("""COMPUTED_VALUE"""),1340)</f>
        <v>1340</v>
      </c>
      <c r="H113" s="7">
        <f ca="1">IFERROR(__xludf.DUMMYFUNCTION("""COMPUTED_VALUE"""),9703)</f>
        <v>9703</v>
      </c>
      <c r="I113" s="7">
        <f ca="1">IFERROR(__xludf.DUMMYFUNCTION("""COMPUTED_VALUE"""),178)</f>
        <v>178</v>
      </c>
      <c r="J113" s="7">
        <f ca="1">IFERROR(__xludf.DUMMYFUNCTION("""COMPUTED_VALUE"""),4279)</f>
        <v>4279</v>
      </c>
      <c r="K113" s="7">
        <f ca="1">IFERROR(__xludf.DUMMYFUNCTION("""COMPUTED_VALUE"""),139)</f>
        <v>139</v>
      </c>
      <c r="L113" s="7"/>
      <c r="M113" s="7"/>
      <c r="N113" s="7"/>
    </row>
    <row r="114" spans="1:14" ht="13.2" x14ac:dyDescent="0.25">
      <c r="A114" s="6">
        <f ca="1">IFERROR(__xludf.DUMMYFUNCTION("""COMPUTED_VALUE"""),44003)</f>
        <v>44003</v>
      </c>
      <c r="B114" s="7">
        <f ca="1">IFERROR(__xludf.DUMMYFUNCTION("""COMPUTED_VALUE"""),8)</f>
        <v>8</v>
      </c>
      <c r="C114" s="8">
        <f ca="1">IFERROR(__xludf.DUMMYFUNCTION("""COMPUTED_VALUE"""),44003.3333333333)</f>
        <v>44003.333333333299</v>
      </c>
      <c r="D114" s="7">
        <f ca="1">IFERROR(__xludf.DUMMYFUNCTION("""COMPUTED_VALUE"""),615)</f>
        <v>615</v>
      </c>
      <c r="E114" s="7">
        <f ca="1">IFERROR(__xludf.DUMMYFUNCTION("""COMPUTED_VALUE"""),5054)</f>
        <v>5054</v>
      </c>
      <c r="F114" s="7">
        <f ca="1">IFERROR(__xludf.DUMMYFUNCTION("""COMPUTED_VALUE"""),2874)</f>
        <v>2874</v>
      </c>
      <c r="G114" s="7">
        <f ca="1">IFERROR(__xludf.DUMMYFUNCTION("""COMPUTED_VALUE"""),1287)</f>
        <v>1287</v>
      </c>
      <c r="H114" s="7">
        <f ca="1">IFERROR(__xludf.DUMMYFUNCTION("""COMPUTED_VALUE"""),9830)</f>
        <v>9830</v>
      </c>
      <c r="I114" s="7">
        <f ca="1">IFERROR(__xludf.DUMMYFUNCTION("""COMPUTED_VALUE"""),127)</f>
        <v>127</v>
      </c>
      <c r="J114" s="7">
        <f ca="1">IFERROR(__xludf.DUMMYFUNCTION("""COMPUTED_VALUE"""),4161)</f>
        <v>4161</v>
      </c>
      <c r="K114" s="7">
        <f ca="1">IFERROR(__xludf.DUMMYFUNCTION("""COMPUTED_VALUE"""),233)</f>
        <v>233</v>
      </c>
      <c r="L114" s="7"/>
      <c r="M114" s="7"/>
      <c r="N114" s="7"/>
    </row>
    <row r="115" spans="1:14" ht="13.2" x14ac:dyDescent="0.25">
      <c r="A115" s="6">
        <f ca="1">IFERROR(__xludf.DUMMYFUNCTION("""COMPUTED_VALUE"""),44004)</f>
        <v>44004</v>
      </c>
      <c r="B115" s="7">
        <f ca="1">IFERROR(__xludf.DUMMYFUNCTION("""COMPUTED_VALUE"""),8)</f>
        <v>8</v>
      </c>
      <c r="C115" s="8">
        <f ca="1">IFERROR(__xludf.DUMMYFUNCTION("""COMPUTED_VALUE"""),44004.3333333333)</f>
        <v>44004.333333333299</v>
      </c>
      <c r="D115" s="7">
        <f ca="1">IFERROR(__xludf.DUMMYFUNCTION("""COMPUTED_VALUE"""),618)</f>
        <v>618</v>
      </c>
      <c r="E115" s="7">
        <f ca="1">IFERROR(__xludf.DUMMYFUNCTION("""COMPUTED_VALUE"""),5128)</f>
        <v>5128</v>
      </c>
      <c r="F115" s="7">
        <f ca="1">IFERROR(__xludf.DUMMYFUNCTION("""COMPUTED_VALUE"""),2901)</f>
        <v>2901</v>
      </c>
      <c r="G115" s="7">
        <f ca="1">IFERROR(__xludf.DUMMYFUNCTION("""COMPUTED_VALUE"""),1310)</f>
        <v>1310</v>
      </c>
      <c r="H115" s="7">
        <f ca="1">IFERROR(__xludf.DUMMYFUNCTION("""COMPUTED_VALUE"""),9957)</f>
        <v>9957</v>
      </c>
      <c r="I115" s="7">
        <f ca="1">IFERROR(__xludf.DUMMYFUNCTION("""COMPUTED_VALUE"""),127)</f>
        <v>127</v>
      </c>
      <c r="J115" s="7">
        <f ca="1">IFERROR(__xludf.DUMMYFUNCTION("""COMPUTED_VALUE"""),4211)</f>
        <v>4211</v>
      </c>
      <c r="K115" s="7">
        <f ca="1">IFERROR(__xludf.DUMMYFUNCTION("""COMPUTED_VALUE"""),74)</f>
        <v>74</v>
      </c>
      <c r="L115" s="7"/>
      <c r="M115" s="7"/>
      <c r="N115" s="7"/>
    </row>
    <row r="116" spans="1:14" ht="13.2" x14ac:dyDescent="0.25">
      <c r="A116" s="6">
        <f ca="1">IFERROR(__xludf.DUMMYFUNCTION("""COMPUTED_VALUE"""),44005)</f>
        <v>44005</v>
      </c>
      <c r="B116" s="7">
        <f ca="1">IFERROR(__xludf.DUMMYFUNCTION("""COMPUTED_VALUE"""),8)</f>
        <v>8</v>
      </c>
      <c r="C116" s="8">
        <f ca="1">IFERROR(__xludf.DUMMYFUNCTION("""COMPUTED_VALUE"""),44005.3333333333)</f>
        <v>44005.333333333299</v>
      </c>
      <c r="D116" s="7">
        <f ca="1">IFERROR(__xludf.DUMMYFUNCTION("""COMPUTED_VALUE"""),619)</f>
        <v>619</v>
      </c>
      <c r="E116" s="7">
        <f ca="1">IFERROR(__xludf.DUMMYFUNCTION("""COMPUTED_VALUE"""),5228)</f>
        <v>5228</v>
      </c>
      <c r="F116" s="7">
        <f ca="1">IFERROR(__xludf.DUMMYFUNCTION("""COMPUTED_VALUE"""),2957)</f>
        <v>2957</v>
      </c>
      <c r="G116" s="7">
        <f ca="1">IFERROR(__xludf.DUMMYFUNCTION("""COMPUTED_VALUE"""),1319)</f>
        <v>1319</v>
      </c>
      <c r="H116" s="7">
        <f ca="1">IFERROR(__xludf.DUMMYFUNCTION("""COMPUTED_VALUE"""),10123)</f>
        <v>10123</v>
      </c>
      <c r="I116" s="7">
        <f ca="1">IFERROR(__xludf.DUMMYFUNCTION("""COMPUTED_VALUE"""),166)</f>
        <v>166</v>
      </c>
      <c r="J116" s="7">
        <f ca="1">IFERROR(__xludf.DUMMYFUNCTION("""COMPUTED_VALUE"""),4276)</f>
        <v>4276</v>
      </c>
      <c r="K116" s="7">
        <f ca="1">IFERROR(__xludf.DUMMYFUNCTION("""COMPUTED_VALUE"""),100)</f>
        <v>100</v>
      </c>
      <c r="L116" s="7"/>
      <c r="M116" s="7"/>
      <c r="N116" s="7"/>
    </row>
    <row r="117" spans="1:14" ht="13.2" x14ac:dyDescent="0.25">
      <c r="A117" s="6">
        <f ca="1">IFERROR(__xludf.DUMMYFUNCTION("""COMPUTED_VALUE"""),44006)</f>
        <v>44006</v>
      </c>
      <c r="B117" s="7">
        <f ca="1">IFERROR(__xludf.DUMMYFUNCTION("""COMPUTED_VALUE"""),8)</f>
        <v>8</v>
      </c>
      <c r="C117" s="8">
        <f ca="1">IFERROR(__xludf.DUMMYFUNCTION("""COMPUTED_VALUE"""),44006.3333333333)</f>
        <v>44006.333333333299</v>
      </c>
      <c r="D117" s="7">
        <f ca="1">IFERROR(__xludf.DUMMYFUNCTION("""COMPUTED_VALUE"""),628)</f>
        <v>628</v>
      </c>
      <c r="E117" s="7">
        <f ca="1">IFERROR(__xludf.DUMMYFUNCTION("""COMPUTED_VALUE"""),5322)</f>
        <v>5322</v>
      </c>
      <c r="F117" s="7">
        <f ca="1">IFERROR(__xludf.DUMMYFUNCTION("""COMPUTED_VALUE"""),2978)</f>
        <v>2978</v>
      </c>
      <c r="G117" s="7">
        <f ca="1">IFERROR(__xludf.DUMMYFUNCTION("""COMPUTED_VALUE"""),1349)</f>
        <v>1349</v>
      </c>
      <c r="H117" s="7">
        <f ca="1">IFERROR(__xludf.DUMMYFUNCTION("""COMPUTED_VALUE"""),10277)</f>
        <v>10277</v>
      </c>
      <c r="I117" s="7">
        <f ca="1">IFERROR(__xludf.DUMMYFUNCTION("""COMPUTED_VALUE"""),154)</f>
        <v>154</v>
      </c>
      <c r="J117" s="7">
        <f ca="1">IFERROR(__xludf.DUMMYFUNCTION("""COMPUTED_VALUE"""),4327)</f>
        <v>4327</v>
      </c>
      <c r="K117" s="7">
        <f ca="1">IFERROR(__xludf.DUMMYFUNCTION("""COMPUTED_VALUE"""),94)</f>
        <v>94</v>
      </c>
      <c r="L117" s="7"/>
      <c r="M117" s="7"/>
      <c r="N117" s="7"/>
    </row>
    <row r="118" spans="1:14" ht="13.2" x14ac:dyDescent="0.25">
      <c r="A118" s="6">
        <f ca="1">IFERROR(__xludf.DUMMYFUNCTION("""COMPUTED_VALUE"""),44007)</f>
        <v>44007</v>
      </c>
      <c r="B118" s="7">
        <f ca="1">IFERROR(__xludf.DUMMYFUNCTION("""COMPUTED_VALUE"""),8)</f>
        <v>8</v>
      </c>
      <c r="C118" s="8">
        <f ca="1">IFERROR(__xludf.DUMMYFUNCTION("""COMPUTED_VALUE"""),44007.3333333333)</f>
        <v>44007.333333333299</v>
      </c>
      <c r="D118" s="7">
        <f ca="1">IFERROR(__xludf.DUMMYFUNCTION("""COMPUTED_VALUE"""),631)</f>
        <v>631</v>
      </c>
      <c r="E118" s="7">
        <f ca="1">IFERROR(__xludf.DUMMYFUNCTION("""COMPUTED_VALUE"""),5435)</f>
        <v>5435</v>
      </c>
      <c r="F118" s="7">
        <f ca="1">IFERROR(__xludf.DUMMYFUNCTION("""COMPUTED_VALUE"""),3068)</f>
        <v>3068</v>
      </c>
      <c r="G118" s="7">
        <f ca="1">IFERROR(__xludf.DUMMYFUNCTION("""COMPUTED_VALUE"""),1338)</f>
        <v>1338</v>
      </c>
      <c r="H118" s="7">
        <f ca="1">IFERROR(__xludf.DUMMYFUNCTION("""COMPUTED_VALUE"""),10472)</f>
        <v>10472</v>
      </c>
      <c r="I118" s="7">
        <f ca="1">IFERROR(__xludf.DUMMYFUNCTION("""COMPUTED_VALUE"""),195)</f>
        <v>195</v>
      </c>
      <c r="J118" s="7">
        <f ca="1">IFERROR(__xludf.DUMMYFUNCTION("""COMPUTED_VALUE"""),4406)</f>
        <v>4406</v>
      </c>
      <c r="K118" s="7">
        <f ca="1">IFERROR(__xludf.DUMMYFUNCTION("""COMPUTED_VALUE"""),113)</f>
        <v>113</v>
      </c>
      <c r="L118" s="7"/>
      <c r="M118" s="7"/>
      <c r="N118" s="7"/>
    </row>
    <row r="119" spans="1:14" ht="13.2" x14ac:dyDescent="0.25">
      <c r="A119" s="6">
        <f ca="1">IFERROR(__xludf.DUMMYFUNCTION("""COMPUTED_VALUE"""),44008)</f>
        <v>44008</v>
      </c>
      <c r="B119" s="7">
        <f ca="1">IFERROR(__xludf.DUMMYFUNCTION("""COMPUTED_VALUE"""),8)</f>
        <v>8</v>
      </c>
      <c r="C119" s="8">
        <f ca="1">IFERROR(__xludf.DUMMYFUNCTION("""COMPUTED_VALUE"""),44008.3333333333)</f>
        <v>44008.333333333299</v>
      </c>
      <c r="D119" s="7">
        <f ca="1">IFERROR(__xludf.DUMMYFUNCTION("""COMPUTED_VALUE"""),632)</f>
        <v>632</v>
      </c>
      <c r="E119" s="7">
        <f ca="1">IFERROR(__xludf.DUMMYFUNCTION("""COMPUTED_VALUE"""),5542)</f>
        <v>5542</v>
      </c>
      <c r="F119" s="7">
        <f ca="1">IFERROR(__xludf.DUMMYFUNCTION("""COMPUTED_VALUE"""),3136)</f>
        <v>3136</v>
      </c>
      <c r="G119" s="7">
        <f ca="1">IFERROR(__xludf.DUMMYFUNCTION("""COMPUTED_VALUE"""),1330)</f>
        <v>1330</v>
      </c>
      <c r="H119" s="7">
        <f ca="1">IFERROR(__xludf.DUMMYFUNCTION("""COMPUTED_VALUE"""),10640)</f>
        <v>10640</v>
      </c>
      <c r="I119" s="7">
        <f ca="1">IFERROR(__xludf.DUMMYFUNCTION("""COMPUTED_VALUE"""),168)</f>
        <v>168</v>
      </c>
      <c r="J119" s="7">
        <f ca="1">IFERROR(__xludf.DUMMYFUNCTION("""COMPUTED_VALUE"""),4466)</f>
        <v>4466</v>
      </c>
      <c r="K119" s="7">
        <f ca="1">IFERROR(__xludf.DUMMYFUNCTION("""COMPUTED_VALUE"""),107)</f>
        <v>107</v>
      </c>
      <c r="L119" s="7"/>
      <c r="M119" s="7"/>
      <c r="N119" s="7"/>
    </row>
    <row r="120" spans="1:14" ht="13.2" x14ac:dyDescent="0.25">
      <c r="A120" s="6">
        <f ca="1">IFERROR(__xludf.DUMMYFUNCTION("""COMPUTED_VALUE"""),44009)</f>
        <v>44009</v>
      </c>
      <c r="B120" s="7">
        <f ca="1">IFERROR(__xludf.DUMMYFUNCTION("""COMPUTED_VALUE"""),8)</f>
        <v>8</v>
      </c>
      <c r="C120" s="8">
        <f ca="1">IFERROR(__xludf.DUMMYFUNCTION("""COMPUTED_VALUE"""),44009.3333333333)</f>
        <v>44009.333333333299</v>
      </c>
      <c r="D120" s="7">
        <f ca="1">IFERROR(__xludf.DUMMYFUNCTION("""COMPUTED_VALUE"""),632)</f>
        <v>632</v>
      </c>
      <c r="E120" s="7">
        <f ca="1">IFERROR(__xludf.DUMMYFUNCTION("""COMPUTED_VALUE"""),5610)</f>
        <v>5610</v>
      </c>
      <c r="F120" s="7">
        <f ca="1">IFERROR(__xludf.DUMMYFUNCTION("""COMPUTED_VALUE"""),3256)</f>
        <v>3256</v>
      </c>
      <c r="G120" s="7">
        <f ca="1">IFERROR(__xludf.DUMMYFUNCTION("""COMPUTED_VALUE"""),1355)</f>
        <v>1355</v>
      </c>
      <c r="H120" s="7">
        <f ca="1">IFERROR(__xludf.DUMMYFUNCTION("""COMPUTED_VALUE"""),10853)</f>
        <v>10853</v>
      </c>
      <c r="I120" s="7">
        <f ca="1">IFERROR(__xludf.DUMMYFUNCTION("""COMPUTED_VALUE"""),213)</f>
        <v>213</v>
      </c>
      <c r="J120" s="7">
        <f ca="1">IFERROR(__xludf.DUMMYFUNCTION("""COMPUTED_VALUE"""),4611)</f>
        <v>4611</v>
      </c>
      <c r="K120" s="7">
        <f ca="1">IFERROR(__xludf.DUMMYFUNCTION("""COMPUTED_VALUE"""),68)</f>
        <v>68</v>
      </c>
      <c r="L120" s="7"/>
      <c r="M120" s="7"/>
      <c r="N120" s="7"/>
    </row>
    <row r="121" spans="1:14" ht="13.2" x14ac:dyDescent="0.25">
      <c r="A121" s="6">
        <f ca="1">IFERROR(__xludf.DUMMYFUNCTION("""COMPUTED_VALUE"""),44010)</f>
        <v>44010</v>
      </c>
      <c r="B121" s="7">
        <f ca="1">IFERROR(__xludf.DUMMYFUNCTION("""COMPUTED_VALUE"""),8)</f>
        <v>8</v>
      </c>
      <c r="C121" s="8">
        <f ca="1">IFERROR(__xludf.DUMMYFUNCTION("""COMPUTED_VALUE"""),44010.3333333333)</f>
        <v>44010.333333333299</v>
      </c>
      <c r="D121" s="7">
        <f ca="1">IFERROR(__xludf.DUMMYFUNCTION("""COMPUTED_VALUE"""),635)</f>
        <v>635</v>
      </c>
      <c r="E121" s="7">
        <f ca="1">IFERROR(__xludf.DUMMYFUNCTION("""COMPUTED_VALUE"""),5865)</f>
        <v>5865</v>
      </c>
      <c r="F121" s="7">
        <f ca="1">IFERROR(__xludf.DUMMYFUNCTION("""COMPUTED_VALUE"""),3163)</f>
        <v>3163</v>
      </c>
      <c r="G121" s="7">
        <f ca="1">IFERROR(__xludf.DUMMYFUNCTION("""COMPUTED_VALUE"""),1322)</f>
        <v>1322</v>
      </c>
      <c r="H121" s="7">
        <f ca="1">IFERROR(__xludf.DUMMYFUNCTION("""COMPUTED_VALUE"""),10985)</f>
        <v>10985</v>
      </c>
      <c r="I121" s="7">
        <f ca="1">IFERROR(__xludf.DUMMYFUNCTION("""COMPUTED_VALUE"""),132)</f>
        <v>132</v>
      </c>
      <c r="J121" s="7">
        <f ca="1">IFERROR(__xludf.DUMMYFUNCTION("""COMPUTED_VALUE"""),4485)</f>
        <v>4485</v>
      </c>
      <c r="K121" s="7">
        <f ca="1">IFERROR(__xludf.DUMMYFUNCTION("""COMPUTED_VALUE"""),255)</f>
        <v>255</v>
      </c>
      <c r="L121" s="7"/>
      <c r="M121" s="7"/>
      <c r="N121" s="7"/>
    </row>
    <row r="122" spans="1:14" ht="13.2" x14ac:dyDescent="0.25">
      <c r="A122" s="6">
        <f ca="1">IFERROR(__xludf.DUMMYFUNCTION("""COMPUTED_VALUE"""),44011)</f>
        <v>44011</v>
      </c>
      <c r="B122" s="7">
        <f ca="1">IFERROR(__xludf.DUMMYFUNCTION("""COMPUTED_VALUE"""),8)</f>
        <v>8</v>
      </c>
      <c r="C122" s="8">
        <f ca="1">IFERROR(__xludf.DUMMYFUNCTION("""COMPUTED_VALUE"""),44011.3333333333)</f>
        <v>44011.333333333299</v>
      </c>
      <c r="D122" s="7">
        <f ca="1">IFERROR(__xludf.DUMMYFUNCTION("""COMPUTED_VALUE"""),636)</f>
        <v>636</v>
      </c>
      <c r="E122" s="7">
        <f ca="1">IFERROR(__xludf.DUMMYFUNCTION("""COMPUTED_VALUE"""),6118)</f>
        <v>6118</v>
      </c>
      <c r="F122" s="7">
        <f ca="1">IFERROR(__xludf.DUMMYFUNCTION("""COMPUTED_VALUE"""),3299)</f>
        <v>3299</v>
      </c>
      <c r="G122" s="7">
        <f ca="1">IFERROR(__xludf.DUMMYFUNCTION("""COMPUTED_VALUE"""),1027)</f>
        <v>1027</v>
      </c>
      <c r="H122" s="7">
        <f ca="1">IFERROR(__xludf.DUMMYFUNCTION("""COMPUTED_VALUE"""),11080)</f>
        <v>11080</v>
      </c>
      <c r="I122" s="7">
        <f ca="1">IFERROR(__xludf.DUMMYFUNCTION("""COMPUTED_VALUE"""),95)</f>
        <v>95</v>
      </c>
      <c r="J122" s="7">
        <f ca="1">IFERROR(__xludf.DUMMYFUNCTION("""COMPUTED_VALUE"""),4326)</f>
        <v>4326</v>
      </c>
      <c r="K122" s="7">
        <f ca="1">IFERROR(__xludf.DUMMYFUNCTION("""COMPUTED_VALUE"""),253)</f>
        <v>253</v>
      </c>
      <c r="L122" s="7"/>
      <c r="M122" s="7"/>
      <c r="N122" s="7"/>
    </row>
    <row r="123" spans="1:14" ht="13.2" x14ac:dyDescent="0.25">
      <c r="A123" s="6">
        <f ca="1">IFERROR(__xludf.DUMMYFUNCTION("""COMPUTED_VALUE"""),44012)</f>
        <v>44012</v>
      </c>
      <c r="B123" s="7">
        <f ca="1">IFERROR(__xludf.DUMMYFUNCTION("""COMPUTED_VALUE"""),8)</f>
        <v>8</v>
      </c>
      <c r="C123" s="8">
        <f ca="1">IFERROR(__xludf.DUMMYFUNCTION("""COMPUTED_VALUE"""),44012.3333333333)</f>
        <v>44012.333333333299</v>
      </c>
      <c r="D123" s="7">
        <f ca="1">IFERROR(__xludf.DUMMYFUNCTION("""COMPUTED_VALUE"""),641)</f>
        <v>641</v>
      </c>
      <c r="E123" s="7">
        <f ca="1">IFERROR(__xludf.DUMMYFUNCTION("""COMPUTED_VALUE"""),6512)</f>
        <v>6512</v>
      </c>
      <c r="F123" s="7">
        <f ca="1">IFERROR(__xludf.DUMMYFUNCTION("""COMPUTED_VALUE"""),3172)</f>
        <v>3172</v>
      </c>
      <c r="G123" s="7">
        <f ca="1">IFERROR(__xludf.DUMMYFUNCTION("""COMPUTED_VALUE"""),951)</f>
        <v>951</v>
      </c>
      <c r="H123" s="7">
        <f ca="1">IFERROR(__xludf.DUMMYFUNCTION("""COMPUTED_VALUE"""),11276)</f>
        <v>11276</v>
      </c>
      <c r="I123" s="7">
        <f ca="1">IFERROR(__xludf.DUMMYFUNCTION("""COMPUTED_VALUE"""),196)</f>
        <v>196</v>
      </c>
      <c r="J123" s="7">
        <f ca="1">IFERROR(__xludf.DUMMYFUNCTION("""COMPUTED_VALUE"""),4123)</f>
        <v>4123</v>
      </c>
      <c r="K123" s="7">
        <f ca="1">IFERROR(__xludf.DUMMYFUNCTION("""COMPUTED_VALUE"""),394)</f>
        <v>394</v>
      </c>
      <c r="L123" s="7"/>
      <c r="M123" s="7"/>
      <c r="N123" s="7"/>
    </row>
    <row r="124" spans="1:14" ht="13.2" x14ac:dyDescent="0.25">
      <c r="A124" s="6">
        <f ca="1">IFERROR(__xludf.DUMMYFUNCTION("""COMPUTED_VALUE"""),44013)</f>
        <v>44013</v>
      </c>
      <c r="B124" s="7">
        <f ca="1">IFERROR(__xludf.DUMMYFUNCTION("""COMPUTED_VALUE"""),8)</f>
        <v>8</v>
      </c>
      <c r="C124" s="8">
        <f ca="1">IFERROR(__xludf.DUMMYFUNCTION("""COMPUTED_VALUE"""),44013.3333333333)</f>
        <v>44013.333333333299</v>
      </c>
      <c r="D124" s="7">
        <f ca="1">IFERROR(__xludf.DUMMYFUNCTION("""COMPUTED_VALUE"""),644)</f>
        <v>644</v>
      </c>
      <c r="E124" s="7">
        <f ca="1">IFERROR(__xludf.DUMMYFUNCTION("""COMPUTED_VALUE"""),6680)</f>
        <v>6680</v>
      </c>
      <c r="F124" s="7">
        <f ca="1">IFERROR(__xludf.DUMMYFUNCTION("""COMPUTED_VALUE"""),3269)</f>
        <v>3269</v>
      </c>
      <c r="G124" s="7">
        <f ca="1">IFERROR(__xludf.DUMMYFUNCTION("""COMPUTED_VALUE"""),889)</f>
        <v>889</v>
      </c>
      <c r="H124" s="7">
        <f ca="1">IFERROR(__xludf.DUMMYFUNCTION("""COMPUTED_VALUE"""),11482)</f>
        <v>11482</v>
      </c>
      <c r="I124" s="7">
        <f ca="1">IFERROR(__xludf.DUMMYFUNCTION("""COMPUTED_VALUE"""),206)</f>
        <v>206</v>
      </c>
      <c r="J124" s="7">
        <f ca="1">IFERROR(__xludf.DUMMYFUNCTION("""COMPUTED_VALUE"""),4158)</f>
        <v>4158</v>
      </c>
      <c r="K124" s="7">
        <f ca="1">IFERROR(__xludf.DUMMYFUNCTION("""COMPUTED_VALUE"""),168)</f>
        <v>168</v>
      </c>
      <c r="L124" s="7"/>
      <c r="M124" s="7"/>
      <c r="N124" s="7"/>
    </row>
    <row r="125" spans="1:14" ht="13.2" x14ac:dyDescent="0.25">
      <c r="A125" s="6">
        <f ca="1">IFERROR(__xludf.DUMMYFUNCTION("""COMPUTED_VALUE"""),44014)</f>
        <v>44014</v>
      </c>
      <c r="B125" s="7">
        <f ca="1">IFERROR(__xludf.DUMMYFUNCTION("""COMPUTED_VALUE"""),8)</f>
        <v>8</v>
      </c>
      <c r="C125" s="8">
        <f ca="1">IFERROR(__xludf.DUMMYFUNCTION("""COMPUTED_VALUE"""),44014.3333333333)</f>
        <v>44014.333333333299</v>
      </c>
      <c r="D125" s="7">
        <f ca="1">IFERROR(__xludf.DUMMYFUNCTION("""COMPUTED_VALUE"""),646)</f>
        <v>646</v>
      </c>
      <c r="E125" s="7">
        <f ca="1">IFERROR(__xludf.DUMMYFUNCTION("""COMPUTED_VALUE"""),6871)</f>
        <v>6871</v>
      </c>
      <c r="F125" s="7">
        <f ca="1">IFERROR(__xludf.DUMMYFUNCTION("""COMPUTED_VALUE"""),3356)</f>
        <v>3356</v>
      </c>
      <c r="G125" s="7">
        <f ca="1">IFERROR(__xludf.DUMMYFUNCTION("""COMPUTED_VALUE"""),804)</f>
        <v>804</v>
      </c>
      <c r="H125" s="7">
        <f ca="1">IFERROR(__xludf.DUMMYFUNCTION("""COMPUTED_VALUE"""),11677)</f>
        <v>11677</v>
      </c>
      <c r="I125" s="7">
        <f ca="1">IFERROR(__xludf.DUMMYFUNCTION("""COMPUTED_VALUE"""),195)</f>
        <v>195</v>
      </c>
      <c r="J125" s="7">
        <f ca="1">IFERROR(__xludf.DUMMYFUNCTION("""COMPUTED_VALUE"""),4160)</f>
        <v>4160</v>
      </c>
      <c r="K125" s="7">
        <f ca="1">IFERROR(__xludf.DUMMYFUNCTION("""COMPUTED_VALUE"""),191)</f>
        <v>191</v>
      </c>
      <c r="L125" s="7"/>
      <c r="M125" s="7"/>
      <c r="N125" s="7"/>
    </row>
    <row r="126" spans="1:14" ht="13.2" x14ac:dyDescent="0.25">
      <c r="A126" s="6">
        <f ca="1">IFERROR(__xludf.DUMMYFUNCTION("""COMPUTED_VALUE"""),44015)</f>
        <v>44015</v>
      </c>
      <c r="B126" s="7">
        <f ca="1">IFERROR(__xludf.DUMMYFUNCTION("""COMPUTED_VALUE"""),8)</f>
        <v>8</v>
      </c>
      <c r="C126" s="8">
        <f ca="1">IFERROR(__xludf.DUMMYFUNCTION("""COMPUTED_VALUE"""),44015.3333333333)</f>
        <v>44015.333333333299</v>
      </c>
      <c r="D126" s="7">
        <f ca="1">IFERROR(__xludf.DUMMYFUNCTION("""COMPUTED_VALUE"""),648)</f>
        <v>648</v>
      </c>
      <c r="E126" s="7">
        <f ca="1">IFERROR(__xludf.DUMMYFUNCTION("""COMPUTED_VALUE"""),7109)</f>
        <v>7109</v>
      </c>
      <c r="F126" s="7">
        <f ca="1">IFERROR(__xludf.DUMMYFUNCTION("""COMPUTED_VALUE"""),3331)</f>
        <v>3331</v>
      </c>
      <c r="G126" s="7">
        <f ca="1">IFERROR(__xludf.DUMMYFUNCTION("""COMPUTED_VALUE"""),736)</f>
        <v>736</v>
      </c>
      <c r="H126" s="7">
        <f ca="1">IFERROR(__xludf.DUMMYFUNCTION("""COMPUTED_VALUE"""),11824)</f>
        <v>11824</v>
      </c>
      <c r="I126" s="7">
        <f ca="1">IFERROR(__xludf.DUMMYFUNCTION("""COMPUTED_VALUE"""),147)</f>
        <v>147</v>
      </c>
      <c r="J126" s="7">
        <f ca="1">IFERROR(__xludf.DUMMYFUNCTION("""COMPUTED_VALUE"""),4067)</f>
        <v>4067</v>
      </c>
      <c r="K126" s="7">
        <f ca="1">IFERROR(__xludf.DUMMYFUNCTION("""COMPUTED_VALUE"""),238)</f>
        <v>238</v>
      </c>
      <c r="L126" s="7"/>
      <c r="M126" s="7"/>
      <c r="N126" s="7"/>
    </row>
    <row r="127" spans="1:14" ht="13.2" x14ac:dyDescent="0.25">
      <c r="A127" s="6">
        <f ca="1">IFERROR(__xludf.DUMMYFUNCTION("""COMPUTED_VALUE"""),44016)</f>
        <v>44016</v>
      </c>
      <c r="B127" s="7">
        <f ca="1">IFERROR(__xludf.DUMMYFUNCTION("""COMPUTED_VALUE"""),8)</f>
        <v>8</v>
      </c>
      <c r="C127" s="8">
        <f ca="1">IFERROR(__xludf.DUMMYFUNCTION("""COMPUTED_VALUE"""),44016.3333333333)</f>
        <v>44016.333333333299</v>
      </c>
      <c r="D127" s="7">
        <f ca="1">IFERROR(__xludf.DUMMYFUNCTION("""COMPUTED_VALUE"""),650)</f>
        <v>650</v>
      </c>
      <c r="E127" s="7">
        <f ca="1">IFERROR(__xludf.DUMMYFUNCTION("""COMPUTED_VALUE"""),7377)</f>
        <v>7377</v>
      </c>
      <c r="F127" s="7">
        <f ca="1">IFERROR(__xludf.DUMMYFUNCTION("""COMPUTED_VALUE"""),3366)</f>
        <v>3366</v>
      </c>
      <c r="G127" s="7">
        <f ca="1">IFERROR(__xludf.DUMMYFUNCTION("""COMPUTED_VALUE"""),646)</f>
        <v>646</v>
      </c>
      <c r="H127" s="7">
        <f ca="1">IFERROR(__xludf.DUMMYFUNCTION("""COMPUTED_VALUE"""),12039)</f>
        <v>12039</v>
      </c>
      <c r="I127" s="7">
        <f ca="1">IFERROR(__xludf.DUMMYFUNCTION("""COMPUTED_VALUE"""),215)</f>
        <v>215</v>
      </c>
      <c r="J127" s="7">
        <f ca="1">IFERROR(__xludf.DUMMYFUNCTION("""COMPUTED_VALUE"""),4012)</f>
        <v>4012</v>
      </c>
      <c r="K127" s="7">
        <f ca="1">IFERROR(__xludf.DUMMYFUNCTION("""COMPUTED_VALUE"""),268)</f>
        <v>268</v>
      </c>
      <c r="L127" s="7"/>
      <c r="M127" s="7"/>
      <c r="N127" s="7"/>
    </row>
    <row r="128" spans="1:14" ht="13.2" x14ac:dyDescent="0.25">
      <c r="A128" s="6">
        <f ca="1">IFERROR(__xludf.DUMMYFUNCTION("""COMPUTED_VALUE"""),44017)</f>
        <v>44017</v>
      </c>
      <c r="B128" s="7">
        <f ca="1">IFERROR(__xludf.DUMMYFUNCTION("""COMPUTED_VALUE"""),8)</f>
        <v>8</v>
      </c>
      <c r="C128" s="8">
        <f ca="1">IFERROR(__xludf.DUMMYFUNCTION("""COMPUTED_VALUE"""),44017.3333333333)</f>
        <v>44017.333333333299</v>
      </c>
      <c r="D128" s="7">
        <f ca="1">IFERROR(__xludf.DUMMYFUNCTION("""COMPUTED_VALUE"""),658)</f>
        <v>658</v>
      </c>
      <c r="E128" s="7">
        <f ca="1">IFERROR(__xludf.DUMMYFUNCTION("""COMPUTED_VALUE"""),7663)</f>
        <v>7663</v>
      </c>
      <c r="F128" s="7">
        <f ca="1">IFERROR(__xludf.DUMMYFUNCTION("""COMPUTED_VALUE"""),3390)</f>
        <v>3390</v>
      </c>
      <c r="G128" s="7">
        <f ca="1">IFERROR(__xludf.DUMMYFUNCTION("""COMPUTED_VALUE"""),584)</f>
        <v>584</v>
      </c>
      <c r="H128" s="7">
        <f ca="1">IFERROR(__xludf.DUMMYFUNCTION("""COMPUTED_VALUE"""),12295)</f>
        <v>12295</v>
      </c>
      <c r="I128" s="7">
        <f ca="1">IFERROR(__xludf.DUMMYFUNCTION("""COMPUTED_VALUE"""),256)</f>
        <v>256</v>
      </c>
      <c r="J128" s="7">
        <f ca="1">IFERROR(__xludf.DUMMYFUNCTION("""COMPUTED_VALUE"""),3974)</f>
        <v>3974</v>
      </c>
      <c r="K128" s="7">
        <f ca="1">IFERROR(__xludf.DUMMYFUNCTION("""COMPUTED_VALUE"""),286)</f>
        <v>286</v>
      </c>
      <c r="L128" s="7"/>
      <c r="M128" s="7"/>
      <c r="N128" s="7"/>
    </row>
    <row r="129" spans="1:14" ht="13.2" x14ac:dyDescent="0.25">
      <c r="A129" s="6">
        <f ca="1">IFERROR(__xludf.DUMMYFUNCTION("""COMPUTED_VALUE"""),44018)</f>
        <v>44018</v>
      </c>
      <c r="B129" s="7">
        <f ca="1">IFERROR(__xludf.DUMMYFUNCTION("""COMPUTED_VALUE"""),8)</f>
        <v>8</v>
      </c>
      <c r="C129" s="8">
        <f ca="1">IFERROR(__xludf.DUMMYFUNCTION("""COMPUTED_VALUE"""),44018.3333333333)</f>
        <v>44018.333333333299</v>
      </c>
      <c r="D129" s="7">
        <f ca="1">IFERROR(__xludf.DUMMYFUNCTION("""COMPUTED_VALUE"""),658)</f>
        <v>658</v>
      </c>
      <c r="E129" s="7">
        <f ca="1">IFERROR(__xludf.DUMMYFUNCTION("""COMPUTED_VALUE"""),8033)</f>
        <v>8033</v>
      </c>
      <c r="F129" s="7">
        <f ca="1">IFERROR(__xludf.DUMMYFUNCTION("""COMPUTED_VALUE"""),3340)</f>
        <v>3340</v>
      </c>
      <c r="G129" s="7">
        <f ca="1">IFERROR(__xludf.DUMMYFUNCTION("""COMPUTED_VALUE"""),495)</f>
        <v>495</v>
      </c>
      <c r="H129" s="7">
        <f ca="1">IFERROR(__xludf.DUMMYFUNCTION("""COMPUTED_VALUE"""),12526)</f>
        <v>12526</v>
      </c>
      <c r="I129" s="7">
        <f ca="1">IFERROR(__xludf.DUMMYFUNCTION("""COMPUTED_VALUE"""),231)</f>
        <v>231</v>
      </c>
      <c r="J129" s="7">
        <f ca="1">IFERROR(__xludf.DUMMYFUNCTION("""COMPUTED_VALUE"""),3835)</f>
        <v>3835</v>
      </c>
      <c r="K129" s="7">
        <f ca="1">IFERROR(__xludf.DUMMYFUNCTION("""COMPUTED_VALUE"""),370)</f>
        <v>370</v>
      </c>
      <c r="L129" s="7"/>
      <c r="M129" s="7"/>
      <c r="N129" s="7"/>
    </row>
    <row r="130" spans="1:14" ht="13.2" x14ac:dyDescent="0.25">
      <c r="A130" s="6">
        <f ca="1">IFERROR(__xludf.DUMMYFUNCTION("""COMPUTED_VALUE"""),44019)</f>
        <v>44019</v>
      </c>
      <c r="B130" s="7">
        <f ca="1">IFERROR(__xludf.DUMMYFUNCTION("""COMPUTED_VALUE"""),8)</f>
        <v>8</v>
      </c>
      <c r="C130" s="8">
        <f ca="1">IFERROR(__xludf.DUMMYFUNCTION("""COMPUTED_VALUE"""),44019.3333333333)</f>
        <v>44019.333333333299</v>
      </c>
      <c r="D130" s="7">
        <f ca="1">IFERROR(__xludf.DUMMYFUNCTION("""COMPUTED_VALUE"""),664)</f>
        <v>664</v>
      </c>
      <c r="E130" s="7">
        <f ca="1">IFERROR(__xludf.DUMMYFUNCTION("""COMPUTED_VALUE"""),8277)</f>
        <v>8277</v>
      </c>
      <c r="F130" s="7">
        <f ca="1">IFERROR(__xludf.DUMMYFUNCTION("""COMPUTED_VALUE"""),3379)</f>
        <v>3379</v>
      </c>
      <c r="G130" s="7">
        <f ca="1">IFERROR(__xludf.DUMMYFUNCTION("""COMPUTED_VALUE"""),405)</f>
        <v>405</v>
      </c>
      <c r="H130" s="7">
        <f ca="1">IFERROR(__xludf.DUMMYFUNCTION("""COMPUTED_VALUE"""),12725)</f>
        <v>12725</v>
      </c>
      <c r="I130" s="7">
        <f ca="1">IFERROR(__xludf.DUMMYFUNCTION("""COMPUTED_VALUE"""),199)</f>
        <v>199</v>
      </c>
      <c r="J130" s="7">
        <f ca="1">IFERROR(__xludf.DUMMYFUNCTION("""COMPUTED_VALUE"""),3784)</f>
        <v>3784</v>
      </c>
      <c r="K130" s="7">
        <f ca="1">IFERROR(__xludf.DUMMYFUNCTION("""COMPUTED_VALUE"""),244)</f>
        <v>244</v>
      </c>
      <c r="L130" s="7"/>
      <c r="M130" s="7"/>
      <c r="N130" s="7"/>
    </row>
    <row r="131" spans="1:14" ht="13.2" x14ac:dyDescent="0.25">
      <c r="A131" s="6">
        <f ca="1">IFERROR(__xludf.DUMMYFUNCTION("""COMPUTED_VALUE"""),44020)</f>
        <v>44020</v>
      </c>
      <c r="B131" s="7">
        <f ca="1">IFERROR(__xludf.DUMMYFUNCTION("""COMPUTED_VALUE"""),8)</f>
        <v>8</v>
      </c>
      <c r="C131" s="8">
        <f ca="1">IFERROR(__xludf.DUMMYFUNCTION("""COMPUTED_VALUE"""),44020.3333333333)</f>
        <v>44020.333333333299</v>
      </c>
      <c r="D131" s="7">
        <f ca="1">IFERROR(__xludf.DUMMYFUNCTION("""COMPUTED_VALUE"""),667)</f>
        <v>667</v>
      </c>
      <c r="E131" s="7">
        <f ca="1">IFERROR(__xludf.DUMMYFUNCTION("""COMPUTED_VALUE"""),8429)</f>
        <v>8429</v>
      </c>
      <c r="F131" s="7">
        <f ca="1">IFERROR(__xludf.DUMMYFUNCTION("""COMPUTED_VALUE"""),3556)</f>
        <v>3556</v>
      </c>
      <c r="G131" s="7">
        <f ca="1">IFERROR(__xludf.DUMMYFUNCTION("""COMPUTED_VALUE"""),417)</f>
        <v>417</v>
      </c>
      <c r="H131" s="7">
        <f ca="1">IFERROR(__xludf.DUMMYFUNCTION("""COMPUTED_VALUE"""),13069)</f>
        <v>13069</v>
      </c>
      <c r="I131" s="7">
        <f ca="1">IFERROR(__xludf.DUMMYFUNCTION("""COMPUTED_VALUE"""),344)</f>
        <v>344</v>
      </c>
      <c r="J131" s="7">
        <f ca="1">IFERROR(__xludf.DUMMYFUNCTION("""COMPUTED_VALUE"""),3973)</f>
        <v>3973</v>
      </c>
      <c r="K131" s="7">
        <f ca="1">IFERROR(__xludf.DUMMYFUNCTION("""COMPUTED_VALUE"""),152)</f>
        <v>152</v>
      </c>
      <c r="L131" s="7"/>
      <c r="M131" s="7"/>
      <c r="N131" s="7"/>
    </row>
    <row r="132" spans="1:14" ht="13.2" x14ac:dyDescent="0.25">
      <c r="A132" s="6">
        <f ca="1">IFERROR(__xludf.DUMMYFUNCTION("""COMPUTED_VALUE"""),44021)</f>
        <v>44021</v>
      </c>
      <c r="B132" s="7">
        <f ca="1">IFERROR(__xludf.DUMMYFUNCTION("""COMPUTED_VALUE"""),8)</f>
        <v>8</v>
      </c>
      <c r="C132" s="8">
        <f ca="1">IFERROR(__xludf.DUMMYFUNCTION("""COMPUTED_VALUE"""),44021.3333333333)</f>
        <v>44021.333333333299</v>
      </c>
      <c r="D132" s="7">
        <f ca="1">IFERROR(__xludf.DUMMYFUNCTION("""COMPUTED_VALUE"""),677)</f>
        <v>677</v>
      </c>
      <c r="E132" s="7">
        <f ca="1">IFERROR(__xludf.DUMMYFUNCTION("""COMPUTED_VALUE"""),8647)</f>
        <v>8647</v>
      </c>
      <c r="F132" s="7">
        <f ca="1">IFERROR(__xludf.DUMMYFUNCTION("""COMPUTED_VALUE"""),3584)</f>
        <v>3584</v>
      </c>
      <c r="G132" s="7">
        <f ca="1">IFERROR(__xludf.DUMMYFUNCTION("""COMPUTED_VALUE"""),451)</f>
        <v>451</v>
      </c>
      <c r="H132" s="7">
        <f ca="1">IFERROR(__xludf.DUMMYFUNCTION("""COMPUTED_VALUE"""),13359)</f>
        <v>13359</v>
      </c>
      <c r="I132" s="7">
        <f ca="1">IFERROR(__xludf.DUMMYFUNCTION("""COMPUTED_VALUE"""),290)</f>
        <v>290</v>
      </c>
      <c r="J132" s="7">
        <f ca="1">IFERROR(__xludf.DUMMYFUNCTION("""COMPUTED_VALUE"""),4035)</f>
        <v>4035</v>
      </c>
      <c r="K132" s="7">
        <f ca="1">IFERROR(__xludf.DUMMYFUNCTION("""COMPUTED_VALUE"""),218)</f>
        <v>218</v>
      </c>
      <c r="L132" s="7"/>
      <c r="M132" s="7"/>
      <c r="N132" s="7"/>
    </row>
    <row r="133" spans="1:14" ht="13.2" x14ac:dyDescent="0.25">
      <c r="A133" s="6">
        <f ca="1">IFERROR(__xludf.DUMMYFUNCTION("""COMPUTED_VALUE"""),44022)</f>
        <v>44022</v>
      </c>
      <c r="B133" s="7">
        <f ca="1">IFERROR(__xludf.DUMMYFUNCTION("""COMPUTED_VALUE"""),8)</f>
        <v>8</v>
      </c>
      <c r="C133" s="8">
        <f ca="1">IFERROR(__xludf.DUMMYFUNCTION("""COMPUTED_VALUE"""),44022.3333333333)</f>
        <v>44022.333333333299</v>
      </c>
      <c r="D133" s="7">
        <f ca="1">IFERROR(__xludf.DUMMYFUNCTION("""COMPUTED_VALUE"""),684)</f>
        <v>684</v>
      </c>
      <c r="E133" s="7">
        <f ca="1">IFERROR(__xludf.DUMMYFUNCTION("""COMPUTED_VALUE"""),8825)</f>
        <v>8825</v>
      </c>
      <c r="F133" s="7">
        <f ca="1">IFERROR(__xludf.DUMMYFUNCTION("""COMPUTED_VALUE"""),3613)</f>
        <v>3613</v>
      </c>
      <c r="G133" s="7">
        <f ca="1">IFERROR(__xludf.DUMMYFUNCTION("""COMPUTED_VALUE"""),476)</f>
        <v>476</v>
      </c>
      <c r="H133" s="7">
        <f ca="1">IFERROR(__xludf.DUMMYFUNCTION("""COMPUTED_VALUE"""),13598)</f>
        <v>13598</v>
      </c>
      <c r="I133" s="7">
        <f ca="1">IFERROR(__xludf.DUMMYFUNCTION("""COMPUTED_VALUE"""),239)</f>
        <v>239</v>
      </c>
      <c r="J133" s="7">
        <f ca="1">IFERROR(__xludf.DUMMYFUNCTION("""COMPUTED_VALUE"""),4089)</f>
        <v>4089</v>
      </c>
      <c r="K133" s="7">
        <f ca="1">IFERROR(__xludf.DUMMYFUNCTION("""COMPUTED_VALUE"""),178)</f>
        <v>178</v>
      </c>
      <c r="L133" s="7"/>
      <c r="M133" s="7"/>
      <c r="N133" s="7"/>
    </row>
    <row r="134" spans="1:14" ht="13.2" x14ac:dyDescent="0.25">
      <c r="A134" s="6">
        <f ca="1">IFERROR(__xludf.DUMMYFUNCTION("""COMPUTED_VALUE"""),44023)</f>
        <v>44023</v>
      </c>
      <c r="B134" s="7">
        <f ca="1">IFERROR(__xludf.DUMMYFUNCTION("""COMPUTED_VALUE"""),8)</f>
        <v>8</v>
      </c>
      <c r="C134" s="8">
        <f ca="1">IFERROR(__xludf.DUMMYFUNCTION("""COMPUTED_VALUE"""),44023.3333333333)</f>
        <v>44023.333333333299</v>
      </c>
      <c r="D134" s="7">
        <f ca="1">IFERROR(__xludf.DUMMYFUNCTION("""COMPUTED_VALUE"""),690)</f>
        <v>690</v>
      </c>
      <c r="E134" s="7">
        <f ca="1">IFERROR(__xludf.DUMMYFUNCTION("""COMPUTED_VALUE"""),9040)</f>
        <v>9040</v>
      </c>
      <c r="F134" s="7">
        <f ca="1">IFERROR(__xludf.DUMMYFUNCTION("""COMPUTED_VALUE"""),3732)</f>
        <v>3732</v>
      </c>
      <c r="G134" s="7">
        <f ca="1">IFERROR(__xludf.DUMMYFUNCTION("""COMPUTED_VALUE"""),495)</f>
        <v>495</v>
      </c>
      <c r="H134" s="7">
        <f ca="1">IFERROR(__xludf.DUMMYFUNCTION("""COMPUTED_VALUE"""),13957)</f>
        <v>13957</v>
      </c>
      <c r="I134" s="7">
        <f ca="1">IFERROR(__xludf.DUMMYFUNCTION("""COMPUTED_VALUE"""),359)</f>
        <v>359</v>
      </c>
      <c r="J134" s="7">
        <f ca="1">IFERROR(__xludf.DUMMYFUNCTION("""COMPUTED_VALUE"""),4227)</f>
        <v>4227</v>
      </c>
      <c r="K134" s="7">
        <f ca="1">IFERROR(__xludf.DUMMYFUNCTION("""COMPUTED_VALUE"""),215)</f>
        <v>215</v>
      </c>
      <c r="L134" s="7"/>
      <c r="M134" s="7"/>
      <c r="N134" s="7"/>
    </row>
    <row r="135" spans="1:14" ht="13.2" x14ac:dyDescent="0.25">
      <c r="A135" s="6">
        <f ca="1">IFERROR(__xludf.DUMMYFUNCTION("""COMPUTED_VALUE"""),44024)</f>
        <v>44024</v>
      </c>
      <c r="B135" s="7">
        <f ca="1">IFERROR(__xludf.DUMMYFUNCTION("""COMPUTED_VALUE"""),8)</f>
        <v>8</v>
      </c>
      <c r="C135" s="8">
        <f ca="1">IFERROR(__xludf.DUMMYFUNCTION("""COMPUTED_VALUE"""),44024.3333333333)</f>
        <v>44024.333333333299</v>
      </c>
      <c r="D135" s="7">
        <f ca="1">IFERROR(__xludf.DUMMYFUNCTION("""COMPUTED_VALUE"""),702)</f>
        <v>702</v>
      </c>
      <c r="E135" s="7">
        <f ca="1">IFERROR(__xludf.DUMMYFUNCTION("""COMPUTED_VALUE"""),9200)</f>
        <v>9200</v>
      </c>
      <c r="F135" s="7">
        <f ca="1">IFERROR(__xludf.DUMMYFUNCTION("""COMPUTED_VALUE"""),3905)</f>
        <v>3905</v>
      </c>
      <c r="G135" s="7">
        <f ca="1">IFERROR(__xludf.DUMMYFUNCTION("""COMPUTED_VALUE"""),554)</f>
        <v>554</v>
      </c>
      <c r="H135" s="7">
        <f ca="1">IFERROR(__xludf.DUMMYFUNCTION("""COMPUTED_VALUE"""),14361)</f>
        <v>14361</v>
      </c>
      <c r="I135" s="7">
        <f ca="1">IFERROR(__xludf.DUMMYFUNCTION("""COMPUTED_VALUE"""),404)</f>
        <v>404</v>
      </c>
      <c r="J135" s="7">
        <f ca="1">IFERROR(__xludf.DUMMYFUNCTION("""COMPUTED_VALUE"""),4459)</f>
        <v>4459</v>
      </c>
      <c r="K135" s="7">
        <f ca="1">IFERROR(__xludf.DUMMYFUNCTION("""COMPUTED_VALUE"""),160)</f>
        <v>160</v>
      </c>
      <c r="L135" s="7"/>
      <c r="M135" s="7"/>
      <c r="N135" s="7"/>
    </row>
    <row r="136" spans="1:14" ht="13.2" x14ac:dyDescent="0.25">
      <c r="A136" s="6">
        <f ca="1">IFERROR(__xludf.DUMMYFUNCTION("""COMPUTED_VALUE"""),44025)</f>
        <v>44025</v>
      </c>
      <c r="B136" s="7">
        <f ca="1">IFERROR(__xludf.DUMMYFUNCTION("""COMPUTED_VALUE"""),8)</f>
        <v>8</v>
      </c>
      <c r="C136" s="8">
        <f ca="1">IFERROR(__xludf.DUMMYFUNCTION("""COMPUTED_VALUE"""),44025.3333333333)</f>
        <v>44025.333333333299</v>
      </c>
      <c r="D136" s="7">
        <f ca="1">IFERROR(__xludf.DUMMYFUNCTION("""COMPUTED_VALUE"""),710)</f>
        <v>710</v>
      </c>
      <c r="E136" s="7">
        <f ca="1">IFERROR(__xludf.DUMMYFUNCTION("""COMPUTED_VALUE"""),9408)</f>
        <v>9408</v>
      </c>
      <c r="F136" s="7">
        <f ca="1">IFERROR(__xludf.DUMMYFUNCTION("""COMPUTED_VALUE"""),3924)</f>
        <v>3924</v>
      </c>
      <c r="G136" s="7">
        <f ca="1">IFERROR(__xludf.DUMMYFUNCTION("""COMPUTED_VALUE"""),597)</f>
        <v>597</v>
      </c>
      <c r="H136" s="7">
        <f ca="1">IFERROR(__xludf.DUMMYFUNCTION("""COMPUTED_VALUE"""),14639)</f>
        <v>14639</v>
      </c>
      <c r="I136" s="7">
        <f ca="1">IFERROR(__xludf.DUMMYFUNCTION("""COMPUTED_VALUE"""),278)</f>
        <v>278</v>
      </c>
      <c r="J136" s="7">
        <f ca="1">IFERROR(__xludf.DUMMYFUNCTION("""COMPUTED_VALUE"""),4521)</f>
        <v>4521</v>
      </c>
      <c r="K136" s="7">
        <f ca="1">IFERROR(__xludf.DUMMYFUNCTION("""COMPUTED_VALUE"""),208)</f>
        <v>208</v>
      </c>
      <c r="L136" s="7"/>
      <c r="M136" s="7"/>
      <c r="N136" s="7"/>
    </row>
    <row r="137" spans="1:14" ht="13.2" x14ac:dyDescent="0.25">
      <c r="A137" s="6">
        <f ca="1">IFERROR(__xludf.DUMMYFUNCTION("""COMPUTED_VALUE"""),44026)</f>
        <v>44026</v>
      </c>
      <c r="B137" s="7">
        <f ca="1">IFERROR(__xludf.DUMMYFUNCTION("""COMPUTED_VALUE"""),8)</f>
        <v>8</v>
      </c>
      <c r="C137" s="8">
        <f ca="1">IFERROR(__xludf.DUMMYFUNCTION("""COMPUTED_VALUE"""),44026.3333333333)</f>
        <v>44026.333333333299</v>
      </c>
      <c r="D137" s="7">
        <f ca="1">IFERROR(__xludf.DUMMYFUNCTION("""COMPUTED_VALUE"""),714)</f>
        <v>714</v>
      </c>
      <c r="E137" s="7">
        <f ca="1">IFERROR(__xludf.DUMMYFUNCTION("""COMPUTED_VALUE"""),9528)</f>
        <v>9528</v>
      </c>
      <c r="F137" s="7">
        <f ca="1">IFERROR(__xludf.DUMMYFUNCTION("""COMPUTED_VALUE"""),4053)</f>
        <v>4053</v>
      </c>
      <c r="G137" s="7">
        <f ca="1">IFERROR(__xludf.DUMMYFUNCTION("""COMPUTED_VALUE"""),619)</f>
        <v>619</v>
      </c>
      <c r="H137" s="7">
        <f ca="1">IFERROR(__xludf.DUMMYFUNCTION("""COMPUTED_VALUE"""),14914)</f>
        <v>14914</v>
      </c>
      <c r="I137" s="7">
        <f ca="1">IFERROR(__xludf.DUMMYFUNCTION("""COMPUTED_VALUE"""),275)</f>
        <v>275</v>
      </c>
      <c r="J137" s="7">
        <f ca="1">IFERROR(__xludf.DUMMYFUNCTION("""COMPUTED_VALUE"""),4672)</f>
        <v>4672</v>
      </c>
      <c r="K137" s="7">
        <f ca="1">IFERROR(__xludf.DUMMYFUNCTION("""COMPUTED_VALUE"""),120)</f>
        <v>120</v>
      </c>
      <c r="L137" s="7"/>
      <c r="M137" s="7"/>
      <c r="N137" s="7"/>
    </row>
    <row r="138" spans="1:14" ht="13.2" x14ac:dyDescent="0.25">
      <c r="A138" s="6">
        <f ca="1">IFERROR(__xludf.DUMMYFUNCTION("""COMPUTED_VALUE"""),44027)</f>
        <v>44027</v>
      </c>
      <c r="B138" s="7">
        <f ca="1">IFERROR(__xludf.DUMMYFUNCTION("""COMPUTED_VALUE"""),8)</f>
        <v>8</v>
      </c>
      <c r="C138" s="8">
        <f ca="1">IFERROR(__xludf.DUMMYFUNCTION("""COMPUTED_VALUE"""),44027.3333333333)</f>
        <v>44027.333333333299</v>
      </c>
      <c r="D138" s="7">
        <f ca="1">IFERROR(__xludf.DUMMYFUNCTION("""COMPUTED_VALUE"""),720)</f>
        <v>720</v>
      </c>
      <c r="E138" s="7">
        <f ca="1">IFERROR(__xludf.DUMMYFUNCTION("""COMPUTED_VALUE"""),9721)</f>
        <v>9721</v>
      </c>
      <c r="F138" s="7">
        <f ca="1">IFERROR(__xludf.DUMMYFUNCTION("""COMPUTED_VALUE"""),4041)</f>
        <v>4041</v>
      </c>
      <c r="G138" s="7">
        <f ca="1">IFERROR(__xludf.DUMMYFUNCTION("""COMPUTED_VALUE"""),691)</f>
        <v>691</v>
      </c>
      <c r="H138" s="7">
        <f ca="1">IFERROR(__xludf.DUMMYFUNCTION("""COMPUTED_VALUE"""),15173)</f>
        <v>15173</v>
      </c>
      <c r="I138" s="7">
        <f ca="1">IFERROR(__xludf.DUMMYFUNCTION("""COMPUTED_VALUE"""),259)</f>
        <v>259</v>
      </c>
      <c r="J138" s="7">
        <f ca="1">IFERROR(__xludf.DUMMYFUNCTION("""COMPUTED_VALUE"""),4732)</f>
        <v>4732</v>
      </c>
      <c r="K138" s="7">
        <f ca="1">IFERROR(__xludf.DUMMYFUNCTION("""COMPUTED_VALUE"""),193)</f>
        <v>193</v>
      </c>
      <c r="L138" s="7"/>
      <c r="M138" s="7"/>
      <c r="N138" s="7"/>
    </row>
    <row r="139" spans="1:14" ht="13.2" x14ac:dyDescent="0.25">
      <c r="A139" s="6">
        <f ca="1">IFERROR(__xludf.DUMMYFUNCTION("""COMPUTED_VALUE"""),44028)</f>
        <v>44028</v>
      </c>
      <c r="B139" s="7">
        <f ca="1">IFERROR(__xludf.DUMMYFUNCTION("""COMPUTED_VALUE"""),8)</f>
        <v>8</v>
      </c>
      <c r="C139" s="8">
        <f ca="1">IFERROR(__xludf.DUMMYFUNCTION("""COMPUTED_VALUE"""),44028.3333333333)</f>
        <v>44028.333333333299</v>
      </c>
      <c r="D139" s="7">
        <f ca="1">IFERROR(__xludf.DUMMYFUNCTION("""COMPUTED_VALUE"""),722)</f>
        <v>722</v>
      </c>
      <c r="E139" s="7">
        <f ca="1">IFERROR(__xludf.DUMMYFUNCTION("""COMPUTED_VALUE"""),9857)</f>
        <v>9857</v>
      </c>
      <c r="F139" s="7">
        <f ca="1">IFERROR(__xludf.DUMMYFUNCTION("""COMPUTED_VALUE"""),4110)</f>
        <v>4110</v>
      </c>
      <c r="G139" s="7">
        <f ca="1">IFERROR(__xludf.DUMMYFUNCTION("""COMPUTED_VALUE"""),777)</f>
        <v>777</v>
      </c>
      <c r="H139" s="7">
        <f ca="1">IFERROR(__xludf.DUMMYFUNCTION("""COMPUTED_VALUE"""),15466)</f>
        <v>15466</v>
      </c>
      <c r="I139" s="7">
        <f ca="1">IFERROR(__xludf.DUMMYFUNCTION("""COMPUTED_VALUE"""),293)</f>
        <v>293</v>
      </c>
      <c r="J139" s="7">
        <f ca="1">IFERROR(__xludf.DUMMYFUNCTION("""COMPUTED_VALUE"""),4887)</f>
        <v>4887</v>
      </c>
      <c r="K139" s="7">
        <f ca="1">IFERROR(__xludf.DUMMYFUNCTION("""COMPUTED_VALUE"""),136)</f>
        <v>136</v>
      </c>
      <c r="L139" s="7"/>
      <c r="M139" s="7"/>
      <c r="N139" s="7"/>
    </row>
    <row r="140" spans="1:14" ht="13.2" x14ac:dyDescent="0.25">
      <c r="A140" s="6">
        <f ca="1">IFERROR(__xludf.DUMMYFUNCTION("""COMPUTED_VALUE"""),44029)</f>
        <v>44029</v>
      </c>
      <c r="B140" s="7">
        <f ca="1">IFERROR(__xludf.DUMMYFUNCTION("""COMPUTED_VALUE"""),8)</f>
        <v>8</v>
      </c>
      <c r="C140" s="8">
        <f ca="1">IFERROR(__xludf.DUMMYFUNCTION("""COMPUTED_VALUE"""),44029.3333333333)</f>
        <v>44029.333333333299</v>
      </c>
      <c r="D140" s="7">
        <f ca="1">IFERROR(__xludf.DUMMYFUNCTION("""COMPUTED_VALUE"""),731)</f>
        <v>731</v>
      </c>
      <c r="E140" s="7">
        <f ca="1">IFERROR(__xludf.DUMMYFUNCTION("""COMPUTED_VALUE"""),9994)</f>
        <v>9994</v>
      </c>
      <c r="F140" s="7">
        <f ca="1">IFERROR(__xludf.DUMMYFUNCTION("""COMPUTED_VALUE"""),4156)</f>
        <v>4156</v>
      </c>
      <c r="G140" s="7">
        <f ca="1">IFERROR(__xludf.DUMMYFUNCTION("""COMPUTED_VALUE"""),826)</f>
        <v>826</v>
      </c>
      <c r="H140" s="7">
        <f ca="1">IFERROR(__xludf.DUMMYFUNCTION("""COMPUTED_VALUE"""),15707)</f>
        <v>15707</v>
      </c>
      <c r="I140" s="7">
        <f ca="1">IFERROR(__xludf.DUMMYFUNCTION("""COMPUTED_VALUE"""),241)</f>
        <v>241</v>
      </c>
      <c r="J140" s="7">
        <f ca="1">IFERROR(__xludf.DUMMYFUNCTION("""COMPUTED_VALUE"""),4982)</f>
        <v>4982</v>
      </c>
      <c r="K140" s="7">
        <f ca="1">IFERROR(__xludf.DUMMYFUNCTION("""COMPUTED_VALUE"""),137)</f>
        <v>137</v>
      </c>
      <c r="L140" s="7"/>
      <c r="M140" s="7"/>
      <c r="N140" s="7"/>
    </row>
    <row r="141" spans="1:14" ht="13.2" x14ac:dyDescent="0.25">
      <c r="A141" s="6">
        <f ca="1">IFERROR(__xludf.DUMMYFUNCTION("""COMPUTED_VALUE"""),44030)</f>
        <v>44030</v>
      </c>
      <c r="B141" s="7">
        <f ca="1">IFERROR(__xludf.DUMMYFUNCTION("""COMPUTED_VALUE"""),8)</f>
        <v>8</v>
      </c>
      <c r="C141" s="8">
        <f ca="1">IFERROR(__xludf.DUMMYFUNCTION("""COMPUTED_VALUE"""),44030.3333333333)</f>
        <v>44030.333333333299</v>
      </c>
      <c r="D141" s="7">
        <f ca="1">IFERROR(__xludf.DUMMYFUNCTION("""COMPUTED_VALUE"""),740)</f>
        <v>740</v>
      </c>
      <c r="E141" s="7">
        <f ca="1">IFERROR(__xludf.DUMMYFUNCTION("""COMPUTED_VALUE"""),10117)</f>
        <v>10117</v>
      </c>
      <c r="F141" s="7">
        <f ca="1">IFERROR(__xludf.DUMMYFUNCTION("""COMPUTED_VALUE"""),4289)</f>
        <v>4289</v>
      </c>
      <c r="G141" s="7">
        <f ca="1">IFERROR(__xludf.DUMMYFUNCTION("""COMPUTED_VALUE"""),892)</f>
        <v>892</v>
      </c>
      <c r="H141" s="7">
        <f ca="1">IFERROR(__xludf.DUMMYFUNCTION("""COMPUTED_VALUE"""),16038)</f>
        <v>16038</v>
      </c>
      <c r="I141" s="7">
        <f ca="1">IFERROR(__xludf.DUMMYFUNCTION("""COMPUTED_VALUE"""),331)</f>
        <v>331</v>
      </c>
      <c r="J141" s="7">
        <f ca="1">IFERROR(__xludf.DUMMYFUNCTION("""COMPUTED_VALUE"""),5181)</f>
        <v>5181</v>
      </c>
      <c r="K141" s="7">
        <f ca="1">IFERROR(__xludf.DUMMYFUNCTION("""COMPUTED_VALUE"""),123)</f>
        <v>123</v>
      </c>
      <c r="L141" s="7"/>
      <c r="M141" s="7"/>
      <c r="N141" s="7"/>
    </row>
    <row r="142" spans="1:14" ht="13.2" x14ac:dyDescent="0.25">
      <c r="A142" s="6">
        <f ca="1">IFERROR(__xludf.DUMMYFUNCTION("""COMPUTED_VALUE"""),44031)</f>
        <v>44031</v>
      </c>
      <c r="B142" s="7">
        <f ca="1">IFERROR(__xludf.DUMMYFUNCTION("""COMPUTED_VALUE"""),8)</f>
        <v>8</v>
      </c>
      <c r="C142" s="8">
        <f ca="1">IFERROR(__xludf.DUMMYFUNCTION("""COMPUTED_VALUE"""),44031.3333333333)</f>
        <v>44031.333333333299</v>
      </c>
      <c r="D142" s="7">
        <f ca="1">IFERROR(__xludf.DUMMYFUNCTION("""COMPUTED_VALUE"""),748)</f>
        <v>748</v>
      </c>
      <c r="E142" s="7">
        <f ca="1">IFERROR(__xludf.DUMMYFUNCTION("""COMPUTED_VALUE"""),10444)</f>
        <v>10444</v>
      </c>
      <c r="F142" s="7">
        <f ca="1">IFERROR(__xludf.DUMMYFUNCTION("""COMPUTED_VALUE"""),4236)</f>
        <v>4236</v>
      </c>
      <c r="G142" s="7">
        <f ca="1">IFERROR(__xludf.DUMMYFUNCTION("""COMPUTED_VALUE"""),923)</f>
        <v>923</v>
      </c>
      <c r="H142" s="7">
        <f ca="1">IFERROR(__xludf.DUMMYFUNCTION("""COMPUTED_VALUE"""),16351)</f>
        <v>16351</v>
      </c>
      <c r="I142" s="7">
        <f ca="1">IFERROR(__xludf.DUMMYFUNCTION("""COMPUTED_VALUE"""),313)</f>
        <v>313</v>
      </c>
      <c r="J142" s="7">
        <f ca="1">IFERROR(__xludf.DUMMYFUNCTION("""COMPUTED_VALUE"""),5159)</f>
        <v>5159</v>
      </c>
      <c r="K142" s="7">
        <f ca="1">IFERROR(__xludf.DUMMYFUNCTION("""COMPUTED_VALUE"""),327)</f>
        <v>327</v>
      </c>
      <c r="L142" s="7">
        <f ca="1">IFERROR(__xludf.DUMMYFUNCTION("""COMPUTED_VALUE"""),8503)</f>
        <v>8503</v>
      </c>
      <c r="M142" s="7">
        <f ca="1">IFERROR(__xludf.DUMMYFUNCTION("""COMPUTED_VALUE"""),5362)</f>
        <v>5362</v>
      </c>
      <c r="N142" s="7">
        <f ca="1">IFERROR(__xludf.DUMMYFUNCTION("""COMPUTED_VALUE"""),2486)</f>
        <v>2486</v>
      </c>
    </row>
    <row r="143" spans="1:14" ht="13.2" x14ac:dyDescent="0.25">
      <c r="A143" s="6">
        <f ca="1">IFERROR(__xludf.DUMMYFUNCTION("""COMPUTED_VALUE"""),44032)</f>
        <v>44032</v>
      </c>
      <c r="B143" s="7">
        <f ca="1">IFERROR(__xludf.DUMMYFUNCTION("""COMPUTED_VALUE"""),8)</f>
        <v>8</v>
      </c>
      <c r="C143" s="8">
        <f ca="1">IFERROR(__xludf.DUMMYFUNCTION("""COMPUTED_VALUE"""),44032.3333333333)</f>
        <v>44032.333333333299</v>
      </c>
      <c r="D143" s="7">
        <f ca="1">IFERROR(__xludf.DUMMYFUNCTION("""COMPUTED_VALUE"""),749)</f>
        <v>749</v>
      </c>
      <c r="E143" s="7">
        <f ca="1">IFERROR(__xludf.DUMMYFUNCTION("""COMPUTED_VALUE"""),10602)</f>
        <v>10602</v>
      </c>
      <c r="F143" s="7">
        <f ca="1">IFERROR(__xludf.DUMMYFUNCTION("""COMPUTED_VALUE"""),4335)</f>
        <v>4335</v>
      </c>
      <c r="G143" s="7">
        <f ca="1">IFERROR(__xludf.DUMMYFUNCTION("""COMPUTED_VALUE"""),1026)</f>
        <v>1026</v>
      </c>
      <c r="H143" s="7">
        <f ca="1">IFERROR(__xludf.DUMMYFUNCTION("""COMPUTED_VALUE"""),16712)</f>
        <v>16712</v>
      </c>
      <c r="I143" s="7">
        <f ca="1">IFERROR(__xludf.DUMMYFUNCTION("""COMPUTED_VALUE"""),361)</f>
        <v>361</v>
      </c>
      <c r="J143" s="7">
        <f ca="1">IFERROR(__xludf.DUMMYFUNCTION("""COMPUTED_VALUE"""),5361)</f>
        <v>5361</v>
      </c>
      <c r="K143" s="7">
        <f ca="1">IFERROR(__xludf.DUMMYFUNCTION("""COMPUTED_VALUE"""),158)</f>
        <v>158</v>
      </c>
      <c r="L143" s="7">
        <f ca="1">IFERROR(__xludf.DUMMYFUNCTION("""COMPUTED_VALUE"""),8356)</f>
        <v>8356</v>
      </c>
      <c r="M143" s="7">
        <f ca="1">IFERROR(__xludf.DUMMYFUNCTION("""COMPUTED_VALUE"""),5760)</f>
        <v>5760</v>
      </c>
      <c r="N143" s="7">
        <f ca="1">IFERROR(__xludf.DUMMYFUNCTION("""COMPUTED_VALUE"""),2596)</f>
        <v>2596</v>
      </c>
    </row>
    <row r="144" spans="1:14" ht="13.2" x14ac:dyDescent="0.25">
      <c r="A144" s="6">
        <f ca="1">IFERROR(__xludf.DUMMYFUNCTION("""COMPUTED_VALUE"""),44033)</f>
        <v>44033</v>
      </c>
      <c r="B144" s="7">
        <f ca="1">IFERROR(__xludf.DUMMYFUNCTION("""COMPUTED_VALUE"""),8)</f>
        <v>8</v>
      </c>
      <c r="C144" s="8">
        <f ca="1">IFERROR(__xludf.DUMMYFUNCTION("""COMPUTED_VALUE"""),44033.3333333333)</f>
        <v>44033.333333333299</v>
      </c>
      <c r="D144" s="7">
        <f ca="1">IFERROR(__xludf.DUMMYFUNCTION("""COMPUTED_VALUE"""),758)</f>
        <v>758</v>
      </c>
      <c r="E144" s="7">
        <f ca="1">IFERROR(__xludf.DUMMYFUNCTION("""COMPUTED_VALUE"""),10864)</f>
        <v>10864</v>
      </c>
      <c r="F144" s="7">
        <f ca="1">IFERROR(__xludf.DUMMYFUNCTION("""COMPUTED_VALUE"""),4458)</f>
        <v>4458</v>
      </c>
      <c r="G144" s="7">
        <f ca="1">IFERROR(__xludf.DUMMYFUNCTION("""COMPUTED_VALUE"""),1073)</f>
        <v>1073</v>
      </c>
      <c r="H144" s="7">
        <f ca="1">IFERROR(__xludf.DUMMYFUNCTION("""COMPUTED_VALUE"""),17153)</f>
        <v>17153</v>
      </c>
      <c r="I144" s="7">
        <f ca="1">IFERROR(__xludf.DUMMYFUNCTION("""COMPUTED_VALUE"""),441)</f>
        <v>441</v>
      </c>
      <c r="J144" s="7">
        <f ca="1">IFERROR(__xludf.DUMMYFUNCTION("""COMPUTED_VALUE"""),5531)</f>
        <v>5531</v>
      </c>
      <c r="K144" s="7">
        <f ca="1">IFERROR(__xludf.DUMMYFUNCTION("""COMPUTED_VALUE"""),262)</f>
        <v>262</v>
      </c>
      <c r="L144" s="7">
        <f ca="1">IFERROR(__xludf.DUMMYFUNCTION("""COMPUTED_VALUE"""),8577)</f>
        <v>8577</v>
      </c>
      <c r="M144" s="7">
        <f ca="1">IFERROR(__xludf.DUMMYFUNCTION("""COMPUTED_VALUE"""),5832)</f>
        <v>5832</v>
      </c>
      <c r="N144" s="7">
        <f ca="1">IFERROR(__xludf.DUMMYFUNCTION("""COMPUTED_VALUE"""),2744)</f>
        <v>2744</v>
      </c>
    </row>
    <row r="145" spans="1:14" ht="13.2" x14ac:dyDescent="0.25">
      <c r="A145" s="6">
        <f ca="1">IFERROR(__xludf.DUMMYFUNCTION("""COMPUTED_VALUE"""),44034)</f>
        <v>44034</v>
      </c>
      <c r="B145" s="7">
        <f ca="1">IFERROR(__xludf.DUMMYFUNCTION("""COMPUTED_VALUE"""),8)</f>
        <v>8</v>
      </c>
      <c r="C145" s="8">
        <f ca="1">IFERROR(__xludf.DUMMYFUNCTION("""COMPUTED_VALUE"""),44034.3333333333)</f>
        <v>44034.333333333299</v>
      </c>
      <c r="D145" s="7">
        <f ca="1">IFERROR(__xludf.DUMMYFUNCTION("""COMPUTED_VALUE"""),766)</f>
        <v>766</v>
      </c>
      <c r="E145" s="7">
        <f ca="1">IFERROR(__xludf.DUMMYFUNCTION("""COMPUTED_VALUE"""),11187)</f>
        <v>11187</v>
      </c>
      <c r="F145" s="7">
        <f ca="1">IFERROR(__xludf.DUMMYFUNCTION("""COMPUTED_VALUE"""),4383)</f>
        <v>4383</v>
      </c>
      <c r="G145" s="7">
        <f ca="1">IFERROR(__xludf.DUMMYFUNCTION("""COMPUTED_VALUE"""),1193)</f>
        <v>1193</v>
      </c>
      <c r="H145" s="7">
        <f ca="1">IFERROR(__xludf.DUMMYFUNCTION("""COMPUTED_VALUE"""),17529)</f>
        <v>17529</v>
      </c>
      <c r="I145" s="7">
        <f ca="1">IFERROR(__xludf.DUMMYFUNCTION("""COMPUTED_VALUE"""),376)</f>
        <v>376</v>
      </c>
      <c r="J145" s="7">
        <f ca="1">IFERROR(__xludf.DUMMYFUNCTION("""COMPUTED_VALUE"""),5576)</f>
        <v>5576</v>
      </c>
      <c r="K145" s="7">
        <f ca="1">IFERROR(__xludf.DUMMYFUNCTION("""COMPUTED_VALUE"""),323)</f>
        <v>323</v>
      </c>
      <c r="L145" s="7">
        <f ca="1">IFERROR(__xludf.DUMMYFUNCTION("""COMPUTED_VALUE"""),8767)</f>
        <v>8767</v>
      </c>
      <c r="M145" s="7">
        <f ca="1">IFERROR(__xludf.DUMMYFUNCTION("""COMPUTED_VALUE"""),5962)</f>
        <v>5962</v>
      </c>
      <c r="N145" s="7">
        <f ca="1">IFERROR(__xludf.DUMMYFUNCTION("""COMPUTED_VALUE"""),2800)</f>
        <v>2800</v>
      </c>
    </row>
    <row r="146" spans="1:14" ht="13.2" x14ac:dyDescent="0.25">
      <c r="A146" s="6">
        <f ca="1">IFERROR(__xludf.DUMMYFUNCTION("""COMPUTED_VALUE"""),44035)</f>
        <v>44035</v>
      </c>
      <c r="B146" s="7">
        <f ca="1">IFERROR(__xludf.DUMMYFUNCTION("""COMPUTED_VALUE"""),8)</f>
        <v>8</v>
      </c>
      <c r="C146" s="8">
        <f ca="1">IFERROR(__xludf.DUMMYFUNCTION("""COMPUTED_VALUE"""),44035.3333333333)</f>
        <v>44035.333333333299</v>
      </c>
      <c r="D146" s="7">
        <f ca="1">IFERROR(__xludf.DUMMYFUNCTION("""COMPUTED_VALUE"""),767)</f>
        <v>767</v>
      </c>
      <c r="E146" s="7">
        <f ca="1">IFERROR(__xludf.DUMMYFUNCTION("""COMPUTED_VALUE"""),11302)</f>
        <v>11302</v>
      </c>
      <c r="F146" s="7">
        <f ca="1">IFERROR(__xludf.DUMMYFUNCTION("""COMPUTED_VALUE"""),4675)</f>
        <v>4675</v>
      </c>
      <c r="G146" s="7">
        <f ca="1">IFERROR(__xludf.DUMMYFUNCTION("""COMPUTED_VALUE"""),1201)</f>
        <v>1201</v>
      </c>
      <c r="H146" s="7">
        <f ca="1">IFERROR(__xludf.DUMMYFUNCTION("""COMPUTED_VALUE"""),17945)</f>
        <v>17945</v>
      </c>
      <c r="I146" s="7">
        <f ca="1">IFERROR(__xludf.DUMMYFUNCTION("""COMPUTED_VALUE"""),416)</f>
        <v>416</v>
      </c>
      <c r="J146" s="7">
        <f ca="1">IFERROR(__xludf.DUMMYFUNCTION("""COMPUTED_VALUE"""),5876)</f>
        <v>5876</v>
      </c>
      <c r="K146" s="7">
        <f ca="1">IFERROR(__xludf.DUMMYFUNCTION("""COMPUTED_VALUE"""),115)</f>
        <v>115</v>
      </c>
      <c r="L146" s="7">
        <f ca="1">IFERROR(__xludf.DUMMYFUNCTION("""COMPUTED_VALUE"""),8770)</f>
        <v>8770</v>
      </c>
      <c r="M146" s="7">
        <f ca="1">IFERROR(__xludf.DUMMYFUNCTION("""COMPUTED_VALUE"""),6283)</f>
        <v>6283</v>
      </c>
      <c r="N146" s="7">
        <f ca="1">IFERROR(__xludf.DUMMYFUNCTION("""COMPUTED_VALUE"""),2892)</f>
        <v>2892</v>
      </c>
    </row>
    <row r="147" spans="1:14" ht="13.2" x14ac:dyDescent="0.25">
      <c r="A147" s="6">
        <f ca="1">IFERROR(__xludf.DUMMYFUNCTION("""COMPUTED_VALUE"""),44036)</f>
        <v>44036</v>
      </c>
      <c r="B147" s="7">
        <f ca="1">IFERROR(__xludf.DUMMYFUNCTION("""COMPUTED_VALUE"""),8)</f>
        <v>8</v>
      </c>
      <c r="C147" s="8">
        <f ca="1">IFERROR(__xludf.DUMMYFUNCTION("""COMPUTED_VALUE"""),44036.3333333333)</f>
        <v>44036.333333333299</v>
      </c>
      <c r="D147" s="7">
        <f ca="1">IFERROR(__xludf.DUMMYFUNCTION("""COMPUTED_VALUE"""),768)</f>
        <v>768</v>
      </c>
      <c r="E147" s="7">
        <f ca="1">IFERROR(__xludf.DUMMYFUNCTION("""COMPUTED_VALUE"""),11585)</f>
        <v>11585</v>
      </c>
      <c r="F147" s="7">
        <f ca="1">IFERROR(__xludf.DUMMYFUNCTION("""COMPUTED_VALUE"""),4577)</f>
        <v>4577</v>
      </c>
      <c r="G147" s="7">
        <f ca="1">IFERROR(__xludf.DUMMYFUNCTION("""COMPUTED_VALUE"""),1300)</f>
        <v>1300</v>
      </c>
      <c r="H147" s="7">
        <f ca="1">IFERROR(__xludf.DUMMYFUNCTION("""COMPUTED_VALUE"""),18230)</f>
        <v>18230</v>
      </c>
      <c r="I147" s="7">
        <f ca="1">IFERROR(__xludf.DUMMYFUNCTION("""COMPUTED_VALUE"""),285)</f>
        <v>285</v>
      </c>
      <c r="J147" s="7">
        <f ca="1">IFERROR(__xludf.DUMMYFUNCTION("""COMPUTED_VALUE"""),5877)</f>
        <v>5877</v>
      </c>
      <c r="K147" s="7">
        <f ca="1">IFERROR(__xludf.DUMMYFUNCTION("""COMPUTED_VALUE"""),283)</f>
        <v>283</v>
      </c>
      <c r="L147" s="7">
        <f ca="1">IFERROR(__xludf.DUMMYFUNCTION("""COMPUTED_VALUE"""),8770)</f>
        <v>8770</v>
      </c>
      <c r="M147" s="7">
        <f ca="1">IFERROR(__xludf.DUMMYFUNCTION("""COMPUTED_VALUE"""),6283)</f>
        <v>6283</v>
      </c>
      <c r="N147" s="7">
        <f ca="1">IFERROR(__xludf.DUMMYFUNCTION("""COMPUTED_VALUE"""),3177)</f>
        <v>3177</v>
      </c>
    </row>
    <row r="148" spans="1:14" ht="13.2" x14ac:dyDescent="0.25">
      <c r="A148" s="6">
        <f ca="1">IFERROR(__xludf.DUMMYFUNCTION("""COMPUTED_VALUE"""),44037)</f>
        <v>44037</v>
      </c>
      <c r="B148" s="7">
        <f ca="1">IFERROR(__xludf.DUMMYFUNCTION("""COMPUTED_VALUE"""),8)</f>
        <v>8</v>
      </c>
      <c r="C148" s="8">
        <f ca="1">IFERROR(__xludf.DUMMYFUNCTION("""COMPUTED_VALUE"""),44037.3333333333)</f>
        <v>44037.333333333299</v>
      </c>
      <c r="D148" s="7">
        <f ca="1">IFERROR(__xludf.DUMMYFUNCTION("""COMPUTED_VALUE"""),769)</f>
        <v>769</v>
      </c>
      <c r="E148" s="7">
        <f ca="1">IFERROR(__xludf.DUMMYFUNCTION("""COMPUTED_VALUE"""),11715)</f>
        <v>11715</v>
      </c>
      <c r="F148" s="7">
        <f ca="1">IFERROR(__xludf.DUMMYFUNCTION("""COMPUTED_VALUE"""),4729)</f>
        <v>4729</v>
      </c>
      <c r="G148" s="7">
        <f ca="1">IFERROR(__xludf.DUMMYFUNCTION("""COMPUTED_VALUE"""),1410)</f>
        <v>1410</v>
      </c>
      <c r="H148" s="7">
        <f ca="1">IFERROR(__xludf.DUMMYFUNCTION("""COMPUTED_VALUE"""),18623)</f>
        <v>18623</v>
      </c>
      <c r="I148" s="7">
        <f ca="1">IFERROR(__xludf.DUMMYFUNCTION("""COMPUTED_VALUE"""),393)</f>
        <v>393</v>
      </c>
      <c r="J148" s="7">
        <f ca="1">IFERROR(__xludf.DUMMYFUNCTION("""COMPUTED_VALUE"""),6139)</f>
        <v>6139</v>
      </c>
      <c r="K148" s="7">
        <f ca="1">IFERROR(__xludf.DUMMYFUNCTION("""COMPUTED_VALUE"""),130)</f>
        <v>130</v>
      </c>
      <c r="L148" s="7">
        <f ca="1">IFERROR(__xludf.DUMMYFUNCTION("""COMPUTED_VALUE"""),8939)</f>
        <v>8939</v>
      </c>
      <c r="M148" s="7">
        <f ca="1">IFERROR(__xludf.DUMMYFUNCTION("""COMPUTED_VALUE"""),6332)</f>
        <v>6332</v>
      </c>
      <c r="N148" s="7">
        <f ca="1">IFERROR(__xludf.DUMMYFUNCTION("""COMPUTED_VALUE"""),3352)</f>
        <v>3352</v>
      </c>
    </row>
    <row r="149" spans="1:14" ht="13.2" x14ac:dyDescent="0.25">
      <c r="A149" s="6">
        <f ca="1">IFERROR(__xludf.DUMMYFUNCTION("""COMPUTED_VALUE"""),44038)</f>
        <v>44038</v>
      </c>
      <c r="B149" s="7">
        <f ca="1">IFERROR(__xludf.DUMMYFUNCTION("""COMPUTED_VALUE"""),8)</f>
        <v>8</v>
      </c>
      <c r="C149" s="8">
        <f ca="1">IFERROR(__xludf.DUMMYFUNCTION("""COMPUTED_VALUE"""),44038.3333333333)</f>
        <v>44038.333333333299</v>
      </c>
      <c r="D149" s="7">
        <f ca="1">IFERROR(__xludf.DUMMYFUNCTION("""COMPUTED_VALUE"""),779)</f>
        <v>779</v>
      </c>
      <c r="E149" s="7">
        <f ca="1">IFERROR(__xludf.DUMMYFUNCTION("""COMPUTED_VALUE"""),11889)</f>
        <v>11889</v>
      </c>
      <c r="F149" s="7">
        <f ca="1">IFERROR(__xludf.DUMMYFUNCTION("""COMPUTED_VALUE"""),4842)</f>
        <v>4842</v>
      </c>
      <c r="G149" s="7">
        <f ca="1">IFERROR(__xludf.DUMMYFUNCTION("""COMPUTED_VALUE"""),1491)</f>
        <v>1491</v>
      </c>
      <c r="H149" s="7">
        <f ca="1">IFERROR(__xludf.DUMMYFUNCTION("""COMPUTED_VALUE"""),19001)</f>
        <v>19001</v>
      </c>
      <c r="I149" s="7">
        <f ca="1">IFERROR(__xludf.DUMMYFUNCTION("""COMPUTED_VALUE"""),378)</f>
        <v>378</v>
      </c>
      <c r="J149" s="7">
        <f ca="1">IFERROR(__xludf.DUMMYFUNCTION("""COMPUTED_VALUE"""),6333)</f>
        <v>6333</v>
      </c>
      <c r="K149" s="7">
        <f ca="1">IFERROR(__xludf.DUMMYFUNCTION("""COMPUTED_VALUE"""),174)</f>
        <v>174</v>
      </c>
      <c r="L149" s="7">
        <f ca="1">IFERROR(__xludf.DUMMYFUNCTION("""COMPUTED_VALUE"""),9120)</f>
        <v>9120</v>
      </c>
      <c r="M149" s="7">
        <f ca="1">IFERROR(__xludf.DUMMYFUNCTION("""COMPUTED_VALUE"""),6460)</f>
        <v>6460</v>
      </c>
      <c r="N149" s="7">
        <f ca="1">IFERROR(__xludf.DUMMYFUNCTION("""COMPUTED_VALUE"""),3421)</f>
        <v>3421</v>
      </c>
    </row>
    <row r="150" spans="1:14" ht="13.2" x14ac:dyDescent="0.25">
      <c r="A150" s="6">
        <f ca="1">IFERROR(__xludf.DUMMYFUNCTION("""COMPUTED_VALUE"""),44039)</f>
        <v>44039</v>
      </c>
      <c r="B150" s="7">
        <f ca="1">IFERROR(__xludf.DUMMYFUNCTION("""COMPUTED_VALUE"""),8)</f>
        <v>8</v>
      </c>
      <c r="C150" s="8">
        <f ca="1">IFERROR(__xludf.DUMMYFUNCTION("""COMPUTED_VALUE"""),44039.3333333333)</f>
        <v>44039.333333333299</v>
      </c>
      <c r="D150" s="7">
        <f ca="1">IFERROR(__xludf.DUMMYFUNCTION("""COMPUTED_VALUE"""),782)</f>
        <v>782</v>
      </c>
      <c r="E150" s="7">
        <f ca="1">IFERROR(__xludf.DUMMYFUNCTION("""COMPUTED_VALUE"""),11996)</f>
        <v>11996</v>
      </c>
      <c r="F150" s="7">
        <f ca="1">IFERROR(__xludf.DUMMYFUNCTION("""COMPUTED_VALUE"""),4993)</f>
        <v>4993</v>
      </c>
      <c r="G150" s="7">
        <f ca="1">IFERROR(__xludf.DUMMYFUNCTION("""COMPUTED_VALUE"""),1702)</f>
        <v>1702</v>
      </c>
      <c r="H150" s="7">
        <f ca="1">IFERROR(__xludf.DUMMYFUNCTION("""COMPUTED_VALUE"""),19473)</f>
        <v>19473</v>
      </c>
      <c r="I150" s="7">
        <f ca="1">IFERROR(__xludf.DUMMYFUNCTION("""COMPUTED_VALUE"""),472)</f>
        <v>472</v>
      </c>
      <c r="J150" s="7">
        <f ca="1">IFERROR(__xludf.DUMMYFUNCTION("""COMPUTED_VALUE"""),6695)</f>
        <v>6695</v>
      </c>
      <c r="K150" s="7">
        <f ca="1">IFERROR(__xludf.DUMMYFUNCTION("""COMPUTED_VALUE"""),107)</f>
        <v>107</v>
      </c>
      <c r="L150" s="7">
        <f ca="1">IFERROR(__xludf.DUMMYFUNCTION("""COMPUTED_VALUE"""),9348)</f>
        <v>9348</v>
      </c>
      <c r="M150" s="7">
        <f ca="1">IFERROR(__xludf.DUMMYFUNCTION("""COMPUTED_VALUE"""),6621)</f>
        <v>6621</v>
      </c>
      <c r="N150" s="7">
        <f ca="1">IFERROR(__xludf.DUMMYFUNCTION("""COMPUTED_VALUE"""),3504)</f>
        <v>3504</v>
      </c>
    </row>
    <row r="151" spans="1:14" ht="13.2" x14ac:dyDescent="0.25">
      <c r="A151" s="6">
        <f ca="1">IFERROR(__xludf.DUMMYFUNCTION("""COMPUTED_VALUE"""),44040)</f>
        <v>44040</v>
      </c>
      <c r="B151" s="7">
        <f ca="1">IFERROR(__xludf.DUMMYFUNCTION("""COMPUTED_VALUE"""),8)</f>
        <v>8</v>
      </c>
      <c r="C151" s="8">
        <f ca="1">IFERROR(__xludf.DUMMYFUNCTION("""COMPUTED_VALUE"""),44040.3333333333)</f>
        <v>44040.333333333299</v>
      </c>
      <c r="D151" s="7">
        <f ca="1">IFERROR(__xludf.DUMMYFUNCTION("""COMPUTED_VALUE"""),795)</f>
        <v>795</v>
      </c>
      <c r="E151" s="7">
        <f ca="1">IFERROR(__xludf.DUMMYFUNCTION("""COMPUTED_VALUE"""),12373)</f>
        <v>12373</v>
      </c>
      <c r="F151" s="7">
        <f ca="1">IFERROR(__xludf.DUMMYFUNCTION("""COMPUTED_VALUE"""),4869)</f>
        <v>4869</v>
      </c>
      <c r="G151" s="7">
        <f ca="1">IFERROR(__xludf.DUMMYFUNCTION("""COMPUTED_VALUE"""),1848)</f>
        <v>1848</v>
      </c>
      <c r="H151" s="7">
        <f ca="1">IFERROR(__xludf.DUMMYFUNCTION("""COMPUTED_VALUE"""),19885)</f>
        <v>19885</v>
      </c>
      <c r="I151" s="7">
        <f ca="1">IFERROR(__xludf.DUMMYFUNCTION("""COMPUTED_VALUE"""),412)</f>
        <v>412</v>
      </c>
      <c r="J151" s="7">
        <f ca="1">IFERROR(__xludf.DUMMYFUNCTION("""COMPUTED_VALUE"""),6717)</f>
        <v>6717</v>
      </c>
      <c r="K151" s="7">
        <f ca="1">IFERROR(__xludf.DUMMYFUNCTION("""COMPUTED_VALUE"""),377)</f>
        <v>377</v>
      </c>
      <c r="L151" s="7">
        <f ca="1">IFERROR(__xludf.DUMMYFUNCTION("""COMPUTED_VALUE"""),9348)</f>
        <v>9348</v>
      </c>
      <c r="M151" s="7">
        <f ca="1">IFERROR(__xludf.DUMMYFUNCTION("""COMPUTED_VALUE"""),6621)</f>
        <v>6621</v>
      </c>
      <c r="N151" s="7">
        <f ca="1">IFERROR(__xludf.DUMMYFUNCTION("""COMPUTED_VALUE"""),3916)</f>
        <v>3916</v>
      </c>
    </row>
    <row r="152" spans="1:14" ht="13.2" x14ac:dyDescent="0.25">
      <c r="A152" s="6">
        <f ca="1">IFERROR(__xludf.DUMMYFUNCTION("""COMPUTED_VALUE"""),44041)</f>
        <v>44041</v>
      </c>
      <c r="B152" s="7">
        <f ca="1">IFERROR(__xludf.DUMMYFUNCTION("""COMPUTED_VALUE"""),8)</f>
        <v>8</v>
      </c>
      <c r="C152" s="8">
        <f ca="1">IFERROR(__xludf.DUMMYFUNCTION("""COMPUTED_VALUE"""),44041.3333333333)</f>
        <v>44041.333333333299</v>
      </c>
      <c r="D152" s="7">
        <f ca="1">IFERROR(__xludf.DUMMYFUNCTION("""COMPUTED_VALUE"""),820)</f>
        <v>820</v>
      </c>
      <c r="E152" s="7">
        <f ca="1">IFERROR(__xludf.DUMMYFUNCTION("""COMPUTED_VALUE"""),12613)</f>
        <v>12613</v>
      </c>
      <c r="F152" s="7">
        <f ca="1">IFERROR(__xludf.DUMMYFUNCTION("""COMPUTED_VALUE"""),5093)</f>
        <v>5093</v>
      </c>
      <c r="G152" s="7">
        <f ca="1">IFERROR(__xludf.DUMMYFUNCTION("""COMPUTED_VALUE"""),1944)</f>
        <v>1944</v>
      </c>
      <c r="H152" s="7">
        <f ca="1">IFERROR(__xludf.DUMMYFUNCTION("""COMPUTED_VALUE"""),20470)</f>
        <v>20470</v>
      </c>
      <c r="I152" s="7">
        <f ca="1">IFERROR(__xludf.DUMMYFUNCTION("""COMPUTED_VALUE"""),585)</f>
        <v>585</v>
      </c>
      <c r="J152" s="7">
        <f ca="1">IFERROR(__xludf.DUMMYFUNCTION("""COMPUTED_VALUE"""),7037)</f>
        <v>7037</v>
      </c>
      <c r="K152" s="7">
        <f ca="1">IFERROR(__xludf.DUMMYFUNCTION("""COMPUTED_VALUE"""),240)</f>
        <v>240</v>
      </c>
      <c r="L152" s="7">
        <f ca="1">IFERROR(__xludf.DUMMYFUNCTION("""COMPUTED_VALUE"""),9620)</f>
        <v>9620</v>
      </c>
      <c r="M152" s="7">
        <f ca="1">IFERROR(__xludf.DUMMYFUNCTION("""COMPUTED_VALUE"""),6960)</f>
        <v>6960</v>
      </c>
      <c r="N152" s="7">
        <f ca="1">IFERROR(__xludf.DUMMYFUNCTION("""COMPUTED_VALUE"""),3890)</f>
        <v>3890</v>
      </c>
    </row>
    <row r="153" spans="1:14" ht="13.2" x14ac:dyDescent="0.25">
      <c r="A153" s="6">
        <f ca="1">IFERROR(__xludf.DUMMYFUNCTION("""COMPUTED_VALUE"""),44042)</f>
        <v>44042</v>
      </c>
      <c r="B153" s="7">
        <f ca="1">IFERROR(__xludf.DUMMYFUNCTION("""COMPUTED_VALUE"""),8)</f>
        <v>8</v>
      </c>
      <c r="C153" s="8">
        <f ca="1">IFERROR(__xludf.DUMMYFUNCTION("""COMPUTED_VALUE"""),44042.3333333333)</f>
        <v>44042.333333333299</v>
      </c>
      <c r="D153" s="7">
        <f ca="1">IFERROR(__xludf.DUMMYFUNCTION("""COMPUTED_VALUE"""),821)</f>
        <v>821</v>
      </c>
      <c r="E153" s="7">
        <f ca="1">IFERROR(__xludf.DUMMYFUNCTION("""COMPUTED_VALUE"""),12801)</f>
        <v>12801</v>
      </c>
      <c r="F153" s="7">
        <f ca="1">IFERROR(__xludf.DUMMYFUNCTION("""COMPUTED_VALUE"""),5098)</f>
        <v>5098</v>
      </c>
      <c r="G153" s="7">
        <f ca="1">IFERROR(__xludf.DUMMYFUNCTION("""COMPUTED_VALUE"""),2049)</f>
        <v>2049</v>
      </c>
      <c r="H153" s="7">
        <f ca="1">IFERROR(__xludf.DUMMYFUNCTION("""COMPUTED_VALUE"""),20769)</f>
        <v>20769</v>
      </c>
      <c r="I153" s="7">
        <f ca="1">IFERROR(__xludf.DUMMYFUNCTION("""COMPUTED_VALUE"""),299)</f>
        <v>299</v>
      </c>
      <c r="J153" s="7">
        <f ca="1">IFERROR(__xludf.DUMMYFUNCTION("""COMPUTED_VALUE"""),7147)</f>
        <v>7147</v>
      </c>
      <c r="K153" s="7">
        <f ca="1">IFERROR(__xludf.DUMMYFUNCTION("""COMPUTED_VALUE"""),188)</f>
        <v>188</v>
      </c>
      <c r="L153" s="7">
        <f ca="1">IFERROR(__xludf.DUMMYFUNCTION("""COMPUTED_VALUE"""),9625)</f>
        <v>9625</v>
      </c>
      <c r="M153" s="7">
        <f ca="1">IFERROR(__xludf.DUMMYFUNCTION("""COMPUTED_VALUE"""),6854)</f>
        <v>6854</v>
      </c>
      <c r="N153" s="7">
        <f ca="1">IFERROR(__xludf.DUMMYFUNCTION("""COMPUTED_VALUE"""),4290)</f>
        <v>4290</v>
      </c>
    </row>
    <row r="154" spans="1:14" ht="13.2" x14ac:dyDescent="0.25">
      <c r="A154" s="6">
        <f ca="1">IFERROR(__xludf.DUMMYFUNCTION("""COMPUTED_VALUE"""),44043)</f>
        <v>44043</v>
      </c>
      <c r="B154" s="7">
        <f ca="1">IFERROR(__xludf.DUMMYFUNCTION("""COMPUTED_VALUE"""),8)</f>
        <v>8</v>
      </c>
      <c r="C154" s="8">
        <f ca="1">IFERROR(__xludf.DUMMYFUNCTION("""COMPUTED_VALUE"""),44043.3333333333)</f>
        <v>44043.333333333299</v>
      </c>
      <c r="D154" s="7">
        <f ca="1">IFERROR(__xludf.DUMMYFUNCTION("""COMPUTED_VALUE"""),836)</f>
        <v>836</v>
      </c>
      <c r="E154" s="7">
        <f ca="1">IFERROR(__xludf.DUMMYFUNCTION("""COMPUTED_VALUE"""),13208)</f>
        <v>13208</v>
      </c>
      <c r="F154" s="7">
        <f ca="1">IFERROR(__xludf.DUMMYFUNCTION("""COMPUTED_VALUE"""),4974)</f>
        <v>4974</v>
      </c>
      <c r="G154" s="7">
        <f ca="1">IFERROR(__xludf.DUMMYFUNCTION("""COMPUTED_VALUE"""),2183)</f>
        <v>2183</v>
      </c>
      <c r="H154" s="7">
        <f ca="1">IFERROR(__xludf.DUMMYFUNCTION("""COMPUTED_VALUE"""),21201)</f>
        <v>21201</v>
      </c>
      <c r="I154" s="7">
        <f ca="1">IFERROR(__xludf.DUMMYFUNCTION("""COMPUTED_VALUE"""),432)</f>
        <v>432</v>
      </c>
      <c r="J154" s="7">
        <f ca="1">IFERROR(__xludf.DUMMYFUNCTION("""COMPUTED_VALUE"""),7157)</f>
        <v>7157</v>
      </c>
      <c r="K154" s="7">
        <f ca="1">IFERROR(__xludf.DUMMYFUNCTION("""COMPUTED_VALUE"""),407)</f>
        <v>407</v>
      </c>
      <c r="L154" s="7">
        <f ca="1">IFERROR(__xludf.DUMMYFUNCTION("""COMPUTED_VALUE"""),9753)</f>
        <v>9753</v>
      </c>
      <c r="M154" s="7">
        <f ca="1">IFERROR(__xludf.DUMMYFUNCTION("""COMPUTED_VALUE"""),6996)</f>
        <v>6996</v>
      </c>
      <c r="N154" s="7">
        <f ca="1">IFERROR(__xludf.DUMMYFUNCTION("""COMPUTED_VALUE"""),4452)</f>
        <v>4452</v>
      </c>
    </row>
    <row r="155" spans="1:14" ht="13.2" x14ac:dyDescent="0.25">
      <c r="A155" s="6">
        <f ca="1">IFERROR(__xludf.DUMMYFUNCTION("""COMPUTED_VALUE"""),44044)</f>
        <v>44044</v>
      </c>
      <c r="B155" s="7">
        <f ca="1">IFERROR(__xludf.DUMMYFUNCTION("""COMPUTED_VALUE"""),8)</f>
        <v>8</v>
      </c>
      <c r="C155" s="8">
        <f ca="1">IFERROR(__xludf.DUMMYFUNCTION("""COMPUTED_VALUE"""),44044.3333333333)</f>
        <v>44044.333333333299</v>
      </c>
      <c r="D155" s="7">
        <f ca="1">IFERROR(__xludf.DUMMYFUNCTION("""COMPUTED_VALUE"""),852)</f>
        <v>852</v>
      </c>
      <c r="E155" s="7">
        <f ca="1">IFERROR(__xludf.DUMMYFUNCTION("""COMPUTED_VALUE"""),13887)</f>
        <v>13887</v>
      </c>
      <c r="F155" s="7">
        <f ca="1">IFERROR(__xludf.DUMMYFUNCTION("""COMPUTED_VALUE"""),4683)</f>
        <v>4683</v>
      </c>
      <c r="G155" s="7">
        <f ca="1">IFERROR(__xludf.DUMMYFUNCTION("""COMPUTED_VALUE"""),2153)</f>
        <v>2153</v>
      </c>
      <c r="H155" s="7">
        <f ca="1">IFERROR(__xludf.DUMMYFUNCTION("""COMPUTED_VALUE"""),21575)</f>
        <v>21575</v>
      </c>
      <c r="I155" s="7">
        <f ca="1">IFERROR(__xludf.DUMMYFUNCTION("""COMPUTED_VALUE"""),374)</f>
        <v>374</v>
      </c>
      <c r="J155" s="7">
        <f ca="1">IFERROR(__xludf.DUMMYFUNCTION("""COMPUTED_VALUE"""),6836)</f>
        <v>6836</v>
      </c>
      <c r="K155" s="7">
        <f ca="1">IFERROR(__xludf.DUMMYFUNCTION("""COMPUTED_VALUE"""),679)</f>
        <v>679</v>
      </c>
      <c r="L155" s="7">
        <f ca="1">IFERROR(__xludf.DUMMYFUNCTION("""COMPUTED_VALUE"""),9718)</f>
        <v>9718</v>
      </c>
      <c r="M155" s="7">
        <f ca="1">IFERROR(__xludf.DUMMYFUNCTION("""COMPUTED_VALUE"""),7110)</f>
        <v>7110</v>
      </c>
      <c r="N155" s="7">
        <f ca="1">IFERROR(__xludf.DUMMYFUNCTION("""COMPUTED_VALUE"""),4747)</f>
        <v>4747</v>
      </c>
    </row>
    <row r="156" spans="1:14" ht="13.2" x14ac:dyDescent="0.25">
      <c r="A156" s="6">
        <f ca="1">IFERROR(__xludf.DUMMYFUNCTION("""COMPUTED_VALUE"""),44045)</f>
        <v>44045</v>
      </c>
      <c r="B156" s="7">
        <f ca="1">IFERROR(__xludf.DUMMYFUNCTION("""COMPUTED_VALUE"""),8)</f>
        <v>8</v>
      </c>
      <c r="C156" s="8">
        <f ca="1">IFERROR(__xludf.DUMMYFUNCTION("""COMPUTED_VALUE"""),44045.3333333333)</f>
        <v>44045.333333333299</v>
      </c>
      <c r="D156" s="7">
        <f ca="1">IFERROR(__xludf.DUMMYFUNCTION("""COMPUTED_VALUE"""),852)</f>
        <v>852</v>
      </c>
      <c r="E156" s="7">
        <f ca="1">IFERROR(__xludf.DUMMYFUNCTION("""COMPUTED_VALUE"""),14027)</f>
        <v>14027</v>
      </c>
      <c r="F156" s="7">
        <f ca="1">IFERROR(__xludf.DUMMYFUNCTION("""COMPUTED_VALUE"""),4916)</f>
        <v>4916</v>
      </c>
      <c r="G156" s="7">
        <f ca="1">IFERROR(__xludf.DUMMYFUNCTION("""COMPUTED_VALUE"""),2159)</f>
        <v>2159</v>
      </c>
      <c r="H156" s="7">
        <f ca="1">IFERROR(__xludf.DUMMYFUNCTION("""COMPUTED_VALUE"""),21954)</f>
        <v>21954</v>
      </c>
      <c r="I156" s="7">
        <f ca="1">IFERROR(__xludf.DUMMYFUNCTION("""COMPUTED_VALUE"""),379)</f>
        <v>379</v>
      </c>
      <c r="J156" s="7">
        <f ca="1">IFERROR(__xludf.DUMMYFUNCTION("""COMPUTED_VALUE"""),7075)</f>
        <v>7075</v>
      </c>
      <c r="K156" s="7">
        <f ca="1">IFERROR(__xludf.DUMMYFUNCTION("""COMPUTED_VALUE"""),140)</f>
        <v>140</v>
      </c>
      <c r="L156" s="7">
        <f ca="1">IFERROR(__xludf.DUMMYFUNCTION("""COMPUTED_VALUE"""),9879)</f>
        <v>9879</v>
      </c>
      <c r="M156" s="7">
        <f ca="1">IFERROR(__xludf.DUMMYFUNCTION("""COMPUTED_VALUE"""),7245)</f>
        <v>7245</v>
      </c>
      <c r="N156" s="7">
        <f ca="1">IFERROR(__xludf.DUMMYFUNCTION("""COMPUTED_VALUE"""),4830)</f>
        <v>4830</v>
      </c>
    </row>
    <row r="157" spans="1:14" ht="13.2" x14ac:dyDescent="0.25">
      <c r="A157" s="6">
        <f ca="1">IFERROR(__xludf.DUMMYFUNCTION("""COMPUTED_VALUE"""),44046)</f>
        <v>44046</v>
      </c>
      <c r="B157" s="7">
        <f ca="1">IFERROR(__xludf.DUMMYFUNCTION("""COMPUTED_VALUE"""),8)</f>
        <v>8</v>
      </c>
      <c r="C157" s="8">
        <f ca="1">IFERROR(__xludf.DUMMYFUNCTION("""COMPUTED_VALUE"""),44046.3333333333)</f>
        <v>44046.333333333299</v>
      </c>
      <c r="D157" s="7">
        <f ca="1">IFERROR(__xludf.DUMMYFUNCTION("""COMPUTED_VALUE"""),867)</f>
        <v>867</v>
      </c>
      <c r="E157" s="7">
        <f ca="1">IFERROR(__xludf.DUMMYFUNCTION("""COMPUTED_VALUE"""),14165)</f>
        <v>14165</v>
      </c>
      <c r="F157" s="7">
        <f ca="1">IFERROR(__xludf.DUMMYFUNCTION("""COMPUTED_VALUE"""),5084)</f>
        <v>5084</v>
      </c>
      <c r="G157" s="7">
        <f ca="1">IFERROR(__xludf.DUMMYFUNCTION("""COMPUTED_VALUE"""),2327)</f>
        <v>2327</v>
      </c>
      <c r="H157" s="7">
        <f ca="1">IFERROR(__xludf.DUMMYFUNCTION("""COMPUTED_VALUE"""),22443)</f>
        <v>22443</v>
      </c>
      <c r="I157" s="7">
        <f ca="1">IFERROR(__xludf.DUMMYFUNCTION("""COMPUTED_VALUE"""),489)</f>
        <v>489</v>
      </c>
      <c r="J157" s="7">
        <f ca="1">IFERROR(__xludf.DUMMYFUNCTION("""COMPUTED_VALUE"""),7411)</f>
        <v>7411</v>
      </c>
      <c r="K157" s="7">
        <f ca="1">IFERROR(__xludf.DUMMYFUNCTION("""COMPUTED_VALUE"""),138)</f>
        <v>138</v>
      </c>
      <c r="L157" s="7">
        <f ca="1">IFERROR(__xludf.DUMMYFUNCTION("""COMPUTED_VALUE"""),10099)</f>
        <v>10099</v>
      </c>
      <c r="M157" s="7">
        <f ca="1">IFERROR(__xludf.DUMMYFUNCTION("""COMPUTED_VALUE"""),7406)</f>
        <v>7406</v>
      </c>
      <c r="N157" s="7">
        <f ca="1">IFERROR(__xludf.DUMMYFUNCTION("""COMPUTED_VALUE"""),4938)</f>
        <v>4938</v>
      </c>
    </row>
    <row r="158" spans="1:14" ht="13.2" x14ac:dyDescent="0.25">
      <c r="A158" s="6">
        <f ca="1">IFERROR(__xludf.DUMMYFUNCTION("""COMPUTED_VALUE"""),44047)</f>
        <v>44047</v>
      </c>
      <c r="B158" s="7">
        <f ca="1">IFERROR(__xludf.DUMMYFUNCTION("""COMPUTED_VALUE"""),8)</f>
        <v>8</v>
      </c>
      <c r="C158" s="8">
        <f ca="1">IFERROR(__xludf.DUMMYFUNCTION("""COMPUTED_VALUE"""),44047.3333333333)</f>
        <v>44047.333333333299</v>
      </c>
      <c r="D158" s="7">
        <f ca="1">IFERROR(__xludf.DUMMYFUNCTION("""COMPUTED_VALUE"""),880)</f>
        <v>880</v>
      </c>
      <c r="E158" s="7">
        <f ca="1">IFERROR(__xludf.DUMMYFUNCTION("""COMPUTED_VALUE"""),14381)</f>
        <v>14381</v>
      </c>
      <c r="F158" s="7">
        <f ca="1">IFERROR(__xludf.DUMMYFUNCTION("""COMPUTED_VALUE"""),5216)</f>
        <v>5216</v>
      </c>
      <c r="G158" s="7">
        <f ca="1">IFERROR(__xludf.DUMMYFUNCTION("""COMPUTED_VALUE"""),2432)</f>
        <v>2432</v>
      </c>
      <c r="H158" s="7">
        <f ca="1">IFERROR(__xludf.DUMMYFUNCTION("""COMPUTED_VALUE"""),22909)</f>
        <v>22909</v>
      </c>
      <c r="I158" s="7">
        <f ca="1">IFERROR(__xludf.DUMMYFUNCTION("""COMPUTED_VALUE"""),466)</f>
        <v>466</v>
      </c>
      <c r="J158" s="7">
        <f ca="1">IFERROR(__xludf.DUMMYFUNCTION("""COMPUTED_VALUE"""),7648)</f>
        <v>7648</v>
      </c>
      <c r="K158" s="7">
        <f ca="1">IFERROR(__xludf.DUMMYFUNCTION("""COMPUTED_VALUE"""),216)</f>
        <v>216</v>
      </c>
      <c r="L158" s="7">
        <f ca="1">IFERROR(__xludf.DUMMYFUNCTION("""COMPUTED_VALUE"""),10079)</f>
        <v>10079</v>
      </c>
      <c r="M158" s="7">
        <f ca="1">IFERROR(__xludf.DUMMYFUNCTION("""COMPUTED_VALUE"""),7560)</f>
        <v>7560</v>
      </c>
      <c r="N158" s="7">
        <f ca="1">IFERROR(__xludf.DUMMYFUNCTION("""COMPUTED_VALUE"""),5270)</f>
        <v>5270</v>
      </c>
    </row>
    <row r="159" spans="1:14" ht="13.2" x14ac:dyDescent="0.25">
      <c r="A159" s="6">
        <f ca="1">IFERROR(__xludf.DUMMYFUNCTION("""COMPUTED_VALUE"""),44048)</f>
        <v>44048</v>
      </c>
      <c r="B159" s="7">
        <f ca="1">IFERROR(__xludf.DUMMYFUNCTION("""COMPUTED_VALUE"""),8)</f>
        <v>8</v>
      </c>
      <c r="C159" s="8">
        <f ca="1">IFERROR(__xludf.DUMMYFUNCTION("""COMPUTED_VALUE"""),44048.3333333333)</f>
        <v>44048.333333333299</v>
      </c>
      <c r="D159" s="7">
        <f ca="1">IFERROR(__xludf.DUMMYFUNCTION("""COMPUTED_VALUE"""),895)</f>
        <v>895</v>
      </c>
      <c r="E159" s="7">
        <f ca="1">IFERROR(__xludf.DUMMYFUNCTION("""COMPUTED_VALUE"""),14760)</f>
        <v>14760</v>
      </c>
      <c r="F159" s="7">
        <f ca="1">IFERROR(__xludf.DUMMYFUNCTION("""COMPUTED_VALUE"""),5128)</f>
        <v>5128</v>
      </c>
      <c r="G159" s="7">
        <f ca="1">IFERROR(__xludf.DUMMYFUNCTION("""COMPUTED_VALUE"""),2483)</f>
        <v>2483</v>
      </c>
      <c r="H159" s="7">
        <f ca="1">IFERROR(__xludf.DUMMYFUNCTION("""COMPUTED_VALUE"""),23266)</f>
        <v>23266</v>
      </c>
      <c r="I159" s="7">
        <f ca="1">IFERROR(__xludf.DUMMYFUNCTION("""COMPUTED_VALUE"""),357)</f>
        <v>357</v>
      </c>
      <c r="J159" s="7">
        <f ca="1">IFERROR(__xludf.DUMMYFUNCTION("""COMPUTED_VALUE"""),7611)</f>
        <v>7611</v>
      </c>
      <c r="K159" s="7">
        <f ca="1">IFERROR(__xludf.DUMMYFUNCTION("""COMPUTED_VALUE"""),379)</f>
        <v>379</v>
      </c>
      <c r="L159" s="7">
        <f ca="1">IFERROR(__xludf.DUMMYFUNCTION("""COMPUTED_VALUE"""),10279)</f>
        <v>10279</v>
      </c>
      <c r="M159" s="7">
        <f ca="1">IFERROR(__xludf.DUMMYFUNCTION("""COMPUTED_VALUE"""),7617)</f>
        <v>7617</v>
      </c>
      <c r="N159" s="7">
        <f ca="1">IFERROR(__xludf.DUMMYFUNCTION("""COMPUTED_VALUE"""),5370)</f>
        <v>5370</v>
      </c>
    </row>
    <row r="160" spans="1:14" ht="13.2" x14ac:dyDescent="0.25">
      <c r="A160" s="6">
        <f ca="1">IFERROR(__xludf.DUMMYFUNCTION("""COMPUTED_VALUE"""),44049)</f>
        <v>44049</v>
      </c>
      <c r="B160" s="7">
        <f ca="1">IFERROR(__xludf.DUMMYFUNCTION("""COMPUTED_VALUE"""),8)</f>
        <v>8</v>
      </c>
      <c r="C160" s="8">
        <f ca="1">IFERROR(__xludf.DUMMYFUNCTION("""COMPUTED_VALUE"""),44049.3333333333)</f>
        <v>44049.333333333299</v>
      </c>
      <c r="D160" s="7">
        <f ca="1">IFERROR(__xludf.DUMMYFUNCTION("""COMPUTED_VALUE"""),908)</f>
        <v>908</v>
      </c>
      <c r="E160" s="7">
        <f ca="1">IFERROR(__xludf.DUMMYFUNCTION("""COMPUTED_VALUE"""),15006)</f>
        <v>15006</v>
      </c>
      <c r="F160" s="7">
        <f ca="1">IFERROR(__xludf.DUMMYFUNCTION("""COMPUTED_VALUE"""),5397)</f>
        <v>5397</v>
      </c>
      <c r="G160" s="7">
        <f ca="1">IFERROR(__xludf.DUMMYFUNCTION("""COMPUTED_VALUE"""),2552)</f>
        <v>2552</v>
      </c>
      <c r="H160" s="7">
        <f ca="1">IFERROR(__xludf.DUMMYFUNCTION("""COMPUTED_VALUE"""),23863)</f>
        <v>23863</v>
      </c>
      <c r="I160" s="7">
        <f ca="1">IFERROR(__xludf.DUMMYFUNCTION("""COMPUTED_VALUE"""),597)</f>
        <v>597</v>
      </c>
      <c r="J160" s="7">
        <f ca="1">IFERROR(__xludf.DUMMYFUNCTION("""COMPUTED_VALUE"""),7949)</f>
        <v>7949</v>
      </c>
      <c r="K160" s="7">
        <f ca="1">IFERROR(__xludf.DUMMYFUNCTION("""COMPUTED_VALUE"""),246)</f>
        <v>246</v>
      </c>
      <c r="L160" s="7">
        <f ca="1">IFERROR(__xludf.DUMMYFUNCTION("""COMPUTED_VALUE"""),10450)</f>
        <v>10450</v>
      </c>
      <c r="M160" s="7">
        <f ca="1">IFERROR(__xludf.DUMMYFUNCTION("""COMPUTED_VALUE"""),7636)</f>
        <v>7636</v>
      </c>
      <c r="N160" s="7">
        <f ca="1">IFERROR(__xludf.DUMMYFUNCTION("""COMPUTED_VALUE"""),5777)</f>
        <v>5777</v>
      </c>
    </row>
    <row r="161" spans="1:14" ht="13.2" x14ac:dyDescent="0.25">
      <c r="A161" s="6">
        <f ca="1">IFERROR(__xludf.DUMMYFUNCTION("""COMPUTED_VALUE"""),44050)</f>
        <v>44050</v>
      </c>
      <c r="B161" s="7">
        <f ca="1">IFERROR(__xludf.DUMMYFUNCTION("""COMPUTED_VALUE"""),8)</f>
        <v>8</v>
      </c>
      <c r="C161" s="8">
        <f ca="1">IFERROR(__xludf.DUMMYFUNCTION("""COMPUTED_VALUE"""),44050.3333333333)</f>
        <v>44050.333333333299</v>
      </c>
      <c r="D161" s="7">
        <f ca="1">IFERROR(__xludf.DUMMYFUNCTION("""COMPUTED_VALUE"""),922)</f>
        <v>922</v>
      </c>
      <c r="E161" s="7">
        <f ca="1">IFERROR(__xludf.DUMMYFUNCTION("""COMPUTED_VALUE"""),15201)</f>
        <v>15201</v>
      </c>
      <c r="F161" s="7">
        <f ca="1">IFERROR(__xludf.DUMMYFUNCTION("""COMPUTED_VALUE"""),5803)</f>
        <v>5803</v>
      </c>
      <c r="G161" s="7">
        <f ca="1">IFERROR(__xludf.DUMMYFUNCTION("""COMPUTED_VALUE"""),2595)</f>
        <v>2595</v>
      </c>
      <c r="H161" s="7">
        <f ca="1">IFERROR(__xludf.DUMMYFUNCTION("""COMPUTED_VALUE"""),24521)</f>
        <v>24521</v>
      </c>
      <c r="I161" s="7">
        <f ca="1">IFERROR(__xludf.DUMMYFUNCTION("""COMPUTED_VALUE"""),658)</f>
        <v>658</v>
      </c>
      <c r="J161" s="7">
        <f ca="1">IFERROR(__xludf.DUMMYFUNCTION("""COMPUTED_VALUE"""),8398)</f>
        <v>8398</v>
      </c>
      <c r="K161" s="7">
        <f ca="1">IFERROR(__xludf.DUMMYFUNCTION("""COMPUTED_VALUE"""),195)</f>
        <v>195</v>
      </c>
      <c r="L161" s="7">
        <f ca="1">IFERROR(__xludf.DUMMYFUNCTION("""COMPUTED_VALUE"""),10570)</f>
        <v>10570</v>
      </c>
      <c r="M161" s="7">
        <f ca="1">IFERROR(__xludf.DUMMYFUNCTION("""COMPUTED_VALUE"""),7836)</f>
        <v>7836</v>
      </c>
      <c r="N161" s="7">
        <f ca="1">IFERROR(__xludf.DUMMYFUNCTION("""COMPUTED_VALUE"""),6115)</f>
        <v>6115</v>
      </c>
    </row>
    <row r="162" spans="1:14" ht="13.2" x14ac:dyDescent="0.25">
      <c r="A162" s="6">
        <f ca="1">IFERROR(__xludf.DUMMYFUNCTION("""COMPUTED_VALUE"""),44051)</f>
        <v>44051</v>
      </c>
      <c r="B162" s="7">
        <f ca="1">IFERROR(__xludf.DUMMYFUNCTION("""COMPUTED_VALUE"""),8)</f>
        <v>8</v>
      </c>
      <c r="C162" s="8">
        <f ca="1">IFERROR(__xludf.DUMMYFUNCTION("""COMPUTED_VALUE"""),44051.3333333333)</f>
        <v>44051.333333333299</v>
      </c>
      <c r="D162" s="7">
        <f ca="1">IFERROR(__xludf.DUMMYFUNCTION("""COMPUTED_VALUE"""),934)</f>
        <v>934</v>
      </c>
      <c r="E162" s="7">
        <f ca="1">IFERROR(__xludf.DUMMYFUNCTION("""COMPUTED_VALUE"""),15710)</f>
        <v>15710</v>
      </c>
      <c r="F162" s="7">
        <f ca="1">IFERROR(__xludf.DUMMYFUNCTION("""COMPUTED_VALUE"""),6110)</f>
        <v>6110</v>
      </c>
      <c r="G162" s="7">
        <f ca="1">IFERROR(__xludf.DUMMYFUNCTION("""COMPUTED_VALUE"""),2488)</f>
        <v>2488</v>
      </c>
      <c r="H162" s="7">
        <f ca="1">IFERROR(__xludf.DUMMYFUNCTION("""COMPUTED_VALUE"""),25242)</f>
        <v>25242</v>
      </c>
      <c r="I162" s="7">
        <f ca="1">IFERROR(__xludf.DUMMYFUNCTION("""COMPUTED_VALUE"""),721)</f>
        <v>721</v>
      </c>
      <c r="J162" s="7">
        <f ca="1">IFERROR(__xludf.DUMMYFUNCTION("""COMPUTED_VALUE"""),8598)</f>
        <v>8598</v>
      </c>
      <c r="K162" s="7">
        <f ca="1">IFERROR(__xludf.DUMMYFUNCTION("""COMPUTED_VALUE"""),509)</f>
        <v>509</v>
      </c>
      <c r="L162" s="7">
        <f ca="1">IFERROR(__xludf.DUMMYFUNCTION("""COMPUTED_VALUE"""),11106)</f>
        <v>11106</v>
      </c>
      <c r="M162" s="7">
        <f ca="1">IFERROR(__xludf.DUMMYFUNCTION("""COMPUTED_VALUE"""),8077)</f>
        <v>8077</v>
      </c>
      <c r="N162" s="7">
        <f ca="1">IFERROR(__xludf.DUMMYFUNCTION("""COMPUTED_VALUE"""),6059)</f>
        <v>6059</v>
      </c>
    </row>
    <row r="163" spans="1:14" ht="13.2" x14ac:dyDescent="0.25">
      <c r="A163" s="6">
        <f ca="1">IFERROR(__xludf.DUMMYFUNCTION("""COMPUTED_VALUE"""),44052)</f>
        <v>44052</v>
      </c>
      <c r="B163" s="7">
        <f ca="1">IFERROR(__xludf.DUMMYFUNCTION("""COMPUTED_VALUE"""),8)</f>
        <v>8</v>
      </c>
      <c r="C163" s="8">
        <f ca="1">IFERROR(__xludf.DUMMYFUNCTION("""COMPUTED_VALUE"""),44052.3333333333)</f>
        <v>44052.333333333299</v>
      </c>
      <c r="D163" s="7">
        <f ca="1">IFERROR(__xludf.DUMMYFUNCTION("""COMPUTED_VALUE"""),939)</f>
        <v>939</v>
      </c>
      <c r="E163" s="7">
        <f ca="1">IFERROR(__xludf.DUMMYFUNCTION("""COMPUTED_VALUE"""),16268)</f>
        <v>16268</v>
      </c>
      <c r="F163" s="7">
        <f ca="1">IFERROR(__xludf.DUMMYFUNCTION("""COMPUTED_VALUE"""),6091)</f>
        <v>6091</v>
      </c>
      <c r="G163" s="7">
        <f ca="1">IFERROR(__xludf.DUMMYFUNCTION("""COMPUTED_VALUE"""),2416)</f>
        <v>2416</v>
      </c>
      <c r="H163" s="7">
        <f ca="1">IFERROR(__xludf.DUMMYFUNCTION("""COMPUTED_VALUE"""),25714)</f>
        <v>25714</v>
      </c>
      <c r="I163" s="7">
        <f ca="1">IFERROR(__xludf.DUMMYFUNCTION("""COMPUTED_VALUE"""),472)</f>
        <v>472</v>
      </c>
      <c r="J163" s="7">
        <f ca="1">IFERROR(__xludf.DUMMYFUNCTION("""COMPUTED_VALUE"""),8507)</f>
        <v>8507</v>
      </c>
      <c r="K163" s="7">
        <f ca="1">IFERROR(__xludf.DUMMYFUNCTION("""COMPUTED_VALUE"""),558)</f>
        <v>558</v>
      </c>
      <c r="L163" s="7">
        <f ca="1">IFERROR(__xludf.DUMMYFUNCTION("""COMPUTED_VALUE"""),14143)</f>
        <v>14143</v>
      </c>
      <c r="M163" s="7">
        <f ca="1">IFERROR(__xludf.DUMMYFUNCTION("""COMPUTED_VALUE"""),8077)</f>
        <v>8077</v>
      </c>
      <c r="N163" s="7">
        <f ca="1">IFERROR(__xludf.DUMMYFUNCTION("""COMPUTED_VALUE"""),3494)</f>
        <v>3494</v>
      </c>
    </row>
    <row r="164" spans="1:14" ht="13.2" x14ac:dyDescent="0.25">
      <c r="A164" s="6">
        <f ca="1">IFERROR(__xludf.DUMMYFUNCTION("""COMPUTED_VALUE"""),44053)</f>
        <v>44053</v>
      </c>
      <c r="B164" s="7">
        <f ca="1">IFERROR(__xludf.DUMMYFUNCTION("""COMPUTED_VALUE"""),8)</f>
        <v>8</v>
      </c>
      <c r="C164" s="8">
        <f ca="1">IFERROR(__xludf.DUMMYFUNCTION("""COMPUTED_VALUE"""),44053.3333333333)</f>
        <v>44053.333333333299</v>
      </c>
      <c r="D164" s="7">
        <f ca="1">IFERROR(__xludf.DUMMYFUNCTION("""COMPUTED_VALUE"""),940)</f>
        <v>940</v>
      </c>
      <c r="E164" s="7">
        <f ca="1">IFERROR(__xludf.DUMMYFUNCTION("""COMPUTED_VALUE"""),16446)</f>
        <v>16446</v>
      </c>
      <c r="F164" s="7">
        <f ca="1">IFERROR(__xludf.DUMMYFUNCTION("""COMPUTED_VALUE"""),6252)</f>
        <v>6252</v>
      </c>
      <c r="G164" s="7">
        <f ca="1">IFERROR(__xludf.DUMMYFUNCTION("""COMPUTED_VALUE"""),2555)</f>
        <v>2555</v>
      </c>
      <c r="H164" s="7">
        <f ca="1">IFERROR(__xludf.DUMMYFUNCTION("""COMPUTED_VALUE"""),26193)</f>
        <v>26193</v>
      </c>
      <c r="I164" s="7">
        <f ca="1">IFERROR(__xludf.DUMMYFUNCTION("""COMPUTED_VALUE"""),479)</f>
        <v>479</v>
      </c>
      <c r="J164" s="7">
        <f ca="1">IFERROR(__xludf.DUMMYFUNCTION("""COMPUTED_VALUE"""),8807)</f>
        <v>8807</v>
      </c>
      <c r="K164" s="7">
        <f ca="1">IFERROR(__xludf.DUMMYFUNCTION("""COMPUTED_VALUE"""),178)</f>
        <v>178</v>
      </c>
      <c r="L164" s="7">
        <f ca="1">IFERROR(__xludf.DUMMYFUNCTION("""COMPUTED_VALUE"""),14400)</f>
        <v>14400</v>
      </c>
      <c r="M164" s="7">
        <f ca="1">IFERROR(__xludf.DUMMYFUNCTION("""COMPUTED_VALUE"""),8381)</f>
        <v>8381</v>
      </c>
      <c r="N164" s="7">
        <f ca="1">IFERROR(__xludf.DUMMYFUNCTION("""COMPUTED_VALUE"""),3412)</f>
        <v>3412</v>
      </c>
    </row>
    <row r="165" spans="1:14" ht="13.2" x14ac:dyDescent="0.25">
      <c r="A165" s="6">
        <f ca="1">IFERROR(__xludf.DUMMYFUNCTION("""COMPUTED_VALUE"""),44054)</f>
        <v>44054</v>
      </c>
      <c r="B165" s="7">
        <f ca="1">IFERROR(__xludf.DUMMYFUNCTION("""COMPUTED_VALUE"""),8)</f>
        <v>8</v>
      </c>
      <c r="C165" s="8">
        <f ca="1">IFERROR(__xludf.DUMMYFUNCTION("""COMPUTED_VALUE"""),44054.3333333333)</f>
        <v>44054.333333333299</v>
      </c>
      <c r="D165" s="7">
        <f ca="1">IFERROR(__xludf.DUMMYFUNCTION("""COMPUTED_VALUE"""),953)</f>
        <v>953</v>
      </c>
      <c r="E165" s="7">
        <f ca="1">IFERROR(__xludf.DUMMYFUNCTION("""COMPUTED_VALUE"""),16927)</f>
        <v>16927</v>
      </c>
      <c r="F165" s="7">
        <f ca="1">IFERROR(__xludf.DUMMYFUNCTION("""COMPUTED_VALUE"""),6236)</f>
        <v>6236</v>
      </c>
      <c r="G165" s="7">
        <f ca="1">IFERROR(__xludf.DUMMYFUNCTION("""COMPUTED_VALUE"""),2548)</f>
        <v>2548</v>
      </c>
      <c r="H165" s="7">
        <f ca="1">IFERROR(__xludf.DUMMYFUNCTION("""COMPUTED_VALUE"""),26664)</f>
        <v>26664</v>
      </c>
      <c r="I165" s="7">
        <f ca="1">IFERROR(__xludf.DUMMYFUNCTION("""COMPUTED_VALUE"""),471)</f>
        <v>471</v>
      </c>
      <c r="J165" s="7">
        <f ca="1">IFERROR(__xludf.DUMMYFUNCTION("""COMPUTED_VALUE"""),8784)</f>
        <v>8784</v>
      </c>
      <c r="K165" s="7">
        <f ca="1">IFERROR(__xludf.DUMMYFUNCTION("""COMPUTED_VALUE"""),481)</f>
        <v>481</v>
      </c>
      <c r="L165" s="7">
        <f ca="1">IFERROR(__xludf.DUMMYFUNCTION("""COMPUTED_VALUE"""),14665)</f>
        <v>14665</v>
      </c>
      <c r="M165" s="7">
        <f ca="1">IFERROR(__xludf.DUMMYFUNCTION("""COMPUTED_VALUE"""),8532)</f>
        <v>8532</v>
      </c>
      <c r="N165" s="7">
        <f ca="1">IFERROR(__xludf.DUMMYFUNCTION("""COMPUTED_VALUE"""),3467)</f>
        <v>3467</v>
      </c>
    </row>
    <row r="166" spans="1:14" ht="13.2" x14ac:dyDescent="0.25">
      <c r="A166" s="6">
        <f ca="1">IFERROR(__xludf.DUMMYFUNCTION("""COMPUTED_VALUE"""),44055)</f>
        <v>44055</v>
      </c>
      <c r="B166" s="7">
        <f ca="1">IFERROR(__xludf.DUMMYFUNCTION("""COMPUTED_VALUE"""),8)</f>
        <v>8</v>
      </c>
      <c r="C166" s="8">
        <f ca="1">IFERROR(__xludf.DUMMYFUNCTION("""COMPUTED_VALUE"""),44055.3333333333)</f>
        <v>44055.333333333299</v>
      </c>
      <c r="D166" s="7">
        <f ca="1">IFERROR(__xludf.DUMMYFUNCTION("""COMPUTED_VALUE"""),968)</f>
        <v>968</v>
      </c>
      <c r="E166" s="7">
        <f ca="1">IFERROR(__xludf.DUMMYFUNCTION("""COMPUTED_VALUE"""),17349)</f>
        <v>17349</v>
      </c>
      <c r="F166" s="7">
        <f ca="1">IFERROR(__xludf.DUMMYFUNCTION("""COMPUTED_VALUE"""),6208)</f>
        <v>6208</v>
      </c>
      <c r="G166" s="7">
        <f ca="1">IFERROR(__xludf.DUMMYFUNCTION("""COMPUTED_VALUE"""),2717)</f>
        <v>2717</v>
      </c>
      <c r="H166" s="7">
        <f ca="1">IFERROR(__xludf.DUMMYFUNCTION("""COMPUTED_VALUE"""),27242)</f>
        <v>27242</v>
      </c>
      <c r="I166" s="7">
        <f ca="1">IFERROR(__xludf.DUMMYFUNCTION("""COMPUTED_VALUE"""),578)</f>
        <v>578</v>
      </c>
      <c r="J166" s="7">
        <f ca="1">IFERROR(__xludf.DUMMYFUNCTION("""COMPUTED_VALUE"""),8925)</f>
        <v>8925</v>
      </c>
      <c r="K166" s="7">
        <f ca="1">IFERROR(__xludf.DUMMYFUNCTION("""COMPUTED_VALUE"""),422)</f>
        <v>422</v>
      </c>
      <c r="L166" s="7">
        <f ca="1">IFERROR(__xludf.DUMMYFUNCTION("""COMPUTED_VALUE"""),14983)</f>
        <v>14983</v>
      </c>
      <c r="M166" s="7">
        <f ca="1">IFERROR(__xludf.DUMMYFUNCTION("""COMPUTED_VALUE"""),8717)</f>
        <v>8717</v>
      </c>
      <c r="N166" s="7">
        <f ca="1">IFERROR(__xludf.DUMMYFUNCTION("""COMPUTED_VALUE"""),3542)</f>
        <v>3542</v>
      </c>
    </row>
    <row r="167" spans="1:14" ht="13.2" x14ac:dyDescent="0.25">
      <c r="A167" s="6">
        <f ca="1">IFERROR(__xludf.DUMMYFUNCTION("""COMPUTED_VALUE"""),44056)</f>
        <v>44056</v>
      </c>
      <c r="B167" s="7">
        <f ca="1">IFERROR(__xludf.DUMMYFUNCTION("""COMPUTED_VALUE"""),8)</f>
        <v>8</v>
      </c>
      <c r="C167" s="8">
        <f ca="1">IFERROR(__xludf.DUMMYFUNCTION("""COMPUTED_VALUE"""),44056.3333333333)</f>
        <v>44056.333333333299</v>
      </c>
      <c r="D167" s="7">
        <f ca="1">IFERROR(__xludf.DUMMYFUNCTION("""COMPUTED_VALUE"""),981)</f>
        <v>981</v>
      </c>
      <c r="E167" s="7">
        <f ca="1">IFERROR(__xludf.DUMMYFUNCTION("""COMPUTED_VALUE"""),17838)</f>
        <v>17838</v>
      </c>
      <c r="F167" s="7">
        <f ca="1">IFERROR(__xludf.DUMMYFUNCTION("""COMPUTED_VALUE"""),6330)</f>
        <v>6330</v>
      </c>
      <c r="G167" s="7">
        <f ca="1">IFERROR(__xludf.DUMMYFUNCTION("""COMPUTED_VALUE"""),2714)</f>
        <v>2714</v>
      </c>
      <c r="H167" s="7">
        <f ca="1">IFERROR(__xludf.DUMMYFUNCTION("""COMPUTED_VALUE"""),27863)</f>
        <v>27863</v>
      </c>
      <c r="I167" s="7">
        <f ca="1">IFERROR(__xludf.DUMMYFUNCTION("""COMPUTED_VALUE"""),621)</f>
        <v>621</v>
      </c>
      <c r="J167" s="7">
        <f ca="1">IFERROR(__xludf.DUMMYFUNCTION("""COMPUTED_VALUE"""),9044)</f>
        <v>9044</v>
      </c>
      <c r="K167" s="7">
        <f ca="1">IFERROR(__xludf.DUMMYFUNCTION("""COMPUTED_VALUE"""),489)</f>
        <v>489</v>
      </c>
      <c r="L167" s="7">
        <f ca="1">IFERROR(__xludf.DUMMYFUNCTION("""COMPUTED_VALUE"""),15324)</f>
        <v>15324</v>
      </c>
      <c r="M167" s="7">
        <f ca="1">IFERROR(__xludf.DUMMYFUNCTION("""COMPUTED_VALUE"""),8916)</f>
        <v>8916</v>
      </c>
      <c r="N167" s="7">
        <f ca="1">IFERROR(__xludf.DUMMYFUNCTION("""COMPUTED_VALUE"""),3623)</f>
        <v>3623</v>
      </c>
    </row>
    <row r="168" spans="1:14" ht="13.2" x14ac:dyDescent="0.25">
      <c r="A168" s="6">
        <f ca="1">IFERROR(__xludf.DUMMYFUNCTION("""COMPUTED_VALUE"""),44057)</f>
        <v>44057</v>
      </c>
      <c r="B168" s="7">
        <f ca="1">IFERROR(__xludf.DUMMYFUNCTION("""COMPUTED_VALUE"""),8)</f>
        <v>8</v>
      </c>
      <c r="C168" s="8">
        <f ca="1">IFERROR(__xludf.DUMMYFUNCTION("""COMPUTED_VALUE"""),44057.3333333333)</f>
        <v>44057.333333333299</v>
      </c>
      <c r="D168" s="7">
        <f ca="1">IFERROR(__xludf.DUMMYFUNCTION("""COMPUTED_VALUE"""),985)</f>
        <v>985</v>
      </c>
      <c r="E168" s="7">
        <f ca="1">IFERROR(__xludf.DUMMYFUNCTION("""COMPUTED_VALUE"""),18528)</f>
        <v>18528</v>
      </c>
      <c r="F168" s="7">
        <f ca="1">IFERROR(__xludf.DUMMYFUNCTION("""COMPUTED_VALUE"""),6331)</f>
        <v>6331</v>
      </c>
      <c r="G168" s="7">
        <f ca="1">IFERROR(__xludf.DUMMYFUNCTION("""COMPUTED_VALUE"""),2594)</f>
        <v>2594</v>
      </c>
      <c r="H168" s="7">
        <f ca="1">IFERROR(__xludf.DUMMYFUNCTION("""COMPUTED_VALUE"""),28438)</f>
        <v>28438</v>
      </c>
      <c r="I168" s="7">
        <f ca="1">IFERROR(__xludf.DUMMYFUNCTION("""COMPUTED_VALUE"""),575)</f>
        <v>575</v>
      </c>
      <c r="J168" s="7">
        <f ca="1">IFERROR(__xludf.DUMMYFUNCTION("""COMPUTED_VALUE"""),8925)</f>
        <v>8925</v>
      </c>
      <c r="K168" s="7">
        <f ca="1">IFERROR(__xludf.DUMMYFUNCTION("""COMPUTED_VALUE"""),690)</f>
        <v>690</v>
      </c>
      <c r="L168" s="7">
        <f ca="1">IFERROR(__xludf.DUMMYFUNCTION("""COMPUTED_VALUE"""),15324)</f>
        <v>15324</v>
      </c>
      <c r="M168" s="7">
        <f ca="1">IFERROR(__xludf.DUMMYFUNCTION("""COMPUTED_VALUE"""),8916)</f>
        <v>8916</v>
      </c>
      <c r="N168" s="7">
        <f ca="1">IFERROR(__xludf.DUMMYFUNCTION("""COMPUTED_VALUE"""),4198)</f>
        <v>4198</v>
      </c>
    </row>
    <row r="169" spans="1:14" ht="13.2" x14ac:dyDescent="0.25">
      <c r="A169" s="6">
        <f ca="1">IFERROR(__xludf.DUMMYFUNCTION("""COMPUTED_VALUE"""),44058)</f>
        <v>44058</v>
      </c>
      <c r="B169" s="7">
        <f ca="1">IFERROR(__xludf.DUMMYFUNCTION("""COMPUTED_VALUE"""),8)</f>
        <v>8</v>
      </c>
      <c r="C169" s="8">
        <f ca="1">IFERROR(__xludf.DUMMYFUNCTION("""COMPUTED_VALUE"""),44058.3333333333)</f>
        <v>44058.333333333299</v>
      </c>
      <c r="D169" s="7">
        <f ca="1">IFERROR(__xludf.DUMMYFUNCTION("""COMPUTED_VALUE"""),991)</f>
        <v>991</v>
      </c>
      <c r="E169" s="7">
        <f ca="1">IFERROR(__xludf.DUMMYFUNCTION("""COMPUTED_VALUE"""),18974)</f>
        <v>18974</v>
      </c>
      <c r="F169" s="7">
        <f ca="1">IFERROR(__xludf.DUMMYFUNCTION("""COMPUTED_VALUE"""),6457)</f>
        <v>6457</v>
      </c>
      <c r="G169" s="7">
        <f ca="1">IFERROR(__xludf.DUMMYFUNCTION("""COMPUTED_VALUE"""),2614)</f>
        <v>2614</v>
      </c>
      <c r="H169" s="7">
        <f ca="1">IFERROR(__xludf.DUMMYFUNCTION("""COMPUTED_VALUE"""),29036)</f>
        <v>29036</v>
      </c>
      <c r="I169" s="7">
        <f ca="1">IFERROR(__xludf.DUMMYFUNCTION("""COMPUTED_VALUE"""),598)</f>
        <v>598</v>
      </c>
      <c r="J169" s="7">
        <f ca="1">IFERROR(__xludf.DUMMYFUNCTION("""COMPUTED_VALUE"""),9071)</f>
        <v>9071</v>
      </c>
      <c r="K169" s="7">
        <f ca="1">IFERROR(__xludf.DUMMYFUNCTION("""COMPUTED_VALUE"""),446)</f>
        <v>446</v>
      </c>
      <c r="L169" s="7">
        <f ca="1">IFERROR(__xludf.DUMMYFUNCTION("""COMPUTED_VALUE"""),16118)</f>
        <v>16118</v>
      </c>
      <c r="M169" s="7">
        <f ca="1">IFERROR(__xludf.DUMMYFUNCTION("""COMPUTED_VALUE"""),8992)</f>
        <v>8992</v>
      </c>
      <c r="N169" s="7">
        <f ca="1">IFERROR(__xludf.DUMMYFUNCTION("""COMPUTED_VALUE"""),3926)</f>
        <v>3926</v>
      </c>
    </row>
    <row r="170" spans="1:14" ht="13.2" x14ac:dyDescent="0.25">
      <c r="A170" s="6">
        <f ca="1">IFERROR(__xludf.DUMMYFUNCTION("""COMPUTED_VALUE"""),44059)</f>
        <v>44059</v>
      </c>
      <c r="B170" s="7">
        <f ca="1">IFERROR(__xludf.DUMMYFUNCTION("""COMPUTED_VALUE"""),8)</f>
        <v>8</v>
      </c>
      <c r="C170" s="8">
        <f ca="1">IFERROR(__xludf.DUMMYFUNCTION("""COMPUTED_VALUE"""),44059.3333333333)</f>
        <v>44059.333333333299</v>
      </c>
      <c r="D170" s="7">
        <f ca="1">IFERROR(__xludf.DUMMYFUNCTION("""COMPUTED_VALUE"""),995)</f>
        <v>995</v>
      </c>
      <c r="E170" s="7">
        <f ca="1">IFERROR(__xludf.DUMMYFUNCTION("""COMPUTED_VALUE"""),19708)</f>
        <v>19708</v>
      </c>
      <c r="F170" s="7">
        <f ca="1">IFERROR(__xludf.DUMMYFUNCTION("""COMPUTED_VALUE"""),6284)</f>
        <v>6284</v>
      </c>
      <c r="G170" s="7">
        <f ca="1">IFERROR(__xludf.DUMMYFUNCTION("""COMPUTED_VALUE"""),2567)</f>
        <v>2567</v>
      </c>
      <c r="H170" s="7">
        <f ca="1">IFERROR(__xludf.DUMMYFUNCTION("""COMPUTED_VALUE"""),29554)</f>
        <v>29554</v>
      </c>
      <c r="I170" s="7">
        <f ca="1">IFERROR(__xludf.DUMMYFUNCTION("""COMPUTED_VALUE"""),518)</f>
        <v>518</v>
      </c>
      <c r="J170" s="7">
        <f ca="1">IFERROR(__xludf.DUMMYFUNCTION("""COMPUTED_VALUE"""),8851)</f>
        <v>8851</v>
      </c>
      <c r="K170" s="7">
        <f ca="1">IFERROR(__xludf.DUMMYFUNCTION("""COMPUTED_VALUE"""),734)</f>
        <v>734</v>
      </c>
      <c r="L170" s="7">
        <f ca="1">IFERROR(__xludf.DUMMYFUNCTION("""COMPUTED_VALUE"""),16250)</f>
        <v>16250</v>
      </c>
      <c r="M170" s="7">
        <f ca="1">IFERROR(__xludf.DUMMYFUNCTION("""COMPUTED_VALUE"""),9457)</f>
        <v>9457</v>
      </c>
      <c r="N170" s="7">
        <f ca="1">IFERROR(__xludf.DUMMYFUNCTION("""COMPUTED_VALUE"""),3847)</f>
        <v>3847</v>
      </c>
    </row>
    <row r="171" spans="1:14" ht="13.2" x14ac:dyDescent="0.25">
      <c r="A171" s="6">
        <f ca="1">IFERROR(__xludf.DUMMYFUNCTION("""COMPUTED_VALUE"""),44060)</f>
        <v>44060</v>
      </c>
      <c r="B171" s="7">
        <f ca="1">IFERROR(__xludf.DUMMYFUNCTION("""COMPUTED_VALUE"""),8)</f>
        <v>8</v>
      </c>
      <c r="C171" s="8">
        <f ca="1">IFERROR(__xludf.DUMMYFUNCTION("""COMPUTED_VALUE"""),44060.3333333333)</f>
        <v>44060.333333333299</v>
      </c>
      <c r="D171" s="7">
        <f ca="1">IFERROR(__xludf.DUMMYFUNCTION("""COMPUTED_VALUE"""),1011)</f>
        <v>1011</v>
      </c>
      <c r="E171" s="7">
        <f ca="1">IFERROR(__xludf.DUMMYFUNCTION("""COMPUTED_VALUE"""),19916)</f>
        <v>19916</v>
      </c>
      <c r="F171" s="7">
        <f ca="1">IFERROR(__xludf.DUMMYFUNCTION("""COMPUTED_VALUE"""),6514)</f>
        <v>6514</v>
      </c>
      <c r="G171" s="7">
        <f ca="1">IFERROR(__xludf.DUMMYFUNCTION("""COMPUTED_VALUE"""),2651)</f>
        <v>2651</v>
      </c>
      <c r="H171" s="7">
        <f ca="1">IFERROR(__xludf.DUMMYFUNCTION("""COMPUTED_VALUE"""),30092)</f>
        <v>30092</v>
      </c>
      <c r="I171" s="7">
        <f ca="1">IFERROR(__xludf.DUMMYFUNCTION("""COMPUTED_VALUE"""),538)</f>
        <v>538</v>
      </c>
      <c r="J171" s="7">
        <f ca="1">IFERROR(__xludf.DUMMYFUNCTION("""COMPUTED_VALUE"""),9165)</f>
        <v>9165</v>
      </c>
      <c r="K171" s="7">
        <f ca="1">IFERROR(__xludf.DUMMYFUNCTION("""COMPUTED_VALUE"""),208)</f>
        <v>208</v>
      </c>
      <c r="L171" s="7">
        <f ca="1">IFERROR(__xludf.DUMMYFUNCTION("""COMPUTED_VALUE"""),16551)</f>
        <v>16551</v>
      </c>
      <c r="M171" s="7">
        <f ca="1">IFERROR(__xludf.DUMMYFUNCTION("""COMPUTED_VALUE"""),9630)</f>
        <v>9630</v>
      </c>
      <c r="N171" s="7">
        <f ca="1">IFERROR(__xludf.DUMMYFUNCTION("""COMPUTED_VALUE"""),3911)</f>
        <v>3911</v>
      </c>
    </row>
    <row r="172" spans="1:14" ht="13.2" x14ac:dyDescent="0.25">
      <c r="A172" s="6">
        <f ca="1">IFERROR(__xludf.DUMMYFUNCTION("""COMPUTED_VALUE"""),44061)</f>
        <v>44061</v>
      </c>
      <c r="B172" s="7">
        <f ca="1">IFERROR(__xludf.DUMMYFUNCTION("""COMPUTED_VALUE"""),8)</f>
        <v>8</v>
      </c>
      <c r="C172" s="8">
        <f ca="1">IFERROR(__xludf.DUMMYFUNCTION("""COMPUTED_VALUE"""),44061.3333333333)</f>
        <v>44061.333333333299</v>
      </c>
      <c r="D172" s="7">
        <f ca="1">IFERROR(__xludf.DUMMYFUNCTION("""COMPUTED_VALUE"""),1028)</f>
        <v>1028</v>
      </c>
      <c r="E172" s="7">
        <f ca="1">IFERROR(__xludf.DUMMYFUNCTION("""COMPUTED_VALUE"""),20505)</f>
        <v>20505</v>
      </c>
      <c r="F172" s="7">
        <f ca="1">IFERROR(__xludf.DUMMYFUNCTION("""COMPUTED_VALUE"""),6602)</f>
        <v>6602</v>
      </c>
      <c r="G172" s="7">
        <f ca="1">IFERROR(__xludf.DUMMYFUNCTION("""COMPUTED_VALUE"""),2462)</f>
        <v>2462</v>
      </c>
      <c r="H172" s="7">
        <f ca="1">IFERROR(__xludf.DUMMYFUNCTION("""COMPUTED_VALUE"""),30597)</f>
        <v>30597</v>
      </c>
      <c r="I172" s="7">
        <f ca="1">IFERROR(__xludf.DUMMYFUNCTION("""COMPUTED_VALUE"""),505)</f>
        <v>505</v>
      </c>
      <c r="J172" s="7">
        <f ca="1">IFERROR(__xludf.DUMMYFUNCTION("""COMPUTED_VALUE"""),9064)</f>
        <v>9064</v>
      </c>
      <c r="K172" s="7">
        <f ca="1">IFERROR(__xludf.DUMMYFUNCTION("""COMPUTED_VALUE"""),589)</f>
        <v>589</v>
      </c>
      <c r="L172" s="7">
        <f ca="1">IFERROR(__xludf.DUMMYFUNCTION("""COMPUTED_VALUE"""),16820)</f>
        <v>16820</v>
      </c>
      <c r="M172" s="7">
        <f ca="1">IFERROR(__xludf.DUMMYFUNCTION("""COMPUTED_VALUE"""),9680)</f>
        <v>9680</v>
      </c>
      <c r="N172" s="7">
        <f ca="1">IFERROR(__xludf.DUMMYFUNCTION("""COMPUTED_VALUE"""),4097)</f>
        <v>4097</v>
      </c>
    </row>
    <row r="173" spans="1:14" ht="13.2" x14ac:dyDescent="0.25">
      <c r="A173" s="6">
        <f ca="1">IFERROR(__xludf.DUMMYFUNCTION("""COMPUTED_VALUE"""),44062)</f>
        <v>44062</v>
      </c>
      <c r="B173" s="7">
        <f ca="1">IFERROR(__xludf.DUMMYFUNCTION("""COMPUTED_VALUE"""),8)</f>
        <v>8</v>
      </c>
      <c r="C173" s="8">
        <f ca="1">IFERROR(__xludf.DUMMYFUNCTION("""COMPUTED_VALUE"""),44062.3333333333)</f>
        <v>44062.333333333299</v>
      </c>
      <c r="D173" s="7">
        <f ca="1">IFERROR(__xludf.DUMMYFUNCTION("""COMPUTED_VALUE"""),1046)</f>
        <v>1046</v>
      </c>
      <c r="E173" s="7">
        <f ca="1">IFERROR(__xludf.DUMMYFUNCTION("""COMPUTED_VALUE"""),21069)</f>
        <v>21069</v>
      </c>
      <c r="F173" s="7">
        <f ca="1">IFERROR(__xludf.DUMMYFUNCTION("""COMPUTED_VALUE"""),6488)</f>
        <v>6488</v>
      </c>
      <c r="G173" s="7">
        <f ca="1">IFERROR(__xludf.DUMMYFUNCTION("""COMPUTED_VALUE"""),2559)</f>
        <v>2559</v>
      </c>
      <c r="H173" s="7">
        <f ca="1">IFERROR(__xludf.DUMMYFUNCTION("""COMPUTED_VALUE"""),31162)</f>
        <v>31162</v>
      </c>
      <c r="I173" s="7">
        <f ca="1">IFERROR(__xludf.DUMMYFUNCTION("""COMPUTED_VALUE"""),565)</f>
        <v>565</v>
      </c>
      <c r="J173" s="7">
        <f ca="1">IFERROR(__xludf.DUMMYFUNCTION("""COMPUTED_VALUE"""),9047)</f>
        <v>9047</v>
      </c>
      <c r="K173" s="7">
        <f ca="1">IFERROR(__xludf.DUMMYFUNCTION("""COMPUTED_VALUE"""),564)</f>
        <v>564</v>
      </c>
      <c r="L173" s="7">
        <f ca="1">IFERROR(__xludf.DUMMYFUNCTION("""COMPUTED_VALUE"""),17099)</f>
        <v>17099</v>
      </c>
      <c r="M173" s="7">
        <f ca="1">IFERROR(__xludf.DUMMYFUNCTION("""COMPUTED_VALUE"""),9972)</f>
        <v>9972</v>
      </c>
      <c r="N173" s="7">
        <f ca="1">IFERROR(__xludf.DUMMYFUNCTION("""COMPUTED_VALUE"""),4091)</f>
        <v>4091</v>
      </c>
    </row>
    <row r="174" spans="1:14" ht="13.2" x14ac:dyDescent="0.25">
      <c r="A174" s="6">
        <f ca="1">IFERROR(__xludf.DUMMYFUNCTION("""COMPUTED_VALUE"""),44063)</f>
        <v>44063</v>
      </c>
      <c r="B174" s="7">
        <f ca="1">IFERROR(__xludf.DUMMYFUNCTION("""COMPUTED_VALUE"""),8)</f>
        <v>8</v>
      </c>
      <c r="C174" s="8">
        <f ca="1">IFERROR(__xludf.DUMMYFUNCTION("""COMPUTED_VALUE"""),44063.3333333333)</f>
        <v>44063.333333333299</v>
      </c>
      <c r="D174" s="7">
        <f ca="1">IFERROR(__xludf.DUMMYFUNCTION("""COMPUTED_VALUE"""),1061)</f>
        <v>1061</v>
      </c>
      <c r="E174" s="7">
        <f ca="1">IFERROR(__xludf.DUMMYFUNCTION("""COMPUTED_VALUE"""),21795)</f>
        <v>21795</v>
      </c>
      <c r="F174" s="7">
        <f ca="1">IFERROR(__xludf.DUMMYFUNCTION("""COMPUTED_VALUE"""),6357)</f>
        <v>6357</v>
      </c>
      <c r="G174" s="7">
        <f ca="1">IFERROR(__xludf.DUMMYFUNCTION("""COMPUTED_VALUE"""),2544)</f>
        <v>2544</v>
      </c>
      <c r="H174" s="7">
        <f ca="1">IFERROR(__xludf.DUMMYFUNCTION("""COMPUTED_VALUE"""),31757)</f>
        <v>31757</v>
      </c>
      <c r="I174" s="7">
        <f ca="1">IFERROR(__xludf.DUMMYFUNCTION("""COMPUTED_VALUE"""),595)</f>
        <v>595</v>
      </c>
      <c r="J174" s="7">
        <f ca="1">IFERROR(__xludf.DUMMYFUNCTION("""COMPUTED_VALUE"""),8901)</f>
        <v>8901</v>
      </c>
      <c r="K174" s="7">
        <f ca="1">IFERROR(__xludf.DUMMYFUNCTION("""COMPUTED_VALUE"""),726)</f>
        <v>726</v>
      </c>
      <c r="L174" s="7">
        <f ca="1">IFERROR(__xludf.DUMMYFUNCTION("""COMPUTED_VALUE"""),17300)</f>
        <v>17300</v>
      </c>
      <c r="M174" s="7">
        <f ca="1">IFERROR(__xludf.DUMMYFUNCTION("""COMPUTED_VALUE"""),10102)</f>
        <v>10102</v>
      </c>
      <c r="N174" s="7">
        <f ca="1">IFERROR(__xludf.DUMMYFUNCTION("""COMPUTED_VALUE"""),4355)</f>
        <v>4355</v>
      </c>
    </row>
    <row r="175" spans="1:14" ht="13.2" x14ac:dyDescent="0.25">
      <c r="A175" s="6">
        <f ca="1">IFERROR(__xludf.DUMMYFUNCTION("""COMPUTED_VALUE"""),44064)</f>
        <v>44064</v>
      </c>
      <c r="B175" s="7">
        <f ca="1">IFERROR(__xludf.DUMMYFUNCTION("""COMPUTED_VALUE"""),8)</f>
        <v>8</v>
      </c>
      <c r="C175" s="8">
        <f ca="1">IFERROR(__xludf.DUMMYFUNCTION("""COMPUTED_VALUE"""),44064.3333333333)</f>
        <v>44064.333333333299</v>
      </c>
      <c r="D175" s="7">
        <f ca="1">IFERROR(__xludf.DUMMYFUNCTION("""COMPUTED_VALUE"""),1076)</f>
        <v>1076</v>
      </c>
      <c r="E175" s="7">
        <f ca="1">IFERROR(__xludf.DUMMYFUNCTION("""COMPUTED_VALUE"""),22228)</f>
        <v>22228</v>
      </c>
      <c r="F175" s="7">
        <f ca="1">IFERROR(__xludf.DUMMYFUNCTION("""COMPUTED_VALUE"""),6518)</f>
        <v>6518</v>
      </c>
      <c r="G175" s="7">
        <f ca="1">IFERROR(__xludf.DUMMYFUNCTION("""COMPUTED_VALUE"""),2576)</f>
        <v>2576</v>
      </c>
      <c r="H175" s="7">
        <f ca="1">IFERROR(__xludf.DUMMYFUNCTION("""COMPUTED_VALUE"""),32398)</f>
        <v>32398</v>
      </c>
      <c r="I175" s="7">
        <f ca="1">IFERROR(__xludf.DUMMYFUNCTION("""COMPUTED_VALUE"""),641)</f>
        <v>641</v>
      </c>
      <c r="J175" s="7">
        <f ca="1">IFERROR(__xludf.DUMMYFUNCTION("""COMPUTED_VALUE"""),9094)</f>
        <v>9094</v>
      </c>
      <c r="K175" s="7">
        <f ca="1">IFERROR(__xludf.DUMMYFUNCTION("""COMPUTED_VALUE"""),433)</f>
        <v>433</v>
      </c>
      <c r="L175" s="7">
        <f ca="1">IFERROR(__xludf.DUMMYFUNCTION("""COMPUTED_VALUE"""),17500)</f>
        <v>17500</v>
      </c>
      <c r="M175" s="7">
        <f ca="1">IFERROR(__xludf.DUMMYFUNCTION("""COMPUTED_VALUE"""),10102)</f>
        <v>10102</v>
      </c>
      <c r="N175" s="7">
        <f ca="1">IFERROR(__xludf.DUMMYFUNCTION("""COMPUTED_VALUE"""),4796)</f>
        <v>4796</v>
      </c>
    </row>
    <row r="176" spans="1:14" ht="13.2" x14ac:dyDescent="0.25">
      <c r="A176" s="6">
        <f ca="1">IFERROR(__xludf.DUMMYFUNCTION("""COMPUTED_VALUE"""),44065)</f>
        <v>44065</v>
      </c>
      <c r="B176" s="7">
        <f ca="1">IFERROR(__xludf.DUMMYFUNCTION("""COMPUTED_VALUE"""),8)</f>
        <v>8</v>
      </c>
      <c r="C176" s="8">
        <f ca="1">IFERROR(__xludf.DUMMYFUNCTION("""COMPUTED_VALUE"""),44065.3333333333)</f>
        <v>44065.333333333299</v>
      </c>
      <c r="D176" s="7">
        <f ca="1">IFERROR(__xludf.DUMMYFUNCTION("""COMPUTED_VALUE"""),1091)</f>
        <v>1091</v>
      </c>
      <c r="E176" s="7">
        <f ca="1">IFERROR(__xludf.DUMMYFUNCTION("""COMPUTED_VALUE"""),22877)</f>
        <v>22877</v>
      </c>
      <c r="F176" s="7">
        <f ca="1">IFERROR(__xludf.DUMMYFUNCTION("""COMPUTED_VALUE"""),6269)</f>
        <v>6269</v>
      </c>
      <c r="G176" s="7">
        <f ca="1">IFERROR(__xludf.DUMMYFUNCTION("""COMPUTED_VALUE"""),2762)</f>
        <v>2762</v>
      </c>
      <c r="H176" s="7">
        <f ca="1">IFERROR(__xludf.DUMMYFUNCTION("""COMPUTED_VALUE"""),32999)</f>
        <v>32999</v>
      </c>
      <c r="I176" s="7">
        <f ca="1">IFERROR(__xludf.DUMMYFUNCTION("""COMPUTED_VALUE"""),601)</f>
        <v>601</v>
      </c>
      <c r="J176" s="7">
        <f ca="1">IFERROR(__xludf.DUMMYFUNCTION("""COMPUTED_VALUE"""),9031)</f>
        <v>9031</v>
      </c>
      <c r="K176" s="7">
        <f ca="1">IFERROR(__xludf.DUMMYFUNCTION("""COMPUTED_VALUE"""),649)</f>
        <v>649</v>
      </c>
      <c r="L176" s="7">
        <f ca="1">IFERROR(__xludf.DUMMYFUNCTION("""COMPUTED_VALUE"""),18100)</f>
        <v>18100</v>
      </c>
      <c r="M176" s="7">
        <f ca="1">IFERROR(__xludf.DUMMYFUNCTION("""COMPUTED_VALUE"""),10409)</f>
        <v>10409</v>
      </c>
      <c r="N176" s="7">
        <f ca="1">IFERROR(__xludf.DUMMYFUNCTION("""COMPUTED_VALUE"""),4490)</f>
        <v>4490</v>
      </c>
    </row>
    <row r="177" spans="1:14" ht="13.2" x14ac:dyDescent="0.25">
      <c r="A177" s="6">
        <f ca="1">IFERROR(__xludf.DUMMYFUNCTION("""COMPUTED_VALUE"""),44066)</f>
        <v>44066</v>
      </c>
      <c r="B177" s="7">
        <f ca="1">IFERROR(__xludf.DUMMYFUNCTION("""COMPUTED_VALUE"""),8)</f>
        <v>8</v>
      </c>
      <c r="C177" s="8">
        <f ca="1">IFERROR(__xludf.DUMMYFUNCTION("""COMPUTED_VALUE"""),44066.3333333333)</f>
        <v>44066.333333333299</v>
      </c>
      <c r="D177" s="7">
        <f ca="1">IFERROR(__xludf.DUMMYFUNCTION("""COMPUTED_VALUE"""),1107)</f>
        <v>1107</v>
      </c>
      <c r="E177" s="7">
        <f ca="1">IFERROR(__xludf.DUMMYFUNCTION("""COMPUTED_VALUE"""),23567)</f>
        <v>23567</v>
      </c>
      <c r="F177" s="7">
        <f ca="1">IFERROR(__xludf.DUMMYFUNCTION("""COMPUTED_VALUE"""),6040)</f>
        <v>6040</v>
      </c>
      <c r="G177" s="7">
        <f ca="1">IFERROR(__xludf.DUMMYFUNCTION("""COMPUTED_VALUE"""),2922)</f>
        <v>2922</v>
      </c>
      <c r="H177" s="7">
        <f ca="1">IFERROR(__xludf.DUMMYFUNCTION("""COMPUTED_VALUE"""),33636)</f>
        <v>33636</v>
      </c>
      <c r="I177" s="7">
        <f ca="1">IFERROR(__xludf.DUMMYFUNCTION("""COMPUTED_VALUE"""),637)</f>
        <v>637</v>
      </c>
      <c r="J177" s="7">
        <f ca="1">IFERROR(__xludf.DUMMYFUNCTION("""COMPUTED_VALUE"""),8962)</f>
        <v>8962</v>
      </c>
      <c r="K177" s="7">
        <f ca="1">IFERROR(__xludf.DUMMYFUNCTION("""COMPUTED_VALUE"""),690)</f>
        <v>690</v>
      </c>
      <c r="L177" s="7">
        <f ca="1">IFERROR(__xludf.DUMMYFUNCTION("""COMPUTED_VALUE"""),18399)</f>
        <v>18399</v>
      </c>
      <c r="M177" s="7">
        <f ca="1">IFERROR(__xludf.DUMMYFUNCTION("""COMPUTED_VALUE"""),10633)</f>
        <v>10633</v>
      </c>
      <c r="N177" s="7">
        <f ca="1">IFERROR(__xludf.DUMMYFUNCTION("""COMPUTED_VALUE"""),4604)</f>
        <v>4604</v>
      </c>
    </row>
    <row r="178" spans="1:14" ht="13.2" x14ac:dyDescent="0.25">
      <c r="A178" s="6">
        <f ca="1">IFERROR(__xludf.DUMMYFUNCTION("""COMPUTED_VALUE"""),44067)</f>
        <v>44067</v>
      </c>
      <c r="B178" s="7">
        <f ca="1">IFERROR(__xludf.DUMMYFUNCTION("""COMPUTED_VALUE"""),8)</f>
        <v>8</v>
      </c>
      <c r="C178" s="8">
        <f ca="1">IFERROR(__xludf.DUMMYFUNCTION("""COMPUTED_VALUE"""),44067.3333333333)</f>
        <v>44067.333333333299</v>
      </c>
      <c r="D178" s="7">
        <f ca="1">IFERROR(__xludf.DUMMYFUNCTION("""COMPUTED_VALUE"""),1112)</f>
        <v>1112</v>
      </c>
      <c r="E178" s="7">
        <f ca="1">IFERROR(__xludf.DUMMYFUNCTION("""COMPUTED_VALUE"""),25463)</f>
        <v>25463</v>
      </c>
      <c r="F178" s="7">
        <f ca="1">IFERROR(__xludf.DUMMYFUNCTION("""COMPUTED_VALUE"""),5090)</f>
        <v>5090</v>
      </c>
      <c r="G178" s="7">
        <f ca="1">IFERROR(__xludf.DUMMYFUNCTION("""COMPUTED_VALUE"""),2630)</f>
        <v>2630</v>
      </c>
      <c r="H178" s="7">
        <f ca="1">IFERROR(__xludf.DUMMYFUNCTION("""COMPUTED_VALUE"""),34295)</f>
        <v>34295</v>
      </c>
      <c r="I178" s="7">
        <f ca="1">IFERROR(__xludf.DUMMYFUNCTION("""COMPUTED_VALUE"""),659)</f>
        <v>659</v>
      </c>
      <c r="J178" s="7">
        <f ca="1">IFERROR(__xludf.DUMMYFUNCTION("""COMPUTED_VALUE"""),7720)</f>
        <v>7720</v>
      </c>
      <c r="K178" s="7">
        <f ca="1">IFERROR(__xludf.DUMMYFUNCTION("""COMPUTED_VALUE"""),1896)</f>
        <v>1896</v>
      </c>
      <c r="L178" s="7">
        <f ca="1">IFERROR(__xludf.DUMMYFUNCTION("""COMPUTED_VALUE"""),18688)</f>
        <v>18688</v>
      </c>
      <c r="M178" s="7">
        <f ca="1">IFERROR(__xludf.DUMMYFUNCTION("""COMPUTED_VALUE"""),10874)</f>
        <v>10874</v>
      </c>
      <c r="N178" s="7">
        <f ca="1">IFERROR(__xludf.DUMMYFUNCTION("""COMPUTED_VALUE"""),4733)</f>
        <v>4733</v>
      </c>
    </row>
    <row r="179" spans="1:14" ht="13.2" x14ac:dyDescent="0.25">
      <c r="A179" s="6">
        <f ca="1">IFERROR(__xludf.DUMMYFUNCTION("""COMPUTED_VALUE"""),44068)</f>
        <v>44068</v>
      </c>
      <c r="B179" s="7">
        <f ca="1">IFERROR(__xludf.DUMMYFUNCTION("""COMPUTED_VALUE"""),8)</f>
        <v>8</v>
      </c>
      <c r="C179" s="8">
        <f ca="1">IFERROR(__xludf.DUMMYFUNCTION("""COMPUTED_VALUE"""),44068.3333333333)</f>
        <v>44068.333333333299</v>
      </c>
      <c r="D179" s="7">
        <f ca="1">IFERROR(__xludf.DUMMYFUNCTION("""COMPUTED_VALUE"""),1129)</f>
        <v>1129</v>
      </c>
      <c r="E179" s="7">
        <f ca="1">IFERROR(__xludf.DUMMYFUNCTION("""COMPUTED_VALUE"""),25986)</f>
        <v>25986</v>
      </c>
      <c r="F179" s="7">
        <f ca="1">IFERROR(__xludf.DUMMYFUNCTION("""COMPUTED_VALUE"""),5130)</f>
        <v>5130</v>
      </c>
      <c r="G179" s="7">
        <f ca="1">IFERROR(__xludf.DUMMYFUNCTION("""COMPUTED_VALUE"""),2686)</f>
        <v>2686</v>
      </c>
      <c r="H179" s="7">
        <f ca="1">IFERROR(__xludf.DUMMYFUNCTION("""COMPUTED_VALUE"""),34931)</f>
        <v>34931</v>
      </c>
      <c r="I179" s="7">
        <f ca="1">IFERROR(__xludf.DUMMYFUNCTION("""COMPUTED_VALUE"""),636)</f>
        <v>636</v>
      </c>
      <c r="J179" s="7">
        <f ca="1">IFERROR(__xludf.DUMMYFUNCTION("""COMPUTED_VALUE"""),7816)</f>
        <v>7816</v>
      </c>
      <c r="K179" s="7">
        <f ca="1">IFERROR(__xludf.DUMMYFUNCTION("""COMPUTED_VALUE"""),523)</f>
        <v>523</v>
      </c>
      <c r="L179" s="7">
        <f ca="1">IFERROR(__xludf.DUMMYFUNCTION("""COMPUTED_VALUE"""),18788)</f>
        <v>18788</v>
      </c>
      <c r="M179" s="7">
        <f ca="1">IFERROR(__xludf.DUMMYFUNCTION("""COMPUTED_VALUE"""),10913)</f>
        <v>10913</v>
      </c>
      <c r="N179" s="7">
        <f ca="1">IFERROR(__xludf.DUMMYFUNCTION("""COMPUTED_VALUE"""),5230)</f>
        <v>5230</v>
      </c>
    </row>
    <row r="180" spans="1:14" ht="13.2" x14ac:dyDescent="0.25">
      <c r="A180" s="6">
        <f ca="1">IFERROR(__xludf.DUMMYFUNCTION("""COMPUTED_VALUE"""),44069)</f>
        <v>44069</v>
      </c>
      <c r="B180" s="7">
        <f ca="1">IFERROR(__xludf.DUMMYFUNCTION("""COMPUTED_VALUE"""),8)</f>
        <v>8</v>
      </c>
      <c r="C180" s="8">
        <f ca="1">IFERROR(__xludf.DUMMYFUNCTION("""COMPUTED_VALUE"""),44069.3333333333)</f>
        <v>44069.333333333299</v>
      </c>
      <c r="D180" s="7">
        <f ca="1">IFERROR(__xludf.DUMMYFUNCTION("""COMPUTED_VALUE"""),1144)</f>
        <v>1144</v>
      </c>
      <c r="E180" s="7">
        <f ca="1">IFERROR(__xludf.DUMMYFUNCTION("""COMPUTED_VALUE"""),26750)</f>
        <v>26750</v>
      </c>
      <c r="F180" s="7">
        <f ca="1">IFERROR(__xludf.DUMMYFUNCTION("""COMPUTED_VALUE"""),4978)</f>
        <v>4978</v>
      </c>
      <c r="G180" s="7">
        <f ca="1">IFERROR(__xludf.DUMMYFUNCTION("""COMPUTED_VALUE"""),2770)</f>
        <v>2770</v>
      </c>
      <c r="H180" s="7">
        <f ca="1">IFERROR(__xludf.DUMMYFUNCTION("""COMPUTED_VALUE"""),35642)</f>
        <v>35642</v>
      </c>
      <c r="I180" s="7">
        <f ca="1">IFERROR(__xludf.DUMMYFUNCTION("""COMPUTED_VALUE"""),711)</f>
        <v>711</v>
      </c>
      <c r="J180" s="7">
        <f ca="1">IFERROR(__xludf.DUMMYFUNCTION("""COMPUTED_VALUE"""),7748)</f>
        <v>7748</v>
      </c>
      <c r="K180" s="7">
        <f ca="1">IFERROR(__xludf.DUMMYFUNCTION("""COMPUTED_VALUE"""),764)</f>
        <v>764</v>
      </c>
      <c r="L180" s="7">
        <f ca="1">IFERROR(__xludf.DUMMYFUNCTION("""COMPUTED_VALUE"""),19088)</f>
        <v>19088</v>
      </c>
      <c r="M180" s="7">
        <f ca="1">IFERROR(__xludf.DUMMYFUNCTION("""COMPUTED_VALUE"""),11113)</f>
        <v>11113</v>
      </c>
      <c r="N180" s="7">
        <f ca="1">IFERROR(__xludf.DUMMYFUNCTION("""COMPUTED_VALUE"""),5441)</f>
        <v>5441</v>
      </c>
    </row>
    <row r="181" spans="1:14" ht="13.2" x14ac:dyDescent="0.25">
      <c r="A181" s="6">
        <f ca="1">IFERROR(__xludf.DUMMYFUNCTION("""COMPUTED_VALUE"""),44070)</f>
        <v>44070</v>
      </c>
      <c r="B181" s="7">
        <f ca="1">IFERROR(__xludf.DUMMYFUNCTION("""COMPUTED_VALUE"""),8)</f>
        <v>8</v>
      </c>
      <c r="C181" s="8">
        <f ca="1">IFERROR(__xludf.DUMMYFUNCTION("""COMPUTED_VALUE"""),44070.3333333333)</f>
        <v>44070.333333333299</v>
      </c>
      <c r="D181" s="7">
        <f ca="1">IFERROR(__xludf.DUMMYFUNCTION("""COMPUTED_VALUE"""),1147)</f>
        <v>1147</v>
      </c>
      <c r="E181" s="7">
        <f ca="1">IFERROR(__xludf.DUMMYFUNCTION("""COMPUTED_VALUE"""),28288)</f>
        <v>28288</v>
      </c>
      <c r="F181" s="7">
        <f ca="1">IFERROR(__xludf.DUMMYFUNCTION("""COMPUTED_VALUE"""),4499)</f>
        <v>4499</v>
      </c>
      <c r="G181" s="7">
        <f ca="1">IFERROR(__xludf.DUMMYFUNCTION("""COMPUTED_VALUE"""),2528)</f>
        <v>2528</v>
      </c>
      <c r="H181" s="7">
        <f ca="1">IFERROR(__xludf.DUMMYFUNCTION("""COMPUTED_VALUE"""),36462)</f>
        <v>36462</v>
      </c>
      <c r="I181" s="7">
        <f ca="1">IFERROR(__xludf.DUMMYFUNCTION("""COMPUTED_VALUE"""),820)</f>
        <v>820</v>
      </c>
      <c r="J181" s="7">
        <f ca="1">IFERROR(__xludf.DUMMYFUNCTION("""COMPUTED_VALUE"""),7027)</f>
        <v>7027</v>
      </c>
      <c r="K181" s="7">
        <f ca="1">IFERROR(__xludf.DUMMYFUNCTION("""COMPUTED_VALUE"""),1538)</f>
        <v>1538</v>
      </c>
      <c r="L181" s="7">
        <f ca="1">IFERROR(__xludf.DUMMYFUNCTION("""COMPUTED_VALUE"""),19308)</f>
        <v>19308</v>
      </c>
      <c r="M181" s="7">
        <f ca="1">IFERROR(__xludf.DUMMYFUNCTION("""COMPUTED_VALUE"""),11313)</f>
        <v>11313</v>
      </c>
      <c r="N181" s="7">
        <f ca="1">IFERROR(__xludf.DUMMYFUNCTION("""COMPUTED_VALUE"""),5841)</f>
        <v>5841</v>
      </c>
    </row>
    <row r="182" spans="1:14" ht="13.2" x14ac:dyDescent="0.25">
      <c r="A182" s="6">
        <f ca="1">IFERROR(__xludf.DUMMYFUNCTION("""COMPUTED_VALUE"""),44071)</f>
        <v>44071</v>
      </c>
      <c r="B182" s="7">
        <f ca="1">IFERROR(__xludf.DUMMYFUNCTION("""COMPUTED_VALUE"""),8)</f>
        <v>8</v>
      </c>
      <c r="C182" s="8">
        <f ca="1">IFERROR(__xludf.DUMMYFUNCTION("""COMPUTED_VALUE"""),44071.3333333333)</f>
        <v>44071.333333333299</v>
      </c>
      <c r="D182" s="7">
        <f ca="1">IFERROR(__xludf.DUMMYFUNCTION("""COMPUTED_VALUE"""),1154)</f>
        <v>1154</v>
      </c>
      <c r="E182" s="7">
        <f ca="1">IFERROR(__xludf.DUMMYFUNCTION("""COMPUTED_VALUE"""),29169)</f>
        <v>29169</v>
      </c>
      <c r="F182" s="7">
        <f ca="1">IFERROR(__xludf.DUMMYFUNCTION("""COMPUTED_VALUE"""),4128)</f>
        <v>4128</v>
      </c>
      <c r="G182" s="7">
        <f ca="1">IFERROR(__xludf.DUMMYFUNCTION("""COMPUTED_VALUE"""),2827)</f>
        <v>2827</v>
      </c>
      <c r="H182" s="7">
        <f ca="1">IFERROR(__xludf.DUMMYFUNCTION("""COMPUTED_VALUE"""),37278)</f>
        <v>37278</v>
      </c>
      <c r="I182" s="7">
        <f ca="1">IFERROR(__xludf.DUMMYFUNCTION("""COMPUTED_VALUE"""),816)</f>
        <v>816</v>
      </c>
      <c r="J182" s="7">
        <f ca="1">IFERROR(__xludf.DUMMYFUNCTION("""COMPUTED_VALUE"""),6955)</f>
        <v>6955</v>
      </c>
      <c r="K182" s="7">
        <f ca="1">IFERROR(__xludf.DUMMYFUNCTION("""COMPUTED_VALUE"""),881)</f>
        <v>881</v>
      </c>
      <c r="L182" s="7">
        <f ca="1">IFERROR(__xludf.DUMMYFUNCTION("""COMPUTED_VALUE"""),20500)</f>
        <v>20500</v>
      </c>
      <c r="M182" s="7">
        <f ca="1">IFERROR(__xludf.DUMMYFUNCTION("""COMPUTED_VALUE"""),11513)</f>
        <v>11513</v>
      </c>
      <c r="N182" s="7">
        <f ca="1">IFERROR(__xludf.DUMMYFUNCTION("""COMPUTED_VALUE"""),5265)</f>
        <v>5265</v>
      </c>
    </row>
    <row r="183" spans="1:14" ht="13.2" x14ac:dyDescent="0.25">
      <c r="A183" s="6">
        <f ca="1">IFERROR(__xludf.DUMMYFUNCTION("""COMPUTED_VALUE"""),44072)</f>
        <v>44072</v>
      </c>
      <c r="B183" s="7">
        <f ca="1">IFERROR(__xludf.DUMMYFUNCTION("""COMPUTED_VALUE"""),8)</f>
        <v>8</v>
      </c>
      <c r="C183" s="8">
        <f ca="1">IFERROR(__xludf.DUMMYFUNCTION("""COMPUTED_VALUE"""),44072.3333333333)</f>
        <v>44072.333333333299</v>
      </c>
      <c r="D183" s="7">
        <f ca="1">IFERROR(__xludf.DUMMYFUNCTION("""COMPUTED_VALUE"""),1172)</f>
        <v>1172</v>
      </c>
      <c r="E183" s="7">
        <f ca="1">IFERROR(__xludf.DUMMYFUNCTION("""COMPUTED_VALUE"""),29768)</f>
        <v>29768</v>
      </c>
      <c r="F183" s="7">
        <f ca="1">IFERROR(__xludf.DUMMYFUNCTION("""COMPUTED_VALUE"""),4414)</f>
        <v>4414</v>
      </c>
      <c r="G183" s="7">
        <f ca="1">IFERROR(__xludf.DUMMYFUNCTION("""COMPUTED_VALUE"""),2812)</f>
        <v>2812</v>
      </c>
      <c r="H183" s="7">
        <f ca="1">IFERROR(__xludf.DUMMYFUNCTION("""COMPUTED_VALUE"""),38166)</f>
        <v>38166</v>
      </c>
      <c r="I183" s="7">
        <f ca="1">IFERROR(__xludf.DUMMYFUNCTION("""COMPUTED_VALUE"""),888)</f>
        <v>888</v>
      </c>
      <c r="J183" s="7">
        <f ca="1">IFERROR(__xludf.DUMMYFUNCTION("""COMPUTED_VALUE"""),7226)</f>
        <v>7226</v>
      </c>
      <c r="K183" s="7">
        <f ca="1">IFERROR(__xludf.DUMMYFUNCTION("""COMPUTED_VALUE"""),599)</f>
        <v>599</v>
      </c>
      <c r="L183" s="7">
        <f ca="1">IFERROR(__xludf.DUMMYFUNCTION("""COMPUTED_VALUE"""),20991)</f>
        <v>20991</v>
      </c>
      <c r="M183" s="7">
        <f ca="1">IFERROR(__xludf.DUMMYFUNCTION("""COMPUTED_VALUE"""),11713)</f>
        <v>11713</v>
      </c>
      <c r="N183" s="7">
        <f ca="1">IFERROR(__xludf.DUMMYFUNCTION("""COMPUTED_VALUE"""),5462)</f>
        <v>5462</v>
      </c>
    </row>
    <row r="184" spans="1:14" ht="13.2" x14ac:dyDescent="0.25">
      <c r="A184" s="6">
        <f ca="1">IFERROR(__xludf.DUMMYFUNCTION("""COMPUTED_VALUE"""),44073)</f>
        <v>44073</v>
      </c>
      <c r="B184" s="7">
        <f ca="1">IFERROR(__xludf.DUMMYFUNCTION("""COMPUTED_VALUE"""),8)</f>
        <v>8</v>
      </c>
      <c r="C184" s="8">
        <f ca="1">IFERROR(__xludf.DUMMYFUNCTION("""COMPUTED_VALUE"""),44073.3333333333)</f>
        <v>44073.333333333299</v>
      </c>
      <c r="D184" s="7">
        <f ca="1">IFERROR(__xludf.DUMMYFUNCTION("""COMPUTED_VALUE"""),1186)</f>
        <v>1186</v>
      </c>
      <c r="E184" s="7">
        <f ca="1">IFERROR(__xludf.DUMMYFUNCTION("""COMPUTED_VALUE"""),30134)</f>
        <v>30134</v>
      </c>
      <c r="F184" s="7">
        <f ca="1">IFERROR(__xludf.DUMMYFUNCTION("""COMPUTED_VALUE"""),4945)</f>
        <v>4945</v>
      </c>
      <c r="G184" s="7">
        <f ca="1">IFERROR(__xludf.DUMMYFUNCTION("""COMPUTED_VALUE"""),3015)</f>
        <v>3015</v>
      </c>
      <c r="H184" s="7">
        <f ca="1">IFERROR(__xludf.DUMMYFUNCTION("""COMPUTED_VALUE"""),39280)</f>
        <v>39280</v>
      </c>
      <c r="I184" s="7">
        <f ca="1">IFERROR(__xludf.DUMMYFUNCTION("""COMPUTED_VALUE"""),1114)</f>
        <v>1114</v>
      </c>
      <c r="J184" s="7">
        <f ca="1">IFERROR(__xludf.DUMMYFUNCTION("""COMPUTED_VALUE"""),7960)</f>
        <v>7960</v>
      </c>
      <c r="K184" s="7">
        <f ca="1">IFERROR(__xludf.DUMMYFUNCTION("""COMPUTED_VALUE"""),366)</f>
        <v>366</v>
      </c>
      <c r="L184" s="7">
        <f ca="1">IFERROR(__xludf.DUMMYFUNCTION("""COMPUTED_VALUE"""),21491)</f>
        <v>21491</v>
      </c>
      <c r="M184" s="7">
        <f ca="1">IFERROR(__xludf.DUMMYFUNCTION("""COMPUTED_VALUE"""),11827)</f>
        <v>11827</v>
      </c>
      <c r="N184" s="7">
        <f ca="1">IFERROR(__xludf.DUMMYFUNCTION("""COMPUTED_VALUE"""),5962)</f>
        <v>5962</v>
      </c>
    </row>
    <row r="185" spans="1:14" ht="13.2" x14ac:dyDescent="0.25">
      <c r="A185" s="6">
        <f ca="1">IFERROR(__xludf.DUMMYFUNCTION("""COMPUTED_VALUE"""),44074)</f>
        <v>44074</v>
      </c>
      <c r="B185" s="7">
        <f ca="1">IFERROR(__xludf.DUMMYFUNCTION("""COMPUTED_VALUE"""),8)</f>
        <v>8</v>
      </c>
      <c r="C185" s="8">
        <f ca="1">IFERROR(__xludf.DUMMYFUNCTION("""COMPUTED_VALUE"""),44074.3333333333)</f>
        <v>44074.333333333299</v>
      </c>
      <c r="D185" s="7">
        <f ca="1">IFERROR(__xludf.DUMMYFUNCTION("""COMPUTED_VALUE"""),1202)</f>
        <v>1202</v>
      </c>
      <c r="E185" s="7">
        <f ca="1">IFERROR(__xludf.DUMMYFUNCTION("""COMPUTED_VALUE"""),30538)</f>
        <v>30538</v>
      </c>
      <c r="F185" s="7">
        <f ca="1">IFERROR(__xludf.DUMMYFUNCTION("""COMPUTED_VALUE"""),5281)</f>
        <v>5281</v>
      </c>
      <c r="G185" s="7">
        <f ca="1">IFERROR(__xludf.DUMMYFUNCTION("""COMPUTED_VALUE"""),3288)</f>
        <v>3288</v>
      </c>
      <c r="H185" s="7">
        <f ca="1">IFERROR(__xludf.DUMMYFUNCTION("""COMPUTED_VALUE"""),40309)</f>
        <v>40309</v>
      </c>
      <c r="I185" s="7">
        <f ca="1">IFERROR(__xludf.DUMMYFUNCTION("""COMPUTED_VALUE"""),1029)</f>
        <v>1029</v>
      </c>
      <c r="J185" s="7">
        <f ca="1">IFERROR(__xludf.DUMMYFUNCTION("""COMPUTED_VALUE"""),8569)</f>
        <v>8569</v>
      </c>
      <c r="K185" s="7">
        <f ca="1">IFERROR(__xludf.DUMMYFUNCTION("""COMPUTED_VALUE"""),404)</f>
        <v>404</v>
      </c>
      <c r="L185" s="7">
        <f ca="1">IFERROR(__xludf.DUMMYFUNCTION("""COMPUTED_VALUE"""),20500)</f>
        <v>20500</v>
      </c>
      <c r="M185" s="7">
        <f ca="1">IFERROR(__xludf.DUMMYFUNCTION("""COMPUTED_VALUE"""),12027)</f>
        <v>12027</v>
      </c>
      <c r="N185" s="7">
        <f ca="1">IFERROR(__xludf.DUMMYFUNCTION("""COMPUTED_VALUE"""),7782)</f>
        <v>7782</v>
      </c>
    </row>
    <row r="186" spans="1:14" ht="13.2" x14ac:dyDescent="0.25">
      <c r="A186" s="6">
        <f ca="1">IFERROR(__xludf.DUMMYFUNCTION("""COMPUTED_VALUE"""),44075)</f>
        <v>44075</v>
      </c>
      <c r="B186" s="7">
        <f ca="1">IFERROR(__xludf.DUMMYFUNCTION("""COMPUTED_VALUE"""),8)</f>
        <v>8</v>
      </c>
      <c r="C186" s="8">
        <f ca="1">IFERROR(__xludf.DUMMYFUNCTION("""COMPUTED_VALUE"""),44075.3333333333)</f>
        <v>44075.333333333299</v>
      </c>
      <c r="D186" s="7">
        <f ca="1">IFERROR(__xludf.DUMMYFUNCTION("""COMPUTED_VALUE"""),1219)</f>
        <v>1219</v>
      </c>
      <c r="E186" s="7">
        <f ca="1">IFERROR(__xludf.DUMMYFUNCTION("""COMPUTED_VALUE"""),31267)</f>
        <v>31267</v>
      </c>
      <c r="F186" s="7">
        <f ca="1">IFERROR(__xludf.DUMMYFUNCTION("""COMPUTED_VALUE"""),5423)</f>
        <v>5423</v>
      </c>
      <c r="G186" s="7">
        <f ca="1">IFERROR(__xludf.DUMMYFUNCTION("""COMPUTED_VALUE"""),3341)</f>
        <v>3341</v>
      </c>
      <c r="H186" s="7">
        <f ca="1">IFERROR(__xludf.DUMMYFUNCTION("""COMPUTED_VALUE"""),41250)</f>
        <v>41250</v>
      </c>
      <c r="I186" s="7">
        <f ca="1">IFERROR(__xludf.DUMMYFUNCTION("""COMPUTED_VALUE"""),941)</f>
        <v>941</v>
      </c>
      <c r="J186" s="7">
        <f ca="1">IFERROR(__xludf.DUMMYFUNCTION("""COMPUTED_VALUE"""),8764)</f>
        <v>8764</v>
      </c>
      <c r="K186" s="7">
        <f ca="1">IFERROR(__xludf.DUMMYFUNCTION("""COMPUTED_VALUE"""),729)</f>
        <v>729</v>
      </c>
      <c r="L186" s="7">
        <f ca="1">IFERROR(__xludf.DUMMYFUNCTION("""COMPUTED_VALUE"""),20500)</f>
        <v>20500</v>
      </c>
      <c r="M186" s="7">
        <f ca="1">IFERROR(__xludf.DUMMYFUNCTION("""COMPUTED_VALUE"""),12027)</f>
        <v>12027</v>
      </c>
      <c r="N186" s="7">
        <f ca="1">IFERROR(__xludf.DUMMYFUNCTION("""COMPUTED_VALUE"""),8723)</f>
        <v>8723</v>
      </c>
    </row>
    <row r="187" spans="1:14" ht="13.2" x14ac:dyDescent="0.25">
      <c r="A187" s="6">
        <f ca="1">IFERROR(__xludf.DUMMYFUNCTION("""COMPUTED_VALUE"""),44076)</f>
        <v>44076</v>
      </c>
      <c r="B187" s="7">
        <f ca="1">IFERROR(__xludf.DUMMYFUNCTION("""COMPUTED_VALUE"""),8)</f>
        <v>8</v>
      </c>
      <c r="C187" s="8">
        <f ca="1">IFERROR(__xludf.DUMMYFUNCTION("""COMPUTED_VALUE"""),44076.3333333333)</f>
        <v>44076.333333333299</v>
      </c>
      <c r="D187" s="7">
        <f ca="1">IFERROR(__xludf.DUMMYFUNCTION("""COMPUTED_VALUE"""),1237)</f>
        <v>1237</v>
      </c>
      <c r="E187" s="7">
        <f ca="1">IFERROR(__xludf.DUMMYFUNCTION("""COMPUTED_VALUE"""),31741)</f>
        <v>31741</v>
      </c>
      <c r="F187" s="7">
        <f ca="1">IFERROR(__xludf.DUMMYFUNCTION("""COMPUTED_VALUE"""),5757)</f>
        <v>5757</v>
      </c>
      <c r="G187" s="7">
        <f ca="1">IFERROR(__xludf.DUMMYFUNCTION("""COMPUTED_VALUE"""),3568)</f>
        <v>3568</v>
      </c>
      <c r="H187" s="7">
        <f ca="1">IFERROR(__xludf.DUMMYFUNCTION("""COMPUTED_VALUE"""),42303)</f>
        <v>42303</v>
      </c>
      <c r="I187" s="7">
        <f ca="1">IFERROR(__xludf.DUMMYFUNCTION("""COMPUTED_VALUE"""),1053)</f>
        <v>1053</v>
      </c>
      <c r="J187" s="7">
        <f ca="1">IFERROR(__xludf.DUMMYFUNCTION("""COMPUTED_VALUE"""),9325)</f>
        <v>9325</v>
      </c>
      <c r="K187" s="7">
        <f ca="1">IFERROR(__xludf.DUMMYFUNCTION("""COMPUTED_VALUE"""),474)</f>
        <v>474</v>
      </c>
      <c r="L187" s="7">
        <f ca="1">IFERROR(__xludf.DUMMYFUNCTION("""COMPUTED_VALUE"""),23553)</f>
        <v>23553</v>
      </c>
      <c r="M187" s="7">
        <f ca="1">IFERROR(__xludf.DUMMYFUNCTION("""COMPUTED_VALUE"""),12327)</f>
        <v>12327</v>
      </c>
      <c r="N187" s="7">
        <f ca="1">IFERROR(__xludf.DUMMYFUNCTION("""COMPUTED_VALUE"""),6423)</f>
        <v>6423</v>
      </c>
    </row>
    <row r="188" spans="1:14" ht="13.2" x14ac:dyDescent="0.25">
      <c r="A188" s="6">
        <f ca="1">IFERROR(__xludf.DUMMYFUNCTION("""COMPUTED_VALUE"""),44077)</f>
        <v>44077</v>
      </c>
      <c r="B188" s="7">
        <f ca="1">IFERROR(__xludf.DUMMYFUNCTION("""COMPUTED_VALUE"""),8)</f>
        <v>8</v>
      </c>
      <c r="C188" s="8">
        <f ca="1">IFERROR(__xludf.DUMMYFUNCTION("""COMPUTED_VALUE"""),44077.3333333333)</f>
        <v>44077.333333333299</v>
      </c>
      <c r="D188" s="7">
        <f ca="1">IFERROR(__xludf.DUMMYFUNCTION("""COMPUTED_VALUE"""),1253)</f>
        <v>1253</v>
      </c>
      <c r="E188" s="7">
        <f ca="1">IFERROR(__xludf.DUMMYFUNCTION("""COMPUTED_VALUE"""),32424)</f>
        <v>32424</v>
      </c>
      <c r="F188" s="7">
        <f ca="1">IFERROR(__xludf.DUMMYFUNCTION("""COMPUTED_VALUE"""),6323)</f>
        <v>6323</v>
      </c>
      <c r="G188" s="7">
        <f ca="1">IFERROR(__xludf.DUMMYFUNCTION("""COMPUTED_VALUE"""),3709)</f>
        <v>3709</v>
      </c>
      <c r="H188" s="7">
        <f ca="1">IFERROR(__xludf.DUMMYFUNCTION("""COMPUTED_VALUE"""),43709)</f>
        <v>43709</v>
      </c>
      <c r="I188" s="7">
        <f ca="1">IFERROR(__xludf.DUMMYFUNCTION("""COMPUTED_VALUE"""),1406)</f>
        <v>1406</v>
      </c>
      <c r="J188" s="7">
        <f ca="1">IFERROR(__xludf.DUMMYFUNCTION("""COMPUTED_VALUE"""),10032)</f>
        <v>10032</v>
      </c>
      <c r="K188" s="7">
        <f ca="1">IFERROR(__xludf.DUMMYFUNCTION("""COMPUTED_VALUE"""),683)</f>
        <v>683</v>
      </c>
      <c r="L188" s="7">
        <f ca="1">IFERROR(__xludf.DUMMYFUNCTION("""COMPUTED_VALUE"""),23953)</f>
        <v>23953</v>
      </c>
      <c r="M188" s="7">
        <f ca="1">IFERROR(__xludf.DUMMYFUNCTION("""COMPUTED_VALUE"""),12827)</f>
        <v>12827</v>
      </c>
      <c r="N188" s="7">
        <f ca="1">IFERROR(__xludf.DUMMYFUNCTION("""COMPUTED_VALUE"""),6929)</f>
        <v>6929</v>
      </c>
    </row>
    <row r="189" spans="1:14" ht="13.2" x14ac:dyDescent="0.25">
      <c r="A189" s="6">
        <f ca="1">IFERROR(__xludf.DUMMYFUNCTION("""COMPUTED_VALUE"""),44078)</f>
        <v>44078</v>
      </c>
      <c r="B189" s="7">
        <f ca="1">IFERROR(__xludf.DUMMYFUNCTION("""COMPUTED_VALUE"""),8)</f>
        <v>8</v>
      </c>
      <c r="C189" s="8">
        <f ca="1">IFERROR(__xludf.DUMMYFUNCTION("""COMPUTED_VALUE"""),44078.3333333333)</f>
        <v>44078.333333333299</v>
      </c>
      <c r="D189" s="7">
        <f ca="1">IFERROR(__xludf.DUMMYFUNCTION("""COMPUTED_VALUE"""),1260)</f>
        <v>1260</v>
      </c>
      <c r="E189" s="7">
        <f ca="1">IFERROR(__xludf.DUMMYFUNCTION("""COMPUTED_VALUE"""),33260)</f>
        <v>33260</v>
      </c>
      <c r="F189" s="7">
        <f ca="1">IFERROR(__xludf.DUMMYFUNCTION("""COMPUTED_VALUE"""),6257)</f>
        <v>6257</v>
      </c>
      <c r="G189" s="7">
        <f ca="1">IFERROR(__xludf.DUMMYFUNCTION("""COMPUTED_VALUE"""),3827)</f>
        <v>3827</v>
      </c>
      <c r="H189" s="7">
        <f ca="1">IFERROR(__xludf.DUMMYFUNCTION("""COMPUTED_VALUE"""),44604)</f>
        <v>44604</v>
      </c>
      <c r="I189" s="7">
        <f ca="1">IFERROR(__xludf.DUMMYFUNCTION("""COMPUTED_VALUE"""),895)</f>
        <v>895</v>
      </c>
      <c r="J189" s="7">
        <f ca="1">IFERROR(__xludf.DUMMYFUNCTION("""COMPUTED_VALUE"""),10084)</f>
        <v>10084</v>
      </c>
      <c r="K189" s="7">
        <f ca="1">IFERROR(__xludf.DUMMYFUNCTION("""COMPUTED_VALUE"""),836)</f>
        <v>836</v>
      </c>
      <c r="L189" s="7">
        <f ca="1">IFERROR(__xludf.DUMMYFUNCTION("""COMPUTED_VALUE"""),24507)</f>
        <v>24507</v>
      </c>
      <c r="M189" s="7">
        <f ca="1">IFERROR(__xludf.DUMMYFUNCTION("""COMPUTED_VALUE"""),13027)</f>
        <v>13027</v>
      </c>
      <c r="N189" s="7">
        <f ca="1">IFERROR(__xludf.DUMMYFUNCTION("""COMPUTED_VALUE"""),7070)</f>
        <v>7070</v>
      </c>
    </row>
    <row r="190" spans="1:14" ht="13.2" x14ac:dyDescent="0.25">
      <c r="A190" s="6">
        <f ca="1">IFERROR(__xludf.DUMMYFUNCTION("""COMPUTED_VALUE"""),44079)</f>
        <v>44079</v>
      </c>
      <c r="B190" s="7">
        <f ca="1">IFERROR(__xludf.DUMMYFUNCTION("""COMPUTED_VALUE"""),8)</f>
        <v>8</v>
      </c>
      <c r="C190" s="8">
        <f ca="1">IFERROR(__xludf.DUMMYFUNCTION("""COMPUTED_VALUE"""),44079.3333333333)</f>
        <v>44079.333333333299</v>
      </c>
      <c r="D190" s="7">
        <f ca="1">IFERROR(__xludf.DUMMYFUNCTION("""COMPUTED_VALUE"""),1277)</f>
        <v>1277</v>
      </c>
      <c r="E190" s="7">
        <f ca="1">IFERROR(__xludf.DUMMYFUNCTION("""COMPUTED_VALUE"""),33991)</f>
        <v>33991</v>
      </c>
      <c r="F190" s="7">
        <f ca="1">IFERROR(__xludf.DUMMYFUNCTION("""COMPUTED_VALUE"""),6501)</f>
        <v>6501</v>
      </c>
      <c r="G190" s="7">
        <f ca="1">IFERROR(__xludf.DUMMYFUNCTION("""COMPUTED_VALUE"""),3677)</f>
        <v>3677</v>
      </c>
      <c r="H190" s="7">
        <f ca="1">IFERROR(__xludf.DUMMYFUNCTION("""COMPUTED_VALUE"""),45446)</f>
        <v>45446</v>
      </c>
      <c r="I190" s="7">
        <f ca="1">IFERROR(__xludf.DUMMYFUNCTION("""COMPUTED_VALUE"""),842)</f>
        <v>842</v>
      </c>
      <c r="J190" s="7">
        <f ca="1">IFERROR(__xludf.DUMMYFUNCTION("""COMPUTED_VALUE"""),10178)</f>
        <v>10178</v>
      </c>
      <c r="K190" s="7">
        <f ca="1">IFERROR(__xludf.DUMMYFUNCTION("""COMPUTED_VALUE"""),731)</f>
        <v>731</v>
      </c>
      <c r="L190" s="7">
        <f ca="1">IFERROR(__xludf.DUMMYFUNCTION("""COMPUTED_VALUE"""),25000)</f>
        <v>25000</v>
      </c>
      <c r="M190" s="7">
        <f ca="1">IFERROR(__xludf.DUMMYFUNCTION("""COMPUTED_VALUE"""),14409)</f>
        <v>14409</v>
      </c>
      <c r="N190" s="7">
        <f ca="1">IFERROR(__xludf.DUMMYFUNCTION("""COMPUTED_VALUE"""),6037)</f>
        <v>6037</v>
      </c>
    </row>
    <row r="191" spans="1:14" ht="13.2" x14ac:dyDescent="0.25">
      <c r="A191" s="6">
        <f ca="1">IFERROR(__xludf.DUMMYFUNCTION("""COMPUTED_VALUE"""),44080)</f>
        <v>44080</v>
      </c>
      <c r="B191" s="7">
        <f ca="1">IFERROR(__xludf.DUMMYFUNCTION("""COMPUTED_VALUE"""),8)</f>
        <v>8</v>
      </c>
      <c r="C191" s="8">
        <f ca="1">IFERROR(__xludf.DUMMYFUNCTION("""COMPUTED_VALUE"""),44080.3333333333)</f>
        <v>44080.333333333299</v>
      </c>
      <c r="D191" s="7">
        <f ca="1">IFERROR(__xludf.DUMMYFUNCTION("""COMPUTED_VALUE"""),1289)</f>
        <v>1289</v>
      </c>
      <c r="E191" s="7">
        <f ca="1">IFERROR(__xludf.DUMMYFUNCTION("""COMPUTED_VALUE"""),34738)</f>
        <v>34738</v>
      </c>
      <c r="F191" s="7">
        <f ca="1">IFERROR(__xludf.DUMMYFUNCTION("""COMPUTED_VALUE"""),6582)</f>
        <v>6582</v>
      </c>
      <c r="G191" s="7">
        <f ca="1">IFERROR(__xludf.DUMMYFUNCTION("""COMPUTED_VALUE"""),4082)</f>
        <v>4082</v>
      </c>
      <c r="H191" s="7">
        <f ca="1">IFERROR(__xludf.DUMMYFUNCTION("""COMPUTED_VALUE"""),46691)</f>
        <v>46691</v>
      </c>
      <c r="I191" s="7">
        <f ca="1">IFERROR(__xludf.DUMMYFUNCTION("""COMPUTED_VALUE"""),1245)</f>
        <v>1245</v>
      </c>
      <c r="J191" s="7">
        <f ca="1">IFERROR(__xludf.DUMMYFUNCTION("""COMPUTED_VALUE"""),10664)</f>
        <v>10664</v>
      </c>
      <c r="K191" s="7">
        <f ca="1">IFERROR(__xludf.DUMMYFUNCTION("""COMPUTED_VALUE"""),747)</f>
        <v>747</v>
      </c>
      <c r="L191" s="7">
        <f ca="1">IFERROR(__xludf.DUMMYFUNCTION("""COMPUTED_VALUE"""),25600)</f>
        <v>25600</v>
      </c>
      <c r="M191" s="7">
        <f ca="1">IFERROR(__xludf.DUMMYFUNCTION("""COMPUTED_VALUE"""),13941)</f>
        <v>13941</v>
      </c>
      <c r="N191" s="7">
        <f ca="1">IFERROR(__xludf.DUMMYFUNCTION("""COMPUTED_VALUE"""),7150)</f>
        <v>7150</v>
      </c>
    </row>
    <row r="192" spans="1:14" ht="13.2" x14ac:dyDescent="0.25">
      <c r="A192" s="6">
        <f ca="1">IFERROR(__xludf.DUMMYFUNCTION("""COMPUTED_VALUE"""),44081)</f>
        <v>44081</v>
      </c>
      <c r="B192" s="7">
        <f ca="1">IFERROR(__xludf.DUMMYFUNCTION("""COMPUTED_VALUE"""),8)</f>
        <v>8</v>
      </c>
      <c r="C192" s="8">
        <f ca="1">IFERROR(__xludf.DUMMYFUNCTION("""COMPUTED_VALUE"""),44081.3333333333)</f>
        <v>44081.333333333299</v>
      </c>
      <c r="D192" s="7">
        <f ca="1">IFERROR(__xludf.DUMMYFUNCTION("""COMPUTED_VALUE"""),1318)</f>
        <v>1318</v>
      </c>
      <c r="E192" s="7">
        <f ca="1">IFERROR(__xludf.DUMMYFUNCTION("""COMPUTED_VALUE"""),35431)</f>
        <v>35431</v>
      </c>
      <c r="F192" s="7">
        <f ca="1">IFERROR(__xludf.DUMMYFUNCTION("""COMPUTED_VALUE"""),6706)</f>
        <v>6706</v>
      </c>
      <c r="G192" s="7">
        <f ca="1">IFERROR(__xludf.DUMMYFUNCTION("""COMPUTED_VALUE"""),4341)</f>
        <v>4341</v>
      </c>
      <c r="H192" s="7">
        <f ca="1">IFERROR(__xludf.DUMMYFUNCTION("""COMPUTED_VALUE"""),47796)</f>
        <v>47796</v>
      </c>
      <c r="I192" s="7">
        <f ca="1">IFERROR(__xludf.DUMMYFUNCTION("""COMPUTED_VALUE"""),1105)</f>
        <v>1105</v>
      </c>
      <c r="J192" s="7">
        <f ca="1">IFERROR(__xludf.DUMMYFUNCTION("""COMPUTED_VALUE"""),11047)</f>
        <v>11047</v>
      </c>
      <c r="K192" s="7">
        <f ca="1">IFERROR(__xludf.DUMMYFUNCTION("""COMPUTED_VALUE"""),693)</f>
        <v>693</v>
      </c>
      <c r="L192" s="7">
        <f ca="1">IFERROR(__xludf.DUMMYFUNCTION("""COMPUTED_VALUE"""),26005)</f>
        <v>26005</v>
      </c>
      <c r="M192" s="7">
        <f ca="1">IFERROR(__xludf.DUMMYFUNCTION("""COMPUTED_VALUE"""),14241)</f>
        <v>14241</v>
      </c>
      <c r="N192" s="7">
        <f ca="1">IFERROR(__xludf.DUMMYFUNCTION("""COMPUTED_VALUE"""),7550)</f>
        <v>7550</v>
      </c>
    </row>
    <row r="193" spans="1:14" ht="13.2" x14ac:dyDescent="0.25">
      <c r="A193" s="6">
        <f ca="1">IFERROR(__xludf.DUMMYFUNCTION("""COMPUTED_VALUE"""),44082)</f>
        <v>44082</v>
      </c>
      <c r="B193" s="7">
        <f ca="1">IFERROR(__xludf.DUMMYFUNCTION("""COMPUTED_VALUE"""),8)</f>
        <v>8</v>
      </c>
      <c r="C193" s="8">
        <f ca="1">IFERROR(__xludf.DUMMYFUNCTION("""COMPUTED_VALUE"""),44082.3333333333)</f>
        <v>44082.333333333299</v>
      </c>
      <c r="D193" s="7">
        <f ca="1">IFERROR(__xludf.DUMMYFUNCTION("""COMPUTED_VALUE"""),1330)</f>
        <v>1330</v>
      </c>
      <c r="E193" s="7">
        <f ca="1">IFERROR(__xludf.DUMMYFUNCTION("""COMPUTED_VALUE"""),36451)</f>
        <v>36451</v>
      </c>
      <c r="F193" s="7">
        <f ca="1">IFERROR(__xludf.DUMMYFUNCTION("""COMPUTED_VALUE"""),6598)</f>
        <v>6598</v>
      </c>
      <c r="G193" s="7">
        <f ca="1">IFERROR(__xludf.DUMMYFUNCTION("""COMPUTED_VALUE"""),4432)</f>
        <v>4432</v>
      </c>
      <c r="H193" s="7">
        <f ca="1">IFERROR(__xludf.DUMMYFUNCTION("""COMPUTED_VALUE"""),48811)</f>
        <v>48811</v>
      </c>
      <c r="I193" s="7">
        <f ca="1">IFERROR(__xludf.DUMMYFUNCTION("""COMPUTED_VALUE"""),1015)</f>
        <v>1015</v>
      </c>
      <c r="J193" s="7">
        <f ca="1">IFERROR(__xludf.DUMMYFUNCTION("""COMPUTED_VALUE"""),11030)</f>
        <v>11030</v>
      </c>
      <c r="K193" s="7">
        <f ca="1">IFERROR(__xludf.DUMMYFUNCTION("""COMPUTED_VALUE"""),1020)</f>
        <v>1020</v>
      </c>
      <c r="L193" s="7">
        <f ca="1">IFERROR(__xludf.DUMMYFUNCTION("""COMPUTED_VALUE"""),26005)</f>
        <v>26005</v>
      </c>
      <c r="M193" s="7">
        <f ca="1">IFERROR(__xludf.DUMMYFUNCTION("""COMPUTED_VALUE"""),14241)</f>
        <v>14241</v>
      </c>
      <c r="N193" s="7">
        <f ca="1">IFERROR(__xludf.DUMMYFUNCTION("""COMPUTED_VALUE"""),8565)</f>
        <v>8565</v>
      </c>
    </row>
    <row r="194" spans="1:14" ht="13.2" x14ac:dyDescent="0.25">
      <c r="A194" s="6">
        <f ca="1">IFERROR(__xludf.DUMMYFUNCTION("""COMPUTED_VALUE"""),44083)</f>
        <v>44083</v>
      </c>
      <c r="B194" s="7">
        <f ca="1">IFERROR(__xludf.DUMMYFUNCTION("""COMPUTED_VALUE"""),8)</f>
        <v>8</v>
      </c>
      <c r="C194" s="8">
        <f ca="1">IFERROR(__xludf.DUMMYFUNCTION("""COMPUTED_VALUE"""),44083.3333333333)</f>
        <v>44083.333333333299</v>
      </c>
      <c r="D194" s="7">
        <f ca="1">IFERROR(__xludf.DUMMYFUNCTION("""COMPUTED_VALUE"""),1347)</f>
        <v>1347</v>
      </c>
      <c r="E194" s="7">
        <f ca="1">IFERROR(__xludf.DUMMYFUNCTION("""COMPUTED_VALUE"""),37245)</f>
        <v>37245</v>
      </c>
      <c r="F194" s="7">
        <f ca="1">IFERROR(__xludf.DUMMYFUNCTION("""COMPUTED_VALUE"""),6691)</f>
        <v>6691</v>
      </c>
      <c r="G194" s="7">
        <f ca="1">IFERROR(__xludf.DUMMYFUNCTION("""COMPUTED_VALUE"""),4554)</f>
        <v>4554</v>
      </c>
      <c r="H194" s="7">
        <f ca="1">IFERROR(__xludf.DUMMYFUNCTION("""COMPUTED_VALUE"""),49837)</f>
        <v>49837</v>
      </c>
      <c r="I194" s="7">
        <f ca="1">IFERROR(__xludf.DUMMYFUNCTION("""COMPUTED_VALUE"""),1026)</f>
        <v>1026</v>
      </c>
      <c r="J194" s="7">
        <f ca="1">IFERROR(__xludf.DUMMYFUNCTION("""COMPUTED_VALUE"""),11245)</f>
        <v>11245</v>
      </c>
      <c r="K194" s="7">
        <f ca="1">IFERROR(__xludf.DUMMYFUNCTION("""COMPUTED_VALUE"""),794)</f>
        <v>794</v>
      </c>
      <c r="L194" s="7">
        <f ca="1">IFERROR(__xludf.DUMMYFUNCTION("""COMPUTED_VALUE"""),27502)</f>
        <v>27502</v>
      </c>
      <c r="M194" s="7">
        <f ca="1">IFERROR(__xludf.DUMMYFUNCTION("""COMPUTED_VALUE"""),14441)</f>
        <v>14441</v>
      </c>
      <c r="N194" s="7">
        <f ca="1">IFERROR(__xludf.DUMMYFUNCTION("""COMPUTED_VALUE"""),7894)</f>
        <v>7894</v>
      </c>
    </row>
    <row r="195" spans="1:14" ht="13.2" x14ac:dyDescent="0.25">
      <c r="A195" s="6">
        <f ca="1">IFERROR(__xludf.DUMMYFUNCTION("""COMPUTED_VALUE"""),44084)</f>
        <v>44084</v>
      </c>
      <c r="B195" s="7">
        <f ca="1">IFERROR(__xludf.DUMMYFUNCTION("""COMPUTED_VALUE"""),8)</f>
        <v>8</v>
      </c>
      <c r="C195" s="8">
        <f ca="1">IFERROR(__xludf.DUMMYFUNCTION("""COMPUTED_VALUE"""),44084.3333333333)</f>
        <v>44084.333333333299</v>
      </c>
      <c r="D195" s="7">
        <f ca="1">IFERROR(__xludf.DUMMYFUNCTION("""COMPUTED_VALUE"""),1365)</f>
        <v>1365</v>
      </c>
      <c r="E195" s="7">
        <f ca="1">IFERROR(__xludf.DUMMYFUNCTION("""COMPUTED_VALUE"""),38226)</f>
        <v>38226</v>
      </c>
      <c r="F195" s="7">
        <f ca="1">IFERROR(__xludf.DUMMYFUNCTION("""COMPUTED_VALUE"""),6968)</f>
        <v>6968</v>
      </c>
      <c r="G195" s="7">
        <f ca="1">IFERROR(__xludf.DUMMYFUNCTION("""COMPUTED_VALUE"""),4728)</f>
        <v>4728</v>
      </c>
      <c r="H195" s="7">
        <f ca="1">IFERROR(__xludf.DUMMYFUNCTION("""COMPUTED_VALUE"""),51287)</f>
        <v>51287</v>
      </c>
      <c r="I195" s="7">
        <f ca="1">IFERROR(__xludf.DUMMYFUNCTION("""COMPUTED_VALUE"""),1450)</f>
        <v>1450</v>
      </c>
      <c r="J195" s="7">
        <f ca="1">IFERROR(__xludf.DUMMYFUNCTION("""COMPUTED_VALUE"""),11696)</f>
        <v>11696</v>
      </c>
      <c r="K195" s="7">
        <f ca="1">IFERROR(__xludf.DUMMYFUNCTION("""COMPUTED_VALUE"""),981)</f>
        <v>981</v>
      </c>
      <c r="L195" s="7">
        <f ca="1">IFERROR(__xludf.DUMMYFUNCTION("""COMPUTED_VALUE"""),28502)</f>
        <v>28502</v>
      </c>
      <c r="M195" s="7">
        <f ca="1">IFERROR(__xludf.DUMMYFUNCTION("""COMPUTED_VALUE"""),14841)</f>
        <v>14841</v>
      </c>
      <c r="N195" s="7">
        <f ca="1">IFERROR(__xludf.DUMMYFUNCTION("""COMPUTED_VALUE"""),7944)</f>
        <v>7944</v>
      </c>
    </row>
    <row r="196" spans="1:14" ht="13.2" x14ac:dyDescent="0.25">
      <c r="A196" s="6">
        <f ca="1">IFERROR(__xludf.DUMMYFUNCTION("""COMPUTED_VALUE"""),44085)</f>
        <v>44085</v>
      </c>
      <c r="B196" s="7">
        <f ca="1">IFERROR(__xludf.DUMMYFUNCTION("""COMPUTED_VALUE"""),8)</f>
        <v>8</v>
      </c>
      <c r="C196" s="8">
        <f ca="1">IFERROR(__xludf.DUMMYFUNCTION("""COMPUTED_VALUE"""),44085.3333333333)</f>
        <v>44085.333333333299</v>
      </c>
      <c r="D196" s="7">
        <f ca="1">IFERROR(__xludf.DUMMYFUNCTION("""COMPUTED_VALUE"""),1382)</f>
        <v>1382</v>
      </c>
      <c r="E196" s="7">
        <f ca="1">IFERROR(__xludf.DUMMYFUNCTION("""COMPUTED_VALUE"""),39115)</f>
        <v>39115</v>
      </c>
      <c r="F196" s="7">
        <f ca="1">IFERROR(__xludf.DUMMYFUNCTION("""COMPUTED_VALUE"""),7143)</f>
        <v>7143</v>
      </c>
      <c r="G196" s="7">
        <f ca="1">IFERROR(__xludf.DUMMYFUNCTION("""COMPUTED_VALUE"""),4681)</f>
        <v>4681</v>
      </c>
      <c r="H196" s="7">
        <f ca="1">IFERROR(__xludf.DUMMYFUNCTION("""COMPUTED_VALUE"""),52321)</f>
        <v>52321</v>
      </c>
      <c r="I196" s="7">
        <f ca="1">IFERROR(__xludf.DUMMYFUNCTION("""COMPUTED_VALUE"""),1034)</f>
        <v>1034</v>
      </c>
      <c r="J196" s="7">
        <f ca="1">IFERROR(__xludf.DUMMYFUNCTION("""COMPUTED_VALUE"""),11824)</f>
        <v>11824</v>
      </c>
      <c r="K196" s="7">
        <f ca="1">IFERROR(__xludf.DUMMYFUNCTION("""COMPUTED_VALUE"""),889)</f>
        <v>889</v>
      </c>
      <c r="L196" s="7">
        <f ca="1">IFERROR(__xludf.DUMMYFUNCTION("""COMPUTED_VALUE"""),28902)</f>
        <v>28902</v>
      </c>
      <c r="M196" s="7">
        <f ca="1">IFERROR(__xludf.DUMMYFUNCTION("""COMPUTED_VALUE"""),18741)</f>
        <v>18741</v>
      </c>
      <c r="N196" s="7">
        <f ca="1">IFERROR(__xludf.DUMMYFUNCTION("""COMPUTED_VALUE"""),4678)</f>
        <v>4678</v>
      </c>
    </row>
    <row r="197" spans="1:14" ht="13.2" x14ac:dyDescent="0.25">
      <c r="A197" s="6">
        <f ca="1">IFERROR(__xludf.DUMMYFUNCTION("""COMPUTED_VALUE"""),44086)</f>
        <v>44086</v>
      </c>
      <c r="B197" s="7">
        <f ca="1">IFERROR(__xludf.DUMMYFUNCTION("""COMPUTED_VALUE"""),8)</f>
        <v>8</v>
      </c>
      <c r="C197" s="8">
        <f ca="1">IFERROR(__xludf.DUMMYFUNCTION("""COMPUTED_VALUE"""),44086.3333333333)</f>
        <v>44086.333333333299</v>
      </c>
      <c r="D197" s="7">
        <f ca="1">IFERROR(__xludf.DUMMYFUNCTION("""COMPUTED_VALUE"""),1404)</f>
        <v>1404</v>
      </c>
      <c r="E197" s="7">
        <f ca="1">IFERROR(__xludf.DUMMYFUNCTION("""COMPUTED_VALUE"""),40183)</f>
        <v>40183</v>
      </c>
      <c r="F197" s="7">
        <f ca="1">IFERROR(__xludf.DUMMYFUNCTION("""COMPUTED_VALUE"""),7490)</f>
        <v>7490</v>
      </c>
      <c r="G197" s="7">
        <f ca="1">IFERROR(__xludf.DUMMYFUNCTION("""COMPUTED_VALUE"""),4684)</f>
        <v>4684</v>
      </c>
      <c r="H197" s="7">
        <f ca="1">IFERROR(__xludf.DUMMYFUNCTION("""COMPUTED_VALUE"""),53761)</f>
        <v>53761</v>
      </c>
      <c r="I197" s="7">
        <f ca="1">IFERROR(__xludf.DUMMYFUNCTION("""COMPUTED_VALUE"""),1440)</f>
        <v>1440</v>
      </c>
      <c r="J197" s="7">
        <f ca="1">IFERROR(__xludf.DUMMYFUNCTION("""COMPUTED_VALUE"""),12174)</f>
        <v>12174</v>
      </c>
      <c r="K197" s="7">
        <f ca="1">IFERROR(__xludf.DUMMYFUNCTION("""COMPUTED_VALUE"""),1068)</f>
        <v>1068</v>
      </c>
      <c r="L197" s="7">
        <f ca="1">IFERROR(__xludf.DUMMYFUNCTION("""COMPUTED_VALUE"""),29253)</f>
        <v>29253</v>
      </c>
      <c r="M197" s="7">
        <f ca="1">IFERROR(__xludf.DUMMYFUNCTION("""COMPUTED_VALUE"""),19041)</f>
        <v>19041</v>
      </c>
      <c r="N197" s="7">
        <f ca="1">IFERROR(__xludf.DUMMYFUNCTION("""COMPUTED_VALUE"""),5467)</f>
        <v>5467</v>
      </c>
    </row>
    <row r="198" spans="1:14" ht="13.2" x14ac:dyDescent="0.25">
      <c r="A198" s="6">
        <f ca="1">IFERROR(__xludf.DUMMYFUNCTION("""COMPUTED_VALUE"""),44087)</f>
        <v>44087</v>
      </c>
      <c r="B198" s="7">
        <f ca="1">IFERROR(__xludf.DUMMYFUNCTION("""COMPUTED_VALUE"""),8)</f>
        <v>8</v>
      </c>
      <c r="C198" s="8">
        <f ca="1">IFERROR(__xludf.DUMMYFUNCTION("""COMPUTED_VALUE"""),44087.3333333333)</f>
        <v>44087.333333333299</v>
      </c>
      <c r="D198" s="7">
        <f ca="1">IFERROR(__xludf.DUMMYFUNCTION("""COMPUTED_VALUE"""),1410)</f>
        <v>1410</v>
      </c>
      <c r="E198" s="7">
        <f ca="1">IFERROR(__xludf.DUMMYFUNCTION("""COMPUTED_VALUE"""),41014)</f>
        <v>41014</v>
      </c>
      <c r="F198" s="7">
        <f ca="1">IFERROR(__xludf.DUMMYFUNCTION("""COMPUTED_VALUE"""),7791)</f>
        <v>7791</v>
      </c>
      <c r="G198" s="7">
        <f ca="1">IFERROR(__xludf.DUMMYFUNCTION("""COMPUTED_VALUE"""),4649)</f>
        <v>4649</v>
      </c>
      <c r="H198" s="7">
        <f ca="1">IFERROR(__xludf.DUMMYFUNCTION("""COMPUTED_VALUE"""),54864)</f>
        <v>54864</v>
      </c>
      <c r="I198" s="7">
        <f ca="1">IFERROR(__xludf.DUMMYFUNCTION("""COMPUTED_VALUE"""),1103)</f>
        <v>1103</v>
      </c>
      <c r="J198" s="7">
        <f ca="1">IFERROR(__xludf.DUMMYFUNCTION("""COMPUTED_VALUE"""),12440)</f>
        <v>12440</v>
      </c>
      <c r="K198" s="7">
        <f ca="1">IFERROR(__xludf.DUMMYFUNCTION("""COMPUTED_VALUE"""),831)</f>
        <v>831</v>
      </c>
      <c r="L198" s="7">
        <f ca="1">IFERROR(__xludf.DUMMYFUNCTION("""COMPUTED_VALUE"""),29553)</f>
        <v>29553</v>
      </c>
      <c r="M198" s="7">
        <f ca="1">IFERROR(__xludf.DUMMYFUNCTION("""COMPUTED_VALUE"""),19733)</f>
        <v>19733</v>
      </c>
      <c r="N198" s="7">
        <f ca="1">IFERROR(__xludf.DUMMYFUNCTION("""COMPUTED_VALUE"""),5578)</f>
        <v>5578</v>
      </c>
    </row>
    <row r="199" spans="1:14" ht="13.2" x14ac:dyDescent="0.25">
      <c r="A199" s="6">
        <f ca="1">IFERROR(__xludf.DUMMYFUNCTION("""COMPUTED_VALUE"""),44088)</f>
        <v>44088</v>
      </c>
      <c r="B199" s="7">
        <f ca="1">IFERROR(__xludf.DUMMYFUNCTION("""COMPUTED_VALUE"""),8)</f>
        <v>8</v>
      </c>
      <c r="C199" s="8">
        <f ca="1">IFERROR(__xludf.DUMMYFUNCTION("""COMPUTED_VALUE"""),44088.3333333333)</f>
        <v>44088.333333333299</v>
      </c>
      <c r="D199" s="7">
        <f ca="1">IFERROR(__xludf.DUMMYFUNCTION("""COMPUTED_VALUE"""),1440)</f>
        <v>1440</v>
      </c>
      <c r="E199" s="7">
        <f ca="1">IFERROR(__xludf.DUMMYFUNCTION("""COMPUTED_VALUE"""),42325)</f>
        <v>42325</v>
      </c>
      <c r="F199" s="7">
        <f ca="1">IFERROR(__xludf.DUMMYFUNCTION("""COMPUTED_VALUE"""),7530)</f>
        <v>7530</v>
      </c>
      <c r="G199" s="7">
        <f ca="1">IFERROR(__xludf.DUMMYFUNCTION("""COMPUTED_VALUE"""),4631)</f>
        <v>4631</v>
      </c>
      <c r="H199" s="7">
        <f ca="1">IFERROR(__xludf.DUMMYFUNCTION("""COMPUTED_VALUE"""),55926)</f>
        <v>55926</v>
      </c>
      <c r="I199" s="7">
        <f ca="1">IFERROR(__xludf.DUMMYFUNCTION("""COMPUTED_VALUE"""),1062)</f>
        <v>1062</v>
      </c>
      <c r="J199" s="7">
        <f ca="1">IFERROR(__xludf.DUMMYFUNCTION("""COMPUTED_VALUE"""),12161)</f>
        <v>12161</v>
      </c>
      <c r="K199" s="7">
        <f ca="1">IFERROR(__xludf.DUMMYFUNCTION("""COMPUTED_VALUE"""),1311)</f>
        <v>1311</v>
      </c>
      <c r="L199" s="7">
        <f ca="1">IFERROR(__xludf.DUMMYFUNCTION("""COMPUTED_VALUE"""),6885)</f>
        <v>6885</v>
      </c>
      <c r="M199" s="7">
        <f ca="1">IFERROR(__xludf.DUMMYFUNCTION("""COMPUTED_VALUE"""),1947)</f>
        <v>1947</v>
      </c>
      <c r="N199" s="7">
        <f ca="1">IFERROR(__xludf.DUMMYFUNCTION("""COMPUTED_VALUE"""),3329)</f>
        <v>3329</v>
      </c>
    </row>
    <row r="200" spans="1:14" ht="13.2" x14ac:dyDescent="0.25">
      <c r="A200" s="6">
        <f ca="1">IFERROR(__xludf.DUMMYFUNCTION("""COMPUTED_VALUE"""),44089)</f>
        <v>44089</v>
      </c>
      <c r="B200" s="7">
        <f ca="1">IFERROR(__xludf.DUMMYFUNCTION("""COMPUTED_VALUE"""),8)</f>
        <v>8</v>
      </c>
      <c r="C200" s="8">
        <f ca="1">IFERROR(__xludf.DUMMYFUNCTION("""COMPUTED_VALUE"""),44089.3333333333)</f>
        <v>44089.333333333299</v>
      </c>
      <c r="D200" s="7">
        <f ca="1">IFERROR(__xludf.DUMMYFUNCTION("""COMPUTED_VALUE"""),1468)</f>
        <v>1468</v>
      </c>
      <c r="E200" s="7">
        <f ca="1">IFERROR(__xludf.DUMMYFUNCTION("""COMPUTED_VALUE"""),43306)</f>
        <v>43306</v>
      </c>
      <c r="F200" s="7">
        <f ca="1">IFERROR(__xludf.DUMMYFUNCTION("""COMPUTED_VALUE"""),7711)</f>
        <v>7711</v>
      </c>
      <c r="G200" s="7">
        <f ca="1">IFERROR(__xludf.DUMMYFUNCTION("""COMPUTED_VALUE"""),4468)</f>
        <v>4468</v>
      </c>
      <c r="H200" s="7">
        <f ca="1">IFERROR(__xludf.DUMMYFUNCTION("""COMPUTED_VALUE"""),56953)</f>
        <v>56953</v>
      </c>
      <c r="I200" s="7">
        <f ca="1">IFERROR(__xludf.DUMMYFUNCTION("""COMPUTED_VALUE"""),1027)</f>
        <v>1027</v>
      </c>
      <c r="J200" s="7">
        <f ca="1">IFERROR(__xludf.DUMMYFUNCTION("""COMPUTED_VALUE"""),12179)</f>
        <v>12179</v>
      </c>
      <c r="K200" s="7">
        <f ca="1">IFERROR(__xludf.DUMMYFUNCTION("""COMPUTED_VALUE"""),981)</f>
        <v>981</v>
      </c>
      <c r="L200" s="7">
        <f ca="1">IFERROR(__xludf.DUMMYFUNCTION("""COMPUTED_VALUE"""),7058)</f>
        <v>7058</v>
      </c>
      <c r="M200" s="7">
        <f ca="1">IFERROR(__xludf.DUMMYFUNCTION("""COMPUTED_VALUE"""),1947)</f>
        <v>1947</v>
      </c>
      <c r="N200" s="7">
        <f ca="1">IFERROR(__xludf.DUMMYFUNCTION("""COMPUTED_VALUE"""),3174)</f>
        <v>3174</v>
      </c>
    </row>
    <row r="201" spans="1:14" ht="13.2" x14ac:dyDescent="0.25">
      <c r="A201" s="6">
        <f ca="1">IFERROR(__xludf.DUMMYFUNCTION("""COMPUTED_VALUE"""),44090)</f>
        <v>44090</v>
      </c>
      <c r="B201" s="7">
        <f ca="1">IFERROR(__xludf.DUMMYFUNCTION("""COMPUTED_VALUE"""),8)</f>
        <v>8</v>
      </c>
      <c r="C201" s="8">
        <f ca="1">IFERROR(__xludf.DUMMYFUNCTION("""COMPUTED_VALUE"""),44090.3333333333)</f>
        <v>44090.333333333299</v>
      </c>
      <c r="D201" s="7">
        <f ca="1">IFERROR(__xludf.DUMMYFUNCTION("""COMPUTED_VALUE"""),1498)</f>
        <v>1498</v>
      </c>
      <c r="E201" s="7">
        <f ca="1">IFERROR(__xludf.DUMMYFUNCTION("""COMPUTED_VALUE"""),44251)</f>
        <v>44251</v>
      </c>
      <c r="F201" s="7">
        <f ca="1">IFERROR(__xludf.DUMMYFUNCTION("""COMPUTED_VALUE"""),7907)</f>
        <v>7907</v>
      </c>
      <c r="G201" s="7">
        <f ca="1">IFERROR(__xludf.DUMMYFUNCTION("""COMPUTED_VALUE"""),4802)</f>
        <v>4802</v>
      </c>
      <c r="H201" s="7">
        <f ca="1">IFERROR(__xludf.DUMMYFUNCTION("""COMPUTED_VALUE"""),58458)</f>
        <v>58458</v>
      </c>
      <c r="I201" s="7">
        <f ca="1">IFERROR(__xludf.DUMMYFUNCTION("""COMPUTED_VALUE"""),1505)</f>
        <v>1505</v>
      </c>
      <c r="J201" s="7">
        <f ca="1">IFERROR(__xludf.DUMMYFUNCTION("""COMPUTED_VALUE"""),12709)</f>
        <v>12709</v>
      </c>
      <c r="K201" s="7">
        <f ca="1">IFERROR(__xludf.DUMMYFUNCTION("""COMPUTED_VALUE"""),945)</f>
        <v>945</v>
      </c>
      <c r="L201" s="7">
        <f ca="1">IFERROR(__xludf.DUMMYFUNCTION("""COMPUTED_VALUE"""),1673)</f>
        <v>1673</v>
      </c>
      <c r="M201" s="7">
        <f ca="1">IFERROR(__xludf.DUMMYFUNCTION("""COMPUTED_VALUE"""),6900)</f>
        <v>6900</v>
      </c>
      <c r="N201" s="7">
        <f ca="1">IFERROR(__xludf.DUMMYFUNCTION("""COMPUTED_VALUE"""),4136)</f>
        <v>4136</v>
      </c>
    </row>
    <row r="202" spans="1:14" ht="13.2" x14ac:dyDescent="0.25">
      <c r="A202" s="6">
        <f ca="1">IFERROR(__xludf.DUMMYFUNCTION("""COMPUTED_VALUE"""),44091)</f>
        <v>44091</v>
      </c>
      <c r="B202" s="7">
        <f ca="1">IFERROR(__xludf.DUMMYFUNCTION("""COMPUTED_VALUE"""),8)</f>
        <v>8</v>
      </c>
      <c r="C202" s="8">
        <f ca="1">IFERROR(__xludf.DUMMYFUNCTION("""COMPUTED_VALUE"""),44091.3333333333)</f>
        <v>44091.333333333299</v>
      </c>
      <c r="D202" s="7">
        <f ca="1">IFERROR(__xludf.DUMMYFUNCTION("""COMPUTED_VALUE"""),1513)</f>
        <v>1513</v>
      </c>
      <c r="E202" s="7">
        <f ca="1">IFERROR(__xludf.DUMMYFUNCTION("""COMPUTED_VALUE"""),45207)</f>
        <v>45207</v>
      </c>
      <c r="F202" s="7">
        <f ca="1">IFERROR(__xludf.DUMMYFUNCTION("""COMPUTED_VALUE"""),8013)</f>
        <v>8013</v>
      </c>
      <c r="G202" s="7">
        <f ca="1">IFERROR(__xludf.DUMMYFUNCTION("""COMPUTED_VALUE"""),4739)</f>
        <v>4739</v>
      </c>
      <c r="H202" s="7">
        <f ca="1">IFERROR(__xludf.DUMMYFUNCTION("""COMPUTED_VALUE"""),59472)</f>
        <v>59472</v>
      </c>
      <c r="I202" s="7">
        <f ca="1">IFERROR(__xludf.DUMMYFUNCTION("""COMPUTED_VALUE"""),1014)</f>
        <v>1014</v>
      </c>
      <c r="J202" s="7">
        <f ca="1">IFERROR(__xludf.DUMMYFUNCTION("""COMPUTED_VALUE"""),12752)</f>
        <v>12752</v>
      </c>
      <c r="K202" s="7">
        <f ca="1">IFERROR(__xludf.DUMMYFUNCTION("""COMPUTED_VALUE"""),956)</f>
        <v>956</v>
      </c>
      <c r="L202" s="7">
        <f ca="1">IFERROR(__xludf.DUMMYFUNCTION("""COMPUTED_VALUE"""),6128)</f>
        <v>6128</v>
      </c>
      <c r="M202" s="7">
        <f ca="1">IFERROR(__xludf.DUMMYFUNCTION("""COMPUTED_VALUE"""),1749)</f>
        <v>1749</v>
      </c>
      <c r="N202" s="7">
        <f ca="1">IFERROR(__xludf.DUMMYFUNCTION("""COMPUTED_VALUE"""),4875)</f>
        <v>4875</v>
      </c>
    </row>
    <row r="203" spans="1:14" ht="13.2" x14ac:dyDescent="0.25">
      <c r="A203" s="6">
        <f ca="1">IFERROR(__xludf.DUMMYFUNCTION("""COMPUTED_VALUE"""),44092)</f>
        <v>44092</v>
      </c>
      <c r="B203" s="7">
        <f ca="1">IFERROR(__xludf.DUMMYFUNCTION("""COMPUTED_VALUE"""),8)</f>
        <v>8</v>
      </c>
      <c r="C203" s="8">
        <f ca="1">IFERROR(__xludf.DUMMYFUNCTION("""COMPUTED_VALUE"""),44092.3333333333)</f>
        <v>44092.333333333299</v>
      </c>
      <c r="D203" s="7">
        <f ca="1">IFERROR(__xludf.DUMMYFUNCTION("""COMPUTED_VALUE"""),1535)</f>
        <v>1535</v>
      </c>
      <c r="E203" s="7">
        <f ca="1">IFERROR(__xludf.DUMMYFUNCTION("""COMPUTED_VALUE"""),46235)</f>
        <v>46235</v>
      </c>
      <c r="F203" s="7">
        <f ca="1">IFERROR(__xludf.DUMMYFUNCTION("""COMPUTED_VALUE"""),8450)</f>
        <v>8450</v>
      </c>
      <c r="G203" s="7">
        <f ca="1">IFERROR(__xludf.DUMMYFUNCTION("""COMPUTED_VALUE"""),4655)</f>
        <v>4655</v>
      </c>
      <c r="H203" s="7">
        <f ca="1">IFERROR(__xludf.DUMMYFUNCTION("""COMPUTED_VALUE"""),60875)</f>
        <v>60875</v>
      </c>
      <c r="I203" s="7">
        <f ca="1">IFERROR(__xludf.DUMMYFUNCTION("""COMPUTED_VALUE"""),1403)</f>
        <v>1403</v>
      </c>
      <c r="J203" s="7">
        <f ca="1">IFERROR(__xludf.DUMMYFUNCTION("""COMPUTED_VALUE"""),13105)</f>
        <v>13105</v>
      </c>
      <c r="K203" s="7">
        <f ca="1">IFERROR(__xludf.DUMMYFUNCTION("""COMPUTED_VALUE"""),1028)</f>
        <v>1028</v>
      </c>
      <c r="L203" s="7">
        <f ca="1">IFERROR(__xludf.DUMMYFUNCTION("""COMPUTED_VALUE"""),6989)</f>
        <v>6989</v>
      </c>
      <c r="M203" s="7">
        <f ca="1">IFERROR(__xludf.DUMMYFUNCTION("""COMPUTED_VALUE"""),2638)</f>
        <v>2638</v>
      </c>
      <c r="N203" s="7">
        <f ca="1">IFERROR(__xludf.DUMMYFUNCTION("""COMPUTED_VALUE"""),3478)</f>
        <v>3478</v>
      </c>
    </row>
    <row r="204" spans="1:14" ht="13.2" x14ac:dyDescent="0.25">
      <c r="A204" s="6">
        <f ca="1">IFERROR(__xludf.DUMMYFUNCTION("""COMPUTED_VALUE"""),44093)</f>
        <v>44093</v>
      </c>
      <c r="B204" s="7">
        <f ca="1">IFERROR(__xludf.DUMMYFUNCTION("""COMPUTED_VALUE"""),8)</f>
        <v>8</v>
      </c>
      <c r="C204" s="8">
        <f ca="1">IFERROR(__xludf.DUMMYFUNCTION("""COMPUTED_VALUE"""),44093.3333333333)</f>
        <v>44093.333333333299</v>
      </c>
      <c r="D204" s="7">
        <f ca="1">IFERROR(__xludf.DUMMYFUNCTION("""COMPUTED_VALUE"""),1546)</f>
        <v>1546</v>
      </c>
      <c r="E204" s="7">
        <f ca="1">IFERROR(__xludf.DUMMYFUNCTION("""COMPUTED_VALUE"""),47260)</f>
        <v>47260</v>
      </c>
      <c r="F204" s="7">
        <f ca="1">IFERROR(__xludf.DUMMYFUNCTION("""COMPUTED_VALUE"""),8696)</f>
        <v>8696</v>
      </c>
      <c r="G204" s="7">
        <f ca="1">IFERROR(__xludf.DUMMYFUNCTION("""COMPUTED_VALUE"""),4305)</f>
        <v>4305</v>
      </c>
      <c r="H204" s="7">
        <f ca="1">IFERROR(__xludf.DUMMYFUNCTION("""COMPUTED_VALUE"""),61807)</f>
        <v>61807</v>
      </c>
      <c r="I204" s="7">
        <f ca="1">IFERROR(__xludf.DUMMYFUNCTION("""COMPUTED_VALUE"""),932)</f>
        <v>932</v>
      </c>
      <c r="J204" s="7">
        <f ca="1">IFERROR(__xludf.DUMMYFUNCTION("""COMPUTED_VALUE"""),13001)</f>
        <v>13001</v>
      </c>
      <c r="K204" s="7">
        <f ca="1">IFERROR(__xludf.DUMMYFUNCTION("""COMPUTED_VALUE"""),1025)</f>
        <v>1025</v>
      </c>
      <c r="L204" s="7">
        <f ca="1">IFERROR(__xludf.DUMMYFUNCTION("""COMPUTED_VALUE"""),6296)</f>
        <v>6296</v>
      </c>
      <c r="M204" s="7">
        <f ca="1">IFERROR(__xludf.DUMMYFUNCTION("""COMPUTED_VALUE"""),5873)</f>
        <v>5873</v>
      </c>
      <c r="N204" s="7">
        <f ca="1">IFERROR(__xludf.DUMMYFUNCTION("""COMPUTED_VALUE"""),832)</f>
        <v>832</v>
      </c>
    </row>
    <row r="205" spans="1:14" ht="13.2" x14ac:dyDescent="0.25">
      <c r="A205" s="6">
        <f ca="1">IFERROR(__xludf.DUMMYFUNCTION("""COMPUTED_VALUE"""),44094)</f>
        <v>44094</v>
      </c>
      <c r="B205" s="7">
        <f ca="1">IFERROR(__xludf.DUMMYFUNCTION("""COMPUTED_VALUE"""),8)</f>
        <v>8</v>
      </c>
      <c r="C205" s="8">
        <f ca="1">IFERROR(__xludf.DUMMYFUNCTION("""COMPUTED_VALUE"""),44094.3333333333)</f>
        <v>44094.333333333299</v>
      </c>
      <c r="D205" s="7">
        <f ca="1">IFERROR(__xludf.DUMMYFUNCTION("""COMPUTED_VALUE"""),1561)</f>
        <v>1561</v>
      </c>
      <c r="E205" s="7">
        <f ca="1">IFERROR(__xludf.DUMMYFUNCTION("""COMPUTED_VALUE"""),49209)</f>
        <v>49209</v>
      </c>
      <c r="F205" s="7">
        <f ca="1">IFERROR(__xludf.DUMMYFUNCTION("""COMPUTED_VALUE"""),8297)</f>
        <v>8297</v>
      </c>
      <c r="G205" s="7">
        <f ca="1">IFERROR(__xludf.DUMMYFUNCTION("""COMPUTED_VALUE"""),3819)</f>
        <v>3819</v>
      </c>
      <c r="H205" s="7">
        <f ca="1">IFERROR(__xludf.DUMMYFUNCTION("""COMPUTED_VALUE"""),62886)</f>
        <v>62886</v>
      </c>
      <c r="I205" s="7">
        <f ca="1">IFERROR(__xludf.DUMMYFUNCTION("""COMPUTED_VALUE"""),1079)</f>
        <v>1079</v>
      </c>
      <c r="J205" s="7">
        <f ca="1">IFERROR(__xludf.DUMMYFUNCTION("""COMPUTED_VALUE"""),12116)</f>
        <v>12116</v>
      </c>
      <c r="K205" s="7">
        <f ca="1">IFERROR(__xludf.DUMMYFUNCTION("""COMPUTED_VALUE"""),1949)</f>
        <v>1949</v>
      </c>
      <c r="L205" s="7">
        <f ca="1">IFERROR(__xludf.DUMMYFUNCTION("""COMPUTED_VALUE"""),6278)</f>
        <v>6278</v>
      </c>
      <c r="M205" s="7">
        <f ca="1">IFERROR(__xludf.DUMMYFUNCTION("""COMPUTED_VALUE"""),5301)</f>
        <v>5301</v>
      </c>
      <c r="N205" s="7">
        <f ca="1">IFERROR(__xludf.DUMMYFUNCTION("""COMPUTED_VALUE"""),537)</f>
        <v>537</v>
      </c>
    </row>
    <row r="206" spans="1:14" ht="13.2" x14ac:dyDescent="0.25">
      <c r="A206" s="6">
        <f ca="1">IFERROR(__xludf.DUMMYFUNCTION("""COMPUTED_VALUE"""),44095)</f>
        <v>44095</v>
      </c>
      <c r="B206" s="7">
        <f ca="1">IFERROR(__xludf.DUMMYFUNCTION("""COMPUTED_VALUE"""),8)</f>
        <v>8</v>
      </c>
      <c r="C206" s="8">
        <f ca="1">IFERROR(__xludf.DUMMYFUNCTION("""COMPUTED_VALUE"""),44095.3333333333)</f>
        <v>44095.333333333299</v>
      </c>
      <c r="D206" s="7">
        <f ca="1">IFERROR(__xludf.DUMMYFUNCTION("""COMPUTED_VALUE"""),1592)</f>
        <v>1592</v>
      </c>
      <c r="E206" s="7">
        <f ca="1">IFERROR(__xludf.DUMMYFUNCTION("""COMPUTED_VALUE"""),49630)</f>
        <v>49630</v>
      </c>
      <c r="F206" s="7">
        <f ca="1">IFERROR(__xludf.DUMMYFUNCTION("""COMPUTED_VALUE"""),9225)</f>
        <v>9225</v>
      </c>
      <c r="G206" s="7">
        <f ca="1">IFERROR(__xludf.DUMMYFUNCTION("""COMPUTED_VALUE"""),3749)</f>
        <v>3749</v>
      </c>
      <c r="H206" s="7">
        <f ca="1">IFERROR(__xludf.DUMMYFUNCTION("""COMPUTED_VALUE"""),64196)</f>
        <v>64196</v>
      </c>
      <c r="I206" s="7">
        <f ca="1">IFERROR(__xludf.DUMMYFUNCTION("""COMPUTED_VALUE"""),1310)</f>
        <v>1310</v>
      </c>
      <c r="J206" s="7">
        <f ca="1">IFERROR(__xludf.DUMMYFUNCTION("""COMPUTED_VALUE"""),12974)</f>
        <v>12974</v>
      </c>
      <c r="K206" s="7">
        <f ca="1">IFERROR(__xludf.DUMMYFUNCTION("""COMPUTED_VALUE"""),421)</f>
        <v>421</v>
      </c>
      <c r="L206" s="7">
        <f ca="1">IFERROR(__xludf.DUMMYFUNCTION("""COMPUTED_VALUE"""),6278)</f>
        <v>6278</v>
      </c>
      <c r="M206" s="7">
        <f ca="1">IFERROR(__xludf.DUMMYFUNCTION("""COMPUTED_VALUE"""),5301)</f>
        <v>5301</v>
      </c>
      <c r="N206" s="7">
        <f ca="1">IFERROR(__xludf.DUMMYFUNCTION("""COMPUTED_VALUE"""),1395)</f>
        <v>1395</v>
      </c>
    </row>
    <row r="207" spans="1:14" ht="13.2" x14ac:dyDescent="0.25">
      <c r="A207" s="6">
        <f ca="1">IFERROR(__xludf.DUMMYFUNCTION("""COMPUTED_VALUE"""),44096)</f>
        <v>44096</v>
      </c>
      <c r="B207" s="7">
        <f ca="1">IFERROR(__xludf.DUMMYFUNCTION("""COMPUTED_VALUE"""),8)</f>
        <v>8</v>
      </c>
      <c r="C207" s="8">
        <f ca="1">IFERROR(__xludf.DUMMYFUNCTION("""COMPUTED_VALUE"""),44096.3333333333)</f>
        <v>44096.333333333299</v>
      </c>
      <c r="D207" s="7">
        <f ca="1">IFERROR(__xludf.DUMMYFUNCTION("""COMPUTED_VALUE"""),1624)</f>
        <v>1624</v>
      </c>
      <c r="E207" s="7">
        <f ca="1">IFERROR(__xludf.DUMMYFUNCTION("""COMPUTED_VALUE"""),50473)</f>
        <v>50473</v>
      </c>
      <c r="F207" s="7">
        <f ca="1">IFERROR(__xludf.DUMMYFUNCTION("""COMPUTED_VALUE"""),9380)</f>
        <v>9380</v>
      </c>
      <c r="G207" s="7">
        <f ca="1">IFERROR(__xludf.DUMMYFUNCTION("""COMPUTED_VALUE"""),3841)</f>
        <v>3841</v>
      </c>
      <c r="H207" s="7">
        <f ca="1">IFERROR(__xludf.DUMMYFUNCTION("""COMPUTED_VALUE"""),65318)</f>
        <v>65318</v>
      </c>
      <c r="I207" s="7">
        <f ca="1">IFERROR(__xludf.DUMMYFUNCTION("""COMPUTED_VALUE"""),1122)</f>
        <v>1122</v>
      </c>
      <c r="J207" s="7">
        <f ca="1">IFERROR(__xludf.DUMMYFUNCTION("""COMPUTED_VALUE"""),13221)</f>
        <v>13221</v>
      </c>
      <c r="K207" s="7">
        <f ca="1">IFERROR(__xludf.DUMMYFUNCTION("""COMPUTED_VALUE"""),843)</f>
        <v>843</v>
      </c>
      <c r="L207" s="7">
        <f ca="1">IFERROR(__xludf.DUMMYFUNCTION("""COMPUTED_VALUE"""),6871)</f>
        <v>6871</v>
      </c>
      <c r="M207" s="7">
        <f ca="1">IFERROR(__xludf.DUMMYFUNCTION("""COMPUTED_VALUE"""),4917)</f>
        <v>4917</v>
      </c>
      <c r="N207" s="7">
        <f ca="1">IFERROR(__xludf.DUMMYFUNCTION("""COMPUTED_VALUE"""),1433)</f>
        <v>1433</v>
      </c>
    </row>
    <row r="208" spans="1:14" ht="13.2" x14ac:dyDescent="0.25">
      <c r="A208" s="6">
        <f ca="1">IFERROR(__xludf.DUMMYFUNCTION("""COMPUTED_VALUE"""),44097)</f>
        <v>44097</v>
      </c>
      <c r="B208" s="7">
        <f ca="1">IFERROR(__xludf.DUMMYFUNCTION("""COMPUTED_VALUE"""),8)</f>
        <v>8</v>
      </c>
      <c r="C208" s="8">
        <f ca="1">IFERROR(__xludf.DUMMYFUNCTION("""COMPUTED_VALUE"""),44097.3333333333)</f>
        <v>44097.333333333299</v>
      </c>
      <c r="D208" s="7">
        <f ca="1">IFERROR(__xludf.DUMMYFUNCTION("""COMPUTED_VALUE"""),1650)</f>
        <v>1650</v>
      </c>
      <c r="E208" s="7">
        <f ca="1">IFERROR(__xludf.DUMMYFUNCTION("""COMPUTED_VALUE"""),51578)</f>
        <v>51578</v>
      </c>
      <c r="F208" s="7">
        <f ca="1">IFERROR(__xludf.DUMMYFUNCTION("""COMPUTED_VALUE"""),9611)</f>
        <v>9611</v>
      </c>
      <c r="G208" s="7">
        <f ca="1">IFERROR(__xludf.DUMMYFUNCTION("""COMPUTED_VALUE"""),3666)</f>
        <v>3666</v>
      </c>
      <c r="H208" s="7">
        <f ca="1">IFERROR(__xludf.DUMMYFUNCTION("""COMPUTED_VALUE"""),66505)</f>
        <v>66505</v>
      </c>
      <c r="I208" s="7">
        <f ca="1">IFERROR(__xludf.DUMMYFUNCTION("""COMPUTED_VALUE"""),1187)</f>
        <v>1187</v>
      </c>
      <c r="J208" s="7">
        <f ca="1">IFERROR(__xludf.DUMMYFUNCTION("""COMPUTED_VALUE"""),13277)</f>
        <v>13277</v>
      </c>
      <c r="K208" s="7">
        <f ca="1">IFERROR(__xludf.DUMMYFUNCTION("""COMPUTED_VALUE"""),1105)</f>
        <v>1105</v>
      </c>
      <c r="L208" s="7">
        <f ca="1">IFERROR(__xludf.DUMMYFUNCTION("""COMPUTED_VALUE"""),6278)</f>
        <v>6278</v>
      </c>
      <c r="M208" s="7">
        <f ca="1">IFERROR(__xludf.DUMMYFUNCTION("""COMPUTED_VALUE"""),5301)</f>
        <v>5301</v>
      </c>
      <c r="N208" s="7">
        <f ca="1">IFERROR(__xludf.DUMMYFUNCTION("""COMPUTED_VALUE"""),1698)</f>
        <v>1698</v>
      </c>
    </row>
    <row r="209" spans="1:14" ht="13.2" x14ac:dyDescent="0.25">
      <c r="A209" s="6">
        <f ca="1">IFERROR(__xludf.DUMMYFUNCTION("""COMPUTED_VALUE"""),44098)</f>
        <v>44098</v>
      </c>
      <c r="B209" s="7">
        <f ca="1">IFERROR(__xludf.DUMMYFUNCTION("""COMPUTED_VALUE"""),8)</f>
        <v>8</v>
      </c>
      <c r="C209" s="8">
        <f ca="1">IFERROR(__xludf.DUMMYFUNCTION("""COMPUTED_VALUE"""),44098.3333333333)</f>
        <v>44098.333333333299</v>
      </c>
      <c r="D209" s="7">
        <f ca="1">IFERROR(__xludf.DUMMYFUNCTION("""COMPUTED_VALUE"""),1664)</f>
        <v>1664</v>
      </c>
      <c r="E209" s="7">
        <f ca="1">IFERROR(__xludf.DUMMYFUNCTION("""COMPUTED_VALUE"""),52742)</f>
        <v>52742</v>
      </c>
      <c r="F209" s="7">
        <f ca="1">IFERROR(__xludf.DUMMYFUNCTION("""COMPUTED_VALUE"""),9714)</f>
        <v>9714</v>
      </c>
      <c r="G209" s="7">
        <f ca="1">IFERROR(__xludf.DUMMYFUNCTION("""COMPUTED_VALUE"""),3518)</f>
        <v>3518</v>
      </c>
      <c r="H209" s="7">
        <f ca="1">IFERROR(__xludf.DUMMYFUNCTION("""COMPUTED_VALUE"""),67638)</f>
        <v>67638</v>
      </c>
      <c r="I209" s="7">
        <f ca="1">IFERROR(__xludf.DUMMYFUNCTION("""COMPUTED_VALUE"""),1133)</f>
        <v>1133</v>
      </c>
      <c r="J209" s="7">
        <f ca="1">IFERROR(__xludf.DUMMYFUNCTION("""COMPUTED_VALUE"""),13232)</f>
        <v>13232</v>
      </c>
      <c r="K209" s="7">
        <f ca="1">IFERROR(__xludf.DUMMYFUNCTION("""COMPUTED_VALUE"""),1164)</f>
        <v>1164</v>
      </c>
      <c r="L209" s="7">
        <f ca="1">IFERROR(__xludf.DUMMYFUNCTION("""COMPUTED_VALUE"""),6555)</f>
        <v>6555</v>
      </c>
      <c r="M209" s="7">
        <f ca="1">IFERROR(__xludf.DUMMYFUNCTION("""COMPUTED_VALUE"""),4277)</f>
        <v>4277</v>
      </c>
      <c r="N209" s="7">
        <f ca="1">IFERROR(__xludf.DUMMYFUNCTION("""COMPUTED_VALUE"""),2400)</f>
        <v>2400</v>
      </c>
    </row>
    <row r="210" spans="1:14" ht="13.2" x14ac:dyDescent="0.25">
      <c r="A210" s="6">
        <f ca="1">IFERROR(__xludf.DUMMYFUNCTION("""COMPUTED_VALUE"""),44099)</f>
        <v>44099</v>
      </c>
      <c r="B210" s="7">
        <f ca="1">IFERROR(__xludf.DUMMYFUNCTION("""COMPUTED_VALUE"""),8)</f>
        <v>8</v>
      </c>
      <c r="C210" s="8">
        <f ca="1">IFERROR(__xludf.DUMMYFUNCTION("""COMPUTED_VALUE"""),44099.3333333333)</f>
        <v>44099.333333333299</v>
      </c>
      <c r="D210" s="7">
        <f ca="1">IFERROR(__xludf.DUMMYFUNCTION("""COMPUTED_VALUE"""),1677)</f>
        <v>1677</v>
      </c>
      <c r="E210" s="7">
        <f ca="1">IFERROR(__xludf.DUMMYFUNCTION("""COMPUTED_VALUE"""),54352)</f>
        <v>54352</v>
      </c>
      <c r="F210" s="7">
        <f ca="1">IFERROR(__xludf.DUMMYFUNCTION("""COMPUTED_VALUE"""),10027)</f>
        <v>10027</v>
      </c>
      <c r="G210" s="7">
        <f ca="1">IFERROR(__xludf.DUMMYFUNCTION("""COMPUTED_VALUE"""),2871)</f>
        <v>2871</v>
      </c>
      <c r="H210" s="7">
        <f ca="1">IFERROR(__xludf.DUMMYFUNCTION("""COMPUTED_VALUE"""),68927)</f>
        <v>68927</v>
      </c>
      <c r="I210" s="7">
        <f ca="1">IFERROR(__xludf.DUMMYFUNCTION("""COMPUTED_VALUE"""),1289)</f>
        <v>1289</v>
      </c>
      <c r="J210" s="7">
        <f ca="1">IFERROR(__xludf.DUMMYFUNCTION("""COMPUTED_VALUE"""),12898)</f>
        <v>12898</v>
      </c>
      <c r="K210" s="7">
        <f ca="1">IFERROR(__xludf.DUMMYFUNCTION("""COMPUTED_VALUE"""),1610)</f>
        <v>1610</v>
      </c>
      <c r="L210" s="7">
        <f ca="1">IFERROR(__xludf.DUMMYFUNCTION("""COMPUTED_VALUE"""),6334)</f>
        <v>6334</v>
      </c>
      <c r="M210" s="7">
        <f ca="1">IFERROR(__xludf.DUMMYFUNCTION("""COMPUTED_VALUE"""),4076)</f>
        <v>4076</v>
      </c>
      <c r="N210" s="7">
        <f ca="1">IFERROR(__xludf.DUMMYFUNCTION("""COMPUTED_VALUE"""),2488)</f>
        <v>2488</v>
      </c>
    </row>
    <row r="211" spans="1:14" ht="13.2" x14ac:dyDescent="0.25">
      <c r="A211" s="6">
        <f ca="1">IFERROR(__xludf.DUMMYFUNCTION("""COMPUTED_VALUE"""),44100)</f>
        <v>44100</v>
      </c>
      <c r="B211" s="7">
        <f ca="1">IFERROR(__xludf.DUMMYFUNCTION("""COMPUTED_VALUE"""),8)</f>
        <v>8</v>
      </c>
      <c r="C211" s="8">
        <f ca="1">IFERROR(__xludf.DUMMYFUNCTION("""COMPUTED_VALUE"""),44100.3333333333)</f>
        <v>44100.333333333299</v>
      </c>
      <c r="D211" s="7">
        <f ca="1">IFERROR(__xludf.DUMMYFUNCTION("""COMPUTED_VALUE"""),1679)</f>
        <v>1679</v>
      </c>
      <c r="E211" s="7">
        <f ca="1">IFERROR(__xludf.DUMMYFUNCTION("""COMPUTED_VALUE"""),55350)</f>
        <v>55350</v>
      </c>
      <c r="F211" s="7">
        <f ca="1">IFERROR(__xludf.DUMMYFUNCTION("""COMPUTED_VALUE"""),10594)</f>
        <v>10594</v>
      </c>
      <c r="G211" s="7">
        <f ca="1">IFERROR(__xludf.DUMMYFUNCTION("""COMPUTED_VALUE"""),2561)</f>
        <v>2561</v>
      </c>
      <c r="H211" s="7">
        <f ca="1">IFERROR(__xludf.DUMMYFUNCTION("""COMPUTED_VALUE"""),70184)</f>
        <v>70184</v>
      </c>
      <c r="I211" s="7">
        <f ca="1">IFERROR(__xludf.DUMMYFUNCTION("""COMPUTED_VALUE"""),1257)</f>
        <v>1257</v>
      </c>
      <c r="J211" s="7">
        <f ca="1">IFERROR(__xludf.DUMMYFUNCTION("""COMPUTED_VALUE"""),13155)</f>
        <v>13155</v>
      </c>
      <c r="K211" s="7">
        <f ca="1">IFERROR(__xludf.DUMMYFUNCTION("""COMPUTED_VALUE"""),998)</f>
        <v>998</v>
      </c>
      <c r="L211" s="7">
        <f ca="1">IFERROR(__xludf.DUMMYFUNCTION("""COMPUTED_VALUE"""),7220)</f>
        <v>7220</v>
      </c>
      <c r="M211" s="7">
        <f ca="1">IFERROR(__xludf.DUMMYFUNCTION("""COMPUTED_VALUE"""),3550)</f>
        <v>3550</v>
      </c>
      <c r="N211" s="7">
        <f ca="1">IFERROR(__xludf.DUMMYFUNCTION("""COMPUTED_VALUE"""),2385)</f>
        <v>2385</v>
      </c>
    </row>
    <row r="212" spans="1:14" ht="13.2" x14ac:dyDescent="0.25">
      <c r="A212" s="6">
        <f ca="1">IFERROR(__xludf.DUMMYFUNCTION("""COMPUTED_VALUE"""),44101)</f>
        <v>44101</v>
      </c>
      <c r="B212" s="7">
        <f ca="1">IFERROR(__xludf.DUMMYFUNCTION("""COMPUTED_VALUE"""),8)</f>
        <v>8</v>
      </c>
      <c r="C212" s="8">
        <f ca="1">IFERROR(__xludf.DUMMYFUNCTION("""COMPUTED_VALUE"""),44101.3333333333)</f>
        <v>44101.333333333299</v>
      </c>
      <c r="D212" s="7">
        <f ca="1">IFERROR(__xludf.DUMMYFUNCTION("""COMPUTED_VALUE"""),1692)</f>
        <v>1692</v>
      </c>
      <c r="E212" s="7">
        <f ca="1">IFERROR(__xludf.DUMMYFUNCTION("""COMPUTED_VALUE"""),56413)</f>
        <v>56413</v>
      </c>
      <c r="F212" s="7">
        <f ca="1">IFERROR(__xludf.DUMMYFUNCTION("""COMPUTED_VALUE"""),10915)</f>
        <v>10915</v>
      </c>
      <c r="G212" s="7">
        <f ca="1">IFERROR(__xludf.DUMMYFUNCTION("""COMPUTED_VALUE"""),2350)</f>
        <v>2350</v>
      </c>
      <c r="H212" s="7">
        <f ca="1">IFERROR(__xludf.DUMMYFUNCTION("""COMPUTED_VALUE"""),71370)</f>
        <v>71370</v>
      </c>
      <c r="I212" s="7">
        <f ca="1">IFERROR(__xludf.DUMMYFUNCTION("""COMPUTED_VALUE"""),1186)</f>
        <v>1186</v>
      </c>
      <c r="J212" s="7">
        <f ca="1">IFERROR(__xludf.DUMMYFUNCTION("""COMPUTED_VALUE"""),13265)</f>
        <v>13265</v>
      </c>
      <c r="K212" s="7">
        <f ca="1">IFERROR(__xludf.DUMMYFUNCTION("""COMPUTED_VALUE"""),1063)</f>
        <v>1063</v>
      </c>
      <c r="L212" s="7">
        <f ca="1">IFERROR(__xludf.DUMMYFUNCTION("""COMPUTED_VALUE"""),6976)</f>
        <v>6976</v>
      </c>
      <c r="M212" s="7">
        <f ca="1">IFERROR(__xludf.DUMMYFUNCTION("""COMPUTED_VALUE"""),3738)</f>
        <v>3738</v>
      </c>
      <c r="N212" s="7">
        <f ca="1">IFERROR(__xludf.DUMMYFUNCTION("""COMPUTED_VALUE"""),2551)</f>
        <v>2551</v>
      </c>
    </row>
    <row r="213" spans="1:14" ht="13.2" x14ac:dyDescent="0.25">
      <c r="A213" s="6">
        <f ca="1">IFERROR(__xludf.DUMMYFUNCTION("""COMPUTED_VALUE"""),44102)</f>
        <v>44102</v>
      </c>
      <c r="B213" s="7">
        <f ca="1">IFERROR(__xludf.DUMMYFUNCTION("""COMPUTED_VALUE"""),8)</f>
        <v>8</v>
      </c>
      <c r="C213" s="8">
        <f ca="1">IFERROR(__xludf.DUMMYFUNCTION("""COMPUTED_VALUE"""),44102.3333333333)</f>
        <v>44102.333333333299</v>
      </c>
      <c r="D213" s="7">
        <f ca="1">IFERROR(__xludf.DUMMYFUNCTION("""COMPUTED_VALUE"""),1704)</f>
        <v>1704</v>
      </c>
      <c r="E213" s="7">
        <f ca="1">IFERROR(__xludf.DUMMYFUNCTION("""COMPUTED_VALUE"""),57741)</f>
        <v>57741</v>
      </c>
      <c r="F213" s="7">
        <f ca="1">IFERROR(__xludf.DUMMYFUNCTION("""COMPUTED_VALUE"""),10474)</f>
        <v>10474</v>
      </c>
      <c r="G213" s="7">
        <f ca="1">IFERROR(__xludf.DUMMYFUNCTION("""COMPUTED_VALUE"""),2258)</f>
        <v>2258</v>
      </c>
      <c r="H213" s="7">
        <f ca="1">IFERROR(__xludf.DUMMYFUNCTION("""COMPUTED_VALUE"""),72177)</f>
        <v>72177</v>
      </c>
      <c r="I213" s="7">
        <f ca="1">IFERROR(__xludf.DUMMYFUNCTION("""COMPUTED_VALUE"""),807)</f>
        <v>807</v>
      </c>
      <c r="J213" s="7">
        <f ca="1">IFERROR(__xludf.DUMMYFUNCTION("""COMPUTED_VALUE"""),12732)</f>
        <v>12732</v>
      </c>
      <c r="K213" s="7">
        <f ca="1">IFERROR(__xludf.DUMMYFUNCTION("""COMPUTED_VALUE"""),1328)</f>
        <v>1328</v>
      </c>
      <c r="L213" s="7">
        <f ca="1">IFERROR(__xludf.DUMMYFUNCTION("""COMPUTED_VALUE"""),6678)</f>
        <v>6678</v>
      </c>
      <c r="M213" s="7">
        <f ca="1">IFERROR(__xludf.DUMMYFUNCTION("""COMPUTED_VALUE"""),5701)</f>
        <v>5701</v>
      </c>
      <c r="N213" s="7">
        <f ca="1">IFERROR(__xludf.DUMMYFUNCTION("""COMPUTED_VALUE"""),353)</f>
        <v>353</v>
      </c>
    </row>
    <row r="214" spans="1:14" ht="13.2" x14ac:dyDescent="0.25">
      <c r="A214" s="6">
        <f ca="1">IFERROR(__xludf.DUMMYFUNCTION("""COMPUTED_VALUE"""),44103)</f>
        <v>44103</v>
      </c>
      <c r="B214" s="7">
        <f ca="1">IFERROR(__xludf.DUMMYFUNCTION("""COMPUTED_VALUE"""),8)</f>
        <v>8</v>
      </c>
      <c r="C214" s="8">
        <f ca="1">IFERROR(__xludf.DUMMYFUNCTION("""COMPUTED_VALUE"""),44103.3333333333)</f>
        <v>44103.333333333299</v>
      </c>
      <c r="D214" s="7">
        <f ca="1">IFERROR(__xludf.DUMMYFUNCTION("""COMPUTED_VALUE"""),1718)</f>
        <v>1718</v>
      </c>
      <c r="E214" s="7">
        <f ca="1">IFERROR(__xludf.DUMMYFUNCTION("""COMPUTED_VALUE"""),58865)</f>
        <v>58865</v>
      </c>
      <c r="F214" s="7">
        <f ca="1">IFERROR(__xludf.DUMMYFUNCTION("""COMPUTED_VALUE"""),10659)</f>
        <v>10659</v>
      </c>
      <c r="G214" s="7">
        <f ca="1">IFERROR(__xludf.DUMMYFUNCTION("""COMPUTED_VALUE"""),2067)</f>
        <v>2067</v>
      </c>
      <c r="H214" s="7">
        <f ca="1">IFERROR(__xludf.DUMMYFUNCTION("""COMPUTED_VALUE"""),73309)</f>
        <v>73309</v>
      </c>
      <c r="I214" s="7">
        <f ca="1">IFERROR(__xludf.DUMMYFUNCTION("""COMPUTED_VALUE"""),1132)</f>
        <v>1132</v>
      </c>
      <c r="J214" s="7">
        <f ca="1">IFERROR(__xludf.DUMMYFUNCTION("""COMPUTED_VALUE"""),12726)</f>
        <v>12726</v>
      </c>
      <c r="K214" s="7">
        <f ca="1">IFERROR(__xludf.DUMMYFUNCTION("""COMPUTED_VALUE"""),1124)</f>
        <v>1124</v>
      </c>
      <c r="L214" s="7">
        <f ca="1">IFERROR(__xludf.DUMMYFUNCTION("""COMPUTED_VALUE"""),7001)</f>
        <v>7001</v>
      </c>
      <c r="M214" s="7">
        <f ca="1">IFERROR(__xludf.DUMMYFUNCTION("""COMPUTED_VALUE"""),3226)</f>
        <v>3226</v>
      </c>
      <c r="N214" s="7">
        <f ca="1">IFERROR(__xludf.DUMMYFUNCTION("""COMPUTED_VALUE"""),2499)</f>
        <v>2499</v>
      </c>
    </row>
    <row r="215" spans="1:14" ht="13.2" x14ac:dyDescent="0.25">
      <c r="A215" s="6">
        <f ca="1">IFERROR(__xludf.DUMMYFUNCTION("""COMPUTED_VALUE"""),44104)</f>
        <v>44104</v>
      </c>
      <c r="B215" s="7">
        <f ca="1">IFERROR(__xludf.DUMMYFUNCTION("""COMPUTED_VALUE"""),8)</f>
        <v>8</v>
      </c>
      <c r="C215" s="8">
        <f ca="1">IFERROR(__xludf.DUMMYFUNCTION("""COMPUTED_VALUE"""),44104.3333333333)</f>
        <v>44104.333333333299</v>
      </c>
      <c r="D215" s="7">
        <f ca="1">IFERROR(__xludf.DUMMYFUNCTION("""COMPUTED_VALUE"""),1731)</f>
        <v>1731</v>
      </c>
      <c r="E215" s="7">
        <f ca="1">IFERROR(__xludf.DUMMYFUNCTION("""COMPUTED_VALUE"""),60320)</f>
        <v>60320</v>
      </c>
      <c r="F215" s="7">
        <f ca="1">IFERROR(__xludf.DUMMYFUNCTION("""COMPUTED_VALUE"""),10353)</f>
        <v>10353</v>
      </c>
      <c r="G215" s="7">
        <f ca="1">IFERROR(__xludf.DUMMYFUNCTION("""COMPUTED_VALUE"""),1964)</f>
        <v>1964</v>
      </c>
      <c r="H215" s="7">
        <f ca="1">IFERROR(__xludf.DUMMYFUNCTION("""COMPUTED_VALUE"""),74368)</f>
        <v>74368</v>
      </c>
      <c r="I215" s="7">
        <f ca="1">IFERROR(__xludf.DUMMYFUNCTION("""COMPUTED_VALUE"""),1059)</f>
        <v>1059</v>
      </c>
      <c r="J215" s="7">
        <f ca="1">IFERROR(__xludf.DUMMYFUNCTION("""COMPUTED_VALUE"""),12317)</f>
        <v>12317</v>
      </c>
      <c r="K215" s="7">
        <f ca="1">IFERROR(__xludf.DUMMYFUNCTION("""COMPUTED_VALUE"""),1455)</f>
        <v>1455</v>
      </c>
      <c r="L215" s="7">
        <f ca="1">IFERROR(__xludf.DUMMYFUNCTION("""COMPUTED_VALUE"""),5962)</f>
        <v>5962</v>
      </c>
      <c r="M215" s="7">
        <f ca="1">IFERROR(__xludf.DUMMYFUNCTION("""COMPUTED_VALUE"""),3124)</f>
        <v>3124</v>
      </c>
      <c r="N215" s="7">
        <f ca="1">IFERROR(__xludf.DUMMYFUNCTION("""COMPUTED_VALUE"""),3231)</f>
        <v>3231</v>
      </c>
    </row>
    <row r="216" spans="1:14" ht="13.2" x14ac:dyDescent="0.25">
      <c r="A216" s="6">
        <f ca="1">IFERROR(__xludf.DUMMYFUNCTION("""COMPUTED_VALUE"""),44105)</f>
        <v>44105</v>
      </c>
      <c r="B216" s="7">
        <f ca="1">IFERROR(__xludf.DUMMYFUNCTION("""COMPUTED_VALUE"""),8)</f>
        <v>8</v>
      </c>
      <c r="C216" s="8">
        <f ca="1">IFERROR(__xludf.DUMMYFUNCTION("""COMPUTED_VALUE"""),44105.3333333333)</f>
        <v>44105.333333333299</v>
      </c>
      <c r="D216" s="7">
        <f ca="1">IFERROR(__xludf.DUMMYFUNCTION("""COMPUTED_VALUE"""),1737)</f>
        <v>1737</v>
      </c>
      <c r="E216" s="7">
        <f ca="1">IFERROR(__xludf.DUMMYFUNCTION("""COMPUTED_VALUE"""),61444)</f>
        <v>61444</v>
      </c>
      <c r="F216" s="7">
        <f ca="1">IFERROR(__xludf.DUMMYFUNCTION("""COMPUTED_VALUE"""),10545)</f>
        <v>10545</v>
      </c>
      <c r="G216" s="7">
        <f ca="1">IFERROR(__xludf.DUMMYFUNCTION("""COMPUTED_VALUE"""),1795)</f>
        <v>1795</v>
      </c>
      <c r="H216" s="7">
        <f ca="1">IFERROR(__xludf.DUMMYFUNCTION("""COMPUTED_VALUE"""),75521)</f>
        <v>75521</v>
      </c>
      <c r="I216" s="7">
        <f ca="1">IFERROR(__xludf.DUMMYFUNCTION("""COMPUTED_VALUE"""),1153)</f>
        <v>1153</v>
      </c>
      <c r="J216" s="7">
        <f ca="1">IFERROR(__xludf.DUMMYFUNCTION("""COMPUTED_VALUE"""),12340)</f>
        <v>12340</v>
      </c>
      <c r="K216" s="7">
        <f ca="1">IFERROR(__xludf.DUMMYFUNCTION("""COMPUTED_VALUE"""),1124)</f>
        <v>1124</v>
      </c>
      <c r="L216" s="7">
        <f ca="1">IFERROR(__xludf.DUMMYFUNCTION("""COMPUTED_VALUE"""),5972)</f>
        <v>5972</v>
      </c>
      <c r="M216" s="7">
        <f ca="1">IFERROR(__xludf.DUMMYFUNCTION("""COMPUTED_VALUE"""),3826)</f>
        <v>3826</v>
      </c>
      <c r="N216" s="7">
        <f ca="1">IFERROR(__xludf.DUMMYFUNCTION("""COMPUTED_VALUE"""),2542)</f>
        <v>2542</v>
      </c>
    </row>
    <row r="217" spans="1:14" ht="13.2" x14ac:dyDescent="0.25">
      <c r="A217" s="6">
        <f ca="1">IFERROR(__xludf.DUMMYFUNCTION("""COMPUTED_VALUE"""),44106)</f>
        <v>44106</v>
      </c>
      <c r="B217" s="7">
        <f ca="1">IFERROR(__xludf.DUMMYFUNCTION("""COMPUTED_VALUE"""),8)</f>
        <v>8</v>
      </c>
      <c r="C217" s="8">
        <f ca="1">IFERROR(__xludf.DUMMYFUNCTION("""COMPUTED_VALUE"""),44106.3333333333)</f>
        <v>44106.333333333299</v>
      </c>
      <c r="D217" s="7">
        <f ca="1">IFERROR(__xludf.DUMMYFUNCTION("""COMPUTED_VALUE"""),1740)</f>
        <v>1740</v>
      </c>
      <c r="E217" s="7">
        <f ca="1">IFERROR(__xludf.DUMMYFUNCTION("""COMPUTED_VALUE"""),62279)</f>
        <v>62279</v>
      </c>
      <c r="F217" s="7">
        <f ca="1">IFERROR(__xludf.DUMMYFUNCTION("""COMPUTED_VALUE"""),10496)</f>
        <v>10496</v>
      </c>
      <c r="G217" s="7">
        <f ca="1">IFERROR(__xludf.DUMMYFUNCTION("""COMPUTED_VALUE"""),2104)</f>
        <v>2104</v>
      </c>
      <c r="H217" s="7">
        <f ca="1">IFERROR(__xludf.DUMMYFUNCTION("""COMPUTED_VALUE"""),76619)</f>
        <v>76619</v>
      </c>
      <c r="I217" s="7">
        <f ca="1">IFERROR(__xludf.DUMMYFUNCTION("""COMPUTED_VALUE"""),1098)</f>
        <v>1098</v>
      </c>
      <c r="J217" s="7">
        <f ca="1">IFERROR(__xludf.DUMMYFUNCTION("""COMPUTED_VALUE"""),12600)</f>
        <v>12600</v>
      </c>
      <c r="K217" s="7">
        <f ca="1">IFERROR(__xludf.DUMMYFUNCTION("""COMPUTED_VALUE"""),835)</f>
        <v>835</v>
      </c>
      <c r="L217" s="7">
        <f ca="1">IFERROR(__xludf.DUMMYFUNCTION("""COMPUTED_VALUE"""),5932)</f>
        <v>5932</v>
      </c>
      <c r="M217" s="7">
        <f ca="1">IFERROR(__xludf.DUMMYFUNCTION("""COMPUTED_VALUE"""),3726)</f>
        <v>3726</v>
      </c>
      <c r="N217" s="7">
        <f ca="1">IFERROR(__xludf.DUMMYFUNCTION("""COMPUTED_VALUE"""),2942)</f>
        <v>2942</v>
      </c>
    </row>
    <row r="218" spans="1:14" ht="13.2" x14ac:dyDescent="0.25">
      <c r="A218" s="6">
        <f ca="1">IFERROR(__xludf.DUMMYFUNCTION("""COMPUTED_VALUE"""),44107)</f>
        <v>44107</v>
      </c>
      <c r="B218" s="7">
        <f ca="1">IFERROR(__xludf.DUMMYFUNCTION("""COMPUTED_VALUE"""),8)</f>
        <v>8</v>
      </c>
      <c r="C218" s="8">
        <f ca="1">IFERROR(__xludf.DUMMYFUNCTION("""COMPUTED_VALUE"""),44107.3333333333)</f>
        <v>44107.333333333299</v>
      </c>
      <c r="D218" s="7">
        <f ca="1">IFERROR(__xludf.DUMMYFUNCTION("""COMPUTED_VALUE"""),1743)</f>
        <v>1743</v>
      </c>
      <c r="E218" s="7">
        <f ca="1">IFERROR(__xludf.DUMMYFUNCTION("""COMPUTED_VALUE"""),63286)</f>
        <v>63286</v>
      </c>
      <c r="F218" s="7">
        <f ca="1">IFERROR(__xludf.DUMMYFUNCTION("""COMPUTED_VALUE"""),10652)</f>
        <v>10652</v>
      </c>
      <c r="G218" s="7">
        <f ca="1">IFERROR(__xludf.DUMMYFUNCTION("""COMPUTED_VALUE"""),2103)</f>
        <v>2103</v>
      </c>
      <c r="H218" s="7">
        <f ca="1">IFERROR(__xludf.DUMMYFUNCTION("""COMPUTED_VALUE"""),77784)</f>
        <v>77784</v>
      </c>
      <c r="I218" s="7">
        <f ca="1">IFERROR(__xludf.DUMMYFUNCTION("""COMPUTED_VALUE"""),1165)</f>
        <v>1165</v>
      </c>
      <c r="J218" s="7">
        <f ca="1">IFERROR(__xludf.DUMMYFUNCTION("""COMPUTED_VALUE"""),12755)</f>
        <v>12755</v>
      </c>
      <c r="K218" s="7">
        <f ca="1">IFERROR(__xludf.DUMMYFUNCTION("""COMPUTED_VALUE"""),1007)</f>
        <v>1007</v>
      </c>
      <c r="L218" s="7">
        <f ca="1">IFERROR(__xludf.DUMMYFUNCTION("""COMPUTED_VALUE"""),5773)</f>
        <v>5773</v>
      </c>
      <c r="M218" s="7">
        <f ca="1">IFERROR(__xludf.DUMMYFUNCTION("""COMPUTED_VALUE"""),3747)</f>
        <v>3747</v>
      </c>
      <c r="N218" s="7">
        <f ca="1">IFERROR(__xludf.DUMMYFUNCTION("""COMPUTED_VALUE"""),3235)</f>
        <v>3235</v>
      </c>
    </row>
    <row r="219" spans="1:14" ht="13.2" x14ac:dyDescent="0.25">
      <c r="A219" s="6">
        <f ca="1">IFERROR(__xludf.DUMMYFUNCTION("""COMPUTED_VALUE"""),44108)</f>
        <v>44108</v>
      </c>
      <c r="B219" s="7">
        <f ca="1">IFERROR(__xludf.DUMMYFUNCTION("""COMPUTED_VALUE"""),8)</f>
        <v>8</v>
      </c>
      <c r="C219" s="8">
        <f ca="1">IFERROR(__xludf.DUMMYFUNCTION("""COMPUTED_VALUE"""),44108.3333333333)</f>
        <v>44108.333333333299</v>
      </c>
      <c r="D219" s="7">
        <f ca="1">IFERROR(__xludf.DUMMYFUNCTION("""COMPUTED_VALUE"""),1761)</f>
        <v>1761</v>
      </c>
      <c r="E219" s="7">
        <f ca="1">IFERROR(__xludf.DUMMYFUNCTION("""COMPUTED_VALUE"""),64319)</f>
        <v>64319</v>
      </c>
      <c r="F219" s="7">
        <f ca="1">IFERROR(__xludf.DUMMYFUNCTION("""COMPUTED_VALUE"""),11091)</f>
        <v>11091</v>
      </c>
      <c r="G219" s="7">
        <f ca="1">IFERROR(__xludf.DUMMYFUNCTION("""COMPUTED_VALUE"""),2043)</f>
        <v>2043</v>
      </c>
      <c r="H219" s="7">
        <f ca="1">IFERROR(__xludf.DUMMYFUNCTION("""COMPUTED_VALUE"""),79214)</f>
        <v>79214</v>
      </c>
      <c r="I219" s="7">
        <f ca="1">IFERROR(__xludf.DUMMYFUNCTION("""COMPUTED_VALUE"""),1430)</f>
        <v>1430</v>
      </c>
      <c r="J219" s="7">
        <f ca="1">IFERROR(__xludf.DUMMYFUNCTION("""COMPUTED_VALUE"""),13134)</f>
        <v>13134</v>
      </c>
      <c r="K219" s="7">
        <f ca="1">IFERROR(__xludf.DUMMYFUNCTION("""COMPUTED_VALUE"""),1033)</f>
        <v>1033</v>
      </c>
      <c r="L219" s="7">
        <f ca="1">IFERROR(__xludf.DUMMYFUNCTION("""COMPUTED_VALUE"""),6329)</f>
        <v>6329</v>
      </c>
      <c r="M219" s="7">
        <f ca="1">IFERROR(__xludf.DUMMYFUNCTION("""COMPUTED_VALUE"""),3552)</f>
        <v>3552</v>
      </c>
      <c r="N219" s="7">
        <f ca="1">IFERROR(__xludf.DUMMYFUNCTION("""COMPUTED_VALUE"""),3253)</f>
        <v>3253</v>
      </c>
    </row>
    <row r="220" spans="1:14" ht="13.2" x14ac:dyDescent="0.25">
      <c r="A220" s="6">
        <f ca="1">IFERROR(__xludf.DUMMYFUNCTION("""COMPUTED_VALUE"""),44109)</f>
        <v>44109</v>
      </c>
      <c r="B220" s="7">
        <f ca="1">IFERROR(__xludf.DUMMYFUNCTION("""COMPUTED_VALUE"""),8)</f>
        <v>8</v>
      </c>
      <c r="C220" s="8">
        <f ca="1">IFERROR(__xludf.DUMMYFUNCTION("""COMPUTED_VALUE"""),44109.3333333333)</f>
        <v>44109.333333333299</v>
      </c>
      <c r="D220" s="7">
        <f ca="1">IFERROR(__xludf.DUMMYFUNCTION("""COMPUTED_VALUE"""),1772)</f>
        <v>1772</v>
      </c>
      <c r="E220" s="7">
        <f ca="1">IFERROR(__xludf.DUMMYFUNCTION("""COMPUTED_VALUE"""),65295)</f>
        <v>65295</v>
      </c>
      <c r="F220" s="7">
        <f ca="1">IFERROR(__xludf.DUMMYFUNCTION("""COMPUTED_VALUE"""),10912)</f>
        <v>10912</v>
      </c>
      <c r="G220" s="7">
        <f ca="1">IFERROR(__xludf.DUMMYFUNCTION("""COMPUTED_VALUE"""),2057)</f>
        <v>2057</v>
      </c>
      <c r="H220" s="7">
        <f ca="1">IFERROR(__xludf.DUMMYFUNCTION("""COMPUTED_VALUE"""),80036)</f>
        <v>80036</v>
      </c>
      <c r="I220" s="7">
        <f ca="1">IFERROR(__xludf.DUMMYFUNCTION("""COMPUTED_VALUE"""),822)</f>
        <v>822</v>
      </c>
      <c r="J220" s="7">
        <f ca="1">IFERROR(__xludf.DUMMYFUNCTION("""COMPUTED_VALUE"""),12969)</f>
        <v>12969</v>
      </c>
      <c r="K220" s="7">
        <f ca="1">IFERROR(__xludf.DUMMYFUNCTION("""COMPUTED_VALUE"""),976)</f>
        <v>976</v>
      </c>
      <c r="L220" s="7">
        <f ca="1">IFERROR(__xludf.DUMMYFUNCTION("""COMPUTED_VALUE"""),6565)</f>
        <v>6565</v>
      </c>
      <c r="M220" s="7">
        <f ca="1">IFERROR(__xludf.DUMMYFUNCTION("""COMPUTED_VALUE"""),3260)</f>
        <v>3260</v>
      </c>
      <c r="N220" s="7">
        <f ca="1">IFERROR(__xludf.DUMMYFUNCTION("""COMPUTED_VALUE"""),3144)</f>
        <v>3144</v>
      </c>
    </row>
    <row r="221" spans="1:14" ht="13.2" x14ac:dyDescent="0.25">
      <c r="A221" s="6">
        <f ca="1">IFERROR(__xludf.DUMMYFUNCTION("""COMPUTED_VALUE"""),44110)</f>
        <v>44110</v>
      </c>
      <c r="B221" s="7">
        <f ca="1">IFERROR(__xludf.DUMMYFUNCTION("""COMPUTED_VALUE"""),8)</f>
        <v>8</v>
      </c>
      <c r="C221" s="8">
        <f ca="1">IFERROR(__xludf.DUMMYFUNCTION("""COMPUTED_VALUE"""),44110.3333333333)</f>
        <v>44110.333333333299</v>
      </c>
      <c r="D221" s="7">
        <f ca="1">IFERROR(__xludf.DUMMYFUNCTION("""COMPUTED_VALUE"""),1806)</f>
        <v>1806</v>
      </c>
      <c r="E221" s="7">
        <f ca="1">IFERROR(__xludf.DUMMYFUNCTION("""COMPUTED_VALUE"""),66315)</f>
        <v>66315</v>
      </c>
      <c r="F221" s="7">
        <f ca="1">IFERROR(__xludf.DUMMYFUNCTION("""COMPUTED_VALUE"""),10787)</f>
        <v>10787</v>
      </c>
      <c r="G221" s="7">
        <f ca="1">IFERROR(__xludf.DUMMYFUNCTION("""COMPUTED_VALUE"""),2135)</f>
        <v>2135</v>
      </c>
      <c r="H221" s="7">
        <f ca="1">IFERROR(__xludf.DUMMYFUNCTION("""COMPUTED_VALUE"""),81043)</f>
        <v>81043</v>
      </c>
      <c r="I221" s="7">
        <f ca="1">IFERROR(__xludf.DUMMYFUNCTION("""COMPUTED_VALUE"""),1007)</f>
        <v>1007</v>
      </c>
      <c r="J221" s="7">
        <f ca="1">IFERROR(__xludf.DUMMYFUNCTION("""COMPUTED_VALUE"""),12922)</f>
        <v>12922</v>
      </c>
      <c r="K221" s="7">
        <f ca="1">IFERROR(__xludf.DUMMYFUNCTION("""COMPUTED_VALUE"""),1020)</f>
        <v>1020</v>
      </c>
      <c r="L221" s="7">
        <f ca="1">IFERROR(__xludf.DUMMYFUNCTION("""COMPUTED_VALUE"""),6714)</f>
        <v>6714</v>
      </c>
      <c r="M221" s="7">
        <f ca="1">IFERROR(__xludf.DUMMYFUNCTION("""COMPUTED_VALUE"""),3228)</f>
        <v>3228</v>
      </c>
      <c r="N221" s="7">
        <f ca="1">IFERROR(__xludf.DUMMYFUNCTION("""COMPUTED_VALUE"""),2980)</f>
        <v>2980</v>
      </c>
    </row>
    <row r="222" spans="1:14" ht="13.2" x14ac:dyDescent="0.25">
      <c r="A222" s="6">
        <f ca="1">IFERROR(__xludf.DUMMYFUNCTION("""COMPUTED_VALUE"""),44111)</f>
        <v>44111</v>
      </c>
      <c r="B222" s="7">
        <f ca="1">IFERROR(__xludf.DUMMYFUNCTION("""COMPUTED_VALUE"""),8)</f>
        <v>8</v>
      </c>
      <c r="C222" s="8">
        <f ca="1">IFERROR(__xludf.DUMMYFUNCTION("""COMPUTED_VALUE"""),44111.3333333333)</f>
        <v>44111.333333333299</v>
      </c>
      <c r="D222" s="7">
        <f ca="1">IFERROR(__xludf.DUMMYFUNCTION("""COMPUTED_VALUE"""),1819)</f>
        <v>1819</v>
      </c>
      <c r="E222" s="7">
        <f ca="1">IFERROR(__xludf.DUMMYFUNCTION("""COMPUTED_VALUE"""),67310)</f>
        <v>67310</v>
      </c>
      <c r="F222" s="7">
        <f ca="1">IFERROR(__xludf.DUMMYFUNCTION("""COMPUTED_VALUE"""),10807)</f>
        <v>10807</v>
      </c>
      <c r="G222" s="7">
        <f ca="1">IFERROR(__xludf.DUMMYFUNCTION("""COMPUTED_VALUE"""),2447)</f>
        <v>2447</v>
      </c>
      <c r="H222" s="7">
        <f ca="1">IFERROR(__xludf.DUMMYFUNCTION("""COMPUTED_VALUE"""),82383)</f>
        <v>82383</v>
      </c>
      <c r="I222" s="7">
        <f ca="1">IFERROR(__xludf.DUMMYFUNCTION("""COMPUTED_VALUE"""),1340)</f>
        <v>1340</v>
      </c>
      <c r="J222" s="7">
        <f ca="1">IFERROR(__xludf.DUMMYFUNCTION("""COMPUTED_VALUE"""),13254)</f>
        <v>13254</v>
      </c>
      <c r="K222" s="7">
        <f ca="1">IFERROR(__xludf.DUMMYFUNCTION("""COMPUTED_VALUE"""),995)</f>
        <v>995</v>
      </c>
      <c r="L222" s="7">
        <f ca="1">IFERROR(__xludf.DUMMYFUNCTION("""COMPUTED_VALUE"""),6671)</f>
        <v>6671</v>
      </c>
      <c r="M222" s="7">
        <f ca="1">IFERROR(__xludf.DUMMYFUNCTION("""COMPUTED_VALUE"""),3465)</f>
        <v>3465</v>
      </c>
      <c r="N222" s="7">
        <f ca="1">IFERROR(__xludf.DUMMYFUNCTION("""COMPUTED_VALUE"""),3118)</f>
        <v>3118</v>
      </c>
    </row>
    <row r="223" spans="1:14" ht="13.2" x14ac:dyDescent="0.25">
      <c r="A223" s="6">
        <f ca="1">IFERROR(__xludf.DUMMYFUNCTION("""COMPUTED_VALUE"""),44112)</f>
        <v>44112</v>
      </c>
      <c r="B223" s="7">
        <f ca="1">IFERROR(__xludf.DUMMYFUNCTION("""COMPUTED_VALUE"""),8)</f>
        <v>8</v>
      </c>
      <c r="C223" s="8">
        <f ca="1">IFERROR(__xludf.DUMMYFUNCTION("""COMPUTED_VALUE"""),44112.3333333333)</f>
        <v>44112.333333333299</v>
      </c>
      <c r="D223" s="7">
        <f ca="1">IFERROR(__xludf.DUMMYFUNCTION("""COMPUTED_VALUE"""),1838)</f>
        <v>1838</v>
      </c>
      <c r="E223" s="7">
        <f ca="1">IFERROR(__xludf.DUMMYFUNCTION("""COMPUTED_VALUE"""),68352)</f>
        <v>68352</v>
      </c>
      <c r="F223" s="7">
        <f ca="1">IFERROR(__xludf.DUMMYFUNCTION("""COMPUTED_VALUE"""),10717)</f>
        <v>10717</v>
      </c>
      <c r="G223" s="7">
        <f ca="1">IFERROR(__xludf.DUMMYFUNCTION("""COMPUTED_VALUE"""),2485)</f>
        <v>2485</v>
      </c>
      <c r="H223" s="7">
        <f ca="1">IFERROR(__xludf.DUMMYFUNCTION("""COMPUTED_VALUE"""),83392)</f>
        <v>83392</v>
      </c>
      <c r="I223" s="7">
        <f ca="1">IFERROR(__xludf.DUMMYFUNCTION("""COMPUTED_VALUE"""),1009)</f>
        <v>1009</v>
      </c>
      <c r="J223" s="7">
        <f ca="1">IFERROR(__xludf.DUMMYFUNCTION("""COMPUTED_VALUE"""),13202)</f>
        <v>13202</v>
      </c>
      <c r="K223" s="7">
        <f ca="1">IFERROR(__xludf.DUMMYFUNCTION("""COMPUTED_VALUE"""),1042)</f>
        <v>1042</v>
      </c>
      <c r="L223" s="7">
        <f ca="1">IFERROR(__xludf.DUMMYFUNCTION("""COMPUTED_VALUE"""),7041)</f>
        <v>7041</v>
      </c>
      <c r="M223" s="7">
        <f ca="1">IFERROR(__xludf.DUMMYFUNCTION("""COMPUTED_VALUE"""),3280)</f>
        <v>3280</v>
      </c>
      <c r="N223" s="7">
        <f ca="1">IFERROR(__xludf.DUMMYFUNCTION("""COMPUTED_VALUE"""),2881)</f>
        <v>2881</v>
      </c>
    </row>
    <row r="224" spans="1:14" ht="13.2" x14ac:dyDescent="0.25">
      <c r="A224" s="6">
        <f ca="1">IFERROR(__xludf.DUMMYFUNCTION("""COMPUTED_VALUE"""),44113)</f>
        <v>44113</v>
      </c>
      <c r="B224" s="7">
        <f ca="1">IFERROR(__xludf.DUMMYFUNCTION("""COMPUTED_VALUE"""),8)</f>
        <v>8</v>
      </c>
      <c r="C224" s="8">
        <f ca="1">IFERROR(__xludf.DUMMYFUNCTION("""COMPUTED_VALUE"""),44113.3333333333)</f>
        <v>44113.333333333299</v>
      </c>
      <c r="D224" s="7">
        <f ca="1">IFERROR(__xludf.DUMMYFUNCTION("""COMPUTED_VALUE"""),1860)</f>
        <v>1860</v>
      </c>
      <c r="E224" s="7">
        <f ca="1">IFERROR(__xludf.DUMMYFUNCTION("""COMPUTED_VALUE"""),69203)</f>
        <v>69203</v>
      </c>
      <c r="F224" s="7">
        <f ca="1">IFERROR(__xludf.DUMMYFUNCTION("""COMPUTED_VALUE"""),10746)</f>
        <v>10746</v>
      </c>
      <c r="G224" s="7">
        <f ca="1">IFERROR(__xludf.DUMMYFUNCTION("""COMPUTED_VALUE"""),2555)</f>
        <v>2555</v>
      </c>
      <c r="H224" s="7">
        <f ca="1">IFERROR(__xludf.DUMMYFUNCTION("""COMPUTED_VALUE"""),84364)</f>
        <v>84364</v>
      </c>
      <c r="I224" s="7">
        <f ca="1">IFERROR(__xludf.DUMMYFUNCTION("""COMPUTED_VALUE"""),972)</f>
        <v>972</v>
      </c>
      <c r="J224" s="7">
        <f ca="1">IFERROR(__xludf.DUMMYFUNCTION("""COMPUTED_VALUE"""),13301)</f>
        <v>13301</v>
      </c>
      <c r="K224" s="7">
        <f ca="1">IFERROR(__xludf.DUMMYFUNCTION("""COMPUTED_VALUE"""),851)</f>
        <v>851</v>
      </c>
      <c r="L224" s="7">
        <f ca="1">IFERROR(__xludf.DUMMYFUNCTION("""COMPUTED_VALUE"""),7008)</f>
        <v>7008</v>
      </c>
      <c r="M224" s="7">
        <f ca="1">IFERROR(__xludf.DUMMYFUNCTION("""COMPUTED_VALUE"""),3362)</f>
        <v>3362</v>
      </c>
      <c r="N224" s="7">
        <f ca="1">IFERROR(__xludf.DUMMYFUNCTION("""COMPUTED_VALUE"""),2931)</f>
        <v>2931</v>
      </c>
    </row>
    <row r="225" spans="1:14" ht="13.2" x14ac:dyDescent="0.25">
      <c r="A225" s="6">
        <f ca="1">IFERROR(__xludf.DUMMYFUNCTION("""COMPUTED_VALUE"""),44114)</f>
        <v>44114</v>
      </c>
      <c r="B225" s="7">
        <f ca="1">IFERROR(__xludf.DUMMYFUNCTION("""COMPUTED_VALUE"""),8)</f>
        <v>8</v>
      </c>
      <c r="C225" s="8">
        <f ca="1">IFERROR(__xludf.DUMMYFUNCTION("""COMPUTED_VALUE"""),44114.3333333333)</f>
        <v>44114.333333333299</v>
      </c>
      <c r="D225" s="7">
        <f ca="1">IFERROR(__xludf.DUMMYFUNCTION("""COMPUTED_VALUE"""),1877)</f>
        <v>1877</v>
      </c>
      <c r="E225" s="7">
        <f ca="1">IFERROR(__xludf.DUMMYFUNCTION("""COMPUTED_VALUE"""),70487)</f>
        <v>70487</v>
      </c>
      <c r="F225" s="7">
        <f ca="1">IFERROR(__xludf.DUMMYFUNCTION("""COMPUTED_VALUE"""),10698)</f>
        <v>10698</v>
      </c>
      <c r="G225" s="7">
        <f ca="1">IFERROR(__xludf.DUMMYFUNCTION("""COMPUTED_VALUE"""),2555)</f>
        <v>2555</v>
      </c>
      <c r="H225" s="7">
        <f ca="1">IFERROR(__xludf.DUMMYFUNCTION("""COMPUTED_VALUE"""),85617)</f>
        <v>85617</v>
      </c>
      <c r="I225" s="7">
        <f ca="1">IFERROR(__xludf.DUMMYFUNCTION("""COMPUTED_VALUE"""),1253)</f>
        <v>1253</v>
      </c>
      <c r="J225" s="7">
        <f ca="1">IFERROR(__xludf.DUMMYFUNCTION("""COMPUTED_VALUE"""),13253)</f>
        <v>13253</v>
      </c>
      <c r="K225" s="7">
        <f ca="1">IFERROR(__xludf.DUMMYFUNCTION("""COMPUTED_VALUE"""),1284)</f>
        <v>1284</v>
      </c>
      <c r="L225" s="7">
        <f ca="1">IFERROR(__xludf.DUMMYFUNCTION("""COMPUTED_VALUE"""),6779)</f>
        <v>6779</v>
      </c>
      <c r="M225" s="7">
        <f ca="1">IFERROR(__xludf.DUMMYFUNCTION("""COMPUTED_VALUE"""),3164)</f>
        <v>3164</v>
      </c>
      <c r="N225" s="7">
        <f ca="1">IFERROR(__xludf.DUMMYFUNCTION("""COMPUTED_VALUE"""),3310)</f>
        <v>3310</v>
      </c>
    </row>
    <row r="226" spans="1:14" ht="13.2" x14ac:dyDescent="0.25">
      <c r="A226" s="6">
        <f ca="1">IFERROR(__xludf.DUMMYFUNCTION("""COMPUTED_VALUE"""),44115)</f>
        <v>44115</v>
      </c>
      <c r="B226" s="7">
        <f ca="1">IFERROR(__xludf.DUMMYFUNCTION("""COMPUTED_VALUE"""),8)</f>
        <v>8</v>
      </c>
      <c r="C226" s="8">
        <f ca="1">IFERROR(__xludf.DUMMYFUNCTION("""COMPUTED_VALUE"""),44115.3333333333)</f>
        <v>44115.333333333299</v>
      </c>
      <c r="D226" s="7">
        <f ca="1">IFERROR(__xludf.DUMMYFUNCTION("""COMPUTED_VALUE"""),1901)</f>
        <v>1901</v>
      </c>
      <c r="E226" s="7">
        <f ca="1">IFERROR(__xludf.DUMMYFUNCTION("""COMPUTED_VALUE"""),71549)</f>
        <v>71549</v>
      </c>
      <c r="F226" s="7">
        <f ca="1">IFERROR(__xludf.DUMMYFUNCTION("""COMPUTED_VALUE"""),10863)</f>
        <v>10863</v>
      </c>
      <c r="G226" s="7">
        <f ca="1">IFERROR(__xludf.DUMMYFUNCTION("""COMPUTED_VALUE"""),2693)</f>
        <v>2693</v>
      </c>
      <c r="H226" s="7">
        <f ca="1">IFERROR(__xludf.DUMMYFUNCTION("""COMPUTED_VALUE"""),87006)</f>
        <v>87006</v>
      </c>
      <c r="I226" s="7">
        <f ca="1">IFERROR(__xludf.DUMMYFUNCTION("""COMPUTED_VALUE"""),1389)</f>
        <v>1389</v>
      </c>
      <c r="J226" s="7">
        <f ca="1">IFERROR(__xludf.DUMMYFUNCTION("""COMPUTED_VALUE"""),13556)</f>
        <v>13556</v>
      </c>
      <c r="K226" s="7">
        <f ca="1">IFERROR(__xludf.DUMMYFUNCTION("""COMPUTED_VALUE"""),1062)</f>
        <v>1062</v>
      </c>
      <c r="L226" s="7">
        <f ca="1">IFERROR(__xludf.DUMMYFUNCTION("""COMPUTED_VALUE"""),6802)</f>
        <v>6802</v>
      </c>
      <c r="M226" s="7">
        <f ca="1">IFERROR(__xludf.DUMMYFUNCTION("""COMPUTED_VALUE"""),4018)</f>
        <v>4018</v>
      </c>
      <c r="N226" s="7">
        <f ca="1">IFERROR(__xludf.DUMMYFUNCTION("""COMPUTED_VALUE"""),2736)</f>
        <v>2736</v>
      </c>
    </row>
    <row r="227" spans="1:14" ht="13.2" x14ac:dyDescent="0.25">
      <c r="A227" s="6">
        <f ca="1">IFERROR(__xludf.DUMMYFUNCTION("""COMPUTED_VALUE"""),44116)</f>
        <v>44116</v>
      </c>
      <c r="B227" s="7">
        <f ca="1">IFERROR(__xludf.DUMMYFUNCTION("""COMPUTED_VALUE"""),8)</f>
        <v>8</v>
      </c>
      <c r="C227" s="8">
        <f ca="1">IFERROR(__xludf.DUMMYFUNCTION("""COMPUTED_VALUE"""),44116.3333333333)</f>
        <v>44116.333333333299</v>
      </c>
      <c r="D227" s="7">
        <f ca="1">IFERROR(__xludf.DUMMYFUNCTION("""COMPUTED_VALUE"""),1922)</f>
        <v>1922</v>
      </c>
      <c r="E227" s="7">
        <f ca="1">IFERROR(__xludf.DUMMYFUNCTION("""COMPUTED_VALUE"""),72633)</f>
        <v>72633</v>
      </c>
      <c r="F227" s="7">
        <f ca="1">IFERROR(__xludf.DUMMYFUNCTION("""COMPUTED_VALUE"""),10814)</f>
        <v>10814</v>
      </c>
      <c r="G227" s="7">
        <f ca="1">IFERROR(__xludf.DUMMYFUNCTION("""COMPUTED_VALUE"""),2805)</f>
        <v>2805</v>
      </c>
      <c r="H227" s="7">
        <f ca="1">IFERROR(__xludf.DUMMYFUNCTION("""COMPUTED_VALUE"""),88174)</f>
        <v>88174</v>
      </c>
      <c r="I227" s="7">
        <f ca="1">IFERROR(__xludf.DUMMYFUNCTION("""COMPUTED_VALUE"""),1168)</f>
        <v>1168</v>
      </c>
      <c r="J227" s="7">
        <f ca="1">IFERROR(__xludf.DUMMYFUNCTION("""COMPUTED_VALUE"""),13619)</f>
        <v>13619</v>
      </c>
      <c r="K227" s="7">
        <f ca="1">IFERROR(__xludf.DUMMYFUNCTION("""COMPUTED_VALUE"""),1084)</f>
        <v>1084</v>
      </c>
      <c r="L227" s="7">
        <f ca="1">IFERROR(__xludf.DUMMYFUNCTION("""COMPUTED_VALUE"""),6867)</f>
        <v>6867</v>
      </c>
      <c r="M227" s="7">
        <f ca="1">IFERROR(__xludf.DUMMYFUNCTION("""COMPUTED_VALUE"""),4160)</f>
        <v>4160</v>
      </c>
      <c r="N227" s="7">
        <f ca="1">IFERROR(__xludf.DUMMYFUNCTION("""COMPUTED_VALUE"""),2592)</f>
        <v>2592</v>
      </c>
    </row>
    <row r="228" spans="1:14" ht="13.2" x14ac:dyDescent="0.25">
      <c r="A228" s="6">
        <f ca="1">IFERROR(__xludf.DUMMYFUNCTION("""COMPUTED_VALUE"""),44117)</f>
        <v>44117</v>
      </c>
      <c r="B228" s="7">
        <f ca="1">IFERROR(__xludf.DUMMYFUNCTION("""COMPUTED_VALUE"""),8)</f>
        <v>8</v>
      </c>
      <c r="C228" s="8">
        <f ca="1">IFERROR(__xludf.DUMMYFUNCTION("""COMPUTED_VALUE"""),44117.3333333333)</f>
        <v>44117.333333333299</v>
      </c>
      <c r="D228" s="7">
        <f ca="1">IFERROR(__xludf.DUMMYFUNCTION("""COMPUTED_VALUE"""),1944)</f>
        <v>1944</v>
      </c>
      <c r="E228" s="7">
        <f ca="1">IFERROR(__xludf.DUMMYFUNCTION("""COMPUTED_VALUE"""),73733)</f>
        <v>73733</v>
      </c>
      <c r="F228" s="7">
        <f ca="1">IFERROR(__xludf.DUMMYFUNCTION("""COMPUTED_VALUE"""),10908)</f>
        <v>10908</v>
      </c>
      <c r="G228" s="7">
        <f ca="1">IFERROR(__xludf.DUMMYFUNCTION("""COMPUTED_VALUE"""),2643)</f>
        <v>2643</v>
      </c>
      <c r="H228" s="7">
        <f ca="1">IFERROR(__xludf.DUMMYFUNCTION("""COMPUTED_VALUE"""),89228)</f>
        <v>89228</v>
      </c>
      <c r="I228" s="7">
        <f ca="1">IFERROR(__xludf.DUMMYFUNCTION("""COMPUTED_VALUE"""),1054)</f>
        <v>1054</v>
      </c>
      <c r="J228" s="7">
        <f ca="1">IFERROR(__xludf.DUMMYFUNCTION("""COMPUTED_VALUE"""),13551)</f>
        <v>13551</v>
      </c>
      <c r="K228" s="7">
        <f ca="1">IFERROR(__xludf.DUMMYFUNCTION("""COMPUTED_VALUE"""),1100)</f>
        <v>1100</v>
      </c>
      <c r="L228" s="7">
        <f ca="1">IFERROR(__xludf.DUMMYFUNCTION("""COMPUTED_VALUE"""),7393)</f>
        <v>7393</v>
      </c>
      <c r="M228" s="7">
        <f ca="1">IFERROR(__xludf.DUMMYFUNCTION("""COMPUTED_VALUE"""),4150)</f>
        <v>4150</v>
      </c>
      <c r="N228" s="7">
        <f ca="1">IFERROR(__xludf.DUMMYFUNCTION("""COMPUTED_VALUE"""),2008)</f>
        <v>2008</v>
      </c>
    </row>
    <row r="229" spans="1:14" ht="13.2" x14ac:dyDescent="0.25">
      <c r="A229" s="6">
        <f ca="1">IFERROR(__xludf.DUMMYFUNCTION("""COMPUTED_VALUE"""),44118)</f>
        <v>44118</v>
      </c>
      <c r="B229" s="7">
        <f ca="1">IFERROR(__xludf.DUMMYFUNCTION("""COMPUTED_VALUE"""),8)</f>
        <v>8</v>
      </c>
      <c r="C229" s="8">
        <f ca="1">IFERROR(__xludf.DUMMYFUNCTION("""COMPUTED_VALUE"""),44118.3333333333)</f>
        <v>44118.333333333299</v>
      </c>
      <c r="D229" s="7">
        <f ca="1">IFERROR(__xludf.DUMMYFUNCTION("""COMPUTED_VALUE"""),1961)</f>
        <v>1961</v>
      </c>
      <c r="E229" s="7">
        <f ca="1">IFERROR(__xludf.DUMMYFUNCTION("""COMPUTED_VALUE"""),74924)</f>
        <v>74924</v>
      </c>
      <c r="F229" s="7">
        <f ca="1">IFERROR(__xludf.DUMMYFUNCTION("""COMPUTED_VALUE"""),10822)</f>
        <v>10822</v>
      </c>
      <c r="G229" s="7">
        <f ca="1">IFERROR(__xludf.DUMMYFUNCTION("""COMPUTED_VALUE"""),2559)</f>
        <v>2559</v>
      </c>
      <c r="H229" s="7">
        <f ca="1">IFERROR(__xludf.DUMMYFUNCTION("""COMPUTED_VALUE"""),90266)</f>
        <v>90266</v>
      </c>
      <c r="I229" s="7">
        <f ca="1">IFERROR(__xludf.DUMMYFUNCTION("""COMPUTED_VALUE"""),1038)</f>
        <v>1038</v>
      </c>
      <c r="J229" s="7">
        <f ca="1">IFERROR(__xludf.DUMMYFUNCTION("""COMPUTED_VALUE"""),13381)</f>
        <v>13381</v>
      </c>
      <c r="K229" s="7">
        <f ca="1">IFERROR(__xludf.DUMMYFUNCTION("""COMPUTED_VALUE"""),1191)</f>
        <v>1191</v>
      </c>
      <c r="L229" s="7">
        <f ca="1">IFERROR(__xludf.DUMMYFUNCTION("""COMPUTED_VALUE"""),7023)</f>
        <v>7023</v>
      </c>
      <c r="M229" s="7">
        <f ca="1">IFERROR(__xludf.DUMMYFUNCTION("""COMPUTED_VALUE"""),4633)</f>
        <v>4633</v>
      </c>
      <c r="N229" s="7">
        <f ca="1">IFERROR(__xludf.DUMMYFUNCTION("""COMPUTED_VALUE"""),1725)</f>
        <v>1725</v>
      </c>
    </row>
    <row r="230" spans="1:14" ht="13.2" x14ac:dyDescent="0.25">
      <c r="A230" s="6">
        <f ca="1">IFERROR(__xludf.DUMMYFUNCTION("""COMPUTED_VALUE"""),44119)</f>
        <v>44119</v>
      </c>
      <c r="B230" s="7">
        <f ca="1">IFERROR(__xludf.DUMMYFUNCTION("""COMPUTED_VALUE"""),8)</f>
        <v>8</v>
      </c>
      <c r="C230" s="8">
        <f ca="1">IFERROR(__xludf.DUMMYFUNCTION("""COMPUTED_VALUE"""),44119.3333333333)</f>
        <v>44119.333333333299</v>
      </c>
      <c r="D230" s="7">
        <f ca="1">IFERROR(__xludf.DUMMYFUNCTION("""COMPUTED_VALUE"""),1984)</f>
        <v>1984</v>
      </c>
      <c r="E230" s="7">
        <f ca="1">IFERROR(__xludf.DUMMYFUNCTION("""COMPUTED_VALUE"""),75974)</f>
        <v>75974</v>
      </c>
      <c r="F230" s="7">
        <f ca="1">IFERROR(__xludf.DUMMYFUNCTION("""COMPUTED_VALUE"""),10636)</f>
        <v>10636</v>
      </c>
      <c r="G230" s="7">
        <f ca="1">IFERROR(__xludf.DUMMYFUNCTION("""COMPUTED_VALUE"""),2743)</f>
        <v>2743</v>
      </c>
      <c r="H230" s="7">
        <f ca="1">IFERROR(__xludf.DUMMYFUNCTION("""COMPUTED_VALUE"""),91337)</f>
        <v>91337</v>
      </c>
      <c r="I230" s="7">
        <f ca="1">IFERROR(__xludf.DUMMYFUNCTION("""COMPUTED_VALUE"""),1071)</f>
        <v>1071</v>
      </c>
      <c r="J230" s="7">
        <f ca="1">IFERROR(__xludf.DUMMYFUNCTION("""COMPUTED_VALUE"""),13379)</f>
        <v>13379</v>
      </c>
      <c r="K230" s="7">
        <f ca="1">IFERROR(__xludf.DUMMYFUNCTION("""COMPUTED_VALUE"""),1050)</f>
        <v>1050</v>
      </c>
      <c r="L230" s="7">
        <f ca="1">IFERROR(__xludf.DUMMYFUNCTION("""COMPUTED_VALUE"""),6900)</f>
        <v>6900</v>
      </c>
      <c r="M230" s="7">
        <f ca="1">IFERROR(__xludf.DUMMYFUNCTION("""COMPUTED_VALUE"""),4804)</f>
        <v>4804</v>
      </c>
      <c r="N230" s="7">
        <f ca="1">IFERROR(__xludf.DUMMYFUNCTION("""COMPUTED_VALUE"""),1675)</f>
        <v>1675</v>
      </c>
    </row>
    <row r="231" spans="1:14" ht="13.2" x14ac:dyDescent="0.25">
      <c r="A231" s="6">
        <f ca="1">IFERROR(__xludf.DUMMYFUNCTION("""COMPUTED_VALUE"""),44120)</f>
        <v>44120</v>
      </c>
      <c r="B231" s="7">
        <f ca="1">IFERROR(__xludf.DUMMYFUNCTION("""COMPUTED_VALUE"""),8)</f>
        <v>8</v>
      </c>
      <c r="C231" s="8">
        <f ca="1">IFERROR(__xludf.DUMMYFUNCTION("""COMPUTED_VALUE"""),44120.3333333333)</f>
        <v>44120.333333333299</v>
      </c>
      <c r="D231" s="7">
        <f ca="1">IFERROR(__xludf.DUMMYFUNCTION("""COMPUTED_VALUE"""),2008)</f>
        <v>2008</v>
      </c>
      <c r="E231" s="7">
        <f ca="1">IFERROR(__xludf.DUMMYFUNCTION("""COMPUTED_VALUE"""),76956)</f>
        <v>76956</v>
      </c>
      <c r="F231" s="7">
        <f ca="1">IFERROR(__xludf.DUMMYFUNCTION("""COMPUTED_VALUE"""),10498)</f>
        <v>10498</v>
      </c>
      <c r="G231" s="7">
        <f ca="1">IFERROR(__xludf.DUMMYFUNCTION("""COMPUTED_VALUE"""),2920)</f>
        <v>2920</v>
      </c>
      <c r="H231" s="7">
        <f ca="1">IFERROR(__xludf.DUMMYFUNCTION("""COMPUTED_VALUE"""),92382)</f>
        <v>92382</v>
      </c>
      <c r="I231" s="7">
        <f ca="1">IFERROR(__xludf.DUMMYFUNCTION("""COMPUTED_VALUE"""),1045)</f>
        <v>1045</v>
      </c>
      <c r="J231" s="7">
        <f ca="1">IFERROR(__xludf.DUMMYFUNCTION("""COMPUTED_VALUE"""),13418)</f>
        <v>13418</v>
      </c>
      <c r="K231" s="7">
        <f ca="1">IFERROR(__xludf.DUMMYFUNCTION("""COMPUTED_VALUE"""),982)</f>
        <v>982</v>
      </c>
      <c r="L231" s="7">
        <f ca="1">IFERROR(__xludf.DUMMYFUNCTION("""COMPUTED_VALUE"""),6753)</f>
        <v>6753</v>
      </c>
      <c r="M231" s="7">
        <f ca="1">IFERROR(__xludf.DUMMYFUNCTION("""COMPUTED_VALUE"""),5174)</f>
        <v>5174</v>
      </c>
      <c r="N231" s="7">
        <f ca="1">IFERROR(__xludf.DUMMYFUNCTION("""COMPUTED_VALUE"""),1491)</f>
        <v>1491</v>
      </c>
    </row>
    <row r="232" spans="1:14" ht="13.2" x14ac:dyDescent="0.25">
      <c r="A232" s="6">
        <f ca="1">IFERROR(__xludf.DUMMYFUNCTION("""COMPUTED_VALUE"""),44121)</f>
        <v>44121</v>
      </c>
      <c r="B232" s="7">
        <f ca="1">IFERROR(__xludf.DUMMYFUNCTION("""COMPUTED_VALUE"""),8)</f>
        <v>8</v>
      </c>
      <c r="C232" s="8">
        <f ca="1">IFERROR(__xludf.DUMMYFUNCTION("""COMPUTED_VALUE"""),44121.3333333333)</f>
        <v>44121.333333333299</v>
      </c>
      <c r="D232" s="7">
        <f ca="1">IFERROR(__xludf.DUMMYFUNCTION("""COMPUTED_VALUE"""),2032)</f>
        <v>2032</v>
      </c>
      <c r="E232" s="7">
        <f ca="1">IFERROR(__xludf.DUMMYFUNCTION("""COMPUTED_VALUE"""),78062)</f>
        <v>78062</v>
      </c>
      <c r="F232" s="7">
        <f ca="1">IFERROR(__xludf.DUMMYFUNCTION("""COMPUTED_VALUE"""),10591)</f>
        <v>10591</v>
      </c>
      <c r="G232" s="7">
        <f ca="1">IFERROR(__xludf.DUMMYFUNCTION("""COMPUTED_VALUE"""),2671)</f>
        <v>2671</v>
      </c>
      <c r="H232" s="7">
        <f ca="1">IFERROR(__xludf.DUMMYFUNCTION("""COMPUTED_VALUE"""),93356)</f>
        <v>93356</v>
      </c>
      <c r="I232" s="7">
        <f ca="1">IFERROR(__xludf.DUMMYFUNCTION("""COMPUTED_VALUE"""),974)</f>
        <v>974</v>
      </c>
      <c r="J232" s="7">
        <f ca="1">IFERROR(__xludf.DUMMYFUNCTION("""COMPUTED_VALUE"""),13262)</f>
        <v>13262</v>
      </c>
      <c r="K232" s="7">
        <f ca="1">IFERROR(__xludf.DUMMYFUNCTION("""COMPUTED_VALUE"""),1106)</f>
        <v>1106</v>
      </c>
      <c r="L232" s="7">
        <f ca="1">IFERROR(__xludf.DUMMYFUNCTION("""COMPUTED_VALUE"""),6376)</f>
        <v>6376</v>
      </c>
      <c r="M232" s="7">
        <f ca="1">IFERROR(__xludf.DUMMYFUNCTION("""COMPUTED_VALUE"""),5611)</f>
        <v>5611</v>
      </c>
      <c r="N232" s="7">
        <f ca="1">IFERROR(__xludf.DUMMYFUNCTION("""COMPUTED_VALUE"""),1275)</f>
        <v>1275</v>
      </c>
    </row>
    <row r="233" spans="1:14" ht="13.2" x14ac:dyDescent="0.25">
      <c r="A233" s="6">
        <f ca="1">IFERROR(__xludf.DUMMYFUNCTION("""COMPUTED_VALUE"""),44122)</f>
        <v>44122</v>
      </c>
      <c r="B233" s="7">
        <f ca="1">IFERROR(__xludf.DUMMYFUNCTION("""COMPUTED_VALUE"""),8)</f>
        <v>8</v>
      </c>
      <c r="C233" s="8">
        <f ca="1">IFERROR(__xludf.DUMMYFUNCTION("""COMPUTED_VALUE"""),44122.3333333333)</f>
        <v>44122.333333333299</v>
      </c>
      <c r="D233" s="7">
        <f ca="1">IFERROR(__xludf.DUMMYFUNCTION("""COMPUTED_VALUE"""),2051)</f>
        <v>2051</v>
      </c>
      <c r="E233" s="7">
        <f ca="1">IFERROR(__xludf.DUMMYFUNCTION("""COMPUTED_VALUE"""),79136)</f>
        <v>79136</v>
      </c>
      <c r="F233" s="7">
        <f ca="1">IFERROR(__xludf.DUMMYFUNCTION("""COMPUTED_VALUE"""),10782)</f>
        <v>10782</v>
      </c>
      <c r="G233" s="7">
        <f ca="1">IFERROR(__xludf.DUMMYFUNCTION("""COMPUTED_VALUE"""),2358)</f>
        <v>2358</v>
      </c>
      <c r="H233" s="7">
        <f ca="1">IFERROR(__xludf.DUMMYFUNCTION("""COMPUTED_VALUE"""),94327)</f>
        <v>94327</v>
      </c>
      <c r="I233" s="7">
        <f ca="1">IFERROR(__xludf.DUMMYFUNCTION("""COMPUTED_VALUE"""),971)</f>
        <v>971</v>
      </c>
      <c r="J233" s="7">
        <f ca="1">IFERROR(__xludf.DUMMYFUNCTION("""COMPUTED_VALUE"""),13140)</f>
        <v>13140</v>
      </c>
      <c r="K233" s="7">
        <f ca="1">IFERROR(__xludf.DUMMYFUNCTION("""COMPUTED_VALUE"""),1074)</f>
        <v>1074</v>
      </c>
      <c r="L233" s="7">
        <f ca="1">IFERROR(__xludf.DUMMYFUNCTION("""COMPUTED_VALUE"""),6505)</f>
        <v>6505</v>
      </c>
      <c r="M233" s="7">
        <f ca="1">IFERROR(__xludf.DUMMYFUNCTION("""COMPUTED_VALUE"""),5891)</f>
        <v>5891</v>
      </c>
      <c r="N233" s="7">
        <f ca="1">IFERROR(__xludf.DUMMYFUNCTION("""COMPUTED_VALUE"""),744)</f>
        <v>744</v>
      </c>
    </row>
    <row r="234" spans="1:14" ht="13.2" x14ac:dyDescent="0.25">
      <c r="A234" s="6">
        <f ca="1">IFERROR(__xludf.DUMMYFUNCTION("""COMPUTED_VALUE"""),44123)</f>
        <v>44123</v>
      </c>
      <c r="B234" s="7">
        <f ca="1">IFERROR(__xludf.DUMMYFUNCTION("""COMPUTED_VALUE"""),8)</f>
        <v>8</v>
      </c>
      <c r="C234" s="8">
        <f ca="1">IFERROR(__xludf.DUMMYFUNCTION("""COMPUTED_VALUE"""),44123.3333333333)</f>
        <v>44123.333333333299</v>
      </c>
      <c r="D234" s="7">
        <f ca="1">IFERROR(__xludf.DUMMYFUNCTION("""COMPUTED_VALUE"""),2064)</f>
        <v>2064</v>
      </c>
      <c r="E234" s="7">
        <f ca="1">IFERROR(__xludf.DUMMYFUNCTION("""COMPUTED_VALUE"""),80261)</f>
        <v>80261</v>
      </c>
      <c r="F234" s="7">
        <f ca="1">IFERROR(__xludf.DUMMYFUNCTION("""COMPUTED_VALUE"""),10325)</f>
        <v>10325</v>
      </c>
      <c r="G234" s="7">
        <f ca="1">IFERROR(__xludf.DUMMYFUNCTION("""COMPUTED_VALUE"""),2603)</f>
        <v>2603</v>
      </c>
      <c r="H234" s="7">
        <f ca="1">IFERROR(__xludf.DUMMYFUNCTION("""COMPUTED_VALUE"""),95253)</f>
        <v>95253</v>
      </c>
      <c r="I234" s="7">
        <f ca="1">IFERROR(__xludf.DUMMYFUNCTION("""COMPUTED_VALUE"""),926)</f>
        <v>926</v>
      </c>
      <c r="J234" s="7">
        <f ca="1">IFERROR(__xludf.DUMMYFUNCTION("""COMPUTED_VALUE"""),12928)</f>
        <v>12928</v>
      </c>
      <c r="K234" s="7">
        <f ca="1">IFERROR(__xludf.DUMMYFUNCTION("""COMPUTED_VALUE"""),1125)</f>
        <v>1125</v>
      </c>
      <c r="L234" s="7">
        <f ca="1">IFERROR(__xludf.DUMMYFUNCTION("""COMPUTED_VALUE"""),6185)</f>
        <v>6185</v>
      </c>
      <c r="M234" s="7">
        <f ca="1">IFERROR(__xludf.DUMMYFUNCTION("""COMPUTED_VALUE"""),5755)</f>
        <v>5755</v>
      </c>
      <c r="N234" s="7">
        <f ca="1">IFERROR(__xludf.DUMMYFUNCTION("""COMPUTED_VALUE"""),988)</f>
        <v>988</v>
      </c>
    </row>
    <row r="235" spans="1:14" ht="13.2" x14ac:dyDescent="0.25">
      <c r="A235" s="6">
        <f ca="1">IFERROR(__xludf.DUMMYFUNCTION("""COMPUTED_VALUE"""),44124)</f>
        <v>44124</v>
      </c>
      <c r="B235" s="7">
        <f ca="1">IFERROR(__xludf.DUMMYFUNCTION("""COMPUTED_VALUE"""),8)</f>
        <v>8</v>
      </c>
      <c r="C235" s="8">
        <f ca="1">IFERROR(__xludf.DUMMYFUNCTION("""COMPUTED_VALUE"""),44124.3333333333)</f>
        <v>44124.333333333299</v>
      </c>
      <c r="D235" s="7">
        <f ca="1">IFERROR(__xludf.DUMMYFUNCTION("""COMPUTED_VALUE"""),2086)</f>
        <v>2086</v>
      </c>
      <c r="E235" s="7">
        <f ca="1">IFERROR(__xludf.DUMMYFUNCTION("""COMPUTED_VALUE"""),81107)</f>
        <v>81107</v>
      </c>
      <c r="F235" s="7">
        <f ca="1">IFERROR(__xludf.DUMMYFUNCTION("""COMPUTED_VALUE"""),10292)</f>
        <v>10292</v>
      </c>
      <c r="G235" s="7">
        <f ca="1">IFERROR(__xludf.DUMMYFUNCTION("""COMPUTED_VALUE"""),2732)</f>
        <v>2732</v>
      </c>
      <c r="H235" s="7">
        <f ca="1">IFERROR(__xludf.DUMMYFUNCTION("""COMPUTED_VALUE"""),96217)</f>
        <v>96217</v>
      </c>
      <c r="I235" s="7">
        <f ca="1">IFERROR(__xludf.DUMMYFUNCTION("""COMPUTED_VALUE"""),964)</f>
        <v>964</v>
      </c>
      <c r="J235" s="7">
        <f ca="1">IFERROR(__xludf.DUMMYFUNCTION("""COMPUTED_VALUE"""),13024)</f>
        <v>13024</v>
      </c>
      <c r="K235" s="7">
        <f ca="1">IFERROR(__xludf.DUMMYFUNCTION("""COMPUTED_VALUE"""),846)</f>
        <v>846</v>
      </c>
      <c r="L235" s="7">
        <f ca="1">IFERROR(__xludf.DUMMYFUNCTION("""COMPUTED_VALUE"""),6557)</f>
        <v>6557</v>
      </c>
      <c r="M235" s="7">
        <f ca="1">IFERROR(__xludf.DUMMYFUNCTION("""COMPUTED_VALUE"""),5747)</f>
        <v>5747</v>
      </c>
      <c r="N235" s="7">
        <f ca="1">IFERROR(__xludf.DUMMYFUNCTION("""COMPUTED_VALUE"""),720)</f>
        <v>720</v>
      </c>
    </row>
    <row r="236" spans="1:14" ht="13.2" x14ac:dyDescent="0.25">
      <c r="A236" s="6">
        <f ca="1">IFERROR(__xludf.DUMMYFUNCTION("""COMPUTED_VALUE"""),44125)</f>
        <v>44125</v>
      </c>
      <c r="B236" s="7">
        <f ca="1">IFERROR(__xludf.DUMMYFUNCTION("""COMPUTED_VALUE"""),8)</f>
        <v>8</v>
      </c>
      <c r="C236" s="8">
        <f ca="1">IFERROR(__xludf.DUMMYFUNCTION("""COMPUTED_VALUE"""),44125.3333333333)</f>
        <v>44125.333333333299</v>
      </c>
      <c r="D236" s="7">
        <f ca="1">IFERROR(__xludf.DUMMYFUNCTION("""COMPUTED_VALUE"""),2105)</f>
        <v>2105</v>
      </c>
      <c r="E236" s="7">
        <f ca="1">IFERROR(__xludf.DUMMYFUNCTION("""COMPUTED_VALUE"""),82178)</f>
        <v>82178</v>
      </c>
      <c r="F236" s="7">
        <f ca="1">IFERROR(__xludf.DUMMYFUNCTION("""COMPUTED_VALUE"""),10273)</f>
        <v>10273</v>
      </c>
      <c r="G236" s="7">
        <f ca="1">IFERROR(__xludf.DUMMYFUNCTION("""COMPUTED_VALUE"""),2661)</f>
        <v>2661</v>
      </c>
      <c r="H236" s="7">
        <f ca="1">IFERROR(__xludf.DUMMYFUNCTION("""COMPUTED_VALUE"""),97217)</f>
        <v>97217</v>
      </c>
      <c r="I236" s="7">
        <f ca="1">IFERROR(__xludf.DUMMYFUNCTION("""COMPUTED_VALUE"""),1000)</f>
        <v>1000</v>
      </c>
      <c r="J236" s="7">
        <f ca="1">IFERROR(__xludf.DUMMYFUNCTION("""COMPUTED_VALUE"""),12934)</f>
        <v>12934</v>
      </c>
      <c r="K236" s="7">
        <f ca="1">IFERROR(__xludf.DUMMYFUNCTION("""COMPUTED_VALUE"""),1071)</f>
        <v>1071</v>
      </c>
      <c r="L236" s="7">
        <f ca="1">IFERROR(__xludf.DUMMYFUNCTION("""COMPUTED_VALUE"""),6577)</f>
        <v>6577</v>
      </c>
      <c r="M236" s="7">
        <f ca="1">IFERROR(__xludf.DUMMYFUNCTION("""COMPUTED_VALUE"""),5568)</f>
        <v>5568</v>
      </c>
      <c r="N236" s="7">
        <f ca="1">IFERROR(__xludf.DUMMYFUNCTION("""COMPUTED_VALUE"""),789)</f>
        <v>789</v>
      </c>
    </row>
    <row r="237" spans="1:14" ht="13.2" x14ac:dyDescent="0.25">
      <c r="A237" s="6">
        <f ca="1">IFERROR(__xludf.DUMMYFUNCTION("""COMPUTED_VALUE"""),44126)</f>
        <v>44126</v>
      </c>
      <c r="B237" s="7">
        <f ca="1">IFERROR(__xludf.DUMMYFUNCTION("""COMPUTED_VALUE"""),8)</f>
        <v>8</v>
      </c>
      <c r="C237" s="8">
        <f ca="1">IFERROR(__xludf.DUMMYFUNCTION("""COMPUTED_VALUE"""),44126.3333333333)</f>
        <v>44126.333333333299</v>
      </c>
      <c r="D237" s="7">
        <f ca="1">IFERROR(__xludf.DUMMYFUNCTION("""COMPUTED_VALUE"""),2120)</f>
        <v>2120</v>
      </c>
      <c r="E237" s="7">
        <f ca="1">IFERROR(__xludf.DUMMYFUNCTION("""COMPUTED_VALUE"""),83338)</f>
        <v>83338</v>
      </c>
      <c r="F237" s="7">
        <f ca="1">IFERROR(__xludf.DUMMYFUNCTION("""COMPUTED_VALUE"""),9980)</f>
        <v>9980</v>
      </c>
      <c r="G237" s="7">
        <f ca="1">IFERROR(__xludf.DUMMYFUNCTION("""COMPUTED_VALUE"""),2768)</f>
        <v>2768</v>
      </c>
      <c r="H237" s="7">
        <f ca="1">IFERROR(__xludf.DUMMYFUNCTION("""COMPUTED_VALUE"""),98206)</f>
        <v>98206</v>
      </c>
      <c r="I237" s="7">
        <f ca="1">IFERROR(__xludf.DUMMYFUNCTION("""COMPUTED_VALUE"""),989)</f>
        <v>989</v>
      </c>
      <c r="J237" s="7">
        <f ca="1">IFERROR(__xludf.DUMMYFUNCTION("""COMPUTED_VALUE"""),12748)</f>
        <v>12748</v>
      </c>
      <c r="K237" s="7">
        <f ca="1">IFERROR(__xludf.DUMMYFUNCTION("""COMPUTED_VALUE"""),1160)</f>
        <v>1160</v>
      </c>
      <c r="L237" s="7">
        <f ca="1">IFERROR(__xludf.DUMMYFUNCTION("""COMPUTED_VALUE"""),6530)</f>
        <v>6530</v>
      </c>
      <c r="M237" s="7">
        <f ca="1">IFERROR(__xludf.DUMMYFUNCTION("""COMPUTED_VALUE"""),5475)</f>
        <v>5475</v>
      </c>
      <c r="N237" s="7">
        <f ca="1">IFERROR(__xludf.DUMMYFUNCTION("""COMPUTED_VALUE"""),743)</f>
        <v>743</v>
      </c>
    </row>
    <row r="238" spans="1:14" ht="13.2" x14ac:dyDescent="0.25">
      <c r="A238" s="6">
        <f ca="1">IFERROR(__xludf.DUMMYFUNCTION("""COMPUTED_VALUE"""),44127)</f>
        <v>44127</v>
      </c>
      <c r="B238" s="7">
        <f ca="1">IFERROR(__xludf.DUMMYFUNCTION("""COMPUTED_VALUE"""),8)</f>
        <v>8</v>
      </c>
      <c r="C238" s="8">
        <f ca="1">IFERROR(__xludf.DUMMYFUNCTION("""COMPUTED_VALUE"""),44127.3333333333)</f>
        <v>44127.333333333299</v>
      </c>
      <c r="D238" s="7">
        <f ca="1">IFERROR(__xludf.DUMMYFUNCTION("""COMPUTED_VALUE"""),2138)</f>
        <v>2138</v>
      </c>
      <c r="E238" s="7">
        <f ca="1">IFERROR(__xludf.DUMMYFUNCTION("""COMPUTED_VALUE"""),84430)</f>
        <v>84430</v>
      </c>
      <c r="F238" s="7">
        <f ca="1">IFERROR(__xludf.DUMMYFUNCTION("""COMPUTED_VALUE"""),9604)</f>
        <v>9604</v>
      </c>
      <c r="G238" s="7">
        <f ca="1">IFERROR(__xludf.DUMMYFUNCTION("""COMPUTED_VALUE"""),2986)</f>
        <v>2986</v>
      </c>
      <c r="H238" s="7">
        <f ca="1">IFERROR(__xludf.DUMMYFUNCTION("""COMPUTED_VALUE"""),99158)</f>
        <v>99158</v>
      </c>
      <c r="I238" s="7">
        <f ca="1">IFERROR(__xludf.DUMMYFUNCTION("""COMPUTED_VALUE"""),952)</f>
        <v>952</v>
      </c>
      <c r="J238" s="7">
        <f ca="1">IFERROR(__xludf.DUMMYFUNCTION("""COMPUTED_VALUE"""),12590)</f>
        <v>12590</v>
      </c>
      <c r="K238" s="7">
        <f ca="1">IFERROR(__xludf.DUMMYFUNCTION("""COMPUTED_VALUE"""),1092)</f>
        <v>1092</v>
      </c>
      <c r="L238" s="7">
        <f ca="1">IFERROR(__xludf.DUMMYFUNCTION("""COMPUTED_VALUE"""),6366)</f>
        <v>6366</v>
      </c>
      <c r="M238" s="7">
        <f ca="1">IFERROR(__xludf.DUMMYFUNCTION("""COMPUTED_VALUE"""),5428)</f>
        <v>5428</v>
      </c>
      <c r="N238" s="7">
        <f ca="1">IFERROR(__xludf.DUMMYFUNCTION("""COMPUTED_VALUE"""),796)</f>
        <v>796</v>
      </c>
    </row>
    <row r="239" spans="1:14" ht="13.2" x14ac:dyDescent="0.25">
      <c r="A239" s="6">
        <f ca="1">IFERROR(__xludf.DUMMYFUNCTION("""COMPUTED_VALUE"""),44128)</f>
        <v>44128</v>
      </c>
      <c r="B239" s="7">
        <f ca="1">IFERROR(__xludf.DUMMYFUNCTION("""COMPUTED_VALUE"""),8)</f>
        <v>8</v>
      </c>
      <c r="C239" s="8">
        <f ca="1">IFERROR(__xludf.DUMMYFUNCTION("""COMPUTED_VALUE"""),44128.3333333333)</f>
        <v>44128.333333333299</v>
      </c>
      <c r="D239" s="7">
        <f ca="1">IFERROR(__xludf.DUMMYFUNCTION("""COMPUTED_VALUE"""),2153)</f>
        <v>2153</v>
      </c>
      <c r="E239" s="7">
        <f ca="1">IFERROR(__xludf.DUMMYFUNCTION("""COMPUTED_VALUE"""),85586)</f>
        <v>85586</v>
      </c>
      <c r="F239" s="7">
        <f ca="1">IFERROR(__xludf.DUMMYFUNCTION("""COMPUTED_VALUE"""),9557)</f>
        <v>9557</v>
      </c>
      <c r="G239" s="7">
        <f ca="1">IFERROR(__xludf.DUMMYFUNCTION("""COMPUTED_VALUE"""),2924)</f>
        <v>2924</v>
      </c>
      <c r="H239" s="7">
        <f ca="1">IFERROR(__xludf.DUMMYFUNCTION("""COMPUTED_VALUE"""),100220)</f>
        <v>100220</v>
      </c>
      <c r="I239" s="7">
        <f ca="1">IFERROR(__xludf.DUMMYFUNCTION("""COMPUTED_VALUE"""),1062)</f>
        <v>1062</v>
      </c>
      <c r="J239" s="7">
        <f ca="1">IFERROR(__xludf.DUMMYFUNCTION("""COMPUTED_VALUE"""),12481)</f>
        <v>12481</v>
      </c>
      <c r="K239" s="7">
        <f ca="1">IFERROR(__xludf.DUMMYFUNCTION("""COMPUTED_VALUE"""),1156)</f>
        <v>1156</v>
      </c>
      <c r="L239" s="7">
        <f ca="1">IFERROR(__xludf.DUMMYFUNCTION("""COMPUTED_VALUE"""),5974)</f>
        <v>5974</v>
      </c>
      <c r="M239" s="7">
        <f ca="1">IFERROR(__xludf.DUMMYFUNCTION("""COMPUTED_VALUE"""),5541)</f>
        <v>5541</v>
      </c>
      <c r="N239" s="7">
        <f ca="1">IFERROR(__xludf.DUMMYFUNCTION("""COMPUTED_VALUE"""),966)</f>
        <v>966</v>
      </c>
    </row>
    <row r="240" spans="1:14" ht="13.2" x14ac:dyDescent="0.25">
      <c r="A240" s="6">
        <f ca="1">IFERROR(__xludf.DUMMYFUNCTION("""COMPUTED_VALUE"""),44129)</f>
        <v>44129</v>
      </c>
      <c r="B240" s="7">
        <f ca="1">IFERROR(__xludf.DUMMYFUNCTION("""COMPUTED_VALUE"""),8)</f>
        <v>8</v>
      </c>
      <c r="C240" s="8">
        <f ca="1">IFERROR(__xludf.DUMMYFUNCTION("""COMPUTED_VALUE"""),44129.3333333333)</f>
        <v>44129.333333333299</v>
      </c>
      <c r="D240" s="7">
        <f ca="1">IFERROR(__xludf.DUMMYFUNCTION("""COMPUTED_VALUE"""),2164)</f>
        <v>2164</v>
      </c>
      <c r="E240" s="7">
        <f ca="1">IFERROR(__xludf.DUMMYFUNCTION("""COMPUTED_VALUE"""),86815)</f>
        <v>86815</v>
      </c>
      <c r="F240" s="7">
        <f ca="1">IFERROR(__xludf.DUMMYFUNCTION("""COMPUTED_VALUE"""),9151)</f>
        <v>9151</v>
      </c>
      <c r="G240" s="7">
        <f ca="1">IFERROR(__xludf.DUMMYFUNCTION("""COMPUTED_VALUE"""),2861)</f>
        <v>2861</v>
      </c>
      <c r="H240" s="7">
        <f ca="1">IFERROR(__xludf.DUMMYFUNCTION("""COMPUTED_VALUE"""),100991)</f>
        <v>100991</v>
      </c>
      <c r="I240" s="7">
        <f ca="1">IFERROR(__xludf.DUMMYFUNCTION("""COMPUTED_VALUE"""),771)</f>
        <v>771</v>
      </c>
      <c r="J240" s="7">
        <f ca="1">IFERROR(__xludf.DUMMYFUNCTION("""COMPUTED_VALUE"""),12012)</f>
        <v>12012</v>
      </c>
      <c r="K240" s="7">
        <f ca="1">IFERROR(__xludf.DUMMYFUNCTION("""COMPUTED_VALUE"""),1229)</f>
        <v>1229</v>
      </c>
      <c r="L240" s="7">
        <f ca="1">IFERROR(__xludf.DUMMYFUNCTION("""COMPUTED_VALUE"""),6137)</f>
        <v>6137</v>
      </c>
      <c r="M240" s="7">
        <f ca="1">IFERROR(__xludf.DUMMYFUNCTION("""COMPUTED_VALUE"""),5091)</f>
        <v>5091</v>
      </c>
      <c r="N240" s="7">
        <f ca="1">IFERROR(__xludf.DUMMYFUNCTION("""COMPUTED_VALUE"""),784)</f>
        <v>784</v>
      </c>
    </row>
    <row r="241" spans="1:14" ht="13.2" x14ac:dyDescent="0.25">
      <c r="A241" s="6">
        <f ca="1">IFERROR(__xludf.DUMMYFUNCTION("""COMPUTED_VALUE"""),44130)</f>
        <v>44130</v>
      </c>
      <c r="B241" s="7">
        <f ca="1">IFERROR(__xludf.DUMMYFUNCTION("""COMPUTED_VALUE"""),8)</f>
        <v>8</v>
      </c>
      <c r="C241" s="8">
        <f ca="1">IFERROR(__xludf.DUMMYFUNCTION("""COMPUTED_VALUE"""),44130.3333333333)</f>
        <v>44130.333333333299</v>
      </c>
      <c r="D241" s="7">
        <f ca="1">IFERROR(__xludf.DUMMYFUNCTION("""COMPUTED_VALUE"""),2185)</f>
        <v>2185</v>
      </c>
      <c r="E241" s="7">
        <f ca="1">IFERROR(__xludf.DUMMYFUNCTION("""COMPUTED_VALUE"""),87977)</f>
        <v>87977</v>
      </c>
      <c r="F241" s="7">
        <f ca="1">IFERROR(__xludf.DUMMYFUNCTION("""COMPUTED_VALUE"""),8960)</f>
        <v>8960</v>
      </c>
      <c r="G241" s="7">
        <f ca="1">IFERROR(__xludf.DUMMYFUNCTION("""COMPUTED_VALUE"""),2775)</f>
        <v>2775</v>
      </c>
      <c r="H241" s="7">
        <f ca="1">IFERROR(__xludf.DUMMYFUNCTION("""COMPUTED_VALUE"""),101897)</f>
        <v>101897</v>
      </c>
      <c r="I241" s="7">
        <f ca="1">IFERROR(__xludf.DUMMYFUNCTION("""COMPUTED_VALUE"""),906)</f>
        <v>906</v>
      </c>
      <c r="J241" s="7">
        <f ca="1">IFERROR(__xludf.DUMMYFUNCTION("""COMPUTED_VALUE"""),11735)</f>
        <v>11735</v>
      </c>
      <c r="K241" s="7">
        <f ca="1">IFERROR(__xludf.DUMMYFUNCTION("""COMPUTED_VALUE"""),1162)</f>
        <v>1162</v>
      </c>
      <c r="L241" s="7">
        <f ca="1">IFERROR(__xludf.DUMMYFUNCTION("""COMPUTED_VALUE"""),6083)</f>
        <v>6083</v>
      </c>
      <c r="M241" s="7">
        <f ca="1">IFERROR(__xludf.DUMMYFUNCTION("""COMPUTED_VALUE"""),4900)</f>
        <v>4900</v>
      </c>
      <c r="N241" s="7">
        <f ca="1">IFERROR(__xludf.DUMMYFUNCTION("""COMPUTED_VALUE"""),752)</f>
        <v>752</v>
      </c>
    </row>
    <row r="242" spans="1:14" ht="13.2" x14ac:dyDescent="0.25">
      <c r="A242" s="6">
        <f ca="1">IFERROR(__xludf.DUMMYFUNCTION("""COMPUTED_VALUE"""),44131)</f>
        <v>44131</v>
      </c>
      <c r="B242" s="7">
        <f ca="1">IFERROR(__xludf.DUMMYFUNCTION("""COMPUTED_VALUE"""),8)</f>
        <v>8</v>
      </c>
      <c r="C242" s="8">
        <f ca="1">IFERROR(__xludf.DUMMYFUNCTION("""COMPUTED_VALUE"""),44131.3333333333)</f>
        <v>44131.333333333299</v>
      </c>
      <c r="D242" s="7">
        <f ca="1">IFERROR(__xludf.DUMMYFUNCTION("""COMPUTED_VALUE"""),2195)</f>
        <v>2195</v>
      </c>
      <c r="E242" s="7">
        <f ca="1">IFERROR(__xludf.DUMMYFUNCTION("""COMPUTED_VALUE"""),89060)</f>
        <v>89060</v>
      </c>
      <c r="F242" s="7">
        <f ca="1">IFERROR(__xludf.DUMMYFUNCTION("""COMPUTED_VALUE"""),8743)</f>
        <v>8743</v>
      </c>
      <c r="G242" s="7">
        <f ca="1">IFERROR(__xludf.DUMMYFUNCTION("""COMPUTED_VALUE"""),2680)</f>
        <v>2680</v>
      </c>
      <c r="H242" s="7">
        <f ca="1">IFERROR(__xludf.DUMMYFUNCTION("""COMPUTED_VALUE"""),102678)</f>
        <v>102678</v>
      </c>
      <c r="I242" s="7">
        <f ca="1">IFERROR(__xludf.DUMMYFUNCTION("""COMPUTED_VALUE"""),781)</f>
        <v>781</v>
      </c>
      <c r="J242" s="7">
        <f ca="1">IFERROR(__xludf.DUMMYFUNCTION("""COMPUTED_VALUE"""),11423)</f>
        <v>11423</v>
      </c>
      <c r="K242" s="7">
        <f ca="1">IFERROR(__xludf.DUMMYFUNCTION("""COMPUTED_VALUE"""),1083)</f>
        <v>1083</v>
      </c>
      <c r="L242" s="7">
        <f ca="1">IFERROR(__xludf.DUMMYFUNCTION("""COMPUTED_VALUE"""),5947)</f>
        <v>5947</v>
      </c>
      <c r="M242" s="7">
        <f ca="1">IFERROR(__xludf.DUMMYFUNCTION("""COMPUTED_VALUE"""),4834)</f>
        <v>4834</v>
      </c>
      <c r="N242" s="7">
        <f ca="1">IFERROR(__xludf.DUMMYFUNCTION("""COMPUTED_VALUE"""),642)</f>
        <v>642</v>
      </c>
    </row>
    <row r="243" spans="1:14" ht="13.2" x14ac:dyDescent="0.25">
      <c r="A243" s="6">
        <f ca="1">IFERROR(__xludf.DUMMYFUNCTION("""COMPUTED_VALUE"""),44132)</f>
        <v>44132</v>
      </c>
      <c r="B243" s="7">
        <f ca="1">IFERROR(__xludf.DUMMYFUNCTION("""COMPUTED_VALUE"""),8)</f>
        <v>8</v>
      </c>
      <c r="C243" s="8">
        <f ca="1">IFERROR(__xludf.DUMMYFUNCTION("""COMPUTED_VALUE"""),44132.3333333333)</f>
        <v>44132.333333333299</v>
      </c>
      <c r="D243" s="7">
        <f ca="1">IFERROR(__xludf.DUMMYFUNCTION("""COMPUTED_VALUE"""),2211)</f>
        <v>2211</v>
      </c>
      <c r="E243" s="7">
        <f ca="1">IFERROR(__xludf.DUMMYFUNCTION("""COMPUTED_VALUE"""),90157)</f>
        <v>90157</v>
      </c>
      <c r="F243" s="7">
        <f ca="1">IFERROR(__xludf.DUMMYFUNCTION("""COMPUTED_VALUE"""),8438)</f>
        <v>8438</v>
      </c>
      <c r="G243" s="7">
        <f ca="1">IFERROR(__xludf.DUMMYFUNCTION("""COMPUTED_VALUE"""),2716)</f>
        <v>2716</v>
      </c>
      <c r="H243" s="7">
        <f ca="1">IFERROR(__xludf.DUMMYFUNCTION("""COMPUTED_VALUE"""),103522)</f>
        <v>103522</v>
      </c>
      <c r="I243" s="7">
        <f ca="1">IFERROR(__xludf.DUMMYFUNCTION("""COMPUTED_VALUE"""),844)</f>
        <v>844</v>
      </c>
      <c r="J243" s="7">
        <f ca="1">IFERROR(__xludf.DUMMYFUNCTION("""COMPUTED_VALUE"""),11154)</f>
        <v>11154</v>
      </c>
      <c r="K243" s="7">
        <f ca="1">IFERROR(__xludf.DUMMYFUNCTION("""COMPUTED_VALUE"""),1097)</f>
        <v>1097</v>
      </c>
      <c r="L243" s="7">
        <f ca="1">IFERROR(__xludf.DUMMYFUNCTION("""COMPUTED_VALUE"""),5630)</f>
        <v>5630</v>
      </c>
      <c r="M243" s="7">
        <f ca="1">IFERROR(__xludf.DUMMYFUNCTION("""COMPUTED_VALUE"""),4955)</f>
        <v>4955</v>
      </c>
      <c r="N243" s="7">
        <f ca="1">IFERROR(__xludf.DUMMYFUNCTION("""COMPUTED_VALUE"""),569)</f>
        <v>569</v>
      </c>
    </row>
    <row r="244" spans="1:14" ht="13.2" x14ac:dyDescent="0.25">
      <c r="A244" s="6">
        <f ca="1">IFERROR(__xludf.DUMMYFUNCTION("""COMPUTED_VALUE"""),44133)</f>
        <v>44133</v>
      </c>
      <c r="B244" s="7">
        <f ca="1">IFERROR(__xludf.DUMMYFUNCTION("""COMPUTED_VALUE"""),8)</f>
        <v>8</v>
      </c>
      <c r="C244" s="8">
        <f ca="1">IFERROR(__xludf.DUMMYFUNCTION("""COMPUTED_VALUE"""),44133.3333333333)</f>
        <v>44133.333333333299</v>
      </c>
      <c r="D244" s="7">
        <f ca="1">IFERROR(__xludf.DUMMYFUNCTION("""COMPUTED_VALUE"""),2225)</f>
        <v>2225</v>
      </c>
      <c r="E244" s="7">
        <f ca="1">IFERROR(__xludf.DUMMYFUNCTION("""COMPUTED_VALUE"""),91235)</f>
        <v>91235</v>
      </c>
      <c r="F244" s="7">
        <f ca="1">IFERROR(__xludf.DUMMYFUNCTION("""COMPUTED_VALUE"""),7951)</f>
        <v>7951</v>
      </c>
      <c r="G244" s="7">
        <f ca="1">IFERROR(__xludf.DUMMYFUNCTION("""COMPUTED_VALUE"""),2824)</f>
        <v>2824</v>
      </c>
      <c r="H244" s="7">
        <f ca="1">IFERROR(__xludf.DUMMYFUNCTION("""COMPUTED_VALUE"""),104235)</f>
        <v>104235</v>
      </c>
      <c r="I244" s="7">
        <f ca="1">IFERROR(__xludf.DUMMYFUNCTION("""COMPUTED_VALUE"""),713)</f>
        <v>713</v>
      </c>
      <c r="J244" s="7">
        <f ca="1">IFERROR(__xludf.DUMMYFUNCTION("""COMPUTED_VALUE"""),10775)</f>
        <v>10775</v>
      </c>
      <c r="K244" s="7">
        <f ca="1">IFERROR(__xludf.DUMMYFUNCTION("""COMPUTED_VALUE"""),1078)</f>
        <v>1078</v>
      </c>
      <c r="L244" s="7">
        <f ca="1">IFERROR(__xludf.DUMMYFUNCTION("""COMPUTED_VALUE"""),5410)</f>
        <v>5410</v>
      </c>
      <c r="M244" s="7">
        <f ca="1">IFERROR(__xludf.DUMMYFUNCTION("""COMPUTED_VALUE"""),4478)</f>
        <v>4478</v>
      </c>
      <c r="N244" s="7">
        <f ca="1">IFERROR(__xludf.DUMMYFUNCTION("""COMPUTED_VALUE"""),887)</f>
        <v>887</v>
      </c>
    </row>
    <row r="245" spans="1:14" ht="13.2" x14ac:dyDescent="0.25">
      <c r="A245" s="6">
        <f ca="1">IFERROR(__xludf.DUMMYFUNCTION("""COMPUTED_VALUE"""),44134)</f>
        <v>44134</v>
      </c>
      <c r="B245" s="7">
        <f ca="1">IFERROR(__xludf.DUMMYFUNCTION("""COMPUTED_VALUE"""),8)</f>
        <v>8</v>
      </c>
      <c r="C245" s="8">
        <f ca="1">IFERROR(__xludf.DUMMYFUNCTION("""COMPUTED_VALUE"""),44134.3333333333)</f>
        <v>44134.333333333299</v>
      </c>
      <c r="D245" s="7">
        <f ca="1">IFERROR(__xludf.DUMMYFUNCTION("""COMPUTED_VALUE"""),2239)</f>
        <v>2239</v>
      </c>
      <c r="E245" s="7">
        <f ca="1">IFERROR(__xludf.DUMMYFUNCTION("""COMPUTED_VALUE"""),92312)</f>
        <v>92312</v>
      </c>
      <c r="F245" s="7">
        <f ca="1">IFERROR(__xludf.DUMMYFUNCTION("""COMPUTED_VALUE"""),7457)</f>
        <v>7457</v>
      </c>
      <c r="G245" s="7">
        <f ca="1">IFERROR(__xludf.DUMMYFUNCTION("""COMPUTED_VALUE"""),2839)</f>
        <v>2839</v>
      </c>
      <c r="H245" s="7">
        <f ca="1">IFERROR(__xludf.DUMMYFUNCTION("""COMPUTED_VALUE"""),104847)</f>
        <v>104847</v>
      </c>
      <c r="I245" s="7">
        <f ca="1">IFERROR(__xludf.DUMMYFUNCTION("""COMPUTED_VALUE"""),612)</f>
        <v>612</v>
      </c>
      <c r="J245" s="7">
        <f ca="1">IFERROR(__xludf.DUMMYFUNCTION("""COMPUTED_VALUE"""),10296)</f>
        <v>10296</v>
      </c>
      <c r="K245" s="7">
        <f ca="1">IFERROR(__xludf.DUMMYFUNCTION("""COMPUTED_VALUE"""),1077)</f>
        <v>1077</v>
      </c>
      <c r="L245" s="7">
        <f ca="1">IFERROR(__xludf.DUMMYFUNCTION("""COMPUTED_VALUE"""),5410)</f>
        <v>5410</v>
      </c>
      <c r="M245" s="7">
        <f ca="1">IFERROR(__xludf.DUMMYFUNCTION("""COMPUTED_VALUE"""),4478)</f>
        <v>4478</v>
      </c>
      <c r="N245" s="7">
        <f ca="1">IFERROR(__xludf.DUMMYFUNCTION("""COMPUTED_VALUE"""),408)</f>
        <v>408</v>
      </c>
    </row>
    <row r="246" spans="1:14" ht="13.2" x14ac:dyDescent="0.25">
      <c r="A246" s="6">
        <f ca="1">IFERROR(__xludf.DUMMYFUNCTION("""COMPUTED_VALUE"""),44135)</f>
        <v>44135</v>
      </c>
      <c r="B246" s="7">
        <f ca="1">IFERROR(__xludf.DUMMYFUNCTION("""COMPUTED_VALUE"""),8)</f>
        <v>8</v>
      </c>
      <c r="C246" s="8">
        <f ca="1">IFERROR(__xludf.DUMMYFUNCTION("""COMPUTED_VALUE"""),44135.3333333333)</f>
        <v>44135.333333333299</v>
      </c>
      <c r="D246" s="7">
        <f ca="1">IFERROR(__xludf.DUMMYFUNCTION("""COMPUTED_VALUE"""),2255)</f>
        <v>2255</v>
      </c>
      <c r="E246" s="7">
        <f ca="1">IFERROR(__xludf.DUMMYFUNCTION("""COMPUTED_VALUE"""),94434)</f>
        <v>94434</v>
      </c>
      <c r="F246" s="7">
        <f ca="1">IFERROR(__xludf.DUMMYFUNCTION("""COMPUTED_VALUE"""),6524)</f>
        <v>6524</v>
      </c>
      <c r="G246" s="7">
        <f ca="1">IFERROR(__xludf.DUMMYFUNCTION("""COMPUTED_VALUE"""),2384)</f>
        <v>2384</v>
      </c>
      <c r="H246" s="7">
        <f ca="1">IFERROR(__xludf.DUMMYFUNCTION("""COMPUTED_VALUE"""),105597)</f>
        <v>105597</v>
      </c>
      <c r="I246" s="7">
        <f ca="1">IFERROR(__xludf.DUMMYFUNCTION("""COMPUTED_VALUE"""),750)</f>
        <v>750</v>
      </c>
      <c r="J246" s="7">
        <f ca="1">IFERROR(__xludf.DUMMYFUNCTION("""COMPUTED_VALUE"""),8908)</f>
        <v>8908</v>
      </c>
      <c r="K246" s="7">
        <f ca="1">IFERROR(__xludf.DUMMYFUNCTION("""COMPUTED_VALUE"""),2122)</f>
        <v>2122</v>
      </c>
      <c r="L246" s="7">
        <f ca="1">IFERROR(__xludf.DUMMYFUNCTION("""COMPUTED_VALUE"""),4462)</f>
        <v>4462</v>
      </c>
      <c r="M246" s="7">
        <f ca="1">IFERROR(__xludf.DUMMYFUNCTION("""COMPUTED_VALUE"""),4446)</f>
        <v>4446</v>
      </c>
      <c r="N246" s="7">
        <f ca="1">IFERROR(__xludf.DUMMYFUNCTION("""COMPUTED_VALUE"""),0)</f>
        <v>0</v>
      </c>
    </row>
    <row r="247" spans="1:14" ht="13.2" x14ac:dyDescent="0.25">
      <c r="A247" s="6">
        <f ca="1">IFERROR(__xludf.DUMMYFUNCTION("""COMPUTED_VALUE"""),44136)</f>
        <v>44136</v>
      </c>
      <c r="B247" s="7">
        <f ca="1">IFERROR(__xludf.DUMMYFUNCTION("""COMPUTED_VALUE"""),8)</f>
        <v>8</v>
      </c>
      <c r="C247" s="8">
        <f ca="1">IFERROR(__xludf.DUMMYFUNCTION("""COMPUTED_VALUE"""),44136.3333333333)</f>
        <v>44136.333333333299</v>
      </c>
      <c r="D247" s="7">
        <f ca="1">IFERROR(__xludf.DUMMYFUNCTION("""COMPUTED_VALUE"""),2273)</f>
        <v>2273</v>
      </c>
      <c r="E247" s="7">
        <f ca="1">IFERROR(__xludf.DUMMYFUNCTION("""COMPUTED_VALUE"""),94819)</f>
        <v>94819</v>
      </c>
      <c r="F247" s="7">
        <f ca="1">IFERROR(__xludf.DUMMYFUNCTION("""COMPUTED_VALUE"""),6935)</f>
        <v>6935</v>
      </c>
      <c r="G247" s="7">
        <f ca="1">IFERROR(__xludf.DUMMYFUNCTION("""COMPUTED_VALUE"""),2178)</f>
        <v>2178</v>
      </c>
      <c r="H247" s="7">
        <f ca="1">IFERROR(__xludf.DUMMYFUNCTION("""COMPUTED_VALUE"""),106205)</f>
        <v>106205</v>
      </c>
      <c r="I247" s="7">
        <f ca="1">IFERROR(__xludf.DUMMYFUNCTION("""COMPUTED_VALUE"""),608)</f>
        <v>608</v>
      </c>
      <c r="J247" s="7">
        <f ca="1">IFERROR(__xludf.DUMMYFUNCTION("""COMPUTED_VALUE"""),9113)</f>
        <v>9113</v>
      </c>
      <c r="K247" s="7">
        <f ca="1">IFERROR(__xludf.DUMMYFUNCTION("""COMPUTED_VALUE"""),385)</f>
        <v>385</v>
      </c>
      <c r="L247" s="7">
        <f ca="1">IFERROR(__xludf.DUMMYFUNCTION("""COMPUTED_VALUE"""),4106)</f>
        <v>4106</v>
      </c>
      <c r="M247" s="7">
        <f ca="1">IFERROR(__xludf.DUMMYFUNCTION("""COMPUTED_VALUE"""),4142)</f>
        <v>4142</v>
      </c>
      <c r="N247" s="7">
        <f ca="1">IFERROR(__xludf.DUMMYFUNCTION("""COMPUTED_VALUE"""),865)</f>
        <v>865</v>
      </c>
    </row>
    <row r="248" spans="1:14" ht="13.2" x14ac:dyDescent="0.25">
      <c r="A248" s="6">
        <f ca="1">IFERROR(__xludf.DUMMYFUNCTION("""COMPUTED_VALUE"""),44137)</f>
        <v>44137</v>
      </c>
      <c r="B248" s="7">
        <f ca="1">IFERROR(__xludf.DUMMYFUNCTION("""COMPUTED_VALUE"""),8)</f>
        <v>8</v>
      </c>
      <c r="C248" s="8">
        <f ca="1">IFERROR(__xludf.DUMMYFUNCTION("""COMPUTED_VALUE"""),44137.3333333333)</f>
        <v>44137.333333333299</v>
      </c>
      <c r="D248" s="7">
        <f ca="1">IFERROR(__xludf.DUMMYFUNCTION("""COMPUTED_VALUE"""),2291)</f>
        <v>2291</v>
      </c>
      <c r="E248" s="7">
        <f ca="1">IFERROR(__xludf.DUMMYFUNCTION("""COMPUTED_VALUE"""),95876)</f>
        <v>95876</v>
      </c>
      <c r="F248" s="7">
        <f ca="1">IFERROR(__xludf.DUMMYFUNCTION("""COMPUTED_VALUE"""),7312)</f>
        <v>7312</v>
      </c>
      <c r="G248" s="7">
        <f ca="1">IFERROR(__xludf.DUMMYFUNCTION("""COMPUTED_VALUE"""),1750)</f>
        <v>1750</v>
      </c>
      <c r="H248" s="7">
        <f ca="1">IFERROR(__xludf.DUMMYFUNCTION("""COMPUTED_VALUE"""),107229)</f>
        <v>107229</v>
      </c>
      <c r="I248" s="7">
        <f ca="1">IFERROR(__xludf.DUMMYFUNCTION("""COMPUTED_VALUE"""),1024)</f>
        <v>1024</v>
      </c>
      <c r="J248" s="7">
        <f ca="1">IFERROR(__xludf.DUMMYFUNCTION("""COMPUTED_VALUE"""),9062)</f>
        <v>9062</v>
      </c>
      <c r="K248" s="7">
        <f ca="1">IFERROR(__xludf.DUMMYFUNCTION("""COMPUTED_VALUE"""),1057)</f>
        <v>1057</v>
      </c>
      <c r="L248" s="7">
        <f ca="1">IFERROR(__xludf.DUMMYFUNCTION("""COMPUTED_VALUE"""),3987)</f>
        <v>3987</v>
      </c>
      <c r="M248" s="7">
        <f ca="1">IFERROR(__xludf.DUMMYFUNCTION("""COMPUTED_VALUE"""),4258)</f>
        <v>4258</v>
      </c>
      <c r="N248" s="7">
        <f ca="1">IFERROR(__xludf.DUMMYFUNCTION("""COMPUTED_VALUE"""),817)</f>
        <v>817</v>
      </c>
    </row>
    <row r="249" spans="1:14" ht="13.2" x14ac:dyDescent="0.25">
      <c r="A249" s="6">
        <f ca="1">IFERROR(__xludf.DUMMYFUNCTION("""COMPUTED_VALUE"""),44138)</f>
        <v>44138</v>
      </c>
      <c r="B249" s="7">
        <f ca="1">IFERROR(__xludf.DUMMYFUNCTION("""COMPUTED_VALUE"""),8)</f>
        <v>8</v>
      </c>
      <c r="C249" s="8">
        <f ca="1">IFERROR(__xludf.DUMMYFUNCTION("""COMPUTED_VALUE"""),44138.3333333333)</f>
        <v>44138.333333333299</v>
      </c>
      <c r="D249" s="7">
        <f ca="1">IFERROR(__xludf.DUMMYFUNCTION("""COMPUTED_VALUE"""),2300)</f>
        <v>2300</v>
      </c>
      <c r="E249" s="7">
        <f ca="1">IFERROR(__xludf.DUMMYFUNCTION("""COMPUTED_VALUE"""),96902)</f>
        <v>96902</v>
      </c>
      <c r="F249" s="7">
        <f ca="1">IFERROR(__xludf.DUMMYFUNCTION("""COMPUTED_VALUE"""),6844)</f>
        <v>6844</v>
      </c>
      <c r="G249" s="7">
        <f ca="1">IFERROR(__xludf.DUMMYFUNCTION("""COMPUTED_VALUE"""),1800)</f>
        <v>1800</v>
      </c>
      <c r="H249" s="7">
        <f ca="1">IFERROR(__xludf.DUMMYFUNCTION("""COMPUTED_VALUE"""),107846)</f>
        <v>107846</v>
      </c>
      <c r="I249" s="7">
        <f ca="1">IFERROR(__xludf.DUMMYFUNCTION("""COMPUTED_VALUE"""),617)</f>
        <v>617</v>
      </c>
      <c r="J249" s="7">
        <f ca="1">IFERROR(__xludf.DUMMYFUNCTION("""COMPUTED_VALUE"""),8644)</f>
        <v>8644</v>
      </c>
      <c r="K249" s="7">
        <f ca="1">IFERROR(__xludf.DUMMYFUNCTION("""COMPUTED_VALUE"""),1026)</f>
        <v>1026</v>
      </c>
      <c r="L249" s="7">
        <f ca="1">IFERROR(__xludf.DUMMYFUNCTION("""COMPUTED_VALUE"""),3935)</f>
        <v>3935</v>
      </c>
      <c r="M249" s="7">
        <f ca="1">IFERROR(__xludf.DUMMYFUNCTION("""COMPUTED_VALUE"""),4108)</f>
        <v>4108</v>
      </c>
      <c r="N249" s="7">
        <f ca="1">IFERROR(__xludf.DUMMYFUNCTION("""COMPUTED_VALUE"""),601)</f>
        <v>601</v>
      </c>
    </row>
    <row r="250" spans="1:14" ht="13.2" x14ac:dyDescent="0.25">
      <c r="A250" s="6">
        <f ca="1">IFERROR(__xludf.DUMMYFUNCTION("""COMPUTED_VALUE"""),44139)</f>
        <v>44139</v>
      </c>
      <c r="B250" s="7">
        <f ca="1">IFERROR(__xludf.DUMMYFUNCTION("""COMPUTED_VALUE"""),8)</f>
        <v>8</v>
      </c>
      <c r="C250" s="8">
        <f ca="1">IFERROR(__xludf.DUMMYFUNCTION("""COMPUTED_VALUE"""),44139.3333333333)</f>
        <v>44139.333333333299</v>
      </c>
      <c r="D250" s="7">
        <f ca="1">IFERROR(__xludf.DUMMYFUNCTION("""COMPUTED_VALUE"""),2315)</f>
        <v>2315</v>
      </c>
      <c r="E250" s="7">
        <f ca="1">IFERROR(__xludf.DUMMYFUNCTION("""COMPUTED_VALUE"""),97833)</f>
        <v>97833</v>
      </c>
      <c r="F250" s="7">
        <f ca="1">IFERROR(__xludf.DUMMYFUNCTION("""COMPUTED_VALUE"""),6665)</f>
        <v>6665</v>
      </c>
      <c r="G250" s="7">
        <f ca="1">IFERROR(__xludf.DUMMYFUNCTION("""COMPUTED_VALUE"""),1807)</f>
        <v>1807</v>
      </c>
      <c r="H250" s="7">
        <f ca="1">IFERROR(__xludf.DUMMYFUNCTION("""COMPUTED_VALUE"""),108620)</f>
        <v>108620</v>
      </c>
      <c r="I250" s="7">
        <f ca="1">IFERROR(__xludf.DUMMYFUNCTION("""COMPUTED_VALUE"""),774)</f>
        <v>774</v>
      </c>
      <c r="J250" s="7">
        <f ca="1">IFERROR(__xludf.DUMMYFUNCTION("""COMPUTED_VALUE"""),8472)</f>
        <v>8472</v>
      </c>
      <c r="K250" s="7">
        <f ca="1">IFERROR(__xludf.DUMMYFUNCTION("""COMPUTED_VALUE"""),931)</f>
        <v>931</v>
      </c>
      <c r="L250" s="7">
        <f ca="1">IFERROR(__xludf.DUMMYFUNCTION("""COMPUTED_VALUE"""),3627)</f>
        <v>3627</v>
      </c>
      <c r="M250" s="7">
        <f ca="1">IFERROR(__xludf.DUMMYFUNCTION("""COMPUTED_VALUE"""),4456)</f>
        <v>4456</v>
      </c>
      <c r="N250" s="7">
        <f ca="1">IFERROR(__xludf.DUMMYFUNCTION("""COMPUTED_VALUE"""),389)</f>
        <v>389</v>
      </c>
    </row>
    <row r="251" spans="1:14" ht="13.2" x14ac:dyDescent="0.25">
      <c r="A251" s="6">
        <f ca="1">IFERROR(__xludf.DUMMYFUNCTION("""COMPUTED_VALUE"""),44140)</f>
        <v>44140</v>
      </c>
      <c r="B251" s="7">
        <f ca="1">IFERROR(__xludf.DUMMYFUNCTION("""COMPUTED_VALUE"""),8)</f>
        <v>8</v>
      </c>
      <c r="C251" s="8">
        <f ca="1">IFERROR(__xludf.DUMMYFUNCTION("""COMPUTED_VALUE"""),44140.3333333333)</f>
        <v>44140.333333333299</v>
      </c>
      <c r="D251" s="7">
        <f ca="1">IFERROR(__xludf.DUMMYFUNCTION("""COMPUTED_VALUE"""),2331)</f>
        <v>2331</v>
      </c>
      <c r="E251" s="7">
        <f ca="1">IFERROR(__xludf.DUMMYFUNCTION("""COMPUTED_VALUE"""),98806)</f>
        <v>98806</v>
      </c>
      <c r="F251" s="7">
        <f ca="1">IFERROR(__xludf.DUMMYFUNCTION("""COMPUTED_VALUE"""),6260)</f>
        <v>6260</v>
      </c>
      <c r="G251" s="7">
        <f ca="1">IFERROR(__xludf.DUMMYFUNCTION("""COMPUTED_VALUE"""),2014)</f>
        <v>2014</v>
      </c>
      <c r="H251" s="7">
        <f ca="1">IFERROR(__xludf.DUMMYFUNCTION("""COMPUTED_VALUE"""),109411)</f>
        <v>109411</v>
      </c>
      <c r="I251" s="7">
        <f ca="1">IFERROR(__xludf.DUMMYFUNCTION("""COMPUTED_VALUE"""),791)</f>
        <v>791</v>
      </c>
      <c r="J251" s="7">
        <f ca="1">IFERROR(__xludf.DUMMYFUNCTION("""COMPUTED_VALUE"""),8274)</f>
        <v>8274</v>
      </c>
      <c r="K251" s="7">
        <f ca="1">IFERROR(__xludf.DUMMYFUNCTION("""COMPUTED_VALUE"""),973)</f>
        <v>973</v>
      </c>
      <c r="L251" s="7">
        <f ca="1">IFERROR(__xludf.DUMMYFUNCTION("""COMPUTED_VALUE"""),3398)</f>
        <v>3398</v>
      </c>
      <c r="M251" s="7">
        <f ca="1">IFERROR(__xludf.DUMMYFUNCTION("""COMPUTED_VALUE"""),4262)</f>
        <v>4262</v>
      </c>
      <c r="N251" s="7">
        <f ca="1">IFERROR(__xludf.DUMMYFUNCTION("""COMPUTED_VALUE"""),614)</f>
        <v>614</v>
      </c>
    </row>
    <row r="252" spans="1:14" ht="13.2" x14ac:dyDescent="0.25">
      <c r="A252" s="6">
        <f ca="1">IFERROR(__xludf.DUMMYFUNCTION("""COMPUTED_VALUE"""),44141)</f>
        <v>44141</v>
      </c>
      <c r="B252" s="7">
        <f ca="1">IFERROR(__xludf.DUMMYFUNCTION("""COMPUTED_VALUE"""),8)</f>
        <v>8</v>
      </c>
      <c r="C252" s="8">
        <f ca="1">IFERROR(__xludf.DUMMYFUNCTION("""COMPUTED_VALUE"""),44141.3333333333)</f>
        <v>44141.333333333299</v>
      </c>
      <c r="D252" s="7">
        <f ca="1">IFERROR(__xludf.DUMMYFUNCTION("""COMPUTED_VALUE"""),2348)</f>
        <v>2348</v>
      </c>
      <c r="E252" s="7">
        <f ca="1">IFERROR(__xludf.DUMMYFUNCTION("""COMPUTED_VALUE"""),99830)</f>
        <v>99830</v>
      </c>
      <c r="F252" s="7">
        <f ca="1">IFERROR(__xludf.DUMMYFUNCTION("""COMPUTED_VALUE"""),6050)</f>
        <v>6050</v>
      </c>
      <c r="G252" s="7">
        <f ca="1">IFERROR(__xludf.DUMMYFUNCTION("""COMPUTED_VALUE"""),1855)</f>
        <v>1855</v>
      </c>
      <c r="H252" s="7">
        <f ca="1">IFERROR(__xludf.DUMMYFUNCTION("""COMPUTED_VALUE"""),110083)</f>
        <v>110083</v>
      </c>
      <c r="I252" s="7">
        <f ca="1">IFERROR(__xludf.DUMMYFUNCTION("""COMPUTED_VALUE"""),672)</f>
        <v>672</v>
      </c>
      <c r="J252" s="7">
        <f ca="1">IFERROR(__xludf.DUMMYFUNCTION("""COMPUTED_VALUE"""),7905)</f>
        <v>7905</v>
      </c>
      <c r="K252" s="7">
        <f ca="1">IFERROR(__xludf.DUMMYFUNCTION("""COMPUTED_VALUE"""),1024)</f>
        <v>1024</v>
      </c>
      <c r="L252" s="7">
        <f ca="1">IFERROR(__xludf.DUMMYFUNCTION("""COMPUTED_VALUE"""),3266)</f>
        <v>3266</v>
      </c>
      <c r="M252" s="7">
        <f ca="1">IFERROR(__xludf.DUMMYFUNCTION("""COMPUTED_VALUE"""),4257)</f>
        <v>4257</v>
      </c>
      <c r="N252" s="7">
        <f ca="1">IFERROR(__xludf.DUMMYFUNCTION("""COMPUTED_VALUE"""),382)</f>
        <v>382</v>
      </c>
    </row>
    <row r="253" spans="1:14" ht="13.2" x14ac:dyDescent="0.25">
      <c r="A253" s="6">
        <f ca="1">IFERROR(__xludf.DUMMYFUNCTION("""COMPUTED_VALUE"""),44142)</f>
        <v>44142</v>
      </c>
      <c r="B253" s="7">
        <f ca="1">IFERROR(__xludf.DUMMYFUNCTION("""COMPUTED_VALUE"""),8)</f>
        <v>8</v>
      </c>
      <c r="C253" s="8">
        <f ca="1">IFERROR(__xludf.DUMMYFUNCTION("""COMPUTED_VALUE"""),44142.3333333333)</f>
        <v>44142.333333333299</v>
      </c>
      <c r="D253" s="7">
        <f ca="1">IFERROR(__xludf.DUMMYFUNCTION("""COMPUTED_VALUE"""),2359)</f>
        <v>2359</v>
      </c>
      <c r="E253" s="7">
        <f ca="1">IFERROR(__xludf.DUMMYFUNCTION("""COMPUTED_VALUE"""),100816)</f>
        <v>100816</v>
      </c>
      <c r="F253" s="7">
        <f ca="1">IFERROR(__xludf.DUMMYFUNCTION("""COMPUTED_VALUE"""),6159)</f>
        <v>6159</v>
      </c>
      <c r="G253" s="7">
        <f ca="1">IFERROR(__xludf.DUMMYFUNCTION("""COMPUTED_VALUE"""),1867)</f>
        <v>1867</v>
      </c>
      <c r="H253" s="7">
        <f ca="1">IFERROR(__xludf.DUMMYFUNCTION("""COMPUTED_VALUE"""),111201)</f>
        <v>111201</v>
      </c>
      <c r="I253" s="7">
        <f ca="1">IFERROR(__xludf.DUMMYFUNCTION("""COMPUTED_VALUE"""),1118)</f>
        <v>1118</v>
      </c>
      <c r="J253" s="7">
        <f ca="1">IFERROR(__xludf.DUMMYFUNCTION("""COMPUTED_VALUE"""),8026)</f>
        <v>8026</v>
      </c>
      <c r="K253" s="7">
        <f ca="1">IFERROR(__xludf.DUMMYFUNCTION("""COMPUTED_VALUE"""),986)</f>
        <v>986</v>
      </c>
      <c r="L253" s="7">
        <f ca="1">IFERROR(__xludf.DUMMYFUNCTION("""COMPUTED_VALUE"""),3049)</f>
        <v>3049</v>
      </c>
      <c r="M253" s="7">
        <f ca="1">IFERROR(__xludf.DUMMYFUNCTION("""COMPUTED_VALUE"""),4205)</f>
        <v>4205</v>
      </c>
      <c r="N253" s="7">
        <f ca="1">IFERROR(__xludf.DUMMYFUNCTION("""COMPUTED_VALUE"""),772)</f>
        <v>772</v>
      </c>
    </row>
    <row r="254" spans="1:14" ht="13.2" x14ac:dyDescent="0.25">
      <c r="A254" s="6">
        <f ca="1">IFERROR(__xludf.DUMMYFUNCTION("""COMPUTED_VALUE"""),44143)</f>
        <v>44143</v>
      </c>
      <c r="B254" s="7">
        <f ca="1">IFERROR(__xludf.DUMMYFUNCTION("""COMPUTED_VALUE"""),8)</f>
        <v>8</v>
      </c>
      <c r="C254" s="8">
        <f ca="1">IFERROR(__xludf.DUMMYFUNCTION("""COMPUTED_VALUE"""),44143.3333333333)</f>
        <v>44143.333333333299</v>
      </c>
      <c r="D254" s="7">
        <f ca="1">IFERROR(__xludf.DUMMYFUNCTION("""COMPUTED_VALUE"""),2366)</f>
        <v>2366</v>
      </c>
      <c r="E254" s="7">
        <f ca="1">IFERROR(__xludf.DUMMYFUNCTION("""COMPUTED_VALUE"""),101791)</f>
        <v>101791</v>
      </c>
      <c r="F254" s="7">
        <f ca="1">IFERROR(__xludf.DUMMYFUNCTION("""COMPUTED_VALUE"""),6338)</f>
        <v>6338</v>
      </c>
      <c r="G254" s="7">
        <f ca="1">IFERROR(__xludf.DUMMYFUNCTION("""COMPUTED_VALUE"""),1532)</f>
        <v>1532</v>
      </c>
      <c r="H254" s="7">
        <f ca="1">IFERROR(__xludf.DUMMYFUNCTION("""COMPUTED_VALUE"""),112027)</f>
        <v>112027</v>
      </c>
      <c r="I254" s="7">
        <f ca="1">IFERROR(__xludf.DUMMYFUNCTION("""COMPUTED_VALUE"""),826)</f>
        <v>826</v>
      </c>
      <c r="J254" s="7">
        <f ca="1">IFERROR(__xludf.DUMMYFUNCTION("""COMPUTED_VALUE"""),7870)</f>
        <v>7870</v>
      </c>
      <c r="K254" s="7">
        <f ca="1">IFERROR(__xludf.DUMMYFUNCTION("""COMPUTED_VALUE"""),975)</f>
        <v>975</v>
      </c>
      <c r="L254" s="7">
        <f ca="1">IFERROR(__xludf.DUMMYFUNCTION("""COMPUTED_VALUE"""),2640)</f>
        <v>2640</v>
      </c>
      <c r="M254" s="7">
        <f ca="1">IFERROR(__xludf.DUMMYFUNCTION("""COMPUTED_VALUE"""),3833)</f>
        <v>3833</v>
      </c>
      <c r="N254" s="7">
        <f ca="1">IFERROR(__xludf.DUMMYFUNCTION("""COMPUTED_VALUE"""),1397)</f>
        <v>1397</v>
      </c>
    </row>
    <row r="255" spans="1:14" ht="13.2" x14ac:dyDescent="0.25">
      <c r="A255" s="6">
        <f ca="1">IFERROR(__xludf.DUMMYFUNCTION("""COMPUTED_VALUE"""),44144)</f>
        <v>44144</v>
      </c>
      <c r="B255" s="7">
        <f ca="1">IFERROR(__xludf.DUMMYFUNCTION("""COMPUTED_VALUE"""),8)</f>
        <v>8</v>
      </c>
      <c r="C255" s="8">
        <f ca="1">IFERROR(__xludf.DUMMYFUNCTION("""COMPUTED_VALUE"""),44144.3333333333)</f>
        <v>44144.333333333299</v>
      </c>
      <c r="D255" s="7">
        <f ca="1">IFERROR(__xludf.DUMMYFUNCTION("""COMPUTED_VALUE"""),2377)</f>
        <v>2377</v>
      </c>
      <c r="E255" s="7">
        <f ca="1">IFERROR(__xludf.DUMMYFUNCTION("""COMPUTED_VALUE"""),102844)</f>
        <v>102844</v>
      </c>
      <c r="F255" s="7">
        <f ca="1">IFERROR(__xludf.DUMMYFUNCTION("""COMPUTED_VALUE"""),6050)</f>
        <v>6050</v>
      </c>
      <c r="G255" s="7">
        <f ca="1">IFERROR(__xludf.DUMMYFUNCTION("""COMPUTED_VALUE"""),1472)</f>
        <v>1472</v>
      </c>
      <c r="H255" s="7">
        <f ca="1">IFERROR(__xludf.DUMMYFUNCTION("""COMPUTED_VALUE"""),112743)</f>
        <v>112743</v>
      </c>
      <c r="I255" s="7">
        <f ca="1">IFERROR(__xludf.DUMMYFUNCTION("""COMPUTED_VALUE"""),716)</f>
        <v>716</v>
      </c>
      <c r="J255" s="7">
        <f ca="1">IFERROR(__xludf.DUMMYFUNCTION("""COMPUTED_VALUE"""),7522)</f>
        <v>7522</v>
      </c>
      <c r="K255" s="7">
        <f ca="1">IFERROR(__xludf.DUMMYFUNCTION("""COMPUTED_VALUE"""),1053)</f>
        <v>1053</v>
      </c>
      <c r="L255" s="7">
        <f ca="1">IFERROR(__xludf.DUMMYFUNCTION("""COMPUTED_VALUE"""),3336)</f>
        <v>3336</v>
      </c>
      <c r="M255" s="7">
        <f ca="1">IFERROR(__xludf.DUMMYFUNCTION("""COMPUTED_VALUE"""),3628)</f>
        <v>3628</v>
      </c>
      <c r="N255" s="7">
        <f ca="1">IFERROR(__xludf.DUMMYFUNCTION("""COMPUTED_VALUE"""),558)</f>
        <v>558</v>
      </c>
    </row>
    <row r="256" spans="1:14" ht="13.2" x14ac:dyDescent="0.25">
      <c r="A256" s="6">
        <f ca="1">IFERROR(__xludf.DUMMYFUNCTION("""COMPUTED_VALUE"""),44145)</f>
        <v>44145</v>
      </c>
      <c r="B256" s="7">
        <f ca="1">IFERROR(__xludf.DUMMYFUNCTION("""COMPUTED_VALUE"""),8)</f>
        <v>8</v>
      </c>
      <c r="C256" s="8">
        <f ca="1">IFERROR(__xludf.DUMMYFUNCTION("""COMPUTED_VALUE"""),44145.3333333333)</f>
        <v>44145.333333333299</v>
      </c>
      <c r="D256" s="7">
        <f ca="1">IFERROR(__xludf.DUMMYFUNCTION("""COMPUTED_VALUE"""),2391)</f>
        <v>2391</v>
      </c>
      <c r="E256" s="7">
        <f ca="1">IFERROR(__xludf.DUMMYFUNCTION("""COMPUTED_VALUE"""),104144)</f>
        <v>104144</v>
      </c>
      <c r="F256" s="7">
        <f ca="1">IFERROR(__xludf.DUMMYFUNCTION("""COMPUTED_VALUE"""),5724)</f>
        <v>5724</v>
      </c>
      <c r="G256" s="7">
        <f ca="1">IFERROR(__xludf.DUMMYFUNCTION("""COMPUTED_VALUE"""),1497)</f>
        <v>1497</v>
      </c>
      <c r="H256" s="7">
        <f ca="1">IFERROR(__xludf.DUMMYFUNCTION("""COMPUTED_VALUE"""),113756)</f>
        <v>113756</v>
      </c>
      <c r="I256" s="7">
        <f ca="1">IFERROR(__xludf.DUMMYFUNCTION("""COMPUTED_VALUE"""),1013)</f>
        <v>1013</v>
      </c>
      <c r="J256" s="7">
        <f ca="1">IFERROR(__xludf.DUMMYFUNCTION("""COMPUTED_VALUE"""),7221)</f>
        <v>7221</v>
      </c>
      <c r="K256" s="7">
        <f ca="1">IFERROR(__xludf.DUMMYFUNCTION("""COMPUTED_VALUE"""),1300)</f>
        <v>1300</v>
      </c>
      <c r="L256" s="7">
        <f ca="1">IFERROR(__xludf.DUMMYFUNCTION("""COMPUTED_VALUE"""),3213)</f>
        <v>3213</v>
      </c>
      <c r="M256" s="7">
        <f ca="1">IFERROR(__xludf.DUMMYFUNCTION("""COMPUTED_VALUE"""),3580)</f>
        <v>3580</v>
      </c>
      <c r="N256" s="7">
        <f ca="1">IFERROR(__xludf.DUMMYFUNCTION("""COMPUTED_VALUE"""),428)</f>
        <v>428</v>
      </c>
    </row>
    <row r="257" spans="1:14" ht="13.2" x14ac:dyDescent="0.25">
      <c r="A257" s="6">
        <f ca="1">IFERROR(__xludf.DUMMYFUNCTION("""COMPUTED_VALUE"""),44146)</f>
        <v>44146</v>
      </c>
      <c r="B257" s="7">
        <f ca="1">IFERROR(__xludf.DUMMYFUNCTION("""COMPUTED_VALUE"""),8)</f>
        <v>8</v>
      </c>
      <c r="C257" s="8">
        <f ca="1">IFERROR(__xludf.DUMMYFUNCTION("""COMPUTED_VALUE"""),44146.3333333333)</f>
        <v>44146.333333333299</v>
      </c>
      <c r="D257" s="7">
        <f ca="1">IFERROR(__xludf.DUMMYFUNCTION("""COMPUTED_VALUE"""),2403)</f>
        <v>2403</v>
      </c>
      <c r="E257" s="7">
        <f ca="1">IFERROR(__xludf.DUMMYFUNCTION("""COMPUTED_VALUE"""),105117)</f>
        <v>105117</v>
      </c>
      <c r="F257" s="7">
        <f ca="1">IFERROR(__xludf.DUMMYFUNCTION("""COMPUTED_VALUE"""),5161)</f>
        <v>5161</v>
      </c>
      <c r="G257" s="7">
        <f ca="1">IFERROR(__xludf.DUMMYFUNCTION("""COMPUTED_VALUE"""),1662)</f>
        <v>1662</v>
      </c>
      <c r="H257" s="7">
        <f ca="1">IFERROR(__xludf.DUMMYFUNCTION("""COMPUTED_VALUE"""),114343)</f>
        <v>114343</v>
      </c>
      <c r="I257" s="7">
        <f ca="1">IFERROR(__xludf.DUMMYFUNCTION("""COMPUTED_VALUE"""),587)</f>
        <v>587</v>
      </c>
      <c r="J257" s="7">
        <f ca="1">IFERROR(__xludf.DUMMYFUNCTION("""COMPUTED_VALUE"""),6823)</f>
        <v>6823</v>
      </c>
      <c r="K257" s="7">
        <f ca="1">IFERROR(__xludf.DUMMYFUNCTION("""COMPUTED_VALUE"""),973)</f>
        <v>973</v>
      </c>
      <c r="L257" s="7">
        <f ca="1">IFERROR(__xludf.DUMMYFUNCTION("""COMPUTED_VALUE"""),2915)</f>
        <v>2915</v>
      </c>
      <c r="M257" s="7">
        <f ca="1">IFERROR(__xludf.DUMMYFUNCTION("""COMPUTED_VALUE"""),3518)</f>
        <v>3518</v>
      </c>
      <c r="N257" s="7">
        <f ca="1">IFERROR(__xludf.DUMMYFUNCTION("""COMPUTED_VALUE"""),390)</f>
        <v>390</v>
      </c>
    </row>
    <row r="258" spans="1:14" ht="13.2" x14ac:dyDescent="0.25">
      <c r="A258" s="6">
        <f ca="1">IFERROR(__xludf.DUMMYFUNCTION("""COMPUTED_VALUE"""),44147)</f>
        <v>44147</v>
      </c>
      <c r="B258" s="7">
        <f ca="1">IFERROR(__xludf.DUMMYFUNCTION("""COMPUTED_VALUE"""),8)</f>
        <v>8</v>
      </c>
      <c r="C258" s="8">
        <f ca="1">IFERROR(__xludf.DUMMYFUNCTION("""COMPUTED_VALUE"""),44147.3333333333)</f>
        <v>44147.333333333299</v>
      </c>
      <c r="D258" s="7">
        <f ca="1">IFERROR(__xludf.DUMMYFUNCTION("""COMPUTED_VALUE"""),2414)</f>
        <v>2414</v>
      </c>
      <c r="E258" s="7">
        <f ca="1">IFERROR(__xludf.DUMMYFUNCTION("""COMPUTED_VALUE"""),106189)</f>
        <v>106189</v>
      </c>
      <c r="F258" s="7">
        <f ca="1">IFERROR(__xludf.DUMMYFUNCTION("""COMPUTED_VALUE"""),4878)</f>
        <v>4878</v>
      </c>
      <c r="G258" s="7">
        <f ca="1">IFERROR(__xludf.DUMMYFUNCTION("""COMPUTED_VALUE"""),1693)</f>
        <v>1693</v>
      </c>
      <c r="H258" s="7">
        <f ca="1">IFERROR(__xludf.DUMMYFUNCTION("""COMPUTED_VALUE"""),115174)</f>
        <v>115174</v>
      </c>
      <c r="I258" s="7">
        <f ca="1">IFERROR(__xludf.DUMMYFUNCTION("""COMPUTED_VALUE"""),831)</f>
        <v>831</v>
      </c>
      <c r="J258" s="7">
        <f ca="1">IFERROR(__xludf.DUMMYFUNCTION("""COMPUTED_VALUE"""),6571)</f>
        <v>6571</v>
      </c>
      <c r="K258" s="7">
        <f ca="1">IFERROR(__xludf.DUMMYFUNCTION("""COMPUTED_VALUE"""),1072)</f>
        <v>1072</v>
      </c>
      <c r="L258" s="7">
        <f ca="1">IFERROR(__xludf.DUMMYFUNCTION("""COMPUTED_VALUE"""),2884)</f>
        <v>2884</v>
      </c>
      <c r="M258" s="7">
        <f ca="1">IFERROR(__xludf.DUMMYFUNCTION("""COMPUTED_VALUE"""),3204)</f>
        <v>3204</v>
      </c>
      <c r="N258" s="7">
        <f ca="1">IFERROR(__xludf.DUMMYFUNCTION("""COMPUTED_VALUE"""),483)</f>
        <v>483</v>
      </c>
    </row>
    <row r="259" spans="1:14" ht="13.2" x14ac:dyDescent="0.25">
      <c r="A259" s="6">
        <f ca="1">IFERROR(__xludf.DUMMYFUNCTION("""COMPUTED_VALUE"""),44148)</f>
        <v>44148</v>
      </c>
      <c r="B259" s="7">
        <f ca="1">IFERROR(__xludf.DUMMYFUNCTION("""COMPUTED_VALUE"""),8)</f>
        <v>8</v>
      </c>
      <c r="C259" s="8">
        <f ca="1">IFERROR(__xludf.DUMMYFUNCTION("""COMPUTED_VALUE"""),44148.3333333333)</f>
        <v>44148.333333333299</v>
      </c>
      <c r="D259" s="7">
        <f ca="1">IFERROR(__xludf.DUMMYFUNCTION("""COMPUTED_VALUE"""),2428)</f>
        <v>2428</v>
      </c>
      <c r="E259" s="7">
        <f ca="1">IFERROR(__xludf.DUMMYFUNCTION("""COMPUTED_VALUE"""),107147)</f>
        <v>107147</v>
      </c>
      <c r="F259" s="7">
        <f ca="1">IFERROR(__xludf.DUMMYFUNCTION("""COMPUTED_VALUE"""),5028)</f>
        <v>5028</v>
      </c>
      <c r="G259" s="7">
        <f ca="1">IFERROR(__xludf.DUMMYFUNCTION("""COMPUTED_VALUE"""),1604)</f>
        <v>1604</v>
      </c>
      <c r="H259" s="7">
        <f ca="1">IFERROR(__xludf.DUMMYFUNCTION("""COMPUTED_VALUE"""),116207)</f>
        <v>116207</v>
      </c>
      <c r="I259" s="7">
        <f ca="1">IFERROR(__xludf.DUMMYFUNCTION("""COMPUTED_VALUE"""),1033)</f>
        <v>1033</v>
      </c>
      <c r="J259" s="7">
        <f ca="1">IFERROR(__xludf.DUMMYFUNCTION("""COMPUTED_VALUE"""),6632)</f>
        <v>6632</v>
      </c>
      <c r="K259" s="7">
        <f ca="1">IFERROR(__xludf.DUMMYFUNCTION("""COMPUTED_VALUE"""),958)</f>
        <v>958</v>
      </c>
      <c r="L259" s="7">
        <f ca="1">IFERROR(__xludf.DUMMYFUNCTION("""COMPUTED_VALUE"""),2821)</f>
        <v>2821</v>
      </c>
      <c r="M259" s="7">
        <f ca="1">IFERROR(__xludf.DUMMYFUNCTION("""COMPUTED_VALUE"""),3193)</f>
        <v>3193</v>
      </c>
      <c r="N259" s="7">
        <f ca="1">IFERROR(__xludf.DUMMYFUNCTION("""COMPUTED_VALUE"""),618)</f>
        <v>618</v>
      </c>
    </row>
    <row r="260" spans="1:14" ht="13.2" x14ac:dyDescent="0.25">
      <c r="A260" s="6">
        <f ca="1">IFERROR(__xludf.DUMMYFUNCTION("""COMPUTED_VALUE"""),44149)</f>
        <v>44149</v>
      </c>
      <c r="B260" s="7">
        <f ca="1">IFERROR(__xludf.DUMMYFUNCTION("""COMPUTED_VALUE"""),8)</f>
        <v>8</v>
      </c>
      <c r="C260" s="8">
        <f ca="1">IFERROR(__xludf.DUMMYFUNCTION("""COMPUTED_VALUE"""),44149.3333333333)</f>
        <v>44149.333333333299</v>
      </c>
      <c r="D260" s="7">
        <f ca="1">IFERROR(__xludf.DUMMYFUNCTION("""COMPUTED_VALUE"""),2441)</f>
        <v>2441</v>
      </c>
      <c r="E260" s="7">
        <f ca="1">IFERROR(__xludf.DUMMYFUNCTION("""COMPUTED_VALUE"""),108209)</f>
        <v>108209</v>
      </c>
      <c r="F260" s="7">
        <f ca="1">IFERROR(__xludf.DUMMYFUNCTION("""COMPUTED_VALUE"""),4710)</f>
        <v>4710</v>
      </c>
      <c r="G260" s="7">
        <f ca="1">IFERROR(__xludf.DUMMYFUNCTION("""COMPUTED_VALUE"""),2102)</f>
        <v>2102</v>
      </c>
      <c r="H260" s="7">
        <f ca="1">IFERROR(__xludf.DUMMYFUNCTION("""COMPUTED_VALUE"""),117462)</f>
        <v>117462</v>
      </c>
      <c r="I260" s="7">
        <f ca="1">IFERROR(__xludf.DUMMYFUNCTION("""COMPUTED_VALUE"""),1255)</f>
        <v>1255</v>
      </c>
      <c r="J260" s="7">
        <f ca="1">IFERROR(__xludf.DUMMYFUNCTION("""COMPUTED_VALUE"""),6812)</f>
        <v>6812</v>
      </c>
      <c r="K260" s="7">
        <f ca="1">IFERROR(__xludf.DUMMYFUNCTION("""COMPUTED_VALUE"""),1062)</f>
        <v>1062</v>
      </c>
      <c r="L260" s="7">
        <f ca="1">IFERROR(__xludf.DUMMYFUNCTION("""COMPUTED_VALUE"""),2714)</f>
        <v>2714</v>
      </c>
      <c r="M260" s="7">
        <f ca="1">IFERROR(__xludf.DUMMYFUNCTION("""COMPUTED_VALUE"""),3197)</f>
        <v>3197</v>
      </c>
      <c r="N260" s="7">
        <f ca="1">IFERROR(__xludf.DUMMYFUNCTION("""COMPUTED_VALUE"""),901)</f>
        <v>901</v>
      </c>
    </row>
    <row r="261" spans="1:14" ht="13.2" x14ac:dyDescent="0.25">
      <c r="A261" s="6">
        <f ca="1">IFERROR(__xludf.DUMMYFUNCTION("""COMPUTED_VALUE"""),44150)</f>
        <v>44150</v>
      </c>
      <c r="B261" s="7">
        <f ca="1">IFERROR(__xludf.DUMMYFUNCTION("""COMPUTED_VALUE"""),8)</f>
        <v>8</v>
      </c>
      <c r="C261" s="8">
        <f ca="1">IFERROR(__xludf.DUMMYFUNCTION("""COMPUTED_VALUE"""),44150.3333333333)</f>
        <v>44150.333333333299</v>
      </c>
      <c r="D261" s="7">
        <f ca="1">IFERROR(__xludf.DUMMYFUNCTION("""COMPUTED_VALUE"""),2448)</f>
        <v>2448</v>
      </c>
      <c r="E261" s="7">
        <f ca="1">IFERROR(__xludf.DUMMYFUNCTION("""COMPUTED_VALUE"""),109181)</f>
        <v>109181</v>
      </c>
      <c r="F261" s="7">
        <f ca="1">IFERROR(__xludf.DUMMYFUNCTION("""COMPUTED_VALUE"""),4952)</f>
        <v>4952</v>
      </c>
      <c r="G261" s="7">
        <f ca="1">IFERROR(__xludf.DUMMYFUNCTION("""COMPUTED_VALUE"""),2046)</f>
        <v>2046</v>
      </c>
      <c r="H261" s="7">
        <f ca="1">IFERROR(__xludf.DUMMYFUNCTION("""COMPUTED_VALUE"""),118627)</f>
        <v>118627</v>
      </c>
      <c r="I261" s="7">
        <f ca="1">IFERROR(__xludf.DUMMYFUNCTION("""COMPUTED_VALUE"""),1165)</f>
        <v>1165</v>
      </c>
      <c r="J261" s="7">
        <f ca="1">IFERROR(__xludf.DUMMYFUNCTION("""COMPUTED_VALUE"""),6998)</f>
        <v>6998</v>
      </c>
      <c r="K261" s="7">
        <f ca="1">IFERROR(__xludf.DUMMYFUNCTION("""COMPUTED_VALUE"""),972)</f>
        <v>972</v>
      </c>
      <c r="L261" s="7">
        <f ca="1">IFERROR(__xludf.DUMMYFUNCTION("""COMPUTED_VALUE"""),2556)</f>
        <v>2556</v>
      </c>
      <c r="M261" s="7">
        <f ca="1">IFERROR(__xludf.DUMMYFUNCTION("""COMPUTED_VALUE"""),3659)</f>
        <v>3659</v>
      </c>
      <c r="N261" s="7">
        <f ca="1">IFERROR(__xludf.DUMMYFUNCTION("""COMPUTED_VALUE"""),783)</f>
        <v>783</v>
      </c>
    </row>
    <row r="262" spans="1:14" ht="13.2" x14ac:dyDescent="0.25">
      <c r="A262" s="6">
        <f ca="1">IFERROR(__xludf.DUMMYFUNCTION("""COMPUTED_VALUE"""),44151)</f>
        <v>44151</v>
      </c>
      <c r="B262" s="7">
        <f ca="1">IFERROR(__xludf.DUMMYFUNCTION("""COMPUTED_VALUE"""),8)</f>
        <v>8</v>
      </c>
      <c r="C262" s="8">
        <f ca="1">IFERROR(__xludf.DUMMYFUNCTION("""COMPUTED_VALUE"""),44151.3333333333)</f>
        <v>44151.333333333299</v>
      </c>
      <c r="D262" s="7">
        <f ca="1">IFERROR(__xludf.DUMMYFUNCTION("""COMPUTED_VALUE"""),2455)</f>
        <v>2455</v>
      </c>
      <c r="E262" s="7">
        <f ca="1">IFERROR(__xludf.DUMMYFUNCTION("""COMPUTED_VALUE"""),110221)</f>
        <v>110221</v>
      </c>
      <c r="F262" s="7">
        <f ca="1">IFERROR(__xludf.DUMMYFUNCTION("""COMPUTED_VALUE"""),4420)</f>
        <v>4420</v>
      </c>
      <c r="G262" s="7">
        <f ca="1">IFERROR(__xludf.DUMMYFUNCTION("""COMPUTED_VALUE"""),2537)</f>
        <v>2537</v>
      </c>
      <c r="H262" s="7">
        <f ca="1">IFERROR(__xludf.DUMMYFUNCTION("""COMPUTED_VALUE"""),119633)</f>
        <v>119633</v>
      </c>
      <c r="I262" s="7">
        <f ca="1">IFERROR(__xludf.DUMMYFUNCTION("""COMPUTED_VALUE"""),1006)</f>
        <v>1006</v>
      </c>
      <c r="J262" s="7">
        <f ca="1">IFERROR(__xludf.DUMMYFUNCTION("""COMPUTED_VALUE"""),6957)</f>
        <v>6957</v>
      </c>
      <c r="K262" s="7">
        <f ca="1">IFERROR(__xludf.DUMMYFUNCTION("""COMPUTED_VALUE"""),1040)</f>
        <v>1040</v>
      </c>
      <c r="L262" s="7">
        <f ca="1">IFERROR(__xludf.DUMMYFUNCTION("""COMPUTED_VALUE"""),2540)</f>
        <v>2540</v>
      </c>
      <c r="M262" s="7">
        <f ca="1">IFERROR(__xludf.DUMMYFUNCTION("""COMPUTED_VALUE"""),3784)</f>
        <v>3784</v>
      </c>
      <c r="N262" s="7">
        <f ca="1">IFERROR(__xludf.DUMMYFUNCTION("""COMPUTED_VALUE"""),633)</f>
        <v>633</v>
      </c>
    </row>
    <row r="263" spans="1:14" ht="13.2" x14ac:dyDescent="0.25">
      <c r="A263" s="6">
        <f ca="1">IFERROR(__xludf.DUMMYFUNCTION("""COMPUTED_VALUE"""),44152)</f>
        <v>44152</v>
      </c>
      <c r="B263" s="7">
        <f ca="1">IFERROR(__xludf.DUMMYFUNCTION("""COMPUTED_VALUE"""),8)</f>
        <v>8</v>
      </c>
      <c r="C263" s="8">
        <f ca="1">IFERROR(__xludf.DUMMYFUNCTION("""COMPUTED_VALUE"""),44152.3333333333)</f>
        <v>44152.333333333299</v>
      </c>
      <c r="D263" s="7">
        <f ca="1">IFERROR(__xludf.DUMMYFUNCTION("""COMPUTED_VALUE"""),2459)</f>
        <v>2459</v>
      </c>
      <c r="E263" s="7">
        <f ca="1">IFERROR(__xludf.DUMMYFUNCTION("""COMPUTED_VALUE"""),111096)</f>
        <v>111096</v>
      </c>
      <c r="F263" s="7">
        <f ca="1">IFERROR(__xludf.DUMMYFUNCTION("""COMPUTED_VALUE"""),4355)</f>
        <v>4355</v>
      </c>
      <c r="G263" s="7">
        <f ca="1">IFERROR(__xludf.DUMMYFUNCTION("""COMPUTED_VALUE"""),2761)</f>
        <v>2761</v>
      </c>
      <c r="H263" s="7">
        <f ca="1">IFERROR(__xludf.DUMMYFUNCTION("""COMPUTED_VALUE"""),120671)</f>
        <v>120671</v>
      </c>
      <c r="I263" s="7">
        <f ca="1">IFERROR(__xludf.DUMMYFUNCTION("""COMPUTED_VALUE"""),1038)</f>
        <v>1038</v>
      </c>
      <c r="J263" s="7">
        <f ca="1">IFERROR(__xludf.DUMMYFUNCTION("""COMPUTED_VALUE"""),7116)</f>
        <v>7116</v>
      </c>
      <c r="K263" s="7">
        <f ca="1">IFERROR(__xludf.DUMMYFUNCTION("""COMPUTED_VALUE"""),875)</f>
        <v>875</v>
      </c>
      <c r="L263" s="7">
        <f ca="1">IFERROR(__xludf.DUMMYFUNCTION("""COMPUTED_VALUE"""),2652)</f>
        <v>2652</v>
      </c>
      <c r="M263" s="7">
        <f ca="1">IFERROR(__xludf.DUMMYFUNCTION("""COMPUTED_VALUE"""),3732)</f>
        <v>3732</v>
      </c>
      <c r="N263" s="7">
        <f ca="1">IFERROR(__xludf.DUMMYFUNCTION("""COMPUTED_VALUE"""),732)</f>
        <v>732</v>
      </c>
    </row>
    <row r="264" spans="1:14" ht="13.2" x14ac:dyDescent="0.25">
      <c r="A264" s="6">
        <f ca="1">IFERROR(__xludf.DUMMYFUNCTION("""COMPUTED_VALUE"""),44153)</f>
        <v>44153</v>
      </c>
      <c r="B264" s="7">
        <f ca="1">IFERROR(__xludf.DUMMYFUNCTION("""COMPUTED_VALUE"""),8)</f>
        <v>8</v>
      </c>
      <c r="C264" s="8">
        <f ca="1">IFERROR(__xludf.DUMMYFUNCTION("""COMPUTED_VALUE"""),44153.3333333333)</f>
        <v>44153.333333333299</v>
      </c>
      <c r="D264" s="7">
        <f ca="1">IFERROR(__xludf.DUMMYFUNCTION("""COMPUTED_VALUE"""),2470)</f>
        <v>2470</v>
      </c>
      <c r="E264" s="7">
        <f ca="1">IFERROR(__xludf.DUMMYFUNCTION("""COMPUTED_VALUE"""),111948)</f>
        <v>111948</v>
      </c>
      <c r="F264" s="7">
        <f ca="1">IFERROR(__xludf.DUMMYFUNCTION("""COMPUTED_VALUE"""),4619)</f>
        <v>4619</v>
      </c>
      <c r="G264" s="7">
        <f ca="1">IFERROR(__xludf.DUMMYFUNCTION("""COMPUTED_VALUE"""),2781)</f>
        <v>2781</v>
      </c>
      <c r="H264" s="7">
        <f ca="1">IFERROR(__xludf.DUMMYFUNCTION("""COMPUTED_VALUE"""),121818)</f>
        <v>121818</v>
      </c>
      <c r="I264" s="7">
        <f ca="1">IFERROR(__xludf.DUMMYFUNCTION("""COMPUTED_VALUE"""),1147)</f>
        <v>1147</v>
      </c>
      <c r="J264" s="7">
        <f ca="1">IFERROR(__xludf.DUMMYFUNCTION("""COMPUTED_VALUE"""),7400)</f>
        <v>7400</v>
      </c>
      <c r="K264" s="7">
        <f ca="1">IFERROR(__xludf.DUMMYFUNCTION("""COMPUTED_VALUE"""),852)</f>
        <v>852</v>
      </c>
      <c r="L264" s="7">
        <f ca="1">IFERROR(__xludf.DUMMYFUNCTION("""COMPUTED_VALUE"""),2325)</f>
        <v>2325</v>
      </c>
      <c r="M264" s="7">
        <f ca="1">IFERROR(__xludf.DUMMYFUNCTION("""COMPUTED_VALUE"""),3757)</f>
        <v>3757</v>
      </c>
      <c r="N264" s="7">
        <f ca="1">IFERROR(__xludf.DUMMYFUNCTION("""COMPUTED_VALUE"""),1318)</f>
        <v>1318</v>
      </c>
    </row>
    <row r="265" spans="1:14" ht="13.2" x14ac:dyDescent="0.25">
      <c r="A265" s="6">
        <f ca="1">IFERROR(__xludf.DUMMYFUNCTION("""COMPUTED_VALUE"""),44154)</f>
        <v>44154</v>
      </c>
      <c r="B265" s="7">
        <f ca="1">IFERROR(__xludf.DUMMYFUNCTION("""COMPUTED_VALUE"""),8)</f>
        <v>8</v>
      </c>
      <c r="C265" s="8">
        <f ca="1">IFERROR(__xludf.DUMMYFUNCTION("""COMPUTED_VALUE"""),44154.3333333333)</f>
        <v>44154.333333333299</v>
      </c>
      <c r="D265" s="7">
        <f ca="1">IFERROR(__xludf.DUMMYFUNCTION("""COMPUTED_VALUE"""),2484)</f>
        <v>2484</v>
      </c>
      <c r="E265" s="7">
        <f ca="1">IFERROR(__xludf.DUMMYFUNCTION("""COMPUTED_VALUE"""),112833)</f>
        <v>112833</v>
      </c>
      <c r="F265" s="7">
        <f ca="1">IFERROR(__xludf.DUMMYFUNCTION("""COMPUTED_VALUE"""),4633)</f>
        <v>4633</v>
      </c>
      <c r="G265" s="7">
        <f ca="1">IFERROR(__xludf.DUMMYFUNCTION("""COMPUTED_VALUE"""),3053)</f>
        <v>3053</v>
      </c>
      <c r="H265" s="7">
        <f ca="1">IFERROR(__xludf.DUMMYFUNCTION("""COMPUTED_VALUE"""),123003)</f>
        <v>123003</v>
      </c>
      <c r="I265" s="7">
        <f ca="1">IFERROR(__xludf.DUMMYFUNCTION("""COMPUTED_VALUE"""),1185)</f>
        <v>1185</v>
      </c>
      <c r="J265" s="7">
        <f ca="1">IFERROR(__xludf.DUMMYFUNCTION("""COMPUTED_VALUE"""),7686)</f>
        <v>7686</v>
      </c>
      <c r="K265" s="7">
        <f ca="1">IFERROR(__xludf.DUMMYFUNCTION("""COMPUTED_VALUE"""),885)</f>
        <v>885</v>
      </c>
      <c r="L265" s="7">
        <f ca="1">IFERROR(__xludf.DUMMYFUNCTION("""COMPUTED_VALUE"""),2788)</f>
        <v>2788</v>
      </c>
      <c r="M265" s="7">
        <f ca="1">IFERROR(__xludf.DUMMYFUNCTION("""COMPUTED_VALUE"""),4099)</f>
        <v>4099</v>
      </c>
      <c r="N265" s="7">
        <f ca="1">IFERROR(__xludf.DUMMYFUNCTION("""COMPUTED_VALUE"""),799)</f>
        <v>799</v>
      </c>
    </row>
    <row r="266" spans="1:14" ht="13.2" x14ac:dyDescent="0.25">
      <c r="A266" s="6">
        <f ca="1">IFERROR(__xludf.DUMMYFUNCTION("""COMPUTED_VALUE"""),44155)</f>
        <v>44155</v>
      </c>
      <c r="B266" s="7">
        <f ca="1">IFERROR(__xludf.DUMMYFUNCTION("""COMPUTED_VALUE"""),8)</f>
        <v>8</v>
      </c>
      <c r="C266" s="8">
        <f ca="1">IFERROR(__xludf.DUMMYFUNCTION("""COMPUTED_VALUE"""),44155.3333333333)</f>
        <v>44155.333333333299</v>
      </c>
      <c r="D266" s="7">
        <f ca="1">IFERROR(__xludf.DUMMYFUNCTION("""COMPUTED_VALUE"""),2501)</f>
        <v>2501</v>
      </c>
      <c r="E266" s="7">
        <f ca="1">IFERROR(__xludf.DUMMYFUNCTION("""COMPUTED_VALUE"""),113739)</f>
        <v>113739</v>
      </c>
      <c r="F266" s="7">
        <f ca="1">IFERROR(__xludf.DUMMYFUNCTION("""COMPUTED_VALUE"""),4616)</f>
        <v>4616</v>
      </c>
      <c r="G266" s="7">
        <f ca="1">IFERROR(__xludf.DUMMYFUNCTION("""COMPUTED_VALUE"""),3387)</f>
        <v>3387</v>
      </c>
      <c r="H266" s="7">
        <f ca="1">IFERROR(__xludf.DUMMYFUNCTION("""COMPUTED_VALUE"""),124243)</f>
        <v>124243</v>
      </c>
      <c r="I266" s="7">
        <f ca="1">IFERROR(__xludf.DUMMYFUNCTION("""COMPUTED_VALUE"""),1240)</f>
        <v>1240</v>
      </c>
      <c r="J266" s="7">
        <f ca="1">IFERROR(__xludf.DUMMYFUNCTION("""COMPUTED_VALUE"""),8003)</f>
        <v>8003</v>
      </c>
      <c r="K266" s="7">
        <f ca="1">IFERROR(__xludf.DUMMYFUNCTION("""COMPUTED_VALUE"""),906)</f>
        <v>906</v>
      </c>
      <c r="L266" s="7">
        <f ca="1">IFERROR(__xludf.DUMMYFUNCTION("""COMPUTED_VALUE"""),3024)</f>
        <v>3024</v>
      </c>
      <c r="M266" s="7">
        <f ca="1">IFERROR(__xludf.DUMMYFUNCTION("""COMPUTED_VALUE"""),4198)</f>
        <v>4198</v>
      </c>
      <c r="N266" s="7">
        <f ca="1">IFERROR(__xludf.DUMMYFUNCTION("""COMPUTED_VALUE"""),781)</f>
        <v>781</v>
      </c>
    </row>
    <row r="267" spans="1:14" ht="13.2" x14ac:dyDescent="0.25">
      <c r="A267" s="6">
        <f ca="1">IFERROR(__xludf.DUMMYFUNCTION("""COMPUTED_VALUE"""),44156)</f>
        <v>44156</v>
      </c>
      <c r="B267" s="7">
        <f ca="1">IFERROR(__xludf.DUMMYFUNCTION("""COMPUTED_VALUE"""),8)</f>
        <v>8</v>
      </c>
      <c r="C267" s="8">
        <f ca="1">IFERROR(__xludf.DUMMYFUNCTION("""COMPUTED_VALUE"""),44156.3333333333)</f>
        <v>44156.333333333299</v>
      </c>
      <c r="D267" s="7">
        <f ca="1">IFERROR(__xludf.DUMMYFUNCTION("""COMPUTED_VALUE"""),2515)</f>
        <v>2515</v>
      </c>
      <c r="E267" s="7">
        <f ca="1">IFERROR(__xludf.DUMMYFUNCTION("""COMPUTED_VALUE"""),114863)</f>
        <v>114863</v>
      </c>
      <c r="F267" s="7">
        <f ca="1">IFERROR(__xludf.DUMMYFUNCTION("""COMPUTED_VALUE"""),5323)</f>
        <v>5323</v>
      </c>
      <c r="G267" s="7">
        <f ca="1">IFERROR(__xludf.DUMMYFUNCTION("""COMPUTED_VALUE"""),3121)</f>
        <v>3121</v>
      </c>
      <c r="H267" s="7">
        <f ca="1">IFERROR(__xludf.DUMMYFUNCTION("""COMPUTED_VALUE"""),125822)</f>
        <v>125822</v>
      </c>
      <c r="I267" s="7">
        <f ca="1">IFERROR(__xludf.DUMMYFUNCTION("""COMPUTED_VALUE"""),1579)</f>
        <v>1579</v>
      </c>
      <c r="J267" s="7">
        <f ca="1">IFERROR(__xludf.DUMMYFUNCTION("""COMPUTED_VALUE"""),8444)</f>
        <v>8444</v>
      </c>
      <c r="K267" s="7">
        <f ca="1">IFERROR(__xludf.DUMMYFUNCTION("""COMPUTED_VALUE"""),1124)</f>
        <v>1124</v>
      </c>
      <c r="L267" s="7">
        <f ca="1">IFERROR(__xludf.DUMMYFUNCTION("""COMPUTED_VALUE"""),3160)</f>
        <v>3160</v>
      </c>
      <c r="M267" s="7">
        <f ca="1">IFERROR(__xludf.DUMMYFUNCTION("""COMPUTED_VALUE"""),4255)</f>
        <v>4255</v>
      </c>
      <c r="N267" s="7">
        <f ca="1">IFERROR(__xludf.DUMMYFUNCTION("""COMPUTED_VALUE"""),1029)</f>
        <v>1029</v>
      </c>
    </row>
    <row r="268" spans="1:14" ht="13.2" x14ac:dyDescent="0.25">
      <c r="A268" s="6">
        <f ca="1">IFERROR(__xludf.DUMMYFUNCTION("""COMPUTED_VALUE"""),44157)</f>
        <v>44157</v>
      </c>
      <c r="B268" s="7">
        <f ca="1">IFERROR(__xludf.DUMMYFUNCTION("""COMPUTED_VALUE"""),8)</f>
        <v>8</v>
      </c>
      <c r="C268" s="8">
        <f ca="1">IFERROR(__xludf.DUMMYFUNCTION("""COMPUTED_VALUE"""),44157.3333333333)</f>
        <v>44157.333333333299</v>
      </c>
      <c r="D268" s="7">
        <f ca="1">IFERROR(__xludf.DUMMYFUNCTION("""COMPUTED_VALUE"""),2531)</f>
        <v>2531</v>
      </c>
      <c r="E268" s="7">
        <f ca="1">IFERROR(__xludf.DUMMYFUNCTION("""COMPUTED_VALUE"""),115939)</f>
        <v>115939</v>
      </c>
      <c r="F268" s="7">
        <f ca="1">IFERROR(__xludf.DUMMYFUNCTION("""COMPUTED_VALUE"""),5529)</f>
        <v>5529</v>
      </c>
      <c r="G268" s="7">
        <f ca="1">IFERROR(__xludf.DUMMYFUNCTION("""COMPUTED_VALUE"""),3165)</f>
        <v>3165</v>
      </c>
      <c r="H268" s="7">
        <f ca="1">IFERROR(__xludf.DUMMYFUNCTION("""COMPUTED_VALUE"""),127164)</f>
        <v>127164</v>
      </c>
      <c r="I268" s="7">
        <f ca="1">IFERROR(__xludf.DUMMYFUNCTION("""COMPUTED_VALUE"""),1342)</f>
        <v>1342</v>
      </c>
      <c r="J268" s="7">
        <f ca="1">IFERROR(__xludf.DUMMYFUNCTION("""COMPUTED_VALUE"""),8694)</f>
        <v>8694</v>
      </c>
      <c r="K268" s="7">
        <f ca="1">IFERROR(__xludf.DUMMYFUNCTION("""COMPUTED_VALUE"""),1076)</f>
        <v>1076</v>
      </c>
      <c r="L268" s="7">
        <f ca="1">IFERROR(__xludf.DUMMYFUNCTION("""COMPUTED_VALUE"""),3322)</f>
        <v>3322</v>
      </c>
      <c r="M268" s="7">
        <f ca="1">IFERROR(__xludf.DUMMYFUNCTION("""COMPUTED_VALUE"""),4550)</f>
        <v>4550</v>
      </c>
      <c r="N268" s="7">
        <f ca="1">IFERROR(__xludf.DUMMYFUNCTION("""COMPUTED_VALUE"""),822)</f>
        <v>822</v>
      </c>
    </row>
    <row r="269" spans="1:14" ht="13.2" x14ac:dyDescent="0.25">
      <c r="A269" s="6">
        <f ca="1">IFERROR(__xludf.DUMMYFUNCTION("""COMPUTED_VALUE"""),44158)</f>
        <v>44158</v>
      </c>
      <c r="B269" s="7">
        <f ca="1">IFERROR(__xludf.DUMMYFUNCTION("""COMPUTED_VALUE"""),8)</f>
        <v>8</v>
      </c>
      <c r="C269" s="8">
        <f ca="1">IFERROR(__xludf.DUMMYFUNCTION("""COMPUTED_VALUE"""),44158.3333333333)</f>
        <v>44158.333333333299</v>
      </c>
      <c r="D269" s="7">
        <f ca="1">IFERROR(__xludf.DUMMYFUNCTION("""COMPUTED_VALUE"""),2548)</f>
        <v>2548</v>
      </c>
      <c r="E269" s="7">
        <f ca="1">IFERROR(__xludf.DUMMYFUNCTION("""COMPUTED_VALUE"""),117003)</f>
        <v>117003</v>
      </c>
      <c r="F269" s="7">
        <f ca="1">IFERROR(__xludf.DUMMYFUNCTION("""COMPUTED_VALUE"""),5592)</f>
        <v>5592</v>
      </c>
      <c r="G269" s="7">
        <f ca="1">IFERROR(__xludf.DUMMYFUNCTION("""COMPUTED_VALUE"""),3030)</f>
        <v>3030</v>
      </c>
      <c r="H269" s="7">
        <f ca="1">IFERROR(__xludf.DUMMYFUNCTION("""COMPUTED_VALUE"""),128173)</f>
        <v>128173</v>
      </c>
      <c r="I269" s="7">
        <f ca="1">IFERROR(__xludf.DUMMYFUNCTION("""COMPUTED_VALUE"""),1009)</f>
        <v>1009</v>
      </c>
      <c r="J269" s="7">
        <f ca="1">IFERROR(__xludf.DUMMYFUNCTION("""COMPUTED_VALUE"""),8622)</f>
        <v>8622</v>
      </c>
      <c r="K269" s="7">
        <f ca="1">IFERROR(__xludf.DUMMYFUNCTION("""COMPUTED_VALUE"""),1064)</f>
        <v>1064</v>
      </c>
      <c r="L269" s="7">
        <f ca="1">IFERROR(__xludf.DUMMYFUNCTION("""COMPUTED_VALUE"""),2816)</f>
        <v>2816</v>
      </c>
      <c r="M269" s="7">
        <f ca="1">IFERROR(__xludf.DUMMYFUNCTION("""COMPUTED_VALUE"""),4185)</f>
        <v>4185</v>
      </c>
      <c r="N269" s="7">
        <f ca="1">IFERROR(__xludf.DUMMYFUNCTION("""COMPUTED_VALUE"""),1621)</f>
        <v>1621</v>
      </c>
    </row>
    <row r="270" spans="1:14" ht="13.2" x14ac:dyDescent="0.25">
      <c r="A270" s="6">
        <f ca="1">IFERROR(__xludf.DUMMYFUNCTION("""COMPUTED_VALUE"""),44159)</f>
        <v>44159</v>
      </c>
      <c r="B270" s="7">
        <f ca="1">IFERROR(__xludf.DUMMYFUNCTION("""COMPUTED_VALUE"""),8)</f>
        <v>8</v>
      </c>
      <c r="C270" s="8">
        <f ca="1">IFERROR(__xludf.DUMMYFUNCTION("""COMPUTED_VALUE"""),44159.3333333333)</f>
        <v>44159.333333333299</v>
      </c>
      <c r="D270" s="7">
        <f ca="1">IFERROR(__xludf.DUMMYFUNCTION("""COMPUTED_VALUE"""),2567)</f>
        <v>2567</v>
      </c>
      <c r="E270" s="7">
        <f ca="1">IFERROR(__xludf.DUMMYFUNCTION("""COMPUTED_VALUE"""),118062)</f>
        <v>118062</v>
      </c>
      <c r="F270" s="7">
        <f ca="1">IFERROR(__xludf.DUMMYFUNCTION("""COMPUTED_VALUE"""),5518)</f>
        <v>5518</v>
      </c>
      <c r="G270" s="7">
        <f ca="1">IFERROR(__xludf.DUMMYFUNCTION("""COMPUTED_VALUE"""),3041)</f>
        <v>3041</v>
      </c>
      <c r="H270" s="7">
        <f ca="1">IFERROR(__xludf.DUMMYFUNCTION("""COMPUTED_VALUE"""),129188)</f>
        <v>129188</v>
      </c>
      <c r="I270" s="7">
        <f ca="1">IFERROR(__xludf.DUMMYFUNCTION("""COMPUTED_VALUE"""),1015)</f>
        <v>1015</v>
      </c>
      <c r="J270" s="7">
        <f ca="1">IFERROR(__xludf.DUMMYFUNCTION("""COMPUTED_VALUE"""),8559)</f>
        <v>8559</v>
      </c>
      <c r="K270" s="7">
        <f ca="1">IFERROR(__xludf.DUMMYFUNCTION("""COMPUTED_VALUE"""),1059)</f>
        <v>1059</v>
      </c>
      <c r="L270" s="7">
        <f ca="1">IFERROR(__xludf.DUMMYFUNCTION("""COMPUTED_VALUE"""),3438)</f>
        <v>3438</v>
      </c>
      <c r="M270" s="7">
        <f ca="1">IFERROR(__xludf.DUMMYFUNCTION("""COMPUTED_VALUE"""),4556)</f>
        <v>4556</v>
      </c>
      <c r="N270" s="7">
        <f ca="1">IFERROR(__xludf.DUMMYFUNCTION("""COMPUTED_VALUE"""),565)</f>
        <v>565</v>
      </c>
    </row>
    <row r="271" spans="1:14" ht="13.2" x14ac:dyDescent="0.25">
      <c r="A271" s="6">
        <f ca="1">IFERROR(__xludf.DUMMYFUNCTION("""COMPUTED_VALUE"""),44160)</f>
        <v>44160</v>
      </c>
      <c r="B271" s="7">
        <f ca="1">IFERROR(__xludf.DUMMYFUNCTION("""COMPUTED_VALUE"""),8)</f>
        <v>8</v>
      </c>
      <c r="C271" s="8">
        <f ca="1">IFERROR(__xludf.DUMMYFUNCTION("""COMPUTED_VALUE"""),44160.3333333333)</f>
        <v>44160.333333333299</v>
      </c>
      <c r="D271" s="7">
        <f ca="1">IFERROR(__xludf.DUMMYFUNCTION("""COMPUTED_VALUE"""),2584)</f>
        <v>2584</v>
      </c>
      <c r="E271" s="7">
        <f ca="1">IFERROR(__xludf.DUMMYFUNCTION("""COMPUTED_VALUE"""),119099)</f>
        <v>119099</v>
      </c>
      <c r="F271" s="7">
        <f ca="1">IFERROR(__xludf.DUMMYFUNCTION("""COMPUTED_VALUE"""),6000)</f>
        <v>6000</v>
      </c>
      <c r="G271" s="7">
        <f ca="1">IFERROR(__xludf.DUMMYFUNCTION("""COMPUTED_VALUE"""),2778)</f>
        <v>2778</v>
      </c>
      <c r="H271" s="7">
        <f ca="1">IFERROR(__xludf.DUMMYFUNCTION("""COMPUTED_VALUE"""),130461)</f>
        <v>130461</v>
      </c>
      <c r="I271" s="7">
        <f ca="1">IFERROR(__xludf.DUMMYFUNCTION("""COMPUTED_VALUE"""),1273)</f>
        <v>1273</v>
      </c>
      <c r="J271" s="7">
        <f ca="1">IFERROR(__xludf.DUMMYFUNCTION("""COMPUTED_VALUE"""),8778)</f>
        <v>8778</v>
      </c>
      <c r="K271" s="7">
        <f ca="1">IFERROR(__xludf.DUMMYFUNCTION("""COMPUTED_VALUE"""),1037)</f>
        <v>1037</v>
      </c>
      <c r="L271" s="7">
        <f ca="1">IFERROR(__xludf.DUMMYFUNCTION("""COMPUTED_VALUE"""),3527)</f>
        <v>3527</v>
      </c>
      <c r="M271" s="7">
        <f ca="1">IFERROR(__xludf.DUMMYFUNCTION("""COMPUTED_VALUE"""),4520)</f>
        <v>4520</v>
      </c>
      <c r="N271" s="7">
        <f ca="1">IFERROR(__xludf.DUMMYFUNCTION("""COMPUTED_VALUE"""),731)</f>
        <v>731</v>
      </c>
    </row>
    <row r="272" spans="1:14" ht="13.2" x14ac:dyDescent="0.25">
      <c r="A272" s="6">
        <f ca="1">IFERROR(__xludf.DUMMYFUNCTION("""COMPUTED_VALUE"""),44161)</f>
        <v>44161</v>
      </c>
      <c r="B272" s="7">
        <f ca="1">IFERROR(__xludf.DUMMYFUNCTION("""COMPUTED_VALUE"""),8)</f>
        <v>8</v>
      </c>
      <c r="C272" s="8">
        <f ca="1">IFERROR(__xludf.DUMMYFUNCTION("""COMPUTED_VALUE"""),44161.3333333333)</f>
        <v>44161.333333333299</v>
      </c>
      <c r="D272" s="7">
        <f ca="1">IFERROR(__xludf.DUMMYFUNCTION("""COMPUTED_VALUE"""),2597)</f>
        <v>2597</v>
      </c>
      <c r="E272" s="7">
        <f ca="1">IFERROR(__xludf.DUMMYFUNCTION("""COMPUTED_VALUE"""),120287)</f>
        <v>120287</v>
      </c>
      <c r="F272" s="7">
        <f ca="1">IFERROR(__xludf.DUMMYFUNCTION("""COMPUTED_VALUE"""),5876)</f>
        <v>5876</v>
      </c>
      <c r="G272" s="7">
        <f ca="1">IFERROR(__xludf.DUMMYFUNCTION("""COMPUTED_VALUE"""),2765)</f>
        <v>2765</v>
      </c>
      <c r="H272" s="7">
        <f ca="1">IFERROR(__xludf.DUMMYFUNCTION("""COMPUTED_VALUE"""),131525)</f>
        <v>131525</v>
      </c>
      <c r="I272" s="7">
        <f ca="1">IFERROR(__xludf.DUMMYFUNCTION("""COMPUTED_VALUE"""),1064)</f>
        <v>1064</v>
      </c>
      <c r="J272" s="7">
        <f ca="1">IFERROR(__xludf.DUMMYFUNCTION("""COMPUTED_VALUE"""),8641)</f>
        <v>8641</v>
      </c>
      <c r="K272" s="7">
        <f ca="1">IFERROR(__xludf.DUMMYFUNCTION("""COMPUTED_VALUE"""),1188)</f>
        <v>1188</v>
      </c>
      <c r="L272" s="7">
        <f ca="1">IFERROR(__xludf.DUMMYFUNCTION("""COMPUTED_VALUE"""),3710)</f>
        <v>3710</v>
      </c>
      <c r="M272" s="7">
        <f ca="1">IFERROR(__xludf.DUMMYFUNCTION("""COMPUTED_VALUE"""),4292)</f>
        <v>4292</v>
      </c>
      <c r="N272" s="7">
        <f ca="1">IFERROR(__xludf.DUMMYFUNCTION("""COMPUTED_VALUE"""),639)</f>
        <v>639</v>
      </c>
    </row>
    <row r="273" spans="1:14" ht="13.2" x14ac:dyDescent="0.25">
      <c r="A273" s="6">
        <f ca="1">IFERROR(__xludf.DUMMYFUNCTION("""COMPUTED_VALUE"""),44162)</f>
        <v>44162</v>
      </c>
      <c r="B273" s="7">
        <f ca="1">IFERROR(__xludf.DUMMYFUNCTION("""COMPUTED_VALUE"""),8)</f>
        <v>8</v>
      </c>
      <c r="C273" s="8">
        <f ca="1">IFERROR(__xludf.DUMMYFUNCTION("""COMPUTED_VALUE"""),44162.3333333333)</f>
        <v>44162.333333333299</v>
      </c>
      <c r="D273" s="7">
        <f ca="1">IFERROR(__xludf.DUMMYFUNCTION("""COMPUTED_VALUE"""),2614)</f>
        <v>2614</v>
      </c>
      <c r="E273" s="7">
        <f ca="1">IFERROR(__xludf.DUMMYFUNCTION("""COMPUTED_VALUE"""),121082)</f>
        <v>121082</v>
      </c>
      <c r="F273" s="7">
        <f ca="1">IFERROR(__xludf.DUMMYFUNCTION("""COMPUTED_VALUE"""),6653)</f>
        <v>6653</v>
      </c>
      <c r="G273" s="7">
        <f ca="1">IFERROR(__xludf.DUMMYFUNCTION("""COMPUTED_VALUE"""),2612)</f>
        <v>2612</v>
      </c>
      <c r="H273" s="7">
        <f ca="1">IFERROR(__xludf.DUMMYFUNCTION("""COMPUTED_VALUE"""),132961)</f>
        <v>132961</v>
      </c>
      <c r="I273" s="7">
        <f ca="1">IFERROR(__xludf.DUMMYFUNCTION("""COMPUTED_VALUE"""),1436)</f>
        <v>1436</v>
      </c>
      <c r="J273" s="7">
        <f ca="1">IFERROR(__xludf.DUMMYFUNCTION("""COMPUTED_VALUE"""),9265)</f>
        <v>9265</v>
      </c>
      <c r="K273" s="7">
        <f ca="1">IFERROR(__xludf.DUMMYFUNCTION("""COMPUTED_VALUE"""),795)</f>
        <v>795</v>
      </c>
      <c r="L273" s="7">
        <f ca="1">IFERROR(__xludf.DUMMYFUNCTION("""COMPUTED_VALUE"""),3711)</f>
        <v>3711</v>
      </c>
      <c r="M273" s="7">
        <f ca="1">IFERROR(__xludf.DUMMYFUNCTION("""COMPUTED_VALUE"""),4647)</f>
        <v>4647</v>
      </c>
      <c r="N273" s="7">
        <f ca="1">IFERROR(__xludf.DUMMYFUNCTION("""COMPUTED_VALUE"""),907)</f>
        <v>907</v>
      </c>
    </row>
    <row r="274" spans="1:14" ht="13.2" x14ac:dyDescent="0.25">
      <c r="A274" s="6">
        <f ca="1">IFERROR(__xludf.DUMMYFUNCTION("""COMPUTED_VALUE"""),44163)</f>
        <v>44163</v>
      </c>
      <c r="B274" s="7">
        <f ca="1">IFERROR(__xludf.DUMMYFUNCTION("""COMPUTED_VALUE"""),8)</f>
        <v>8</v>
      </c>
      <c r="C274" s="8">
        <f ca="1">IFERROR(__xludf.DUMMYFUNCTION("""COMPUTED_VALUE"""),44163.3333333333)</f>
        <v>44163.333333333299</v>
      </c>
      <c r="D274" s="7">
        <f ca="1">IFERROR(__xludf.DUMMYFUNCTION("""COMPUTED_VALUE"""),2632)</f>
        <v>2632</v>
      </c>
      <c r="E274" s="7">
        <f ca="1">IFERROR(__xludf.DUMMYFUNCTION("""COMPUTED_VALUE"""),122328)</f>
        <v>122328</v>
      </c>
      <c r="F274" s="7">
        <f ca="1">IFERROR(__xludf.DUMMYFUNCTION("""COMPUTED_VALUE"""),6921)</f>
        <v>6921</v>
      </c>
      <c r="G274" s="7">
        <f ca="1">IFERROR(__xludf.DUMMYFUNCTION("""COMPUTED_VALUE"""),2450)</f>
        <v>2450</v>
      </c>
      <c r="H274" s="7">
        <f ca="1">IFERROR(__xludf.DUMMYFUNCTION("""COMPUTED_VALUE"""),134331)</f>
        <v>134331</v>
      </c>
      <c r="I274" s="7">
        <f ca="1">IFERROR(__xludf.DUMMYFUNCTION("""COMPUTED_VALUE"""),1370)</f>
        <v>1370</v>
      </c>
      <c r="J274" s="7">
        <f ca="1">IFERROR(__xludf.DUMMYFUNCTION("""COMPUTED_VALUE"""),9371)</f>
        <v>9371</v>
      </c>
      <c r="K274" s="7">
        <f ca="1">IFERROR(__xludf.DUMMYFUNCTION("""COMPUTED_VALUE"""),1246)</f>
        <v>1246</v>
      </c>
      <c r="L274" s="7">
        <f ca="1">IFERROR(__xludf.DUMMYFUNCTION("""COMPUTED_VALUE"""),3938)</f>
        <v>3938</v>
      </c>
      <c r="M274" s="7">
        <f ca="1">IFERROR(__xludf.DUMMYFUNCTION("""COMPUTED_VALUE"""),4524)</f>
        <v>4524</v>
      </c>
      <c r="N274" s="7">
        <f ca="1">IFERROR(__xludf.DUMMYFUNCTION("""COMPUTED_VALUE"""),909)</f>
        <v>909</v>
      </c>
    </row>
    <row r="275" spans="1:14" ht="13.2" x14ac:dyDescent="0.25">
      <c r="A275" s="6">
        <f ca="1">IFERROR(__xludf.DUMMYFUNCTION("""COMPUTED_VALUE"""),44164)</f>
        <v>44164</v>
      </c>
      <c r="B275" s="7">
        <f ca="1">IFERROR(__xludf.DUMMYFUNCTION("""COMPUTED_VALUE"""),8)</f>
        <v>8</v>
      </c>
      <c r="C275" s="8">
        <f ca="1">IFERROR(__xludf.DUMMYFUNCTION("""COMPUTED_VALUE"""),44164.3333333333)</f>
        <v>44164.333333333299</v>
      </c>
      <c r="D275" s="7">
        <f ca="1">IFERROR(__xludf.DUMMYFUNCTION("""COMPUTED_VALUE"""),2652)</f>
        <v>2652</v>
      </c>
      <c r="E275" s="7">
        <f ca="1">IFERROR(__xludf.DUMMYFUNCTION("""COMPUTED_VALUE"""),123163)</f>
        <v>123163</v>
      </c>
      <c r="F275" s="7">
        <f ca="1">IFERROR(__xludf.DUMMYFUNCTION("""COMPUTED_VALUE"""),7608)</f>
        <v>7608</v>
      </c>
      <c r="G275" s="7">
        <f ca="1">IFERROR(__xludf.DUMMYFUNCTION("""COMPUTED_VALUE"""),2339)</f>
        <v>2339</v>
      </c>
      <c r="H275" s="7">
        <f ca="1">IFERROR(__xludf.DUMMYFUNCTION("""COMPUTED_VALUE"""),135762)</f>
        <v>135762</v>
      </c>
      <c r="I275" s="7">
        <f ca="1">IFERROR(__xludf.DUMMYFUNCTION("""COMPUTED_VALUE"""),1431)</f>
        <v>1431</v>
      </c>
      <c r="J275" s="7">
        <f ca="1">IFERROR(__xludf.DUMMYFUNCTION("""COMPUTED_VALUE"""),9947)</f>
        <v>9947</v>
      </c>
      <c r="K275" s="7">
        <f ca="1">IFERROR(__xludf.DUMMYFUNCTION("""COMPUTED_VALUE"""),835)</f>
        <v>835</v>
      </c>
      <c r="L275" s="7">
        <f ca="1">IFERROR(__xludf.DUMMYFUNCTION("""COMPUTED_VALUE"""),3536)</f>
        <v>3536</v>
      </c>
      <c r="M275" s="7">
        <f ca="1">IFERROR(__xludf.DUMMYFUNCTION("""COMPUTED_VALUE"""),4544)</f>
        <v>4544</v>
      </c>
      <c r="N275" s="7">
        <f ca="1">IFERROR(__xludf.DUMMYFUNCTION("""COMPUTED_VALUE"""),1867)</f>
        <v>1867</v>
      </c>
    </row>
    <row r="276" spans="1:14" ht="13.2" x14ac:dyDescent="0.25">
      <c r="A276" s="6">
        <f ca="1">IFERROR(__xludf.DUMMYFUNCTION("""COMPUTED_VALUE"""),44165)</f>
        <v>44165</v>
      </c>
      <c r="B276" s="7">
        <f ca="1">IFERROR(__xludf.DUMMYFUNCTION("""COMPUTED_VALUE"""),8)</f>
        <v>8</v>
      </c>
      <c r="C276" s="8">
        <f ca="1">IFERROR(__xludf.DUMMYFUNCTION("""COMPUTED_VALUE"""),44165.3333333333)</f>
        <v>44165.333333333299</v>
      </c>
      <c r="D276" s="7">
        <f ca="1">IFERROR(__xludf.DUMMYFUNCTION("""COMPUTED_VALUE"""),2671)</f>
        <v>2671</v>
      </c>
      <c r="E276" s="7">
        <f ca="1">IFERROR(__xludf.DUMMYFUNCTION("""COMPUTED_VALUE"""),124078)</f>
        <v>124078</v>
      </c>
      <c r="F276" s="7">
        <f ca="1">IFERROR(__xludf.DUMMYFUNCTION("""COMPUTED_VALUE"""),7823)</f>
        <v>7823</v>
      </c>
      <c r="G276" s="7">
        <f ca="1">IFERROR(__xludf.DUMMYFUNCTION("""COMPUTED_VALUE"""),2289)</f>
        <v>2289</v>
      </c>
      <c r="H276" s="7">
        <f ca="1">IFERROR(__xludf.DUMMYFUNCTION("""COMPUTED_VALUE"""),136861)</f>
        <v>136861</v>
      </c>
      <c r="I276" s="7">
        <f ca="1">IFERROR(__xludf.DUMMYFUNCTION("""COMPUTED_VALUE"""),1099)</f>
        <v>1099</v>
      </c>
      <c r="J276" s="7">
        <f ca="1">IFERROR(__xludf.DUMMYFUNCTION("""COMPUTED_VALUE"""),10112)</f>
        <v>10112</v>
      </c>
      <c r="K276" s="7">
        <f ca="1">IFERROR(__xludf.DUMMYFUNCTION("""COMPUTED_VALUE"""),915)</f>
        <v>915</v>
      </c>
      <c r="L276" s="7">
        <f ca="1">IFERROR(__xludf.DUMMYFUNCTION("""COMPUTED_VALUE"""),4307)</f>
        <v>4307</v>
      </c>
      <c r="M276" s="7">
        <f ca="1">IFERROR(__xludf.DUMMYFUNCTION("""COMPUTED_VALUE"""),5027)</f>
        <v>5027</v>
      </c>
      <c r="N276" s="7">
        <f ca="1">IFERROR(__xludf.DUMMYFUNCTION("""COMPUTED_VALUE"""),778)</f>
        <v>778</v>
      </c>
    </row>
    <row r="277" spans="1:14" ht="13.2" x14ac:dyDescent="0.25">
      <c r="A277" s="6">
        <f ca="1">IFERROR(__xludf.DUMMYFUNCTION("""COMPUTED_VALUE"""),44166)</f>
        <v>44166</v>
      </c>
      <c r="B277" s="7">
        <f ca="1">IFERROR(__xludf.DUMMYFUNCTION("""COMPUTED_VALUE"""),8)</f>
        <v>8</v>
      </c>
      <c r="C277" s="8">
        <f ca="1">IFERROR(__xludf.DUMMYFUNCTION("""COMPUTED_VALUE"""),44166.3333333333)</f>
        <v>44166.333333333299</v>
      </c>
      <c r="D277" s="7">
        <f ca="1">IFERROR(__xludf.DUMMYFUNCTION("""COMPUTED_VALUE"""),2689)</f>
        <v>2689</v>
      </c>
      <c r="E277" s="7">
        <f ca="1">IFERROR(__xludf.DUMMYFUNCTION("""COMPUTED_VALUE"""),125102)</f>
        <v>125102</v>
      </c>
      <c r="F277" s="7">
        <f ca="1">IFERROR(__xludf.DUMMYFUNCTION("""COMPUTED_VALUE"""),7937)</f>
        <v>7937</v>
      </c>
      <c r="G277" s="7">
        <f ca="1">IFERROR(__xludf.DUMMYFUNCTION("""COMPUTED_VALUE"""),2191)</f>
        <v>2191</v>
      </c>
      <c r="H277" s="7">
        <f ca="1">IFERROR(__xludf.DUMMYFUNCTION("""COMPUTED_VALUE"""),137919)</f>
        <v>137919</v>
      </c>
      <c r="I277" s="7">
        <f ca="1">IFERROR(__xludf.DUMMYFUNCTION("""COMPUTED_VALUE"""),1058)</f>
        <v>1058</v>
      </c>
      <c r="J277" s="7">
        <f ca="1">IFERROR(__xludf.DUMMYFUNCTION("""COMPUTED_VALUE"""),10128)</f>
        <v>10128</v>
      </c>
      <c r="K277" s="7">
        <f ca="1">IFERROR(__xludf.DUMMYFUNCTION("""COMPUTED_VALUE"""),1024)</f>
        <v>1024</v>
      </c>
      <c r="L277" s="7">
        <f ca="1">IFERROR(__xludf.DUMMYFUNCTION("""COMPUTED_VALUE"""),2655)</f>
        <v>2655</v>
      </c>
      <c r="M277" s="7">
        <f ca="1">IFERROR(__xludf.DUMMYFUNCTION("""COMPUTED_VALUE"""),5973)</f>
        <v>5973</v>
      </c>
      <c r="N277" s="7">
        <f ca="1">IFERROR(__xludf.DUMMYFUNCTION("""COMPUTED_VALUE"""),1500)</f>
        <v>1500</v>
      </c>
    </row>
    <row r="278" spans="1:14" ht="13.2" x14ac:dyDescent="0.25">
      <c r="A278" s="6">
        <f ca="1">IFERROR(__xludf.DUMMYFUNCTION("""COMPUTED_VALUE"""),44167)</f>
        <v>44167</v>
      </c>
      <c r="B278" s="7">
        <f ca="1">IFERROR(__xludf.DUMMYFUNCTION("""COMPUTED_VALUE"""),8)</f>
        <v>8</v>
      </c>
      <c r="C278" s="8">
        <f ca="1">IFERROR(__xludf.DUMMYFUNCTION("""COMPUTED_VALUE"""),44167.3333333333)</f>
        <v>44167.333333333299</v>
      </c>
      <c r="D278" s="7">
        <f ca="1">IFERROR(__xludf.DUMMYFUNCTION("""COMPUTED_VALUE"""),2710)</f>
        <v>2710</v>
      </c>
      <c r="E278" s="7">
        <f ca="1">IFERROR(__xludf.DUMMYFUNCTION("""COMPUTED_VALUE"""),126163)</f>
        <v>126163</v>
      </c>
      <c r="F278" s="7">
        <f ca="1">IFERROR(__xludf.DUMMYFUNCTION("""COMPUTED_VALUE"""),8202)</f>
        <v>8202</v>
      </c>
      <c r="G278" s="7">
        <f ca="1">IFERROR(__xludf.DUMMYFUNCTION("""COMPUTED_VALUE"""),2010)</f>
        <v>2010</v>
      </c>
      <c r="H278" s="7">
        <f ca="1">IFERROR(__xludf.DUMMYFUNCTION("""COMPUTED_VALUE"""),139085)</f>
        <v>139085</v>
      </c>
      <c r="I278" s="7">
        <f ca="1">IFERROR(__xludf.DUMMYFUNCTION("""COMPUTED_VALUE"""),1166)</f>
        <v>1166</v>
      </c>
      <c r="J278" s="7">
        <f ca="1">IFERROR(__xludf.DUMMYFUNCTION("""COMPUTED_VALUE"""),10212)</f>
        <v>10212</v>
      </c>
      <c r="K278" s="7">
        <f ca="1">IFERROR(__xludf.DUMMYFUNCTION("""COMPUTED_VALUE"""),1061)</f>
        <v>1061</v>
      </c>
      <c r="L278" s="7">
        <f ca="1">IFERROR(__xludf.DUMMYFUNCTION("""COMPUTED_VALUE"""),1067)</f>
        <v>1067</v>
      </c>
      <c r="M278" s="7">
        <f ca="1">IFERROR(__xludf.DUMMYFUNCTION("""COMPUTED_VALUE"""),8586)</f>
        <v>8586</v>
      </c>
      <c r="N278" s="7">
        <f ca="1">IFERROR(__xludf.DUMMYFUNCTION("""COMPUTED_VALUE"""),559)</f>
        <v>559</v>
      </c>
    </row>
    <row r="279" spans="1:14" ht="13.2" x14ac:dyDescent="0.25">
      <c r="A279" s="6">
        <f ca="1">IFERROR(__xludf.DUMMYFUNCTION("""COMPUTED_VALUE"""),44168)</f>
        <v>44168</v>
      </c>
      <c r="B279" s="7">
        <f ca="1">IFERROR(__xludf.DUMMYFUNCTION("""COMPUTED_VALUE"""),8)</f>
        <v>8</v>
      </c>
      <c r="C279" s="8">
        <f ca="1">IFERROR(__xludf.DUMMYFUNCTION("""COMPUTED_VALUE"""),44168.3333333333)</f>
        <v>44168.333333333299</v>
      </c>
      <c r="D279" s="7">
        <f ca="1">IFERROR(__xludf.DUMMYFUNCTION("""COMPUTED_VALUE"""),2734)</f>
        <v>2734</v>
      </c>
      <c r="E279" s="7">
        <f ca="1">IFERROR(__xludf.DUMMYFUNCTION("""COMPUTED_VALUE"""),127136)</f>
        <v>127136</v>
      </c>
      <c r="F279" s="7">
        <f ca="1">IFERROR(__xludf.DUMMYFUNCTION("""COMPUTED_VALUE"""),8155)</f>
        <v>8155</v>
      </c>
      <c r="G279" s="7">
        <f ca="1">IFERROR(__xludf.DUMMYFUNCTION("""COMPUTED_VALUE"""),2213)</f>
        <v>2213</v>
      </c>
      <c r="H279" s="7">
        <f ca="1">IFERROR(__xludf.DUMMYFUNCTION("""COMPUTED_VALUE"""),140238)</f>
        <v>140238</v>
      </c>
      <c r="I279" s="7">
        <f ca="1">IFERROR(__xludf.DUMMYFUNCTION("""COMPUTED_VALUE"""),1153)</f>
        <v>1153</v>
      </c>
      <c r="J279" s="7">
        <f ca="1">IFERROR(__xludf.DUMMYFUNCTION("""COMPUTED_VALUE"""),10368)</f>
        <v>10368</v>
      </c>
      <c r="K279" s="7">
        <f ca="1">IFERROR(__xludf.DUMMYFUNCTION("""COMPUTED_VALUE"""),973)</f>
        <v>973</v>
      </c>
      <c r="L279" s="7">
        <f ca="1">IFERROR(__xludf.DUMMYFUNCTION("""COMPUTED_VALUE"""),1542)</f>
        <v>1542</v>
      </c>
      <c r="M279" s="7">
        <f ca="1">IFERROR(__xludf.DUMMYFUNCTION("""COMPUTED_VALUE"""),8082)</f>
        <v>8082</v>
      </c>
      <c r="N279" s="7">
        <f ca="1">IFERROR(__xludf.DUMMYFUNCTION("""COMPUTED_VALUE"""),744)</f>
        <v>744</v>
      </c>
    </row>
    <row r="280" spans="1:14" ht="13.2" x14ac:dyDescent="0.25">
      <c r="A280" s="6">
        <f ca="1">IFERROR(__xludf.DUMMYFUNCTION("""COMPUTED_VALUE"""),44169)</f>
        <v>44169</v>
      </c>
      <c r="B280" s="7">
        <f ca="1">IFERROR(__xludf.DUMMYFUNCTION("""COMPUTED_VALUE"""),8)</f>
        <v>8</v>
      </c>
      <c r="C280" s="8">
        <f ca="1">IFERROR(__xludf.DUMMYFUNCTION("""COMPUTED_VALUE"""),44169.3333333333)</f>
        <v>44169.333333333299</v>
      </c>
      <c r="D280" s="7">
        <f ca="1">IFERROR(__xludf.DUMMYFUNCTION("""COMPUTED_VALUE"""),2757)</f>
        <v>2757</v>
      </c>
      <c r="E280" s="7">
        <f ca="1">IFERROR(__xludf.DUMMYFUNCTION("""COMPUTED_VALUE"""),128051)</f>
        <v>128051</v>
      </c>
      <c r="F280" s="7">
        <f ca="1">IFERROR(__xludf.DUMMYFUNCTION("""COMPUTED_VALUE"""),8073)</f>
        <v>8073</v>
      </c>
      <c r="G280" s="7">
        <f ca="1">IFERROR(__xludf.DUMMYFUNCTION("""COMPUTED_VALUE"""),2389)</f>
        <v>2389</v>
      </c>
      <c r="H280" s="7">
        <f ca="1">IFERROR(__xludf.DUMMYFUNCTION("""COMPUTED_VALUE"""),141270)</f>
        <v>141270</v>
      </c>
      <c r="I280" s="7">
        <f ca="1">IFERROR(__xludf.DUMMYFUNCTION("""COMPUTED_VALUE"""),1032)</f>
        <v>1032</v>
      </c>
      <c r="J280" s="7">
        <f ca="1">IFERROR(__xludf.DUMMYFUNCTION("""COMPUTED_VALUE"""),10462)</f>
        <v>10462</v>
      </c>
      <c r="K280" s="7">
        <f ca="1">IFERROR(__xludf.DUMMYFUNCTION("""COMPUTED_VALUE"""),915)</f>
        <v>915</v>
      </c>
      <c r="L280" s="7">
        <f ca="1">IFERROR(__xludf.DUMMYFUNCTION("""COMPUTED_VALUE"""),2094)</f>
        <v>2094</v>
      </c>
      <c r="M280" s="7">
        <f ca="1">IFERROR(__xludf.DUMMYFUNCTION("""COMPUTED_VALUE"""),7764)</f>
        <v>7764</v>
      </c>
      <c r="N280" s="7">
        <f ca="1">IFERROR(__xludf.DUMMYFUNCTION("""COMPUTED_VALUE"""),604)</f>
        <v>604</v>
      </c>
    </row>
    <row r="281" spans="1:14" ht="13.2" x14ac:dyDescent="0.25">
      <c r="A281" s="6">
        <f ca="1">IFERROR(__xludf.DUMMYFUNCTION("""COMPUTED_VALUE"""),44170)</f>
        <v>44170</v>
      </c>
      <c r="B281" s="7">
        <f ca="1">IFERROR(__xludf.DUMMYFUNCTION("""COMPUTED_VALUE"""),8)</f>
        <v>8</v>
      </c>
      <c r="C281" s="8">
        <f ca="1">IFERROR(__xludf.DUMMYFUNCTION("""COMPUTED_VALUE"""),44170.3333333333)</f>
        <v>44170.333333333299</v>
      </c>
      <c r="D281" s="7">
        <f ca="1">IFERROR(__xludf.DUMMYFUNCTION("""COMPUTED_VALUE"""),2779)</f>
        <v>2779</v>
      </c>
      <c r="E281" s="7">
        <f ca="1">IFERROR(__xludf.DUMMYFUNCTION("""COMPUTED_VALUE"""),129067)</f>
        <v>129067</v>
      </c>
      <c r="F281" s="7">
        <f ca="1">IFERROR(__xludf.DUMMYFUNCTION("""COMPUTED_VALUE"""),8623)</f>
        <v>8623</v>
      </c>
      <c r="G281" s="7">
        <f ca="1">IFERROR(__xludf.DUMMYFUNCTION("""COMPUTED_VALUE"""),2161)</f>
        <v>2161</v>
      </c>
      <c r="H281" s="7">
        <f ca="1">IFERROR(__xludf.DUMMYFUNCTION("""COMPUTED_VALUE"""),142630)</f>
        <v>142630</v>
      </c>
      <c r="I281" s="7">
        <f ca="1">IFERROR(__xludf.DUMMYFUNCTION("""COMPUTED_VALUE"""),1360)</f>
        <v>1360</v>
      </c>
      <c r="J281" s="7">
        <f ca="1">IFERROR(__xludf.DUMMYFUNCTION("""COMPUTED_VALUE"""),10784)</f>
        <v>10784</v>
      </c>
      <c r="K281" s="7">
        <f ca="1">IFERROR(__xludf.DUMMYFUNCTION("""COMPUTED_VALUE"""),1016)</f>
        <v>1016</v>
      </c>
      <c r="L281" s="7">
        <f ca="1">IFERROR(__xludf.DUMMYFUNCTION("""COMPUTED_VALUE"""),2622)</f>
        <v>2622</v>
      </c>
      <c r="M281" s="7">
        <f ca="1">IFERROR(__xludf.DUMMYFUNCTION("""COMPUTED_VALUE"""),7195)</f>
        <v>7195</v>
      </c>
      <c r="N281" s="7">
        <f ca="1">IFERROR(__xludf.DUMMYFUNCTION("""COMPUTED_VALUE"""),967)</f>
        <v>967</v>
      </c>
    </row>
    <row r="282" spans="1:14" ht="13.2" x14ac:dyDescent="0.25">
      <c r="A282" s="6">
        <f ca="1">IFERROR(__xludf.DUMMYFUNCTION("""COMPUTED_VALUE"""),44171)</f>
        <v>44171</v>
      </c>
      <c r="B282" s="7">
        <f ca="1">IFERROR(__xludf.DUMMYFUNCTION("""COMPUTED_VALUE"""),8)</f>
        <v>8</v>
      </c>
      <c r="C282" s="8">
        <f ca="1">IFERROR(__xludf.DUMMYFUNCTION("""COMPUTED_VALUE"""),44171.3333333333)</f>
        <v>44171.333333333299</v>
      </c>
      <c r="D282" s="7">
        <f ca="1">IFERROR(__xludf.DUMMYFUNCTION("""COMPUTED_VALUE"""),2799)</f>
        <v>2799</v>
      </c>
      <c r="E282" s="7">
        <f ca="1">IFERROR(__xludf.DUMMYFUNCTION("""COMPUTED_VALUE"""),130136)</f>
        <v>130136</v>
      </c>
      <c r="F282" s="7">
        <f ca="1">IFERROR(__xludf.DUMMYFUNCTION("""COMPUTED_VALUE"""),8819)</f>
        <v>8819</v>
      </c>
      <c r="G282" s="7">
        <f ca="1">IFERROR(__xludf.DUMMYFUNCTION("""COMPUTED_VALUE"""),2207)</f>
        <v>2207</v>
      </c>
      <c r="H282" s="7">
        <f ca="1">IFERROR(__xludf.DUMMYFUNCTION("""COMPUTED_VALUE"""),143961)</f>
        <v>143961</v>
      </c>
      <c r="I282" s="7">
        <f ca="1">IFERROR(__xludf.DUMMYFUNCTION("""COMPUTED_VALUE"""),1331)</f>
        <v>1331</v>
      </c>
      <c r="J282" s="7">
        <f ca="1">IFERROR(__xludf.DUMMYFUNCTION("""COMPUTED_VALUE"""),11026)</f>
        <v>11026</v>
      </c>
      <c r="K282" s="7">
        <f ca="1">IFERROR(__xludf.DUMMYFUNCTION("""COMPUTED_VALUE"""),1069)</f>
        <v>1069</v>
      </c>
      <c r="L282" s="7">
        <f ca="1">IFERROR(__xludf.DUMMYFUNCTION("""COMPUTED_VALUE"""),2622)</f>
        <v>2622</v>
      </c>
      <c r="M282" s="7">
        <f ca="1">IFERROR(__xludf.DUMMYFUNCTION("""COMPUTED_VALUE"""),6359)</f>
        <v>6359</v>
      </c>
      <c r="N282" s="7">
        <f ca="1">IFERROR(__xludf.DUMMYFUNCTION("""COMPUTED_VALUE"""),2045)</f>
        <v>2045</v>
      </c>
    </row>
    <row r="283" spans="1:14" ht="13.2" x14ac:dyDescent="0.25">
      <c r="A283" s="6">
        <f ca="1">IFERROR(__xludf.DUMMYFUNCTION("""COMPUTED_VALUE"""),44172)</f>
        <v>44172</v>
      </c>
      <c r="B283" s="7">
        <f ca="1">IFERROR(__xludf.DUMMYFUNCTION("""COMPUTED_VALUE"""),8)</f>
        <v>8</v>
      </c>
      <c r="C283" s="8">
        <f ca="1">IFERROR(__xludf.DUMMYFUNCTION("""COMPUTED_VALUE"""),44172.3333333333)</f>
        <v>44172.333333333299</v>
      </c>
      <c r="D283" s="7">
        <f ca="1">IFERROR(__xludf.DUMMYFUNCTION("""COMPUTED_VALUE"""),2823)</f>
        <v>2823</v>
      </c>
      <c r="E283" s="7">
        <f ca="1">IFERROR(__xludf.DUMMYFUNCTION("""COMPUTED_VALUE"""),131071)</f>
        <v>131071</v>
      </c>
      <c r="F283" s="7">
        <f ca="1">IFERROR(__xludf.DUMMYFUNCTION("""COMPUTED_VALUE"""),9473)</f>
        <v>9473</v>
      </c>
      <c r="G283" s="7">
        <f ca="1">IFERROR(__xludf.DUMMYFUNCTION("""COMPUTED_VALUE"""),2060)</f>
        <v>2060</v>
      </c>
      <c r="H283" s="7">
        <f ca="1">IFERROR(__xludf.DUMMYFUNCTION("""COMPUTED_VALUE"""),145427)</f>
        <v>145427</v>
      </c>
      <c r="I283" s="7">
        <f ca="1">IFERROR(__xludf.DUMMYFUNCTION("""COMPUTED_VALUE"""),1466)</f>
        <v>1466</v>
      </c>
      <c r="J283" s="7">
        <f ca="1">IFERROR(__xludf.DUMMYFUNCTION("""COMPUTED_VALUE"""),11533)</f>
        <v>11533</v>
      </c>
      <c r="K283" s="7">
        <f ca="1">IFERROR(__xludf.DUMMYFUNCTION("""COMPUTED_VALUE"""),935)</f>
        <v>935</v>
      </c>
      <c r="L283" s="7">
        <f ca="1">IFERROR(__xludf.DUMMYFUNCTION("""COMPUTED_VALUE"""),4058)</f>
        <v>4058</v>
      </c>
      <c r="M283" s="7">
        <f ca="1">IFERROR(__xludf.DUMMYFUNCTION("""COMPUTED_VALUE"""),6696)</f>
        <v>6696</v>
      </c>
      <c r="N283" s="7">
        <f ca="1">IFERROR(__xludf.DUMMYFUNCTION("""COMPUTED_VALUE"""),779)</f>
        <v>779</v>
      </c>
    </row>
    <row r="284" spans="1:14" ht="13.2" x14ac:dyDescent="0.25">
      <c r="A284" s="6">
        <f ca="1">IFERROR(__xludf.DUMMYFUNCTION("""COMPUTED_VALUE"""),44173)</f>
        <v>44173</v>
      </c>
      <c r="B284" s="7">
        <f ca="1">IFERROR(__xludf.DUMMYFUNCTION("""COMPUTED_VALUE"""),8)</f>
        <v>8</v>
      </c>
      <c r="C284" s="8">
        <f ca="1">IFERROR(__xludf.DUMMYFUNCTION("""COMPUTED_VALUE"""),44173.3333333333)</f>
        <v>44173.333333333299</v>
      </c>
      <c r="D284" s="7">
        <f ca="1">IFERROR(__xludf.DUMMYFUNCTION("""COMPUTED_VALUE"""),2842)</f>
        <v>2842</v>
      </c>
      <c r="E284" s="7">
        <f ca="1">IFERROR(__xludf.DUMMYFUNCTION("""COMPUTED_VALUE"""),132248)</f>
        <v>132248</v>
      </c>
      <c r="F284" s="7">
        <f ca="1">IFERROR(__xludf.DUMMYFUNCTION("""COMPUTED_VALUE"""),9650)</f>
        <v>9650</v>
      </c>
      <c r="G284" s="7">
        <f ca="1">IFERROR(__xludf.DUMMYFUNCTION("""COMPUTED_VALUE"""),1861)</f>
        <v>1861</v>
      </c>
      <c r="H284" s="7">
        <f ca="1">IFERROR(__xludf.DUMMYFUNCTION("""COMPUTED_VALUE"""),146601)</f>
        <v>146601</v>
      </c>
      <c r="I284" s="7">
        <f ca="1">IFERROR(__xludf.DUMMYFUNCTION("""COMPUTED_VALUE"""),1174)</f>
        <v>1174</v>
      </c>
      <c r="J284" s="7">
        <f ca="1">IFERROR(__xludf.DUMMYFUNCTION("""COMPUTED_VALUE"""),11511)</f>
        <v>11511</v>
      </c>
      <c r="K284" s="7">
        <f ca="1">IFERROR(__xludf.DUMMYFUNCTION("""COMPUTED_VALUE"""),1177)</f>
        <v>1177</v>
      </c>
      <c r="L284" s="7">
        <f ca="1">IFERROR(__xludf.DUMMYFUNCTION("""COMPUTED_VALUE"""),4550)</f>
        <v>4550</v>
      </c>
      <c r="M284" s="7">
        <f ca="1">IFERROR(__xludf.DUMMYFUNCTION("""COMPUTED_VALUE"""),6276)</f>
        <v>6276</v>
      </c>
      <c r="N284" s="7">
        <f ca="1">IFERROR(__xludf.DUMMYFUNCTION("""COMPUTED_VALUE"""),685)</f>
        <v>685</v>
      </c>
    </row>
    <row r="285" spans="1:14" ht="13.2" x14ac:dyDescent="0.25">
      <c r="A285" s="6">
        <f ca="1">IFERROR(__xludf.DUMMYFUNCTION("""COMPUTED_VALUE"""),44174)</f>
        <v>44174</v>
      </c>
      <c r="B285" s="7">
        <f ca="1">IFERROR(__xludf.DUMMYFUNCTION("""COMPUTED_VALUE"""),8)</f>
        <v>8</v>
      </c>
      <c r="C285" s="8">
        <f ca="1">IFERROR(__xludf.DUMMYFUNCTION("""COMPUTED_VALUE"""),44174.3333333333)</f>
        <v>44174.333333333299</v>
      </c>
      <c r="D285" s="7">
        <f ca="1">IFERROR(__xludf.DUMMYFUNCTION("""COMPUTED_VALUE"""),2860)</f>
        <v>2860</v>
      </c>
      <c r="E285" s="7">
        <f ca="1">IFERROR(__xludf.DUMMYFUNCTION("""COMPUTED_VALUE"""),133318)</f>
        <v>133318</v>
      </c>
      <c r="F285" s="7">
        <f ca="1">IFERROR(__xludf.DUMMYFUNCTION("""COMPUTED_VALUE"""),9703)</f>
        <v>9703</v>
      </c>
      <c r="G285" s="7">
        <f ca="1">IFERROR(__xludf.DUMMYFUNCTION("""COMPUTED_VALUE"""),1957)</f>
        <v>1957</v>
      </c>
      <c r="H285" s="7">
        <f ca="1">IFERROR(__xludf.DUMMYFUNCTION("""COMPUTED_VALUE"""),147838)</f>
        <v>147838</v>
      </c>
      <c r="I285" s="7">
        <f ca="1">IFERROR(__xludf.DUMMYFUNCTION("""COMPUTED_VALUE"""),1237)</f>
        <v>1237</v>
      </c>
      <c r="J285" s="7">
        <f ca="1">IFERROR(__xludf.DUMMYFUNCTION("""COMPUTED_VALUE"""),11660)</f>
        <v>11660</v>
      </c>
      <c r="K285" s="7">
        <f ca="1">IFERROR(__xludf.DUMMYFUNCTION("""COMPUTED_VALUE"""),1070)</f>
        <v>1070</v>
      </c>
      <c r="L285" s="7">
        <f ca="1">IFERROR(__xludf.DUMMYFUNCTION("""COMPUTED_VALUE"""),5308)</f>
        <v>5308</v>
      </c>
      <c r="M285" s="7">
        <f ca="1">IFERROR(__xludf.DUMMYFUNCTION("""COMPUTED_VALUE"""),6015)</f>
        <v>6015</v>
      </c>
      <c r="N285" s="7">
        <f ca="1">IFERROR(__xludf.DUMMYFUNCTION("""COMPUTED_VALUE"""),337)</f>
        <v>337</v>
      </c>
    </row>
    <row r="286" spans="1:14" ht="13.2" x14ac:dyDescent="0.25">
      <c r="A286" s="6">
        <f ca="1">IFERROR(__xludf.DUMMYFUNCTION("""COMPUTED_VALUE"""),44175)</f>
        <v>44175</v>
      </c>
      <c r="B286" s="7">
        <f ca="1">IFERROR(__xludf.DUMMYFUNCTION("""COMPUTED_VALUE"""),8)</f>
        <v>8</v>
      </c>
      <c r="C286" s="8">
        <f ca="1">IFERROR(__xludf.DUMMYFUNCTION("""COMPUTED_VALUE"""),44175.3333333333)</f>
        <v>44175.333333333299</v>
      </c>
      <c r="D286" s="7">
        <f ca="1">IFERROR(__xludf.DUMMYFUNCTION("""COMPUTED_VALUE"""),2880)</f>
        <v>2880</v>
      </c>
      <c r="E286" s="7">
        <f ca="1">IFERROR(__xludf.DUMMYFUNCTION("""COMPUTED_VALUE"""),134366)</f>
        <v>134366</v>
      </c>
      <c r="F286" s="7">
        <f ca="1">IFERROR(__xludf.DUMMYFUNCTION("""COMPUTED_VALUE"""),9391)</f>
        <v>9391</v>
      </c>
      <c r="G286" s="7">
        <f ca="1">IFERROR(__xludf.DUMMYFUNCTION("""COMPUTED_VALUE"""),2381)</f>
        <v>2381</v>
      </c>
      <c r="H286" s="7">
        <f ca="1">IFERROR(__xludf.DUMMYFUNCTION("""COMPUTED_VALUE"""),149018)</f>
        <v>149018</v>
      </c>
      <c r="I286" s="7">
        <f ca="1">IFERROR(__xludf.DUMMYFUNCTION("""COMPUTED_VALUE"""),1180)</f>
        <v>1180</v>
      </c>
      <c r="J286" s="7">
        <f ca="1">IFERROR(__xludf.DUMMYFUNCTION("""COMPUTED_VALUE"""),11772)</f>
        <v>11772</v>
      </c>
      <c r="K286" s="7">
        <f ca="1">IFERROR(__xludf.DUMMYFUNCTION("""COMPUTED_VALUE"""),1048)</f>
        <v>1048</v>
      </c>
      <c r="L286" s="7">
        <f ca="1">IFERROR(__xludf.DUMMYFUNCTION("""COMPUTED_VALUE"""),4801)</f>
        <v>4801</v>
      </c>
      <c r="M286" s="7">
        <f ca="1">IFERROR(__xludf.DUMMYFUNCTION("""COMPUTED_VALUE"""),5773)</f>
        <v>5773</v>
      </c>
      <c r="N286" s="7">
        <f ca="1">IFERROR(__xludf.DUMMYFUNCTION("""COMPUTED_VALUE"""),1198)</f>
        <v>1198</v>
      </c>
    </row>
    <row r="287" spans="1:14" ht="13.2" x14ac:dyDescent="0.25">
      <c r="A287" s="6">
        <f ca="1">IFERROR(__xludf.DUMMYFUNCTION("""COMPUTED_VALUE"""),44176)</f>
        <v>44176</v>
      </c>
      <c r="B287" s="7">
        <f ca="1">IFERROR(__xludf.DUMMYFUNCTION("""COMPUTED_VALUE"""),8)</f>
        <v>8</v>
      </c>
      <c r="C287" s="8">
        <f ca="1">IFERROR(__xludf.DUMMYFUNCTION("""COMPUTED_VALUE"""),44176.3333333333)</f>
        <v>44176.333333333299</v>
      </c>
      <c r="D287" s="7">
        <f ca="1">IFERROR(__xludf.DUMMYFUNCTION("""COMPUTED_VALUE"""),2902)</f>
        <v>2902</v>
      </c>
      <c r="E287" s="7">
        <f ca="1">IFERROR(__xludf.DUMMYFUNCTION("""COMPUTED_VALUE"""),135545)</f>
        <v>135545</v>
      </c>
      <c r="F287" s="7">
        <f ca="1">IFERROR(__xludf.DUMMYFUNCTION("""COMPUTED_VALUE"""),9078)</f>
        <v>9078</v>
      </c>
      <c r="G287" s="7">
        <f ca="1">IFERROR(__xludf.DUMMYFUNCTION("""COMPUTED_VALUE"""),2725)</f>
        <v>2725</v>
      </c>
      <c r="H287" s="7">
        <f ca="1">IFERROR(__xludf.DUMMYFUNCTION("""COMPUTED_VALUE"""),150250)</f>
        <v>150250</v>
      </c>
      <c r="I287" s="7">
        <f ca="1">IFERROR(__xludf.DUMMYFUNCTION("""COMPUTED_VALUE"""),1232)</f>
        <v>1232</v>
      </c>
      <c r="J287" s="7">
        <f ca="1">IFERROR(__xludf.DUMMYFUNCTION("""COMPUTED_VALUE"""),11803)</f>
        <v>11803</v>
      </c>
      <c r="K287" s="7">
        <f ca="1">IFERROR(__xludf.DUMMYFUNCTION("""COMPUTED_VALUE"""),1179)</f>
        <v>1179</v>
      </c>
      <c r="L287" s="7">
        <f ca="1">IFERROR(__xludf.DUMMYFUNCTION("""COMPUTED_VALUE"""),5016)</f>
        <v>5016</v>
      </c>
      <c r="M287" s="7">
        <f ca="1">IFERROR(__xludf.DUMMYFUNCTION("""COMPUTED_VALUE"""),5939)</f>
        <v>5939</v>
      </c>
      <c r="N287" s="7">
        <f ca="1">IFERROR(__xludf.DUMMYFUNCTION("""COMPUTED_VALUE"""),848)</f>
        <v>848</v>
      </c>
    </row>
    <row r="288" spans="1:14" ht="13.2" x14ac:dyDescent="0.25">
      <c r="A288" s="6">
        <f ca="1">IFERROR(__xludf.DUMMYFUNCTION("""COMPUTED_VALUE"""),44177)</f>
        <v>44177</v>
      </c>
      <c r="B288" s="7">
        <f ca="1">IFERROR(__xludf.DUMMYFUNCTION("""COMPUTED_VALUE"""),8)</f>
        <v>8</v>
      </c>
      <c r="C288" s="8">
        <f ca="1">IFERROR(__xludf.DUMMYFUNCTION("""COMPUTED_VALUE"""),44177.3333333333)</f>
        <v>44177.333333333299</v>
      </c>
      <c r="D288" s="7">
        <f ca="1">IFERROR(__xludf.DUMMYFUNCTION("""COMPUTED_VALUE"""),2922)</f>
        <v>2922</v>
      </c>
      <c r="E288" s="7">
        <f ca="1">IFERROR(__xludf.DUMMYFUNCTION("""COMPUTED_VALUE"""),136489)</f>
        <v>136489</v>
      </c>
      <c r="F288" s="7">
        <f ca="1">IFERROR(__xludf.DUMMYFUNCTION("""COMPUTED_VALUE"""),8822)</f>
        <v>8822</v>
      </c>
      <c r="G288" s="7">
        <f ca="1">IFERROR(__xludf.DUMMYFUNCTION("""COMPUTED_VALUE"""),2968)</f>
        <v>2968</v>
      </c>
      <c r="H288" s="7">
        <f ca="1">IFERROR(__xludf.DUMMYFUNCTION("""COMPUTED_VALUE"""),151201)</f>
        <v>151201</v>
      </c>
      <c r="I288" s="7">
        <f ca="1">IFERROR(__xludf.DUMMYFUNCTION("""COMPUTED_VALUE"""),951)</f>
        <v>951</v>
      </c>
      <c r="J288" s="7">
        <f ca="1">IFERROR(__xludf.DUMMYFUNCTION("""COMPUTED_VALUE"""),11790)</f>
        <v>11790</v>
      </c>
      <c r="K288" s="7">
        <f ca="1">IFERROR(__xludf.DUMMYFUNCTION("""COMPUTED_VALUE"""),944)</f>
        <v>944</v>
      </c>
      <c r="L288" s="7">
        <f ca="1">IFERROR(__xludf.DUMMYFUNCTION("""COMPUTED_VALUE"""),5189)</f>
        <v>5189</v>
      </c>
      <c r="M288" s="7">
        <f ca="1">IFERROR(__xludf.DUMMYFUNCTION("""COMPUTED_VALUE"""),5782)</f>
        <v>5782</v>
      </c>
      <c r="N288" s="7">
        <f ca="1">IFERROR(__xludf.DUMMYFUNCTION("""COMPUTED_VALUE"""),819)</f>
        <v>819</v>
      </c>
    </row>
    <row r="289" spans="1:14" ht="13.2" x14ac:dyDescent="0.25">
      <c r="A289" s="6">
        <f ca="1">IFERROR(__xludf.DUMMYFUNCTION("""COMPUTED_VALUE"""),44178)</f>
        <v>44178</v>
      </c>
      <c r="B289" s="7">
        <f ca="1">IFERROR(__xludf.DUMMYFUNCTION("""COMPUTED_VALUE"""),8)</f>
        <v>8</v>
      </c>
      <c r="C289" s="8">
        <f ca="1">IFERROR(__xludf.DUMMYFUNCTION("""COMPUTED_VALUE"""),44178.3333333333)</f>
        <v>44178.333333333299</v>
      </c>
      <c r="D289" s="7">
        <f ca="1">IFERROR(__xludf.DUMMYFUNCTION("""COMPUTED_VALUE"""),2941)</f>
        <v>2941</v>
      </c>
      <c r="E289" s="7">
        <f ca="1">IFERROR(__xludf.DUMMYFUNCTION("""COMPUTED_VALUE"""),137605)</f>
        <v>137605</v>
      </c>
      <c r="F289" s="7">
        <f ca="1">IFERROR(__xludf.DUMMYFUNCTION("""COMPUTED_VALUE"""),8679)</f>
        <v>8679</v>
      </c>
      <c r="G289" s="7">
        <f ca="1">IFERROR(__xludf.DUMMYFUNCTION("""COMPUTED_VALUE"""),3274)</f>
        <v>3274</v>
      </c>
      <c r="H289" s="7">
        <f ca="1">IFERROR(__xludf.DUMMYFUNCTION("""COMPUTED_VALUE"""),152499)</f>
        <v>152499</v>
      </c>
      <c r="I289" s="7">
        <f ca="1">IFERROR(__xludf.DUMMYFUNCTION("""COMPUTED_VALUE"""),1298)</f>
        <v>1298</v>
      </c>
      <c r="J289" s="7">
        <f ca="1">IFERROR(__xludf.DUMMYFUNCTION("""COMPUTED_VALUE"""),11953)</f>
        <v>11953</v>
      </c>
      <c r="K289" s="7">
        <f ca="1">IFERROR(__xludf.DUMMYFUNCTION("""COMPUTED_VALUE"""),1116)</f>
        <v>1116</v>
      </c>
      <c r="L289" s="7">
        <f ca="1">IFERROR(__xludf.DUMMYFUNCTION("""COMPUTED_VALUE"""),4585)</f>
        <v>4585</v>
      </c>
      <c r="M289" s="7">
        <f ca="1">IFERROR(__xludf.DUMMYFUNCTION("""COMPUTED_VALUE"""),5653)</f>
        <v>5653</v>
      </c>
      <c r="N289" s="7">
        <f ca="1">IFERROR(__xludf.DUMMYFUNCTION("""COMPUTED_VALUE"""),1715)</f>
        <v>1715</v>
      </c>
    </row>
    <row r="290" spans="1:14" ht="13.2" x14ac:dyDescent="0.25">
      <c r="A290" s="6">
        <f ca="1">IFERROR(__xludf.DUMMYFUNCTION("""COMPUTED_VALUE"""),44179)</f>
        <v>44179</v>
      </c>
      <c r="B290" s="7">
        <f ca="1">IFERROR(__xludf.DUMMYFUNCTION("""COMPUTED_VALUE"""),8)</f>
        <v>8</v>
      </c>
      <c r="C290" s="8">
        <f ca="1">IFERROR(__xludf.DUMMYFUNCTION("""COMPUTED_VALUE"""),44179.3333333333)</f>
        <v>44179.333333333299</v>
      </c>
      <c r="D290" s="7">
        <f ca="1">IFERROR(__xludf.DUMMYFUNCTION("""COMPUTED_VALUE"""),2963)</f>
        <v>2963</v>
      </c>
      <c r="E290" s="7">
        <f ca="1">IFERROR(__xludf.DUMMYFUNCTION("""COMPUTED_VALUE"""),138988)</f>
        <v>138988</v>
      </c>
      <c r="F290" s="7">
        <f ca="1">IFERROR(__xludf.DUMMYFUNCTION("""COMPUTED_VALUE"""),8994)</f>
        <v>8994</v>
      </c>
      <c r="G290" s="7">
        <f ca="1">IFERROR(__xludf.DUMMYFUNCTION("""COMPUTED_VALUE"""),3120)</f>
        <v>3120</v>
      </c>
      <c r="H290" s="7">
        <f ca="1">IFERROR(__xludf.DUMMYFUNCTION("""COMPUTED_VALUE"""),154065)</f>
        <v>154065</v>
      </c>
      <c r="I290" s="7">
        <f ca="1">IFERROR(__xludf.DUMMYFUNCTION("""COMPUTED_VALUE"""),1566)</f>
        <v>1566</v>
      </c>
      <c r="J290" s="7">
        <f ca="1">IFERROR(__xludf.DUMMYFUNCTION("""COMPUTED_VALUE"""),12114)</f>
        <v>12114</v>
      </c>
      <c r="K290" s="7">
        <f ca="1">IFERROR(__xludf.DUMMYFUNCTION("""COMPUTED_VALUE"""),1383)</f>
        <v>1383</v>
      </c>
      <c r="L290" s="7">
        <f ca="1">IFERROR(__xludf.DUMMYFUNCTION("""COMPUTED_VALUE"""),3776)</f>
        <v>3776</v>
      </c>
      <c r="M290" s="7">
        <f ca="1">IFERROR(__xludf.DUMMYFUNCTION("""COMPUTED_VALUE"""),5697)</f>
        <v>5697</v>
      </c>
      <c r="N290" s="7">
        <f ca="1">IFERROR(__xludf.DUMMYFUNCTION("""COMPUTED_VALUE"""),2641)</f>
        <v>2641</v>
      </c>
    </row>
    <row r="291" spans="1:14" ht="13.2" x14ac:dyDescent="0.25">
      <c r="A291" s="6">
        <f ca="1">IFERROR(__xludf.DUMMYFUNCTION("""COMPUTED_VALUE"""),44180)</f>
        <v>44180</v>
      </c>
      <c r="B291" s="7">
        <f ca="1">IFERROR(__xludf.DUMMYFUNCTION("""COMPUTED_VALUE"""),8)</f>
        <v>8</v>
      </c>
      <c r="C291" s="8">
        <f ca="1">IFERROR(__xludf.DUMMYFUNCTION("""COMPUTED_VALUE"""),44180.3333333333)</f>
        <v>44180.333333333299</v>
      </c>
      <c r="D291" s="7">
        <f ca="1">IFERROR(__xludf.DUMMYFUNCTION("""COMPUTED_VALUE"""),2990)</f>
        <v>2990</v>
      </c>
      <c r="E291" s="7">
        <f ca="1">IFERROR(__xludf.DUMMYFUNCTION("""COMPUTED_VALUE"""),140225)</f>
        <v>140225</v>
      </c>
      <c r="F291" s="7">
        <f ca="1">IFERROR(__xludf.DUMMYFUNCTION("""COMPUTED_VALUE"""),8643)</f>
        <v>8643</v>
      </c>
      <c r="G291" s="7">
        <f ca="1">IFERROR(__xludf.DUMMYFUNCTION("""COMPUTED_VALUE"""),3264)</f>
        <v>3264</v>
      </c>
      <c r="H291" s="7">
        <f ca="1">IFERROR(__xludf.DUMMYFUNCTION("""COMPUTED_VALUE"""),155122)</f>
        <v>155122</v>
      </c>
      <c r="I291" s="7">
        <f ca="1">IFERROR(__xludf.DUMMYFUNCTION("""COMPUTED_VALUE"""),1057)</f>
        <v>1057</v>
      </c>
      <c r="J291" s="7">
        <f ca="1">IFERROR(__xludf.DUMMYFUNCTION("""COMPUTED_VALUE"""),11907)</f>
        <v>11907</v>
      </c>
      <c r="K291" s="7">
        <f ca="1">IFERROR(__xludf.DUMMYFUNCTION("""COMPUTED_VALUE"""),1237)</f>
        <v>1237</v>
      </c>
      <c r="L291" s="7">
        <f ca="1">IFERROR(__xludf.DUMMYFUNCTION("""COMPUTED_VALUE"""),5008)</f>
        <v>5008</v>
      </c>
      <c r="M291" s="7">
        <f ca="1">IFERROR(__xludf.DUMMYFUNCTION("""COMPUTED_VALUE"""),6217)</f>
        <v>6217</v>
      </c>
      <c r="N291" s="7">
        <f ca="1">IFERROR(__xludf.DUMMYFUNCTION("""COMPUTED_VALUE"""),682)</f>
        <v>682</v>
      </c>
    </row>
    <row r="292" spans="1:14" ht="13.2" x14ac:dyDescent="0.25">
      <c r="A292" s="6">
        <f ca="1">IFERROR(__xludf.DUMMYFUNCTION("""COMPUTED_VALUE"""),44181)</f>
        <v>44181</v>
      </c>
      <c r="B292" s="7">
        <f ca="1">IFERROR(__xludf.DUMMYFUNCTION("""COMPUTED_VALUE"""),8)</f>
        <v>8</v>
      </c>
      <c r="C292" s="8">
        <f ca="1">IFERROR(__xludf.DUMMYFUNCTION("""COMPUTED_VALUE"""),44181.3333333333)</f>
        <v>44181.333333333299</v>
      </c>
      <c r="D292" s="7">
        <f ca="1">IFERROR(__xludf.DUMMYFUNCTION("""COMPUTED_VALUE"""),3010)</f>
        <v>3010</v>
      </c>
      <c r="E292" s="7">
        <f ca="1">IFERROR(__xludf.DUMMYFUNCTION("""COMPUTED_VALUE"""),141365)</f>
        <v>141365</v>
      </c>
      <c r="F292" s="7">
        <f ca="1">IFERROR(__xludf.DUMMYFUNCTION("""COMPUTED_VALUE"""),8263)</f>
        <v>8263</v>
      </c>
      <c r="G292" s="7">
        <f ca="1">IFERROR(__xludf.DUMMYFUNCTION("""COMPUTED_VALUE"""),3705)</f>
        <v>3705</v>
      </c>
      <c r="H292" s="7">
        <f ca="1">IFERROR(__xludf.DUMMYFUNCTION("""COMPUTED_VALUE"""),156343)</f>
        <v>156343</v>
      </c>
      <c r="I292" s="7">
        <f ca="1">IFERROR(__xludf.DUMMYFUNCTION("""COMPUTED_VALUE"""),1221)</f>
        <v>1221</v>
      </c>
      <c r="J292" s="7">
        <f ca="1">IFERROR(__xludf.DUMMYFUNCTION("""COMPUTED_VALUE"""),11968)</f>
        <v>11968</v>
      </c>
      <c r="K292" s="7">
        <f ca="1">IFERROR(__xludf.DUMMYFUNCTION("""COMPUTED_VALUE"""),1140)</f>
        <v>1140</v>
      </c>
      <c r="L292" s="7">
        <f ca="1">IFERROR(__xludf.DUMMYFUNCTION("""COMPUTED_VALUE"""),5054)</f>
        <v>5054</v>
      </c>
      <c r="M292" s="7">
        <f ca="1">IFERROR(__xludf.DUMMYFUNCTION("""COMPUTED_VALUE"""),6224)</f>
        <v>6224</v>
      </c>
      <c r="N292" s="7">
        <f ca="1">IFERROR(__xludf.DUMMYFUNCTION("""COMPUTED_VALUE"""),690)</f>
        <v>690</v>
      </c>
    </row>
    <row r="293" spans="1:14" ht="13.2" x14ac:dyDescent="0.25">
      <c r="A293" s="6">
        <f ca="1">IFERROR(__xludf.DUMMYFUNCTION("""COMPUTED_VALUE"""),44182)</f>
        <v>44182</v>
      </c>
      <c r="B293" s="7">
        <f ca="1">IFERROR(__xludf.DUMMYFUNCTION("""COMPUTED_VALUE"""),8)</f>
        <v>8</v>
      </c>
      <c r="C293" s="8">
        <f ca="1">IFERROR(__xludf.DUMMYFUNCTION("""COMPUTED_VALUE"""),44182.3333333333)</f>
        <v>44182.333333333299</v>
      </c>
      <c r="D293" s="7">
        <f ca="1">IFERROR(__xludf.DUMMYFUNCTION("""COMPUTED_VALUE"""),3027)</f>
        <v>3027</v>
      </c>
      <c r="E293" s="7">
        <f ca="1">IFERROR(__xludf.DUMMYFUNCTION("""COMPUTED_VALUE"""),142741)</f>
        <v>142741</v>
      </c>
      <c r="F293" s="7">
        <f ca="1">IFERROR(__xludf.DUMMYFUNCTION("""COMPUTED_VALUE"""),7851)</f>
        <v>7851</v>
      </c>
      <c r="G293" s="7">
        <f ca="1">IFERROR(__xludf.DUMMYFUNCTION("""COMPUTED_VALUE"""),4414)</f>
        <v>4414</v>
      </c>
      <c r="H293" s="7">
        <f ca="1">IFERROR(__xludf.DUMMYFUNCTION("""COMPUTED_VALUE"""),158033)</f>
        <v>158033</v>
      </c>
      <c r="I293" s="7">
        <f ca="1">IFERROR(__xludf.DUMMYFUNCTION("""COMPUTED_VALUE"""),1690)</f>
        <v>1690</v>
      </c>
      <c r="J293" s="7">
        <f ca="1">IFERROR(__xludf.DUMMYFUNCTION("""COMPUTED_VALUE"""),12265)</f>
        <v>12265</v>
      </c>
      <c r="K293" s="7">
        <f ca="1">IFERROR(__xludf.DUMMYFUNCTION("""COMPUTED_VALUE"""),1376)</f>
        <v>1376</v>
      </c>
      <c r="L293" s="7">
        <f ca="1">IFERROR(__xludf.DUMMYFUNCTION("""COMPUTED_VALUE"""),5082)</f>
        <v>5082</v>
      </c>
      <c r="M293" s="7">
        <f ca="1">IFERROR(__xludf.DUMMYFUNCTION("""COMPUTED_VALUE"""),5985)</f>
        <v>5985</v>
      </c>
      <c r="N293" s="7">
        <f ca="1">IFERROR(__xludf.DUMMYFUNCTION("""COMPUTED_VALUE"""),1198)</f>
        <v>1198</v>
      </c>
    </row>
    <row r="294" spans="1:14" ht="13.2" x14ac:dyDescent="0.25">
      <c r="A294" s="6">
        <f ca="1">IFERROR(__xludf.DUMMYFUNCTION("""COMPUTED_VALUE"""),44183)</f>
        <v>44183</v>
      </c>
      <c r="B294" s="7">
        <f ca="1">IFERROR(__xludf.DUMMYFUNCTION("""COMPUTED_VALUE"""),8)</f>
        <v>8</v>
      </c>
      <c r="C294" s="8">
        <f ca="1">IFERROR(__xludf.DUMMYFUNCTION("""COMPUTED_VALUE"""),44183.3333333333)</f>
        <v>44183.333333333299</v>
      </c>
      <c r="D294" s="7">
        <f ca="1">IFERROR(__xludf.DUMMYFUNCTION("""COMPUTED_VALUE"""),3048)</f>
        <v>3048</v>
      </c>
      <c r="E294" s="7">
        <f ca="1">IFERROR(__xludf.DUMMYFUNCTION("""COMPUTED_VALUE"""),143959)</f>
        <v>143959</v>
      </c>
      <c r="F294" s="7">
        <f ca="1">IFERROR(__xludf.DUMMYFUNCTION("""COMPUTED_VALUE"""),7673)</f>
        <v>7673</v>
      </c>
      <c r="G294" s="7">
        <f ca="1">IFERROR(__xludf.DUMMYFUNCTION("""COMPUTED_VALUE"""),4940)</f>
        <v>4940</v>
      </c>
      <c r="H294" s="7">
        <f ca="1">IFERROR(__xludf.DUMMYFUNCTION("""COMPUTED_VALUE"""),159620)</f>
        <v>159620</v>
      </c>
      <c r="I294" s="7">
        <f ca="1">IFERROR(__xludf.DUMMYFUNCTION("""COMPUTED_VALUE"""),1587)</f>
        <v>1587</v>
      </c>
      <c r="J294" s="7">
        <f ca="1">IFERROR(__xludf.DUMMYFUNCTION("""COMPUTED_VALUE"""),12613)</f>
        <v>12613</v>
      </c>
      <c r="K294" s="7">
        <f ca="1">IFERROR(__xludf.DUMMYFUNCTION("""COMPUTED_VALUE"""),1218)</f>
        <v>1218</v>
      </c>
      <c r="L294" s="7">
        <f ca="1">IFERROR(__xludf.DUMMYFUNCTION("""COMPUTED_VALUE"""),4568)</f>
        <v>4568</v>
      </c>
      <c r="M294" s="7">
        <f ca="1">IFERROR(__xludf.DUMMYFUNCTION("""COMPUTED_VALUE"""),5792)</f>
        <v>5792</v>
      </c>
      <c r="N294" s="7">
        <f ca="1">IFERROR(__xludf.DUMMYFUNCTION("""COMPUTED_VALUE"""),2253)</f>
        <v>2253</v>
      </c>
    </row>
    <row r="295" spans="1:14" ht="13.2" x14ac:dyDescent="0.25">
      <c r="A295" s="6">
        <f ca="1">IFERROR(__xludf.DUMMYFUNCTION("""COMPUTED_VALUE"""),44184)</f>
        <v>44184</v>
      </c>
      <c r="B295" s="7">
        <f ca="1">IFERROR(__xludf.DUMMYFUNCTION("""COMPUTED_VALUE"""),8)</f>
        <v>8</v>
      </c>
      <c r="C295" s="8">
        <f ca="1">IFERROR(__xludf.DUMMYFUNCTION("""COMPUTED_VALUE"""),44184.3333333333)</f>
        <v>44184.333333333299</v>
      </c>
      <c r="D295" s="7">
        <f ca="1">IFERROR(__xludf.DUMMYFUNCTION("""COMPUTED_VALUE"""),3068)</f>
        <v>3068</v>
      </c>
      <c r="E295" s="7">
        <f ca="1">IFERROR(__xludf.DUMMYFUNCTION("""COMPUTED_VALUE"""),145066)</f>
        <v>145066</v>
      </c>
      <c r="F295" s="7">
        <f ca="1">IFERROR(__xludf.DUMMYFUNCTION("""COMPUTED_VALUE"""),8112)</f>
        <v>8112</v>
      </c>
      <c r="G295" s="7">
        <f ca="1">IFERROR(__xludf.DUMMYFUNCTION("""COMPUTED_VALUE"""),5273)</f>
        <v>5273</v>
      </c>
      <c r="H295" s="7">
        <f ca="1">IFERROR(__xludf.DUMMYFUNCTION("""COMPUTED_VALUE"""),161519)</f>
        <v>161519</v>
      </c>
      <c r="I295" s="7">
        <f ca="1">IFERROR(__xludf.DUMMYFUNCTION("""COMPUTED_VALUE"""),1899)</f>
        <v>1899</v>
      </c>
      <c r="J295" s="7">
        <f ca="1">IFERROR(__xludf.DUMMYFUNCTION("""COMPUTED_VALUE"""),13385)</f>
        <v>13385</v>
      </c>
      <c r="K295" s="7">
        <f ca="1">IFERROR(__xludf.DUMMYFUNCTION("""COMPUTED_VALUE"""),1107)</f>
        <v>1107</v>
      </c>
      <c r="L295" s="7">
        <f ca="1">IFERROR(__xludf.DUMMYFUNCTION("""COMPUTED_VALUE"""),5825)</f>
        <v>5825</v>
      </c>
      <c r="M295" s="7">
        <f ca="1">IFERROR(__xludf.DUMMYFUNCTION("""COMPUTED_VALUE"""),6099)</f>
        <v>6099</v>
      </c>
      <c r="N295" s="7">
        <f ca="1">IFERROR(__xludf.DUMMYFUNCTION("""COMPUTED_VALUE"""),1461)</f>
        <v>1461</v>
      </c>
    </row>
    <row r="296" spans="1:14" ht="13.2" x14ac:dyDescent="0.25">
      <c r="A296" s="6">
        <f ca="1">IFERROR(__xludf.DUMMYFUNCTION("""COMPUTED_VALUE"""),44185)</f>
        <v>44185</v>
      </c>
      <c r="B296" s="7">
        <f ca="1">IFERROR(__xludf.DUMMYFUNCTION("""COMPUTED_VALUE"""),8)</f>
        <v>8</v>
      </c>
      <c r="C296" s="8">
        <f ca="1">IFERROR(__xludf.DUMMYFUNCTION("""COMPUTED_VALUE"""),44185.3333333333)</f>
        <v>44185.333333333299</v>
      </c>
      <c r="D296" s="7">
        <f ca="1">IFERROR(__xludf.DUMMYFUNCTION("""COMPUTED_VALUE"""),3087)</f>
        <v>3087</v>
      </c>
      <c r="E296" s="7">
        <f ca="1">IFERROR(__xludf.DUMMYFUNCTION("""COMPUTED_VALUE"""),146958)</f>
        <v>146958</v>
      </c>
      <c r="F296" s="7">
        <f ca="1">IFERROR(__xludf.DUMMYFUNCTION("""COMPUTED_VALUE"""),8057)</f>
        <v>8057</v>
      </c>
      <c r="G296" s="7">
        <f ca="1">IFERROR(__xludf.DUMMYFUNCTION("""COMPUTED_VALUE"""),5009)</f>
        <v>5009</v>
      </c>
      <c r="H296" s="7">
        <f ca="1">IFERROR(__xludf.DUMMYFUNCTION("""COMPUTED_VALUE"""),163111)</f>
        <v>163111</v>
      </c>
      <c r="I296" s="7">
        <f ca="1">IFERROR(__xludf.DUMMYFUNCTION("""COMPUTED_VALUE"""),1592)</f>
        <v>1592</v>
      </c>
      <c r="J296" s="7">
        <f ca="1">IFERROR(__xludf.DUMMYFUNCTION("""COMPUTED_VALUE"""),13066)</f>
        <v>13066</v>
      </c>
      <c r="K296" s="7">
        <f ca="1">IFERROR(__xludf.DUMMYFUNCTION("""COMPUTED_VALUE"""),1892)</f>
        <v>1892</v>
      </c>
      <c r="L296" s="7">
        <f ca="1">IFERROR(__xludf.DUMMYFUNCTION("""COMPUTED_VALUE"""),6216)</f>
        <v>6216</v>
      </c>
      <c r="M296" s="7">
        <f ca="1">IFERROR(__xludf.DUMMYFUNCTION("""COMPUTED_VALUE"""),5831)</f>
        <v>5831</v>
      </c>
      <c r="N296" s="7">
        <f ca="1">IFERROR(__xludf.DUMMYFUNCTION("""COMPUTED_VALUE"""),1019)</f>
        <v>1019</v>
      </c>
    </row>
    <row r="297" spans="1:14" ht="13.2" x14ac:dyDescent="0.25">
      <c r="A297" s="6">
        <f ca="1">IFERROR(__xludf.DUMMYFUNCTION("""COMPUTED_VALUE"""),44186)</f>
        <v>44186</v>
      </c>
      <c r="B297" s="7">
        <f ca="1">IFERROR(__xludf.DUMMYFUNCTION("""COMPUTED_VALUE"""),8)</f>
        <v>8</v>
      </c>
      <c r="C297" s="8">
        <f ca="1">IFERROR(__xludf.DUMMYFUNCTION("""COMPUTED_VALUE"""),44186.3333333333)</f>
        <v>44186.333333333299</v>
      </c>
      <c r="D297" s="7">
        <f ca="1">IFERROR(__xludf.DUMMYFUNCTION("""COMPUTED_VALUE"""),3097)</f>
        <v>3097</v>
      </c>
      <c r="E297" s="7">
        <f ca="1">IFERROR(__xludf.DUMMYFUNCTION("""COMPUTED_VALUE"""),148308)</f>
        <v>148308</v>
      </c>
      <c r="F297" s="7">
        <f ca="1">IFERROR(__xludf.DUMMYFUNCTION("""COMPUTED_VALUE"""),8366)</f>
        <v>8366</v>
      </c>
      <c r="G297" s="7">
        <f ca="1">IFERROR(__xludf.DUMMYFUNCTION("""COMPUTED_VALUE"""),4806)</f>
        <v>4806</v>
      </c>
      <c r="H297" s="7">
        <f ca="1">IFERROR(__xludf.DUMMYFUNCTION("""COMPUTED_VALUE"""),164577)</f>
        <v>164577</v>
      </c>
      <c r="I297" s="7">
        <f ca="1">IFERROR(__xludf.DUMMYFUNCTION("""COMPUTED_VALUE"""),1466)</f>
        <v>1466</v>
      </c>
      <c r="J297" s="7">
        <f ca="1">IFERROR(__xludf.DUMMYFUNCTION("""COMPUTED_VALUE"""),13172)</f>
        <v>13172</v>
      </c>
      <c r="K297" s="7">
        <f ca="1">IFERROR(__xludf.DUMMYFUNCTION("""COMPUTED_VALUE"""),1350)</f>
        <v>1350</v>
      </c>
      <c r="L297" s="7">
        <f ca="1">IFERROR(__xludf.DUMMYFUNCTION("""COMPUTED_VALUE"""),6200)</f>
        <v>6200</v>
      </c>
      <c r="M297" s="7">
        <f ca="1">IFERROR(__xludf.DUMMYFUNCTION("""COMPUTED_VALUE"""),6046)</f>
        <v>6046</v>
      </c>
      <c r="N297" s="7">
        <f ca="1">IFERROR(__xludf.DUMMYFUNCTION("""COMPUTED_VALUE"""),926)</f>
        <v>926</v>
      </c>
    </row>
    <row r="298" spans="1:14" ht="13.2" x14ac:dyDescent="0.25">
      <c r="A298" s="6">
        <f ca="1">IFERROR(__xludf.DUMMYFUNCTION("""COMPUTED_VALUE"""),44187)</f>
        <v>44187</v>
      </c>
      <c r="B298" s="7">
        <f ca="1">IFERROR(__xludf.DUMMYFUNCTION("""COMPUTED_VALUE"""),8)</f>
        <v>8</v>
      </c>
      <c r="C298" s="8">
        <f ca="1">IFERROR(__xludf.DUMMYFUNCTION("""COMPUTED_VALUE"""),44187.3333333333)</f>
        <v>44187.333333333299</v>
      </c>
      <c r="D298" s="7">
        <f ca="1">IFERROR(__xludf.DUMMYFUNCTION("""COMPUTED_VALUE"""),3115)</f>
        <v>3115</v>
      </c>
      <c r="E298" s="7">
        <f ca="1">IFERROR(__xludf.DUMMYFUNCTION("""COMPUTED_VALUE"""),149691)</f>
        <v>149691</v>
      </c>
      <c r="F298" s="7">
        <f ca="1">IFERROR(__xludf.DUMMYFUNCTION("""COMPUTED_VALUE"""),8620)</f>
        <v>8620</v>
      </c>
      <c r="G298" s="7">
        <f ca="1">IFERROR(__xludf.DUMMYFUNCTION("""COMPUTED_VALUE"""),4462)</f>
        <v>4462</v>
      </c>
      <c r="H298" s="7">
        <f ca="1">IFERROR(__xludf.DUMMYFUNCTION("""COMPUTED_VALUE"""),165888)</f>
        <v>165888</v>
      </c>
      <c r="I298" s="7">
        <f ca="1">IFERROR(__xludf.DUMMYFUNCTION("""COMPUTED_VALUE"""),1311)</f>
        <v>1311</v>
      </c>
      <c r="J298" s="7">
        <f ca="1">IFERROR(__xludf.DUMMYFUNCTION("""COMPUTED_VALUE"""),13082)</f>
        <v>13082</v>
      </c>
      <c r="K298" s="7">
        <f ca="1">IFERROR(__xludf.DUMMYFUNCTION("""COMPUTED_VALUE"""),1383)</f>
        <v>1383</v>
      </c>
      <c r="L298" s="7">
        <f ca="1">IFERROR(__xludf.DUMMYFUNCTION("""COMPUTED_VALUE"""),6119)</f>
        <v>6119</v>
      </c>
      <c r="M298" s="7">
        <f ca="1">IFERROR(__xludf.DUMMYFUNCTION("""COMPUTED_VALUE"""),6078)</f>
        <v>6078</v>
      </c>
      <c r="N298" s="7">
        <f ca="1">IFERROR(__xludf.DUMMYFUNCTION("""COMPUTED_VALUE"""),885)</f>
        <v>885</v>
      </c>
    </row>
    <row r="299" spans="1:14" ht="13.2" x14ac:dyDescent="0.25">
      <c r="A299" s="6">
        <f ca="1">IFERROR(__xludf.DUMMYFUNCTION("""COMPUTED_VALUE"""),44188)</f>
        <v>44188</v>
      </c>
      <c r="B299" s="7">
        <f ca="1">IFERROR(__xludf.DUMMYFUNCTION("""COMPUTED_VALUE"""),8)</f>
        <v>8</v>
      </c>
      <c r="C299" s="8">
        <f ca="1">IFERROR(__xludf.DUMMYFUNCTION("""COMPUTED_VALUE"""),44188.3333333333)</f>
        <v>44188.333333333299</v>
      </c>
      <c r="D299" s="7">
        <f ca="1">IFERROR(__xludf.DUMMYFUNCTION("""COMPUTED_VALUE"""),3130)</f>
        <v>3130</v>
      </c>
      <c r="E299" s="7">
        <f ca="1">IFERROR(__xludf.DUMMYFUNCTION("""COMPUTED_VALUE"""),151122)</f>
        <v>151122</v>
      </c>
      <c r="F299" s="7">
        <f ca="1">IFERROR(__xludf.DUMMYFUNCTION("""COMPUTED_VALUE"""),8643)</f>
        <v>8643</v>
      </c>
      <c r="G299" s="7">
        <f ca="1">IFERROR(__xludf.DUMMYFUNCTION("""COMPUTED_VALUE"""),4947)</f>
        <v>4947</v>
      </c>
      <c r="H299" s="7">
        <f ca="1">IFERROR(__xludf.DUMMYFUNCTION("""COMPUTED_VALUE"""),167842)</f>
        <v>167842</v>
      </c>
      <c r="I299" s="7">
        <f ca="1">IFERROR(__xludf.DUMMYFUNCTION("""COMPUTED_VALUE"""),1954)</f>
        <v>1954</v>
      </c>
      <c r="J299" s="7">
        <f ca="1">IFERROR(__xludf.DUMMYFUNCTION("""COMPUTED_VALUE"""),13590)</f>
        <v>13590</v>
      </c>
      <c r="K299" s="7">
        <f ca="1">IFERROR(__xludf.DUMMYFUNCTION("""COMPUTED_VALUE"""),1431)</f>
        <v>1431</v>
      </c>
      <c r="L299" s="7">
        <f ca="1">IFERROR(__xludf.DUMMYFUNCTION("""COMPUTED_VALUE"""),6110)</f>
        <v>6110</v>
      </c>
      <c r="M299" s="7">
        <f ca="1">IFERROR(__xludf.DUMMYFUNCTION("""COMPUTED_VALUE"""),6391)</f>
        <v>6391</v>
      </c>
      <c r="N299" s="7">
        <f ca="1">IFERROR(__xludf.DUMMYFUNCTION("""COMPUTED_VALUE"""),1089)</f>
        <v>1089</v>
      </c>
    </row>
    <row r="300" spans="1:14" ht="13.2" x14ac:dyDescent="0.25">
      <c r="A300" s="6">
        <f ca="1">IFERROR(__xludf.DUMMYFUNCTION("""COMPUTED_VALUE"""),44189)</f>
        <v>44189</v>
      </c>
      <c r="B300" s="7">
        <f ca="1">IFERROR(__xludf.DUMMYFUNCTION("""COMPUTED_VALUE"""),8)</f>
        <v>8</v>
      </c>
      <c r="C300" s="8">
        <f ca="1">IFERROR(__xludf.DUMMYFUNCTION("""COMPUTED_VALUE"""),44189.3333333333)</f>
        <v>44189.333333333299</v>
      </c>
      <c r="D300" s="7">
        <f ca="1">IFERROR(__xludf.DUMMYFUNCTION("""COMPUTED_VALUE"""),3146)</f>
        <v>3146</v>
      </c>
      <c r="E300" s="7">
        <f ca="1">IFERROR(__xludf.DUMMYFUNCTION("""COMPUTED_VALUE"""),152491)</f>
        <v>152491</v>
      </c>
      <c r="F300" s="7">
        <f ca="1">IFERROR(__xludf.DUMMYFUNCTION("""COMPUTED_VALUE"""),8833)</f>
        <v>8833</v>
      </c>
      <c r="G300" s="7">
        <f ca="1">IFERROR(__xludf.DUMMYFUNCTION("""COMPUTED_VALUE"""),5305)</f>
        <v>5305</v>
      </c>
      <c r="H300" s="7">
        <f ca="1">IFERROR(__xludf.DUMMYFUNCTION("""COMPUTED_VALUE"""),169775)</f>
        <v>169775</v>
      </c>
      <c r="I300" s="7">
        <f ca="1">IFERROR(__xludf.DUMMYFUNCTION("""COMPUTED_VALUE"""),1933)</f>
        <v>1933</v>
      </c>
      <c r="J300" s="7">
        <f ca="1">IFERROR(__xludf.DUMMYFUNCTION("""COMPUTED_VALUE"""),14138)</f>
        <v>14138</v>
      </c>
      <c r="K300" s="7">
        <f ca="1">IFERROR(__xludf.DUMMYFUNCTION("""COMPUTED_VALUE"""),1369)</f>
        <v>1369</v>
      </c>
      <c r="L300" s="7">
        <f ca="1">IFERROR(__xludf.DUMMYFUNCTION("""COMPUTED_VALUE"""),6596)</f>
        <v>6596</v>
      </c>
      <c r="M300" s="7">
        <f ca="1">IFERROR(__xludf.DUMMYFUNCTION("""COMPUTED_VALUE"""),7011)</f>
        <v>7011</v>
      </c>
      <c r="N300" s="7">
        <f ca="1">IFERROR(__xludf.DUMMYFUNCTION("""COMPUTED_VALUE"""),531)</f>
        <v>531</v>
      </c>
    </row>
    <row r="301" spans="1:14" ht="13.2" x14ac:dyDescent="0.25">
      <c r="A301" s="6">
        <f ca="1">IFERROR(__xludf.DUMMYFUNCTION("""COMPUTED_VALUE"""),44190)</f>
        <v>44190</v>
      </c>
      <c r="B301" s="7">
        <f ca="1">IFERROR(__xludf.DUMMYFUNCTION("""COMPUTED_VALUE"""),8)</f>
        <v>8</v>
      </c>
      <c r="C301" s="8">
        <f ca="1">IFERROR(__xludf.DUMMYFUNCTION("""COMPUTED_VALUE"""),44190.3333333333)</f>
        <v>44190.333333333299</v>
      </c>
      <c r="D301" s="7">
        <f ca="1">IFERROR(__xludf.DUMMYFUNCTION("""COMPUTED_VALUE"""),3167)</f>
        <v>3167</v>
      </c>
      <c r="E301" s="7">
        <f ca="1">IFERROR(__xludf.DUMMYFUNCTION("""COMPUTED_VALUE"""),154242)</f>
        <v>154242</v>
      </c>
      <c r="F301" s="7">
        <f ca="1">IFERROR(__xludf.DUMMYFUNCTION("""COMPUTED_VALUE"""),8720)</f>
        <v>8720</v>
      </c>
      <c r="G301" s="7">
        <f ca="1">IFERROR(__xludf.DUMMYFUNCTION("""COMPUTED_VALUE"""),5742)</f>
        <v>5742</v>
      </c>
      <c r="H301" s="7">
        <f ca="1">IFERROR(__xludf.DUMMYFUNCTION("""COMPUTED_VALUE"""),171871)</f>
        <v>171871</v>
      </c>
      <c r="I301" s="7">
        <f ca="1">IFERROR(__xludf.DUMMYFUNCTION("""COMPUTED_VALUE"""),2096)</f>
        <v>2096</v>
      </c>
      <c r="J301" s="7">
        <f ca="1">IFERROR(__xludf.DUMMYFUNCTION("""COMPUTED_VALUE"""),14462)</f>
        <v>14462</v>
      </c>
      <c r="K301" s="7">
        <f ca="1">IFERROR(__xludf.DUMMYFUNCTION("""COMPUTED_VALUE"""),1751)</f>
        <v>1751</v>
      </c>
      <c r="L301" s="7">
        <f ca="1">IFERROR(__xludf.DUMMYFUNCTION("""COMPUTED_VALUE"""),6206)</f>
        <v>6206</v>
      </c>
      <c r="M301" s="7">
        <f ca="1">IFERROR(__xludf.DUMMYFUNCTION("""COMPUTED_VALUE"""),6903)</f>
        <v>6903</v>
      </c>
      <c r="N301" s="7">
        <f ca="1">IFERROR(__xludf.DUMMYFUNCTION("""COMPUTED_VALUE"""),1353)</f>
        <v>1353</v>
      </c>
    </row>
    <row r="302" spans="1:14" ht="13.2" x14ac:dyDescent="0.25">
      <c r="A302" s="6">
        <f ca="1">IFERROR(__xludf.DUMMYFUNCTION("""COMPUTED_VALUE"""),44191)</f>
        <v>44191</v>
      </c>
      <c r="B302" s="7">
        <f ca="1">IFERROR(__xludf.DUMMYFUNCTION("""COMPUTED_VALUE"""),8)</f>
        <v>8</v>
      </c>
      <c r="C302" s="8">
        <f ca="1">IFERROR(__xludf.DUMMYFUNCTION("""COMPUTED_VALUE"""),44191.3333333333)</f>
        <v>44191.333333333299</v>
      </c>
      <c r="D302" s="7">
        <f ca="1">IFERROR(__xludf.DUMMYFUNCTION("""COMPUTED_VALUE"""),3182)</f>
        <v>3182</v>
      </c>
      <c r="E302" s="7">
        <f ca="1">IFERROR(__xludf.DUMMYFUNCTION("""COMPUTED_VALUE"""),156798)</f>
        <v>156798</v>
      </c>
      <c r="F302" s="7">
        <f ca="1">IFERROR(__xludf.DUMMYFUNCTION("""COMPUTED_VALUE"""),9439)</f>
        <v>9439</v>
      </c>
      <c r="G302" s="7">
        <f ca="1">IFERROR(__xludf.DUMMYFUNCTION("""COMPUTED_VALUE"""),4510)</f>
        <v>4510</v>
      </c>
      <c r="H302" s="7">
        <f ca="1">IFERROR(__xludf.DUMMYFUNCTION("""COMPUTED_VALUE"""),173929)</f>
        <v>173929</v>
      </c>
      <c r="I302" s="7">
        <f ca="1">IFERROR(__xludf.DUMMYFUNCTION("""COMPUTED_VALUE"""),2058)</f>
        <v>2058</v>
      </c>
      <c r="J302" s="7">
        <f ca="1">IFERROR(__xludf.DUMMYFUNCTION("""COMPUTED_VALUE"""),13949)</f>
        <v>13949</v>
      </c>
      <c r="K302" s="7">
        <f ca="1">IFERROR(__xludf.DUMMYFUNCTION("""COMPUTED_VALUE"""),2556)</f>
        <v>2556</v>
      </c>
      <c r="L302" s="7">
        <f ca="1">IFERROR(__xludf.DUMMYFUNCTION("""COMPUTED_VALUE"""),5885)</f>
        <v>5885</v>
      </c>
      <c r="M302" s="7">
        <f ca="1">IFERROR(__xludf.DUMMYFUNCTION("""COMPUTED_VALUE"""),6691)</f>
        <v>6691</v>
      </c>
      <c r="N302" s="7">
        <f ca="1">IFERROR(__xludf.DUMMYFUNCTION("""COMPUTED_VALUE"""),1373)</f>
        <v>1373</v>
      </c>
    </row>
    <row r="303" spans="1:14" ht="13.2" x14ac:dyDescent="0.25">
      <c r="A303" s="6">
        <f ca="1">IFERROR(__xludf.DUMMYFUNCTION("""COMPUTED_VALUE"""),44192)</f>
        <v>44192</v>
      </c>
      <c r="B303" s="7">
        <f ca="1">IFERROR(__xludf.DUMMYFUNCTION("""COMPUTED_VALUE"""),8)</f>
        <v>8</v>
      </c>
      <c r="C303" s="8">
        <f ca="1">IFERROR(__xludf.DUMMYFUNCTION("""COMPUTED_VALUE"""),44192.3333333333)</f>
        <v>44192.333333333299</v>
      </c>
      <c r="D303" s="7">
        <f ca="1">IFERROR(__xludf.DUMMYFUNCTION("""COMPUTED_VALUE"""),3204)</f>
        <v>3204</v>
      </c>
      <c r="E303" s="7">
        <f ca="1">IFERROR(__xludf.DUMMYFUNCTION("""COMPUTED_VALUE"""),158615)</f>
        <v>158615</v>
      </c>
      <c r="F303" s="7">
        <f ca="1">IFERROR(__xludf.DUMMYFUNCTION("""COMPUTED_VALUE"""),9655)</f>
        <v>9655</v>
      </c>
      <c r="G303" s="7">
        <f ca="1">IFERROR(__xludf.DUMMYFUNCTION("""COMPUTED_VALUE"""),4452)</f>
        <v>4452</v>
      </c>
      <c r="H303" s="7">
        <f ca="1">IFERROR(__xludf.DUMMYFUNCTION("""COMPUTED_VALUE"""),175926)</f>
        <v>175926</v>
      </c>
      <c r="I303" s="7">
        <f ca="1">IFERROR(__xludf.DUMMYFUNCTION("""COMPUTED_VALUE"""),1997)</f>
        <v>1997</v>
      </c>
      <c r="J303" s="7">
        <f ca="1">IFERROR(__xludf.DUMMYFUNCTION("""COMPUTED_VALUE"""),14107)</f>
        <v>14107</v>
      </c>
      <c r="K303" s="7">
        <f ca="1">IFERROR(__xludf.DUMMYFUNCTION("""COMPUTED_VALUE"""),1817)</f>
        <v>1817</v>
      </c>
      <c r="L303" s="7">
        <f ca="1">IFERROR(__xludf.DUMMYFUNCTION("""COMPUTED_VALUE"""),4651)</f>
        <v>4651</v>
      </c>
      <c r="M303" s="7">
        <f ca="1">IFERROR(__xludf.DUMMYFUNCTION("""COMPUTED_VALUE"""),6495)</f>
        <v>6495</v>
      </c>
      <c r="N303" s="7">
        <f ca="1">IFERROR(__xludf.DUMMYFUNCTION("""COMPUTED_VALUE"""),2961)</f>
        <v>2961</v>
      </c>
    </row>
    <row r="304" spans="1:14" ht="13.2" x14ac:dyDescent="0.25">
      <c r="A304" s="6">
        <f ca="1">IFERROR(__xludf.DUMMYFUNCTION("""COMPUTED_VALUE"""),44193)</f>
        <v>44193</v>
      </c>
      <c r="B304" s="7">
        <f ca="1">IFERROR(__xludf.DUMMYFUNCTION("""COMPUTED_VALUE"""),8)</f>
        <v>8</v>
      </c>
      <c r="C304" s="8">
        <f ca="1">IFERROR(__xludf.DUMMYFUNCTION("""COMPUTED_VALUE"""),44193.3333333333)</f>
        <v>44193.333333333299</v>
      </c>
      <c r="D304" s="7">
        <f ca="1">IFERROR(__xludf.DUMMYFUNCTION("""COMPUTED_VALUE"""),3226)</f>
        <v>3226</v>
      </c>
      <c r="E304" s="7">
        <f ca="1">IFERROR(__xludf.DUMMYFUNCTION("""COMPUTED_VALUE"""),159878)</f>
        <v>159878</v>
      </c>
      <c r="F304" s="7">
        <f ca="1">IFERROR(__xludf.DUMMYFUNCTION("""COMPUTED_VALUE"""),9919)</f>
        <v>9919</v>
      </c>
      <c r="G304" s="7">
        <f ca="1">IFERROR(__xludf.DUMMYFUNCTION("""COMPUTED_VALUE"""),4581)</f>
        <v>4581</v>
      </c>
      <c r="H304" s="7">
        <f ca="1">IFERROR(__xludf.DUMMYFUNCTION("""COMPUTED_VALUE"""),177604)</f>
        <v>177604</v>
      </c>
      <c r="I304" s="7">
        <f ca="1">IFERROR(__xludf.DUMMYFUNCTION("""COMPUTED_VALUE"""),1678)</f>
        <v>1678</v>
      </c>
      <c r="J304" s="7">
        <f ca="1">IFERROR(__xludf.DUMMYFUNCTION("""COMPUTED_VALUE"""),14500)</f>
        <v>14500</v>
      </c>
      <c r="K304" s="7">
        <f ca="1">IFERROR(__xludf.DUMMYFUNCTION("""COMPUTED_VALUE"""),1263)</f>
        <v>1263</v>
      </c>
      <c r="L304" s="7">
        <f ca="1">IFERROR(__xludf.DUMMYFUNCTION("""COMPUTED_VALUE"""),4046)</f>
        <v>4046</v>
      </c>
      <c r="M304" s="7">
        <f ca="1">IFERROR(__xludf.DUMMYFUNCTION("""COMPUTED_VALUE"""),6567)</f>
        <v>6567</v>
      </c>
      <c r="N304" s="7">
        <f ca="1">IFERROR(__xludf.DUMMYFUNCTION("""COMPUTED_VALUE"""),3887)</f>
        <v>3887</v>
      </c>
    </row>
    <row r="305" spans="1:14" ht="13.2" x14ac:dyDescent="0.25">
      <c r="A305" s="6">
        <f ca="1">IFERROR(__xludf.DUMMYFUNCTION("""COMPUTED_VALUE"""),44194)</f>
        <v>44194</v>
      </c>
      <c r="B305" s="7">
        <f ca="1">IFERROR(__xludf.DUMMYFUNCTION("""COMPUTED_VALUE"""),8)</f>
        <v>8</v>
      </c>
      <c r="C305" s="8">
        <f ca="1">IFERROR(__xludf.DUMMYFUNCTION("""COMPUTED_VALUE"""),44194.3333333333)</f>
        <v>44194.333333333299</v>
      </c>
      <c r="D305" s="7">
        <f ca="1">IFERROR(__xludf.DUMMYFUNCTION("""COMPUTED_VALUE"""),3246)</f>
        <v>3246</v>
      </c>
      <c r="E305" s="7">
        <f ca="1">IFERROR(__xludf.DUMMYFUNCTION("""COMPUTED_VALUE"""),161337)</f>
        <v>161337</v>
      </c>
      <c r="F305" s="7">
        <f ca="1">IFERROR(__xludf.DUMMYFUNCTION("""COMPUTED_VALUE"""),10018)</f>
        <v>10018</v>
      </c>
      <c r="G305" s="7">
        <f ca="1">IFERROR(__xludf.DUMMYFUNCTION("""COMPUTED_VALUE"""),5059)</f>
        <v>5059</v>
      </c>
      <c r="H305" s="7">
        <f ca="1">IFERROR(__xludf.DUMMYFUNCTION("""COMPUTED_VALUE"""),179660)</f>
        <v>179660</v>
      </c>
      <c r="I305" s="7">
        <f ca="1">IFERROR(__xludf.DUMMYFUNCTION("""COMPUTED_VALUE"""),2056)</f>
        <v>2056</v>
      </c>
      <c r="J305" s="7">
        <f ca="1">IFERROR(__xludf.DUMMYFUNCTION("""COMPUTED_VALUE"""),15077)</f>
        <v>15077</v>
      </c>
      <c r="K305" s="7">
        <f ca="1">IFERROR(__xludf.DUMMYFUNCTION("""COMPUTED_VALUE"""),1459)</f>
        <v>1459</v>
      </c>
      <c r="L305" s="7">
        <f ca="1">IFERROR(__xludf.DUMMYFUNCTION("""COMPUTED_VALUE"""),6545)</f>
        <v>6545</v>
      </c>
      <c r="M305" s="7">
        <f ca="1">IFERROR(__xludf.DUMMYFUNCTION("""COMPUTED_VALUE"""),7026)</f>
        <v>7026</v>
      </c>
      <c r="N305" s="7">
        <f ca="1">IFERROR(__xludf.DUMMYFUNCTION("""COMPUTED_VALUE"""),1506)</f>
        <v>1506</v>
      </c>
    </row>
    <row r="306" spans="1:14" ht="13.2" x14ac:dyDescent="0.25">
      <c r="A306" s="6">
        <f ca="1">IFERROR(__xludf.DUMMYFUNCTION("""COMPUTED_VALUE"""),44195)</f>
        <v>44195</v>
      </c>
      <c r="B306" s="7">
        <f ca="1">IFERROR(__xludf.DUMMYFUNCTION("""COMPUTED_VALUE"""),8)</f>
        <v>8</v>
      </c>
      <c r="C306" s="8">
        <f ca="1">IFERROR(__xludf.DUMMYFUNCTION("""COMPUTED_VALUE"""),44195.3333333333)</f>
        <v>44195.333333333299</v>
      </c>
      <c r="D306" s="7">
        <f ca="1">IFERROR(__xludf.DUMMYFUNCTION("""COMPUTED_VALUE"""),3266)</f>
        <v>3266</v>
      </c>
      <c r="E306" s="7">
        <f ca="1">IFERROR(__xludf.DUMMYFUNCTION("""COMPUTED_VALUE"""),162911)</f>
        <v>162911</v>
      </c>
      <c r="F306" s="7">
        <f ca="1">IFERROR(__xludf.DUMMYFUNCTION("""COMPUTED_VALUE"""),9882)</f>
        <v>9882</v>
      </c>
      <c r="G306" s="7">
        <f ca="1">IFERROR(__xludf.DUMMYFUNCTION("""COMPUTED_VALUE"""),5654)</f>
        <v>5654</v>
      </c>
      <c r="H306" s="7">
        <f ca="1">IFERROR(__xludf.DUMMYFUNCTION("""COMPUTED_VALUE"""),181713)</f>
        <v>181713</v>
      </c>
      <c r="I306" s="7">
        <f ca="1">IFERROR(__xludf.DUMMYFUNCTION("""COMPUTED_VALUE"""),2053)</f>
        <v>2053</v>
      </c>
      <c r="J306" s="7">
        <f ca="1">IFERROR(__xludf.DUMMYFUNCTION("""COMPUTED_VALUE"""),15536)</f>
        <v>15536</v>
      </c>
      <c r="K306" s="7">
        <f ca="1">IFERROR(__xludf.DUMMYFUNCTION("""COMPUTED_VALUE"""),1574)</f>
        <v>1574</v>
      </c>
      <c r="L306" s="7">
        <f ca="1">IFERROR(__xludf.DUMMYFUNCTION("""COMPUTED_VALUE"""),7010)</f>
        <v>7010</v>
      </c>
      <c r="M306" s="7">
        <f ca="1">IFERROR(__xludf.DUMMYFUNCTION("""COMPUTED_VALUE"""),7122)</f>
        <v>7122</v>
      </c>
      <c r="N306" s="7">
        <f ca="1">IFERROR(__xludf.DUMMYFUNCTION("""COMPUTED_VALUE"""),1404)</f>
        <v>1404</v>
      </c>
    </row>
    <row r="307" spans="1:14" ht="13.2" x14ac:dyDescent="0.25">
      <c r="A307" s="6">
        <f ca="1">IFERROR(__xludf.DUMMYFUNCTION("""COMPUTED_VALUE"""),44196)</f>
        <v>44196</v>
      </c>
      <c r="B307" s="7">
        <f ca="1">IFERROR(__xludf.DUMMYFUNCTION("""COMPUTED_VALUE"""),8)</f>
        <v>8</v>
      </c>
      <c r="C307" s="8">
        <f ca="1">IFERROR(__xludf.DUMMYFUNCTION("""COMPUTED_VALUE"""),44196.3333333333)</f>
        <v>44196.333333333299</v>
      </c>
      <c r="D307" s="7">
        <f ca="1">IFERROR(__xludf.DUMMYFUNCTION("""COMPUTED_VALUE"""),3287)</f>
        <v>3287</v>
      </c>
      <c r="E307" s="7">
        <f ca="1">IFERROR(__xludf.DUMMYFUNCTION("""COMPUTED_VALUE"""),164881)</f>
        <v>164881</v>
      </c>
      <c r="F307" s="7">
        <f ca="1">IFERROR(__xludf.DUMMYFUNCTION("""COMPUTED_VALUE"""),9746)</f>
        <v>9746</v>
      </c>
      <c r="G307" s="7">
        <f ca="1">IFERROR(__xludf.DUMMYFUNCTION("""COMPUTED_VALUE"""),5821)</f>
        <v>5821</v>
      </c>
      <c r="H307" s="7">
        <f ca="1">IFERROR(__xludf.DUMMYFUNCTION("""COMPUTED_VALUE"""),183735)</f>
        <v>183735</v>
      </c>
      <c r="I307" s="7">
        <f ca="1">IFERROR(__xludf.DUMMYFUNCTION("""COMPUTED_VALUE"""),2022)</f>
        <v>2022</v>
      </c>
      <c r="J307" s="7">
        <f ca="1">IFERROR(__xludf.DUMMYFUNCTION("""COMPUTED_VALUE"""),15567)</f>
        <v>15567</v>
      </c>
      <c r="K307" s="7">
        <f ca="1">IFERROR(__xludf.DUMMYFUNCTION("""COMPUTED_VALUE"""),1970)</f>
        <v>1970</v>
      </c>
      <c r="L307" s="7">
        <f ca="1">IFERROR(__xludf.DUMMYFUNCTION("""COMPUTED_VALUE"""),6069)</f>
        <v>6069</v>
      </c>
      <c r="M307" s="7">
        <f ca="1">IFERROR(__xludf.DUMMYFUNCTION("""COMPUTED_VALUE"""),6831)</f>
        <v>6831</v>
      </c>
      <c r="N307" s="7">
        <f ca="1">IFERROR(__xludf.DUMMYFUNCTION("""COMPUTED_VALUE"""),2667)</f>
        <v>2667</v>
      </c>
    </row>
    <row r="308" spans="1:14" ht="13.2" x14ac:dyDescent="0.25">
      <c r="A308" s="6">
        <f ca="1">IFERROR(__xludf.DUMMYFUNCTION("""COMPUTED_VALUE"""),44197)</f>
        <v>44197</v>
      </c>
      <c r="B308" s="7">
        <f ca="1">IFERROR(__xludf.DUMMYFUNCTION("""COMPUTED_VALUE"""),8)</f>
        <v>8</v>
      </c>
      <c r="C308" s="8">
        <f ca="1">IFERROR(__xludf.DUMMYFUNCTION("""COMPUTED_VALUE"""),44197.3333333333)</f>
        <v>44197.333333333299</v>
      </c>
      <c r="D308" s="7">
        <f ca="1">IFERROR(__xludf.DUMMYFUNCTION("""COMPUTED_VALUE"""),3308)</f>
        <v>3308</v>
      </c>
      <c r="E308" s="7">
        <f ca="1">IFERROR(__xludf.DUMMYFUNCTION("""COMPUTED_VALUE"""),166512)</f>
        <v>166512</v>
      </c>
      <c r="F308" s="7">
        <f ca="1">IFERROR(__xludf.DUMMYFUNCTION("""COMPUTED_VALUE"""),10082)</f>
        <v>10082</v>
      </c>
      <c r="G308" s="7">
        <f ca="1">IFERROR(__xludf.DUMMYFUNCTION("""COMPUTED_VALUE"""),5789)</f>
        <v>5789</v>
      </c>
      <c r="H308" s="7">
        <f ca="1">IFERROR(__xludf.DUMMYFUNCTION("""COMPUTED_VALUE"""),185691)</f>
        <v>185691</v>
      </c>
      <c r="I308" s="7">
        <f ca="1">IFERROR(__xludf.DUMMYFUNCTION("""COMPUTED_VALUE"""),1956)</f>
        <v>1956</v>
      </c>
      <c r="J308" s="7">
        <f ca="1">IFERROR(__xludf.DUMMYFUNCTION("""COMPUTED_VALUE"""),15871)</f>
        <v>15871</v>
      </c>
      <c r="K308" s="7">
        <f ca="1">IFERROR(__xludf.DUMMYFUNCTION("""COMPUTED_VALUE"""),1631)</f>
        <v>1631</v>
      </c>
      <c r="L308" s="7">
        <f ca="1">IFERROR(__xludf.DUMMYFUNCTION("""COMPUTED_VALUE"""),7785)</f>
        <v>7785</v>
      </c>
      <c r="M308" s="7">
        <f ca="1">IFERROR(__xludf.DUMMYFUNCTION("""COMPUTED_VALUE"""),6572)</f>
        <v>6572</v>
      </c>
      <c r="N308" s="7">
        <f ca="1">IFERROR(__xludf.DUMMYFUNCTION("""COMPUTED_VALUE"""),1514)</f>
        <v>1514</v>
      </c>
    </row>
    <row r="309" spans="1:14" ht="13.2" x14ac:dyDescent="0.25">
      <c r="A309" s="6">
        <f ca="1">IFERROR(__xludf.DUMMYFUNCTION("""COMPUTED_VALUE"""),44198)</f>
        <v>44198</v>
      </c>
      <c r="B309" s="7">
        <f ca="1">IFERROR(__xludf.DUMMYFUNCTION("""COMPUTED_VALUE"""),8)</f>
        <v>8</v>
      </c>
      <c r="C309" s="8">
        <f ca="1">IFERROR(__xludf.DUMMYFUNCTION("""COMPUTED_VALUE"""),44198.3333333333)</f>
        <v>44198.333333333299</v>
      </c>
      <c r="D309" s="7">
        <f ca="1">IFERROR(__xludf.DUMMYFUNCTION("""COMPUTED_VALUE"""),3334)</f>
        <v>3334</v>
      </c>
      <c r="E309" s="7">
        <f ca="1">IFERROR(__xludf.DUMMYFUNCTION("""COMPUTED_VALUE"""),168781)</f>
        <v>168781</v>
      </c>
      <c r="F309" s="7">
        <f ca="1">IFERROR(__xludf.DUMMYFUNCTION("""COMPUTED_VALUE"""),10872)</f>
        <v>10872</v>
      </c>
      <c r="G309" s="7">
        <f ca="1">IFERROR(__xludf.DUMMYFUNCTION("""COMPUTED_VALUE"""),4599)</f>
        <v>4599</v>
      </c>
      <c r="H309" s="7">
        <f ca="1">IFERROR(__xludf.DUMMYFUNCTION("""COMPUTED_VALUE"""),187586)</f>
        <v>187586</v>
      </c>
      <c r="I309" s="7">
        <f ca="1">IFERROR(__xludf.DUMMYFUNCTION("""COMPUTED_VALUE"""),1895)</f>
        <v>1895</v>
      </c>
      <c r="J309" s="7">
        <f ca="1">IFERROR(__xludf.DUMMYFUNCTION("""COMPUTED_VALUE"""),15471)</f>
        <v>15471</v>
      </c>
      <c r="K309" s="7">
        <f ca="1">IFERROR(__xludf.DUMMYFUNCTION("""COMPUTED_VALUE"""),2269)</f>
        <v>2269</v>
      </c>
      <c r="L309" s="7">
        <f ca="1">IFERROR(__xludf.DUMMYFUNCTION("""COMPUTED_VALUE"""),8034)</f>
        <v>8034</v>
      </c>
      <c r="M309" s="7">
        <f ca="1">IFERROR(__xludf.DUMMYFUNCTION("""COMPUTED_VALUE"""),6168)</f>
        <v>6168</v>
      </c>
      <c r="N309" s="7">
        <f ca="1">IFERROR(__xludf.DUMMYFUNCTION("""COMPUTED_VALUE"""),1269)</f>
        <v>1269</v>
      </c>
    </row>
    <row r="310" spans="1:14" ht="13.2" x14ac:dyDescent="0.25">
      <c r="A310" s="6">
        <f ca="1">IFERROR(__xludf.DUMMYFUNCTION("""COMPUTED_VALUE"""),44199)</f>
        <v>44199</v>
      </c>
      <c r="B310" s="7">
        <f ca="1">IFERROR(__xludf.DUMMYFUNCTION("""COMPUTED_VALUE"""),8)</f>
        <v>8</v>
      </c>
      <c r="C310" s="8">
        <f ca="1">IFERROR(__xludf.DUMMYFUNCTION("""COMPUTED_VALUE"""),44199.3333333333)</f>
        <v>44199.333333333299</v>
      </c>
      <c r="D310" s="7">
        <f ca="1">IFERROR(__xludf.DUMMYFUNCTION("""COMPUTED_VALUE"""),3345)</f>
        <v>3345</v>
      </c>
      <c r="E310" s="7">
        <f ca="1">IFERROR(__xludf.DUMMYFUNCTION("""COMPUTED_VALUE"""),170510)</f>
        <v>170510</v>
      </c>
      <c r="F310" s="7">
        <f ca="1">IFERROR(__xludf.DUMMYFUNCTION("""COMPUTED_VALUE"""),10978)</f>
        <v>10978</v>
      </c>
      <c r="G310" s="7">
        <f ca="1">IFERROR(__xludf.DUMMYFUNCTION("""COMPUTED_VALUE"""),4410)</f>
        <v>4410</v>
      </c>
      <c r="H310" s="7">
        <f ca="1">IFERROR(__xludf.DUMMYFUNCTION("""COMPUTED_VALUE"""),189243)</f>
        <v>189243</v>
      </c>
      <c r="I310" s="7">
        <f ca="1">IFERROR(__xludf.DUMMYFUNCTION("""COMPUTED_VALUE"""),1657)</f>
        <v>1657</v>
      </c>
      <c r="J310" s="7">
        <f ca="1">IFERROR(__xludf.DUMMYFUNCTION("""COMPUTED_VALUE"""),15388)</f>
        <v>15388</v>
      </c>
      <c r="K310" s="7">
        <f ca="1">IFERROR(__xludf.DUMMYFUNCTION("""COMPUTED_VALUE"""),1729)</f>
        <v>1729</v>
      </c>
      <c r="L310" s="7">
        <f ca="1">IFERROR(__xludf.DUMMYFUNCTION("""COMPUTED_VALUE"""),8035)</f>
        <v>8035</v>
      </c>
      <c r="M310" s="7">
        <f ca="1">IFERROR(__xludf.DUMMYFUNCTION("""COMPUTED_VALUE"""),6104)</f>
        <v>6104</v>
      </c>
      <c r="N310" s="7">
        <f ca="1">IFERROR(__xludf.DUMMYFUNCTION("""COMPUTED_VALUE"""),1249)</f>
        <v>1249</v>
      </c>
    </row>
    <row r="311" spans="1:14" ht="13.2" x14ac:dyDescent="0.25">
      <c r="A311" s="6">
        <f ca="1">IFERROR(__xludf.DUMMYFUNCTION("""COMPUTED_VALUE"""),44200)</f>
        <v>44200</v>
      </c>
      <c r="B311" s="7">
        <f ca="1">IFERROR(__xludf.DUMMYFUNCTION("""COMPUTED_VALUE"""),8)</f>
        <v>8</v>
      </c>
      <c r="C311" s="8">
        <f ca="1">IFERROR(__xludf.DUMMYFUNCTION("""COMPUTED_VALUE"""),44200.3333333333)</f>
        <v>44200.333333333299</v>
      </c>
      <c r="D311" s="7">
        <f ca="1">IFERROR(__xludf.DUMMYFUNCTION("""COMPUTED_VALUE"""),3369)</f>
        <v>3369</v>
      </c>
      <c r="E311" s="7">
        <f ca="1">IFERROR(__xludf.DUMMYFUNCTION("""COMPUTED_VALUE"""),173036)</f>
        <v>173036</v>
      </c>
      <c r="F311" s="7">
        <f ca="1">IFERROR(__xludf.DUMMYFUNCTION("""COMPUTED_VALUE"""),10371)</f>
        <v>10371</v>
      </c>
      <c r="G311" s="7">
        <f ca="1">IFERROR(__xludf.DUMMYFUNCTION("""COMPUTED_VALUE"""),4299)</f>
        <v>4299</v>
      </c>
      <c r="H311" s="7">
        <f ca="1">IFERROR(__xludf.DUMMYFUNCTION("""COMPUTED_VALUE"""),191075)</f>
        <v>191075</v>
      </c>
      <c r="I311" s="7">
        <f ca="1">IFERROR(__xludf.DUMMYFUNCTION("""COMPUTED_VALUE"""),1832)</f>
        <v>1832</v>
      </c>
      <c r="J311" s="7">
        <f ca="1">IFERROR(__xludf.DUMMYFUNCTION("""COMPUTED_VALUE"""),14670)</f>
        <v>14670</v>
      </c>
      <c r="K311" s="7">
        <f ca="1">IFERROR(__xludf.DUMMYFUNCTION("""COMPUTED_VALUE"""),2526)</f>
        <v>2526</v>
      </c>
      <c r="L311" s="7">
        <f ca="1">IFERROR(__xludf.DUMMYFUNCTION("""COMPUTED_VALUE"""),7364)</f>
        <v>7364</v>
      </c>
      <c r="M311" s="7">
        <f ca="1">IFERROR(__xludf.DUMMYFUNCTION("""COMPUTED_VALUE"""),6234)</f>
        <v>6234</v>
      </c>
      <c r="N311" s="7">
        <f ca="1">IFERROR(__xludf.DUMMYFUNCTION("""COMPUTED_VALUE"""),1072)</f>
        <v>1072</v>
      </c>
    </row>
    <row r="312" spans="1:14" ht="13.2" x14ac:dyDescent="0.25">
      <c r="A312" s="6">
        <f ca="1">IFERROR(__xludf.DUMMYFUNCTION("""COMPUTED_VALUE"""),44201)</f>
        <v>44201</v>
      </c>
      <c r="B312" s="7">
        <f ca="1">IFERROR(__xludf.DUMMYFUNCTION("""COMPUTED_VALUE"""),8)</f>
        <v>8</v>
      </c>
      <c r="C312" s="8">
        <f ca="1">IFERROR(__xludf.DUMMYFUNCTION("""COMPUTED_VALUE"""),44201.3333333333)</f>
        <v>44201.333333333299</v>
      </c>
      <c r="D312" s="7">
        <f ca="1">IFERROR(__xludf.DUMMYFUNCTION("""COMPUTED_VALUE"""),3392)</f>
        <v>3392</v>
      </c>
      <c r="E312" s="7">
        <f ca="1">IFERROR(__xludf.DUMMYFUNCTION("""COMPUTED_VALUE"""),174131)</f>
        <v>174131</v>
      </c>
      <c r="F312" s="7">
        <f ca="1">IFERROR(__xludf.DUMMYFUNCTION("""COMPUTED_VALUE"""),10897)</f>
        <v>10897</v>
      </c>
      <c r="G312" s="7">
        <f ca="1">IFERROR(__xludf.DUMMYFUNCTION("""COMPUTED_VALUE"""),4479)</f>
        <v>4479</v>
      </c>
      <c r="H312" s="7">
        <f ca="1">IFERROR(__xludf.DUMMYFUNCTION("""COMPUTED_VALUE"""),192899)</f>
        <v>192899</v>
      </c>
      <c r="I312" s="7">
        <f ca="1">IFERROR(__xludf.DUMMYFUNCTION("""COMPUTED_VALUE"""),1824)</f>
        <v>1824</v>
      </c>
      <c r="J312" s="7">
        <f ca="1">IFERROR(__xludf.DUMMYFUNCTION("""COMPUTED_VALUE"""),15376)</f>
        <v>15376</v>
      </c>
      <c r="K312" s="7">
        <f ca="1">IFERROR(__xludf.DUMMYFUNCTION("""COMPUTED_VALUE"""),1095)</f>
        <v>1095</v>
      </c>
      <c r="L312" s="7">
        <f ca="1">IFERROR(__xludf.DUMMYFUNCTION("""COMPUTED_VALUE"""),6820)</f>
        <v>6820</v>
      </c>
      <c r="M312" s="7">
        <f ca="1">IFERROR(__xludf.DUMMYFUNCTION("""COMPUTED_VALUE"""),6139)</f>
        <v>6139</v>
      </c>
      <c r="N312" s="7">
        <f ca="1">IFERROR(__xludf.DUMMYFUNCTION("""COMPUTED_VALUE"""),2417)</f>
        <v>2417</v>
      </c>
    </row>
    <row r="313" spans="1:14" ht="13.2" x14ac:dyDescent="0.25">
      <c r="A313" s="6">
        <f ca="1">IFERROR(__xludf.DUMMYFUNCTION("""COMPUTED_VALUE"""),44202)</f>
        <v>44202</v>
      </c>
      <c r="B313" s="7">
        <f ca="1">IFERROR(__xludf.DUMMYFUNCTION("""COMPUTED_VALUE"""),8)</f>
        <v>8</v>
      </c>
      <c r="C313" s="8">
        <f ca="1">IFERROR(__xludf.DUMMYFUNCTION("""COMPUTED_VALUE"""),44202.3333333333)</f>
        <v>44202.333333333299</v>
      </c>
      <c r="D313" s="7">
        <f ca="1">IFERROR(__xludf.DUMMYFUNCTION("""COMPUTED_VALUE"""),3410)</f>
        <v>3410</v>
      </c>
      <c r="E313" s="7">
        <f ca="1">IFERROR(__xludf.DUMMYFUNCTION("""COMPUTED_VALUE"""),175441)</f>
        <v>175441</v>
      </c>
      <c r="F313" s="7">
        <f ca="1">IFERROR(__xludf.DUMMYFUNCTION("""COMPUTED_VALUE"""),12196)</f>
        <v>12196</v>
      </c>
      <c r="G313" s="7">
        <f ca="1">IFERROR(__xludf.DUMMYFUNCTION("""COMPUTED_VALUE"""),4254)</f>
        <v>4254</v>
      </c>
      <c r="H313" s="7">
        <f ca="1">IFERROR(__xludf.DUMMYFUNCTION("""COMPUTED_VALUE"""),195301)</f>
        <v>195301</v>
      </c>
      <c r="I313" s="7">
        <f ca="1">IFERROR(__xludf.DUMMYFUNCTION("""COMPUTED_VALUE"""),2402)</f>
        <v>2402</v>
      </c>
      <c r="J313" s="7">
        <f ca="1">IFERROR(__xludf.DUMMYFUNCTION("""COMPUTED_VALUE"""),16450)</f>
        <v>16450</v>
      </c>
      <c r="K313" s="7">
        <f ca="1">IFERROR(__xludf.DUMMYFUNCTION("""COMPUTED_VALUE"""),1310)</f>
        <v>1310</v>
      </c>
      <c r="L313" s="7">
        <f ca="1">IFERROR(__xludf.DUMMYFUNCTION("""COMPUTED_VALUE"""),8688)</f>
        <v>8688</v>
      </c>
      <c r="M313" s="7">
        <f ca="1">IFERROR(__xludf.DUMMYFUNCTION("""COMPUTED_VALUE"""),7762)</f>
        <v>7762</v>
      </c>
      <c r="N313" s="7">
        <f ca="1">IFERROR(__xludf.DUMMYFUNCTION("""COMPUTED_VALUE"""),0)</f>
        <v>0</v>
      </c>
    </row>
    <row r="314" spans="1:14" ht="13.2" x14ac:dyDescent="0.25">
      <c r="A314" s="6">
        <f ca="1">IFERROR(__xludf.DUMMYFUNCTION("""COMPUTED_VALUE"""),44203)</f>
        <v>44203</v>
      </c>
      <c r="B314" s="7">
        <f ca="1">IFERROR(__xludf.DUMMYFUNCTION("""COMPUTED_VALUE"""),8)</f>
        <v>8</v>
      </c>
      <c r="C314" s="8">
        <f ca="1">IFERROR(__xludf.DUMMYFUNCTION("""COMPUTED_VALUE"""),44203.3333333333)</f>
        <v>44203.333333333299</v>
      </c>
      <c r="D314" s="7">
        <f ca="1">IFERROR(__xludf.DUMMYFUNCTION("""COMPUTED_VALUE"""),3435)</f>
        <v>3435</v>
      </c>
      <c r="E314" s="7">
        <f ca="1">IFERROR(__xludf.DUMMYFUNCTION("""COMPUTED_VALUE"""),176882)</f>
        <v>176882</v>
      </c>
      <c r="F314" s="7">
        <f ca="1">IFERROR(__xludf.DUMMYFUNCTION("""COMPUTED_VALUE"""),12781)</f>
        <v>12781</v>
      </c>
      <c r="G314" s="7">
        <f ca="1">IFERROR(__xludf.DUMMYFUNCTION("""COMPUTED_VALUE"""),4601)</f>
        <v>4601</v>
      </c>
      <c r="H314" s="7">
        <f ca="1">IFERROR(__xludf.DUMMYFUNCTION("""COMPUTED_VALUE"""),197699)</f>
        <v>197699</v>
      </c>
      <c r="I314" s="7">
        <f ca="1">IFERROR(__xludf.DUMMYFUNCTION("""COMPUTED_VALUE"""),2398)</f>
        <v>2398</v>
      </c>
      <c r="J314" s="7">
        <f ca="1">IFERROR(__xludf.DUMMYFUNCTION("""COMPUTED_VALUE"""),17382)</f>
        <v>17382</v>
      </c>
      <c r="K314" s="7">
        <f ca="1">IFERROR(__xludf.DUMMYFUNCTION("""COMPUTED_VALUE"""),1441)</f>
        <v>1441</v>
      </c>
      <c r="L314" s="7">
        <f ca="1">IFERROR(__xludf.DUMMYFUNCTION("""COMPUTED_VALUE"""),7848)</f>
        <v>7848</v>
      </c>
      <c r="M314" s="7">
        <f ca="1">IFERROR(__xludf.DUMMYFUNCTION("""COMPUTED_VALUE"""),8006)</f>
        <v>8006</v>
      </c>
      <c r="N314" s="7">
        <f ca="1">IFERROR(__xludf.DUMMYFUNCTION("""COMPUTED_VALUE"""),1528)</f>
        <v>1528</v>
      </c>
    </row>
    <row r="315" spans="1:14" ht="13.2" x14ac:dyDescent="0.25">
      <c r="A315" s="6">
        <f ca="1">IFERROR(__xludf.DUMMYFUNCTION("""COMPUTED_VALUE"""),44204)</f>
        <v>44204</v>
      </c>
      <c r="B315" s="7">
        <f ca="1">IFERROR(__xludf.DUMMYFUNCTION("""COMPUTED_VALUE"""),8)</f>
        <v>8</v>
      </c>
      <c r="C315" s="8">
        <f ca="1">IFERROR(__xludf.DUMMYFUNCTION("""COMPUTED_VALUE"""),44204.3333333333)</f>
        <v>44204.333333333299</v>
      </c>
      <c r="D315" s="7">
        <f ca="1">IFERROR(__xludf.DUMMYFUNCTION("""COMPUTED_VALUE"""),3463)</f>
        <v>3463</v>
      </c>
      <c r="E315" s="7">
        <f ca="1">IFERROR(__xludf.DUMMYFUNCTION("""COMPUTED_VALUE"""),179562)</f>
        <v>179562</v>
      </c>
      <c r="F315" s="7">
        <f ca="1">IFERROR(__xludf.DUMMYFUNCTION("""COMPUTED_VALUE"""),13397)</f>
        <v>13397</v>
      </c>
      <c r="G315" s="7">
        <f ca="1">IFERROR(__xludf.DUMMYFUNCTION("""COMPUTED_VALUE"""),4236)</f>
        <v>4236</v>
      </c>
      <c r="H315" s="7">
        <f ca="1">IFERROR(__xludf.DUMMYFUNCTION("""COMPUTED_VALUE"""),200658)</f>
        <v>200658</v>
      </c>
      <c r="I315" s="7">
        <f ca="1">IFERROR(__xludf.DUMMYFUNCTION("""COMPUTED_VALUE"""),2959)</f>
        <v>2959</v>
      </c>
      <c r="J315" s="7">
        <f ca="1">IFERROR(__xludf.DUMMYFUNCTION("""COMPUTED_VALUE"""),17633)</f>
        <v>17633</v>
      </c>
      <c r="K315" s="7">
        <f ca="1">IFERROR(__xludf.DUMMYFUNCTION("""COMPUTED_VALUE"""),2680)</f>
        <v>2680</v>
      </c>
      <c r="L315" s="7">
        <f ca="1">IFERROR(__xludf.DUMMYFUNCTION("""COMPUTED_VALUE"""),7272)</f>
        <v>7272</v>
      </c>
      <c r="M315" s="7">
        <f ca="1">IFERROR(__xludf.DUMMYFUNCTION("""COMPUTED_VALUE"""),8628)</f>
        <v>8628</v>
      </c>
      <c r="N315" s="7">
        <f ca="1">IFERROR(__xludf.DUMMYFUNCTION("""COMPUTED_VALUE"""),1733)</f>
        <v>1733</v>
      </c>
    </row>
    <row r="316" spans="1:14" ht="13.2" x14ac:dyDescent="0.25">
      <c r="A316" s="6">
        <f ca="1">IFERROR(__xludf.DUMMYFUNCTION("""COMPUTED_VALUE"""),44205)</f>
        <v>44205</v>
      </c>
      <c r="B316" s="7">
        <f ca="1">IFERROR(__xludf.DUMMYFUNCTION("""COMPUTED_VALUE"""),8)</f>
        <v>8</v>
      </c>
      <c r="C316" s="8">
        <f ca="1">IFERROR(__xludf.DUMMYFUNCTION("""COMPUTED_VALUE"""),44205.3333333333)</f>
        <v>44205.333333333299</v>
      </c>
      <c r="D316" s="7">
        <f ca="1">IFERROR(__xludf.DUMMYFUNCTION("""COMPUTED_VALUE"""),3485)</f>
        <v>3485</v>
      </c>
      <c r="E316" s="7">
        <f ca="1">IFERROR(__xludf.DUMMYFUNCTION("""COMPUTED_VALUE"""),181613)</f>
        <v>181613</v>
      </c>
      <c r="F316" s="7">
        <f ca="1">IFERROR(__xludf.DUMMYFUNCTION("""COMPUTED_VALUE"""),13076)</f>
        <v>13076</v>
      </c>
      <c r="G316" s="7">
        <f ca="1">IFERROR(__xludf.DUMMYFUNCTION("""COMPUTED_VALUE"""),5237)</f>
        <v>5237</v>
      </c>
      <c r="H316" s="7">
        <f ca="1">IFERROR(__xludf.DUMMYFUNCTION("""COMPUTED_VALUE"""),203411)</f>
        <v>203411</v>
      </c>
      <c r="I316" s="7">
        <f ca="1">IFERROR(__xludf.DUMMYFUNCTION("""COMPUTED_VALUE"""),2753)</f>
        <v>2753</v>
      </c>
      <c r="J316" s="7">
        <f ca="1">IFERROR(__xludf.DUMMYFUNCTION("""COMPUTED_VALUE"""),18313)</f>
        <v>18313</v>
      </c>
      <c r="K316" s="7">
        <f ca="1">IFERROR(__xludf.DUMMYFUNCTION("""COMPUTED_VALUE"""),2051)</f>
        <v>2051</v>
      </c>
      <c r="L316" s="7">
        <f ca="1">IFERROR(__xludf.DUMMYFUNCTION("""COMPUTED_VALUE"""),6781)</f>
        <v>6781</v>
      </c>
      <c r="M316" s="7">
        <f ca="1">IFERROR(__xludf.DUMMYFUNCTION("""COMPUTED_VALUE"""),9628)</f>
        <v>9628</v>
      </c>
      <c r="N316" s="7">
        <f ca="1">IFERROR(__xludf.DUMMYFUNCTION("""COMPUTED_VALUE"""),1904)</f>
        <v>1904</v>
      </c>
    </row>
    <row r="317" spans="1:14" ht="13.2" x14ac:dyDescent="0.25">
      <c r="A317" s="6">
        <f ca="1">IFERROR(__xludf.DUMMYFUNCTION("""COMPUTED_VALUE"""),44206)</f>
        <v>44206</v>
      </c>
      <c r="B317" s="7">
        <f ca="1">IFERROR(__xludf.DUMMYFUNCTION("""COMPUTED_VALUE"""),8)</f>
        <v>8</v>
      </c>
      <c r="C317" s="8">
        <f ca="1">IFERROR(__xludf.DUMMYFUNCTION("""COMPUTED_VALUE"""),44206.3333333333)</f>
        <v>44206.333333333299</v>
      </c>
      <c r="D317" s="7">
        <f ca="1">IFERROR(__xludf.DUMMYFUNCTION("""COMPUTED_VALUE"""),3517)</f>
        <v>3517</v>
      </c>
      <c r="E317" s="7">
        <f ca="1">IFERROR(__xludf.DUMMYFUNCTION("""COMPUTED_VALUE"""),184576)</f>
        <v>184576</v>
      </c>
      <c r="F317" s="7">
        <f ca="1">IFERROR(__xludf.DUMMYFUNCTION("""COMPUTED_VALUE"""),13166)</f>
        <v>13166</v>
      </c>
      <c r="G317" s="7">
        <f ca="1">IFERROR(__xludf.DUMMYFUNCTION("""COMPUTED_VALUE"""),4863)</f>
        <v>4863</v>
      </c>
      <c r="H317" s="7">
        <f ca="1">IFERROR(__xludf.DUMMYFUNCTION("""COMPUTED_VALUE"""),206122)</f>
        <v>206122</v>
      </c>
      <c r="I317" s="7">
        <f ca="1">IFERROR(__xludf.DUMMYFUNCTION("""COMPUTED_VALUE"""),2711)</f>
        <v>2711</v>
      </c>
      <c r="J317" s="7">
        <f ca="1">IFERROR(__xludf.DUMMYFUNCTION("""COMPUTED_VALUE"""),18029)</f>
        <v>18029</v>
      </c>
      <c r="K317" s="7">
        <f ca="1">IFERROR(__xludf.DUMMYFUNCTION("""COMPUTED_VALUE"""),2963)</f>
        <v>2963</v>
      </c>
      <c r="L317" s="7">
        <f ca="1">IFERROR(__xludf.DUMMYFUNCTION("""COMPUTED_VALUE"""),6284)</f>
        <v>6284</v>
      </c>
      <c r="M317" s="7">
        <f ca="1">IFERROR(__xludf.DUMMYFUNCTION("""COMPUTED_VALUE"""),9914)</f>
        <v>9914</v>
      </c>
      <c r="N317" s="7">
        <f ca="1">IFERROR(__xludf.DUMMYFUNCTION("""COMPUTED_VALUE"""),1831)</f>
        <v>1831</v>
      </c>
    </row>
    <row r="318" spans="1:14" ht="13.2" x14ac:dyDescent="0.25">
      <c r="A318" s="6">
        <f ca="1">IFERROR(__xludf.DUMMYFUNCTION("""COMPUTED_VALUE"""),44207)</f>
        <v>44207</v>
      </c>
      <c r="B318" s="7">
        <f ca="1">IFERROR(__xludf.DUMMYFUNCTION("""COMPUTED_VALUE"""),8)</f>
        <v>8</v>
      </c>
      <c r="C318" s="8">
        <f ca="1">IFERROR(__xludf.DUMMYFUNCTION("""COMPUTED_VALUE"""),44207.3333333333)</f>
        <v>44207.333333333299</v>
      </c>
      <c r="D318" s="7">
        <f ca="1">IFERROR(__xludf.DUMMYFUNCTION("""COMPUTED_VALUE"""),3551)</f>
        <v>3551</v>
      </c>
      <c r="E318" s="7">
        <f ca="1">IFERROR(__xludf.DUMMYFUNCTION("""COMPUTED_VALUE"""),187086)</f>
        <v>187086</v>
      </c>
      <c r="F318" s="7">
        <f ca="1">IFERROR(__xludf.DUMMYFUNCTION("""COMPUTED_VALUE"""),13541)</f>
        <v>13541</v>
      </c>
      <c r="G318" s="7">
        <f ca="1">IFERROR(__xludf.DUMMYFUNCTION("""COMPUTED_VALUE"""),4405)</f>
        <v>4405</v>
      </c>
      <c r="H318" s="7">
        <f ca="1">IFERROR(__xludf.DUMMYFUNCTION("""COMPUTED_VALUE"""),208583)</f>
        <v>208583</v>
      </c>
      <c r="I318" s="7">
        <f ca="1">IFERROR(__xludf.DUMMYFUNCTION("""COMPUTED_VALUE"""),2461)</f>
        <v>2461</v>
      </c>
      <c r="J318" s="7">
        <f ca="1">IFERROR(__xludf.DUMMYFUNCTION("""COMPUTED_VALUE"""),17946)</f>
        <v>17946</v>
      </c>
      <c r="K318" s="7">
        <f ca="1">IFERROR(__xludf.DUMMYFUNCTION("""COMPUTED_VALUE"""),2510)</f>
        <v>2510</v>
      </c>
      <c r="L318" s="7">
        <f ca="1">IFERROR(__xludf.DUMMYFUNCTION("""COMPUTED_VALUE"""),5180)</f>
        <v>5180</v>
      </c>
      <c r="M318" s="7">
        <f ca="1">IFERROR(__xludf.DUMMYFUNCTION("""COMPUTED_VALUE"""),9246)</f>
        <v>9246</v>
      </c>
      <c r="N318" s="7">
        <f ca="1">IFERROR(__xludf.DUMMYFUNCTION("""COMPUTED_VALUE"""),3520)</f>
        <v>3520</v>
      </c>
    </row>
    <row r="319" spans="1:14" ht="13.2" x14ac:dyDescent="0.25">
      <c r="A319" s="6">
        <f ca="1">IFERROR(__xludf.DUMMYFUNCTION("""COMPUTED_VALUE"""),44208)</f>
        <v>44208</v>
      </c>
      <c r="B319" s="7">
        <f ca="1">IFERROR(__xludf.DUMMYFUNCTION("""COMPUTED_VALUE"""),8)</f>
        <v>8</v>
      </c>
      <c r="C319" s="8">
        <f ca="1">IFERROR(__xludf.DUMMYFUNCTION("""COMPUTED_VALUE"""),44208.3333333333)</f>
        <v>44208.333333333299</v>
      </c>
      <c r="D319" s="7">
        <f ca="1">IFERROR(__xludf.DUMMYFUNCTION("""COMPUTED_VALUE"""),3589)</f>
        <v>3589</v>
      </c>
      <c r="E319" s="7">
        <f ca="1">IFERROR(__xludf.DUMMYFUNCTION("""COMPUTED_VALUE"""),188675)</f>
        <v>188675</v>
      </c>
      <c r="F319" s="7">
        <f ca="1">IFERROR(__xludf.DUMMYFUNCTION("""COMPUTED_VALUE"""),14591)</f>
        <v>14591</v>
      </c>
      <c r="G319" s="7">
        <f ca="1">IFERROR(__xludf.DUMMYFUNCTION("""COMPUTED_VALUE"""),4397)</f>
        <v>4397</v>
      </c>
      <c r="H319" s="7">
        <f ca="1">IFERROR(__xludf.DUMMYFUNCTION("""COMPUTED_VALUE"""),211252)</f>
        <v>211252</v>
      </c>
      <c r="I319" s="7">
        <f ca="1">IFERROR(__xludf.DUMMYFUNCTION("""COMPUTED_VALUE"""),2669)</f>
        <v>2669</v>
      </c>
      <c r="J319" s="7">
        <f ca="1">IFERROR(__xludf.DUMMYFUNCTION("""COMPUTED_VALUE"""),18988)</f>
        <v>18988</v>
      </c>
      <c r="K319" s="7">
        <f ca="1">IFERROR(__xludf.DUMMYFUNCTION("""COMPUTED_VALUE"""),1589)</f>
        <v>1589</v>
      </c>
      <c r="L319" s="7">
        <f ca="1">IFERROR(__xludf.DUMMYFUNCTION("""COMPUTED_VALUE"""),6861)</f>
        <v>6861</v>
      </c>
      <c r="M319" s="7">
        <f ca="1">IFERROR(__xludf.DUMMYFUNCTION("""COMPUTED_VALUE"""),10618)</f>
        <v>10618</v>
      </c>
      <c r="N319" s="7">
        <f ca="1">IFERROR(__xludf.DUMMYFUNCTION("""COMPUTED_VALUE"""),1509)</f>
        <v>1509</v>
      </c>
    </row>
    <row r="320" spans="1:14" ht="13.2" x14ac:dyDescent="0.25">
      <c r="A320" s="6">
        <f ca="1">IFERROR(__xludf.DUMMYFUNCTION("""COMPUTED_VALUE"""),44209)</f>
        <v>44209</v>
      </c>
      <c r="B320" s="7">
        <f ca="1">IFERROR(__xludf.DUMMYFUNCTION("""COMPUTED_VALUE"""),8)</f>
        <v>8</v>
      </c>
      <c r="C320" s="8">
        <f ca="1">IFERROR(__xludf.DUMMYFUNCTION("""COMPUTED_VALUE"""),44209.3333333333)</f>
        <v>44209.333333333299</v>
      </c>
      <c r="D320" s="7">
        <f ca="1">IFERROR(__xludf.DUMMYFUNCTION("""COMPUTED_VALUE"""),3634)</f>
        <v>3634</v>
      </c>
      <c r="E320" s="7">
        <f ca="1">IFERROR(__xludf.DUMMYFUNCTION("""COMPUTED_VALUE"""),191635)</f>
        <v>191635</v>
      </c>
      <c r="F320" s="7">
        <f ca="1">IFERROR(__xludf.DUMMYFUNCTION("""COMPUTED_VALUE"""),15009)</f>
        <v>15009</v>
      </c>
      <c r="G320" s="7">
        <f ca="1">IFERROR(__xludf.DUMMYFUNCTION("""COMPUTED_VALUE"""),4450)</f>
        <v>4450</v>
      </c>
      <c r="H320" s="7">
        <f ca="1">IFERROR(__xludf.DUMMYFUNCTION("""COMPUTED_VALUE"""),214728)</f>
        <v>214728</v>
      </c>
      <c r="I320" s="7">
        <f ca="1">IFERROR(__xludf.DUMMYFUNCTION("""COMPUTED_VALUE"""),3476)</f>
        <v>3476</v>
      </c>
      <c r="J320" s="7">
        <f ca="1">IFERROR(__xludf.DUMMYFUNCTION("""COMPUTED_VALUE"""),19459)</f>
        <v>19459</v>
      </c>
      <c r="K320" s="7">
        <f ca="1">IFERROR(__xludf.DUMMYFUNCTION("""COMPUTED_VALUE"""),2960)</f>
        <v>2960</v>
      </c>
      <c r="L320" s="7">
        <f ca="1">IFERROR(__xludf.DUMMYFUNCTION("""COMPUTED_VALUE"""),6757)</f>
        <v>6757</v>
      </c>
      <c r="M320" s="7">
        <f ca="1">IFERROR(__xludf.DUMMYFUNCTION("""COMPUTED_VALUE"""),10186)</f>
        <v>10186</v>
      </c>
      <c r="N320" s="7">
        <f ca="1">IFERROR(__xludf.DUMMYFUNCTION("""COMPUTED_VALUE"""),2516)</f>
        <v>2516</v>
      </c>
    </row>
    <row r="321" spans="1:14" ht="13.2" x14ac:dyDescent="0.25">
      <c r="A321" s="6">
        <f ca="1">IFERROR(__xludf.DUMMYFUNCTION("""COMPUTED_VALUE"""),44210)</f>
        <v>44210</v>
      </c>
      <c r="B321" s="7">
        <f ca="1">IFERROR(__xludf.DUMMYFUNCTION("""COMPUTED_VALUE"""),8)</f>
        <v>8</v>
      </c>
      <c r="C321" s="8">
        <f ca="1">IFERROR(__xludf.DUMMYFUNCTION("""COMPUTED_VALUE"""),44210.3333333333)</f>
        <v>44210.333333333299</v>
      </c>
      <c r="D321" s="7">
        <f ca="1">IFERROR(__xludf.DUMMYFUNCTION("""COMPUTED_VALUE"""),3675)</f>
        <v>3675</v>
      </c>
      <c r="E321" s="7">
        <f ca="1">IFERROR(__xludf.DUMMYFUNCTION("""COMPUTED_VALUE"""),193719)</f>
        <v>193719</v>
      </c>
      <c r="F321" s="7">
        <f ca="1">IFERROR(__xludf.DUMMYFUNCTION("""COMPUTED_VALUE"""),15852)</f>
        <v>15852</v>
      </c>
      <c r="G321" s="7">
        <f ca="1">IFERROR(__xludf.DUMMYFUNCTION("""COMPUTED_VALUE"""),4647)</f>
        <v>4647</v>
      </c>
      <c r="H321" s="7">
        <f ca="1">IFERROR(__xludf.DUMMYFUNCTION("""COMPUTED_VALUE"""),217893)</f>
        <v>217893</v>
      </c>
      <c r="I321" s="7">
        <f ca="1">IFERROR(__xludf.DUMMYFUNCTION("""COMPUTED_VALUE"""),3165)</f>
        <v>3165</v>
      </c>
      <c r="J321" s="7">
        <f ca="1">IFERROR(__xludf.DUMMYFUNCTION("""COMPUTED_VALUE"""),20499)</f>
        <v>20499</v>
      </c>
      <c r="K321" s="7">
        <f ca="1">IFERROR(__xludf.DUMMYFUNCTION("""COMPUTED_VALUE"""),2084)</f>
        <v>2084</v>
      </c>
      <c r="L321" s="7">
        <f ca="1">IFERROR(__xludf.DUMMYFUNCTION("""COMPUTED_VALUE"""),5878)</f>
        <v>5878</v>
      </c>
      <c r="M321" s="7">
        <f ca="1">IFERROR(__xludf.DUMMYFUNCTION("""COMPUTED_VALUE"""),10055)</f>
        <v>10055</v>
      </c>
      <c r="N321" s="7">
        <f ca="1">IFERROR(__xludf.DUMMYFUNCTION("""COMPUTED_VALUE"""),4566)</f>
        <v>4566</v>
      </c>
    </row>
    <row r="322" spans="1:14" ht="13.2" x14ac:dyDescent="0.25">
      <c r="A322" s="6">
        <f ca="1">IFERROR(__xludf.DUMMYFUNCTION("""COMPUTED_VALUE"""),44211)</f>
        <v>44211</v>
      </c>
      <c r="B322" s="7">
        <f ca="1">IFERROR(__xludf.DUMMYFUNCTION("""COMPUTED_VALUE"""),8)</f>
        <v>8</v>
      </c>
      <c r="C322" s="8">
        <f ca="1">IFERROR(__xludf.DUMMYFUNCTION("""COMPUTED_VALUE"""),44211.3333333333)</f>
        <v>44211.333333333299</v>
      </c>
      <c r="D322" s="7">
        <f ca="1">IFERROR(__xludf.DUMMYFUNCTION("""COMPUTED_VALUE"""),3710)</f>
        <v>3710</v>
      </c>
      <c r="E322" s="7">
        <f ca="1">IFERROR(__xludf.DUMMYFUNCTION("""COMPUTED_VALUE"""),195924)</f>
        <v>195924</v>
      </c>
      <c r="F322" s="7">
        <f ca="1">IFERROR(__xludf.DUMMYFUNCTION("""COMPUTED_VALUE"""),15553)</f>
        <v>15553</v>
      </c>
      <c r="G322" s="7">
        <f ca="1">IFERROR(__xludf.DUMMYFUNCTION("""COMPUTED_VALUE"""),5247)</f>
        <v>5247</v>
      </c>
      <c r="H322" s="7">
        <f ca="1">IFERROR(__xludf.DUMMYFUNCTION("""COMPUTED_VALUE"""),220434)</f>
        <v>220434</v>
      </c>
      <c r="I322" s="7">
        <f ca="1">IFERROR(__xludf.DUMMYFUNCTION("""COMPUTED_VALUE"""),2541)</f>
        <v>2541</v>
      </c>
      <c r="J322" s="7">
        <f ca="1">IFERROR(__xludf.DUMMYFUNCTION("""COMPUTED_VALUE"""),20800)</f>
        <v>20800</v>
      </c>
      <c r="K322" s="7">
        <f ca="1">IFERROR(__xludf.DUMMYFUNCTION("""COMPUTED_VALUE"""),2205)</f>
        <v>2205</v>
      </c>
      <c r="L322" s="7">
        <f ca="1">IFERROR(__xludf.DUMMYFUNCTION("""COMPUTED_VALUE"""),5182)</f>
        <v>5182</v>
      </c>
      <c r="M322" s="7">
        <f ca="1">IFERROR(__xludf.DUMMYFUNCTION("""COMPUTED_VALUE"""),9366)</f>
        <v>9366</v>
      </c>
      <c r="N322" s="7">
        <f ca="1">IFERROR(__xludf.DUMMYFUNCTION("""COMPUTED_VALUE"""),6252)</f>
        <v>6252</v>
      </c>
    </row>
    <row r="323" spans="1:14" ht="13.2" x14ac:dyDescent="0.25">
      <c r="A323" s="6">
        <f ca="1">IFERROR(__xludf.DUMMYFUNCTION("""COMPUTED_VALUE"""),44212)</f>
        <v>44212</v>
      </c>
      <c r="B323" s="7">
        <f ca="1">IFERROR(__xludf.DUMMYFUNCTION("""COMPUTED_VALUE"""),8)</f>
        <v>8</v>
      </c>
      <c r="C323" s="8">
        <f ca="1">IFERROR(__xludf.DUMMYFUNCTION("""COMPUTED_VALUE"""),44212.3333333333)</f>
        <v>44212.333333333299</v>
      </c>
      <c r="D323" s="7">
        <f ca="1">IFERROR(__xludf.DUMMYFUNCTION("""COMPUTED_VALUE"""),3745)</f>
        <v>3745</v>
      </c>
      <c r="E323" s="7">
        <f ca="1">IFERROR(__xludf.DUMMYFUNCTION("""COMPUTED_VALUE"""),198136)</f>
        <v>198136</v>
      </c>
      <c r="F323" s="7">
        <f ca="1">IFERROR(__xludf.DUMMYFUNCTION("""COMPUTED_VALUE"""),17524)</f>
        <v>17524</v>
      </c>
      <c r="G323" s="7">
        <f ca="1">IFERROR(__xludf.DUMMYFUNCTION("""COMPUTED_VALUE"""),4565)</f>
        <v>4565</v>
      </c>
      <c r="H323" s="7">
        <f ca="1">IFERROR(__xludf.DUMMYFUNCTION("""COMPUTED_VALUE"""),223970)</f>
        <v>223970</v>
      </c>
      <c r="I323" s="7">
        <f ca="1">IFERROR(__xludf.DUMMYFUNCTION("""COMPUTED_VALUE"""),3536)</f>
        <v>3536</v>
      </c>
      <c r="J323" s="7">
        <f ca="1">IFERROR(__xludf.DUMMYFUNCTION("""COMPUTED_VALUE"""),22089)</f>
        <v>22089</v>
      </c>
      <c r="K323" s="7">
        <f ca="1">IFERROR(__xludf.DUMMYFUNCTION("""COMPUTED_VALUE"""),2212)</f>
        <v>2212</v>
      </c>
      <c r="L323" s="7">
        <f ca="1">IFERROR(__xludf.DUMMYFUNCTION("""COMPUTED_VALUE"""),6820)</f>
        <v>6820</v>
      </c>
      <c r="M323" s="7">
        <f ca="1">IFERROR(__xludf.DUMMYFUNCTION("""COMPUTED_VALUE"""),13159)</f>
        <v>13159</v>
      </c>
      <c r="N323" s="7">
        <f ca="1">IFERROR(__xludf.DUMMYFUNCTION("""COMPUTED_VALUE"""),2110)</f>
        <v>2110</v>
      </c>
    </row>
    <row r="324" spans="1:14" ht="13.2" x14ac:dyDescent="0.25">
      <c r="A324" s="6">
        <f ca="1">IFERROR(__xludf.DUMMYFUNCTION("""COMPUTED_VALUE"""),44213)</f>
        <v>44213</v>
      </c>
      <c r="B324" s="7">
        <f ca="1">IFERROR(__xludf.DUMMYFUNCTION("""COMPUTED_VALUE"""),8)</f>
        <v>8</v>
      </c>
      <c r="C324" s="8">
        <f ca="1">IFERROR(__xludf.DUMMYFUNCTION("""COMPUTED_VALUE"""),44213.3333333333)</f>
        <v>44213.333333333299</v>
      </c>
      <c r="D324" s="7">
        <f ca="1">IFERROR(__xludf.DUMMYFUNCTION("""COMPUTED_VALUE"""),3779)</f>
        <v>3779</v>
      </c>
      <c r="E324" s="7">
        <f ca="1">IFERROR(__xludf.DUMMYFUNCTION("""COMPUTED_VALUE"""),201907)</f>
        <v>201907</v>
      </c>
      <c r="F324" s="7">
        <f ca="1">IFERROR(__xludf.DUMMYFUNCTION("""COMPUTED_VALUE"""),16741)</f>
        <v>16741</v>
      </c>
      <c r="G324" s="7">
        <f ca="1">IFERROR(__xludf.DUMMYFUNCTION("""COMPUTED_VALUE"""),4938)</f>
        <v>4938</v>
      </c>
      <c r="H324" s="7">
        <f ca="1">IFERROR(__xludf.DUMMYFUNCTION("""COMPUTED_VALUE"""),227365)</f>
        <v>227365</v>
      </c>
      <c r="I324" s="7">
        <f ca="1">IFERROR(__xludf.DUMMYFUNCTION("""COMPUTED_VALUE"""),3395)</f>
        <v>3395</v>
      </c>
      <c r="J324" s="7">
        <f ca="1">IFERROR(__xludf.DUMMYFUNCTION("""COMPUTED_VALUE"""),21679)</f>
        <v>21679</v>
      </c>
      <c r="K324" s="7">
        <f ca="1">IFERROR(__xludf.DUMMYFUNCTION("""COMPUTED_VALUE"""),3771)</f>
        <v>3771</v>
      </c>
      <c r="L324" s="7">
        <f ca="1">IFERROR(__xludf.DUMMYFUNCTION("""COMPUTED_VALUE"""),7281)</f>
        <v>7281</v>
      </c>
      <c r="M324" s="7">
        <f ca="1">IFERROR(__xludf.DUMMYFUNCTION("""COMPUTED_VALUE"""),12302)</f>
        <v>12302</v>
      </c>
      <c r="N324" s="7">
        <f ca="1">IFERROR(__xludf.DUMMYFUNCTION("""COMPUTED_VALUE"""),2096)</f>
        <v>2096</v>
      </c>
    </row>
    <row r="325" spans="1:14" ht="13.2" x14ac:dyDescent="0.25">
      <c r="A325" s="6">
        <f ca="1">IFERROR(__xludf.DUMMYFUNCTION("""COMPUTED_VALUE"""),44214)</f>
        <v>44214</v>
      </c>
      <c r="B325" s="7">
        <f ca="1">IFERROR(__xludf.DUMMYFUNCTION("""COMPUTED_VALUE"""),8)</f>
        <v>8</v>
      </c>
      <c r="C325" s="8">
        <f ca="1">IFERROR(__xludf.DUMMYFUNCTION("""COMPUTED_VALUE"""),44214.3333333333)</f>
        <v>44214.333333333299</v>
      </c>
      <c r="D325" s="7">
        <f ca="1">IFERROR(__xludf.DUMMYFUNCTION("""COMPUTED_VALUE"""),3815)</f>
        <v>3815</v>
      </c>
      <c r="E325" s="7">
        <f ca="1">IFERROR(__xludf.DUMMYFUNCTION("""COMPUTED_VALUE"""),204711)</f>
        <v>204711</v>
      </c>
      <c r="F325" s="7">
        <f ca="1">IFERROR(__xludf.DUMMYFUNCTION("""COMPUTED_VALUE"""),16419)</f>
        <v>16419</v>
      </c>
      <c r="G325" s="7">
        <f ca="1">IFERROR(__xludf.DUMMYFUNCTION("""COMPUTED_VALUE"""),4781)</f>
        <v>4781</v>
      </c>
      <c r="H325" s="7">
        <f ca="1">IFERROR(__xludf.DUMMYFUNCTION("""COMPUTED_VALUE"""),229726)</f>
        <v>229726</v>
      </c>
      <c r="I325" s="7">
        <f ca="1">IFERROR(__xludf.DUMMYFUNCTION("""COMPUTED_VALUE"""),2361)</f>
        <v>2361</v>
      </c>
      <c r="J325" s="7">
        <f ca="1">IFERROR(__xludf.DUMMYFUNCTION("""COMPUTED_VALUE"""),21200)</f>
        <v>21200</v>
      </c>
      <c r="K325" s="7">
        <f ca="1">IFERROR(__xludf.DUMMYFUNCTION("""COMPUTED_VALUE"""),2804)</f>
        <v>2804</v>
      </c>
      <c r="L325" s="7">
        <f ca="1">IFERROR(__xludf.DUMMYFUNCTION("""COMPUTED_VALUE"""),7379)</f>
        <v>7379</v>
      </c>
      <c r="M325" s="7">
        <f ca="1">IFERROR(__xludf.DUMMYFUNCTION("""COMPUTED_VALUE"""),12474)</f>
        <v>12474</v>
      </c>
      <c r="N325" s="7">
        <f ca="1">IFERROR(__xludf.DUMMYFUNCTION("""COMPUTED_VALUE"""),1347)</f>
        <v>1347</v>
      </c>
    </row>
    <row r="326" spans="1:14" ht="13.2" x14ac:dyDescent="0.25">
      <c r="A326" s="6">
        <f ca="1">IFERROR(__xludf.DUMMYFUNCTION("""COMPUTED_VALUE"""),44215)</f>
        <v>44215</v>
      </c>
      <c r="B326" s="7">
        <f ca="1">IFERROR(__xludf.DUMMYFUNCTION("""COMPUTED_VALUE"""),8)</f>
        <v>8</v>
      </c>
      <c r="C326" s="8">
        <f ca="1">IFERROR(__xludf.DUMMYFUNCTION("""COMPUTED_VALUE"""),44215.3333333333)</f>
        <v>44215.333333333299</v>
      </c>
      <c r="D326" s="7">
        <f ca="1">IFERROR(__xludf.DUMMYFUNCTION("""COMPUTED_VALUE"""),3836)</f>
        <v>3836</v>
      </c>
      <c r="E326" s="7">
        <f ca="1">IFERROR(__xludf.DUMMYFUNCTION("""COMPUTED_VALUE"""),209238)</f>
        <v>209238</v>
      </c>
      <c r="F326" s="7">
        <f ca="1">IFERROR(__xludf.DUMMYFUNCTION("""COMPUTED_VALUE"""),14604)</f>
        <v>14604</v>
      </c>
      <c r="G326" s="7">
        <f ca="1">IFERROR(__xludf.DUMMYFUNCTION("""COMPUTED_VALUE"""),4611)</f>
        <v>4611</v>
      </c>
      <c r="H326" s="7">
        <f ca="1">IFERROR(__xludf.DUMMYFUNCTION("""COMPUTED_VALUE"""),232289)</f>
        <v>232289</v>
      </c>
      <c r="I326" s="7">
        <f ca="1">IFERROR(__xludf.DUMMYFUNCTION("""COMPUTED_VALUE"""),2563)</f>
        <v>2563</v>
      </c>
      <c r="J326" s="7">
        <f ca="1">IFERROR(__xludf.DUMMYFUNCTION("""COMPUTED_VALUE"""),19215)</f>
        <v>19215</v>
      </c>
      <c r="K326" s="7">
        <f ca="1">IFERROR(__xludf.DUMMYFUNCTION("""COMPUTED_VALUE"""),4527)</f>
        <v>4527</v>
      </c>
      <c r="L326" s="7">
        <f ca="1">IFERROR(__xludf.DUMMYFUNCTION("""COMPUTED_VALUE"""),7929)</f>
        <v>7929</v>
      </c>
      <c r="M326" s="7">
        <f ca="1">IFERROR(__xludf.DUMMYFUNCTION("""COMPUTED_VALUE"""),11280)</f>
        <v>11280</v>
      </c>
      <c r="N326" s="7">
        <f ca="1">IFERROR(__xludf.DUMMYFUNCTION("""COMPUTED_VALUE"""),6)</f>
        <v>6</v>
      </c>
    </row>
    <row r="327" spans="1:14" ht="13.2" x14ac:dyDescent="0.25">
      <c r="A327" s="6">
        <f ca="1">IFERROR(__xludf.DUMMYFUNCTION("""COMPUTED_VALUE"""),44216)</f>
        <v>44216</v>
      </c>
      <c r="B327" s="7">
        <f ca="1">IFERROR(__xludf.DUMMYFUNCTION("""COMPUTED_VALUE"""),8)</f>
        <v>8</v>
      </c>
      <c r="C327" s="8">
        <f ca="1">IFERROR(__xludf.DUMMYFUNCTION("""COMPUTED_VALUE"""),44216.3333333333)</f>
        <v>44216.333333333299</v>
      </c>
      <c r="D327" s="7">
        <f ca="1">IFERROR(__xludf.DUMMYFUNCTION("""COMPUTED_VALUE"""),3868)</f>
        <v>3868</v>
      </c>
      <c r="E327" s="7">
        <f ca="1">IFERROR(__xludf.DUMMYFUNCTION("""COMPUTED_VALUE"""),210983)</f>
        <v>210983</v>
      </c>
      <c r="F327" s="7">
        <f ca="1">IFERROR(__xludf.DUMMYFUNCTION("""COMPUTED_VALUE"""),16389)</f>
        <v>16389</v>
      </c>
      <c r="G327" s="7">
        <f ca="1">IFERROR(__xludf.DUMMYFUNCTION("""COMPUTED_VALUE"""),4835)</f>
        <v>4835</v>
      </c>
      <c r="H327" s="7">
        <f ca="1">IFERROR(__xludf.DUMMYFUNCTION("""COMPUTED_VALUE"""),236075)</f>
        <v>236075</v>
      </c>
      <c r="I327" s="7">
        <f ca="1">IFERROR(__xludf.DUMMYFUNCTION("""COMPUTED_VALUE"""),3786)</f>
        <v>3786</v>
      </c>
      <c r="J327" s="7">
        <f ca="1">IFERROR(__xludf.DUMMYFUNCTION("""COMPUTED_VALUE"""),21224)</f>
        <v>21224</v>
      </c>
      <c r="K327" s="7">
        <f ca="1">IFERROR(__xludf.DUMMYFUNCTION("""COMPUTED_VALUE"""),1745)</f>
        <v>1745</v>
      </c>
      <c r="L327" s="7">
        <f ca="1">IFERROR(__xludf.DUMMYFUNCTION("""COMPUTED_VALUE"""),7496)</f>
        <v>7496</v>
      </c>
      <c r="M327" s="7">
        <f ca="1">IFERROR(__xludf.DUMMYFUNCTION("""COMPUTED_VALUE"""),12015)</f>
        <v>12015</v>
      </c>
      <c r="N327" s="7">
        <f ca="1">IFERROR(__xludf.DUMMYFUNCTION("""COMPUTED_VALUE"""),1713)</f>
        <v>1713</v>
      </c>
    </row>
    <row r="328" spans="1:14" ht="13.2" x14ac:dyDescent="0.25">
      <c r="A328" s="6">
        <f ca="1">IFERROR(__xludf.DUMMYFUNCTION("""COMPUTED_VALUE"""),44217)</f>
        <v>44217</v>
      </c>
      <c r="B328" s="7">
        <f ca="1">IFERROR(__xludf.DUMMYFUNCTION("""COMPUTED_VALUE"""),8)</f>
        <v>8</v>
      </c>
      <c r="C328" s="8">
        <f ca="1">IFERROR(__xludf.DUMMYFUNCTION("""COMPUTED_VALUE"""),44217.3333333333)</f>
        <v>44217.333333333299</v>
      </c>
      <c r="D328" s="7">
        <f ca="1">IFERROR(__xludf.DUMMYFUNCTION("""COMPUTED_VALUE"""),3900)</f>
        <v>3900</v>
      </c>
      <c r="E328" s="7">
        <f ca="1">IFERROR(__xludf.DUMMYFUNCTION("""COMPUTED_VALUE"""),213570)</f>
        <v>213570</v>
      </c>
      <c r="F328" s="7">
        <f ca="1">IFERROR(__xludf.DUMMYFUNCTION("""COMPUTED_VALUE"""),16966)</f>
        <v>16966</v>
      </c>
      <c r="G328" s="7">
        <f ca="1">IFERROR(__xludf.DUMMYFUNCTION("""COMPUTED_VALUE"""),4790)</f>
        <v>4790</v>
      </c>
      <c r="H328" s="7">
        <f ca="1">IFERROR(__xludf.DUMMYFUNCTION("""COMPUTED_VALUE"""),239226)</f>
        <v>239226</v>
      </c>
      <c r="I328" s="7">
        <f ca="1">IFERROR(__xludf.DUMMYFUNCTION("""COMPUTED_VALUE"""),3151)</f>
        <v>3151</v>
      </c>
      <c r="J328" s="7">
        <f ca="1">IFERROR(__xludf.DUMMYFUNCTION("""COMPUTED_VALUE"""),21756)</f>
        <v>21756</v>
      </c>
      <c r="K328" s="7">
        <f ca="1">IFERROR(__xludf.DUMMYFUNCTION("""COMPUTED_VALUE"""),2587)</f>
        <v>2587</v>
      </c>
      <c r="L328" s="7">
        <f ca="1">IFERROR(__xludf.DUMMYFUNCTION("""COMPUTED_VALUE"""),8865)</f>
        <v>8865</v>
      </c>
      <c r="M328" s="7">
        <f ca="1">IFERROR(__xludf.DUMMYFUNCTION("""COMPUTED_VALUE"""),10856)</f>
        <v>10856</v>
      </c>
      <c r="N328" s="7">
        <f ca="1">IFERROR(__xludf.DUMMYFUNCTION("""COMPUTED_VALUE"""),2035)</f>
        <v>2035</v>
      </c>
    </row>
    <row r="329" spans="1:14" ht="13.2" x14ac:dyDescent="0.25">
      <c r="A329" s="6">
        <f ca="1">IFERROR(__xludf.DUMMYFUNCTION("""COMPUTED_VALUE"""),44218)</f>
        <v>44218</v>
      </c>
      <c r="B329" s="7">
        <f ca="1">IFERROR(__xludf.DUMMYFUNCTION("""COMPUTED_VALUE"""),8)</f>
        <v>8</v>
      </c>
      <c r="C329" s="8">
        <f ca="1">IFERROR(__xludf.DUMMYFUNCTION("""COMPUTED_VALUE"""),44218.3333333333)</f>
        <v>44218.333333333299</v>
      </c>
      <c r="D329" s="7">
        <f ca="1">IFERROR(__xludf.DUMMYFUNCTION("""COMPUTED_VALUE"""),3940)</f>
        <v>3940</v>
      </c>
      <c r="E329" s="7">
        <f ca="1">IFERROR(__xludf.DUMMYFUNCTION("""COMPUTED_VALUE"""),215719)</f>
        <v>215719</v>
      </c>
      <c r="F329" s="7">
        <f ca="1">IFERROR(__xludf.DUMMYFUNCTION("""COMPUTED_VALUE"""),17752)</f>
        <v>17752</v>
      </c>
      <c r="G329" s="7">
        <f ca="1">IFERROR(__xludf.DUMMYFUNCTION("""COMPUTED_VALUE"""),5607)</f>
        <v>5607</v>
      </c>
      <c r="H329" s="7">
        <f ca="1">IFERROR(__xludf.DUMMYFUNCTION("""COMPUTED_VALUE"""),243018)</f>
        <v>243018</v>
      </c>
      <c r="I329" s="7">
        <f ca="1">IFERROR(__xludf.DUMMYFUNCTION("""COMPUTED_VALUE"""),3792)</f>
        <v>3792</v>
      </c>
      <c r="J329" s="7">
        <f ca="1">IFERROR(__xludf.DUMMYFUNCTION("""COMPUTED_VALUE"""),23359)</f>
        <v>23359</v>
      </c>
      <c r="K329" s="7">
        <f ca="1">IFERROR(__xludf.DUMMYFUNCTION("""COMPUTED_VALUE"""),2149)</f>
        <v>2149</v>
      </c>
      <c r="L329" s="7">
        <f ca="1">IFERROR(__xludf.DUMMYFUNCTION("""COMPUTED_VALUE"""),9171)</f>
        <v>9171</v>
      </c>
      <c r="M329" s="7">
        <f ca="1">IFERROR(__xludf.DUMMYFUNCTION("""COMPUTED_VALUE"""),11421)</f>
        <v>11421</v>
      </c>
      <c r="N329" s="7">
        <f ca="1">IFERROR(__xludf.DUMMYFUNCTION("""COMPUTED_VALUE"""),2767)</f>
        <v>2767</v>
      </c>
    </row>
    <row r="330" spans="1:14" ht="13.2" x14ac:dyDescent="0.25">
      <c r="A330" s="6">
        <f ca="1">IFERROR(__xludf.DUMMYFUNCTION("""COMPUTED_VALUE"""),44219)</f>
        <v>44219</v>
      </c>
      <c r="B330" s="7">
        <f ca="1">IFERROR(__xludf.DUMMYFUNCTION("""COMPUTED_VALUE"""),8)</f>
        <v>8</v>
      </c>
      <c r="C330" s="8">
        <f ca="1">IFERROR(__xludf.DUMMYFUNCTION("""COMPUTED_VALUE"""),44219.3333333333)</f>
        <v>44219.333333333299</v>
      </c>
      <c r="D330" s="7">
        <f ca="1">IFERROR(__xludf.DUMMYFUNCTION("""COMPUTED_VALUE"""),3980)</f>
        <v>3980</v>
      </c>
      <c r="E330" s="7">
        <f ca="1">IFERROR(__xludf.DUMMYFUNCTION("""COMPUTED_VALUE"""),219287)</f>
        <v>219287</v>
      </c>
      <c r="F330" s="7">
        <f ca="1">IFERROR(__xludf.DUMMYFUNCTION("""COMPUTED_VALUE"""),18657)</f>
        <v>18657</v>
      </c>
      <c r="G330" s="7">
        <f ca="1">IFERROR(__xludf.DUMMYFUNCTION("""COMPUTED_VALUE"""),4379)</f>
        <v>4379</v>
      </c>
      <c r="H330" s="7">
        <f ca="1">IFERROR(__xludf.DUMMYFUNCTION("""COMPUTED_VALUE"""),246303)</f>
        <v>246303</v>
      </c>
      <c r="I330" s="7">
        <f ca="1">IFERROR(__xludf.DUMMYFUNCTION("""COMPUTED_VALUE"""),3285)</f>
        <v>3285</v>
      </c>
      <c r="J330" s="7">
        <f ca="1">IFERROR(__xludf.DUMMYFUNCTION("""COMPUTED_VALUE"""),23036)</f>
        <v>23036</v>
      </c>
      <c r="K330" s="7">
        <f ca="1">IFERROR(__xludf.DUMMYFUNCTION("""COMPUTED_VALUE"""),3568)</f>
        <v>3568</v>
      </c>
      <c r="L330" s="7">
        <f ca="1">IFERROR(__xludf.DUMMYFUNCTION("""COMPUTED_VALUE"""),7706)</f>
        <v>7706</v>
      </c>
      <c r="M330" s="7">
        <f ca="1">IFERROR(__xludf.DUMMYFUNCTION("""COMPUTED_VALUE"""),10272)</f>
        <v>10272</v>
      </c>
      <c r="N330" s="7">
        <f ca="1">IFERROR(__xludf.DUMMYFUNCTION("""COMPUTED_VALUE"""),5058)</f>
        <v>5058</v>
      </c>
    </row>
    <row r="331" spans="1:14" ht="13.2" x14ac:dyDescent="0.25">
      <c r="A331" s="6">
        <f ca="1">IFERROR(__xludf.DUMMYFUNCTION("""COMPUTED_VALUE"""),44220)</f>
        <v>44220</v>
      </c>
      <c r="B331" s="7">
        <f ca="1">IFERROR(__xludf.DUMMYFUNCTION("""COMPUTED_VALUE"""),8)</f>
        <v>8</v>
      </c>
      <c r="C331" s="8">
        <f ca="1">IFERROR(__xludf.DUMMYFUNCTION("""COMPUTED_VALUE"""),44220.3333333333)</f>
        <v>44220.333333333299</v>
      </c>
      <c r="D331" s="7">
        <f ca="1">IFERROR(__xludf.DUMMYFUNCTION("""COMPUTED_VALUE"""),4024)</f>
        <v>4024</v>
      </c>
      <c r="E331" s="7">
        <f ca="1">IFERROR(__xludf.DUMMYFUNCTION("""COMPUTED_VALUE"""),221567)</f>
        <v>221567</v>
      </c>
      <c r="F331" s="7">
        <f ca="1">IFERROR(__xludf.DUMMYFUNCTION("""COMPUTED_VALUE"""),19554)</f>
        <v>19554</v>
      </c>
      <c r="G331" s="7">
        <f ca="1">IFERROR(__xludf.DUMMYFUNCTION("""COMPUTED_VALUE"""),4670)</f>
        <v>4670</v>
      </c>
      <c r="H331" s="7">
        <f ca="1">IFERROR(__xludf.DUMMYFUNCTION("""COMPUTED_VALUE"""),249815)</f>
        <v>249815</v>
      </c>
      <c r="I331" s="7">
        <f ca="1">IFERROR(__xludf.DUMMYFUNCTION("""COMPUTED_VALUE"""),3512)</f>
        <v>3512</v>
      </c>
      <c r="J331" s="7">
        <f ca="1">IFERROR(__xludf.DUMMYFUNCTION("""COMPUTED_VALUE"""),24224)</f>
        <v>24224</v>
      </c>
      <c r="K331" s="7">
        <f ca="1">IFERROR(__xludf.DUMMYFUNCTION("""COMPUTED_VALUE"""),2280)</f>
        <v>2280</v>
      </c>
      <c r="L331" s="7">
        <f ca="1">IFERROR(__xludf.DUMMYFUNCTION("""COMPUTED_VALUE"""),8723)</f>
        <v>8723</v>
      </c>
      <c r="M331" s="7">
        <f ca="1">IFERROR(__xludf.DUMMYFUNCTION("""COMPUTED_VALUE"""),13240)</f>
        <v>13240</v>
      </c>
      <c r="N331" s="7">
        <f ca="1">IFERROR(__xludf.DUMMYFUNCTION("""COMPUTED_VALUE"""),2261)</f>
        <v>2261</v>
      </c>
    </row>
    <row r="332" spans="1:14" ht="13.2" x14ac:dyDescent="0.25">
      <c r="A332" s="6">
        <f ca="1">IFERROR(__xludf.DUMMYFUNCTION("""COMPUTED_VALUE"""),44221)</f>
        <v>44221</v>
      </c>
      <c r="B332" s="7">
        <f ca="1">IFERROR(__xludf.DUMMYFUNCTION("""COMPUTED_VALUE"""),8)</f>
        <v>8</v>
      </c>
      <c r="C332" s="8">
        <f ca="1">IFERROR(__xludf.DUMMYFUNCTION("""COMPUTED_VALUE"""),44221.3333333333)</f>
        <v>44221.333333333299</v>
      </c>
      <c r="D332" s="7">
        <f ca="1">IFERROR(__xludf.DUMMYFUNCTION("""COMPUTED_VALUE"""),4063)</f>
        <v>4063</v>
      </c>
      <c r="E332" s="7">
        <f ca="1">IFERROR(__xludf.DUMMYFUNCTION("""COMPUTED_VALUE"""),224071)</f>
        <v>224071</v>
      </c>
      <c r="F332" s="7">
        <f ca="1">IFERROR(__xludf.DUMMYFUNCTION("""COMPUTED_VALUE"""),19869)</f>
        <v>19869</v>
      </c>
      <c r="G332" s="7">
        <f ca="1">IFERROR(__xludf.DUMMYFUNCTION("""COMPUTED_VALUE"""),4263)</f>
        <v>4263</v>
      </c>
      <c r="H332" s="7">
        <f ca="1">IFERROR(__xludf.DUMMYFUNCTION("""COMPUTED_VALUE"""),252266)</f>
        <v>252266</v>
      </c>
      <c r="I332" s="7">
        <f ca="1">IFERROR(__xludf.DUMMYFUNCTION("""COMPUTED_VALUE"""),2451)</f>
        <v>2451</v>
      </c>
      <c r="J332" s="7">
        <f ca="1">IFERROR(__xludf.DUMMYFUNCTION("""COMPUTED_VALUE"""),24132)</f>
        <v>24132</v>
      </c>
      <c r="K332" s="7">
        <f ca="1">IFERROR(__xludf.DUMMYFUNCTION("""COMPUTED_VALUE"""),2504)</f>
        <v>2504</v>
      </c>
      <c r="L332" s="7">
        <f ca="1">IFERROR(__xludf.DUMMYFUNCTION("""COMPUTED_VALUE"""),8589)</f>
        <v>8589</v>
      </c>
      <c r="M332" s="7">
        <f ca="1">IFERROR(__xludf.DUMMYFUNCTION("""COMPUTED_VALUE"""),14100)</f>
        <v>14100</v>
      </c>
      <c r="N332" s="7">
        <f ca="1">IFERROR(__xludf.DUMMYFUNCTION("""COMPUTED_VALUE"""),1443)</f>
        <v>1443</v>
      </c>
    </row>
    <row r="333" spans="1:14" ht="13.2" x14ac:dyDescent="0.25">
      <c r="A333" s="6">
        <f ca="1">IFERROR(__xludf.DUMMYFUNCTION("""COMPUTED_VALUE"""),44222)</f>
        <v>44222</v>
      </c>
      <c r="B333" s="7">
        <f ca="1">IFERROR(__xludf.DUMMYFUNCTION("""COMPUTED_VALUE"""),8)</f>
        <v>8</v>
      </c>
      <c r="C333" s="8">
        <f ca="1">IFERROR(__xludf.DUMMYFUNCTION("""COMPUTED_VALUE"""),44222.3333333333)</f>
        <v>44222.333333333299</v>
      </c>
      <c r="D333" s="7">
        <f ca="1">IFERROR(__xludf.DUMMYFUNCTION("""COMPUTED_VALUE"""),4108)</f>
        <v>4108</v>
      </c>
      <c r="E333" s="7">
        <f ca="1">IFERROR(__xludf.DUMMYFUNCTION("""COMPUTED_VALUE"""),227010)</f>
        <v>227010</v>
      </c>
      <c r="F333" s="7">
        <f ca="1">IFERROR(__xludf.DUMMYFUNCTION("""COMPUTED_VALUE"""),19432)</f>
        <v>19432</v>
      </c>
      <c r="G333" s="7">
        <f ca="1">IFERROR(__xludf.DUMMYFUNCTION("""COMPUTED_VALUE"""),4030)</f>
        <v>4030</v>
      </c>
      <c r="H333" s="7">
        <f ca="1">IFERROR(__xludf.DUMMYFUNCTION("""COMPUTED_VALUE"""),254580)</f>
        <v>254580</v>
      </c>
      <c r="I333" s="7">
        <f ca="1">IFERROR(__xludf.DUMMYFUNCTION("""COMPUTED_VALUE"""),2314)</f>
        <v>2314</v>
      </c>
      <c r="J333" s="7">
        <f ca="1">IFERROR(__xludf.DUMMYFUNCTION("""COMPUTED_VALUE"""),23462)</f>
        <v>23462</v>
      </c>
      <c r="K333" s="7">
        <f ca="1">IFERROR(__xludf.DUMMYFUNCTION("""COMPUTED_VALUE"""),2939)</f>
        <v>2939</v>
      </c>
      <c r="L333" s="7">
        <f ca="1">IFERROR(__xludf.DUMMYFUNCTION("""COMPUTED_VALUE"""),8165)</f>
        <v>8165</v>
      </c>
      <c r="M333" s="7">
        <f ca="1">IFERROR(__xludf.DUMMYFUNCTION("""COMPUTED_VALUE"""),13551)</f>
        <v>13551</v>
      </c>
      <c r="N333" s="7">
        <f ca="1">IFERROR(__xludf.DUMMYFUNCTION("""COMPUTED_VALUE"""),1746)</f>
        <v>1746</v>
      </c>
    </row>
    <row r="334" spans="1:14" ht="13.2" x14ac:dyDescent="0.25">
      <c r="A334" s="6">
        <f ca="1">IFERROR(__xludf.DUMMYFUNCTION("""COMPUTED_VALUE"""),44223)</f>
        <v>44223</v>
      </c>
      <c r="B334" s="7">
        <f ca="1">IFERROR(__xludf.DUMMYFUNCTION("""COMPUTED_VALUE"""),8)</f>
        <v>8</v>
      </c>
      <c r="C334" s="8">
        <f ca="1">IFERROR(__xludf.DUMMYFUNCTION("""COMPUTED_VALUE"""),44223.3333333333)</f>
        <v>44223.333333333299</v>
      </c>
      <c r="D334" s="7">
        <f ca="1">IFERROR(__xludf.DUMMYFUNCTION("""COMPUTED_VALUE"""),4134)</f>
        <v>4134</v>
      </c>
      <c r="E334" s="7">
        <f ca="1">IFERROR(__xludf.DUMMYFUNCTION("""COMPUTED_VALUE"""),229981)</f>
        <v>229981</v>
      </c>
      <c r="F334" s="7">
        <f ca="1">IFERROR(__xludf.DUMMYFUNCTION("""COMPUTED_VALUE"""),18528)</f>
        <v>18528</v>
      </c>
      <c r="G334" s="7">
        <f ca="1">IFERROR(__xludf.DUMMYFUNCTION("""COMPUTED_VALUE"""),3773)</f>
        <v>3773</v>
      </c>
      <c r="H334" s="7">
        <f ca="1">IFERROR(__xludf.DUMMYFUNCTION("""COMPUTED_VALUE"""),256416)</f>
        <v>256416</v>
      </c>
      <c r="I334" s="7">
        <f ca="1">IFERROR(__xludf.DUMMYFUNCTION("""COMPUTED_VALUE"""),1836)</f>
        <v>1836</v>
      </c>
      <c r="J334" s="7">
        <f ca="1">IFERROR(__xludf.DUMMYFUNCTION("""COMPUTED_VALUE"""),22301)</f>
        <v>22301</v>
      </c>
      <c r="K334" s="7">
        <f ca="1">IFERROR(__xludf.DUMMYFUNCTION("""COMPUTED_VALUE"""),2971)</f>
        <v>2971</v>
      </c>
      <c r="L334" s="7">
        <f ca="1">IFERROR(__xludf.DUMMYFUNCTION("""COMPUTED_VALUE"""),7212)</f>
        <v>7212</v>
      </c>
      <c r="M334" s="7">
        <f ca="1">IFERROR(__xludf.DUMMYFUNCTION("""COMPUTED_VALUE"""),13819)</f>
        <v>13819</v>
      </c>
      <c r="N334" s="7">
        <f ca="1">IFERROR(__xludf.DUMMYFUNCTION("""COMPUTED_VALUE"""),1270)</f>
        <v>1270</v>
      </c>
    </row>
    <row r="335" spans="1:14" ht="13.2" x14ac:dyDescent="0.25">
      <c r="A335" s="6">
        <f ca="1">IFERROR(__xludf.DUMMYFUNCTION("""COMPUTED_VALUE"""),44224)</f>
        <v>44224</v>
      </c>
      <c r="B335" s="7">
        <f ca="1">IFERROR(__xludf.DUMMYFUNCTION("""COMPUTED_VALUE"""),8)</f>
        <v>8</v>
      </c>
      <c r="C335" s="8">
        <f ca="1">IFERROR(__xludf.DUMMYFUNCTION("""COMPUTED_VALUE"""),44224.3333333333)</f>
        <v>44224.333333333299</v>
      </c>
      <c r="D335" s="7">
        <f ca="1">IFERROR(__xludf.DUMMYFUNCTION("""COMPUTED_VALUE"""),4185)</f>
        <v>4185</v>
      </c>
      <c r="E335" s="7">
        <f ca="1">IFERROR(__xludf.DUMMYFUNCTION("""COMPUTED_VALUE"""),232701)</f>
        <v>232701</v>
      </c>
      <c r="F335" s="7">
        <f ca="1">IFERROR(__xludf.DUMMYFUNCTION("""COMPUTED_VALUE"""),18473)</f>
        <v>18473</v>
      </c>
      <c r="G335" s="7">
        <f ca="1">IFERROR(__xludf.DUMMYFUNCTION("""COMPUTED_VALUE"""),3946)</f>
        <v>3946</v>
      </c>
      <c r="H335" s="7">
        <f ca="1">IFERROR(__xludf.DUMMYFUNCTION("""COMPUTED_VALUE"""),259305)</f>
        <v>259305</v>
      </c>
      <c r="I335" s="7">
        <f ca="1">IFERROR(__xludf.DUMMYFUNCTION("""COMPUTED_VALUE"""),2889)</f>
        <v>2889</v>
      </c>
      <c r="J335" s="7">
        <f ca="1">IFERROR(__xludf.DUMMYFUNCTION("""COMPUTED_VALUE"""),22419)</f>
        <v>22419</v>
      </c>
      <c r="K335" s="7">
        <f ca="1">IFERROR(__xludf.DUMMYFUNCTION("""COMPUTED_VALUE"""),2720)</f>
        <v>2720</v>
      </c>
      <c r="L335" s="7">
        <f ca="1">IFERROR(__xludf.DUMMYFUNCTION("""COMPUTED_VALUE"""),6806)</f>
        <v>6806</v>
      </c>
      <c r="M335" s="7">
        <f ca="1">IFERROR(__xludf.DUMMYFUNCTION("""COMPUTED_VALUE"""),13859)</f>
        <v>13859</v>
      </c>
      <c r="N335" s="7">
        <f ca="1">IFERROR(__xludf.DUMMYFUNCTION("""COMPUTED_VALUE"""),1754)</f>
        <v>1754</v>
      </c>
    </row>
    <row r="336" spans="1:14" ht="13.2" x14ac:dyDescent="0.25">
      <c r="A336" s="6">
        <f ca="1">IFERROR(__xludf.DUMMYFUNCTION("""COMPUTED_VALUE"""),44225)</f>
        <v>44225</v>
      </c>
      <c r="B336" s="7">
        <f ca="1">IFERROR(__xludf.DUMMYFUNCTION("""COMPUTED_VALUE"""),8)</f>
        <v>8</v>
      </c>
      <c r="C336" s="8">
        <f ca="1">IFERROR(__xludf.DUMMYFUNCTION("""COMPUTED_VALUE"""),44225.3333333333)</f>
        <v>44225.333333333299</v>
      </c>
      <c r="D336" s="7">
        <f ca="1">IFERROR(__xludf.DUMMYFUNCTION("""COMPUTED_VALUE"""),4224)</f>
        <v>4224</v>
      </c>
      <c r="E336" s="7">
        <f ca="1">IFERROR(__xludf.DUMMYFUNCTION("""COMPUTED_VALUE"""),235140)</f>
        <v>235140</v>
      </c>
      <c r="F336" s="7">
        <f ca="1">IFERROR(__xludf.DUMMYFUNCTION("""COMPUTED_VALUE"""),19381)</f>
        <v>19381</v>
      </c>
      <c r="G336" s="7">
        <f ca="1">IFERROR(__xludf.DUMMYFUNCTION("""COMPUTED_VALUE"""),4008)</f>
        <v>4008</v>
      </c>
      <c r="H336" s="7">
        <f ca="1">IFERROR(__xludf.DUMMYFUNCTION("""COMPUTED_VALUE"""),262753)</f>
        <v>262753</v>
      </c>
      <c r="I336" s="7">
        <f ca="1">IFERROR(__xludf.DUMMYFUNCTION("""COMPUTED_VALUE"""),3448)</f>
        <v>3448</v>
      </c>
      <c r="J336" s="7">
        <f ca="1">IFERROR(__xludf.DUMMYFUNCTION("""COMPUTED_VALUE"""),23389)</f>
        <v>23389</v>
      </c>
      <c r="K336" s="7">
        <f ca="1">IFERROR(__xludf.DUMMYFUNCTION("""COMPUTED_VALUE"""),2439)</f>
        <v>2439</v>
      </c>
      <c r="L336" s="7">
        <f ca="1">IFERROR(__xludf.DUMMYFUNCTION("""COMPUTED_VALUE"""),6741)</f>
        <v>6741</v>
      </c>
      <c r="M336" s="7">
        <f ca="1">IFERROR(__xludf.DUMMYFUNCTION("""COMPUTED_VALUE"""),14531)</f>
        <v>14531</v>
      </c>
      <c r="N336" s="7">
        <f ca="1">IFERROR(__xludf.DUMMYFUNCTION("""COMPUTED_VALUE"""),2117)</f>
        <v>2117</v>
      </c>
    </row>
    <row r="337" spans="1:14" ht="13.2" x14ac:dyDescent="0.25">
      <c r="A337" s="6">
        <f ca="1">IFERROR(__xludf.DUMMYFUNCTION("""COMPUTED_VALUE"""),44226)</f>
        <v>44226</v>
      </c>
      <c r="B337" s="7">
        <f ca="1">IFERROR(__xludf.DUMMYFUNCTION("""COMPUTED_VALUE"""),8)</f>
        <v>8</v>
      </c>
      <c r="C337" s="8">
        <f ca="1">IFERROR(__xludf.DUMMYFUNCTION("""COMPUTED_VALUE"""),44226.3333333333)</f>
        <v>44226.333333333299</v>
      </c>
      <c r="D337" s="7">
        <f ca="1">IFERROR(__xludf.DUMMYFUNCTION("""COMPUTED_VALUE"""),4254)</f>
        <v>4254</v>
      </c>
      <c r="E337" s="7">
        <f ca="1">IFERROR(__xludf.DUMMYFUNCTION("""COMPUTED_VALUE"""),238395)</f>
        <v>238395</v>
      </c>
      <c r="F337" s="7">
        <f ca="1">IFERROR(__xludf.DUMMYFUNCTION("""COMPUTED_VALUE"""),20539)</f>
        <v>20539</v>
      </c>
      <c r="G337" s="7">
        <f ca="1">IFERROR(__xludf.DUMMYFUNCTION("""COMPUTED_VALUE"""),3056)</f>
        <v>3056</v>
      </c>
      <c r="H337" s="7">
        <f ca="1">IFERROR(__xludf.DUMMYFUNCTION("""COMPUTED_VALUE"""),266244)</f>
        <v>266244</v>
      </c>
      <c r="I337" s="7">
        <f ca="1">IFERROR(__xludf.DUMMYFUNCTION("""COMPUTED_VALUE"""),3491)</f>
        <v>3491</v>
      </c>
      <c r="J337" s="7">
        <f ca="1">IFERROR(__xludf.DUMMYFUNCTION("""COMPUTED_VALUE"""),23595)</f>
        <v>23595</v>
      </c>
      <c r="K337" s="7">
        <f ca="1">IFERROR(__xludf.DUMMYFUNCTION("""COMPUTED_VALUE"""),3255)</f>
        <v>3255</v>
      </c>
      <c r="L337" s="7">
        <f ca="1">IFERROR(__xludf.DUMMYFUNCTION("""COMPUTED_VALUE"""),7498)</f>
        <v>7498</v>
      </c>
      <c r="M337" s="7">
        <f ca="1">IFERROR(__xludf.DUMMYFUNCTION("""COMPUTED_VALUE"""),13874)</f>
        <v>13874</v>
      </c>
      <c r="N337" s="7">
        <f ca="1">IFERROR(__xludf.DUMMYFUNCTION("""COMPUTED_VALUE"""),2223)</f>
        <v>2223</v>
      </c>
    </row>
    <row r="338" spans="1:14" ht="13.2" x14ac:dyDescent="0.25">
      <c r="A338" s="6">
        <f ca="1">IFERROR(__xludf.DUMMYFUNCTION("""COMPUTED_VALUE"""),44227)</f>
        <v>44227</v>
      </c>
      <c r="B338" s="7">
        <f ca="1">IFERROR(__xludf.DUMMYFUNCTION("""COMPUTED_VALUE"""),8)</f>
        <v>8</v>
      </c>
      <c r="C338" s="8">
        <f ca="1">IFERROR(__xludf.DUMMYFUNCTION("""COMPUTED_VALUE"""),44227.3333333333)</f>
        <v>44227.333333333299</v>
      </c>
      <c r="D338" s="7">
        <f ca="1">IFERROR(__xludf.DUMMYFUNCTION("""COMPUTED_VALUE"""),4267)</f>
        <v>4267</v>
      </c>
      <c r="E338" s="7">
        <f ca="1">IFERROR(__xludf.DUMMYFUNCTION("""COMPUTED_VALUE"""),242069)</f>
        <v>242069</v>
      </c>
      <c r="F338" s="7">
        <f ca="1">IFERROR(__xludf.DUMMYFUNCTION("""COMPUTED_VALUE"""),19272)</f>
        <v>19272</v>
      </c>
      <c r="G338" s="7">
        <f ca="1">IFERROR(__xludf.DUMMYFUNCTION("""COMPUTED_VALUE"""),4110)</f>
        <v>4110</v>
      </c>
      <c r="H338" s="7">
        <f ca="1">IFERROR(__xludf.DUMMYFUNCTION("""COMPUTED_VALUE"""),269718)</f>
        <v>269718</v>
      </c>
      <c r="I338" s="7">
        <f ca="1">IFERROR(__xludf.DUMMYFUNCTION("""COMPUTED_VALUE"""),3474)</f>
        <v>3474</v>
      </c>
      <c r="J338" s="7">
        <f ca="1">IFERROR(__xludf.DUMMYFUNCTION("""COMPUTED_VALUE"""),23382)</f>
        <v>23382</v>
      </c>
      <c r="K338" s="7">
        <f ca="1">IFERROR(__xludf.DUMMYFUNCTION("""COMPUTED_VALUE"""),3674)</f>
        <v>3674</v>
      </c>
      <c r="L338" s="7">
        <f ca="1">IFERROR(__xludf.DUMMYFUNCTION("""COMPUTED_VALUE"""),8724)</f>
        <v>8724</v>
      </c>
      <c r="M338" s="7">
        <f ca="1">IFERROR(__xludf.DUMMYFUNCTION("""COMPUTED_VALUE"""),12104)</f>
        <v>12104</v>
      </c>
      <c r="N338" s="7">
        <f ca="1">IFERROR(__xludf.DUMMYFUNCTION("""COMPUTED_VALUE"""),2554)</f>
        <v>2554</v>
      </c>
    </row>
    <row r="339" spans="1:14" ht="13.2" x14ac:dyDescent="0.25">
      <c r="A339" s="6">
        <f ca="1">IFERROR(__xludf.DUMMYFUNCTION("""COMPUTED_VALUE"""),44228)</f>
        <v>44228</v>
      </c>
      <c r="B339" s="7">
        <f ca="1">IFERROR(__xludf.DUMMYFUNCTION("""COMPUTED_VALUE"""),8)</f>
        <v>8</v>
      </c>
      <c r="C339" s="8">
        <f ca="1">IFERROR(__xludf.DUMMYFUNCTION("""COMPUTED_VALUE"""),44228.3333333333)</f>
        <v>44228.333333333299</v>
      </c>
      <c r="D339" s="7">
        <f ca="1">IFERROR(__xludf.DUMMYFUNCTION("""COMPUTED_VALUE"""),4337)</f>
        <v>4337</v>
      </c>
      <c r="E339" s="7">
        <f ca="1">IFERROR(__xludf.DUMMYFUNCTION("""COMPUTED_VALUE"""),244202)</f>
        <v>244202</v>
      </c>
      <c r="F339" s="7">
        <f ca="1">IFERROR(__xludf.DUMMYFUNCTION("""COMPUTED_VALUE"""),19824)</f>
        <v>19824</v>
      </c>
      <c r="G339" s="7">
        <f ca="1">IFERROR(__xludf.DUMMYFUNCTION("""COMPUTED_VALUE"""),4969)</f>
        <v>4969</v>
      </c>
      <c r="H339" s="7">
        <f ca="1">IFERROR(__xludf.DUMMYFUNCTION("""COMPUTED_VALUE"""),273332)</f>
        <v>273332</v>
      </c>
      <c r="I339" s="7">
        <f ca="1">IFERROR(__xludf.DUMMYFUNCTION("""COMPUTED_VALUE"""),3614)</f>
        <v>3614</v>
      </c>
      <c r="J339" s="7">
        <f ca="1">IFERROR(__xludf.DUMMYFUNCTION("""COMPUTED_VALUE"""),24793)</f>
        <v>24793</v>
      </c>
      <c r="K339" s="7">
        <f ca="1">IFERROR(__xludf.DUMMYFUNCTION("""COMPUTED_VALUE"""),2133)</f>
        <v>2133</v>
      </c>
      <c r="L339" s="7">
        <f ca="1">IFERROR(__xludf.DUMMYFUNCTION("""COMPUTED_VALUE"""),8474)</f>
        <v>8474</v>
      </c>
      <c r="M339" s="7">
        <f ca="1">IFERROR(__xludf.DUMMYFUNCTION("""COMPUTED_VALUE"""),11274)</f>
        <v>11274</v>
      </c>
      <c r="N339" s="7">
        <f ca="1">IFERROR(__xludf.DUMMYFUNCTION("""COMPUTED_VALUE"""),5045)</f>
        <v>5045</v>
      </c>
    </row>
    <row r="340" spans="1:14" ht="13.2" x14ac:dyDescent="0.25">
      <c r="A340" s="6">
        <f ca="1">IFERROR(__xludf.DUMMYFUNCTION("""COMPUTED_VALUE"""),44229)</f>
        <v>44229</v>
      </c>
      <c r="B340" s="7">
        <f ca="1">IFERROR(__xludf.DUMMYFUNCTION("""COMPUTED_VALUE"""),8)</f>
        <v>8</v>
      </c>
      <c r="C340" s="8">
        <f ca="1">IFERROR(__xludf.DUMMYFUNCTION("""COMPUTED_VALUE"""),44229.3333333333)</f>
        <v>44229.333333333299</v>
      </c>
      <c r="D340" s="7">
        <f ca="1">IFERROR(__xludf.DUMMYFUNCTION("""COMPUTED_VALUE"""),4379)</f>
        <v>4379</v>
      </c>
      <c r="E340" s="7">
        <f ca="1">IFERROR(__xludf.DUMMYFUNCTION("""COMPUTED_VALUE"""),248515)</f>
        <v>248515</v>
      </c>
      <c r="F340" s="7">
        <f ca="1">IFERROR(__xludf.DUMMYFUNCTION("""COMPUTED_VALUE"""),18925)</f>
        <v>18925</v>
      </c>
      <c r="G340" s="7">
        <f ca="1">IFERROR(__xludf.DUMMYFUNCTION("""COMPUTED_VALUE"""),4875)</f>
        <v>4875</v>
      </c>
      <c r="H340" s="7">
        <f ca="1">IFERROR(__xludf.DUMMYFUNCTION("""COMPUTED_VALUE"""),276694)</f>
        <v>276694</v>
      </c>
      <c r="I340" s="7">
        <f ca="1">IFERROR(__xludf.DUMMYFUNCTION("""COMPUTED_VALUE"""),3362)</f>
        <v>3362</v>
      </c>
      <c r="J340" s="7">
        <f ca="1">IFERROR(__xludf.DUMMYFUNCTION("""COMPUTED_VALUE"""),23800)</f>
        <v>23800</v>
      </c>
      <c r="K340" s="7">
        <f ca="1">IFERROR(__xludf.DUMMYFUNCTION("""COMPUTED_VALUE"""),4313)</f>
        <v>4313</v>
      </c>
      <c r="L340" s="7">
        <f ca="1">IFERROR(__xludf.DUMMYFUNCTION("""COMPUTED_VALUE"""),6725)</f>
        <v>6725</v>
      </c>
      <c r="M340" s="7">
        <f ca="1">IFERROR(__xludf.DUMMYFUNCTION("""COMPUTED_VALUE"""),10372)</f>
        <v>10372</v>
      </c>
      <c r="N340" s="7">
        <f ca="1">IFERROR(__xludf.DUMMYFUNCTION("""COMPUTED_VALUE"""),6703)</f>
        <v>6703</v>
      </c>
    </row>
    <row r="341" spans="1:14" ht="13.2" x14ac:dyDescent="0.25">
      <c r="A341" s="6">
        <f ca="1">IFERROR(__xludf.DUMMYFUNCTION("""COMPUTED_VALUE"""),44230)</f>
        <v>44230</v>
      </c>
      <c r="B341" s="7">
        <f ca="1">IFERROR(__xludf.DUMMYFUNCTION("""COMPUTED_VALUE"""),8)</f>
        <v>8</v>
      </c>
      <c r="C341" s="8">
        <f ca="1">IFERROR(__xludf.DUMMYFUNCTION("""COMPUTED_VALUE"""),44230.3333333333)</f>
        <v>44230.333333333299</v>
      </c>
      <c r="D341" s="7">
        <f ca="1">IFERROR(__xludf.DUMMYFUNCTION("""COMPUTED_VALUE"""),4420)</f>
        <v>4420</v>
      </c>
      <c r="E341" s="7">
        <f ca="1">IFERROR(__xludf.DUMMYFUNCTION("""COMPUTED_VALUE"""),249810)</f>
        <v>249810</v>
      </c>
      <c r="F341" s="7">
        <f ca="1">IFERROR(__xludf.DUMMYFUNCTION("""COMPUTED_VALUE"""),21863)</f>
        <v>21863</v>
      </c>
      <c r="G341" s="7">
        <f ca="1">IFERROR(__xludf.DUMMYFUNCTION("""COMPUTED_VALUE"""),4168)</f>
        <v>4168</v>
      </c>
      <c r="H341" s="7">
        <f ca="1">IFERROR(__xludf.DUMMYFUNCTION("""COMPUTED_VALUE"""),280261)</f>
        <v>280261</v>
      </c>
      <c r="I341" s="7">
        <f ca="1">IFERROR(__xludf.DUMMYFUNCTION("""COMPUTED_VALUE"""),3567)</f>
        <v>3567</v>
      </c>
      <c r="J341" s="7">
        <f ca="1">IFERROR(__xludf.DUMMYFUNCTION("""COMPUTED_VALUE"""),26031)</f>
        <v>26031</v>
      </c>
      <c r="K341" s="7">
        <f ca="1">IFERROR(__xludf.DUMMYFUNCTION("""COMPUTED_VALUE"""),1295)</f>
        <v>1295</v>
      </c>
      <c r="L341" s="7">
        <f ca="1">IFERROR(__xludf.DUMMYFUNCTION("""COMPUTED_VALUE"""),9409)</f>
        <v>9409</v>
      </c>
      <c r="M341" s="7">
        <f ca="1">IFERROR(__xludf.DUMMYFUNCTION("""COMPUTED_VALUE"""),14435)</f>
        <v>14435</v>
      </c>
      <c r="N341" s="7">
        <f ca="1">IFERROR(__xludf.DUMMYFUNCTION("""COMPUTED_VALUE"""),2187)</f>
        <v>2187</v>
      </c>
    </row>
    <row r="342" spans="1:14" ht="13.2" x14ac:dyDescent="0.25">
      <c r="A342" s="6">
        <f ca="1">IFERROR(__xludf.DUMMYFUNCTION("""COMPUTED_VALUE"""),44231)</f>
        <v>44231</v>
      </c>
      <c r="B342" s="7">
        <f ca="1">IFERROR(__xludf.DUMMYFUNCTION("""COMPUTED_VALUE"""),8)</f>
        <v>8</v>
      </c>
      <c r="C342" s="8">
        <f ca="1">IFERROR(__xludf.DUMMYFUNCTION("""COMPUTED_VALUE"""),44231.3333333333)</f>
        <v>44231.333333333299</v>
      </c>
      <c r="D342" s="7">
        <f ca="1">IFERROR(__xludf.DUMMYFUNCTION("""COMPUTED_VALUE"""),4461)</f>
        <v>4461</v>
      </c>
      <c r="E342" s="7">
        <f ca="1">IFERROR(__xludf.DUMMYFUNCTION("""COMPUTED_VALUE"""),254155)</f>
        <v>254155</v>
      </c>
      <c r="F342" s="7">
        <f ca="1">IFERROR(__xludf.DUMMYFUNCTION("""COMPUTED_VALUE"""),20419)</f>
        <v>20419</v>
      </c>
      <c r="G342" s="7">
        <f ca="1">IFERROR(__xludf.DUMMYFUNCTION("""COMPUTED_VALUE"""),4858)</f>
        <v>4858</v>
      </c>
      <c r="H342" s="7">
        <f ca="1">IFERROR(__xludf.DUMMYFUNCTION("""COMPUTED_VALUE"""),283893)</f>
        <v>283893</v>
      </c>
      <c r="I342" s="7">
        <f ca="1">IFERROR(__xludf.DUMMYFUNCTION("""COMPUTED_VALUE"""),3632)</f>
        <v>3632</v>
      </c>
      <c r="J342" s="7">
        <f ca="1">IFERROR(__xludf.DUMMYFUNCTION("""COMPUTED_VALUE"""),25277)</f>
        <v>25277</v>
      </c>
      <c r="K342" s="7">
        <f ca="1">IFERROR(__xludf.DUMMYFUNCTION("""COMPUTED_VALUE"""),4345)</f>
        <v>4345</v>
      </c>
      <c r="L342" s="7">
        <f ca="1">IFERROR(__xludf.DUMMYFUNCTION("""COMPUTED_VALUE"""),7759)</f>
        <v>7759</v>
      </c>
      <c r="M342" s="7">
        <f ca="1">IFERROR(__xludf.DUMMYFUNCTION("""COMPUTED_VALUE"""),12670)</f>
        <v>12670</v>
      </c>
      <c r="N342" s="7">
        <f ca="1">IFERROR(__xludf.DUMMYFUNCTION("""COMPUTED_VALUE"""),4848)</f>
        <v>4848</v>
      </c>
    </row>
    <row r="343" spans="1:14" ht="13.2" x14ac:dyDescent="0.25">
      <c r="A343" s="6">
        <f ca="1">IFERROR(__xludf.DUMMYFUNCTION("""COMPUTED_VALUE"""),44232)</f>
        <v>44232</v>
      </c>
      <c r="B343" s="7">
        <f ca="1">IFERROR(__xludf.DUMMYFUNCTION("""COMPUTED_VALUE"""),8)</f>
        <v>8</v>
      </c>
      <c r="C343" s="8">
        <f ca="1">IFERROR(__xludf.DUMMYFUNCTION("""COMPUTED_VALUE"""),44232.3333333333)</f>
        <v>44232.333333333299</v>
      </c>
      <c r="D343" s="7">
        <f ca="1">IFERROR(__xludf.DUMMYFUNCTION("""COMPUTED_VALUE"""),4502)</f>
        <v>4502</v>
      </c>
      <c r="E343" s="7">
        <f ca="1">IFERROR(__xludf.DUMMYFUNCTION("""COMPUTED_VALUE"""),256702)</f>
        <v>256702</v>
      </c>
      <c r="F343" s="7">
        <f ca="1">IFERROR(__xludf.DUMMYFUNCTION("""COMPUTED_VALUE"""),21191)</f>
        <v>21191</v>
      </c>
      <c r="G343" s="7">
        <f ca="1">IFERROR(__xludf.DUMMYFUNCTION("""COMPUTED_VALUE"""),4838)</f>
        <v>4838</v>
      </c>
      <c r="H343" s="7">
        <f ca="1">IFERROR(__xludf.DUMMYFUNCTION("""COMPUTED_VALUE"""),287233)</f>
        <v>287233</v>
      </c>
      <c r="I343" s="7">
        <f ca="1">IFERROR(__xludf.DUMMYFUNCTION("""COMPUTED_VALUE"""),3340)</f>
        <v>3340</v>
      </c>
      <c r="J343" s="7">
        <f ca="1">IFERROR(__xludf.DUMMYFUNCTION("""COMPUTED_VALUE"""),26029)</f>
        <v>26029</v>
      </c>
      <c r="K343" s="7">
        <f ca="1">IFERROR(__xludf.DUMMYFUNCTION("""COMPUTED_VALUE"""),2547)</f>
        <v>2547</v>
      </c>
      <c r="L343" s="7">
        <f ca="1">IFERROR(__xludf.DUMMYFUNCTION("""COMPUTED_VALUE"""),9050)</f>
        <v>9050</v>
      </c>
      <c r="M343" s="7">
        <f ca="1">IFERROR(__xludf.DUMMYFUNCTION("""COMPUTED_VALUE"""),15663)</f>
        <v>15663</v>
      </c>
      <c r="N343" s="7">
        <f ca="1">IFERROR(__xludf.DUMMYFUNCTION("""COMPUTED_VALUE"""),1316)</f>
        <v>1316</v>
      </c>
    </row>
    <row r="344" spans="1:14" ht="13.2" x14ac:dyDescent="0.25">
      <c r="A344" s="6">
        <f ca="1">IFERROR(__xludf.DUMMYFUNCTION("""COMPUTED_VALUE"""),44233)</f>
        <v>44233</v>
      </c>
      <c r="B344" s="7">
        <f ca="1">IFERROR(__xludf.DUMMYFUNCTION("""COMPUTED_VALUE"""),8)</f>
        <v>8</v>
      </c>
      <c r="C344" s="8">
        <f ca="1">IFERROR(__xludf.DUMMYFUNCTION("""COMPUTED_VALUE"""),44233.3333333333)</f>
        <v>44233.333333333299</v>
      </c>
      <c r="D344" s="7">
        <f ca="1">IFERROR(__xludf.DUMMYFUNCTION("""COMPUTED_VALUE"""),4541)</f>
        <v>4541</v>
      </c>
      <c r="E344" s="7">
        <f ca="1">IFERROR(__xludf.DUMMYFUNCTION("""COMPUTED_VALUE"""),261027)</f>
        <v>261027</v>
      </c>
      <c r="F344" s="7">
        <f ca="1">IFERROR(__xludf.DUMMYFUNCTION("""COMPUTED_VALUE"""),19325)</f>
        <v>19325</v>
      </c>
      <c r="G344" s="7">
        <f ca="1">IFERROR(__xludf.DUMMYFUNCTION("""COMPUTED_VALUE"""),4719)</f>
        <v>4719</v>
      </c>
      <c r="H344" s="7">
        <f ca="1">IFERROR(__xludf.DUMMYFUNCTION("""COMPUTED_VALUE"""),289612)</f>
        <v>289612</v>
      </c>
      <c r="I344" s="7">
        <f ca="1">IFERROR(__xludf.DUMMYFUNCTION("""COMPUTED_VALUE"""),2379)</f>
        <v>2379</v>
      </c>
      <c r="J344" s="7">
        <f ca="1">IFERROR(__xludf.DUMMYFUNCTION("""COMPUTED_VALUE"""),24044)</f>
        <v>24044</v>
      </c>
      <c r="K344" s="7">
        <f ca="1">IFERROR(__xludf.DUMMYFUNCTION("""COMPUTED_VALUE"""),4325)</f>
        <v>4325</v>
      </c>
      <c r="L344" s="7">
        <f ca="1">IFERROR(__xludf.DUMMYFUNCTION("""COMPUTED_VALUE"""),7093)</f>
        <v>7093</v>
      </c>
      <c r="M344" s="7">
        <f ca="1">IFERROR(__xludf.DUMMYFUNCTION("""COMPUTED_VALUE"""),15579)</f>
        <v>15579</v>
      </c>
      <c r="N344" s="7">
        <f ca="1">IFERROR(__xludf.DUMMYFUNCTION("""COMPUTED_VALUE"""),1372)</f>
        <v>1372</v>
      </c>
    </row>
    <row r="345" spans="1:14" ht="13.2" x14ac:dyDescent="0.25">
      <c r="A345" s="6">
        <f ca="1">IFERROR(__xludf.DUMMYFUNCTION("""COMPUTED_VALUE"""),44234)</f>
        <v>44234</v>
      </c>
      <c r="B345" s="7">
        <f ca="1">IFERROR(__xludf.DUMMYFUNCTION("""COMPUTED_VALUE"""),8)</f>
        <v>8</v>
      </c>
      <c r="C345" s="8">
        <f ca="1">IFERROR(__xludf.DUMMYFUNCTION("""COMPUTED_VALUE"""),44234.3333333333)</f>
        <v>44234.333333333299</v>
      </c>
      <c r="D345" s="7">
        <f ca="1">IFERROR(__xludf.DUMMYFUNCTION("""COMPUTED_VALUE"""),4587)</f>
        <v>4587</v>
      </c>
      <c r="E345" s="7">
        <f ca="1">IFERROR(__xludf.DUMMYFUNCTION("""COMPUTED_VALUE"""),265369)</f>
        <v>265369</v>
      </c>
      <c r="F345" s="7">
        <f ca="1">IFERROR(__xludf.DUMMYFUNCTION("""COMPUTED_VALUE"""),17958)</f>
        <v>17958</v>
      </c>
      <c r="G345" s="7">
        <f ca="1">IFERROR(__xludf.DUMMYFUNCTION("""COMPUTED_VALUE"""),5911)</f>
        <v>5911</v>
      </c>
      <c r="H345" s="7">
        <f ca="1">IFERROR(__xludf.DUMMYFUNCTION("""COMPUTED_VALUE"""),293825)</f>
        <v>293825</v>
      </c>
      <c r="I345" s="7">
        <f ca="1">IFERROR(__xludf.DUMMYFUNCTION("""COMPUTED_VALUE"""),4213)</f>
        <v>4213</v>
      </c>
      <c r="J345" s="7">
        <f ca="1">IFERROR(__xludf.DUMMYFUNCTION("""COMPUTED_VALUE"""),23869)</f>
        <v>23869</v>
      </c>
      <c r="K345" s="7">
        <f ca="1">IFERROR(__xludf.DUMMYFUNCTION("""COMPUTED_VALUE"""),4342)</f>
        <v>4342</v>
      </c>
      <c r="L345" s="7">
        <f ca="1">IFERROR(__xludf.DUMMYFUNCTION("""COMPUTED_VALUE"""),5882)</f>
        <v>5882</v>
      </c>
      <c r="M345" s="7">
        <f ca="1">IFERROR(__xludf.DUMMYFUNCTION("""COMPUTED_VALUE"""),15947)</f>
        <v>15947</v>
      </c>
      <c r="N345" s="7">
        <f ca="1">IFERROR(__xludf.DUMMYFUNCTION("""COMPUTED_VALUE"""),2040)</f>
        <v>2040</v>
      </c>
    </row>
    <row r="346" spans="1:14" ht="13.2" x14ac:dyDescent="0.25">
      <c r="A346" s="6">
        <f ca="1">IFERROR(__xludf.DUMMYFUNCTION("""COMPUTED_VALUE"""),44235)</f>
        <v>44235</v>
      </c>
      <c r="B346" s="7">
        <f ca="1">IFERROR(__xludf.DUMMYFUNCTION("""COMPUTED_VALUE"""),8)</f>
        <v>8</v>
      </c>
      <c r="C346" s="8">
        <f ca="1">IFERROR(__xludf.DUMMYFUNCTION("""COMPUTED_VALUE"""),44235.3333333333)</f>
        <v>44235.333333333299</v>
      </c>
      <c r="D346" s="7">
        <f ca="1">IFERROR(__xludf.DUMMYFUNCTION("""COMPUTED_VALUE"""),4631)</f>
        <v>4631</v>
      </c>
      <c r="E346" s="7">
        <f ca="1">IFERROR(__xludf.DUMMYFUNCTION("""COMPUTED_VALUE"""),268785)</f>
        <v>268785</v>
      </c>
      <c r="F346" s="7">
        <f ca="1">IFERROR(__xludf.DUMMYFUNCTION("""COMPUTED_VALUE"""),17766)</f>
        <v>17766</v>
      </c>
      <c r="G346" s="7">
        <f ca="1">IFERROR(__xludf.DUMMYFUNCTION("""COMPUTED_VALUE"""),5787)</f>
        <v>5787</v>
      </c>
      <c r="H346" s="7">
        <f ca="1">IFERROR(__xludf.DUMMYFUNCTION("""COMPUTED_VALUE"""),296969)</f>
        <v>296969</v>
      </c>
      <c r="I346" s="7">
        <f ca="1">IFERROR(__xludf.DUMMYFUNCTION("""COMPUTED_VALUE"""),3144)</f>
        <v>3144</v>
      </c>
      <c r="J346" s="7">
        <f ca="1">IFERROR(__xludf.DUMMYFUNCTION("""COMPUTED_VALUE"""),23553)</f>
        <v>23553</v>
      </c>
      <c r="K346" s="7">
        <f ca="1">IFERROR(__xludf.DUMMYFUNCTION("""COMPUTED_VALUE"""),3416)</f>
        <v>3416</v>
      </c>
      <c r="L346" s="7">
        <f ca="1">IFERROR(__xludf.DUMMYFUNCTION("""COMPUTED_VALUE"""),4966)</f>
        <v>4966</v>
      </c>
      <c r="M346" s="7">
        <f ca="1">IFERROR(__xludf.DUMMYFUNCTION("""COMPUTED_VALUE"""),14527)</f>
        <v>14527</v>
      </c>
      <c r="N346" s="7">
        <f ca="1">IFERROR(__xludf.DUMMYFUNCTION("""COMPUTED_VALUE"""),4060)</f>
        <v>4060</v>
      </c>
    </row>
    <row r="347" spans="1:14" ht="13.2" x14ac:dyDescent="0.25">
      <c r="A347" s="6">
        <f ca="1">IFERROR(__xludf.DUMMYFUNCTION("""COMPUTED_VALUE"""),44236)</f>
        <v>44236</v>
      </c>
      <c r="B347" s="7">
        <f ca="1">IFERROR(__xludf.DUMMYFUNCTION("""COMPUTED_VALUE"""),8)</f>
        <v>8</v>
      </c>
      <c r="C347" s="8">
        <f ca="1">IFERROR(__xludf.DUMMYFUNCTION("""COMPUTED_VALUE"""),44236.3333333333)</f>
        <v>44236.333333333299</v>
      </c>
      <c r="D347" s="7">
        <f ca="1">IFERROR(__xludf.DUMMYFUNCTION("""COMPUTED_VALUE"""),4681)</f>
        <v>4681</v>
      </c>
      <c r="E347" s="7">
        <f ca="1">IFERROR(__xludf.DUMMYFUNCTION("""COMPUTED_VALUE"""),271573)</f>
        <v>271573</v>
      </c>
      <c r="F347" s="7">
        <f ca="1">IFERROR(__xludf.DUMMYFUNCTION("""COMPUTED_VALUE"""),18174)</f>
        <v>18174</v>
      </c>
      <c r="G347" s="7">
        <f ca="1">IFERROR(__xludf.DUMMYFUNCTION("""COMPUTED_VALUE"""),5978)</f>
        <v>5978</v>
      </c>
      <c r="H347" s="7">
        <f ca="1">IFERROR(__xludf.DUMMYFUNCTION("""COMPUTED_VALUE"""),300406)</f>
        <v>300406</v>
      </c>
      <c r="I347" s="7">
        <f ca="1">IFERROR(__xludf.DUMMYFUNCTION("""COMPUTED_VALUE"""),3437)</f>
        <v>3437</v>
      </c>
      <c r="J347" s="7">
        <f ca="1">IFERROR(__xludf.DUMMYFUNCTION("""COMPUTED_VALUE"""),24152)</f>
        <v>24152</v>
      </c>
      <c r="K347" s="7">
        <f ca="1">IFERROR(__xludf.DUMMYFUNCTION("""COMPUTED_VALUE"""),2788)</f>
        <v>2788</v>
      </c>
      <c r="L347" s="7">
        <f ca="1">IFERROR(__xludf.DUMMYFUNCTION("""COMPUTED_VALUE"""),4266)</f>
        <v>4266</v>
      </c>
      <c r="M347" s="7">
        <f ca="1">IFERROR(__xludf.DUMMYFUNCTION("""COMPUTED_VALUE"""),13500)</f>
        <v>13500</v>
      </c>
      <c r="N347" s="7">
        <f ca="1">IFERROR(__xludf.DUMMYFUNCTION("""COMPUTED_VALUE"""),6386)</f>
        <v>6386</v>
      </c>
    </row>
    <row r="348" spans="1:14" ht="13.2" x14ac:dyDescent="0.25">
      <c r="A348" s="6">
        <f ca="1">IFERROR(__xludf.DUMMYFUNCTION("""COMPUTED_VALUE"""),44237)</f>
        <v>44237</v>
      </c>
      <c r="B348" s="7">
        <f ca="1">IFERROR(__xludf.DUMMYFUNCTION("""COMPUTED_VALUE"""),8)</f>
        <v>8</v>
      </c>
      <c r="C348" s="8">
        <f ca="1">IFERROR(__xludf.DUMMYFUNCTION("""COMPUTED_VALUE"""),44237.3333333333)</f>
        <v>44237.333333333299</v>
      </c>
      <c r="D348" s="7">
        <f ca="1">IFERROR(__xludf.DUMMYFUNCTION("""COMPUTED_VALUE"""),4725)</f>
        <v>4725</v>
      </c>
      <c r="E348" s="7">
        <f ca="1">IFERROR(__xludf.DUMMYFUNCTION("""COMPUTED_VALUE"""),274817)</f>
        <v>274817</v>
      </c>
      <c r="F348" s="7">
        <f ca="1">IFERROR(__xludf.DUMMYFUNCTION("""COMPUTED_VALUE"""),16676)</f>
        <v>16676</v>
      </c>
      <c r="G348" s="7">
        <f ca="1">IFERROR(__xludf.DUMMYFUNCTION("""COMPUTED_VALUE"""),7497)</f>
        <v>7497</v>
      </c>
      <c r="H348" s="7">
        <f ca="1">IFERROR(__xludf.DUMMYFUNCTION("""COMPUTED_VALUE"""),303715)</f>
        <v>303715</v>
      </c>
      <c r="I348" s="7">
        <f ca="1">IFERROR(__xludf.DUMMYFUNCTION("""COMPUTED_VALUE"""),3309)</f>
        <v>3309</v>
      </c>
      <c r="J348" s="7">
        <f ca="1">IFERROR(__xludf.DUMMYFUNCTION("""COMPUTED_VALUE"""),24173)</f>
        <v>24173</v>
      </c>
      <c r="K348" s="7">
        <f ca="1">IFERROR(__xludf.DUMMYFUNCTION("""COMPUTED_VALUE"""),3244)</f>
        <v>3244</v>
      </c>
      <c r="L348" s="7">
        <f ca="1">IFERROR(__xludf.DUMMYFUNCTION("""COMPUTED_VALUE"""),3260)</f>
        <v>3260</v>
      </c>
      <c r="M348" s="7">
        <f ca="1">IFERROR(__xludf.DUMMYFUNCTION("""COMPUTED_VALUE"""),12165)</f>
        <v>12165</v>
      </c>
      <c r="N348" s="7">
        <f ca="1">IFERROR(__xludf.DUMMYFUNCTION("""COMPUTED_VALUE"""),8748)</f>
        <v>8748</v>
      </c>
    </row>
    <row r="349" spans="1:14" ht="13.2" x14ac:dyDescent="0.25">
      <c r="A349" s="6">
        <f ca="1">IFERROR(__xludf.DUMMYFUNCTION("""COMPUTED_VALUE"""),44238)</f>
        <v>44238</v>
      </c>
      <c r="B349" s="7">
        <f ca="1">IFERROR(__xludf.DUMMYFUNCTION("""COMPUTED_VALUE"""),8)</f>
        <v>8</v>
      </c>
      <c r="C349" s="8">
        <f ca="1">IFERROR(__xludf.DUMMYFUNCTION("""COMPUTED_VALUE"""),44238.3333333333)</f>
        <v>44238.333333333299</v>
      </c>
      <c r="D349" s="7">
        <f ca="1">IFERROR(__xludf.DUMMYFUNCTION("""COMPUTED_VALUE"""),4748)</f>
        <v>4748</v>
      </c>
      <c r="E349" s="7">
        <f ca="1">IFERROR(__xludf.DUMMYFUNCTION("""COMPUTED_VALUE"""),278822)</f>
        <v>278822</v>
      </c>
      <c r="F349" s="7">
        <f ca="1">IFERROR(__xludf.DUMMYFUNCTION("""COMPUTED_VALUE"""),14119)</f>
        <v>14119</v>
      </c>
      <c r="G349" s="7">
        <f ca="1">IFERROR(__xludf.DUMMYFUNCTION("""COMPUTED_VALUE"""),8540)</f>
        <v>8540</v>
      </c>
      <c r="H349" s="7">
        <f ca="1">IFERROR(__xludf.DUMMYFUNCTION("""COMPUTED_VALUE"""),306229)</f>
        <v>306229</v>
      </c>
      <c r="I349" s="7">
        <f ca="1">IFERROR(__xludf.DUMMYFUNCTION("""COMPUTED_VALUE"""),2514)</f>
        <v>2514</v>
      </c>
      <c r="J349" s="7">
        <f ca="1">IFERROR(__xludf.DUMMYFUNCTION("""COMPUTED_VALUE"""),22659)</f>
        <v>22659</v>
      </c>
      <c r="K349" s="7">
        <f ca="1">IFERROR(__xludf.DUMMYFUNCTION("""COMPUTED_VALUE"""),4005)</f>
        <v>4005</v>
      </c>
      <c r="L349" s="7">
        <f ca="1">IFERROR(__xludf.DUMMYFUNCTION("""COMPUTED_VALUE"""),2149)</f>
        <v>2149</v>
      </c>
      <c r="M349" s="7">
        <f ca="1">IFERROR(__xludf.DUMMYFUNCTION("""COMPUTED_VALUE"""),11293)</f>
        <v>11293</v>
      </c>
      <c r="N349" s="7">
        <f ca="1">IFERROR(__xludf.DUMMYFUNCTION("""COMPUTED_VALUE"""),9217)</f>
        <v>9217</v>
      </c>
    </row>
    <row r="350" spans="1:14" ht="13.2" x14ac:dyDescent="0.25">
      <c r="A350" s="6">
        <f ca="1">IFERROR(__xludf.DUMMYFUNCTION("""COMPUTED_VALUE"""),44239)</f>
        <v>44239</v>
      </c>
      <c r="B350" s="7">
        <f ca="1">IFERROR(__xludf.DUMMYFUNCTION("""COMPUTED_VALUE"""),8)</f>
        <v>8</v>
      </c>
      <c r="C350" s="8">
        <f ca="1">IFERROR(__xludf.DUMMYFUNCTION("""COMPUTED_VALUE"""),44239.3333333333)</f>
        <v>44239.333333333299</v>
      </c>
      <c r="D350" s="7">
        <f ca="1">IFERROR(__xludf.DUMMYFUNCTION("""COMPUTED_VALUE"""),4798)</f>
        <v>4798</v>
      </c>
      <c r="E350" s="7">
        <f ca="1">IFERROR(__xludf.DUMMYFUNCTION("""COMPUTED_VALUE"""),284579)</f>
        <v>284579</v>
      </c>
      <c r="F350" s="7">
        <f ca="1">IFERROR(__xludf.DUMMYFUNCTION("""COMPUTED_VALUE"""),10774)</f>
        <v>10774</v>
      </c>
      <c r="G350" s="7">
        <f ca="1">IFERROR(__xludf.DUMMYFUNCTION("""COMPUTED_VALUE"""),9888)</f>
        <v>9888</v>
      </c>
      <c r="H350" s="7">
        <f ca="1">IFERROR(__xludf.DUMMYFUNCTION("""COMPUTED_VALUE"""),310039)</f>
        <v>310039</v>
      </c>
      <c r="I350" s="7">
        <f ca="1">IFERROR(__xludf.DUMMYFUNCTION("""COMPUTED_VALUE"""),3810)</f>
        <v>3810</v>
      </c>
      <c r="J350" s="7">
        <f ca="1">IFERROR(__xludf.DUMMYFUNCTION("""COMPUTED_VALUE"""),20662)</f>
        <v>20662</v>
      </c>
      <c r="K350" s="7">
        <f ca="1">IFERROR(__xludf.DUMMYFUNCTION("""COMPUTED_VALUE"""),5757)</f>
        <v>5757</v>
      </c>
      <c r="L350" s="7">
        <f ca="1">IFERROR(__xludf.DUMMYFUNCTION("""COMPUTED_VALUE"""),683)</f>
        <v>683</v>
      </c>
      <c r="M350" s="7">
        <f ca="1">IFERROR(__xludf.DUMMYFUNCTION("""COMPUTED_VALUE"""),8683)</f>
        <v>8683</v>
      </c>
      <c r="N350" s="7">
        <f ca="1">IFERROR(__xludf.DUMMYFUNCTION("""COMPUTED_VALUE"""),11296)</f>
        <v>11296</v>
      </c>
    </row>
    <row r="351" spans="1:14" ht="13.2" x14ac:dyDescent="0.25">
      <c r="A351" s="6">
        <f ca="1">IFERROR(__xludf.DUMMYFUNCTION("""COMPUTED_VALUE"""),44240)</f>
        <v>44240</v>
      </c>
      <c r="B351" s="7">
        <f ca="1">IFERROR(__xludf.DUMMYFUNCTION("""COMPUTED_VALUE"""),8)</f>
        <v>8</v>
      </c>
      <c r="C351" s="8">
        <f ca="1">IFERROR(__xludf.DUMMYFUNCTION("""COMPUTED_VALUE"""),44240.3333333333)</f>
        <v>44240.333333333299</v>
      </c>
      <c r="D351" s="7">
        <f ca="1">IFERROR(__xludf.DUMMYFUNCTION("""COMPUTED_VALUE"""),4850)</f>
        <v>4850</v>
      </c>
      <c r="E351" s="7">
        <f ca="1">IFERROR(__xludf.DUMMYFUNCTION("""COMPUTED_VALUE"""),289189)</f>
        <v>289189</v>
      </c>
      <c r="F351" s="7">
        <f ca="1">IFERROR(__xludf.DUMMYFUNCTION("""COMPUTED_VALUE"""),9644)</f>
        <v>9644</v>
      </c>
      <c r="G351" s="7">
        <f ca="1">IFERROR(__xludf.DUMMYFUNCTION("""COMPUTED_VALUE"""),9374)</f>
        <v>9374</v>
      </c>
      <c r="H351" s="7">
        <f ca="1">IFERROR(__xludf.DUMMYFUNCTION("""COMPUTED_VALUE"""),313057)</f>
        <v>313057</v>
      </c>
      <c r="I351" s="7">
        <f ca="1">IFERROR(__xludf.DUMMYFUNCTION("""COMPUTED_VALUE"""),3018)</f>
        <v>3018</v>
      </c>
      <c r="J351" s="7">
        <f ca="1">IFERROR(__xludf.DUMMYFUNCTION("""COMPUTED_VALUE"""),19018)</f>
        <v>19018</v>
      </c>
      <c r="K351" s="7">
        <f ca="1">IFERROR(__xludf.DUMMYFUNCTION("""COMPUTED_VALUE"""),4610)</f>
        <v>4610</v>
      </c>
      <c r="L351" s="7">
        <f ca="1">IFERROR(__xludf.DUMMYFUNCTION("""COMPUTED_VALUE"""),672)</f>
        <v>672</v>
      </c>
      <c r="M351" s="7">
        <f ca="1">IFERROR(__xludf.DUMMYFUNCTION("""COMPUTED_VALUE"""),7586)</f>
        <v>7586</v>
      </c>
      <c r="N351" s="7">
        <f ca="1">IFERROR(__xludf.DUMMYFUNCTION("""COMPUTED_VALUE"""),10760)</f>
        <v>10760</v>
      </c>
    </row>
    <row r="352" spans="1:14" ht="13.2" x14ac:dyDescent="0.25">
      <c r="A352" s="6">
        <f ca="1">IFERROR(__xludf.DUMMYFUNCTION("""COMPUTED_VALUE"""),44241)</f>
        <v>44241</v>
      </c>
      <c r="B352" s="7">
        <f ca="1">IFERROR(__xludf.DUMMYFUNCTION("""COMPUTED_VALUE"""),8)</f>
        <v>8</v>
      </c>
      <c r="C352" s="8">
        <f ca="1">IFERROR(__xludf.DUMMYFUNCTION("""COMPUTED_VALUE"""),44241.3333333333)</f>
        <v>44241.333333333299</v>
      </c>
      <c r="D352" s="7">
        <f ca="1">IFERROR(__xludf.DUMMYFUNCTION("""COMPUTED_VALUE"""),4895)</f>
        <v>4895</v>
      </c>
      <c r="E352" s="7">
        <f ca="1">IFERROR(__xludf.DUMMYFUNCTION("""COMPUTED_VALUE"""),293538)</f>
        <v>293538</v>
      </c>
      <c r="F352" s="7">
        <f ca="1">IFERROR(__xludf.DUMMYFUNCTION("""COMPUTED_VALUE"""),9017)</f>
        <v>9017</v>
      </c>
      <c r="G352" s="7">
        <f ca="1">IFERROR(__xludf.DUMMYFUNCTION("""COMPUTED_VALUE"""),8103)</f>
        <v>8103</v>
      </c>
      <c r="H352" s="7">
        <f ca="1">IFERROR(__xludf.DUMMYFUNCTION("""COMPUTED_VALUE"""),315553)</f>
        <v>315553</v>
      </c>
      <c r="I352" s="7">
        <f ca="1">IFERROR(__xludf.DUMMYFUNCTION("""COMPUTED_VALUE"""),2496)</f>
        <v>2496</v>
      </c>
      <c r="J352" s="7">
        <f ca="1">IFERROR(__xludf.DUMMYFUNCTION("""COMPUTED_VALUE"""),17120)</f>
        <v>17120</v>
      </c>
      <c r="K352" s="7">
        <f ca="1">IFERROR(__xludf.DUMMYFUNCTION("""COMPUTED_VALUE"""),4349)</f>
        <v>4349</v>
      </c>
      <c r="L352" s="7">
        <f ca="1">IFERROR(__xludf.DUMMYFUNCTION("""COMPUTED_VALUE"""),1587)</f>
        <v>1587</v>
      </c>
      <c r="M352" s="7">
        <f ca="1">IFERROR(__xludf.DUMMYFUNCTION("""COMPUTED_VALUE"""),7605)</f>
        <v>7605</v>
      </c>
      <c r="N352" s="7">
        <f ca="1">IFERROR(__xludf.DUMMYFUNCTION("""COMPUTED_VALUE"""),7928)</f>
        <v>7928</v>
      </c>
    </row>
    <row r="353" spans="1:14" ht="13.2" x14ac:dyDescent="0.25">
      <c r="A353" s="6">
        <f ca="1">IFERROR(__xludf.DUMMYFUNCTION("""COMPUTED_VALUE"""),44242)</f>
        <v>44242</v>
      </c>
      <c r="B353" s="7">
        <f ca="1">IFERROR(__xludf.DUMMYFUNCTION("""COMPUTED_VALUE"""),8)</f>
        <v>8</v>
      </c>
      <c r="C353" s="8">
        <f ca="1">IFERROR(__xludf.DUMMYFUNCTION("""COMPUTED_VALUE"""),44242.3333333333)</f>
        <v>44242.333333333299</v>
      </c>
      <c r="D353" s="7">
        <f ca="1">IFERROR(__xludf.DUMMYFUNCTION("""COMPUTED_VALUE"""),4940)</f>
        <v>4940</v>
      </c>
      <c r="E353" s="7">
        <f ca="1">IFERROR(__xludf.DUMMYFUNCTION("""COMPUTED_VALUE"""),295623)</f>
        <v>295623</v>
      </c>
      <c r="F353" s="7">
        <f ca="1">IFERROR(__xludf.DUMMYFUNCTION("""COMPUTED_VALUE"""),8881)</f>
        <v>8881</v>
      </c>
      <c r="G353" s="7">
        <f ca="1">IFERROR(__xludf.DUMMYFUNCTION("""COMPUTED_VALUE"""),7988)</f>
        <v>7988</v>
      </c>
      <c r="H353" s="7">
        <f ca="1">IFERROR(__xludf.DUMMYFUNCTION("""COMPUTED_VALUE"""),317432)</f>
        <v>317432</v>
      </c>
      <c r="I353" s="7">
        <f ca="1">IFERROR(__xludf.DUMMYFUNCTION("""COMPUTED_VALUE"""),1879)</f>
        <v>1879</v>
      </c>
      <c r="J353" s="7">
        <f ca="1">IFERROR(__xludf.DUMMYFUNCTION("""COMPUTED_VALUE"""),16869)</f>
        <v>16869</v>
      </c>
      <c r="K353" s="7">
        <f ca="1">IFERROR(__xludf.DUMMYFUNCTION("""COMPUTED_VALUE"""),2085)</f>
        <v>2085</v>
      </c>
      <c r="L353" s="7">
        <f ca="1">IFERROR(__xludf.DUMMYFUNCTION("""COMPUTED_VALUE"""),3876)</f>
        <v>3876</v>
      </c>
      <c r="M353" s="7">
        <f ca="1">IFERROR(__xludf.DUMMYFUNCTION("""COMPUTED_VALUE"""),11955)</f>
        <v>11955</v>
      </c>
      <c r="N353" s="7">
        <f ca="1">IFERROR(__xludf.DUMMYFUNCTION("""COMPUTED_VALUE"""),1038)</f>
        <v>1038</v>
      </c>
    </row>
    <row r="354" spans="1:14" ht="13.2" x14ac:dyDescent="0.25">
      <c r="A354" s="6">
        <f ca="1">IFERROR(__xludf.DUMMYFUNCTION("""COMPUTED_VALUE"""),44243)</f>
        <v>44243</v>
      </c>
      <c r="B354" s="7">
        <f ca="1">IFERROR(__xludf.DUMMYFUNCTION("""COMPUTED_VALUE"""),8)</f>
        <v>8</v>
      </c>
      <c r="C354" s="8">
        <f ca="1">IFERROR(__xludf.DUMMYFUNCTION("""COMPUTED_VALUE"""),44243.3333333333)</f>
        <v>44243.333333333299</v>
      </c>
      <c r="D354" s="7">
        <f ca="1">IFERROR(__xludf.DUMMYFUNCTION("""COMPUTED_VALUE"""),4987)</f>
        <v>4987</v>
      </c>
      <c r="E354" s="7">
        <f ca="1">IFERROR(__xludf.DUMMYFUNCTION("""COMPUTED_VALUE"""),297695)</f>
        <v>297695</v>
      </c>
      <c r="F354" s="7">
        <f ca="1">IFERROR(__xludf.DUMMYFUNCTION("""COMPUTED_VALUE"""),9042)</f>
        <v>9042</v>
      </c>
      <c r="G354" s="7">
        <f ca="1">IFERROR(__xludf.DUMMYFUNCTION("""COMPUTED_VALUE"""),7569)</f>
        <v>7569</v>
      </c>
      <c r="H354" s="7">
        <f ca="1">IFERROR(__xludf.DUMMYFUNCTION("""COMPUTED_VALUE"""),319293)</f>
        <v>319293</v>
      </c>
      <c r="I354" s="7">
        <f ca="1">IFERROR(__xludf.DUMMYFUNCTION("""COMPUTED_VALUE"""),1861)</f>
        <v>1861</v>
      </c>
      <c r="J354" s="7">
        <f ca="1">IFERROR(__xludf.DUMMYFUNCTION("""COMPUTED_VALUE"""),16611)</f>
        <v>16611</v>
      </c>
      <c r="K354" s="7">
        <f ca="1">IFERROR(__xludf.DUMMYFUNCTION("""COMPUTED_VALUE"""),2072)</f>
        <v>2072</v>
      </c>
      <c r="L354" s="7">
        <f ca="1">IFERROR(__xludf.DUMMYFUNCTION("""COMPUTED_VALUE"""),3419)</f>
        <v>3419</v>
      </c>
      <c r="M354" s="7">
        <f ca="1">IFERROR(__xludf.DUMMYFUNCTION("""COMPUTED_VALUE"""),10799)</f>
        <v>10799</v>
      </c>
      <c r="N354" s="7">
        <f ca="1">IFERROR(__xludf.DUMMYFUNCTION("""COMPUTED_VALUE"""),2393)</f>
        <v>2393</v>
      </c>
    </row>
    <row r="355" spans="1:14" ht="13.2" x14ac:dyDescent="0.25">
      <c r="A355" s="6">
        <f ca="1">IFERROR(__xludf.DUMMYFUNCTION("""COMPUTED_VALUE"""),44244)</f>
        <v>44244</v>
      </c>
      <c r="B355" s="7">
        <f ca="1">IFERROR(__xludf.DUMMYFUNCTION("""COMPUTED_VALUE"""),8)</f>
        <v>8</v>
      </c>
      <c r="C355" s="8">
        <f ca="1">IFERROR(__xludf.DUMMYFUNCTION("""COMPUTED_VALUE"""),44244.3333333333)</f>
        <v>44244.333333333299</v>
      </c>
      <c r="D355" s="7">
        <f ca="1">IFERROR(__xludf.DUMMYFUNCTION("""COMPUTED_VALUE"""),5026)</f>
        <v>5026</v>
      </c>
      <c r="E355" s="7">
        <f ca="1">IFERROR(__xludf.DUMMYFUNCTION("""COMPUTED_VALUE"""),299795)</f>
        <v>299795</v>
      </c>
      <c r="F355" s="7">
        <f ca="1">IFERROR(__xludf.DUMMYFUNCTION("""COMPUTED_VALUE"""),8467)</f>
        <v>8467</v>
      </c>
      <c r="G355" s="7">
        <f ca="1">IFERROR(__xludf.DUMMYFUNCTION("""COMPUTED_VALUE"""),7450)</f>
        <v>7450</v>
      </c>
      <c r="H355" s="7">
        <f ca="1">IFERROR(__xludf.DUMMYFUNCTION("""COMPUTED_VALUE"""),320738)</f>
        <v>320738</v>
      </c>
      <c r="I355" s="7">
        <f ca="1">IFERROR(__xludf.DUMMYFUNCTION("""COMPUTED_VALUE"""),1445)</f>
        <v>1445</v>
      </c>
      <c r="J355" s="7">
        <f ca="1">IFERROR(__xludf.DUMMYFUNCTION("""COMPUTED_VALUE"""),15917)</f>
        <v>15917</v>
      </c>
      <c r="K355" s="7">
        <f ca="1">IFERROR(__xludf.DUMMYFUNCTION("""COMPUTED_VALUE"""),2100)</f>
        <v>2100</v>
      </c>
      <c r="L355" s="7">
        <f ca="1">IFERROR(__xludf.DUMMYFUNCTION("""COMPUTED_VALUE"""),2770)</f>
        <v>2770</v>
      </c>
      <c r="M355" s="7">
        <f ca="1">IFERROR(__xludf.DUMMYFUNCTION("""COMPUTED_VALUE"""),9442)</f>
        <v>9442</v>
      </c>
      <c r="N355" s="7">
        <f ca="1">IFERROR(__xludf.DUMMYFUNCTION("""COMPUTED_VALUE"""),3705)</f>
        <v>3705</v>
      </c>
    </row>
    <row r="356" spans="1:14" ht="13.2" x14ac:dyDescent="0.25">
      <c r="A356" s="6">
        <f ca="1">IFERROR(__xludf.DUMMYFUNCTION("""COMPUTED_VALUE"""),44245)</f>
        <v>44245</v>
      </c>
      <c r="B356" s="7">
        <f ca="1">IFERROR(__xludf.DUMMYFUNCTION("""COMPUTED_VALUE"""),8)</f>
        <v>8</v>
      </c>
      <c r="C356" s="8">
        <f ca="1">IFERROR(__xludf.DUMMYFUNCTION("""COMPUTED_VALUE"""),44245.3333333333)</f>
        <v>44245.333333333299</v>
      </c>
      <c r="D356" s="7">
        <f ca="1">IFERROR(__xludf.DUMMYFUNCTION("""COMPUTED_VALUE"""),5044)</f>
        <v>5044</v>
      </c>
      <c r="E356" s="7">
        <f ca="1">IFERROR(__xludf.DUMMYFUNCTION("""COMPUTED_VALUE"""),302451)</f>
        <v>302451</v>
      </c>
      <c r="F356" s="7">
        <f ca="1">IFERROR(__xludf.DUMMYFUNCTION("""COMPUTED_VALUE"""),7067)</f>
        <v>7067</v>
      </c>
      <c r="G356" s="7">
        <f ca="1">IFERROR(__xludf.DUMMYFUNCTION("""COMPUTED_VALUE"""),6549)</f>
        <v>6549</v>
      </c>
      <c r="H356" s="7">
        <f ca="1">IFERROR(__xludf.DUMMYFUNCTION("""COMPUTED_VALUE"""),321111)</f>
        <v>321111</v>
      </c>
      <c r="I356" s="7">
        <f ca="1">IFERROR(__xludf.DUMMYFUNCTION("""COMPUTED_VALUE"""),373)</f>
        <v>373</v>
      </c>
      <c r="J356" s="7">
        <f ca="1">IFERROR(__xludf.DUMMYFUNCTION("""COMPUTED_VALUE"""),13616)</f>
        <v>13616</v>
      </c>
      <c r="K356" s="7">
        <f ca="1">IFERROR(__xludf.DUMMYFUNCTION("""COMPUTED_VALUE"""),2656)</f>
        <v>2656</v>
      </c>
      <c r="L356" s="7">
        <f ca="1">IFERROR(__xludf.DUMMYFUNCTION("""COMPUTED_VALUE"""),3272)</f>
        <v>3272</v>
      </c>
      <c r="M356" s="7">
        <f ca="1">IFERROR(__xludf.DUMMYFUNCTION("""COMPUTED_VALUE"""),10070)</f>
        <v>10070</v>
      </c>
      <c r="N356" s="7">
        <f ca="1">IFERROR(__xludf.DUMMYFUNCTION("""COMPUTED_VALUE"""),274)</f>
        <v>274</v>
      </c>
    </row>
    <row r="357" spans="1:14" ht="13.2" x14ac:dyDescent="0.25">
      <c r="A357" s="6">
        <f ca="1">IFERROR(__xludf.DUMMYFUNCTION("""COMPUTED_VALUE"""),44246)</f>
        <v>44246</v>
      </c>
      <c r="B357" s="7">
        <f ca="1">IFERROR(__xludf.DUMMYFUNCTION("""COMPUTED_VALUE"""),8)</f>
        <v>8</v>
      </c>
      <c r="C357" s="8">
        <f ca="1">IFERROR(__xludf.DUMMYFUNCTION("""COMPUTED_VALUE"""),44246.3333333333)</f>
        <v>44246.333333333299</v>
      </c>
      <c r="D357" s="7">
        <f ca="1">IFERROR(__xludf.DUMMYFUNCTION("""COMPUTED_VALUE"""),5081)</f>
        <v>5081</v>
      </c>
      <c r="E357" s="7">
        <f ca="1">IFERROR(__xludf.DUMMYFUNCTION("""COMPUTED_VALUE"""),304995)</f>
        <v>304995</v>
      </c>
      <c r="F357" s="7">
        <f ca="1">IFERROR(__xludf.DUMMYFUNCTION("""COMPUTED_VALUE"""),7323)</f>
        <v>7323</v>
      </c>
      <c r="G357" s="7">
        <f ca="1">IFERROR(__xludf.DUMMYFUNCTION("""COMPUTED_VALUE"""),5632)</f>
        <v>5632</v>
      </c>
      <c r="H357" s="7">
        <f ca="1">IFERROR(__xludf.DUMMYFUNCTION("""COMPUTED_VALUE"""),323031)</f>
        <v>323031</v>
      </c>
      <c r="I357" s="7">
        <f ca="1">IFERROR(__xludf.DUMMYFUNCTION("""COMPUTED_VALUE"""),1920)</f>
        <v>1920</v>
      </c>
      <c r="J357" s="7">
        <f ca="1">IFERROR(__xludf.DUMMYFUNCTION("""COMPUTED_VALUE"""),12955)</f>
        <v>12955</v>
      </c>
      <c r="K357" s="7">
        <f ca="1">IFERROR(__xludf.DUMMYFUNCTION("""COMPUTED_VALUE"""),2544)</f>
        <v>2544</v>
      </c>
      <c r="L357" s="7">
        <f ca="1">IFERROR(__xludf.DUMMYFUNCTION("""COMPUTED_VALUE"""),2840)</f>
        <v>2840</v>
      </c>
      <c r="M357" s="7">
        <f ca="1">IFERROR(__xludf.DUMMYFUNCTION("""COMPUTED_VALUE"""),8527)</f>
        <v>8527</v>
      </c>
      <c r="N357" s="7">
        <f ca="1">IFERROR(__xludf.DUMMYFUNCTION("""COMPUTED_VALUE"""),1588)</f>
        <v>1588</v>
      </c>
    </row>
    <row r="358" spans="1:14" ht="13.2" x14ac:dyDescent="0.25">
      <c r="A358" s="6">
        <f ca="1">IFERROR(__xludf.DUMMYFUNCTION("""COMPUTED_VALUE"""),44247)</f>
        <v>44247</v>
      </c>
      <c r="B358" s="7">
        <f ca="1">IFERROR(__xludf.DUMMYFUNCTION("""COMPUTED_VALUE"""),8)</f>
        <v>8</v>
      </c>
      <c r="C358" s="8">
        <f ca="1">IFERROR(__xludf.DUMMYFUNCTION("""COMPUTED_VALUE"""),44247.3333333333)</f>
        <v>44247.333333333299</v>
      </c>
      <c r="D358" s="7">
        <f ca="1">IFERROR(__xludf.DUMMYFUNCTION("""COMPUTED_VALUE"""),5121)</f>
        <v>5121</v>
      </c>
      <c r="E358" s="7">
        <f ca="1">IFERROR(__xludf.DUMMYFUNCTION("""COMPUTED_VALUE"""),307759)</f>
        <v>307759</v>
      </c>
      <c r="F358" s="7">
        <f ca="1">IFERROR(__xludf.DUMMYFUNCTION("""COMPUTED_VALUE"""),7165)</f>
        <v>7165</v>
      </c>
      <c r="G358" s="7">
        <f ca="1">IFERROR(__xludf.DUMMYFUNCTION("""COMPUTED_VALUE"""),5858)</f>
        <v>5858</v>
      </c>
      <c r="H358" s="7">
        <f ca="1">IFERROR(__xludf.DUMMYFUNCTION("""COMPUTED_VALUE"""),325903)</f>
        <v>325903</v>
      </c>
      <c r="I358" s="7">
        <f ca="1">IFERROR(__xludf.DUMMYFUNCTION("""COMPUTED_VALUE"""),2872)</f>
        <v>2872</v>
      </c>
      <c r="J358" s="7">
        <f ca="1">IFERROR(__xludf.DUMMYFUNCTION("""COMPUTED_VALUE"""),13023)</f>
        <v>13023</v>
      </c>
      <c r="K358" s="7">
        <f ca="1">IFERROR(__xludf.DUMMYFUNCTION("""COMPUTED_VALUE"""),2764)</f>
        <v>2764</v>
      </c>
      <c r="L358" s="7">
        <f ca="1">IFERROR(__xludf.DUMMYFUNCTION("""COMPUTED_VALUE"""),2589)</f>
        <v>2589</v>
      </c>
      <c r="M358" s="7">
        <f ca="1">IFERROR(__xludf.DUMMYFUNCTION("""COMPUTED_VALUE"""),8729)</f>
        <v>8729</v>
      </c>
      <c r="N358" s="7">
        <f ca="1">IFERROR(__xludf.DUMMYFUNCTION("""COMPUTED_VALUE"""),1705)</f>
        <v>1705</v>
      </c>
    </row>
    <row r="359" spans="1:14" ht="13.2" x14ac:dyDescent="0.25">
      <c r="A359" s="6">
        <f ca="1">IFERROR(__xludf.DUMMYFUNCTION("""COMPUTED_VALUE"""),44248)</f>
        <v>44248</v>
      </c>
      <c r="B359" s="7">
        <f ca="1">IFERROR(__xludf.DUMMYFUNCTION("""COMPUTED_VALUE"""),8)</f>
        <v>8</v>
      </c>
      <c r="C359" s="8">
        <f ca="1">IFERROR(__xludf.DUMMYFUNCTION("""COMPUTED_VALUE"""),44248.3333333333)</f>
        <v>44248.333333333299</v>
      </c>
      <c r="D359" s="7">
        <f ca="1">IFERROR(__xludf.DUMMYFUNCTION("""COMPUTED_VALUE"""),5172)</f>
        <v>5172</v>
      </c>
      <c r="E359" s="7">
        <f ca="1">IFERROR(__xludf.DUMMYFUNCTION("""COMPUTED_VALUE"""),310412)</f>
        <v>310412</v>
      </c>
      <c r="F359" s="7">
        <f ca="1">IFERROR(__xludf.DUMMYFUNCTION("""COMPUTED_VALUE"""),7137)</f>
        <v>7137</v>
      </c>
      <c r="G359" s="7">
        <f ca="1">IFERROR(__xludf.DUMMYFUNCTION("""COMPUTED_VALUE"""),5902)</f>
        <v>5902</v>
      </c>
      <c r="H359" s="7">
        <f ca="1">IFERROR(__xludf.DUMMYFUNCTION("""COMPUTED_VALUE"""),328623)</f>
        <v>328623</v>
      </c>
      <c r="I359" s="7">
        <f ca="1">IFERROR(__xludf.DUMMYFUNCTION("""COMPUTED_VALUE"""),2720)</f>
        <v>2720</v>
      </c>
      <c r="J359" s="7">
        <f ca="1">IFERROR(__xludf.DUMMYFUNCTION("""COMPUTED_VALUE"""),13039)</f>
        <v>13039</v>
      </c>
      <c r="K359" s="7">
        <f ca="1">IFERROR(__xludf.DUMMYFUNCTION("""COMPUTED_VALUE"""),2653)</f>
        <v>2653</v>
      </c>
      <c r="L359" s="7">
        <f ca="1">IFERROR(__xludf.DUMMYFUNCTION("""COMPUTED_VALUE"""),1673)</f>
        <v>1673</v>
      </c>
      <c r="M359" s="7">
        <f ca="1">IFERROR(__xludf.DUMMYFUNCTION("""COMPUTED_VALUE"""),7851)</f>
        <v>7851</v>
      </c>
      <c r="N359" s="7">
        <f ca="1">IFERROR(__xludf.DUMMYFUNCTION("""COMPUTED_VALUE"""),3515)</f>
        <v>3515</v>
      </c>
    </row>
    <row r="360" spans="1:14" ht="13.2" x14ac:dyDescent="0.25">
      <c r="A360" s="6">
        <f ca="1">IFERROR(__xludf.DUMMYFUNCTION("""COMPUTED_VALUE"""),44249)</f>
        <v>44249</v>
      </c>
      <c r="B360" s="7">
        <f ca="1">IFERROR(__xludf.DUMMYFUNCTION("""COMPUTED_VALUE"""),8)</f>
        <v>8</v>
      </c>
      <c r="C360" s="8">
        <f ca="1">IFERROR(__xludf.DUMMYFUNCTION("""COMPUTED_VALUE"""),44249.3333333333)</f>
        <v>44249.333333333299</v>
      </c>
      <c r="D360" s="7">
        <f ca="1">IFERROR(__xludf.DUMMYFUNCTION("""COMPUTED_VALUE"""),5206)</f>
        <v>5206</v>
      </c>
      <c r="E360" s="7">
        <f ca="1">IFERROR(__xludf.DUMMYFUNCTION("""COMPUTED_VALUE"""),312748)</f>
        <v>312748</v>
      </c>
      <c r="F360" s="7">
        <f ca="1">IFERROR(__xludf.DUMMYFUNCTION("""COMPUTED_VALUE"""),7528)</f>
        <v>7528</v>
      </c>
      <c r="G360" s="7">
        <f ca="1">IFERROR(__xludf.DUMMYFUNCTION("""COMPUTED_VALUE"""),5612)</f>
        <v>5612</v>
      </c>
      <c r="H360" s="7">
        <f ca="1">IFERROR(__xludf.DUMMYFUNCTION("""COMPUTED_VALUE"""),331094)</f>
        <v>331094</v>
      </c>
      <c r="I360" s="7">
        <f ca="1">IFERROR(__xludf.DUMMYFUNCTION("""COMPUTED_VALUE"""),2471)</f>
        <v>2471</v>
      </c>
      <c r="J360" s="7">
        <f ca="1">IFERROR(__xludf.DUMMYFUNCTION("""COMPUTED_VALUE"""),13140)</f>
        <v>13140</v>
      </c>
      <c r="K360" s="7">
        <f ca="1">IFERROR(__xludf.DUMMYFUNCTION("""COMPUTED_VALUE"""),2336)</f>
        <v>2336</v>
      </c>
      <c r="L360" s="7">
        <f ca="1">IFERROR(__xludf.DUMMYFUNCTION("""COMPUTED_VALUE"""),1156)</f>
        <v>1156</v>
      </c>
      <c r="M360" s="7">
        <f ca="1">IFERROR(__xludf.DUMMYFUNCTION("""COMPUTED_VALUE"""),6465)</f>
        <v>6465</v>
      </c>
      <c r="N360" s="7">
        <f ca="1">IFERROR(__xludf.DUMMYFUNCTION("""COMPUTED_VALUE"""),5519)</f>
        <v>5519</v>
      </c>
    </row>
    <row r="361" spans="1:14" ht="13.2" x14ac:dyDescent="0.25">
      <c r="A361" s="6">
        <f ca="1">IFERROR(__xludf.DUMMYFUNCTION("""COMPUTED_VALUE"""),44250)</f>
        <v>44250</v>
      </c>
      <c r="B361" s="7">
        <f ca="1">IFERROR(__xludf.DUMMYFUNCTION("""COMPUTED_VALUE"""),8)</f>
        <v>8</v>
      </c>
      <c r="C361" s="8">
        <f ca="1">IFERROR(__xludf.DUMMYFUNCTION("""COMPUTED_VALUE"""),44250.3333333333)</f>
        <v>44250.333333333299</v>
      </c>
      <c r="D361" s="7">
        <f ca="1">IFERROR(__xludf.DUMMYFUNCTION("""COMPUTED_VALUE"""),5248)</f>
        <v>5248</v>
      </c>
      <c r="E361" s="7">
        <f ca="1">IFERROR(__xludf.DUMMYFUNCTION("""COMPUTED_VALUE"""),314563)</f>
        <v>314563</v>
      </c>
      <c r="F361" s="7">
        <f ca="1">IFERROR(__xludf.DUMMYFUNCTION("""COMPUTED_VALUE"""),7126)</f>
        <v>7126</v>
      </c>
      <c r="G361" s="7">
        <f ca="1">IFERROR(__xludf.DUMMYFUNCTION("""COMPUTED_VALUE"""),4939)</f>
        <v>4939</v>
      </c>
      <c r="H361" s="7">
        <f ca="1">IFERROR(__xludf.DUMMYFUNCTION("""COMPUTED_VALUE"""),331876)</f>
        <v>331876</v>
      </c>
      <c r="I361" s="7">
        <f ca="1">IFERROR(__xludf.DUMMYFUNCTION("""COMPUTED_VALUE"""),782)</f>
        <v>782</v>
      </c>
      <c r="J361" s="7">
        <f ca="1">IFERROR(__xludf.DUMMYFUNCTION("""COMPUTED_VALUE"""),12065)</f>
        <v>12065</v>
      </c>
      <c r="K361" s="7">
        <f ca="1">IFERROR(__xludf.DUMMYFUNCTION("""COMPUTED_VALUE"""),1815)</f>
        <v>1815</v>
      </c>
      <c r="L361" s="7">
        <f ca="1">IFERROR(__xludf.DUMMYFUNCTION("""COMPUTED_VALUE"""),605)</f>
        <v>605</v>
      </c>
      <c r="M361" s="7">
        <f ca="1">IFERROR(__xludf.DUMMYFUNCTION("""COMPUTED_VALUE"""),5070)</f>
        <v>5070</v>
      </c>
      <c r="N361" s="7">
        <f ca="1">IFERROR(__xludf.DUMMYFUNCTION("""COMPUTED_VALUE"""),6390)</f>
        <v>6390</v>
      </c>
    </row>
    <row r="362" spans="1:14" ht="13.2" x14ac:dyDescent="0.25">
      <c r="A362" s="6">
        <f ca="1">IFERROR(__xludf.DUMMYFUNCTION("""COMPUTED_VALUE"""),44251)</f>
        <v>44251</v>
      </c>
      <c r="B362" s="7">
        <f ca="1">IFERROR(__xludf.DUMMYFUNCTION("""COMPUTED_VALUE"""),8)</f>
        <v>8</v>
      </c>
      <c r="C362" s="8">
        <f ca="1">IFERROR(__xludf.DUMMYFUNCTION("""COMPUTED_VALUE"""),44251.3333333333)</f>
        <v>44251.333333333299</v>
      </c>
      <c r="D362" s="7">
        <f ca="1">IFERROR(__xludf.DUMMYFUNCTION("""COMPUTED_VALUE"""),5301)</f>
        <v>5301</v>
      </c>
      <c r="E362" s="7">
        <f ca="1">IFERROR(__xludf.DUMMYFUNCTION("""COMPUTED_VALUE"""),317003)</f>
        <v>317003</v>
      </c>
      <c r="F362" s="7">
        <f ca="1">IFERROR(__xludf.DUMMYFUNCTION("""COMPUTED_VALUE"""),6008)</f>
        <v>6008</v>
      </c>
      <c r="G362" s="7">
        <f ca="1">IFERROR(__xludf.DUMMYFUNCTION("""COMPUTED_VALUE"""),4346)</f>
        <v>4346</v>
      </c>
      <c r="H362" s="7">
        <f ca="1">IFERROR(__xludf.DUMMYFUNCTION("""COMPUTED_VALUE"""),332658)</f>
        <v>332658</v>
      </c>
      <c r="I362" s="7">
        <f ca="1">IFERROR(__xludf.DUMMYFUNCTION("""COMPUTED_VALUE"""),782)</f>
        <v>782</v>
      </c>
      <c r="J362" s="7">
        <f ca="1">IFERROR(__xludf.DUMMYFUNCTION("""COMPUTED_VALUE"""),10354)</f>
        <v>10354</v>
      </c>
      <c r="K362" s="7">
        <f ca="1">IFERROR(__xludf.DUMMYFUNCTION("""COMPUTED_VALUE"""),2440)</f>
        <v>2440</v>
      </c>
      <c r="L362" s="7">
        <f ca="1">IFERROR(__xludf.DUMMYFUNCTION("""COMPUTED_VALUE"""),75)</f>
        <v>75</v>
      </c>
      <c r="M362" s="7">
        <f ca="1">IFERROR(__xludf.DUMMYFUNCTION("""COMPUTED_VALUE"""),3217)</f>
        <v>3217</v>
      </c>
      <c r="N362" s="7">
        <f ca="1">IFERROR(__xludf.DUMMYFUNCTION("""COMPUTED_VALUE"""),7062)</f>
        <v>7062</v>
      </c>
    </row>
    <row r="363" spans="1:14" ht="13.2" x14ac:dyDescent="0.25">
      <c r="A363" s="6">
        <f ca="1">IFERROR(__xludf.DUMMYFUNCTION("""COMPUTED_VALUE"""),44252)</f>
        <v>44252</v>
      </c>
      <c r="B363" s="7">
        <f ca="1">IFERROR(__xludf.DUMMYFUNCTION("""COMPUTED_VALUE"""),8)</f>
        <v>8</v>
      </c>
      <c r="C363" s="8">
        <f ca="1">IFERROR(__xludf.DUMMYFUNCTION("""COMPUTED_VALUE"""),44252.3333333333)</f>
        <v>44252.333333333299</v>
      </c>
      <c r="D363" s="7">
        <f ca="1">IFERROR(__xludf.DUMMYFUNCTION("""COMPUTED_VALUE"""),5346)</f>
        <v>5346</v>
      </c>
      <c r="E363" s="7">
        <f ca="1">IFERROR(__xludf.DUMMYFUNCTION("""COMPUTED_VALUE"""),319326)</f>
        <v>319326</v>
      </c>
      <c r="F363" s="7">
        <f ca="1">IFERROR(__xludf.DUMMYFUNCTION("""COMPUTED_VALUE"""),5499)</f>
        <v>5499</v>
      </c>
      <c r="G363" s="7">
        <f ca="1">IFERROR(__xludf.DUMMYFUNCTION("""COMPUTED_VALUE"""),4068)</f>
        <v>4068</v>
      </c>
      <c r="H363" s="7">
        <f ca="1">IFERROR(__xludf.DUMMYFUNCTION("""COMPUTED_VALUE"""),334239)</f>
        <v>334239</v>
      </c>
      <c r="I363" s="7">
        <f ca="1">IFERROR(__xludf.DUMMYFUNCTION("""COMPUTED_VALUE"""),1581)</f>
        <v>1581</v>
      </c>
      <c r="J363" s="7">
        <f ca="1">IFERROR(__xludf.DUMMYFUNCTION("""COMPUTED_VALUE"""),9567)</f>
        <v>9567</v>
      </c>
      <c r="K363" s="7">
        <f ca="1">IFERROR(__xludf.DUMMYFUNCTION("""COMPUTED_VALUE"""),2323)</f>
        <v>2323</v>
      </c>
      <c r="L363" s="7">
        <f ca="1">IFERROR(__xludf.DUMMYFUNCTION("""COMPUTED_VALUE"""),2476)</f>
        <v>2476</v>
      </c>
      <c r="M363" s="7">
        <f ca="1">IFERROR(__xludf.DUMMYFUNCTION("""COMPUTED_VALUE"""),4621)</f>
        <v>4621</v>
      </c>
      <c r="N363" s="7">
        <f ca="1">IFERROR(__xludf.DUMMYFUNCTION("""COMPUTED_VALUE"""),2470)</f>
        <v>2470</v>
      </c>
    </row>
    <row r="364" spans="1:14" ht="13.2" x14ac:dyDescent="0.25">
      <c r="A364" s="6">
        <f ca="1">IFERROR(__xludf.DUMMYFUNCTION("""COMPUTED_VALUE"""),44253)</f>
        <v>44253</v>
      </c>
      <c r="B364" s="7">
        <f ca="1">IFERROR(__xludf.DUMMYFUNCTION("""COMPUTED_VALUE"""),8)</f>
        <v>8</v>
      </c>
      <c r="C364" s="8">
        <f ca="1">IFERROR(__xludf.DUMMYFUNCTION("""COMPUTED_VALUE"""),44253.3333333333)</f>
        <v>44253.333333333299</v>
      </c>
      <c r="D364" s="7">
        <f ca="1">IFERROR(__xludf.DUMMYFUNCTION("""COMPUTED_VALUE"""),5385)</f>
        <v>5385</v>
      </c>
      <c r="E364" s="7">
        <f ca="1">IFERROR(__xludf.DUMMYFUNCTION("""COMPUTED_VALUE"""),321038)</f>
        <v>321038</v>
      </c>
      <c r="F364" s="7">
        <f ca="1">IFERROR(__xludf.DUMMYFUNCTION("""COMPUTED_VALUE"""),5560)</f>
        <v>5560</v>
      </c>
      <c r="G364" s="7">
        <f ca="1">IFERROR(__xludf.DUMMYFUNCTION("""COMPUTED_VALUE"""),3917)</f>
        <v>3917</v>
      </c>
      <c r="H364" s="7">
        <f ca="1">IFERROR(__xludf.DUMMYFUNCTION("""COMPUTED_VALUE"""),335900)</f>
        <v>335900</v>
      </c>
      <c r="I364" s="7">
        <f ca="1">IFERROR(__xludf.DUMMYFUNCTION("""COMPUTED_VALUE"""),1661)</f>
        <v>1661</v>
      </c>
      <c r="J364" s="7">
        <f ca="1">IFERROR(__xludf.DUMMYFUNCTION("""COMPUTED_VALUE"""),9477)</f>
        <v>9477</v>
      </c>
      <c r="K364" s="7">
        <f ca="1">IFERROR(__xludf.DUMMYFUNCTION("""COMPUTED_VALUE"""),1712)</f>
        <v>1712</v>
      </c>
      <c r="L364" s="7">
        <f ca="1">IFERROR(__xludf.DUMMYFUNCTION("""COMPUTED_VALUE"""),1684)</f>
        <v>1684</v>
      </c>
      <c r="M364" s="7">
        <f ca="1">IFERROR(__xludf.DUMMYFUNCTION("""COMPUTED_VALUE"""),3764)</f>
        <v>3764</v>
      </c>
      <c r="N364" s="7">
        <f ca="1">IFERROR(__xludf.DUMMYFUNCTION("""COMPUTED_VALUE"""),4029)</f>
        <v>4029</v>
      </c>
    </row>
    <row r="365" spans="1:14" ht="13.2" x14ac:dyDescent="0.25">
      <c r="A365" s="6">
        <f ca="1">IFERROR(__xludf.DUMMYFUNCTION("""COMPUTED_VALUE"""),44254)</f>
        <v>44254</v>
      </c>
      <c r="B365" s="7">
        <f ca="1">IFERROR(__xludf.DUMMYFUNCTION("""COMPUTED_VALUE"""),8)</f>
        <v>8</v>
      </c>
      <c r="C365" s="8">
        <f ca="1">IFERROR(__xludf.DUMMYFUNCTION("""COMPUTED_VALUE"""),44254.3333333333)</f>
        <v>44254.333333333299</v>
      </c>
      <c r="D365" s="7">
        <f ca="1">IFERROR(__xludf.DUMMYFUNCTION("""COMPUTED_VALUE"""),5439)</f>
        <v>5439</v>
      </c>
      <c r="E365" s="7">
        <f ca="1">IFERROR(__xludf.DUMMYFUNCTION("""COMPUTED_VALUE"""),322285)</f>
        <v>322285</v>
      </c>
      <c r="F365" s="7">
        <f ca="1">IFERROR(__xludf.DUMMYFUNCTION("""COMPUTED_VALUE"""),5885)</f>
        <v>5885</v>
      </c>
      <c r="G365" s="7">
        <f ca="1">IFERROR(__xludf.DUMMYFUNCTION("""COMPUTED_VALUE"""),4028)</f>
        <v>4028</v>
      </c>
      <c r="H365" s="7">
        <f ca="1">IFERROR(__xludf.DUMMYFUNCTION("""COMPUTED_VALUE"""),337637)</f>
        <v>337637</v>
      </c>
      <c r="I365" s="7">
        <f ca="1">IFERROR(__xludf.DUMMYFUNCTION("""COMPUTED_VALUE"""),1737)</f>
        <v>1737</v>
      </c>
      <c r="J365" s="7">
        <f ca="1">IFERROR(__xludf.DUMMYFUNCTION("""COMPUTED_VALUE"""),9913)</f>
        <v>9913</v>
      </c>
      <c r="K365" s="7">
        <f ca="1">IFERROR(__xludf.DUMMYFUNCTION("""COMPUTED_VALUE"""),1247)</f>
        <v>1247</v>
      </c>
      <c r="L365" s="7">
        <f ca="1">IFERROR(__xludf.DUMMYFUNCTION("""COMPUTED_VALUE"""),825)</f>
        <v>825</v>
      </c>
      <c r="M365" s="7">
        <f ca="1">IFERROR(__xludf.DUMMYFUNCTION("""COMPUTED_VALUE"""),3628)</f>
        <v>3628</v>
      </c>
      <c r="N365" s="7">
        <f ca="1">IFERROR(__xludf.DUMMYFUNCTION("""COMPUTED_VALUE"""),5460)</f>
        <v>5460</v>
      </c>
    </row>
    <row r="366" spans="1:14" ht="13.2" x14ac:dyDescent="0.25">
      <c r="A366" s="6">
        <f ca="1">IFERROR(__xludf.DUMMYFUNCTION("""COMPUTED_VALUE"""),44255)</f>
        <v>44255</v>
      </c>
      <c r="B366" s="7">
        <f ca="1">IFERROR(__xludf.DUMMYFUNCTION("""COMPUTED_VALUE"""),8)</f>
        <v>8</v>
      </c>
      <c r="C366" s="8">
        <f ca="1">IFERROR(__xludf.DUMMYFUNCTION("""COMPUTED_VALUE"""),44255.3333333333)</f>
        <v>44255.333333333299</v>
      </c>
      <c r="D366" s="7">
        <f ca="1">IFERROR(__xludf.DUMMYFUNCTION("""COMPUTED_VALUE"""),5478)</f>
        <v>5478</v>
      </c>
      <c r="E366" s="7">
        <f ca="1">IFERROR(__xludf.DUMMYFUNCTION("""COMPUTED_VALUE"""),323892)</f>
        <v>323892</v>
      </c>
      <c r="F366" s="7">
        <f ca="1">IFERROR(__xludf.DUMMYFUNCTION("""COMPUTED_VALUE"""),5940)</f>
        <v>5940</v>
      </c>
      <c r="G366" s="7">
        <f ca="1">IFERROR(__xludf.DUMMYFUNCTION("""COMPUTED_VALUE"""),4425)</f>
        <v>4425</v>
      </c>
      <c r="H366" s="7">
        <f ca="1">IFERROR(__xludf.DUMMYFUNCTION("""COMPUTED_VALUE"""),339735)</f>
        <v>339735</v>
      </c>
      <c r="I366" s="7">
        <f ca="1">IFERROR(__xludf.DUMMYFUNCTION("""COMPUTED_VALUE"""),2098)</f>
        <v>2098</v>
      </c>
      <c r="J366" s="7">
        <f ca="1">IFERROR(__xludf.DUMMYFUNCTION("""COMPUTED_VALUE"""),10365)</f>
        <v>10365</v>
      </c>
      <c r="K366" s="7">
        <f ca="1">IFERROR(__xludf.DUMMYFUNCTION("""COMPUTED_VALUE"""),1607)</f>
        <v>1607</v>
      </c>
      <c r="L366" s="7">
        <f ca="1">IFERROR(__xludf.DUMMYFUNCTION("""COMPUTED_VALUE"""),161)</f>
        <v>161</v>
      </c>
      <c r="M366" s="7">
        <f ca="1">IFERROR(__xludf.DUMMYFUNCTION("""COMPUTED_VALUE"""),3263)</f>
        <v>3263</v>
      </c>
      <c r="N366" s="7">
        <f ca="1">IFERROR(__xludf.DUMMYFUNCTION("""COMPUTED_VALUE"""),6941)</f>
        <v>6941</v>
      </c>
    </row>
    <row r="367" spans="1:14" ht="13.2" x14ac:dyDescent="0.25">
      <c r="A367" s="6">
        <f ca="1">IFERROR(__xludf.DUMMYFUNCTION("""COMPUTED_VALUE"""),44256)</f>
        <v>44256</v>
      </c>
      <c r="B367" s="7">
        <f ca="1">IFERROR(__xludf.DUMMYFUNCTION("""COMPUTED_VALUE"""),8)</f>
        <v>8</v>
      </c>
      <c r="C367" s="8">
        <f ca="1">IFERROR(__xludf.DUMMYFUNCTION("""COMPUTED_VALUE"""),44256.3333333333)</f>
        <v>44256.333333333299</v>
      </c>
      <c r="D367" s="7">
        <f ca="1">IFERROR(__xludf.DUMMYFUNCTION("""COMPUTED_VALUE"""),5528)</f>
        <v>5528</v>
      </c>
      <c r="E367" s="7">
        <f ca="1">IFERROR(__xludf.DUMMYFUNCTION("""COMPUTED_VALUE"""),326509)</f>
        <v>326509</v>
      </c>
      <c r="F367" s="7">
        <f ca="1">IFERROR(__xludf.DUMMYFUNCTION("""COMPUTED_VALUE"""),5891)</f>
        <v>5891</v>
      </c>
      <c r="G367" s="7">
        <f ca="1">IFERROR(__xludf.DUMMYFUNCTION("""COMPUTED_VALUE"""),3865)</f>
        <v>3865</v>
      </c>
      <c r="H367" s="7">
        <f ca="1">IFERROR(__xludf.DUMMYFUNCTION("""COMPUTED_VALUE"""),341793)</f>
        <v>341793</v>
      </c>
      <c r="I367" s="7">
        <f ca="1">IFERROR(__xludf.DUMMYFUNCTION("""COMPUTED_VALUE"""),2058)</f>
        <v>2058</v>
      </c>
      <c r="J367" s="7">
        <f ca="1">IFERROR(__xludf.DUMMYFUNCTION("""COMPUTED_VALUE"""),9756)</f>
        <v>9756</v>
      </c>
      <c r="K367" s="7">
        <f ca="1">IFERROR(__xludf.DUMMYFUNCTION("""COMPUTED_VALUE"""),2617)</f>
        <v>2617</v>
      </c>
      <c r="L367" s="7">
        <f ca="1">IFERROR(__xludf.DUMMYFUNCTION("""COMPUTED_VALUE"""),2380)</f>
        <v>2380</v>
      </c>
      <c r="M367" s="7">
        <f ca="1">IFERROR(__xludf.DUMMYFUNCTION("""COMPUTED_VALUE"""),6023)</f>
        <v>6023</v>
      </c>
      <c r="N367" s="7">
        <f ca="1">IFERROR(__xludf.DUMMYFUNCTION("""COMPUTED_VALUE"""),1353)</f>
        <v>1353</v>
      </c>
    </row>
    <row r="368" spans="1:14" ht="13.2" x14ac:dyDescent="0.25">
      <c r="A368" s="6">
        <f ca="1">IFERROR(__xludf.DUMMYFUNCTION("""COMPUTED_VALUE"""),44257)</f>
        <v>44257</v>
      </c>
      <c r="B368" s="7">
        <f ca="1">IFERROR(__xludf.DUMMYFUNCTION("""COMPUTED_VALUE"""),8)</f>
        <v>8</v>
      </c>
      <c r="C368" s="8">
        <f ca="1">IFERROR(__xludf.DUMMYFUNCTION("""COMPUTED_VALUE"""),44257.3333333333)</f>
        <v>44257.333333333299</v>
      </c>
      <c r="D368" s="7">
        <f ca="1">IFERROR(__xludf.DUMMYFUNCTION("""COMPUTED_VALUE"""),5568)</f>
        <v>5568</v>
      </c>
      <c r="E368" s="7">
        <f ca="1">IFERROR(__xludf.DUMMYFUNCTION("""COMPUTED_VALUE"""),328526)</f>
        <v>328526</v>
      </c>
      <c r="F368" s="7">
        <f ca="1">IFERROR(__xludf.DUMMYFUNCTION("""COMPUTED_VALUE"""),5072)</f>
        <v>5072</v>
      </c>
      <c r="G368" s="7">
        <f ca="1">IFERROR(__xludf.DUMMYFUNCTION("""COMPUTED_VALUE"""),3205)</f>
        <v>3205</v>
      </c>
      <c r="H368" s="7">
        <f ca="1">IFERROR(__xludf.DUMMYFUNCTION("""COMPUTED_VALUE"""),342371)</f>
        <v>342371</v>
      </c>
      <c r="I368" s="7">
        <f ca="1">IFERROR(__xludf.DUMMYFUNCTION("""COMPUTED_VALUE"""),578)</f>
        <v>578</v>
      </c>
      <c r="J368" s="7">
        <f ca="1">IFERROR(__xludf.DUMMYFUNCTION("""COMPUTED_VALUE"""),8277)</f>
        <v>8277</v>
      </c>
      <c r="K368" s="7">
        <f ca="1">IFERROR(__xludf.DUMMYFUNCTION("""COMPUTED_VALUE"""),2017)</f>
        <v>2017</v>
      </c>
      <c r="L368" s="7">
        <f ca="1">IFERROR(__xludf.DUMMYFUNCTION("""COMPUTED_VALUE"""),1581)</f>
        <v>1581</v>
      </c>
      <c r="M368" s="7">
        <f ca="1">IFERROR(__xludf.DUMMYFUNCTION("""COMPUTED_VALUE"""),4543)</f>
        <v>4543</v>
      </c>
      <c r="N368" s="7">
        <f ca="1">IFERROR(__xludf.DUMMYFUNCTION("""COMPUTED_VALUE"""),2153)</f>
        <v>2153</v>
      </c>
    </row>
    <row r="369" spans="1:14" ht="13.2" x14ac:dyDescent="0.25">
      <c r="A369" s="6">
        <f ca="1">IFERROR(__xludf.DUMMYFUNCTION("""COMPUTED_VALUE"""),44258)</f>
        <v>44258</v>
      </c>
      <c r="B369" s="7">
        <f ca="1">IFERROR(__xludf.DUMMYFUNCTION("""COMPUTED_VALUE"""),8)</f>
        <v>8</v>
      </c>
      <c r="C369" s="8">
        <f ca="1">IFERROR(__xludf.DUMMYFUNCTION("""COMPUTED_VALUE"""),44258.3333333333)</f>
        <v>44258.333333333299</v>
      </c>
      <c r="D369" s="7">
        <f ca="1">IFERROR(__xludf.DUMMYFUNCTION("""COMPUTED_VALUE"""),5613)</f>
        <v>5613</v>
      </c>
      <c r="E369" s="7">
        <f ca="1">IFERROR(__xludf.DUMMYFUNCTION("""COMPUTED_VALUE"""),331016)</f>
        <v>331016</v>
      </c>
      <c r="F369" s="7">
        <f ca="1">IFERROR(__xludf.DUMMYFUNCTION("""COMPUTED_VALUE"""),3742)</f>
        <v>3742</v>
      </c>
      <c r="G369" s="7">
        <f ca="1">IFERROR(__xludf.DUMMYFUNCTION("""COMPUTED_VALUE"""),3437)</f>
        <v>3437</v>
      </c>
      <c r="H369" s="7">
        <f ca="1">IFERROR(__xludf.DUMMYFUNCTION("""COMPUTED_VALUE"""),343808)</f>
        <v>343808</v>
      </c>
      <c r="I369" s="7">
        <f ca="1">IFERROR(__xludf.DUMMYFUNCTION("""COMPUTED_VALUE"""),1437)</f>
        <v>1437</v>
      </c>
      <c r="J369" s="7">
        <f ca="1">IFERROR(__xludf.DUMMYFUNCTION("""COMPUTED_VALUE"""),7179)</f>
        <v>7179</v>
      </c>
      <c r="K369" s="7">
        <f ca="1">IFERROR(__xludf.DUMMYFUNCTION("""COMPUTED_VALUE"""),2490)</f>
        <v>2490</v>
      </c>
      <c r="L369" s="7">
        <f ca="1">IFERROR(__xludf.DUMMYFUNCTION("""COMPUTED_VALUE"""),671)</f>
        <v>671</v>
      </c>
      <c r="M369" s="7">
        <f ca="1">IFERROR(__xludf.DUMMYFUNCTION("""COMPUTED_VALUE"""),3358)</f>
        <v>3358</v>
      </c>
      <c r="N369" s="7">
        <f ca="1">IFERROR(__xludf.DUMMYFUNCTION("""COMPUTED_VALUE"""),3150)</f>
        <v>3150</v>
      </c>
    </row>
    <row r="370" spans="1:14" ht="13.2" x14ac:dyDescent="0.25">
      <c r="A370" s="6">
        <f ca="1">IFERROR(__xludf.DUMMYFUNCTION("""COMPUTED_VALUE"""),44259)</f>
        <v>44259</v>
      </c>
      <c r="B370" s="7">
        <f ca="1">IFERROR(__xludf.DUMMYFUNCTION("""COMPUTED_VALUE"""),8)</f>
        <v>8</v>
      </c>
      <c r="C370" s="8">
        <f ca="1">IFERROR(__xludf.DUMMYFUNCTION("""COMPUTED_VALUE"""),44259.3333333333)</f>
        <v>44259.333333333299</v>
      </c>
      <c r="D370" s="7">
        <f ca="1">IFERROR(__xludf.DUMMYFUNCTION("""COMPUTED_VALUE"""),5657)</f>
        <v>5657</v>
      </c>
      <c r="E370" s="7">
        <f ca="1">IFERROR(__xludf.DUMMYFUNCTION("""COMPUTED_VALUE"""),332758)</f>
        <v>332758</v>
      </c>
      <c r="F370" s="7">
        <f ca="1">IFERROR(__xludf.DUMMYFUNCTION("""COMPUTED_VALUE"""),3940)</f>
        <v>3940</v>
      </c>
      <c r="G370" s="7">
        <f ca="1">IFERROR(__xludf.DUMMYFUNCTION("""COMPUTED_VALUE"""),3461)</f>
        <v>3461</v>
      </c>
      <c r="H370" s="7">
        <f ca="1">IFERROR(__xludf.DUMMYFUNCTION("""COMPUTED_VALUE"""),345816)</f>
        <v>345816</v>
      </c>
      <c r="I370" s="7">
        <f ca="1">IFERROR(__xludf.DUMMYFUNCTION("""COMPUTED_VALUE"""),2008)</f>
        <v>2008</v>
      </c>
      <c r="J370" s="7">
        <f ca="1">IFERROR(__xludf.DUMMYFUNCTION("""COMPUTED_VALUE"""),7401)</f>
        <v>7401</v>
      </c>
      <c r="K370" s="7">
        <f ca="1">IFERROR(__xludf.DUMMYFUNCTION("""COMPUTED_VALUE"""),1742)</f>
        <v>1742</v>
      </c>
      <c r="L370" s="7">
        <f ca="1">IFERROR(__xludf.DUMMYFUNCTION("""COMPUTED_VALUE"""),650)</f>
        <v>650</v>
      </c>
      <c r="M370" s="7">
        <f ca="1">IFERROR(__xludf.DUMMYFUNCTION("""COMPUTED_VALUE"""),2614)</f>
        <v>2614</v>
      </c>
      <c r="N370" s="7">
        <f ca="1">IFERROR(__xludf.DUMMYFUNCTION("""COMPUTED_VALUE"""),4137)</f>
        <v>4137</v>
      </c>
    </row>
    <row r="371" spans="1:14" ht="13.2" x14ac:dyDescent="0.25">
      <c r="A371" s="6">
        <f ca="1">IFERROR(__xludf.DUMMYFUNCTION("""COMPUTED_VALUE"""),44260)</f>
        <v>44260</v>
      </c>
      <c r="B371" s="7">
        <f ca="1">IFERROR(__xludf.DUMMYFUNCTION("""COMPUTED_VALUE"""),8)</f>
        <v>8</v>
      </c>
      <c r="C371" s="8">
        <f ca="1">IFERROR(__xludf.DUMMYFUNCTION("""COMPUTED_VALUE"""),44260.3333333333)</f>
        <v>44260.333333333299</v>
      </c>
      <c r="D371" s="7">
        <f ca="1">IFERROR(__xludf.DUMMYFUNCTION("""COMPUTED_VALUE"""),5702)</f>
        <v>5702</v>
      </c>
      <c r="E371" s="7">
        <f ca="1">IFERROR(__xludf.DUMMYFUNCTION("""COMPUTED_VALUE"""),334100)</f>
        <v>334100</v>
      </c>
      <c r="F371" s="7">
        <f ca="1">IFERROR(__xludf.DUMMYFUNCTION("""COMPUTED_VALUE"""),4026)</f>
        <v>4026</v>
      </c>
      <c r="G371" s="7">
        <f ca="1">IFERROR(__xludf.DUMMYFUNCTION("""COMPUTED_VALUE"""),3147)</f>
        <v>3147</v>
      </c>
      <c r="H371" s="7">
        <f ca="1">IFERROR(__xludf.DUMMYFUNCTION("""COMPUTED_VALUE"""),346975)</f>
        <v>346975</v>
      </c>
      <c r="I371" s="7">
        <f ca="1">IFERROR(__xludf.DUMMYFUNCTION("""COMPUTED_VALUE"""),1159)</f>
        <v>1159</v>
      </c>
      <c r="J371" s="7">
        <f ca="1">IFERROR(__xludf.DUMMYFUNCTION("""COMPUTED_VALUE"""),7173)</f>
        <v>7173</v>
      </c>
      <c r="K371" s="7">
        <f ca="1">IFERROR(__xludf.DUMMYFUNCTION("""COMPUTED_VALUE"""),1342)</f>
        <v>1342</v>
      </c>
      <c r="L371" s="7">
        <f ca="1">IFERROR(__xludf.DUMMYFUNCTION("""COMPUTED_VALUE"""),376)</f>
        <v>376</v>
      </c>
      <c r="M371" s="7">
        <f ca="1">IFERROR(__xludf.DUMMYFUNCTION("""COMPUTED_VALUE"""),2138)</f>
        <v>2138</v>
      </c>
      <c r="N371" s="7">
        <f ca="1">IFERROR(__xludf.DUMMYFUNCTION("""COMPUTED_VALUE"""),4659)</f>
        <v>4659</v>
      </c>
    </row>
    <row r="372" spans="1:14" ht="13.2" x14ac:dyDescent="0.25">
      <c r="A372" s="6">
        <f ca="1">IFERROR(__xludf.DUMMYFUNCTION("""COMPUTED_VALUE"""),44261)</f>
        <v>44261</v>
      </c>
      <c r="B372" s="7">
        <f ca="1">IFERROR(__xludf.DUMMYFUNCTION("""COMPUTED_VALUE"""),8)</f>
        <v>8</v>
      </c>
      <c r="C372" s="8">
        <f ca="1">IFERROR(__xludf.DUMMYFUNCTION("""COMPUTED_VALUE"""),44261.3333333333)</f>
        <v>44261.333333333299</v>
      </c>
      <c r="D372" s="7">
        <f ca="1">IFERROR(__xludf.DUMMYFUNCTION("""COMPUTED_VALUE"""),5748)</f>
        <v>5748</v>
      </c>
      <c r="E372" s="7">
        <f ca="1">IFERROR(__xludf.DUMMYFUNCTION("""COMPUTED_VALUE"""),335617)</f>
        <v>335617</v>
      </c>
      <c r="F372" s="7">
        <f ca="1">IFERROR(__xludf.DUMMYFUNCTION("""COMPUTED_VALUE"""),4228)</f>
        <v>4228</v>
      </c>
      <c r="G372" s="7">
        <f ca="1">IFERROR(__xludf.DUMMYFUNCTION("""COMPUTED_VALUE"""),2998)</f>
        <v>2998</v>
      </c>
      <c r="H372" s="7">
        <f ca="1">IFERROR(__xludf.DUMMYFUNCTION("""COMPUTED_VALUE"""),348591)</f>
        <v>348591</v>
      </c>
      <c r="I372" s="7">
        <f ca="1">IFERROR(__xludf.DUMMYFUNCTION("""COMPUTED_VALUE"""),1616)</f>
        <v>1616</v>
      </c>
      <c r="J372" s="7">
        <f ca="1">IFERROR(__xludf.DUMMYFUNCTION("""COMPUTED_VALUE"""),7226)</f>
        <v>7226</v>
      </c>
      <c r="K372" s="7">
        <f ca="1">IFERROR(__xludf.DUMMYFUNCTION("""COMPUTED_VALUE"""),1517)</f>
        <v>1517</v>
      </c>
      <c r="L372" s="7">
        <f ca="1">IFERROR(__xludf.DUMMYFUNCTION("""COMPUTED_VALUE"""),384)</f>
        <v>384</v>
      </c>
      <c r="M372" s="7">
        <f ca="1">IFERROR(__xludf.DUMMYFUNCTION("""COMPUTED_VALUE"""),2191)</f>
        <v>2191</v>
      </c>
      <c r="N372" s="7">
        <f ca="1">IFERROR(__xludf.DUMMYFUNCTION("""COMPUTED_VALUE"""),4651)</f>
        <v>4651</v>
      </c>
    </row>
    <row r="373" spans="1:14" ht="13.2" x14ac:dyDescent="0.25">
      <c r="A373" s="6">
        <f ca="1">IFERROR(__xludf.DUMMYFUNCTION("""COMPUTED_VALUE"""),44262)</f>
        <v>44262</v>
      </c>
      <c r="B373" s="7">
        <f ca="1">IFERROR(__xludf.DUMMYFUNCTION("""COMPUTED_VALUE"""),8)</f>
        <v>8</v>
      </c>
      <c r="C373" s="8">
        <f ca="1">IFERROR(__xludf.DUMMYFUNCTION("""COMPUTED_VALUE"""),44262.3333333333)</f>
        <v>44262.333333333299</v>
      </c>
      <c r="D373" s="7">
        <f ca="1">IFERROR(__xludf.DUMMYFUNCTION("""COMPUTED_VALUE"""),5790)</f>
        <v>5790</v>
      </c>
      <c r="E373" s="7">
        <f ca="1">IFERROR(__xludf.DUMMYFUNCTION("""COMPUTED_VALUE"""),337426)</f>
        <v>337426</v>
      </c>
      <c r="F373" s="7">
        <f ca="1">IFERROR(__xludf.DUMMYFUNCTION("""COMPUTED_VALUE"""),4194)</f>
        <v>4194</v>
      </c>
      <c r="G373" s="7">
        <f ca="1">IFERROR(__xludf.DUMMYFUNCTION("""COMPUTED_VALUE"""),3015)</f>
        <v>3015</v>
      </c>
      <c r="H373" s="7">
        <f ca="1">IFERROR(__xludf.DUMMYFUNCTION("""COMPUTED_VALUE"""),350425)</f>
        <v>350425</v>
      </c>
      <c r="I373" s="7">
        <f ca="1">IFERROR(__xludf.DUMMYFUNCTION("""COMPUTED_VALUE"""),1834)</f>
        <v>1834</v>
      </c>
      <c r="J373" s="7">
        <f ca="1">IFERROR(__xludf.DUMMYFUNCTION("""COMPUTED_VALUE"""),7209)</f>
        <v>7209</v>
      </c>
      <c r="K373" s="7">
        <f ca="1">IFERROR(__xludf.DUMMYFUNCTION("""COMPUTED_VALUE"""),1809)</f>
        <v>1809</v>
      </c>
      <c r="L373" s="7">
        <f ca="1">IFERROR(__xludf.DUMMYFUNCTION("""COMPUTED_VALUE"""),1409)</f>
        <v>1409</v>
      </c>
      <c r="M373" s="7">
        <f ca="1">IFERROR(__xludf.DUMMYFUNCTION("""COMPUTED_VALUE"""),3661)</f>
        <v>3661</v>
      </c>
      <c r="N373" s="7">
        <f ca="1">IFERROR(__xludf.DUMMYFUNCTION("""COMPUTED_VALUE"""),2139)</f>
        <v>2139</v>
      </c>
    </row>
    <row r="374" spans="1:14" ht="13.2" x14ac:dyDescent="0.25">
      <c r="A374" s="6">
        <f ca="1">IFERROR(__xludf.DUMMYFUNCTION("""COMPUTED_VALUE"""),44263)</f>
        <v>44263</v>
      </c>
      <c r="B374" s="7">
        <f ca="1">IFERROR(__xludf.DUMMYFUNCTION("""COMPUTED_VALUE"""),8)</f>
        <v>8</v>
      </c>
      <c r="C374" s="8">
        <f ca="1">IFERROR(__xludf.DUMMYFUNCTION("""COMPUTED_VALUE"""),44263.3333333333)</f>
        <v>44263.333333333299</v>
      </c>
      <c r="D374" s="7">
        <f ca="1">IFERROR(__xludf.DUMMYFUNCTION("""COMPUTED_VALUE"""),5838)</f>
        <v>5838</v>
      </c>
      <c r="E374" s="7">
        <f ca="1">IFERROR(__xludf.DUMMYFUNCTION("""COMPUTED_VALUE"""),338931)</f>
        <v>338931</v>
      </c>
      <c r="F374" s="7">
        <f ca="1">IFERROR(__xludf.DUMMYFUNCTION("""COMPUTED_VALUE"""),4494)</f>
        <v>4494</v>
      </c>
      <c r="G374" s="7">
        <f ca="1">IFERROR(__xludf.DUMMYFUNCTION("""COMPUTED_VALUE"""),2945)</f>
        <v>2945</v>
      </c>
      <c r="H374" s="7">
        <f ca="1">IFERROR(__xludf.DUMMYFUNCTION("""COMPUTED_VALUE"""),352208)</f>
        <v>352208</v>
      </c>
      <c r="I374" s="7">
        <f ca="1">IFERROR(__xludf.DUMMYFUNCTION("""COMPUTED_VALUE"""),1783)</f>
        <v>1783</v>
      </c>
      <c r="J374" s="7">
        <f ca="1">IFERROR(__xludf.DUMMYFUNCTION("""COMPUTED_VALUE"""),7439)</f>
        <v>7439</v>
      </c>
      <c r="K374" s="7">
        <f ca="1">IFERROR(__xludf.DUMMYFUNCTION("""COMPUTED_VALUE"""),1505)</f>
        <v>1505</v>
      </c>
      <c r="L374" s="7">
        <f ca="1">IFERROR(__xludf.DUMMYFUNCTION("""COMPUTED_VALUE"""),2448)</f>
        <v>2448</v>
      </c>
      <c r="M374" s="7">
        <f ca="1">IFERROR(__xludf.DUMMYFUNCTION("""COMPUTED_VALUE"""),4991)</f>
        <v>4991</v>
      </c>
      <c r="N374" s="7">
        <f ca="1">IFERROR(__xludf.DUMMYFUNCTION("""COMPUTED_VALUE"""),0)</f>
        <v>0</v>
      </c>
    </row>
    <row r="375" spans="1:14" ht="13.2" x14ac:dyDescent="0.25">
      <c r="A375" s="6">
        <f ca="1">IFERROR(__xludf.DUMMYFUNCTION("""COMPUTED_VALUE"""),44264)</f>
        <v>44264</v>
      </c>
      <c r="B375" s="7">
        <f ca="1">IFERROR(__xludf.DUMMYFUNCTION("""COMPUTED_VALUE"""),8)</f>
        <v>8</v>
      </c>
      <c r="C375" s="8">
        <f ca="1">IFERROR(__xludf.DUMMYFUNCTION("""COMPUTED_VALUE"""),44264.3333333333)</f>
        <v>44264.333333333299</v>
      </c>
      <c r="D375" s="7">
        <f ca="1">IFERROR(__xludf.DUMMYFUNCTION("""COMPUTED_VALUE"""),5883)</f>
        <v>5883</v>
      </c>
      <c r="E375" s="7">
        <f ca="1">IFERROR(__xludf.DUMMYFUNCTION("""COMPUTED_VALUE"""),340587)</f>
        <v>340587</v>
      </c>
      <c r="F375" s="7">
        <f ca="1">IFERROR(__xludf.DUMMYFUNCTION("""COMPUTED_VALUE"""),3856)</f>
        <v>3856</v>
      </c>
      <c r="G375" s="7">
        <f ca="1">IFERROR(__xludf.DUMMYFUNCTION("""COMPUTED_VALUE"""),2749)</f>
        <v>2749</v>
      </c>
      <c r="H375" s="7">
        <f ca="1">IFERROR(__xludf.DUMMYFUNCTION("""COMPUTED_VALUE"""),353075)</f>
        <v>353075</v>
      </c>
      <c r="I375" s="7">
        <f ca="1">IFERROR(__xludf.DUMMYFUNCTION("""COMPUTED_VALUE"""),867)</f>
        <v>867</v>
      </c>
      <c r="J375" s="7">
        <f ca="1">IFERROR(__xludf.DUMMYFUNCTION("""COMPUTED_VALUE"""),6605)</f>
        <v>6605</v>
      </c>
      <c r="K375" s="7">
        <f ca="1">IFERROR(__xludf.DUMMYFUNCTION("""COMPUTED_VALUE"""),1656)</f>
        <v>1656</v>
      </c>
      <c r="L375" s="7">
        <f ca="1">IFERROR(__xludf.DUMMYFUNCTION("""COMPUTED_VALUE"""),1892)</f>
        <v>1892</v>
      </c>
      <c r="M375" s="7">
        <f ca="1">IFERROR(__xludf.DUMMYFUNCTION("""COMPUTED_VALUE"""),4186)</f>
        <v>4186</v>
      </c>
      <c r="N375" s="7">
        <f ca="1">IFERROR(__xludf.DUMMYFUNCTION("""COMPUTED_VALUE"""),527)</f>
        <v>527</v>
      </c>
    </row>
    <row r="376" spans="1:14" ht="13.2" x14ac:dyDescent="0.25">
      <c r="A376" s="6">
        <f ca="1">IFERROR(__xludf.DUMMYFUNCTION("""COMPUTED_VALUE"""),44265)</f>
        <v>44265</v>
      </c>
      <c r="B376" s="7">
        <f ca="1">IFERROR(__xludf.DUMMYFUNCTION("""COMPUTED_VALUE"""),8)</f>
        <v>8</v>
      </c>
      <c r="C376" s="8">
        <f ca="1">IFERROR(__xludf.DUMMYFUNCTION("""COMPUTED_VALUE"""),44265.3333333333)</f>
        <v>44265.333333333299</v>
      </c>
      <c r="D376" s="7">
        <f ca="1">IFERROR(__xludf.DUMMYFUNCTION("""COMPUTED_VALUE"""),5923)</f>
        <v>5923</v>
      </c>
      <c r="E376" s="7">
        <f ca="1">IFERROR(__xludf.DUMMYFUNCTION("""COMPUTED_VALUE"""),341398)</f>
        <v>341398</v>
      </c>
      <c r="F376" s="7">
        <f ca="1">IFERROR(__xludf.DUMMYFUNCTION("""COMPUTED_VALUE"""),3691)</f>
        <v>3691</v>
      </c>
      <c r="G376" s="7">
        <f ca="1">IFERROR(__xludf.DUMMYFUNCTION("""COMPUTED_VALUE"""),3103)</f>
        <v>3103</v>
      </c>
      <c r="H376" s="7">
        <f ca="1">IFERROR(__xludf.DUMMYFUNCTION("""COMPUTED_VALUE"""),354115)</f>
        <v>354115</v>
      </c>
      <c r="I376" s="7">
        <f ca="1">IFERROR(__xludf.DUMMYFUNCTION("""COMPUTED_VALUE"""),1040)</f>
        <v>1040</v>
      </c>
      <c r="J376" s="7">
        <f ca="1">IFERROR(__xludf.DUMMYFUNCTION("""COMPUTED_VALUE"""),6794)</f>
        <v>6794</v>
      </c>
      <c r="K376" s="7">
        <f ca="1">IFERROR(__xludf.DUMMYFUNCTION("""COMPUTED_VALUE"""),811)</f>
        <v>811</v>
      </c>
      <c r="L376" s="7">
        <f ca="1">IFERROR(__xludf.DUMMYFUNCTION("""COMPUTED_VALUE"""),1573)</f>
        <v>1573</v>
      </c>
      <c r="M376" s="7">
        <f ca="1">IFERROR(__xludf.DUMMYFUNCTION("""COMPUTED_VALUE"""),3787)</f>
        <v>3787</v>
      </c>
      <c r="N376" s="7">
        <f ca="1">IFERROR(__xludf.DUMMYFUNCTION("""COMPUTED_VALUE"""),1434)</f>
        <v>1434</v>
      </c>
    </row>
    <row r="377" spans="1:14" ht="13.2" x14ac:dyDescent="0.25">
      <c r="A377" s="6">
        <f ca="1">IFERROR(__xludf.DUMMYFUNCTION("""COMPUTED_VALUE"""),44266)</f>
        <v>44266</v>
      </c>
      <c r="B377" s="7">
        <f ca="1">IFERROR(__xludf.DUMMYFUNCTION("""COMPUTED_VALUE"""),8)</f>
        <v>8</v>
      </c>
      <c r="C377" s="8">
        <f ca="1">IFERROR(__xludf.DUMMYFUNCTION("""COMPUTED_VALUE"""),44266.3333333333)</f>
        <v>44266.333333333299</v>
      </c>
      <c r="D377" s="7">
        <f ca="1">IFERROR(__xludf.DUMMYFUNCTION("""COMPUTED_VALUE"""),5943)</f>
        <v>5943</v>
      </c>
      <c r="E377" s="7">
        <f ca="1">IFERROR(__xludf.DUMMYFUNCTION("""COMPUTED_VALUE"""),342306)</f>
        <v>342306</v>
      </c>
      <c r="F377" s="7">
        <f ca="1">IFERROR(__xludf.DUMMYFUNCTION("""COMPUTED_VALUE"""),4253)</f>
        <v>4253</v>
      </c>
      <c r="G377" s="7">
        <f ca="1">IFERROR(__xludf.DUMMYFUNCTION("""COMPUTED_VALUE"""),3367)</f>
        <v>3367</v>
      </c>
      <c r="H377" s="7">
        <f ca="1">IFERROR(__xludf.DUMMYFUNCTION("""COMPUTED_VALUE"""),355869)</f>
        <v>355869</v>
      </c>
      <c r="I377" s="7">
        <f ca="1">IFERROR(__xludf.DUMMYFUNCTION("""COMPUTED_VALUE"""),1754)</f>
        <v>1754</v>
      </c>
      <c r="J377" s="7">
        <f ca="1">IFERROR(__xludf.DUMMYFUNCTION("""COMPUTED_VALUE"""),7620)</f>
        <v>7620</v>
      </c>
      <c r="K377" s="7">
        <f ca="1">IFERROR(__xludf.DUMMYFUNCTION("""COMPUTED_VALUE"""),908)</f>
        <v>908</v>
      </c>
      <c r="L377" s="7">
        <f ca="1">IFERROR(__xludf.DUMMYFUNCTION("""COMPUTED_VALUE"""),1577)</f>
        <v>1577</v>
      </c>
      <c r="M377" s="7">
        <f ca="1">IFERROR(__xludf.DUMMYFUNCTION("""COMPUTED_VALUE"""),4749)</f>
        <v>4749</v>
      </c>
      <c r="N377" s="7">
        <f ca="1">IFERROR(__xludf.DUMMYFUNCTION("""COMPUTED_VALUE"""),1294)</f>
        <v>1294</v>
      </c>
    </row>
    <row r="378" spans="1:14" ht="13.2" x14ac:dyDescent="0.25">
      <c r="A378" s="6">
        <f ca="1">IFERROR(__xludf.DUMMYFUNCTION("""COMPUTED_VALUE"""),44267)</f>
        <v>44267</v>
      </c>
      <c r="B378" s="7">
        <f ca="1">IFERROR(__xludf.DUMMYFUNCTION("""COMPUTED_VALUE"""),8)</f>
        <v>8</v>
      </c>
      <c r="C378" s="8">
        <f ca="1">IFERROR(__xludf.DUMMYFUNCTION("""COMPUTED_VALUE"""),44267.3333333333)</f>
        <v>44267.333333333299</v>
      </c>
      <c r="D378" s="7">
        <f ca="1">IFERROR(__xludf.DUMMYFUNCTION("""COMPUTED_VALUE"""),5969)</f>
        <v>5969</v>
      </c>
      <c r="E378" s="7">
        <f ca="1">IFERROR(__xludf.DUMMYFUNCTION("""COMPUTED_VALUE"""),343351)</f>
        <v>343351</v>
      </c>
      <c r="F378" s="7">
        <f ca="1">IFERROR(__xludf.DUMMYFUNCTION("""COMPUTED_VALUE"""),4670)</f>
        <v>4670</v>
      </c>
      <c r="G378" s="7">
        <f ca="1">IFERROR(__xludf.DUMMYFUNCTION("""COMPUTED_VALUE"""),3752)</f>
        <v>3752</v>
      </c>
      <c r="H378" s="7">
        <f ca="1">IFERROR(__xludf.DUMMYFUNCTION("""COMPUTED_VALUE"""),357742)</f>
        <v>357742</v>
      </c>
      <c r="I378" s="7">
        <f ca="1">IFERROR(__xludf.DUMMYFUNCTION("""COMPUTED_VALUE"""),1873)</f>
        <v>1873</v>
      </c>
      <c r="J378" s="7">
        <f ca="1">IFERROR(__xludf.DUMMYFUNCTION("""COMPUTED_VALUE"""),8422)</f>
        <v>8422</v>
      </c>
      <c r="K378" s="7">
        <f ca="1">IFERROR(__xludf.DUMMYFUNCTION("""COMPUTED_VALUE"""),1045)</f>
        <v>1045</v>
      </c>
      <c r="L378" s="7">
        <f ca="1">IFERROR(__xludf.DUMMYFUNCTION("""COMPUTED_VALUE"""),1186)</f>
        <v>1186</v>
      </c>
      <c r="M378" s="7">
        <f ca="1">IFERROR(__xludf.DUMMYFUNCTION("""COMPUTED_VALUE"""),4729)</f>
        <v>4729</v>
      </c>
      <c r="N378" s="7">
        <f ca="1">IFERROR(__xludf.DUMMYFUNCTION("""COMPUTED_VALUE"""),2507)</f>
        <v>2507</v>
      </c>
    </row>
    <row r="379" spans="1:14" ht="13.2" x14ac:dyDescent="0.25">
      <c r="A379" s="6">
        <f ca="1">IFERROR(__xludf.DUMMYFUNCTION("""COMPUTED_VALUE"""),44268)</f>
        <v>44268</v>
      </c>
      <c r="B379" s="7">
        <f ca="1">IFERROR(__xludf.DUMMYFUNCTION("""COMPUTED_VALUE"""),8)</f>
        <v>8</v>
      </c>
      <c r="C379" s="8">
        <f ca="1">IFERROR(__xludf.DUMMYFUNCTION("""COMPUTED_VALUE"""),44268.3333333333)</f>
        <v>44268.333333333299</v>
      </c>
      <c r="D379" s="7">
        <f ca="1">IFERROR(__xludf.DUMMYFUNCTION("""COMPUTED_VALUE"""),5991)</f>
        <v>5991</v>
      </c>
      <c r="E379" s="7">
        <f ca="1">IFERROR(__xludf.DUMMYFUNCTION("""COMPUTED_VALUE"""),345202)</f>
        <v>345202</v>
      </c>
      <c r="F379" s="7">
        <f ca="1">IFERROR(__xludf.DUMMYFUNCTION("""COMPUTED_VALUE"""),4226)</f>
        <v>4226</v>
      </c>
      <c r="G379" s="7">
        <f ca="1">IFERROR(__xludf.DUMMYFUNCTION("""COMPUTED_VALUE"""),3357)</f>
        <v>3357</v>
      </c>
      <c r="H379" s="7">
        <f ca="1">IFERROR(__xludf.DUMMYFUNCTION("""COMPUTED_VALUE"""),358776)</f>
        <v>358776</v>
      </c>
      <c r="I379" s="7">
        <f ca="1">IFERROR(__xludf.DUMMYFUNCTION("""COMPUTED_VALUE"""),1034)</f>
        <v>1034</v>
      </c>
      <c r="J379" s="7">
        <f ca="1">IFERROR(__xludf.DUMMYFUNCTION("""COMPUTED_VALUE"""),7583)</f>
        <v>7583</v>
      </c>
      <c r="K379" s="7">
        <f ca="1">IFERROR(__xludf.DUMMYFUNCTION("""COMPUTED_VALUE"""),1851)</f>
        <v>1851</v>
      </c>
      <c r="L379" s="7">
        <f ca="1">IFERROR(__xludf.DUMMYFUNCTION("""COMPUTED_VALUE"""),1670)</f>
        <v>1670</v>
      </c>
      <c r="M379" s="7">
        <f ca="1">IFERROR(__xludf.DUMMYFUNCTION("""COMPUTED_VALUE"""),5243)</f>
        <v>5243</v>
      </c>
      <c r="N379" s="7">
        <f ca="1">IFERROR(__xludf.DUMMYFUNCTION("""COMPUTED_VALUE"""),670)</f>
        <v>670</v>
      </c>
    </row>
    <row r="380" spans="1:14" ht="13.2" x14ac:dyDescent="0.25">
      <c r="A380" s="6">
        <f ca="1">IFERROR(__xludf.DUMMYFUNCTION("""COMPUTED_VALUE"""),44269)</f>
        <v>44269</v>
      </c>
      <c r="B380" s="7">
        <f ca="1">IFERROR(__xludf.DUMMYFUNCTION("""COMPUTED_VALUE"""),8)</f>
        <v>8</v>
      </c>
      <c r="C380" s="8">
        <f ca="1">IFERROR(__xludf.DUMMYFUNCTION("""COMPUTED_VALUE"""),44269.3333333333)</f>
        <v>44269.333333333299</v>
      </c>
      <c r="D380" s="7">
        <f ca="1">IFERROR(__xludf.DUMMYFUNCTION("""COMPUTED_VALUE"""),6026)</f>
        <v>6026</v>
      </c>
      <c r="E380" s="7">
        <f ca="1">IFERROR(__xludf.DUMMYFUNCTION("""COMPUTED_VALUE"""),347210)</f>
        <v>347210</v>
      </c>
      <c r="F380" s="7">
        <f ca="1">IFERROR(__xludf.DUMMYFUNCTION("""COMPUTED_VALUE"""),3443)</f>
        <v>3443</v>
      </c>
      <c r="G380" s="7">
        <f ca="1">IFERROR(__xludf.DUMMYFUNCTION("""COMPUTED_VALUE"""),3301)</f>
        <v>3301</v>
      </c>
      <c r="H380" s="7">
        <f ca="1">IFERROR(__xludf.DUMMYFUNCTION("""COMPUTED_VALUE"""),359980)</f>
        <v>359980</v>
      </c>
      <c r="I380" s="7">
        <f ca="1">IFERROR(__xludf.DUMMYFUNCTION("""COMPUTED_VALUE"""),1204)</f>
        <v>1204</v>
      </c>
      <c r="J380" s="7">
        <f ca="1">IFERROR(__xludf.DUMMYFUNCTION("""COMPUTED_VALUE"""),6744)</f>
        <v>6744</v>
      </c>
      <c r="K380" s="7">
        <f ca="1">IFERROR(__xludf.DUMMYFUNCTION("""COMPUTED_VALUE"""),2008)</f>
        <v>2008</v>
      </c>
      <c r="L380" s="7">
        <f ca="1">IFERROR(__xludf.DUMMYFUNCTION("""COMPUTED_VALUE"""),1195)</f>
        <v>1195</v>
      </c>
      <c r="M380" s="7">
        <f ca="1">IFERROR(__xludf.DUMMYFUNCTION("""COMPUTED_VALUE"""),4071)</f>
        <v>4071</v>
      </c>
      <c r="N380" s="7">
        <f ca="1">IFERROR(__xludf.DUMMYFUNCTION("""COMPUTED_VALUE"""),1478)</f>
        <v>1478</v>
      </c>
    </row>
    <row r="381" spans="1:14" ht="13.2" x14ac:dyDescent="0.25">
      <c r="A381" s="6">
        <f ca="1">IFERROR(__xludf.DUMMYFUNCTION("""COMPUTED_VALUE"""),44270)</f>
        <v>44270</v>
      </c>
      <c r="B381" s="7">
        <f ca="1">IFERROR(__xludf.DUMMYFUNCTION("""COMPUTED_VALUE"""),8)</f>
        <v>8</v>
      </c>
      <c r="C381" s="8">
        <f ca="1">IFERROR(__xludf.DUMMYFUNCTION("""COMPUTED_VALUE"""),44270.3333333333)</f>
        <v>44270.333333333299</v>
      </c>
      <c r="D381" s="7">
        <f ca="1">IFERROR(__xludf.DUMMYFUNCTION("""COMPUTED_VALUE"""),6038)</f>
        <v>6038</v>
      </c>
      <c r="E381" s="7">
        <f ca="1">IFERROR(__xludf.DUMMYFUNCTION("""COMPUTED_VALUE"""),349002)</f>
        <v>349002</v>
      </c>
      <c r="F381" s="7">
        <f ca="1">IFERROR(__xludf.DUMMYFUNCTION("""COMPUTED_VALUE"""),3485)</f>
        <v>3485</v>
      </c>
      <c r="G381" s="7">
        <f ca="1">IFERROR(__xludf.DUMMYFUNCTION("""COMPUTED_VALUE"""),3010)</f>
        <v>3010</v>
      </c>
      <c r="H381" s="7">
        <f ca="1">IFERROR(__xludf.DUMMYFUNCTION("""COMPUTED_VALUE"""),361535)</f>
        <v>361535</v>
      </c>
      <c r="I381" s="7">
        <f ca="1">IFERROR(__xludf.DUMMYFUNCTION("""COMPUTED_VALUE"""),1555)</f>
        <v>1555</v>
      </c>
      <c r="J381" s="7">
        <f ca="1">IFERROR(__xludf.DUMMYFUNCTION("""COMPUTED_VALUE"""),6495)</f>
        <v>6495</v>
      </c>
      <c r="K381" s="7">
        <f ca="1">IFERROR(__xludf.DUMMYFUNCTION("""COMPUTED_VALUE"""),1792)</f>
        <v>1792</v>
      </c>
      <c r="L381" s="7">
        <f ca="1">IFERROR(__xludf.DUMMYFUNCTION("""COMPUTED_VALUE"""),1272)</f>
        <v>1272</v>
      </c>
      <c r="M381" s="7">
        <f ca="1">IFERROR(__xludf.DUMMYFUNCTION("""COMPUTED_VALUE"""),4142)</f>
        <v>4142</v>
      </c>
      <c r="N381" s="7">
        <f ca="1">IFERROR(__xludf.DUMMYFUNCTION("""COMPUTED_VALUE"""),1081)</f>
        <v>1081</v>
      </c>
    </row>
    <row r="382" spans="1:14" ht="13.2" x14ac:dyDescent="0.25">
      <c r="A382" s="6">
        <f ca="1">IFERROR(__xludf.DUMMYFUNCTION("""COMPUTED_VALUE"""),44271)</f>
        <v>44271</v>
      </c>
      <c r="B382" s="7">
        <f ca="1">IFERROR(__xludf.DUMMYFUNCTION("""COMPUTED_VALUE"""),8)</f>
        <v>8</v>
      </c>
      <c r="C382" s="8">
        <f ca="1">IFERROR(__xludf.DUMMYFUNCTION("""COMPUTED_VALUE"""),44271.3333333333)</f>
        <v>44271.333333333299</v>
      </c>
      <c r="D382" s="7">
        <f ca="1">IFERROR(__xludf.DUMMYFUNCTION("""COMPUTED_VALUE"""),6062)</f>
        <v>6062</v>
      </c>
      <c r="E382" s="7">
        <f ca="1">IFERROR(__xludf.DUMMYFUNCTION("""COMPUTED_VALUE"""),350561)</f>
        <v>350561</v>
      </c>
      <c r="F382" s="7">
        <f ca="1">IFERROR(__xludf.DUMMYFUNCTION("""COMPUTED_VALUE"""),2996)</f>
        <v>2996</v>
      </c>
      <c r="G382" s="7">
        <f ca="1">IFERROR(__xludf.DUMMYFUNCTION("""COMPUTED_VALUE"""),2751)</f>
        <v>2751</v>
      </c>
      <c r="H382" s="7">
        <f ca="1">IFERROR(__xludf.DUMMYFUNCTION("""COMPUTED_VALUE"""),362370)</f>
        <v>362370</v>
      </c>
      <c r="I382" s="7">
        <f ca="1">IFERROR(__xludf.DUMMYFUNCTION("""COMPUTED_VALUE"""),835)</f>
        <v>835</v>
      </c>
      <c r="J382" s="7">
        <f ca="1">IFERROR(__xludf.DUMMYFUNCTION("""COMPUTED_VALUE"""),5747)</f>
        <v>5747</v>
      </c>
      <c r="K382" s="7">
        <f ca="1">IFERROR(__xludf.DUMMYFUNCTION("""COMPUTED_VALUE"""),1559)</f>
        <v>1559</v>
      </c>
      <c r="L382" s="7">
        <f ca="1">IFERROR(__xludf.DUMMYFUNCTION("""COMPUTED_VALUE"""),832)</f>
        <v>832</v>
      </c>
      <c r="M382" s="7">
        <f ca="1">IFERROR(__xludf.DUMMYFUNCTION("""COMPUTED_VALUE"""),3301)</f>
        <v>3301</v>
      </c>
      <c r="N382" s="7">
        <f ca="1">IFERROR(__xludf.DUMMYFUNCTION("""COMPUTED_VALUE"""),1614)</f>
        <v>1614</v>
      </c>
    </row>
    <row r="383" spans="1:14" ht="13.2" x14ac:dyDescent="0.25">
      <c r="A383" s="6">
        <f ca="1">IFERROR(__xludf.DUMMYFUNCTION("""COMPUTED_VALUE"""),44272)</f>
        <v>44272</v>
      </c>
      <c r="B383" s="7">
        <f ca="1">IFERROR(__xludf.DUMMYFUNCTION("""COMPUTED_VALUE"""),8)</f>
        <v>8</v>
      </c>
      <c r="C383" s="8">
        <f ca="1">IFERROR(__xludf.DUMMYFUNCTION("""COMPUTED_VALUE"""),44272.3333333333)</f>
        <v>44272.333333333299</v>
      </c>
      <c r="D383" s="7">
        <f ca="1">IFERROR(__xludf.DUMMYFUNCTION("""COMPUTED_VALUE"""),6077)</f>
        <v>6077</v>
      </c>
      <c r="E383" s="7">
        <f ca="1">IFERROR(__xludf.DUMMYFUNCTION("""COMPUTED_VALUE"""),351680)</f>
        <v>351680</v>
      </c>
      <c r="F383" s="7">
        <f ca="1">IFERROR(__xludf.DUMMYFUNCTION("""COMPUTED_VALUE"""),2907)</f>
        <v>2907</v>
      </c>
      <c r="G383" s="7">
        <f ca="1">IFERROR(__xludf.DUMMYFUNCTION("""COMPUTED_VALUE"""),3036)</f>
        <v>3036</v>
      </c>
      <c r="H383" s="7">
        <f ca="1">IFERROR(__xludf.DUMMYFUNCTION("""COMPUTED_VALUE"""),363700)</f>
        <v>363700</v>
      </c>
      <c r="I383" s="7">
        <f ca="1">IFERROR(__xludf.DUMMYFUNCTION("""COMPUTED_VALUE"""),1330)</f>
        <v>1330</v>
      </c>
      <c r="J383" s="7">
        <f ca="1">IFERROR(__xludf.DUMMYFUNCTION("""COMPUTED_VALUE"""),5943)</f>
        <v>5943</v>
      </c>
      <c r="K383" s="7">
        <f ca="1">IFERROR(__xludf.DUMMYFUNCTION("""COMPUTED_VALUE"""),1119)</f>
        <v>1119</v>
      </c>
      <c r="L383" s="7">
        <f ca="1">IFERROR(__xludf.DUMMYFUNCTION("""COMPUTED_VALUE"""),573)</f>
        <v>573</v>
      </c>
      <c r="M383" s="7">
        <f ca="1">IFERROR(__xludf.DUMMYFUNCTION("""COMPUTED_VALUE"""),2972)</f>
        <v>2972</v>
      </c>
      <c r="N383" s="7">
        <f ca="1">IFERROR(__xludf.DUMMYFUNCTION("""COMPUTED_VALUE"""),2398)</f>
        <v>2398</v>
      </c>
    </row>
    <row r="384" spans="1:14" ht="13.2" x14ac:dyDescent="0.25">
      <c r="A384" s="6">
        <f ca="1">IFERROR(__xludf.DUMMYFUNCTION("""COMPUTED_VALUE"""),44273)</f>
        <v>44273</v>
      </c>
      <c r="B384" s="7">
        <f ca="1">IFERROR(__xludf.DUMMYFUNCTION("""COMPUTED_VALUE"""),8)</f>
        <v>8</v>
      </c>
      <c r="C384" s="8">
        <f ca="1">IFERROR(__xludf.DUMMYFUNCTION("""COMPUTED_VALUE"""),44273.3333333333)</f>
        <v>44273.333333333299</v>
      </c>
      <c r="D384" s="7">
        <f ca="1">IFERROR(__xludf.DUMMYFUNCTION("""COMPUTED_VALUE"""),6100)</f>
        <v>6100</v>
      </c>
      <c r="E384" s="7">
        <f ca="1">IFERROR(__xludf.DUMMYFUNCTION("""COMPUTED_VALUE"""),352827)</f>
        <v>352827</v>
      </c>
      <c r="F384" s="7">
        <f ca="1">IFERROR(__xludf.DUMMYFUNCTION("""COMPUTED_VALUE"""),3273)</f>
        <v>3273</v>
      </c>
      <c r="G384" s="7">
        <f ca="1">IFERROR(__xludf.DUMMYFUNCTION("""COMPUTED_VALUE"""),3219)</f>
        <v>3219</v>
      </c>
      <c r="H384" s="7">
        <f ca="1">IFERROR(__xludf.DUMMYFUNCTION("""COMPUTED_VALUE"""),365419)</f>
        <v>365419</v>
      </c>
      <c r="I384" s="7">
        <f ca="1">IFERROR(__xludf.DUMMYFUNCTION("""COMPUTED_VALUE"""),1719)</f>
        <v>1719</v>
      </c>
      <c r="J384" s="7">
        <f ca="1">IFERROR(__xludf.DUMMYFUNCTION("""COMPUTED_VALUE"""),6492)</f>
        <v>6492</v>
      </c>
      <c r="K384" s="7">
        <f ca="1">IFERROR(__xludf.DUMMYFUNCTION("""COMPUTED_VALUE"""),1147)</f>
        <v>1147</v>
      </c>
      <c r="L384" s="7">
        <f ca="1">IFERROR(__xludf.DUMMYFUNCTION("""COMPUTED_VALUE"""),246)</f>
        <v>246</v>
      </c>
      <c r="M384" s="7">
        <f ca="1">IFERROR(__xludf.DUMMYFUNCTION("""COMPUTED_VALUE"""),2705)</f>
        <v>2705</v>
      </c>
      <c r="N384" s="7">
        <f ca="1">IFERROR(__xludf.DUMMYFUNCTION("""COMPUTED_VALUE"""),3541)</f>
        <v>3541</v>
      </c>
    </row>
    <row r="385" spans="1:14" ht="13.2" x14ac:dyDescent="0.25">
      <c r="A385" s="6">
        <f ca="1">IFERROR(__xludf.DUMMYFUNCTION("""COMPUTED_VALUE"""),44274)</f>
        <v>44274</v>
      </c>
      <c r="B385" s="7">
        <f ca="1">IFERROR(__xludf.DUMMYFUNCTION("""COMPUTED_VALUE"""),8)</f>
        <v>8</v>
      </c>
      <c r="C385" s="8">
        <f ca="1">IFERROR(__xludf.DUMMYFUNCTION("""COMPUTED_VALUE"""),44274.3333333333)</f>
        <v>44274.333333333299</v>
      </c>
      <c r="D385" s="7">
        <f ca="1">IFERROR(__xludf.DUMMYFUNCTION("""COMPUTED_VALUE"""),6120)</f>
        <v>6120</v>
      </c>
      <c r="E385" s="7">
        <f ca="1">IFERROR(__xludf.DUMMYFUNCTION("""COMPUTED_VALUE"""),354036)</f>
        <v>354036</v>
      </c>
      <c r="F385" s="7">
        <f ca="1">IFERROR(__xludf.DUMMYFUNCTION("""COMPUTED_VALUE"""),3483)</f>
        <v>3483</v>
      </c>
      <c r="G385" s="7">
        <f ca="1">IFERROR(__xludf.DUMMYFUNCTION("""COMPUTED_VALUE"""),3368)</f>
        <v>3368</v>
      </c>
      <c r="H385" s="7">
        <f ca="1">IFERROR(__xludf.DUMMYFUNCTION("""COMPUTED_VALUE"""),367007)</f>
        <v>367007</v>
      </c>
      <c r="I385" s="7">
        <f ca="1">IFERROR(__xludf.DUMMYFUNCTION("""COMPUTED_VALUE"""),1588)</f>
        <v>1588</v>
      </c>
      <c r="J385" s="7">
        <f ca="1">IFERROR(__xludf.DUMMYFUNCTION("""COMPUTED_VALUE"""),6851)</f>
        <v>6851</v>
      </c>
      <c r="K385" s="7">
        <f ca="1">IFERROR(__xludf.DUMMYFUNCTION("""COMPUTED_VALUE"""),1209)</f>
        <v>1209</v>
      </c>
      <c r="L385" s="7">
        <f ca="1">IFERROR(__xludf.DUMMYFUNCTION("""COMPUTED_VALUE"""),1150)</f>
        <v>1150</v>
      </c>
      <c r="M385" s="7">
        <f ca="1">IFERROR(__xludf.DUMMYFUNCTION("""COMPUTED_VALUE"""),4749)</f>
        <v>4749</v>
      </c>
      <c r="N385" s="7">
        <f ca="1">IFERROR(__xludf.DUMMYFUNCTION("""COMPUTED_VALUE"""),952)</f>
        <v>952</v>
      </c>
    </row>
    <row r="386" spans="1:14" ht="13.2" x14ac:dyDescent="0.25">
      <c r="A386" s="6">
        <f ca="1">IFERROR(__xludf.DUMMYFUNCTION("""COMPUTED_VALUE"""),44275)</f>
        <v>44275</v>
      </c>
      <c r="B386" s="7">
        <f ca="1">IFERROR(__xludf.DUMMYFUNCTION("""COMPUTED_VALUE"""),8)</f>
        <v>8</v>
      </c>
      <c r="C386" s="8">
        <f ca="1">IFERROR(__xludf.DUMMYFUNCTION("""COMPUTED_VALUE"""),44275.3333333333)</f>
        <v>44275.333333333299</v>
      </c>
      <c r="D386" s="7">
        <f ca="1">IFERROR(__xludf.DUMMYFUNCTION("""COMPUTED_VALUE"""),6143)</f>
        <v>6143</v>
      </c>
      <c r="E386" s="7">
        <f ca="1">IFERROR(__xludf.DUMMYFUNCTION("""COMPUTED_VALUE"""),355221)</f>
        <v>355221</v>
      </c>
      <c r="F386" s="7">
        <f ca="1">IFERROR(__xludf.DUMMYFUNCTION("""COMPUTED_VALUE"""),3894)</f>
        <v>3894</v>
      </c>
      <c r="G386" s="7">
        <f ca="1">IFERROR(__xludf.DUMMYFUNCTION("""COMPUTED_VALUE"""),3686)</f>
        <v>3686</v>
      </c>
      <c r="H386" s="7">
        <f ca="1">IFERROR(__xludf.DUMMYFUNCTION("""COMPUTED_VALUE"""),368944)</f>
        <v>368944</v>
      </c>
      <c r="I386" s="7">
        <f ca="1">IFERROR(__xludf.DUMMYFUNCTION("""COMPUTED_VALUE"""),1937)</f>
        <v>1937</v>
      </c>
      <c r="J386" s="7">
        <f ca="1">IFERROR(__xludf.DUMMYFUNCTION("""COMPUTED_VALUE"""),7580)</f>
        <v>7580</v>
      </c>
      <c r="K386" s="7">
        <f ca="1">IFERROR(__xludf.DUMMYFUNCTION("""COMPUTED_VALUE"""),1185)</f>
        <v>1185</v>
      </c>
      <c r="L386" s="7">
        <f ca="1">IFERROR(__xludf.DUMMYFUNCTION("""COMPUTED_VALUE"""),831)</f>
        <v>831</v>
      </c>
      <c r="M386" s="7">
        <f ca="1">IFERROR(__xludf.DUMMYFUNCTION("""COMPUTED_VALUE"""),4635)</f>
        <v>4635</v>
      </c>
      <c r="N386" s="7">
        <f ca="1">IFERROR(__xludf.DUMMYFUNCTION("""COMPUTED_VALUE"""),2114)</f>
        <v>2114</v>
      </c>
    </row>
    <row r="387" spans="1:14" ht="13.2" x14ac:dyDescent="0.25">
      <c r="A387" s="6">
        <f ca="1">IFERROR(__xludf.DUMMYFUNCTION("""COMPUTED_VALUE"""),44276)</f>
        <v>44276</v>
      </c>
      <c r="B387" s="7">
        <f ca="1">IFERROR(__xludf.DUMMYFUNCTION("""COMPUTED_VALUE"""),8)</f>
        <v>8</v>
      </c>
      <c r="C387" s="8">
        <f ca="1">IFERROR(__xludf.DUMMYFUNCTION("""COMPUTED_VALUE"""),44276.3333333333)</f>
        <v>44276.333333333299</v>
      </c>
      <c r="D387" s="7">
        <f ca="1">IFERROR(__xludf.DUMMYFUNCTION("""COMPUTED_VALUE"""),6160)</f>
        <v>6160</v>
      </c>
      <c r="E387" s="7">
        <f ca="1">IFERROR(__xludf.DUMMYFUNCTION("""COMPUTED_VALUE"""),357100)</f>
        <v>357100</v>
      </c>
      <c r="F387" s="7">
        <f ca="1">IFERROR(__xludf.DUMMYFUNCTION("""COMPUTED_VALUE"""),3859)</f>
        <v>3859</v>
      </c>
      <c r="G387" s="7">
        <f ca="1">IFERROR(__xludf.DUMMYFUNCTION("""COMPUTED_VALUE"""),3463)</f>
        <v>3463</v>
      </c>
      <c r="H387" s="7">
        <f ca="1">IFERROR(__xludf.DUMMYFUNCTION("""COMPUTED_VALUE"""),370582)</f>
        <v>370582</v>
      </c>
      <c r="I387" s="7">
        <f ca="1">IFERROR(__xludf.DUMMYFUNCTION("""COMPUTED_VALUE"""),1638)</f>
        <v>1638</v>
      </c>
      <c r="J387" s="7">
        <f ca="1">IFERROR(__xludf.DUMMYFUNCTION("""COMPUTED_VALUE"""),7322)</f>
        <v>7322</v>
      </c>
      <c r="K387" s="7">
        <f ca="1">IFERROR(__xludf.DUMMYFUNCTION("""COMPUTED_VALUE"""),1879)</f>
        <v>1879</v>
      </c>
      <c r="L387" s="7">
        <f ca="1">IFERROR(__xludf.DUMMYFUNCTION("""COMPUTED_VALUE"""),551)</f>
        <v>551</v>
      </c>
      <c r="M387" s="7">
        <f ca="1">IFERROR(__xludf.DUMMYFUNCTION("""COMPUTED_VALUE"""),3608)</f>
        <v>3608</v>
      </c>
      <c r="N387" s="7">
        <f ca="1">IFERROR(__xludf.DUMMYFUNCTION("""COMPUTED_VALUE"""),3163)</f>
        <v>3163</v>
      </c>
    </row>
    <row r="388" spans="1:14" ht="13.2" x14ac:dyDescent="0.25">
      <c r="A388" s="6">
        <f ca="1">IFERROR(__xludf.DUMMYFUNCTION("""COMPUTED_VALUE"""),44277)</f>
        <v>44277</v>
      </c>
      <c r="B388" s="7">
        <f ca="1">IFERROR(__xludf.DUMMYFUNCTION("""COMPUTED_VALUE"""),8)</f>
        <v>8</v>
      </c>
      <c r="C388" s="8">
        <f ca="1">IFERROR(__xludf.DUMMYFUNCTION("""COMPUTED_VALUE"""),44277.3333333333)</f>
        <v>44277.333333333299</v>
      </c>
      <c r="D388" s="7">
        <f ca="1">IFERROR(__xludf.DUMMYFUNCTION("""COMPUTED_VALUE"""),6179)</f>
        <v>6179</v>
      </c>
      <c r="E388" s="7">
        <f ca="1">IFERROR(__xludf.DUMMYFUNCTION("""COMPUTED_VALUE"""),358826)</f>
        <v>358826</v>
      </c>
      <c r="F388" s="7">
        <f ca="1">IFERROR(__xludf.DUMMYFUNCTION("""COMPUTED_VALUE"""),3775)</f>
        <v>3775</v>
      </c>
      <c r="G388" s="7">
        <f ca="1">IFERROR(__xludf.DUMMYFUNCTION("""COMPUTED_VALUE"""),3276)</f>
        <v>3276</v>
      </c>
      <c r="H388" s="7">
        <f ca="1">IFERROR(__xludf.DUMMYFUNCTION("""COMPUTED_VALUE"""),372056)</f>
        <v>372056</v>
      </c>
      <c r="I388" s="7">
        <f ca="1">IFERROR(__xludf.DUMMYFUNCTION("""COMPUTED_VALUE"""),1474)</f>
        <v>1474</v>
      </c>
      <c r="J388" s="7">
        <f ca="1">IFERROR(__xludf.DUMMYFUNCTION("""COMPUTED_VALUE"""),7051)</f>
        <v>7051</v>
      </c>
      <c r="K388" s="7">
        <f ca="1">IFERROR(__xludf.DUMMYFUNCTION("""COMPUTED_VALUE"""),1726)</f>
        <v>1726</v>
      </c>
      <c r="L388" s="7">
        <f ca="1">IFERROR(__xludf.DUMMYFUNCTION("""COMPUTED_VALUE"""),1404)</f>
        <v>1404</v>
      </c>
      <c r="M388" s="7">
        <f ca="1">IFERROR(__xludf.DUMMYFUNCTION("""COMPUTED_VALUE"""),4804)</f>
        <v>4804</v>
      </c>
      <c r="N388" s="7">
        <f ca="1">IFERROR(__xludf.DUMMYFUNCTION("""COMPUTED_VALUE"""),843)</f>
        <v>843</v>
      </c>
    </row>
    <row r="389" spans="1:14" ht="13.2" x14ac:dyDescent="0.25">
      <c r="A389" s="6">
        <f ca="1">IFERROR(__xludf.DUMMYFUNCTION("""COMPUTED_VALUE"""),44278)</f>
        <v>44278</v>
      </c>
      <c r="B389" s="7">
        <f ca="1">IFERROR(__xludf.DUMMYFUNCTION("""COMPUTED_VALUE"""),8)</f>
        <v>8</v>
      </c>
      <c r="C389" s="8">
        <f ca="1">IFERROR(__xludf.DUMMYFUNCTION("""COMPUTED_VALUE"""),44278.3333333333)</f>
        <v>44278.333333333299</v>
      </c>
      <c r="D389" s="7">
        <f ca="1">IFERROR(__xludf.DUMMYFUNCTION("""COMPUTED_VALUE"""),6206)</f>
        <v>6206</v>
      </c>
      <c r="E389" s="7">
        <f ca="1">IFERROR(__xludf.DUMMYFUNCTION("""COMPUTED_VALUE"""),360479)</f>
        <v>360479</v>
      </c>
      <c r="F389" s="7">
        <f ca="1">IFERROR(__xludf.DUMMYFUNCTION("""COMPUTED_VALUE"""),3107)</f>
        <v>3107</v>
      </c>
      <c r="G389" s="7">
        <f ca="1">IFERROR(__xludf.DUMMYFUNCTION("""COMPUTED_VALUE"""),3079)</f>
        <v>3079</v>
      </c>
      <c r="H389" s="7">
        <f ca="1">IFERROR(__xludf.DUMMYFUNCTION("""COMPUTED_VALUE"""),372871)</f>
        <v>372871</v>
      </c>
      <c r="I389" s="7">
        <f ca="1">IFERROR(__xludf.DUMMYFUNCTION("""COMPUTED_VALUE"""),815)</f>
        <v>815</v>
      </c>
      <c r="J389" s="7">
        <f ca="1">IFERROR(__xludf.DUMMYFUNCTION("""COMPUTED_VALUE"""),6186)</f>
        <v>6186</v>
      </c>
      <c r="K389" s="7">
        <f ca="1">IFERROR(__xludf.DUMMYFUNCTION("""COMPUTED_VALUE"""),1653)</f>
        <v>1653</v>
      </c>
      <c r="L389" s="7">
        <f ca="1">IFERROR(__xludf.DUMMYFUNCTION("""COMPUTED_VALUE"""),934)</f>
        <v>934</v>
      </c>
      <c r="M389" s="7">
        <f ca="1">IFERROR(__xludf.DUMMYFUNCTION("""COMPUTED_VALUE"""),3766)</f>
        <v>3766</v>
      </c>
      <c r="N389" s="7">
        <f ca="1">IFERROR(__xludf.DUMMYFUNCTION("""COMPUTED_VALUE"""),1486)</f>
        <v>1486</v>
      </c>
    </row>
    <row r="390" spans="1:14" ht="13.2" x14ac:dyDescent="0.25">
      <c r="A390" s="6">
        <f ca="1">IFERROR(__xludf.DUMMYFUNCTION("""COMPUTED_VALUE"""),44279)</f>
        <v>44279</v>
      </c>
      <c r="B390" s="7">
        <f ca="1">IFERROR(__xludf.DUMMYFUNCTION("""COMPUTED_VALUE"""),8)</f>
        <v>8</v>
      </c>
      <c r="C390" s="8">
        <f ca="1">IFERROR(__xludf.DUMMYFUNCTION("""COMPUTED_VALUE"""),44279.3333333333)</f>
        <v>44279.333333333299</v>
      </c>
      <c r="D390" s="7">
        <f ca="1">IFERROR(__xludf.DUMMYFUNCTION("""COMPUTED_VALUE"""),6224)</f>
        <v>6224</v>
      </c>
      <c r="E390" s="7">
        <f ca="1">IFERROR(__xludf.DUMMYFUNCTION("""COMPUTED_VALUE"""),362248)</f>
        <v>362248</v>
      </c>
      <c r="F390" s="7">
        <f ca="1">IFERROR(__xludf.DUMMYFUNCTION("""COMPUTED_VALUE"""),2650)</f>
        <v>2650</v>
      </c>
      <c r="G390" s="7">
        <f ca="1">IFERROR(__xludf.DUMMYFUNCTION("""COMPUTED_VALUE"""),2639)</f>
        <v>2639</v>
      </c>
      <c r="H390" s="7">
        <f ca="1">IFERROR(__xludf.DUMMYFUNCTION("""COMPUTED_VALUE"""),373761)</f>
        <v>373761</v>
      </c>
      <c r="I390" s="7">
        <f ca="1">IFERROR(__xludf.DUMMYFUNCTION("""COMPUTED_VALUE"""),890)</f>
        <v>890</v>
      </c>
      <c r="J390" s="7">
        <f ca="1">IFERROR(__xludf.DUMMYFUNCTION("""COMPUTED_VALUE"""),5289)</f>
        <v>5289</v>
      </c>
      <c r="K390" s="7">
        <f ca="1">IFERROR(__xludf.DUMMYFUNCTION("""COMPUTED_VALUE"""),1769)</f>
        <v>1769</v>
      </c>
      <c r="L390" s="7">
        <f ca="1">IFERROR(__xludf.DUMMYFUNCTION("""COMPUTED_VALUE"""),595)</f>
        <v>595</v>
      </c>
      <c r="M390" s="7">
        <f ca="1">IFERROR(__xludf.DUMMYFUNCTION("""COMPUTED_VALUE"""),2663)</f>
        <v>2663</v>
      </c>
      <c r="N390" s="7">
        <f ca="1">IFERROR(__xludf.DUMMYFUNCTION("""COMPUTED_VALUE"""),2031)</f>
        <v>2031</v>
      </c>
    </row>
    <row r="391" spans="1:14" ht="13.2" x14ac:dyDescent="0.25">
      <c r="A391" s="6">
        <f ca="1">IFERROR(__xludf.DUMMYFUNCTION("""COMPUTED_VALUE"""),44280)</f>
        <v>44280</v>
      </c>
      <c r="B391" s="7">
        <f ca="1">IFERROR(__xludf.DUMMYFUNCTION("""COMPUTED_VALUE"""),8)</f>
        <v>8</v>
      </c>
      <c r="C391" s="8">
        <f ca="1">IFERROR(__xludf.DUMMYFUNCTION("""COMPUTED_VALUE"""),44280.3333333333)</f>
        <v>44280.333333333299</v>
      </c>
      <c r="D391" s="7">
        <f ca="1">IFERROR(__xludf.DUMMYFUNCTION("""COMPUTED_VALUE"""),6241)</f>
        <v>6241</v>
      </c>
      <c r="E391" s="7">
        <f ca="1">IFERROR(__xludf.DUMMYFUNCTION("""COMPUTED_VALUE"""),362975)</f>
        <v>362975</v>
      </c>
      <c r="F391" s="7">
        <f ca="1">IFERROR(__xludf.DUMMYFUNCTION("""COMPUTED_VALUE"""),3222)</f>
        <v>3222</v>
      </c>
      <c r="G391" s="7">
        <f ca="1">IFERROR(__xludf.DUMMYFUNCTION("""COMPUTED_VALUE"""),3049)</f>
        <v>3049</v>
      </c>
      <c r="H391" s="7">
        <f ca="1">IFERROR(__xludf.DUMMYFUNCTION("""COMPUTED_VALUE"""),375487)</f>
        <v>375487</v>
      </c>
      <c r="I391" s="7">
        <f ca="1">IFERROR(__xludf.DUMMYFUNCTION("""COMPUTED_VALUE"""),1726)</f>
        <v>1726</v>
      </c>
      <c r="J391" s="7">
        <f ca="1">IFERROR(__xludf.DUMMYFUNCTION("""COMPUTED_VALUE"""),6271)</f>
        <v>6271</v>
      </c>
      <c r="K391" s="7">
        <f ca="1">IFERROR(__xludf.DUMMYFUNCTION("""COMPUTED_VALUE"""),727)</f>
        <v>727</v>
      </c>
      <c r="L391" s="7">
        <f ca="1">IFERROR(__xludf.DUMMYFUNCTION("""COMPUTED_VALUE"""),536)</f>
        <v>536</v>
      </c>
      <c r="M391" s="7">
        <f ca="1">IFERROR(__xludf.DUMMYFUNCTION("""COMPUTED_VALUE"""),2664)</f>
        <v>2664</v>
      </c>
      <c r="N391" s="7">
        <f ca="1">IFERROR(__xludf.DUMMYFUNCTION("""COMPUTED_VALUE"""),3071)</f>
        <v>3071</v>
      </c>
    </row>
    <row r="392" spans="1:14" ht="13.2" x14ac:dyDescent="0.25">
      <c r="A392" s="6">
        <f ca="1">IFERROR(__xludf.DUMMYFUNCTION("""COMPUTED_VALUE"""),44281)</f>
        <v>44281</v>
      </c>
      <c r="B392" s="7">
        <f ca="1">IFERROR(__xludf.DUMMYFUNCTION("""COMPUTED_VALUE"""),8)</f>
        <v>8</v>
      </c>
      <c r="C392" s="8">
        <f ca="1">IFERROR(__xludf.DUMMYFUNCTION("""COMPUTED_VALUE"""),44281.3333333333)</f>
        <v>44281.333333333299</v>
      </c>
      <c r="D392" s="7">
        <f ca="1">IFERROR(__xludf.DUMMYFUNCTION("""COMPUTED_VALUE"""),6260)</f>
        <v>6260</v>
      </c>
      <c r="E392" s="7">
        <f ca="1">IFERROR(__xludf.DUMMYFUNCTION("""COMPUTED_VALUE"""),363599)</f>
        <v>363599</v>
      </c>
      <c r="F392" s="7">
        <f ca="1">IFERROR(__xludf.DUMMYFUNCTION("""COMPUTED_VALUE"""),3629)</f>
        <v>3629</v>
      </c>
      <c r="G392" s="7">
        <f ca="1">IFERROR(__xludf.DUMMYFUNCTION("""COMPUTED_VALUE"""),3380)</f>
        <v>3380</v>
      </c>
      <c r="H392" s="7">
        <f ca="1">IFERROR(__xludf.DUMMYFUNCTION("""COMPUTED_VALUE"""),376868)</f>
        <v>376868</v>
      </c>
      <c r="I392" s="7">
        <f ca="1">IFERROR(__xludf.DUMMYFUNCTION("""COMPUTED_VALUE"""),1381)</f>
        <v>1381</v>
      </c>
      <c r="J392" s="7">
        <f ca="1">IFERROR(__xludf.DUMMYFUNCTION("""COMPUTED_VALUE"""),7009)</f>
        <v>7009</v>
      </c>
      <c r="K392" s="7">
        <f ca="1">IFERROR(__xludf.DUMMYFUNCTION("""COMPUTED_VALUE"""),624)</f>
        <v>624</v>
      </c>
      <c r="L392" s="7">
        <f ca="1">IFERROR(__xludf.DUMMYFUNCTION("""COMPUTED_VALUE"""),1476)</f>
        <v>1476</v>
      </c>
      <c r="M392" s="7">
        <f ca="1">IFERROR(__xludf.DUMMYFUNCTION("""COMPUTED_VALUE"""),4650)</f>
        <v>4650</v>
      </c>
      <c r="N392" s="7">
        <f ca="1">IFERROR(__xludf.DUMMYFUNCTION("""COMPUTED_VALUE"""),883)</f>
        <v>883</v>
      </c>
    </row>
    <row r="393" spans="1:14" ht="13.2" x14ac:dyDescent="0.25">
      <c r="A393" s="6">
        <f ca="1">IFERROR(__xludf.DUMMYFUNCTION("""COMPUTED_VALUE"""),44282)</f>
        <v>44282</v>
      </c>
      <c r="B393" s="7">
        <f ca="1">IFERROR(__xludf.DUMMYFUNCTION("""COMPUTED_VALUE"""),8)</f>
        <v>8</v>
      </c>
      <c r="C393" s="8">
        <f ca="1">IFERROR(__xludf.DUMMYFUNCTION("""COMPUTED_VALUE"""),44282.3333333333)</f>
        <v>44282.333333333299</v>
      </c>
      <c r="D393" s="7">
        <f ca="1">IFERROR(__xludf.DUMMYFUNCTION("""COMPUTED_VALUE"""),6281)</f>
        <v>6281</v>
      </c>
      <c r="E393" s="7">
        <f ca="1">IFERROR(__xludf.DUMMYFUNCTION("""COMPUTED_VALUE"""),364251)</f>
        <v>364251</v>
      </c>
      <c r="F393" s="7">
        <f ca="1">IFERROR(__xludf.DUMMYFUNCTION("""COMPUTED_VALUE"""),3932)</f>
        <v>3932</v>
      </c>
      <c r="G393" s="7">
        <f ca="1">IFERROR(__xludf.DUMMYFUNCTION("""COMPUTED_VALUE"""),3758)</f>
        <v>3758</v>
      </c>
      <c r="H393" s="7">
        <f ca="1">IFERROR(__xludf.DUMMYFUNCTION("""COMPUTED_VALUE"""),378222)</f>
        <v>378222</v>
      </c>
      <c r="I393" s="7">
        <f ca="1">IFERROR(__xludf.DUMMYFUNCTION("""COMPUTED_VALUE"""),1354)</f>
        <v>1354</v>
      </c>
      <c r="J393" s="7">
        <f ca="1">IFERROR(__xludf.DUMMYFUNCTION("""COMPUTED_VALUE"""),7690)</f>
        <v>7690</v>
      </c>
      <c r="K393" s="7">
        <f ca="1">IFERROR(__xludf.DUMMYFUNCTION("""COMPUTED_VALUE"""),652)</f>
        <v>652</v>
      </c>
      <c r="L393" s="7">
        <f ca="1">IFERROR(__xludf.DUMMYFUNCTION("""COMPUTED_VALUE"""),1269)</f>
        <v>1269</v>
      </c>
      <c r="M393" s="7">
        <f ca="1">IFERROR(__xludf.DUMMYFUNCTION("""COMPUTED_VALUE"""),4639)</f>
        <v>4639</v>
      </c>
      <c r="N393" s="7">
        <f ca="1">IFERROR(__xludf.DUMMYFUNCTION("""COMPUTED_VALUE"""),1782)</f>
        <v>1782</v>
      </c>
    </row>
    <row r="394" spans="1:14" ht="13.2" x14ac:dyDescent="0.25">
      <c r="A394" s="6">
        <f ca="1">IFERROR(__xludf.DUMMYFUNCTION("""COMPUTED_VALUE"""),44283)</f>
        <v>44283</v>
      </c>
      <c r="B394" s="7">
        <f ca="1">IFERROR(__xludf.DUMMYFUNCTION("""COMPUTED_VALUE"""),8)</f>
        <v>8</v>
      </c>
      <c r="C394" s="8">
        <f ca="1">IFERROR(__xludf.DUMMYFUNCTION("""COMPUTED_VALUE"""),44283.3333333333)</f>
        <v>44283.333333333299</v>
      </c>
      <c r="D394" s="7">
        <f ca="1">IFERROR(__xludf.DUMMYFUNCTION("""COMPUTED_VALUE"""),6304)</f>
        <v>6304</v>
      </c>
      <c r="E394" s="7">
        <f ca="1">IFERROR(__xludf.DUMMYFUNCTION("""COMPUTED_VALUE"""),365592)</f>
        <v>365592</v>
      </c>
      <c r="F394" s="7">
        <f ca="1">IFERROR(__xludf.DUMMYFUNCTION("""COMPUTED_VALUE"""),3966)</f>
        <v>3966</v>
      </c>
      <c r="G394" s="7">
        <f ca="1">IFERROR(__xludf.DUMMYFUNCTION("""COMPUTED_VALUE"""),3830)</f>
        <v>3830</v>
      </c>
      <c r="H394" s="7">
        <f ca="1">IFERROR(__xludf.DUMMYFUNCTION("""COMPUTED_VALUE"""),379692)</f>
        <v>379692</v>
      </c>
      <c r="I394" s="7">
        <f ca="1">IFERROR(__xludf.DUMMYFUNCTION("""COMPUTED_VALUE"""),1470)</f>
        <v>1470</v>
      </c>
      <c r="J394" s="7">
        <f ca="1">IFERROR(__xludf.DUMMYFUNCTION("""COMPUTED_VALUE"""),7796)</f>
        <v>7796</v>
      </c>
      <c r="K394" s="7">
        <f ca="1">IFERROR(__xludf.DUMMYFUNCTION("""COMPUTED_VALUE"""),1341)</f>
        <v>1341</v>
      </c>
      <c r="L394" s="7">
        <f ca="1">IFERROR(__xludf.DUMMYFUNCTION("""COMPUTED_VALUE"""),906)</f>
        <v>906</v>
      </c>
      <c r="M394" s="7">
        <f ca="1">IFERROR(__xludf.DUMMYFUNCTION("""COMPUTED_VALUE"""),4259)</f>
        <v>4259</v>
      </c>
      <c r="N394" s="7">
        <f ca="1">IFERROR(__xludf.DUMMYFUNCTION("""COMPUTED_VALUE"""),2631)</f>
        <v>2631</v>
      </c>
    </row>
    <row r="395" spans="1:14" ht="13.2" x14ac:dyDescent="0.25">
      <c r="A395" s="6">
        <f ca="1">IFERROR(__xludf.DUMMYFUNCTION("""COMPUTED_VALUE"""),44284)</f>
        <v>44284</v>
      </c>
      <c r="B395" s="7">
        <f ca="1">IFERROR(__xludf.DUMMYFUNCTION("""COMPUTED_VALUE"""),8)</f>
        <v>8</v>
      </c>
      <c r="C395" s="8">
        <f ca="1">IFERROR(__xludf.DUMMYFUNCTION("""COMPUTED_VALUE"""),44284.3333333333)</f>
        <v>44284.333333333299</v>
      </c>
      <c r="D395" s="7">
        <f ca="1">IFERROR(__xludf.DUMMYFUNCTION("""COMPUTED_VALUE"""),6324)</f>
        <v>6324</v>
      </c>
      <c r="E395" s="7">
        <f ca="1">IFERROR(__xludf.DUMMYFUNCTION("""COMPUTED_VALUE"""),366615)</f>
        <v>366615</v>
      </c>
      <c r="F395" s="7">
        <f ca="1">IFERROR(__xludf.DUMMYFUNCTION("""COMPUTED_VALUE"""),4034)</f>
        <v>4034</v>
      </c>
      <c r="G395" s="7">
        <f ca="1">IFERROR(__xludf.DUMMYFUNCTION("""COMPUTED_VALUE"""),3733)</f>
        <v>3733</v>
      </c>
      <c r="H395" s="7">
        <f ca="1">IFERROR(__xludf.DUMMYFUNCTION("""COMPUTED_VALUE"""),380706)</f>
        <v>380706</v>
      </c>
      <c r="I395" s="7">
        <f ca="1">IFERROR(__xludf.DUMMYFUNCTION("""COMPUTED_VALUE"""),1014)</f>
        <v>1014</v>
      </c>
      <c r="J395" s="7">
        <f ca="1">IFERROR(__xludf.DUMMYFUNCTION("""COMPUTED_VALUE"""),7767)</f>
        <v>7767</v>
      </c>
      <c r="K395" s="7">
        <f ca="1">IFERROR(__xludf.DUMMYFUNCTION("""COMPUTED_VALUE"""),1023)</f>
        <v>1023</v>
      </c>
      <c r="L395" s="7">
        <f ca="1">IFERROR(__xludf.DUMMYFUNCTION("""COMPUTED_VALUE"""),1697)</f>
        <v>1697</v>
      </c>
      <c r="M395" s="7">
        <f ca="1">IFERROR(__xludf.DUMMYFUNCTION("""COMPUTED_VALUE"""),5326)</f>
        <v>5326</v>
      </c>
      <c r="N395" s="7">
        <f ca="1">IFERROR(__xludf.DUMMYFUNCTION("""COMPUTED_VALUE"""),744)</f>
        <v>744</v>
      </c>
    </row>
    <row r="396" spans="1:14" ht="13.2" x14ac:dyDescent="0.25">
      <c r="A396" s="6">
        <f ca="1">IFERROR(__xludf.DUMMYFUNCTION("""COMPUTED_VALUE"""),44285)</f>
        <v>44285</v>
      </c>
      <c r="B396" s="7">
        <f ca="1">IFERROR(__xludf.DUMMYFUNCTION("""COMPUTED_VALUE"""),8)</f>
        <v>8</v>
      </c>
      <c r="C396" s="8">
        <f ca="1">IFERROR(__xludf.DUMMYFUNCTION("""COMPUTED_VALUE"""),44285.3333333333)</f>
        <v>44285.333333333299</v>
      </c>
      <c r="D396" s="7">
        <f ca="1">IFERROR(__xludf.DUMMYFUNCTION("""COMPUTED_VALUE"""),6327)</f>
        <v>6327</v>
      </c>
      <c r="E396" s="7">
        <f ca="1">IFERROR(__xludf.DUMMYFUNCTION("""COMPUTED_VALUE"""),367819)</f>
        <v>367819</v>
      </c>
      <c r="F396" s="7">
        <f ca="1">IFERROR(__xludf.DUMMYFUNCTION("""COMPUTED_VALUE"""),3419)</f>
        <v>3419</v>
      </c>
      <c r="G396" s="7">
        <f ca="1">IFERROR(__xludf.DUMMYFUNCTION("""COMPUTED_VALUE"""),3525)</f>
        <v>3525</v>
      </c>
      <c r="H396" s="7">
        <f ca="1">IFERROR(__xludf.DUMMYFUNCTION("""COMPUTED_VALUE"""),381090)</f>
        <v>381090</v>
      </c>
      <c r="I396" s="7">
        <f ca="1">IFERROR(__xludf.DUMMYFUNCTION("""COMPUTED_VALUE"""),384)</f>
        <v>384</v>
      </c>
      <c r="J396" s="7">
        <f ca="1">IFERROR(__xludf.DUMMYFUNCTION("""COMPUTED_VALUE"""),6944)</f>
        <v>6944</v>
      </c>
      <c r="K396" s="7">
        <f ca="1">IFERROR(__xludf.DUMMYFUNCTION("""COMPUTED_VALUE"""),1204)</f>
        <v>1204</v>
      </c>
      <c r="L396" s="7">
        <f ca="1">IFERROR(__xludf.DUMMYFUNCTION("""COMPUTED_VALUE"""),1250)</f>
        <v>1250</v>
      </c>
      <c r="M396" s="7">
        <f ca="1">IFERROR(__xludf.DUMMYFUNCTION("""COMPUTED_VALUE"""),4576)</f>
        <v>4576</v>
      </c>
      <c r="N396" s="7">
        <f ca="1">IFERROR(__xludf.DUMMYFUNCTION("""COMPUTED_VALUE"""),1118)</f>
        <v>1118</v>
      </c>
    </row>
    <row r="397" spans="1:14" ht="13.2" x14ac:dyDescent="0.25">
      <c r="A397" s="6">
        <f ca="1">IFERROR(__xludf.DUMMYFUNCTION("""COMPUTED_VALUE"""),44286)</f>
        <v>44286</v>
      </c>
      <c r="B397" s="7">
        <f ca="1">IFERROR(__xludf.DUMMYFUNCTION("""COMPUTED_VALUE"""),8)</f>
        <v>8</v>
      </c>
      <c r="C397" s="8">
        <f ca="1">IFERROR(__xludf.DUMMYFUNCTION("""COMPUTED_VALUE"""),44286.3333333333)</f>
        <v>44286.333333333299</v>
      </c>
      <c r="D397" s="7">
        <f ca="1">IFERROR(__xludf.DUMMYFUNCTION("""COMPUTED_VALUE"""),6341)</f>
        <v>6341</v>
      </c>
      <c r="E397" s="7">
        <f ca="1">IFERROR(__xludf.DUMMYFUNCTION("""COMPUTED_VALUE"""),369007)</f>
        <v>369007</v>
      </c>
      <c r="F397" s="7">
        <f ca="1">IFERROR(__xludf.DUMMYFUNCTION("""COMPUTED_VALUE"""),3028)</f>
        <v>3028</v>
      </c>
      <c r="G397" s="7">
        <f ca="1">IFERROR(__xludf.DUMMYFUNCTION("""COMPUTED_VALUE"""),3679)</f>
        <v>3679</v>
      </c>
      <c r="H397" s="7">
        <f ca="1">IFERROR(__xludf.DUMMYFUNCTION("""COMPUTED_VALUE"""),382055)</f>
        <v>382055</v>
      </c>
      <c r="I397" s="7">
        <f ca="1">IFERROR(__xludf.DUMMYFUNCTION("""COMPUTED_VALUE"""),965)</f>
        <v>965</v>
      </c>
      <c r="J397" s="7">
        <f ca="1">IFERROR(__xludf.DUMMYFUNCTION("""COMPUTED_VALUE"""),6707)</f>
        <v>6707</v>
      </c>
      <c r="K397" s="7">
        <f ca="1">IFERROR(__xludf.DUMMYFUNCTION("""COMPUTED_VALUE"""),1188)</f>
        <v>1188</v>
      </c>
      <c r="L397" s="7">
        <f ca="1">IFERROR(__xludf.DUMMYFUNCTION("""COMPUTED_VALUE"""),1005)</f>
        <v>1005</v>
      </c>
      <c r="M397" s="7">
        <f ca="1">IFERROR(__xludf.DUMMYFUNCTION("""COMPUTED_VALUE"""),3961)</f>
        <v>3961</v>
      </c>
      <c r="N397" s="7">
        <f ca="1">IFERROR(__xludf.DUMMYFUNCTION("""COMPUTED_VALUE"""),1741)</f>
        <v>1741</v>
      </c>
    </row>
    <row r="398" spans="1:14" ht="13.2" x14ac:dyDescent="0.25">
      <c r="A398" s="6">
        <f ca="1">IFERROR(__xludf.DUMMYFUNCTION("""COMPUTED_VALUE"""),44287)</f>
        <v>44287</v>
      </c>
      <c r="B398" s="7">
        <f ca="1">IFERROR(__xludf.DUMMYFUNCTION("""COMPUTED_VALUE"""),8)</f>
        <v>8</v>
      </c>
      <c r="C398" s="8">
        <f ca="1">IFERROR(__xludf.DUMMYFUNCTION("""COMPUTED_VALUE"""),44287.3333333333)</f>
        <v>44287.333333333299</v>
      </c>
      <c r="D398" s="7">
        <f ca="1">IFERROR(__xludf.DUMMYFUNCTION("""COMPUTED_VALUE"""),6344)</f>
        <v>6344</v>
      </c>
      <c r="E398" s="7">
        <f ca="1">IFERROR(__xludf.DUMMYFUNCTION("""COMPUTED_VALUE"""),369929)</f>
        <v>369929</v>
      </c>
      <c r="F398" s="7">
        <f ca="1">IFERROR(__xludf.DUMMYFUNCTION("""COMPUTED_VALUE"""),3447)</f>
        <v>3447</v>
      </c>
      <c r="G398" s="7">
        <f ca="1">IFERROR(__xludf.DUMMYFUNCTION("""COMPUTED_VALUE"""),3672)</f>
        <v>3672</v>
      </c>
      <c r="H398" s="7">
        <f ca="1">IFERROR(__xludf.DUMMYFUNCTION("""COMPUTED_VALUE"""),383392)</f>
        <v>383392</v>
      </c>
      <c r="I398" s="7">
        <f ca="1">IFERROR(__xludf.DUMMYFUNCTION("""COMPUTED_VALUE"""),1337)</f>
        <v>1337</v>
      </c>
      <c r="J398" s="7">
        <f ca="1">IFERROR(__xludf.DUMMYFUNCTION("""COMPUTED_VALUE"""),7119)</f>
        <v>7119</v>
      </c>
      <c r="K398" s="7">
        <f ca="1">IFERROR(__xludf.DUMMYFUNCTION("""COMPUTED_VALUE"""),922)</f>
        <v>922</v>
      </c>
      <c r="L398" s="7">
        <f ca="1">IFERROR(__xludf.DUMMYFUNCTION("""COMPUTED_VALUE"""),705)</f>
        <v>705</v>
      </c>
      <c r="M398" s="7">
        <f ca="1">IFERROR(__xludf.DUMMYFUNCTION("""COMPUTED_VALUE"""),4175)</f>
        <v>4175</v>
      </c>
      <c r="N398" s="7">
        <f ca="1">IFERROR(__xludf.DUMMYFUNCTION("""COMPUTED_VALUE"""),2239)</f>
        <v>2239</v>
      </c>
    </row>
    <row r="399" spans="1:14" ht="13.2" x14ac:dyDescent="0.25">
      <c r="A399" s="6">
        <f ca="1">IFERROR(__xludf.DUMMYFUNCTION("""COMPUTED_VALUE"""),44288)</f>
        <v>44288</v>
      </c>
      <c r="B399" s="7">
        <f ca="1">IFERROR(__xludf.DUMMYFUNCTION("""COMPUTED_VALUE"""),8)</f>
        <v>8</v>
      </c>
      <c r="C399" s="8">
        <f ca="1">IFERROR(__xludf.DUMMYFUNCTION("""COMPUTED_VALUE"""),44288.3333333333)</f>
        <v>44288.333333333299</v>
      </c>
      <c r="D399" s="7">
        <f ca="1">IFERROR(__xludf.DUMMYFUNCTION("""COMPUTED_VALUE"""),6351)</f>
        <v>6351</v>
      </c>
      <c r="E399" s="7">
        <f ca="1">IFERROR(__xludf.DUMMYFUNCTION("""COMPUTED_VALUE"""),371254)</f>
        <v>371254</v>
      </c>
      <c r="F399" s="7">
        <f ca="1">IFERROR(__xludf.DUMMYFUNCTION("""COMPUTED_VALUE"""),3433)</f>
        <v>3433</v>
      </c>
      <c r="G399" s="7">
        <f ca="1">IFERROR(__xludf.DUMMYFUNCTION("""COMPUTED_VALUE"""),3594)</f>
        <v>3594</v>
      </c>
      <c r="H399" s="7">
        <f ca="1">IFERROR(__xludf.DUMMYFUNCTION("""COMPUTED_VALUE"""),384632)</f>
        <v>384632</v>
      </c>
      <c r="I399" s="7">
        <f ca="1">IFERROR(__xludf.DUMMYFUNCTION("""COMPUTED_VALUE"""),1240)</f>
        <v>1240</v>
      </c>
      <c r="J399" s="7">
        <f ca="1">IFERROR(__xludf.DUMMYFUNCTION("""COMPUTED_VALUE"""),7027)</f>
        <v>7027</v>
      </c>
      <c r="K399" s="7">
        <f ca="1">IFERROR(__xludf.DUMMYFUNCTION("""COMPUTED_VALUE"""),1325)</f>
        <v>1325</v>
      </c>
      <c r="L399" s="7">
        <f ca="1">IFERROR(__xludf.DUMMYFUNCTION("""COMPUTED_VALUE"""),1069)</f>
        <v>1069</v>
      </c>
      <c r="M399" s="7">
        <f ca="1">IFERROR(__xludf.DUMMYFUNCTION("""COMPUTED_VALUE"""),5153)</f>
        <v>5153</v>
      </c>
      <c r="N399" s="7">
        <f ca="1">IFERROR(__xludf.DUMMYFUNCTION("""COMPUTED_VALUE"""),805)</f>
        <v>805</v>
      </c>
    </row>
    <row r="400" spans="1:14" ht="13.2" x14ac:dyDescent="0.25">
      <c r="A400" s="6">
        <f ca="1">IFERROR(__xludf.DUMMYFUNCTION("""COMPUTED_VALUE"""),44289)</f>
        <v>44289</v>
      </c>
      <c r="B400" s="7">
        <f ca="1">IFERROR(__xludf.DUMMYFUNCTION("""COMPUTED_VALUE"""),8)</f>
        <v>8</v>
      </c>
      <c r="C400" s="8">
        <f ca="1">IFERROR(__xludf.DUMMYFUNCTION("""COMPUTED_VALUE"""),44289.3333333333)</f>
        <v>44289.333333333299</v>
      </c>
      <c r="D400" s="7">
        <f ca="1">IFERROR(__xludf.DUMMYFUNCTION("""COMPUTED_VALUE"""),6356)</f>
        <v>6356</v>
      </c>
      <c r="E400" s="7">
        <f ca="1">IFERROR(__xludf.DUMMYFUNCTION("""COMPUTED_VALUE"""),372494)</f>
        <v>372494</v>
      </c>
      <c r="F400" s="7">
        <f ca="1">IFERROR(__xludf.DUMMYFUNCTION("""COMPUTED_VALUE"""),3317)</f>
        <v>3317</v>
      </c>
      <c r="G400" s="7">
        <f ca="1">IFERROR(__xludf.DUMMYFUNCTION("""COMPUTED_VALUE"""),3563)</f>
        <v>3563</v>
      </c>
      <c r="H400" s="7">
        <f ca="1">IFERROR(__xludf.DUMMYFUNCTION("""COMPUTED_VALUE"""),385730)</f>
        <v>385730</v>
      </c>
      <c r="I400" s="7">
        <f ca="1">IFERROR(__xludf.DUMMYFUNCTION("""COMPUTED_VALUE"""),1098)</f>
        <v>1098</v>
      </c>
      <c r="J400" s="7">
        <f ca="1">IFERROR(__xludf.DUMMYFUNCTION("""COMPUTED_VALUE"""),6880)</f>
        <v>6880</v>
      </c>
      <c r="K400" s="7">
        <f ca="1">IFERROR(__xludf.DUMMYFUNCTION("""COMPUTED_VALUE"""),1240)</f>
        <v>1240</v>
      </c>
      <c r="L400" s="7">
        <f ca="1">IFERROR(__xludf.DUMMYFUNCTION("""COMPUTED_VALUE"""),727)</f>
        <v>727</v>
      </c>
      <c r="M400" s="7">
        <f ca="1">IFERROR(__xludf.DUMMYFUNCTION("""COMPUTED_VALUE"""),4644)</f>
        <v>4644</v>
      </c>
      <c r="N400" s="7">
        <f ca="1">IFERROR(__xludf.DUMMYFUNCTION("""COMPUTED_VALUE"""),1509)</f>
        <v>1509</v>
      </c>
    </row>
    <row r="401" spans="1:14" ht="13.2" x14ac:dyDescent="0.25">
      <c r="A401" s="6">
        <f ca="1">IFERROR(__xludf.DUMMYFUNCTION("""COMPUTED_VALUE"""),44290)</f>
        <v>44290</v>
      </c>
      <c r="B401" s="7">
        <f ca="1">IFERROR(__xludf.DUMMYFUNCTION("""COMPUTED_VALUE"""),8)</f>
        <v>8</v>
      </c>
      <c r="C401" s="8">
        <f ca="1">IFERROR(__xludf.DUMMYFUNCTION("""COMPUTED_VALUE"""),44290.3333333333)</f>
        <v>44290.333333333299</v>
      </c>
      <c r="D401" s="7">
        <f ca="1">IFERROR(__xludf.DUMMYFUNCTION("""COMPUTED_VALUE"""),6360)</f>
        <v>6360</v>
      </c>
      <c r="E401" s="7">
        <f ca="1">IFERROR(__xludf.DUMMYFUNCTION("""COMPUTED_VALUE"""),373565)</f>
        <v>373565</v>
      </c>
      <c r="F401" s="7">
        <f ca="1">IFERROR(__xludf.DUMMYFUNCTION("""COMPUTED_VALUE"""),3149)</f>
        <v>3149</v>
      </c>
      <c r="G401" s="7">
        <f ca="1">IFERROR(__xludf.DUMMYFUNCTION("""COMPUTED_VALUE"""),3392)</f>
        <v>3392</v>
      </c>
      <c r="H401" s="7">
        <f ca="1">IFERROR(__xludf.DUMMYFUNCTION("""COMPUTED_VALUE"""),386466)</f>
        <v>386466</v>
      </c>
      <c r="I401" s="7">
        <f ca="1">IFERROR(__xludf.DUMMYFUNCTION("""COMPUTED_VALUE"""),736)</f>
        <v>736</v>
      </c>
      <c r="J401" s="7">
        <f ca="1">IFERROR(__xludf.DUMMYFUNCTION("""COMPUTED_VALUE"""),6541)</f>
        <v>6541</v>
      </c>
      <c r="K401" s="7">
        <f ca="1">IFERROR(__xludf.DUMMYFUNCTION("""COMPUTED_VALUE"""),1071)</f>
        <v>1071</v>
      </c>
      <c r="L401" s="7">
        <f ca="1">IFERROR(__xludf.DUMMYFUNCTION("""COMPUTED_VALUE"""),443)</f>
        <v>443</v>
      </c>
      <c r="M401" s="7">
        <f ca="1">IFERROR(__xludf.DUMMYFUNCTION("""COMPUTED_VALUE"""),4112)</f>
        <v>4112</v>
      </c>
      <c r="N401" s="7">
        <f ca="1">IFERROR(__xludf.DUMMYFUNCTION("""COMPUTED_VALUE"""),1986)</f>
        <v>1986</v>
      </c>
    </row>
    <row r="402" spans="1:14" ht="13.2" x14ac:dyDescent="0.25">
      <c r="A402" s="6">
        <f ca="1">IFERROR(__xludf.DUMMYFUNCTION("""COMPUTED_VALUE"""),44291)</f>
        <v>44291</v>
      </c>
      <c r="B402" s="7">
        <f ca="1">IFERROR(__xludf.DUMMYFUNCTION("""COMPUTED_VALUE"""),8)</f>
        <v>8</v>
      </c>
      <c r="C402" s="8">
        <f ca="1">IFERROR(__xludf.DUMMYFUNCTION("""COMPUTED_VALUE"""),44291.3333333333)</f>
        <v>44291.333333333299</v>
      </c>
      <c r="D402" s="7">
        <f ca="1">IFERROR(__xludf.DUMMYFUNCTION("""COMPUTED_VALUE"""),6372)</f>
        <v>6372</v>
      </c>
      <c r="E402" s="7">
        <f ca="1">IFERROR(__xludf.DUMMYFUNCTION("""COMPUTED_VALUE"""),374542)</f>
        <v>374542</v>
      </c>
      <c r="F402" s="7">
        <f ca="1">IFERROR(__xludf.DUMMYFUNCTION("""COMPUTED_VALUE"""),2771)</f>
        <v>2771</v>
      </c>
      <c r="G402" s="7">
        <f ca="1">IFERROR(__xludf.DUMMYFUNCTION("""COMPUTED_VALUE"""),3304)</f>
        <v>3304</v>
      </c>
      <c r="H402" s="7">
        <f ca="1">IFERROR(__xludf.DUMMYFUNCTION("""COMPUTED_VALUE"""),386989)</f>
        <v>386989</v>
      </c>
      <c r="I402" s="7">
        <f ca="1">IFERROR(__xludf.DUMMYFUNCTION("""COMPUTED_VALUE"""),523)</f>
        <v>523</v>
      </c>
      <c r="J402" s="7">
        <f ca="1">IFERROR(__xludf.DUMMYFUNCTION("""COMPUTED_VALUE"""),6075)</f>
        <v>6075</v>
      </c>
      <c r="K402" s="7">
        <f ca="1">IFERROR(__xludf.DUMMYFUNCTION("""COMPUTED_VALUE"""),977)</f>
        <v>977</v>
      </c>
      <c r="L402" s="7">
        <f ca="1">IFERROR(__xludf.DUMMYFUNCTION("""COMPUTED_VALUE"""),310)</f>
        <v>310</v>
      </c>
      <c r="M402" s="7">
        <f ca="1">IFERROR(__xludf.DUMMYFUNCTION("""COMPUTED_VALUE"""),3452)</f>
        <v>3452</v>
      </c>
      <c r="N402" s="7">
        <f ca="1">IFERROR(__xludf.DUMMYFUNCTION("""COMPUTED_VALUE"""),2313)</f>
        <v>2313</v>
      </c>
    </row>
    <row r="403" spans="1:14" ht="13.2" x14ac:dyDescent="0.25">
      <c r="A403" s="6">
        <f ca="1">IFERROR(__xludf.DUMMYFUNCTION("""COMPUTED_VALUE"""),44292)</f>
        <v>44292</v>
      </c>
      <c r="B403" s="7">
        <f ca="1">IFERROR(__xludf.DUMMYFUNCTION("""COMPUTED_VALUE"""),8)</f>
        <v>8</v>
      </c>
      <c r="C403" s="8">
        <f ca="1">IFERROR(__xludf.DUMMYFUNCTION("""COMPUTED_VALUE"""),44292.3333333333)</f>
        <v>44292.333333333299</v>
      </c>
      <c r="D403" s="7">
        <f ca="1">IFERROR(__xludf.DUMMYFUNCTION("""COMPUTED_VALUE"""),6379)</f>
        <v>6379</v>
      </c>
      <c r="E403" s="7">
        <f ca="1">IFERROR(__xludf.DUMMYFUNCTION("""COMPUTED_VALUE"""),375080)</f>
        <v>375080</v>
      </c>
      <c r="F403" s="7">
        <f ca="1">IFERROR(__xludf.DUMMYFUNCTION("""COMPUTED_VALUE"""),2705)</f>
        <v>2705</v>
      </c>
      <c r="G403" s="7">
        <f ca="1">IFERROR(__xludf.DUMMYFUNCTION("""COMPUTED_VALUE"""),3312)</f>
        <v>3312</v>
      </c>
      <c r="H403" s="7">
        <f ca="1">IFERROR(__xludf.DUMMYFUNCTION("""COMPUTED_VALUE"""),387476)</f>
        <v>387476</v>
      </c>
      <c r="I403" s="7">
        <f ca="1">IFERROR(__xludf.DUMMYFUNCTION("""COMPUTED_VALUE"""),487)</f>
        <v>487</v>
      </c>
      <c r="J403" s="7">
        <f ca="1">IFERROR(__xludf.DUMMYFUNCTION("""COMPUTED_VALUE"""),6017)</f>
        <v>6017</v>
      </c>
      <c r="K403" s="7">
        <f ca="1">IFERROR(__xludf.DUMMYFUNCTION("""COMPUTED_VALUE"""),538)</f>
        <v>538</v>
      </c>
      <c r="L403" s="7">
        <f ca="1">IFERROR(__xludf.DUMMYFUNCTION("""COMPUTED_VALUE"""),177)</f>
        <v>177</v>
      </c>
      <c r="M403" s="7">
        <f ca="1">IFERROR(__xludf.DUMMYFUNCTION("""COMPUTED_VALUE"""),3184)</f>
        <v>3184</v>
      </c>
      <c r="N403" s="7">
        <f ca="1">IFERROR(__xludf.DUMMYFUNCTION("""COMPUTED_VALUE"""),2656)</f>
        <v>2656</v>
      </c>
    </row>
    <row r="404" spans="1:14" ht="13.2" x14ac:dyDescent="0.25">
      <c r="A404" s="6">
        <f ca="1">IFERROR(__xludf.DUMMYFUNCTION("""COMPUTED_VALUE"""),44293)</f>
        <v>44293</v>
      </c>
      <c r="B404" s="7">
        <f ca="1">IFERROR(__xludf.DUMMYFUNCTION("""COMPUTED_VALUE"""),8)</f>
        <v>8</v>
      </c>
      <c r="C404" s="8">
        <f ca="1">IFERROR(__xludf.DUMMYFUNCTION("""COMPUTED_VALUE"""),44293.3333333333)</f>
        <v>44293.333333333299</v>
      </c>
      <c r="D404" s="7">
        <f ca="1">IFERROR(__xludf.DUMMYFUNCTION("""COMPUTED_VALUE"""),6391)</f>
        <v>6391</v>
      </c>
      <c r="E404" s="7">
        <f ca="1">IFERROR(__xludf.DUMMYFUNCTION("""COMPUTED_VALUE"""),375651)</f>
        <v>375651</v>
      </c>
      <c r="F404" s="7">
        <f ca="1">IFERROR(__xludf.DUMMYFUNCTION("""COMPUTED_VALUE"""),2814)</f>
        <v>2814</v>
      </c>
      <c r="G404" s="7">
        <f ca="1">IFERROR(__xludf.DUMMYFUNCTION("""COMPUTED_VALUE"""),3482)</f>
        <v>3482</v>
      </c>
      <c r="H404" s="7">
        <f ca="1">IFERROR(__xludf.DUMMYFUNCTION("""COMPUTED_VALUE"""),388338)</f>
        <v>388338</v>
      </c>
      <c r="I404" s="7">
        <f ca="1">IFERROR(__xludf.DUMMYFUNCTION("""COMPUTED_VALUE"""),862)</f>
        <v>862</v>
      </c>
      <c r="J404" s="7">
        <f ca="1">IFERROR(__xludf.DUMMYFUNCTION("""COMPUTED_VALUE"""),6296)</f>
        <v>6296</v>
      </c>
      <c r="K404" s="7">
        <f ca="1">IFERROR(__xludf.DUMMYFUNCTION("""COMPUTED_VALUE"""),571)</f>
        <v>571</v>
      </c>
      <c r="L404" s="7">
        <f ca="1">IFERROR(__xludf.DUMMYFUNCTION("""COMPUTED_VALUE"""),868)</f>
        <v>868</v>
      </c>
      <c r="M404" s="7">
        <f ca="1">IFERROR(__xludf.DUMMYFUNCTION("""COMPUTED_VALUE"""),4884)</f>
        <v>4884</v>
      </c>
      <c r="N404" s="7">
        <f ca="1">IFERROR(__xludf.DUMMYFUNCTION("""COMPUTED_VALUE"""),544)</f>
        <v>544</v>
      </c>
    </row>
    <row r="405" spans="1:14" ht="13.2" x14ac:dyDescent="0.25">
      <c r="A405" s="6">
        <f ca="1">IFERROR(__xludf.DUMMYFUNCTION("""COMPUTED_VALUE"""),44294)</f>
        <v>44294</v>
      </c>
      <c r="B405" s="7">
        <f ca="1">IFERROR(__xludf.DUMMYFUNCTION("""COMPUTED_VALUE"""),8)</f>
        <v>8</v>
      </c>
      <c r="C405" s="8">
        <f ca="1">IFERROR(__xludf.DUMMYFUNCTION("""COMPUTED_VALUE"""),44294.3333333333)</f>
        <v>44294.333333333299</v>
      </c>
      <c r="D405" s="7">
        <f ca="1">IFERROR(__xludf.DUMMYFUNCTION("""COMPUTED_VALUE"""),6410)</f>
        <v>6410</v>
      </c>
      <c r="E405" s="7">
        <f ca="1">IFERROR(__xludf.DUMMYFUNCTION("""COMPUTED_VALUE"""),376270)</f>
        <v>376270</v>
      </c>
      <c r="F405" s="7">
        <f ca="1">IFERROR(__xludf.DUMMYFUNCTION("""COMPUTED_VALUE"""),3244)</f>
        <v>3244</v>
      </c>
      <c r="G405" s="7">
        <f ca="1">IFERROR(__xludf.DUMMYFUNCTION("""COMPUTED_VALUE"""),3653)</f>
        <v>3653</v>
      </c>
      <c r="H405" s="7">
        <f ca="1">IFERROR(__xludf.DUMMYFUNCTION("""COMPUTED_VALUE"""),389577)</f>
        <v>389577</v>
      </c>
      <c r="I405" s="7">
        <f ca="1">IFERROR(__xludf.DUMMYFUNCTION("""COMPUTED_VALUE"""),1239)</f>
        <v>1239</v>
      </c>
      <c r="J405" s="7">
        <f ca="1">IFERROR(__xludf.DUMMYFUNCTION("""COMPUTED_VALUE"""),6897)</f>
        <v>6897</v>
      </c>
      <c r="K405" s="7">
        <f ca="1">IFERROR(__xludf.DUMMYFUNCTION("""COMPUTED_VALUE"""),619)</f>
        <v>619</v>
      </c>
      <c r="L405" s="7">
        <f ca="1">IFERROR(__xludf.DUMMYFUNCTION("""COMPUTED_VALUE"""),882)</f>
        <v>882</v>
      </c>
      <c r="M405" s="7">
        <f ca="1">IFERROR(__xludf.DUMMYFUNCTION("""COMPUTED_VALUE"""),4700)</f>
        <v>4700</v>
      </c>
      <c r="N405" s="7">
        <f ca="1">IFERROR(__xludf.DUMMYFUNCTION("""COMPUTED_VALUE"""),1315)</f>
        <v>1315</v>
      </c>
    </row>
    <row r="406" spans="1:14" ht="13.2" x14ac:dyDescent="0.25">
      <c r="A406" s="6">
        <f ca="1">IFERROR(__xludf.DUMMYFUNCTION("""COMPUTED_VALUE"""),44295)</f>
        <v>44295</v>
      </c>
      <c r="B406" s="7">
        <f ca="1">IFERROR(__xludf.DUMMYFUNCTION("""COMPUTED_VALUE"""),8)</f>
        <v>8</v>
      </c>
      <c r="C406" s="8">
        <f ca="1">IFERROR(__xludf.DUMMYFUNCTION("""COMPUTED_VALUE"""),44295.3333333333)</f>
        <v>44295.333333333299</v>
      </c>
      <c r="D406" s="7">
        <f ca="1">IFERROR(__xludf.DUMMYFUNCTION("""COMPUTED_VALUE"""),6424)</f>
        <v>6424</v>
      </c>
      <c r="E406" s="7">
        <f ca="1">IFERROR(__xludf.DUMMYFUNCTION("""COMPUTED_VALUE"""),376959)</f>
        <v>376959</v>
      </c>
      <c r="F406" s="7">
        <f ca="1">IFERROR(__xludf.DUMMYFUNCTION("""COMPUTED_VALUE"""),3506)</f>
        <v>3506</v>
      </c>
      <c r="G406" s="7">
        <f ca="1">IFERROR(__xludf.DUMMYFUNCTION("""COMPUTED_VALUE"""),3701)</f>
        <v>3701</v>
      </c>
      <c r="H406" s="7">
        <f ca="1">IFERROR(__xludf.DUMMYFUNCTION("""COMPUTED_VALUE"""),390590)</f>
        <v>390590</v>
      </c>
      <c r="I406" s="7">
        <f ca="1">IFERROR(__xludf.DUMMYFUNCTION("""COMPUTED_VALUE"""),1013)</f>
        <v>1013</v>
      </c>
      <c r="J406" s="7">
        <f ca="1">IFERROR(__xludf.DUMMYFUNCTION("""COMPUTED_VALUE"""),7207)</f>
        <v>7207</v>
      </c>
      <c r="K406" s="7">
        <f ca="1">IFERROR(__xludf.DUMMYFUNCTION("""COMPUTED_VALUE"""),689)</f>
        <v>689</v>
      </c>
      <c r="L406" s="7">
        <f ca="1">IFERROR(__xludf.DUMMYFUNCTION("""COMPUTED_VALUE"""),2071)</f>
        <v>2071</v>
      </c>
      <c r="M406" s="7">
        <f ca="1">IFERROR(__xludf.DUMMYFUNCTION("""COMPUTED_VALUE"""),4551)</f>
        <v>4551</v>
      </c>
      <c r="N406" s="7">
        <f ca="1">IFERROR(__xludf.DUMMYFUNCTION("""COMPUTED_VALUE"""),585)</f>
        <v>585</v>
      </c>
    </row>
    <row r="407" spans="1:14" ht="13.2" x14ac:dyDescent="0.25">
      <c r="A407" s="6">
        <f ca="1">IFERROR(__xludf.DUMMYFUNCTION("""COMPUTED_VALUE"""),44296)</f>
        <v>44296</v>
      </c>
      <c r="B407" s="7">
        <f ca="1">IFERROR(__xludf.DUMMYFUNCTION("""COMPUTED_VALUE"""),8)</f>
        <v>8</v>
      </c>
      <c r="C407" s="8">
        <f ca="1">IFERROR(__xludf.DUMMYFUNCTION("""COMPUTED_VALUE"""),44296.3333333333)</f>
        <v>44296.333333333299</v>
      </c>
      <c r="D407" s="7">
        <f ca="1">IFERROR(__xludf.DUMMYFUNCTION("""COMPUTED_VALUE"""),6435)</f>
        <v>6435</v>
      </c>
      <c r="E407" s="7">
        <f ca="1">IFERROR(__xludf.DUMMYFUNCTION("""COMPUTED_VALUE"""),377797)</f>
        <v>377797</v>
      </c>
      <c r="F407" s="7">
        <f ca="1">IFERROR(__xludf.DUMMYFUNCTION("""COMPUTED_VALUE"""),3716)</f>
        <v>3716</v>
      </c>
      <c r="G407" s="7">
        <f ca="1">IFERROR(__xludf.DUMMYFUNCTION("""COMPUTED_VALUE"""),3619)</f>
        <v>3619</v>
      </c>
      <c r="H407" s="7">
        <f ca="1">IFERROR(__xludf.DUMMYFUNCTION("""COMPUTED_VALUE"""),391567)</f>
        <v>391567</v>
      </c>
      <c r="I407" s="7">
        <f ca="1">IFERROR(__xludf.DUMMYFUNCTION("""COMPUTED_VALUE"""),977)</f>
        <v>977</v>
      </c>
      <c r="J407" s="7">
        <f ca="1">IFERROR(__xludf.DUMMYFUNCTION("""COMPUTED_VALUE"""),7335)</f>
        <v>7335</v>
      </c>
      <c r="K407" s="7">
        <f ca="1">IFERROR(__xludf.DUMMYFUNCTION("""COMPUTED_VALUE"""),838)</f>
        <v>838</v>
      </c>
      <c r="L407" s="7">
        <f ca="1">IFERROR(__xludf.DUMMYFUNCTION("""COMPUTED_VALUE"""),1890)</f>
        <v>1890</v>
      </c>
      <c r="M407" s="7">
        <f ca="1">IFERROR(__xludf.DUMMYFUNCTION("""COMPUTED_VALUE"""),4165)</f>
        <v>4165</v>
      </c>
      <c r="N407" s="7">
        <f ca="1">IFERROR(__xludf.DUMMYFUNCTION("""COMPUTED_VALUE"""),1280)</f>
        <v>1280</v>
      </c>
    </row>
    <row r="408" spans="1:14" ht="13.2" x14ac:dyDescent="0.25">
      <c r="A408" s="6">
        <f ca="1">IFERROR(__xludf.DUMMYFUNCTION("""COMPUTED_VALUE"""),44297)</f>
        <v>44297</v>
      </c>
      <c r="B408" s="7">
        <f ca="1">IFERROR(__xludf.DUMMYFUNCTION("""COMPUTED_VALUE"""),8)</f>
        <v>8</v>
      </c>
      <c r="C408" s="8">
        <f ca="1">IFERROR(__xludf.DUMMYFUNCTION("""COMPUTED_VALUE"""),44297.3333333333)</f>
        <v>44297.333333333299</v>
      </c>
      <c r="D408" s="7">
        <f ca="1">IFERROR(__xludf.DUMMYFUNCTION("""COMPUTED_VALUE"""),6450)</f>
        <v>6450</v>
      </c>
      <c r="E408" s="7">
        <f ca="1">IFERROR(__xludf.DUMMYFUNCTION("""COMPUTED_VALUE"""),379210)</f>
        <v>379210</v>
      </c>
      <c r="F408" s="7">
        <f ca="1">IFERROR(__xludf.DUMMYFUNCTION("""COMPUTED_VALUE"""),3617)</f>
        <v>3617</v>
      </c>
      <c r="G408" s="7">
        <f ca="1">IFERROR(__xludf.DUMMYFUNCTION("""COMPUTED_VALUE"""),3321)</f>
        <v>3321</v>
      </c>
      <c r="H408" s="7">
        <f ca="1">IFERROR(__xludf.DUMMYFUNCTION("""COMPUTED_VALUE"""),392598)</f>
        <v>392598</v>
      </c>
      <c r="I408" s="7">
        <f ca="1">IFERROR(__xludf.DUMMYFUNCTION("""COMPUTED_VALUE"""),1031)</f>
        <v>1031</v>
      </c>
      <c r="J408" s="7">
        <f ca="1">IFERROR(__xludf.DUMMYFUNCTION("""COMPUTED_VALUE"""),6938)</f>
        <v>6938</v>
      </c>
      <c r="K408" s="7">
        <f ca="1">IFERROR(__xludf.DUMMYFUNCTION("""COMPUTED_VALUE"""),1413)</f>
        <v>1413</v>
      </c>
      <c r="L408" s="7">
        <f ca="1">IFERROR(__xludf.DUMMYFUNCTION("""COMPUTED_VALUE"""),939)</f>
        <v>939</v>
      </c>
      <c r="M408" s="7">
        <f ca="1">IFERROR(__xludf.DUMMYFUNCTION("""COMPUTED_VALUE"""),4107)</f>
        <v>4107</v>
      </c>
      <c r="N408" s="7">
        <f ca="1">IFERROR(__xludf.DUMMYFUNCTION("""COMPUTED_VALUE"""),1892)</f>
        <v>1892</v>
      </c>
    </row>
    <row r="409" spans="1:14" ht="13.2" x14ac:dyDescent="0.25">
      <c r="A409" s="6">
        <f ca="1">IFERROR(__xludf.DUMMYFUNCTION("""COMPUTED_VALUE"""),44298)</f>
        <v>44298</v>
      </c>
      <c r="B409" s="7">
        <f ca="1">IFERROR(__xludf.DUMMYFUNCTION("""COMPUTED_VALUE"""),8)</f>
        <v>8</v>
      </c>
      <c r="C409" s="8">
        <f ca="1">IFERROR(__xludf.DUMMYFUNCTION("""COMPUTED_VALUE"""),44298.3333333333)</f>
        <v>44298.333333333299</v>
      </c>
      <c r="D409" s="7">
        <f ca="1">IFERROR(__xludf.DUMMYFUNCTION("""COMPUTED_VALUE"""),6459)</f>
        <v>6459</v>
      </c>
      <c r="E409" s="7">
        <f ca="1">IFERROR(__xludf.DUMMYFUNCTION("""COMPUTED_VALUE"""),380560)</f>
        <v>380560</v>
      </c>
      <c r="F409" s="7">
        <f ca="1">IFERROR(__xludf.DUMMYFUNCTION("""COMPUTED_VALUE"""),3324)</f>
        <v>3324</v>
      </c>
      <c r="G409" s="7">
        <f ca="1">IFERROR(__xludf.DUMMYFUNCTION("""COMPUTED_VALUE"""),2947)</f>
        <v>2947</v>
      </c>
      <c r="H409" s="7">
        <f ca="1">IFERROR(__xludf.DUMMYFUNCTION("""COMPUTED_VALUE"""),393290)</f>
        <v>393290</v>
      </c>
      <c r="I409" s="7">
        <f ca="1">IFERROR(__xludf.DUMMYFUNCTION("""COMPUTED_VALUE"""),692)</f>
        <v>692</v>
      </c>
      <c r="J409" s="7">
        <f ca="1">IFERROR(__xludf.DUMMYFUNCTION("""COMPUTED_VALUE"""),6271)</f>
        <v>6271</v>
      </c>
      <c r="K409" s="7">
        <f ca="1">IFERROR(__xludf.DUMMYFUNCTION("""COMPUTED_VALUE"""),1350)</f>
        <v>1350</v>
      </c>
      <c r="L409" s="7">
        <f ca="1">IFERROR(__xludf.DUMMYFUNCTION("""COMPUTED_VALUE"""),1973)</f>
        <v>1973</v>
      </c>
      <c r="M409" s="7">
        <f ca="1">IFERROR(__xludf.DUMMYFUNCTION("""COMPUTED_VALUE"""),3777)</f>
        <v>3777</v>
      </c>
      <c r="N409" s="7">
        <f ca="1">IFERROR(__xludf.DUMMYFUNCTION("""COMPUTED_VALUE"""),521)</f>
        <v>521</v>
      </c>
    </row>
    <row r="410" spans="1:14" ht="13.2" x14ac:dyDescent="0.25">
      <c r="A410" s="6">
        <f ca="1">IFERROR(__xludf.DUMMYFUNCTION("""COMPUTED_VALUE"""),44299)</f>
        <v>44299</v>
      </c>
      <c r="B410" s="7">
        <f ca="1">IFERROR(__xludf.DUMMYFUNCTION("""COMPUTED_VALUE"""),8)</f>
        <v>8</v>
      </c>
      <c r="C410" s="8">
        <f ca="1">IFERROR(__xludf.DUMMYFUNCTION("""COMPUTED_VALUE"""),44299.3333333333)</f>
        <v>44299.333333333299</v>
      </c>
      <c r="D410" s="7">
        <f ca="1">IFERROR(__xludf.DUMMYFUNCTION("""COMPUTED_VALUE"""),6482)</f>
        <v>6482</v>
      </c>
      <c r="E410" s="7">
        <f ca="1">IFERROR(__xludf.DUMMYFUNCTION("""COMPUTED_VALUE"""),381449)</f>
        <v>381449</v>
      </c>
      <c r="F410" s="7">
        <f ca="1">IFERROR(__xludf.DUMMYFUNCTION("""COMPUTED_VALUE"""),3326)</f>
        <v>3326</v>
      </c>
      <c r="G410" s="7">
        <f ca="1">IFERROR(__xludf.DUMMYFUNCTION("""COMPUTED_VALUE"""),2861)</f>
        <v>2861</v>
      </c>
      <c r="H410" s="7">
        <f ca="1">IFERROR(__xludf.DUMMYFUNCTION("""COMPUTED_VALUE"""),394118)</f>
        <v>394118</v>
      </c>
      <c r="I410" s="7">
        <f ca="1">IFERROR(__xludf.DUMMYFUNCTION("""COMPUTED_VALUE"""),828)</f>
        <v>828</v>
      </c>
      <c r="J410" s="7">
        <f ca="1">IFERROR(__xludf.DUMMYFUNCTION("""COMPUTED_VALUE"""),6187)</f>
        <v>6187</v>
      </c>
      <c r="K410" s="7">
        <f ca="1">IFERROR(__xludf.DUMMYFUNCTION("""COMPUTED_VALUE"""),889)</f>
        <v>889</v>
      </c>
      <c r="L410" s="7">
        <f ca="1">IFERROR(__xludf.DUMMYFUNCTION("""COMPUTED_VALUE"""),1902)</f>
        <v>1902</v>
      </c>
      <c r="M410" s="7">
        <f ca="1">IFERROR(__xludf.DUMMYFUNCTION("""COMPUTED_VALUE"""),3467)</f>
        <v>3467</v>
      </c>
      <c r="N410" s="7">
        <f ca="1">IFERROR(__xludf.DUMMYFUNCTION("""COMPUTED_VALUE"""),818)</f>
        <v>818</v>
      </c>
    </row>
    <row r="411" spans="1:14" ht="13.2" x14ac:dyDescent="0.25">
      <c r="A411" s="6">
        <f ca="1">IFERROR(__xludf.DUMMYFUNCTION("""COMPUTED_VALUE"""),44300)</f>
        <v>44300</v>
      </c>
      <c r="B411" s="7">
        <f ca="1">IFERROR(__xludf.DUMMYFUNCTION("""COMPUTED_VALUE"""),8)</f>
        <v>8</v>
      </c>
      <c r="C411" s="8">
        <f ca="1">IFERROR(__xludf.DUMMYFUNCTION("""COMPUTED_VALUE"""),44300.3333333333)</f>
        <v>44300.333333333299</v>
      </c>
      <c r="D411" s="7">
        <f ca="1">IFERROR(__xludf.DUMMYFUNCTION("""COMPUTED_VALUE"""),6489)</f>
        <v>6489</v>
      </c>
      <c r="E411" s="7">
        <f ca="1">IFERROR(__xludf.DUMMYFUNCTION("""COMPUTED_VALUE"""),382091)</f>
        <v>382091</v>
      </c>
      <c r="F411" s="7">
        <f ca="1">IFERROR(__xludf.DUMMYFUNCTION("""COMPUTED_VALUE"""),3338)</f>
        <v>3338</v>
      </c>
      <c r="G411" s="7">
        <f ca="1">IFERROR(__xludf.DUMMYFUNCTION("""COMPUTED_VALUE"""),2861)</f>
        <v>2861</v>
      </c>
      <c r="H411" s="7">
        <f ca="1">IFERROR(__xludf.DUMMYFUNCTION("""COMPUTED_VALUE"""),394779)</f>
        <v>394779</v>
      </c>
      <c r="I411" s="7">
        <f ca="1">IFERROR(__xludf.DUMMYFUNCTION("""COMPUTED_VALUE"""),661)</f>
        <v>661</v>
      </c>
      <c r="J411" s="7">
        <f ca="1">IFERROR(__xludf.DUMMYFUNCTION("""COMPUTED_VALUE"""),6199)</f>
        <v>6199</v>
      </c>
      <c r="K411" s="7">
        <f ca="1">IFERROR(__xludf.DUMMYFUNCTION("""COMPUTED_VALUE"""),642)</f>
        <v>642</v>
      </c>
      <c r="L411" s="7">
        <f ca="1">IFERROR(__xludf.DUMMYFUNCTION("""COMPUTED_VALUE"""),1780)</f>
        <v>1780</v>
      </c>
      <c r="M411" s="7">
        <f ca="1">IFERROR(__xludf.DUMMYFUNCTION("""COMPUTED_VALUE"""),3178)</f>
        <v>3178</v>
      </c>
      <c r="N411" s="7">
        <f ca="1">IFERROR(__xludf.DUMMYFUNCTION("""COMPUTED_VALUE"""),1241)</f>
        <v>1241</v>
      </c>
    </row>
    <row r="412" spans="1:14" ht="13.2" x14ac:dyDescent="0.25">
      <c r="A412" s="6">
        <f ca="1">IFERROR(__xludf.DUMMYFUNCTION("""COMPUTED_VALUE"""),44301)</f>
        <v>44301</v>
      </c>
      <c r="B412" s="7">
        <f ca="1">IFERROR(__xludf.DUMMYFUNCTION("""COMPUTED_VALUE"""),8)</f>
        <v>8</v>
      </c>
      <c r="C412" s="8">
        <f ca="1">IFERROR(__xludf.DUMMYFUNCTION("""COMPUTED_VALUE"""),44301.3333333333)</f>
        <v>44301.333333333299</v>
      </c>
      <c r="D412" s="7">
        <f ca="1">IFERROR(__xludf.DUMMYFUNCTION("""COMPUTED_VALUE"""),6504)</f>
        <v>6504</v>
      </c>
      <c r="E412" s="7">
        <f ca="1">IFERROR(__xludf.DUMMYFUNCTION("""COMPUTED_VALUE"""),382617)</f>
        <v>382617</v>
      </c>
      <c r="F412" s="7">
        <f ca="1">IFERROR(__xludf.DUMMYFUNCTION("""COMPUTED_VALUE"""),3921)</f>
        <v>3921</v>
      </c>
      <c r="G412" s="7">
        <f ca="1">IFERROR(__xludf.DUMMYFUNCTION("""COMPUTED_VALUE"""),3067)</f>
        <v>3067</v>
      </c>
      <c r="H412" s="7">
        <f ca="1">IFERROR(__xludf.DUMMYFUNCTION("""COMPUTED_VALUE"""),396109)</f>
        <v>396109</v>
      </c>
      <c r="I412" s="7">
        <f ca="1">IFERROR(__xludf.DUMMYFUNCTION("""COMPUTED_VALUE"""),1330)</f>
        <v>1330</v>
      </c>
      <c r="J412" s="7">
        <f ca="1">IFERROR(__xludf.DUMMYFUNCTION("""COMPUTED_VALUE"""),6988)</f>
        <v>6988</v>
      </c>
      <c r="K412" s="7">
        <f ca="1">IFERROR(__xludf.DUMMYFUNCTION("""COMPUTED_VALUE"""),526)</f>
        <v>526</v>
      </c>
      <c r="L412" s="7">
        <f ca="1">IFERROR(__xludf.DUMMYFUNCTION("""COMPUTED_VALUE"""),5357)</f>
        <v>5357</v>
      </c>
      <c r="M412" s="7">
        <f ca="1">IFERROR(__xludf.DUMMYFUNCTION("""COMPUTED_VALUE"""),745)</f>
        <v>745</v>
      </c>
      <c r="N412" s="7">
        <f ca="1">IFERROR(__xludf.DUMMYFUNCTION("""COMPUTED_VALUE"""),886)</f>
        <v>886</v>
      </c>
    </row>
    <row r="413" spans="1:14" ht="13.2" x14ac:dyDescent="0.25">
      <c r="A413" s="6">
        <f ca="1">IFERROR(__xludf.DUMMYFUNCTION("""COMPUTED_VALUE"""),44302)</f>
        <v>44302</v>
      </c>
      <c r="B413" s="7">
        <f ca="1">IFERROR(__xludf.DUMMYFUNCTION("""COMPUTED_VALUE"""),8)</f>
        <v>8</v>
      </c>
      <c r="C413" s="8">
        <f ca="1">IFERROR(__xludf.DUMMYFUNCTION("""COMPUTED_VALUE"""),44302.3333333333)</f>
        <v>44302.333333333299</v>
      </c>
      <c r="D413" s="7">
        <f ca="1">IFERROR(__xludf.DUMMYFUNCTION("""COMPUTED_VALUE"""),6513)</f>
        <v>6513</v>
      </c>
      <c r="E413" s="7">
        <f ca="1">IFERROR(__xludf.DUMMYFUNCTION("""COMPUTED_VALUE"""),383655)</f>
        <v>383655</v>
      </c>
      <c r="F413" s="7">
        <f ca="1">IFERROR(__xludf.DUMMYFUNCTION("""COMPUTED_VALUE"""),3607)</f>
        <v>3607</v>
      </c>
      <c r="G413" s="7">
        <f ca="1">IFERROR(__xludf.DUMMYFUNCTION("""COMPUTED_VALUE"""),3313)</f>
        <v>3313</v>
      </c>
      <c r="H413" s="7">
        <f ca="1">IFERROR(__xludf.DUMMYFUNCTION("""COMPUTED_VALUE"""),397088)</f>
        <v>397088</v>
      </c>
      <c r="I413" s="7">
        <f ca="1">IFERROR(__xludf.DUMMYFUNCTION("""COMPUTED_VALUE"""),979)</f>
        <v>979</v>
      </c>
      <c r="J413" s="7">
        <f ca="1">IFERROR(__xludf.DUMMYFUNCTION("""COMPUTED_VALUE"""),6920)</f>
        <v>6920</v>
      </c>
      <c r="K413" s="7">
        <f ca="1">IFERROR(__xludf.DUMMYFUNCTION("""COMPUTED_VALUE"""),1038)</f>
        <v>1038</v>
      </c>
      <c r="L413" s="7">
        <f ca="1">IFERROR(__xludf.DUMMYFUNCTION("""COMPUTED_VALUE"""),1042)</f>
        <v>1042</v>
      </c>
      <c r="M413" s="7">
        <f ca="1">IFERROR(__xludf.DUMMYFUNCTION("""COMPUTED_VALUE"""),4370)</f>
        <v>4370</v>
      </c>
      <c r="N413" s="7">
        <f ca="1">IFERROR(__xludf.DUMMYFUNCTION("""COMPUTED_VALUE"""),1508)</f>
        <v>1508</v>
      </c>
    </row>
    <row r="414" spans="1:14" ht="13.2" x14ac:dyDescent="0.25">
      <c r="A414" s="6">
        <f ca="1">IFERROR(__xludf.DUMMYFUNCTION("""COMPUTED_VALUE"""),44303)</f>
        <v>44303</v>
      </c>
      <c r="B414" s="7">
        <f ca="1">IFERROR(__xludf.DUMMYFUNCTION("""COMPUTED_VALUE"""),8)</f>
        <v>8</v>
      </c>
      <c r="C414" s="8">
        <f ca="1">IFERROR(__xludf.DUMMYFUNCTION("""COMPUTED_VALUE"""),44303.3333333333)</f>
        <v>44303.333333333299</v>
      </c>
      <c r="D414" s="7">
        <f ca="1">IFERROR(__xludf.DUMMYFUNCTION("""COMPUTED_VALUE"""),6520)</f>
        <v>6520</v>
      </c>
      <c r="E414" s="7">
        <f ca="1">IFERROR(__xludf.DUMMYFUNCTION("""COMPUTED_VALUE"""),384652)</f>
        <v>384652</v>
      </c>
      <c r="F414" s="7">
        <f ca="1">IFERROR(__xludf.DUMMYFUNCTION("""COMPUTED_VALUE"""),3512)</f>
        <v>3512</v>
      </c>
      <c r="G414" s="7">
        <f ca="1">IFERROR(__xludf.DUMMYFUNCTION("""COMPUTED_VALUE"""),3441)</f>
        <v>3441</v>
      </c>
      <c r="H414" s="7">
        <f ca="1">IFERROR(__xludf.DUMMYFUNCTION("""COMPUTED_VALUE"""),398125)</f>
        <v>398125</v>
      </c>
      <c r="I414" s="7">
        <f ca="1">IFERROR(__xludf.DUMMYFUNCTION("""COMPUTED_VALUE"""),1037)</f>
        <v>1037</v>
      </c>
      <c r="J414" s="7">
        <f ca="1">IFERROR(__xludf.DUMMYFUNCTION("""COMPUTED_VALUE"""),6953)</f>
        <v>6953</v>
      </c>
      <c r="K414" s="7">
        <f ca="1">IFERROR(__xludf.DUMMYFUNCTION("""COMPUTED_VALUE"""),997)</f>
        <v>997</v>
      </c>
      <c r="L414" s="7">
        <f ca="1">IFERROR(__xludf.DUMMYFUNCTION("""COMPUTED_VALUE"""),3509)</f>
        <v>3509</v>
      </c>
      <c r="M414" s="7">
        <f ca="1">IFERROR(__xludf.DUMMYFUNCTION("""COMPUTED_VALUE"""),1306)</f>
        <v>1306</v>
      </c>
      <c r="N414" s="7">
        <f ca="1">IFERROR(__xludf.DUMMYFUNCTION("""COMPUTED_VALUE"""),2138)</f>
        <v>2138</v>
      </c>
    </row>
    <row r="415" spans="1:14" ht="13.2" x14ac:dyDescent="0.25">
      <c r="A415" s="6">
        <f ca="1">IFERROR(__xludf.DUMMYFUNCTION("""COMPUTED_VALUE"""),44304)</f>
        <v>44304</v>
      </c>
      <c r="B415" s="7">
        <f ca="1">IFERROR(__xludf.DUMMYFUNCTION("""COMPUTED_VALUE"""),8)</f>
        <v>8</v>
      </c>
      <c r="C415" s="8">
        <f ca="1">IFERROR(__xludf.DUMMYFUNCTION("""COMPUTED_VALUE"""),44304.3333333333)</f>
        <v>44304.333333333299</v>
      </c>
      <c r="D415" s="7">
        <f ca="1">IFERROR(__xludf.DUMMYFUNCTION("""COMPUTED_VALUE"""),6536)</f>
        <v>6536</v>
      </c>
      <c r="E415" s="7">
        <f ca="1">IFERROR(__xludf.DUMMYFUNCTION("""COMPUTED_VALUE"""),385615)</f>
        <v>385615</v>
      </c>
      <c r="F415" s="7">
        <f ca="1">IFERROR(__xludf.DUMMYFUNCTION("""COMPUTED_VALUE"""),3313)</f>
        <v>3313</v>
      </c>
      <c r="G415" s="7">
        <f ca="1">IFERROR(__xludf.DUMMYFUNCTION("""COMPUTED_VALUE"""),3611)</f>
        <v>3611</v>
      </c>
      <c r="H415" s="7">
        <f ca="1">IFERROR(__xludf.DUMMYFUNCTION("""COMPUTED_VALUE"""),399075)</f>
        <v>399075</v>
      </c>
      <c r="I415" s="7">
        <f ca="1">IFERROR(__xludf.DUMMYFUNCTION("""COMPUTED_VALUE"""),950)</f>
        <v>950</v>
      </c>
      <c r="J415" s="7">
        <f ca="1">IFERROR(__xludf.DUMMYFUNCTION("""COMPUTED_VALUE"""),6924)</f>
        <v>6924</v>
      </c>
      <c r="K415" s="7">
        <f ca="1">IFERROR(__xludf.DUMMYFUNCTION("""COMPUTED_VALUE"""),963)</f>
        <v>963</v>
      </c>
      <c r="L415" s="7">
        <f ca="1">IFERROR(__xludf.DUMMYFUNCTION("""COMPUTED_VALUE"""),305)</f>
        <v>305</v>
      </c>
      <c r="M415" s="7">
        <f ca="1">IFERROR(__xludf.DUMMYFUNCTION("""COMPUTED_VALUE"""),1481)</f>
        <v>1481</v>
      </c>
      <c r="N415" s="7">
        <f ca="1">IFERROR(__xludf.DUMMYFUNCTION("""COMPUTED_VALUE"""),5138)</f>
        <v>5138</v>
      </c>
    </row>
    <row r="416" spans="1:14" ht="13.2" x14ac:dyDescent="0.25">
      <c r="A416" s="6">
        <f ca="1">IFERROR(__xludf.DUMMYFUNCTION("""COMPUTED_VALUE"""),44305)</f>
        <v>44305</v>
      </c>
      <c r="B416" s="7">
        <f ca="1">IFERROR(__xludf.DUMMYFUNCTION("""COMPUTED_VALUE"""),8)</f>
        <v>8</v>
      </c>
      <c r="C416" s="8">
        <f ca="1">IFERROR(__xludf.DUMMYFUNCTION("""COMPUTED_VALUE"""),44305.3333333333)</f>
        <v>44305.333333333299</v>
      </c>
      <c r="D416" s="7">
        <f ca="1">IFERROR(__xludf.DUMMYFUNCTION("""COMPUTED_VALUE"""),6558)</f>
        <v>6558</v>
      </c>
      <c r="E416" s="7">
        <f ca="1">IFERROR(__xludf.DUMMYFUNCTION("""COMPUTED_VALUE"""),386606)</f>
        <v>386606</v>
      </c>
      <c r="F416" s="7">
        <f ca="1">IFERROR(__xludf.DUMMYFUNCTION("""COMPUTED_VALUE"""),3218)</f>
        <v>3218</v>
      </c>
      <c r="G416" s="7">
        <f ca="1">IFERROR(__xludf.DUMMYFUNCTION("""COMPUTED_VALUE"""),3666)</f>
        <v>3666</v>
      </c>
      <c r="H416" s="7">
        <f ca="1">IFERROR(__xludf.DUMMYFUNCTION("""COMPUTED_VALUE"""),400048)</f>
        <v>400048</v>
      </c>
      <c r="I416" s="7">
        <f ca="1">IFERROR(__xludf.DUMMYFUNCTION("""COMPUTED_VALUE"""),973)</f>
        <v>973</v>
      </c>
      <c r="J416" s="7">
        <f ca="1">IFERROR(__xludf.DUMMYFUNCTION("""COMPUTED_VALUE"""),6884)</f>
        <v>6884</v>
      </c>
      <c r="K416" s="7">
        <f ca="1">IFERROR(__xludf.DUMMYFUNCTION("""COMPUTED_VALUE"""),991)</f>
        <v>991</v>
      </c>
      <c r="L416" s="7">
        <f ca="1">IFERROR(__xludf.DUMMYFUNCTION("""COMPUTED_VALUE"""),2401)</f>
        <v>2401</v>
      </c>
      <c r="M416" s="7">
        <f ca="1">IFERROR(__xludf.DUMMYFUNCTION("""COMPUTED_VALUE"""),3843)</f>
        <v>3843</v>
      </c>
      <c r="N416" s="7">
        <f ca="1">IFERROR(__xludf.DUMMYFUNCTION("""COMPUTED_VALUE"""),640)</f>
        <v>640</v>
      </c>
    </row>
    <row r="417" spans="1:14" ht="13.2" x14ac:dyDescent="0.25">
      <c r="A417" s="6">
        <f ca="1">IFERROR(__xludf.DUMMYFUNCTION("""COMPUTED_VALUE"""),44306)</f>
        <v>44306</v>
      </c>
      <c r="B417" s="7">
        <f ca="1">IFERROR(__xludf.DUMMYFUNCTION("""COMPUTED_VALUE"""),8)</f>
        <v>8</v>
      </c>
      <c r="C417" s="8">
        <f ca="1">IFERROR(__xludf.DUMMYFUNCTION("""COMPUTED_VALUE"""),44306.3333333333)</f>
        <v>44306.333333333299</v>
      </c>
      <c r="D417" s="7">
        <f ca="1">IFERROR(__xludf.DUMMYFUNCTION("""COMPUTED_VALUE"""),6569)</f>
        <v>6569</v>
      </c>
      <c r="E417" s="7">
        <f ca="1">IFERROR(__xludf.DUMMYFUNCTION("""COMPUTED_VALUE"""),387507)</f>
        <v>387507</v>
      </c>
      <c r="F417" s="7">
        <f ca="1">IFERROR(__xludf.DUMMYFUNCTION("""COMPUTED_VALUE"""),2945)</f>
        <v>2945</v>
      </c>
      <c r="G417" s="7">
        <f ca="1">IFERROR(__xludf.DUMMYFUNCTION("""COMPUTED_VALUE"""),3487)</f>
        <v>3487</v>
      </c>
      <c r="H417" s="7">
        <f ca="1">IFERROR(__xludf.DUMMYFUNCTION("""COMPUTED_VALUE"""),400508)</f>
        <v>400508</v>
      </c>
      <c r="I417" s="7">
        <f ca="1">IFERROR(__xludf.DUMMYFUNCTION("""COMPUTED_VALUE"""),460)</f>
        <v>460</v>
      </c>
      <c r="J417" s="7">
        <f ca="1">IFERROR(__xludf.DUMMYFUNCTION("""COMPUTED_VALUE"""),6432)</f>
        <v>6432</v>
      </c>
      <c r="K417" s="7">
        <f ca="1">IFERROR(__xludf.DUMMYFUNCTION("""COMPUTED_VALUE"""),901)</f>
        <v>901</v>
      </c>
      <c r="L417" s="7">
        <f ca="1">IFERROR(__xludf.DUMMYFUNCTION("""COMPUTED_VALUE"""),1593)</f>
        <v>1593</v>
      </c>
      <c r="M417" s="7">
        <f ca="1">IFERROR(__xludf.DUMMYFUNCTION("""COMPUTED_VALUE"""),3908)</f>
        <v>3908</v>
      </c>
      <c r="N417" s="7">
        <f ca="1">IFERROR(__xludf.DUMMYFUNCTION("""COMPUTED_VALUE"""),931)</f>
        <v>931</v>
      </c>
    </row>
    <row r="418" spans="1:14" ht="13.2" x14ac:dyDescent="0.25">
      <c r="A418" s="6">
        <f ca="1">IFERROR(__xludf.DUMMYFUNCTION("""COMPUTED_VALUE"""),44307)</f>
        <v>44307</v>
      </c>
      <c r="B418" s="7">
        <f ca="1">IFERROR(__xludf.DUMMYFUNCTION("""COMPUTED_VALUE"""),8)</f>
        <v>8</v>
      </c>
      <c r="C418" s="8">
        <f ca="1">IFERROR(__xludf.DUMMYFUNCTION("""COMPUTED_VALUE"""),44307.3333333333)</f>
        <v>44307.333333333299</v>
      </c>
      <c r="D418" s="7">
        <f ca="1">IFERROR(__xludf.DUMMYFUNCTION("""COMPUTED_VALUE"""),6587)</f>
        <v>6587</v>
      </c>
      <c r="E418" s="7">
        <f ca="1">IFERROR(__xludf.DUMMYFUNCTION("""COMPUTED_VALUE"""),388083)</f>
        <v>388083</v>
      </c>
      <c r="F418" s="7">
        <f ca="1">IFERROR(__xludf.DUMMYFUNCTION("""COMPUTED_VALUE"""),2954)</f>
        <v>2954</v>
      </c>
      <c r="G418" s="7">
        <f ca="1">IFERROR(__xludf.DUMMYFUNCTION("""COMPUTED_VALUE"""),3486)</f>
        <v>3486</v>
      </c>
      <c r="H418" s="7">
        <f ca="1">IFERROR(__xludf.DUMMYFUNCTION("""COMPUTED_VALUE"""),401110)</f>
        <v>401110</v>
      </c>
      <c r="I418" s="7">
        <f ca="1">IFERROR(__xludf.DUMMYFUNCTION("""COMPUTED_VALUE"""),602)</f>
        <v>602</v>
      </c>
      <c r="J418" s="7">
        <f ca="1">IFERROR(__xludf.DUMMYFUNCTION("""COMPUTED_VALUE"""),6440)</f>
        <v>6440</v>
      </c>
      <c r="K418" s="7">
        <f ca="1">IFERROR(__xludf.DUMMYFUNCTION("""COMPUTED_VALUE"""),576)</f>
        <v>576</v>
      </c>
      <c r="L418" s="7">
        <f ca="1">IFERROR(__xludf.DUMMYFUNCTION("""COMPUTED_VALUE"""),1179)</f>
        <v>1179</v>
      </c>
      <c r="M418" s="7">
        <f ca="1">IFERROR(__xludf.DUMMYFUNCTION("""COMPUTED_VALUE"""),3865)</f>
        <v>3865</v>
      </c>
      <c r="N418" s="7">
        <f ca="1">IFERROR(__xludf.DUMMYFUNCTION("""COMPUTED_VALUE"""),1396)</f>
        <v>1396</v>
      </c>
    </row>
    <row r="419" spans="1:14" ht="13.2" x14ac:dyDescent="0.25">
      <c r="A419" s="6">
        <f ca="1">IFERROR(__xludf.DUMMYFUNCTION("""COMPUTED_VALUE"""),44308)</f>
        <v>44308</v>
      </c>
      <c r="B419" s="7">
        <f ca="1">IFERROR(__xludf.DUMMYFUNCTION("""COMPUTED_VALUE"""),8)</f>
        <v>8</v>
      </c>
      <c r="C419" s="8">
        <f ca="1">IFERROR(__xludf.DUMMYFUNCTION("""COMPUTED_VALUE"""),44308.3333333333)</f>
        <v>44308.333333333299</v>
      </c>
      <c r="D419" s="7">
        <f ca="1">IFERROR(__xludf.DUMMYFUNCTION("""COMPUTED_VALUE"""),6596)</f>
        <v>6596</v>
      </c>
      <c r="E419" s="7">
        <f ca="1">IFERROR(__xludf.DUMMYFUNCTION("""COMPUTED_VALUE"""),388735)</f>
        <v>388735</v>
      </c>
      <c r="F419" s="7">
        <f ca="1">IFERROR(__xludf.DUMMYFUNCTION("""COMPUTED_VALUE"""),3497)</f>
        <v>3497</v>
      </c>
      <c r="G419" s="7">
        <f ca="1">IFERROR(__xludf.DUMMYFUNCTION("""COMPUTED_VALUE"""),3548)</f>
        <v>3548</v>
      </c>
      <c r="H419" s="7">
        <f ca="1">IFERROR(__xludf.DUMMYFUNCTION("""COMPUTED_VALUE"""),402376)</f>
        <v>402376</v>
      </c>
      <c r="I419" s="7">
        <f ca="1">IFERROR(__xludf.DUMMYFUNCTION("""COMPUTED_VALUE"""),1266)</f>
        <v>1266</v>
      </c>
      <c r="J419" s="7">
        <f ca="1">IFERROR(__xludf.DUMMYFUNCTION("""COMPUTED_VALUE"""),7045)</f>
        <v>7045</v>
      </c>
      <c r="K419" s="7">
        <f ca="1">IFERROR(__xludf.DUMMYFUNCTION("""COMPUTED_VALUE"""),652)</f>
        <v>652</v>
      </c>
      <c r="L419" s="7">
        <f ca="1">IFERROR(__xludf.DUMMYFUNCTION("""COMPUTED_VALUE"""),1136)</f>
        <v>1136</v>
      </c>
      <c r="M419" s="7">
        <f ca="1">IFERROR(__xludf.DUMMYFUNCTION("""COMPUTED_VALUE"""),5043)</f>
        <v>5043</v>
      </c>
      <c r="N419" s="7">
        <f ca="1">IFERROR(__xludf.DUMMYFUNCTION("""COMPUTED_VALUE"""),866)</f>
        <v>866</v>
      </c>
    </row>
    <row r="420" spans="1:14" ht="13.2" x14ac:dyDescent="0.25">
      <c r="A420" s="6">
        <f ca="1">IFERROR(__xludf.DUMMYFUNCTION("""COMPUTED_VALUE"""),44309)</f>
        <v>44309</v>
      </c>
      <c r="B420" s="7">
        <f ca="1">IFERROR(__xludf.DUMMYFUNCTION("""COMPUTED_VALUE"""),8)</f>
        <v>8</v>
      </c>
      <c r="C420" s="8">
        <f ca="1">IFERROR(__xludf.DUMMYFUNCTION("""COMPUTED_VALUE"""),44309.3333333333)</f>
        <v>44309.333333333299</v>
      </c>
      <c r="D420" s="7">
        <f ca="1">IFERROR(__xludf.DUMMYFUNCTION("""COMPUTED_VALUE"""),6612)</f>
        <v>6612</v>
      </c>
      <c r="E420" s="7">
        <f ca="1">IFERROR(__xludf.DUMMYFUNCTION("""COMPUTED_VALUE"""),389445)</f>
        <v>389445</v>
      </c>
      <c r="F420" s="7">
        <f ca="1">IFERROR(__xludf.DUMMYFUNCTION("""COMPUTED_VALUE"""),3584)</f>
        <v>3584</v>
      </c>
      <c r="G420" s="7">
        <f ca="1">IFERROR(__xludf.DUMMYFUNCTION("""COMPUTED_VALUE"""),3619)</f>
        <v>3619</v>
      </c>
      <c r="H420" s="7">
        <f ca="1">IFERROR(__xludf.DUMMYFUNCTION("""COMPUTED_VALUE"""),403260)</f>
        <v>403260</v>
      </c>
      <c r="I420" s="7">
        <f ca="1">IFERROR(__xludf.DUMMYFUNCTION("""COMPUTED_VALUE"""),884)</f>
        <v>884</v>
      </c>
      <c r="J420" s="7">
        <f ca="1">IFERROR(__xludf.DUMMYFUNCTION("""COMPUTED_VALUE"""),7203)</f>
        <v>7203</v>
      </c>
      <c r="K420" s="7">
        <f ca="1">IFERROR(__xludf.DUMMYFUNCTION("""COMPUTED_VALUE"""),710)</f>
        <v>710</v>
      </c>
      <c r="L420" s="7">
        <f ca="1">IFERROR(__xludf.DUMMYFUNCTION("""COMPUTED_VALUE"""),872)</f>
        <v>872</v>
      </c>
      <c r="M420" s="7">
        <f ca="1">IFERROR(__xludf.DUMMYFUNCTION("""COMPUTED_VALUE"""),4778)</f>
        <v>4778</v>
      </c>
      <c r="N420" s="7">
        <f ca="1">IFERROR(__xludf.DUMMYFUNCTION("""COMPUTED_VALUE"""),1553)</f>
        <v>1553</v>
      </c>
    </row>
    <row r="421" spans="1:14" ht="13.2" x14ac:dyDescent="0.25">
      <c r="A421" s="6">
        <f ca="1">IFERROR(__xludf.DUMMYFUNCTION("""COMPUTED_VALUE"""),44310)</f>
        <v>44310</v>
      </c>
      <c r="B421" s="7">
        <f ca="1">IFERROR(__xludf.DUMMYFUNCTION("""COMPUTED_VALUE"""),8)</f>
        <v>8</v>
      </c>
      <c r="C421" s="8">
        <f ca="1">IFERROR(__xludf.DUMMYFUNCTION("""COMPUTED_VALUE"""),44310.3333333333)</f>
        <v>44310.333333333299</v>
      </c>
      <c r="D421" s="7">
        <f ca="1">IFERROR(__xludf.DUMMYFUNCTION("""COMPUTED_VALUE"""),6623)</f>
        <v>6623</v>
      </c>
      <c r="E421" s="7">
        <f ca="1">IFERROR(__xludf.DUMMYFUNCTION("""COMPUTED_VALUE"""),390334)</f>
        <v>390334</v>
      </c>
      <c r="F421" s="7">
        <f ca="1">IFERROR(__xludf.DUMMYFUNCTION("""COMPUTED_VALUE"""),3563)</f>
        <v>3563</v>
      </c>
      <c r="G421" s="7">
        <f ca="1">IFERROR(__xludf.DUMMYFUNCTION("""COMPUTED_VALUE"""),3647)</f>
        <v>3647</v>
      </c>
      <c r="H421" s="7">
        <f ca="1">IFERROR(__xludf.DUMMYFUNCTION("""COMPUTED_VALUE"""),404167)</f>
        <v>404167</v>
      </c>
      <c r="I421" s="7">
        <f ca="1">IFERROR(__xludf.DUMMYFUNCTION("""COMPUTED_VALUE"""),907)</f>
        <v>907</v>
      </c>
      <c r="J421" s="7">
        <f ca="1">IFERROR(__xludf.DUMMYFUNCTION("""COMPUTED_VALUE"""),7210)</f>
        <v>7210</v>
      </c>
      <c r="K421" s="7">
        <f ca="1">IFERROR(__xludf.DUMMYFUNCTION("""COMPUTED_VALUE"""),889)</f>
        <v>889</v>
      </c>
      <c r="L421" s="7">
        <f ca="1">IFERROR(__xludf.DUMMYFUNCTION("""COMPUTED_VALUE"""),697)</f>
        <v>697</v>
      </c>
      <c r="M421" s="7">
        <f ca="1">IFERROR(__xludf.DUMMYFUNCTION("""COMPUTED_VALUE"""),4296)</f>
        <v>4296</v>
      </c>
      <c r="N421" s="7">
        <f ca="1">IFERROR(__xludf.DUMMYFUNCTION("""COMPUTED_VALUE"""),2217)</f>
        <v>2217</v>
      </c>
    </row>
    <row r="422" spans="1:14" ht="13.2" x14ac:dyDescent="0.25">
      <c r="A422" s="6">
        <f ca="1">IFERROR(__xludf.DUMMYFUNCTION("""COMPUTED_VALUE"""),44311)</f>
        <v>44311</v>
      </c>
      <c r="B422" s="7">
        <f ca="1">IFERROR(__xludf.DUMMYFUNCTION("""COMPUTED_VALUE"""),8)</f>
        <v>8</v>
      </c>
      <c r="C422" s="8">
        <f ca="1">IFERROR(__xludf.DUMMYFUNCTION("""COMPUTED_VALUE"""),44311.3333333333)</f>
        <v>44311.333333333299</v>
      </c>
      <c r="D422" s="7">
        <f ca="1">IFERROR(__xludf.DUMMYFUNCTION("""COMPUTED_VALUE"""),6645)</f>
        <v>6645</v>
      </c>
      <c r="E422" s="7">
        <f ca="1">IFERROR(__xludf.DUMMYFUNCTION("""COMPUTED_VALUE"""),391301)</f>
        <v>391301</v>
      </c>
      <c r="F422" s="7">
        <f ca="1">IFERROR(__xludf.DUMMYFUNCTION("""COMPUTED_VALUE"""),3399)</f>
        <v>3399</v>
      </c>
      <c r="G422" s="7">
        <f ca="1">IFERROR(__xludf.DUMMYFUNCTION("""COMPUTED_VALUE"""),3718)</f>
        <v>3718</v>
      </c>
      <c r="H422" s="7">
        <f ca="1">IFERROR(__xludf.DUMMYFUNCTION("""COMPUTED_VALUE"""),405063)</f>
        <v>405063</v>
      </c>
      <c r="I422" s="7">
        <f ca="1">IFERROR(__xludf.DUMMYFUNCTION("""COMPUTED_VALUE"""),896)</f>
        <v>896</v>
      </c>
      <c r="J422" s="7">
        <f ca="1">IFERROR(__xludf.DUMMYFUNCTION("""COMPUTED_VALUE"""),7117)</f>
        <v>7117</v>
      </c>
      <c r="K422" s="7">
        <f ca="1">IFERROR(__xludf.DUMMYFUNCTION("""COMPUTED_VALUE"""),967)</f>
        <v>967</v>
      </c>
      <c r="L422" s="7">
        <f ca="1">IFERROR(__xludf.DUMMYFUNCTION("""COMPUTED_VALUE"""),1329)</f>
        <v>1329</v>
      </c>
      <c r="M422" s="7">
        <f ca="1">IFERROR(__xludf.DUMMYFUNCTION("""COMPUTED_VALUE"""),5213)</f>
        <v>5213</v>
      </c>
      <c r="N422" s="7">
        <f ca="1">IFERROR(__xludf.DUMMYFUNCTION("""COMPUTED_VALUE"""),575)</f>
        <v>575</v>
      </c>
    </row>
    <row r="423" spans="1:14" ht="13.2" x14ac:dyDescent="0.25">
      <c r="A423" s="6">
        <f ca="1">IFERROR(__xludf.DUMMYFUNCTION("""COMPUTED_VALUE"""),44312)</f>
        <v>44312</v>
      </c>
      <c r="B423" s="7">
        <f ca="1">IFERROR(__xludf.DUMMYFUNCTION("""COMPUTED_VALUE"""),8)</f>
        <v>8</v>
      </c>
      <c r="C423" s="8">
        <f ca="1">IFERROR(__xludf.DUMMYFUNCTION("""COMPUTED_VALUE"""),44312.3333333333)</f>
        <v>44312.333333333299</v>
      </c>
      <c r="D423" s="7">
        <f ca="1">IFERROR(__xludf.DUMMYFUNCTION("""COMPUTED_VALUE"""),6660)</f>
        <v>6660</v>
      </c>
      <c r="E423" s="7">
        <f ca="1">IFERROR(__xludf.DUMMYFUNCTION("""COMPUTED_VALUE"""),392595)</f>
        <v>392595</v>
      </c>
      <c r="F423" s="7">
        <f ca="1">IFERROR(__xludf.DUMMYFUNCTION("""COMPUTED_VALUE"""),3152)</f>
        <v>3152</v>
      </c>
      <c r="G423" s="7">
        <f ca="1">IFERROR(__xludf.DUMMYFUNCTION("""COMPUTED_VALUE"""),3405)</f>
        <v>3405</v>
      </c>
      <c r="H423" s="7">
        <f ca="1">IFERROR(__xludf.DUMMYFUNCTION("""COMPUTED_VALUE"""),405812)</f>
        <v>405812</v>
      </c>
      <c r="I423" s="7">
        <f ca="1">IFERROR(__xludf.DUMMYFUNCTION("""COMPUTED_VALUE"""),749)</f>
        <v>749</v>
      </c>
      <c r="J423" s="7">
        <f ca="1">IFERROR(__xludf.DUMMYFUNCTION("""COMPUTED_VALUE"""),6557)</f>
        <v>6557</v>
      </c>
      <c r="K423" s="7">
        <f ca="1">IFERROR(__xludf.DUMMYFUNCTION("""COMPUTED_VALUE"""),1294)</f>
        <v>1294</v>
      </c>
      <c r="L423" s="7">
        <f ca="1">IFERROR(__xludf.DUMMYFUNCTION("""COMPUTED_VALUE"""),1112)</f>
        <v>1112</v>
      </c>
      <c r="M423" s="7">
        <f ca="1">IFERROR(__xludf.DUMMYFUNCTION("""COMPUTED_VALUE"""),4478)</f>
        <v>4478</v>
      </c>
      <c r="N423" s="7">
        <f ca="1">IFERROR(__xludf.DUMMYFUNCTION("""COMPUTED_VALUE"""),967)</f>
        <v>967</v>
      </c>
    </row>
    <row r="424" spans="1:14" ht="13.2" x14ac:dyDescent="0.25">
      <c r="A424" s="6">
        <f ca="1">IFERROR(__xludf.DUMMYFUNCTION("""COMPUTED_VALUE"""),44313)</f>
        <v>44313</v>
      </c>
      <c r="B424" s="7">
        <f ca="1">IFERROR(__xludf.DUMMYFUNCTION("""COMPUTED_VALUE"""),8)</f>
        <v>8</v>
      </c>
      <c r="C424" s="8">
        <f ca="1">IFERROR(__xludf.DUMMYFUNCTION("""COMPUTED_VALUE"""),44313.3333333333)</f>
        <v>44313.333333333299</v>
      </c>
      <c r="D424" s="7">
        <f ca="1">IFERROR(__xludf.DUMMYFUNCTION("""COMPUTED_VALUE"""),6679)</f>
        <v>6679</v>
      </c>
      <c r="E424" s="7">
        <f ca="1">IFERROR(__xludf.DUMMYFUNCTION("""COMPUTED_VALUE"""),393205)</f>
        <v>393205</v>
      </c>
      <c r="F424" s="7">
        <f ca="1">IFERROR(__xludf.DUMMYFUNCTION("""COMPUTED_VALUE"""),2999)</f>
        <v>2999</v>
      </c>
      <c r="G424" s="7">
        <f ca="1">IFERROR(__xludf.DUMMYFUNCTION("""COMPUTED_VALUE"""),3322)</f>
        <v>3322</v>
      </c>
      <c r="H424" s="7">
        <f ca="1">IFERROR(__xludf.DUMMYFUNCTION("""COMPUTED_VALUE"""),406205)</f>
        <v>406205</v>
      </c>
      <c r="I424" s="7">
        <f ca="1">IFERROR(__xludf.DUMMYFUNCTION("""COMPUTED_VALUE"""),393)</f>
        <v>393</v>
      </c>
      <c r="J424" s="7">
        <f ca="1">IFERROR(__xludf.DUMMYFUNCTION("""COMPUTED_VALUE"""),6321)</f>
        <v>6321</v>
      </c>
      <c r="K424" s="7">
        <f ca="1">IFERROR(__xludf.DUMMYFUNCTION("""COMPUTED_VALUE"""),610)</f>
        <v>610</v>
      </c>
      <c r="L424" s="7">
        <f ca="1">IFERROR(__xludf.DUMMYFUNCTION("""COMPUTED_VALUE"""),1327)</f>
        <v>1327</v>
      </c>
      <c r="M424" s="7">
        <f ca="1">IFERROR(__xludf.DUMMYFUNCTION("""COMPUTED_VALUE"""),4760)</f>
        <v>4760</v>
      </c>
      <c r="N424" s="7">
        <f ca="1">IFERROR(__xludf.DUMMYFUNCTION("""COMPUTED_VALUE"""),234)</f>
        <v>234</v>
      </c>
    </row>
    <row r="425" spans="1:14" ht="13.2" x14ac:dyDescent="0.25">
      <c r="A425" s="6">
        <f ca="1">IFERROR(__xludf.DUMMYFUNCTION("""COMPUTED_VALUE"""),44314)</f>
        <v>44314</v>
      </c>
      <c r="B425" s="7">
        <f ca="1">IFERROR(__xludf.DUMMYFUNCTION("""COMPUTED_VALUE"""),8)</f>
        <v>8</v>
      </c>
      <c r="C425" s="8">
        <f ca="1">IFERROR(__xludf.DUMMYFUNCTION("""COMPUTED_VALUE"""),44314.3333333333)</f>
        <v>44314.333333333299</v>
      </c>
      <c r="D425" s="7">
        <f ca="1">IFERROR(__xludf.DUMMYFUNCTION("""COMPUTED_VALUE"""),6690)</f>
        <v>6690</v>
      </c>
      <c r="E425" s="7">
        <f ca="1">IFERROR(__xludf.DUMMYFUNCTION("""COMPUTED_VALUE"""),393814)</f>
        <v>393814</v>
      </c>
      <c r="F425" s="7">
        <f ca="1">IFERROR(__xludf.DUMMYFUNCTION("""COMPUTED_VALUE"""),2950)</f>
        <v>2950</v>
      </c>
      <c r="G425" s="7">
        <f ca="1">IFERROR(__xludf.DUMMYFUNCTION("""COMPUTED_VALUE"""),3390)</f>
        <v>3390</v>
      </c>
      <c r="H425" s="7">
        <f ca="1">IFERROR(__xludf.DUMMYFUNCTION("""COMPUTED_VALUE"""),406844)</f>
        <v>406844</v>
      </c>
      <c r="I425" s="7">
        <f ca="1">IFERROR(__xludf.DUMMYFUNCTION("""COMPUTED_VALUE"""),639)</f>
        <v>639</v>
      </c>
      <c r="J425" s="7">
        <f ca="1">IFERROR(__xludf.DUMMYFUNCTION("""COMPUTED_VALUE"""),6340)</f>
        <v>6340</v>
      </c>
      <c r="K425" s="7">
        <f ca="1">IFERROR(__xludf.DUMMYFUNCTION("""COMPUTED_VALUE"""),609)</f>
        <v>609</v>
      </c>
      <c r="L425" s="7">
        <f ca="1">IFERROR(__xludf.DUMMYFUNCTION("""COMPUTED_VALUE"""),1208)</f>
        <v>1208</v>
      </c>
      <c r="M425" s="7">
        <f ca="1">IFERROR(__xludf.DUMMYFUNCTION("""COMPUTED_VALUE"""),4391)</f>
        <v>4391</v>
      </c>
      <c r="N425" s="7">
        <f ca="1">IFERROR(__xludf.DUMMYFUNCTION("""COMPUTED_VALUE"""),741)</f>
        <v>741</v>
      </c>
    </row>
    <row r="426" spans="1:14" ht="13.2" x14ac:dyDescent="0.25">
      <c r="A426" s="6">
        <f ca="1">IFERROR(__xludf.DUMMYFUNCTION("""COMPUTED_VALUE"""),44315)</f>
        <v>44315</v>
      </c>
      <c r="B426" s="7">
        <f ca="1">IFERROR(__xludf.DUMMYFUNCTION("""COMPUTED_VALUE"""),8)</f>
        <v>8</v>
      </c>
      <c r="C426" s="8">
        <f ca="1">IFERROR(__xludf.DUMMYFUNCTION("""COMPUTED_VALUE"""),44315.3333333333)</f>
        <v>44315.333333333299</v>
      </c>
      <c r="D426" s="7">
        <f ca="1">IFERROR(__xludf.DUMMYFUNCTION("""COMPUTED_VALUE"""),6710)</f>
        <v>6710</v>
      </c>
      <c r="E426" s="7">
        <f ca="1">IFERROR(__xludf.DUMMYFUNCTION("""COMPUTED_VALUE"""),394403)</f>
        <v>394403</v>
      </c>
      <c r="F426" s="7">
        <f ca="1">IFERROR(__xludf.DUMMYFUNCTION("""COMPUTED_VALUE"""),3308)</f>
        <v>3308</v>
      </c>
      <c r="G426" s="7">
        <f ca="1">IFERROR(__xludf.DUMMYFUNCTION("""COMPUTED_VALUE"""),3410)</f>
        <v>3410</v>
      </c>
      <c r="H426" s="7">
        <f ca="1">IFERROR(__xludf.DUMMYFUNCTION("""COMPUTED_VALUE"""),407831)</f>
        <v>407831</v>
      </c>
      <c r="I426" s="7">
        <f ca="1">IFERROR(__xludf.DUMMYFUNCTION("""COMPUTED_VALUE"""),987)</f>
        <v>987</v>
      </c>
      <c r="J426" s="7">
        <f ca="1">IFERROR(__xludf.DUMMYFUNCTION("""COMPUTED_VALUE"""),6718)</f>
        <v>6718</v>
      </c>
      <c r="K426" s="7">
        <f ca="1">IFERROR(__xludf.DUMMYFUNCTION("""COMPUTED_VALUE"""),589)</f>
        <v>589</v>
      </c>
      <c r="L426" s="7">
        <f ca="1">IFERROR(__xludf.DUMMYFUNCTION("""COMPUTED_VALUE"""),1012)</f>
        <v>1012</v>
      </c>
      <c r="M426" s="7">
        <f ca="1">IFERROR(__xludf.DUMMYFUNCTION("""COMPUTED_VALUE"""),4320)</f>
        <v>4320</v>
      </c>
      <c r="N426" s="7">
        <f ca="1">IFERROR(__xludf.DUMMYFUNCTION("""COMPUTED_VALUE"""),1386)</f>
        <v>1386</v>
      </c>
    </row>
    <row r="427" spans="1:14" ht="13.2" x14ac:dyDescent="0.25">
      <c r="A427" s="6">
        <f ca="1">IFERROR(__xludf.DUMMYFUNCTION("""COMPUTED_VALUE"""),44316)</f>
        <v>44316</v>
      </c>
      <c r="B427" s="7">
        <f ca="1">IFERROR(__xludf.DUMMYFUNCTION("""COMPUTED_VALUE"""),8)</f>
        <v>8</v>
      </c>
      <c r="C427" s="8">
        <f ca="1">IFERROR(__xludf.DUMMYFUNCTION("""COMPUTED_VALUE"""),44316.3333333333)</f>
        <v>44316.333333333299</v>
      </c>
      <c r="D427" s="7">
        <f ca="1">IFERROR(__xludf.DUMMYFUNCTION("""COMPUTED_VALUE"""),6733)</f>
        <v>6733</v>
      </c>
      <c r="E427" s="7">
        <f ca="1">IFERROR(__xludf.DUMMYFUNCTION("""COMPUTED_VALUE"""),394939)</f>
        <v>394939</v>
      </c>
      <c r="F427" s="7">
        <f ca="1">IFERROR(__xludf.DUMMYFUNCTION("""COMPUTED_VALUE"""),3421)</f>
        <v>3421</v>
      </c>
      <c r="G427" s="7">
        <f ca="1">IFERROR(__xludf.DUMMYFUNCTION("""COMPUTED_VALUE"""),3527)</f>
        <v>3527</v>
      </c>
      <c r="H427" s="7">
        <f ca="1">IFERROR(__xludf.DUMMYFUNCTION("""COMPUTED_VALUE"""),408620)</f>
        <v>408620</v>
      </c>
      <c r="I427" s="7">
        <f ca="1">IFERROR(__xludf.DUMMYFUNCTION("""COMPUTED_VALUE"""),789)</f>
        <v>789</v>
      </c>
      <c r="J427" s="7">
        <f ca="1">IFERROR(__xludf.DUMMYFUNCTION("""COMPUTED_VALUE"""),6948)</f>
        <v>6948</v>
      </c>
      <c r="K427" s="7">
        <f ca="1">IFERROR(__xludf.DUMMYFUNCTION("""COMPUTED_VALUE"""),536)</f>
        <v>536</v>
      </c>
      <c r="L427" s="7">
        <f ca="1">IFERROR(__xludf.DUMMYFUNCTION("""COMPUTED_VALUE"""),1209)</f>
        <v>1209</v>
      </c>
      <c r="M427" s="7">
        <f ca="1">IFERROR(__xludf.DUMMYFUNCTION("""COMPUTED_VALUE"""),5210)</f>
        <v>5210</v>
      </c>
      <c r="N427" s="7">
        <f ca="1">IFERROR(__xludf.DUMMYFUNCTION("""COMPUTED_VALUE"""),529)</f>
        <v>529</v>
      </c>
    </row>
    <row r="428" spans="1:14" ht="13.2" x14ac:dyDescent="0.25">
      <c r="A428" s="6">
        <f ca="1">IFERROR(__xludf.DUMMYFUNCTION("""COMPUTED_VALUE"""),44317)</f>
        <v>44317</v>
      </c>
      <c r="B428" s="7">
        <f ca="1">IFERROR(__xludf.DUMMYFUNCTION("""COMPUTED_VALUE"""),8)</f>
        <v>8</v>
      </c>
      <c r="C428" s="8">
        <f ca="1">IFERROR(__xludf.DUMMYFUNCTION("""COMPUTED_VALUE"""),44317.3333333333)</f>
        <v>44317.333333333299</v>
      </c>
      <c r="D428" s="7">
        <f ca="1">IFERROR(__xludf.DUMMYFUNCTION("""COMPUTED_VALUE"""),6747)</f>
        <v>6747</v>
      </c>
      <c r="E428" s="7">
        <f ca="1">IFERROR(__xludf.DUMMYFUNCTION("""COMPUTED_VALUE"""),395644)</f>
        <v>395644</v>
      </c>
      <c r="F428" s="7">
        <f ca="1">IFERROR(__xludf.DUMMYFUNCTION("""COMPUTED_VALUE"""),3533)</f>
        <v>3533</v>
      </c>
      <c r="G428" s="7">
        <f ca="1">IFERROR(__xludf.DUMMYFUNCTION("""COMPUTED_VALUE"""),3622)</f>
        <v>3622</v>
      </c>
      <c r="H428" s="7">
        <f ca="1">IFERROR(__xludf.DUMMYFUNCTION("""COMPUTED_VALUE"""),409546)</f>
        <v>409546</v>
      </c>
      <c r="I428" s="7">
        <f ca="1">IFERROR(__xludf.DUMMYFUNCTION("""COMPUTED_VALUE"""),926)</f>
        <v>926</v>
      </c>
      <c r="J428" s="7">
        <f ca="1">IFERROR(__xludf.DUMMYFUNCTION("""COMPUTED_VALUE"""),7155)</f>
        <v>7155</v>
      </c>
      <c r="K428" s="7">
        <f ca="1">IFERROR(__xludf.DUMMYFUNCTION("""COMPUTED_VALUE"""),705)</f>
        <v>705</v>
      </c>
      <c r="L428" s="7">
        <f ca="1">IFERROR(__xludf.DUMMYFUNCTION("""COMPUTED_VALUE"""),1039)</f>
        <v>1039</v>
      </c>
      <c r="M428" s="7">
        <f ca="1">IFERROR(__xludf.DUMMYFUNCTION("""COMPUTED_VALUE"""),4940)</f>
        <v>4940</v>
      </c>
      <c r="N428" s="7">
        <f ca="1">IFERROR(__xludf.DUMMYFUNCTION("""COMPUTED_VALUE"""),1176)</f>
        <v>1176</v>
      </c>
    </row>
    <row r="429" spans="1:14" ht="13.2" x14ac:dyDescent="0.25">
      <c r="A429" s="6">
        <f ca="1">IFERROR(__xludf.DUMMYFUNCTION("""COMPUTED_VALUE"""),44318)</f>
        <v>44318</v>
      </c>
      <c r="B429" s="7">
        <f ca="1">IFERROR(__xludf.DUMMYFUNCTION("""COMPUTED_VALUE"""),8)</f>
        <v>8</v>
      </c>
      <c r="C429" s="8">
        <f ca="1">IFERROR(__xludf.DUMMYFUNCTION("""COMPUTED_VALUE"""),44318.3333333333)</f>
        <v>44318.333333333299</v>
      </c>
      <c r="D429" s="7">
        <f ca="1">IFERROR(__xludf.DUMMYFUNCTION("""COMPUTED_VALUE"""),6767)</f>
        <v>6767</v>
      </c>
      <c r="E429" s="7">
        <f ca="1">IFERROR(__xludf.DUMMYFUNCTION("""COMPUTED_VALUE"""),396594)</f>
        <v>396594</v>
      </c>
      <c r="F429" s="7">
        <f ca="1">IFERROR(__xludf.DUMMYFUNCTION("""COMPUTED_VALUE"""),3450)</f>
        <v>3450</v>
      </c>
      <c r="G429" s="7">
        <f ca="1">IFERROR(__xludf.DUMMYFUNCTION("""COMPUTED_VALUE"""),3589)</f>
        <v>3589</v>
      </c>
      <c r="H429" s="7">
        <f ca="1">IFERROR(__xludf.DUMMYFUNCTION("""COMPUTED_VALUE"""),410400)</f>
        <v>410400</v>
      </c>
      <c r="I429" s="7">
        <f ca="1">IFERROR(__xludf.DUMMYFUNCTION("""COMPUTED_VALUE"""),854)</f>
        <v>854</v>
      </c>
      <c r="J429" s="7">
        <f ca="1">IFERROR(__xludf.DUMMYFUNCTION("""COMPUTED_VALUE"""),7039)</f>
        <v>7039</v>
      </c>
      <c r="K429" s="7">
        <f ca="1">IFERROR(__xludf.DUMMYFUNCTION("""COMPUTED_VALUE"""),950)</f>
        <v>950</v>
      </c>
      <c r="L429" s="7">
        <f ca="1">IFERROR(__xludf.DUMMYFUNCTION("""COMPUTED_VALUE"""),842)</f>
        <v>842</v>
      </c>
      <c r="M429" s="7">
        <f ca="1">IFERROR(__xludf.DUMMYFUNCTION("""COMPUTED_VALUE"""),4574)</f>
        <v>4574</v>
      </c>
      <c r="N429" s="7">
        <f ca="1">IFERROR(__xludf.DUMMYFUNCTION("""COMPUTED_VALUE"""),1623)</f>
        <v>1623</v>
      </c>
    </row>
    <row r="430" spans="1:14" ht="13.2" x14ac:dyDescent="0.25">
      <c r="A430" s="6">
        <f ca="1">IFERROR(__xludf.DUMMYFUNCTION("""COMPUTED_VALUE"""),44319)</f>
        <v>44319</v>
      </c>
      <c r="B430" s="7">
        <f ca="1">IFERROR(__xludf.DUMMYFUNCTION("""COMPUTED_VALUE"""),8)</f>
        <v>8</v>
      </c>
      <c r="C430" s="8">
        <f ca="1">IFERROR(__xludf.DUMMYFUNCTION("""COMPUTED_VALUE"""),44319.3333333333)</f>
        <v>44319.333333333299</v>
      </c>
      <c r="D430" s="7">
        <f ca="1">IFERROR(__xludf.DUMMYFUNCTION("""COMPUTED_VALUE"""),6788)</f>
        <v>6788</v>
      </c>
      <c r="E430" s="7">
        <f ca="1">IFERROR(__xludf.DUMMYFUNCTION("""COMPUTED_VALUE"""),397349)</f>
        <v>397349</v>
      </c>
      <c r="F430" s="7">
        <f ca="1">IFERROR(__xludf.DUMMYFUNCTION("""COMPUTED_VALUE"""),3483)</f>
        <v>3483</v>
      </c>
      <c r="G430" s="7">
        <f ca="1">IFERROR(__xludf.DUMMYFUNCTION("""COMPUTED_VALUE"""),3537)</f>
        <v>3537</v>
      </c>
      <c r="H430" s="7">
        <f ca="1">IFERROR(__xludf.DUMMYFUNCTION("""COMPUTED_VALUE"""),411157)</f>
        <v>411157</v>
      </c>
      <c r="I430" s="7">
        <f ca="1">IFERROR(__xludf.DUMMYFUNCTION("""COMPUTED_VALUE"""),757)</f>
        <v>757</v>
      </c>
      <c r="J430" s="7">
        <f ca="1">IFERROR(__xludf.DUMMYFUNCTION("""COMPUTED_VALUE"""),7020)</f>
        <v>7020</v>
      </c>
      <c r="K430" s="7">
        <f ca="1">IFERROR(__xludf.DUMMYFUNCTION("""COMPUTED_VALUE"""),755)</f>
        <v>755</v>
      </c>
      <c r="L430" s="7">
        <f ca="1">IFERROR(__xludf.DUMMYFUNCTION("""COMPUTED_VALUE"""),1349)</f>
        <v>1349</v>
      </c>
      <c r="M430" s="7">
        <f ca="1">IFERROR(__xludf.DUMMYFUNCTION("""COMPUTED_VALUE"""),5473)</f>
        <v>5473</v>
      </c>
      <c r="N430" s="7">
        <f ca="1">IFERROR(__xludf.DUMMYFUNCTION("""COMPUTED_VALUE"""),198)</f>
        <v>198</v>
      </c>
    </row>
    <row r="431" spans="1:14" ht="13.2" x14ac:dyDescent="0.25">
      <c r="A431" s="6">
        <f ca="1">IFERROR(__xludf.DUMMYFUNCTION("""COMPUTED_VALUE"""),44320)</f>
        <v>44320</v>
      </c>
      <c r="B431" s="7">
        <f ca="1">IFERROR(__xludf.DUMMYFUNCTION("""COMPUTED_VALUE"""),8)</f>
        <v>8</v>
      </c>
      <c r="C431" s="8">
        <f ca="1">IFERROR(__xludf.DUMMYFUNCTION("""COMPUTED_VALUE"""),44320.3333333333)</f>
        <v>44320.333333333299</v>
      </c>
      <c r="D431" s="7">
        <f ca="1">IFERROR(__xludf.DUMMYFUNCTION("""COMPUTED_VALUE"""),6807)</f>
        <v>6807</v>
      </c>
      <c r="E431" s="7">
        <f ca="1">IFERROR(__xludf.DUMMYFUNCTION("""COMPUTED_VALUE"""),397955)</f>
        <v>397955</v>
      </c>
      <c r="F431" s="7">
        <f ca="1">IFERROR(__xludf.DUMMYFUNCTION("""COMPUTED_VALUE"""),3247)</f>
        <v>3247</v>
      </c>
      <c r="G431" s="7">
        <f ca="1">IFERROR(__xludf.DUMMYFUNCTION("""COMPUTED_VALUE"""),3564)</f>
        <v>3564</v>
      </c>
      <c r="H431" s="7">
        <f ca="1">IFERROR(__xludf.DUMMYFUNCTION("""COMPUTED_VALUE"""),411573)</f>
        <v>411573</v>
      </c>
      <c r="I431" s="7">
        <f ca="1">IFERROR(__xludf.DUMMYFUNCTION("""COMPUTED_VALUE"""),416)</f>
        <v>416</v>
      </c>
      <c r="J431" s="7">
        <f ca="1">IFERROR(__xludf.DUMMYFUNCTION("""COMPUTED_VALUE"""),6811)</f>
        <v>6811</v>
      </c>
      <c r="K431" s="7">
        <f ca="1">IFERROR(__xludf.DUMMYFUNCTION("""COMPUTED_VALUE"""),606)</f>
        <v>606</v>
      </c>
      <c r="L431" s="7">
        <f ca="1">IFERROR(__xludf.DUMMYFUNCTION("""COMPUTED_VALUE"""),1182)</f>
        <v>1182</v>
      </c>
      <c r="M431" s="7">
        <f ca="1">IFERROR(__xludf.DUMMYFUNCTION("""COMPUTED_VALUE"""),5158)</f>
        <v>5158</v>
      </c>
      <c r="N431" s="7">
        <f ca="1">IFERROR(__xludf.DUMMYFUNCTION("""COMPUTED_VALUE"""),471)</f>
        <v>471</v>
      </c>
    </row>
    <row r="432" spans="1:14" ht="13.2" x14ac:dyDescent="0.25">
      <c r="A432" s="6">
        <f ca="1">IFERROR(__xludf.DUMMYFUNCTION("""COMPUTED_VALUE"""),44321)</f>
        <v>44321</v>
      </c>
      <c r="B432" s="7">
        <f ca="1">IFERROR(__xludf.DUMMYFUNCTION("""COMPUTED_VALUE"""),8)</f>
        <v>8</v>
      </c>
      <c r="C432" s="8">
        <f ca="1">IFERROR(__xludf.DUMMYFUNCTION("""COMPUTED_VALUE"""),44321.3333333333)</f>
        <v>44321.333333333299</v>
      </c>
      <c r="D432" s="7">
        <f ca="1">IFERROR(__xludf.DUMMYFUNCTION("""COMPUTED_VALUE"""),6830)</f>
        <v>6830</v>
      </c>
      <c r="E432" s="7">
        <f ca="1">IFERROR(__xludf.DUMMYFUNCTION("""COMPUTED_VALUE"""),398610)</f>
        <v>398610</v>
      </c>
      <c r="F432" s="7">
        <f ca="1">IFERROR(__xludf.DUMMYFUNCTION("""COMPUTED_VALUE"""),3240)</f>
        <v>3240</v>
      </c>
      <c r="G432" s="7">
        <f ca="1">IFERROR(__xludf.DUMMYFUNCTION("""COMPUTED_VALUE"""),3738)</f>
        <v>3738</v>
      </c>
      <c r="H432" s="7">
        <f ca="1">IFERROR(__xludf.DUMMYFUNCTION("""COMPUTED_VALUE"""),412418)</f>
        <v>412418</v>
      </c>
      <c r="I432" s="7">
        <f ca="1">IFERROR(__xludf.DUMMYFUNCTION("""COMPUTED_VALUE"""),845)</f>
        <v>845</v>
      </c>
      <c r="J432" s="7">
        <f ca="1">IFERROR(__xludf.DUMMYFUNCTION("""COMPUTED_VALUE"""),6978)</f>
        <v>6978</v>
      </c>
      <c r="K432" s="7">
        <f ca="1">IFERROR(__xludf.DUMMYFUNCTION("""COMPUTED_VALUE"""),655)</f>
        <v>655</v>
      </c>
      <c r="L432" s="7">
        <f ca="1">IFERROR(__xludf.DUMMYFUNCTION("""COMPUTED_VALUE"""),1102)</f>
        <v>1102</v>
      </c>
      <c r="M432" s="7">
        <f ca="1">IFERROR(__xludf.DUMMYFUNCTION("""COMPUTED_VALUE"""),4909)</f>
        <v>4909</v>
      </c>
      <c r="N432" s="7">
        <f ca="1">IFERROR(__xludf.DUMMYFUNCTION("""COMPUTED_VALUE"""),967)</f>
        <v>967</v>
      </c>
    </row>
    <row r="433" spans="1:14" ht="13.2" x14ac:dyDescent="0.25">
      <c r="A433" s="6">
        <f ca="1">IFERROR(__xludf.DUMMYFUNCTION("""COMPUTED_VALUE"""),44322)</f>
        <v>44322</v>
      </c>
      <c r="B433" s="7">
        <f ca="1">IFERROR(__xludf.DUMMYFUNCTION("""COMPUTED_VALUE"""),8)</f>
        <v>8</v>
      </c>
      <c r="C433" s="8">
        <f ca="1">IFERROR(__xludf.DUMMYFUNCTION("""COMPUTED_VALUE"""),44322.3333333333)</f>
        <v>44322.333333333299</v>
      </c>
      <c r="D433" s="7">
        <f ca="1">IFERROR(__xludf.DUMMYFUNCTION("""COMPUTED_VALUE"""),6850)</f>
        <v>6850</v>
      </c>
      <c r="E433" s="7">
        <f ca="1">IFERROR(__xludf.DUMMYFUNCTION("""COMPUTED_VALUE"""),399224)</f>
        <v>399224</v>
      </c>
      <c r="F433" s="7">
        <f ca="1">IFERROR(__xludf.DUMMYFUNCTION("""COMPUTED_VALUE"""),3406)</f>
        <v>3406</v>
      </c>
      <c r="G433" s="7">
        <f ca="1">IFERROR(__xludf.DUMMYFUNCTION("""COMPUTED_VALUE"""),3843)</f>
        <v>3843</v>
      </c>
      <c r="H433" s="7">
        <f ca="1">IFERROR(__xludf.DUMMYFUNCTION("""COMPUTED_VALUE"""),413323)</f>
        <v>413323</v>
      </c>
      <c r="I433" s="7">
        <f ca="1">IFERROR(__xludf.DUMMYFUNCTION("""COMPUTED_VALUE"""),905)</f>
        <v>905</v>
      </c>
      <c r="J433" s="7">
        <f ca="1">IFERROR(__xludf.DUMMYFUNCTION("""COMPUTED_VALUE"""),7249)</f>
        <v>7249</v>
      </c>
      <c r="K433" s="7">
        <f ca="1">IFERROR(__xludf.DUMMYFUNCTION("""COMPUTED_VALUE"""),614)</f>
        <v>614</v>
      </c>
      <c r="L433" s="7">
        <f ca="1">IFERROR(__xludf.DUMMYFUNCTION("""COMPUTED_VALUE"""),1172)</f>
        <v>1172</v>
      </c>
      <c r="M433" s="7">
        <f ca="1">IFERROR(__xludf.DUMMYFUNCTION("""COMPUTED_VALUE"""),5489)</f>
        <v>5489</v>
      </c>
      <c r="N433" s="7">
        <f ca="1">IFERROR(__xludf.DUMMYFUNCTION("""COMPUTED_VALUE"""),588)</f>
        <v>588</v>
      </c>
    </row>
    <row r="434" spans="1:14" ht="13.2" x14ac:dyDescent="0.25">
      <c r="A434" s="6">
        <f ca="1">IFERROR(__xludf.DUMMYFUNCTION("""COMPUTED_VALUE"""),44323)</f>
        <v>44323</v>
      </c>
      <c r="B434" s="7">
        <f ca="1">IFERROR(__xludf.DUMMYFUNCTION("""COMPUTED_VALUE"""),8)</f>
        <v>8</v>
      </c>
      <c r="C434" s="8">
        <f ca="1">IFERROR(__xludf.DUMMYFUNCTION("""COMPUTED_VALUE"""),44323.3333333333)</f>
        <v>44323.333333333299</v>
      </c>
      <c r="D434" s="7">
        <f ca="1">IFERROR(__xludf.DUMMYFUNCTION("""COMPUTED_VALUE"""),6872)</f>
        <v>6872</v>
      </c>
      <c r="E434" s="7">
        <f ca="1">IFERROR(__xludf.DUMMYFUNCTION("""COMPUTED_VALUE"""),399821)</f>
        <v>399821</v>
      </c>
      <c r="F434" s="7">
        <f ca="1">IFERROR(__xludf.DUMMYFUNCTION("""COMPUTED_VALUE"""),3485)</f>
        <v>3485</v>
      </c>
      <c r="G434" s="7">
        <f ca="1">IFERROR(__xludf.DUMMYFUNCTION("""COMPUTED_VALUE"""),3928)</f>
        <v>3928</v>
      </c>
      <c r="H434" s="7">
        <f ca="1">IFERROR(__xludf.DUMMYFUNCTION("""COMPUTED_VALUE"""),414106)</f>
        <v>414106</v>
      </c>
      <c r="I434" s="7">
        <f ca="1">IFERROR(__xludf.DUMMYFUNCTION("""COMPUTED_VALUE"""),783)</f>
        <v>783</v>
      </c>
      <c r="J434" s="7">
        <f ca="1">IFERROR(__xludf.DUMMYFUNCTION("""COMPUTED_VALUE"""),7413)</f>
        <v>7413</v>
      </c>
      <c r="K434" s="7">
        <f ca="1">IFERROR(__xludf.DUMMYFUNCTION("""COMPUTED_VALUE"""),597)</f>
        <v>597</v>
      </c>
      <c r="L434" s="7">
        <f ca="1">IFERROR(__xludf.DUMMYFUNCTION("""COMPUTED_VALUE"""),1131)</f>
        <v>1131</v>
      </c>
      <c r="M434" s="7">
        <f ca="1">IFERROR(__xludf.DUMMYFUNCTION("""COMPUTED_VALUE"""),5192)</f>
        <v>5192</v>
      </c>
      <c r="N434" s="7">
        <f ca="1">IFERROR(__xludf.DUMMYFUNCTION("""COMPUTED_VALUE"""),1090)</f>
        <v>1090</v>
      </c>
    </row>
    <row r="435" spans="1:14" ht="13.2" x14ac:dyDescent="0.25">
      <c r="A435" s="6">
        <f ca="1">IFERROR(__xludf.DUMMYFUNCTION("""COMPUTED_VALUE"""),44324)</f>
        <v>44324</v>
      </c>
      <c r="B435" s="7">
        <f ca="1">IFERROR(__xludf.DUMMYFUNCTION("""COMPUTED_VALUE"""),8)</f>
        <v>8</v>
      </c>
      <c r="C435" s="8">
        <f ca="1">IFERROR(__xludf.DUMMYFUNCTION("""COMPUTED_VALUE"""),44324.3333333333)</f>
        <v>44324.333333333299</v>
      </c>
      <c r="D435" s="7">
        <f ca="1">IFERROR(__xludf.DUMMYFUNCTION("""COMPUTED_VALUE"""),6896)</f>
        <v>6896</v>
      </c>
      <c r="E435" s="7">
        <f ca="1">IFERROR(__xludf.DUMMYFUNCTION("""COMPUTED_VALUE"""),400403)</f>
        <v>400403</v>
      </c>
      <c r="F435" s="7">
        <f ca="1">IFERROR(__xludf.DUMMYFUNCTION("""COMPUTED_VALUE"""),3569)</f>
        <v>3569</v>
      </c>
      <c r="G435" s="7">
        <f ca="1">IFERROR(__xludf.DUMMYFUNCTION("""COMPUTED_VALUE"""),3970)</f>
        <v>3970</v>
      </c>
      <c r="H435" s="7">
        <f ca="1">IFERROR(__xludf.DUMMYFUNCTION("""COMPUTED_VALUE"""),414838)</f>
        <v>414838</v>
      </c>
      <c r="I435" s="7">
        <f ca="1">IFERROR(__xludf.DUMMYFUNCTION("""COMPUTED_VALUE"""),732)</f>
        <v>732</v>
      </c>
      <c r="J435" s="7">
        <f ca="1">IFERROR(__xludf.DUMMYFUNCTION("""COMPUTED_VALUE"""),7539)</f>
        <v>7539</v>
      </c>
      <c r="K435" s="7">
        <f ca="1">IFERROR(__xludf.DUMMYFUNCTION("""COMPUTED_VALUE"""),582)</f>
        <v>582</v>
      </c>
      <c r="L435" s="7">
        <f ca="1">IFERROR(__xludf.DUMMYFUNCTION("""COMPUTED_VALUE"""),947)</f>
        <v>947</v>
      </c>
      <c r="M435" s="7">
        <f ca="1">IFERROR(__xludf.DUMMYFUNCTION("""COMPUTED_VALUE"""),5022)</f>
        <v>5022</v>
      </c>
      <c r="N435" s="7">
        <f ca="1">IFERROR(__xludf.DUMMYFUNCTION("""COMPUTED_VALUE"""),1570)</f>
        <v>1570</v>
      </c>
    </row>
    <row r="436" spans="1:14" ht="13.2" x14ac:dyDescent="0.25">
      <c r="A436" s="6">
        <f ca="1">IFERROR(__xludf.DUMMYFUNCTION("""COMPUTED_VALUE"""),44325)</f>
        <v>44325</v>
      </c>
      <c r="B436" s="7">
        <f ca="1">IFERROR(__xludf.DUMMYFUNCTION("""COMPUTED_VALUE"""),8)</f>
        <v>8</v>
      </c>
      <c r="C436" s="8">
        <f ca="1">IFERROR(__xludf.DUMMYFUNCTION("""COMPUTED_VALUE"""),44325.3333333333)</f>
        <v>44325.333333333299</v>
      </c>
      <c r="D436" s="7">
        <f ca="1">IFERROR(__xludf.DUMMYFUNCTION("""COMPUTED_VALUE"""),6911)</f>
        <v>6911</v>
      </c>
      <c r="E436" s="7">
        <f ca="1">IFERROR(__xludf.DUMMYFUNCTION("""COMPUTED_VALUE"""),401114)</f>
        <v>401114</v>
      </c>
      <c r="F436" s="7">
        <f ca="1">IFERROR(__xludf.DUMMYFUNCTION("""COMPUTED_VALUE"""),3648)</f>
        <v>3648</v>
      </c>
      <c r="G436" s="7">
        <f ca="1">IFERROR(__xludf.DUMMYFUNCTION("""COMPUTED_VALUE"""),3974)</f>
        <v>3974</v>
      </c>
      <c r="H436" s="7">
        <f ca="1">IFERROR(__xludf.DUMMYFUNCTION("""COMPUTED_VALUE"""),415647)</f>
        <v>415647</v>
      </c>
      <c r="I436" s="7">
        <f ca="1">IFERROR(__xludf.DUMMYFUNCTION("""COMPUTED_VALUE"""),809)</f>
        <v>809</v>
      </c>
      <c r="J436" s="7">
        <f ca="1">IFERROR(__xludf.DUMMYFUNCTION("""COMPUTED_VALUE"""),7622)</f>
        <v>7622</v>
      </c>
      <c r="K436" s="7">
        <f ca="1">IFERROR(__xludf.DUMMYFUNCTION("""COMPUTED_VALUE"""),711)</f>
        <v>711</v>
      </c>
      <c r="L436" s="7">
        <f ca="1">IFERROR(__xludf.DUMMYFUNCTION("""COMPUTED_VALUE"""),836)</f>
        <v>836</v>
      </c>
      <c r="M436" s="7">
        <f ca="1">IFERROR(__xludf.DUMMYFUNCTION("""COMPUTED_VALUE"""),4763)</f>
        <v>4763</v>
      </c>
      <c r="N436" s="7">
        <f ca="1">IFERROR(__xludf.DUMMYFUNCTION("""COMPUTED_VALUE"""),2023)</f>
        <v>2023</v>
      </c>
    </row>
    <row r="437" spans="1:14" ht="13.2" x14ac:dyDescent="0.25">
      <c r="A437" s="6">
        <f ca="1">IFERROR(__xludf.DUMMYFUNCTION("""COMPUTED_VALUE"""),44326)</f>
        <v>44326</v>
      </c>
      <c r="B437" s="7">
        <f ca="1">IFERROR(__xludf.DUMMYFUNCTION("""COMPUTED_VALUE"""),8)</f>
        <v>8</v>
      </c>
      <c r="C437" s="8">
        <f ca="1">IFERROR(__xludf.DUMMYFUNCTION("""COMPUTED_VALUE"""),44326.3333333333)</f>
        <v>44326.333333333299</v>
      </c>
      <c r="D437" s="7">
        <f ca="1">IFERROR(__xludf.DUMMYFUNCTION("""COMPUTED_VALUE"""),6933)</f>
        <v>6933</v>
      </c>
      <c r="E437" s="7">
        <f ca="1">IFERROR(__xludf.DUMMYFUNCTION("""COMPUTED_VALUE"""),401744)</f>
        <v>401744</v>
      </c>
      <c r="F437" s="7">
        <f ca="1">IFERROR(__xludf.DUMMYFUNCTION("""COMPUTED_VALUE"""),3723)</f>
        <v>3723</v>
      </c>
      <c r="G437" s="7">
        <f ca="1">IFERROR(__xludf.DUMMYFUNCTION("""COMPUTED_VALUE"""),3941)</f>
        <v>3941</v>
      </c>
      <c r="H437" s="7">
        <f ca="1">IFERROR(__xludf.DUMMYFUNCTION("""COMPUTED_VALUE"""),416341)</f>
        <v>416341</v>
      </c>
      <c r="I437" s="7">
        <f ca="1">IFERROR(__xludf.DUMMYFUNCTION("""COMPUTED_VALUE"""),694)</f>
        <v>694</v>
      </c>
      <c r="J437" s="7">
        <f ca="1">IFERROR(__xludf.DUMMYFUNCTION("""COMPUTED_VALUE"""),7664)</f>
        <v>7664</v>
      </c>
      <c r="K437" s="7">
        <f ca="1">IFERROR(__xludf.DUMMYFUNCTION("""COMPUTED_VALUE"""),630)</f>
        <v>630</v>
      </c>
      <c r="L437" s="7">
        <f ca="1">IFERROR(__xludf.DUMMYFUNCTION("""COMPUTED_VALUE"""),1482)</f>
        <v>1482</v>
      </c>
      <c r="M437" s="7">
        <f ca="1">IFERROR(__xludf.DUMMYFUNCTION("""COMPUTED_VALUE"""),5810)</f>
        <v>5810</v>
      </c>
      <c r="N437" s="7">
        <f ca="1">IFERROR(__xludf.DUMMYFUNCTION("""COMPUTED_VALUE"""),372)</f>
        <v>372</v>
      </c>
    </row>
    <row r="438" spans="1:14" ht="13.2" x14ac:dyDescent="0.25">
      <c r="A438" s="6">
        <f ca="1">IFERROR(__xludf.DUMMYFUNCTION("""COMPUTED_VALUE"""),44327)</f>
        <v>44327</v>
      </c>
      <c r="B438" s="7">
        <f ca="1">IFERROR(__xludf.DUMMYFUNCTION("""COMPUTED_VALUE"""),8)</f>
        <v>8</v>
      </c>
      <c r="C438" s="8">
        <f ca="1">IFERROR(__xludf.DUMMYFUNCTION("""COMPUTED_VALUE"""),44327.3333333333)</f>
        <v>44327.333333333299</v>
      </c>
      <c r="D438" s="7">
        <f ca="1">IFERROR(__xludf.DUMMYFUNCTION("""COMPUTED_VALUE"""),6952)</f>
        <v>6952</v>
      </c>
      <c r="E438" s="7">
        <f ca="1">IFERROR(__xludf.DUMMYFUNCTION("""COMPUTED_VALUE"""),402374)</f>
        <v>402374</v>
      </c>
      <c r="F438" s="7">
        <f ca="1">IFERROR(__xludf.DUMMYFUNCTION("""COMPUTED_VALUE"""),3490)</f>
        <v>3490</v>
      </c>
      <c r="G438" s="7">
        <f ca="1">IFERROR(__xludf.DUMMYFUNCTION("""COMPUTED_VALUE"""),3931)</f>
        <v>3931</v>
      </c>
      <c r="H438" s="7">
        <f ca="1">IFERROR(__xludf.DUMMYFUNCTION("""COMPUTED_VALUE"""),416747)</f>
        <v>416747</v>
      </c>
      <c r="I438" s="7">
        <f ca="1">IFERROR(__xludf.DUMMYFUNCTION("""COMPUTED_VALUE"""),406)</f>
        <v>406</v>
      </c>
      <c r="J438" s="7">
        <f ca="1">IFERROR(__xludf.DUMMYFUNCTION("""COMPUTED_VALUE"""),7421)</f>
        <v>7421</v>
      </c>
      <c r="K438" s="7">
        <f ca="1">IFERROR(__xludf.DUMMYFUNCTION("""COMPUTED_VALUE"""),630)</f>
        <v>630</v>
      </c>
      <c r="L438" s="7">
        <f ca="1">IFERROR(__xludf.DUMMYFUNCTION("""COMPUTED_VALUE"""),1340)</f>
        <v>1340</v>
      </c>
      <c r="M438" s="7">
        <f ca="1">IFERROR(__xludf.DUMMYFUNCTION("""COMPUTED_VALUE"""),5531)</f>
        <v>5531</v>
      </c>
      <c r="N438" s="7">
        <f ca="1">IFERROR(__xludf.DUMMYFUNCTION("""COMPUTED_VALUE"""),550)</f>
        <v>550</v>
      </c>
    </row>
    <row r="439" spans="1:14" ht="13.2" x14ac:dyDescent="0.25">
      <c r="A439" s="6">
        <f ca="1">IFERROR(__xludf.DUMMYFUNCTION("""COMPUTED_VALUE"""),44328)</f>
        <v>44328</v>
      </c>
      <c r="B439" s="7">
        <f ca="1">IFERROR(__xludf.DUMMYFUNCTION("""COMPUTED_VALUE"""),8)</f>
        <v>8</v>
      </c>
      <c r="C439" s="8">
        <f ca="1">IFERROR(__xludf.DUMMYFUNCTION("""COMPUTED_VALUE"""),44328.3333333333)</f>
        <v>44328.333333333299</v>
      </c>
      <c r="D439" s="7">
        <f ca="1">IFERROR(__xludf.DUMMYFUNCTION("""COMPUTED_VALUE"""),6973)</f>
        <v>6973</v>
      </c>
      <c r="E439" s="7">
        <f ca="1">IFERROR(__xludf.DUMMYFUNCTION("""COMPUTED_VALUE"""),403039)</f>
        <v>403039</v>
      </c>
      <c r="F439" s="7">
        <f ca="1">IFERROR(__xludf.DUMMYFUNCTION("""COMPUTED_VALUE"""),3402)</f>
        <v>3402</v>
      </c>
      <c r="G439" s="7">
        <f ca="1">IFERROR(__xludf.DUMMYFUNCTION("""COMPUTED_VALUE"""),3989)</f>
        <v>3989</v>
      </c>
      <c r="H439" s="7">
        <f ca="1">IFERROR(__xludf.DUMMYFUNCTION("""COMPUTED_VALUE"""),417403)</f>
        <v>417403</v>
      </c>
      <c r="I439" s="7">
        <f ca="1">IFERROR(__xludf.DUMMYFUNCTION("""COMPUTED_VALUE"""),656)</f>
        <v>656</v>
      </c>
      <c r="J439" s="7">
        <f ca="1">IFERROR(__xludf.DUMMYFUNCTION("""COMPUTED_VALUE"""),7391)</f>
        <v>7391</v>
      </c>
      <c r="K439" s="7">
        <f ca="1">IFERROR(__xludf.DUMMYFUNCTION("""COMPUTED_VALUE"""),665)</f>
        <v>665</v>
      </c>
      <c r="L439" s="7">
        <f ca="1">IFERROR(__xludf.DUMMYFUNCTION("""COMPUTED_VALUE"""),1176)</f>
        <v>1176</v>
      </c>
      <c r="M439" s="7">
        <f ca="1">IFERROR(__xludf.DUMMYFUNCTION("""COMPUTED_VALUE"""),5298)</f>
        <v>5298</v>
      </c>
      <c r="N439" s="7">
        <f ca="1">IFERROR(__xludf.DUMMYFUNCTION("""COMPUTED_VALUE"""),917)</f>
        <v>917</v>
      </c>
    </row>
    <row r="440" spans="1:14" ht="13.2" x14ac:dyDescent="0.25">
      <c r="A440" s="6">
        <f ca="1">IFERROR(__xludf.DUMMYFUNCTION("""COMPUTED_VALUE"""),44329)</f>
        <v>44329</v>
      </c>
      <c r="B440" s="7">
        <f ca="1">IFERROR(__xludf.DUMMYFUNCTION("""COMPUTED_VALUE"""),8)</f>
        <v>8</v>
      </c>
      <c r="C440" s="8">
        <f ca="1">IFERROR(__xludf.DUMMYFUNCTION("""COMPUTED_VALUE"""),44329.3333333333)</f>
        <v>44329.333333333299</v>
      </c>
      <c r="D440" s="7">
        <f ca="1">IFERROR(__xludf.DUMMYFUNCTION("""COMPUTED_VALUE"""),6973)</f>
        <v>6973</v>
      </c>
      <c r="E440" s="7">
        <f ca="1">IFERROR(__xludf.DUMMYFUNCTION("""COMPUTED_VALUE"""),403630)</f>
        <v>403630</v>
      </c>
      <c r="F440" s="7">
        <f ca="1">IFERROR(__xludf.DUMMYFUNCTION("""COMPUTED_VALUE"""),3630)</f>
        <v>3630</v>
      </c>
      <c r="G440" s="7">
        <f ca="1">IFERROR(__xludf.DUMMYFUNCTION("""COMPUTED_VALUE"""),3955)</f>
        <v>3955</v>
      </c>
      <c r="H440" s="7">
        <f ca="1">IFERROR(__xludf.DUMMYFUNCTION("""COMPUTED_VALUE"""),418188)</f>
        <v>418188</v>
      </c>
      <c r="I440" s="7">
        <f ca="1">IFERROR(__xludf.DUMMYFUNCTION("""COMPUTED_VALUE"""),785)</f>
        <v>785</v>
      </c>
      <c r="J440" s="7">
        <f ca="1">IFERROR(__xludf.DUMMYFUNCTION("""COMPUTED_VALUE"""),7585)</f>
        <v>7585</v>
      </c>
      <c r="K440" s="7">
        <f ca="1">IFERROR(__xludf.DUMMYFUNCTION("""COMPUTED_VALUE"""),591)</f>
        <v>591</v>
      </c>
      <c r="L440" s="7">
        <f ca="1">IFERROR(__xludf.DUMMYFUNCTION("""COMPUTED_VALUE"""),1087)</f>
        <v>1087</v>
      </c>
      <c r="M440" s="7">
        <f ca="1">IFERROR(__xludf.DUMMYFUNCTION("""COMPUTED_VALUE"""),5013)</f>
        <v>5013</v>
      </c>
      <c r="N440" s="7">
        <f ca="1">IFERROR(__xludf.DUMMYFUNCTION("""COMPUTED_VALUE"""),1485)</f>
        <v>1485</v>
      </c>
    </row>
    <row r="441" spans="1:14" ht="13.2" x14ac:dyDescent="0.25">
      <c r="A441" s="6">
        <f ca="1">IFERROR(__xludf.DUMMYFUNCTION("""COMPUTED_VALUE"""),44330)</f>
        <v>44330</v>
      </c>
      <c r="B441" s="7">
        <f ca="1">IFERROR(__xludf.DUMMYFUNCTION("""COMPUTED_VALUE"""),8)</f>
        <v>8</v>
      </c>
      <c r="C441" s="8">
        <f ca="1">IFERROR(__xludf.DUMMYFUNCTION("""COMPUTED_VALUE"""),44330.3333333333)</f>
        <v>44330.333333333299</v>
      </c>
      <c r="D441" s="7">
        <f ca="1">IFERROR(__xludf.DUMMYFUNCTION("""COMPUTED_VALUE"""),7003)</f>
        <v>7003</v>
      </c>
      <c r="E441" s="7">
        <f ca="1">IFERROR(__xludf.DUMMYFUNCTION("""COMPUTED_VALUE"""),404187)</f>
        <v>404187</v>
      </c>
      <c r="F441" s="7">
        <f ca="1">IFERROR(__xludf.DUMMYFUNCTION("""COMPUTED_VALUE"""),3502)</f>
        <v>3502</v>
      </c>
      <c r="G441" s="7">
        <f ca="1">IFERROR(__xludf.DUMMYFUNCTION("""COMPUTED_VALUE"""),4128)</f>
        <v>4128</v>
      </c>
      <c r="H441" s="7">
        <f ca="1">IFERROR(__xludf.DUMMYFUNCTION("""COMPUTED_VALUE"""),418820)</f>
        <v>418820</v>
      </c>
      <c r="I441" s="7">
        <f ca="1">IFERROR(__xludf.DUMMYFUNCTION("""COMPUTED_VALUE"""),632)</f>
        <v>632</v>
      </c>
      <c r="J441" s="7">
        <f ca="1">IFERROR(__xludf.DUMMYFUNCTION("""COMPUTED_VALUE"""),7630)</f>
        <v>7630</v>
      </c>
      <c r="K441" s="7">
        <f ca="1">IFERROR(__xludf.DUMMYFUNCTION("""COMPUTED_VALUE"""),557)</f>
        <v>557</v>
      </c>
      <c r="L441" s="7">
        <f ca="1">IFERROR(__xludf.DUMMYFUNCTION("""COMPUTED_VALUE"""),1294)</f>
        <v>1294</v>
      </c>
      <c r="M441" s="7">
        <f ca="1">IFERROR(__xludf.DUMMYFUNCTION("""COMPUTED_VALUE"""),5929)</f>
        <v>5929</v>
      </c>
      <c r="N441" s="7">
        <f ca="1">IFERROR(__xludf.DUMMYFUNCTION("""COMPUTED_VALUE"""),407)</f>
        <v>407</v>
      </c>
    </row>
    <row r="442" spans="1:14" ht="13.2" x14ac:dyDescent="0.25">
      <c r="A442" s="6">
        <f ca="1">IFERROR(__xludf.DUMMYFUNCTION("""COMPUTED_VALUE"""),44331)</f>
        <v>44331</v>
      </c>
      <c r="B442" s="7">
        <f ca="1">IFERROR(__xludf.DUMMYFUNCTION("""COMPUTED_VALUE"""),8)</f>
        <v>8</v>
      </c>
      <c r="C442" s="8">
        <f ca="1">IFERROR(__xludf.DUMMYFUNCTION("""COMPUTED_VALUE"""),44331.3333333333)</f>
        <v>44331.333333333299</v>
      </c>
      <c r="D442" s="7">
        <f ca="1">IFERROR(__xludf.DUMMYFUNCTION("""COMPUTED_VALUE"""),7066)</f>
        <v>7066</v>
      </c>
      <c r="E442" s="7">
        <f ca="1">IFERROR(__xludf.DUMMYFUNCTION("""COMPUTED_VALUE"""),404715)</f>
        <v>404715</v>
      </c>
      <c r="F442" s="7">
        <f ca="1">IFERROR(__xludf.DUMMYFUNCTION("""COMPUTED_VALUE"""),3288)</f>
        <v>3288</v>
      </c>
      <c r="G442" s="7">
        <f ca="1">IFERROR(__xludf.DUMMYFUNCTION("""COMPUTED_VALUE"""),3978)</f>
        <v>3978</v>
      </c>
      <c r="H442" s="7">
        <f ca="1">IFERROR(__xludf.DUMMYFUNCTION("""COMPUTED_VALUE"""),419047)</f>
        <v>419047</v>
      </c>
      <c r="I442" s="7">
        <f ca="1">IFERROR(__xludf.DUMMYFUNCTION("""COMPUTED_VALUE"""),227)</f>
        <v>227</v>
      </c>
      <c r="J442" s="7">
        <f ca="1">IFERROR(__xludf.DUMMYFUNCTION("""COMPUTED_VALUE"""),7266)</f>
        <v>7266</v>
      </c>
      <c r="K442" s="7">
        <f ca="1">IFERROR(__xludf.DUMMYFUNCTION("""COMPUTED_VALUE"""),528)</f>
        <v>528</v>
      </c>
      <c r="L442" s="7">
        <f ca="1">IFERROR(__xludf.DUMMYFUNCTION("""COMPUTED_VALUE"""),6055)</f>
        <v>6055</v>
      </c>
      <c r="M442" s="7">
        <f ca="1">IFERROR(__xludf.DUMMYFUNCTION("""COMPUTED_VALUE"""),637)</f>
        <v>637</v>
      </c>
      <c r="N442" s="7">
        <f ca="1">IFERROR(__xludf.DUMMYFUNCTION("""COMPUTED_VALUE"""),574)</f>
        <v>574</v>
      </c>
    </row>
    <row r="443" spans="1:14" ht="13.2" x14ac:dyDescent="0.25">
      <c r="A443" s="6">
        <f ca="1">IFERROR(__xludf.DUMMYFUNCTION("""COMPUTED_VALUE"""),44332)</f>
        <v>44332</v>
      </c>
      <c r="B443" s="7">
        <f ca="1">IFERROR(__xludf.DUMMYFUNCTION("""COMPUTED_VALUE"""),8)</f>
        <v>8</v>
      </c>
      <c r="C443" s="8">
        <f ca="1">IFERROR(__xludf.DUMMYFUNCTION("""COMPUTED_VALUE"""),44332.3333333333)</f>
        <v>44332.333333333299</v>
      </c>
      <c r="D443" s="7">
        <f ca="1">IFERROR(__xludf.DUMMYFUNCTION("""COMPUTED_VALUE"""),7082)</f>
        <v>7082</v>
      </c>
      <c r="E443" s="7">
        <f ca="1">IFERROR(__xludf.DUMMYFUNCTION("""COMPUTED_VALUE"""),404980)</f>
        <v>404980</v>
      </c>
      <c r="F443" s="7">
        <f ca="1">IFERROR(__xludf.DUMMYFUNCTION("""COMPUTED_VALUE"""),3189)</f>
        <v>3189</v>
      </c>
      <c r="G443" s="7">
        <f ca="1">IFERROR(__xludf.DUMMYFUNCTION("""COMPUTED_VALUE"""),3957)</f>
        <v>3957</v>
      </c>
      <c r="H443" s="7">
        <f ca="1">IFERROR(__xludf.DUMMYFUNCTION("""COMPUTED_VALUE"""),419208)</f>
        <v>419208</v>
      </c>
      <c r="I443" s="7">
        <f ca="1">IFERROR(__xludf.DUMMYFUNCTION("""COMPUTED_VALUE"""),161)</f>
        <v>161</v>
      </c>
      <c r="J443" s="7">
        <f ca="1">IFERROR(__xludf.DUMMYFUNCTION("""COMPUTED_VALUE"""),7146)</f>
        <v>7146</v>
      </c>
      <c r="K443" s="7">
        <f ca="1">IFERROR(__xludf.DUMMYFUNCTION("""COMPUTED_VALUE"""),265)</f>
        <v>265</v>
      </c>
      <c r="L443" s="7">
        <f ca="1">IFERROR(__xludf.DUMMYFUNCTION("""COMPUTED_VALUE"""),1145)</f>
        <v>1145</v>
      </c>
      <c r="M443" s="7">
        <f ca="1">IFERROR(__xludf.DUMMYFUNCTION("""COMPUTED_VALUE"""),5333)</f>
        <v>5333</v>
      </c>
      <c r="N443" s="7">
        <f ca="1">IFERROR(__xludf.DUMMYFUNCTION("""COMPUTED_VALUE"""),668)</f>
        <v>668</v>
      </c>
    </row>
    <row r="444" spans="1:14" ht="13.2" x14ac:dyDescent="0.25">
      <c r="A444" s="6">
        <f ca="1">IFERROR(__xludf.DUMMYFUNCTION("""COMPUTED_VALUE"""),44333)</f>
        <v>44333</v>
      </c>
      <c r="B444" s="7">
        <f ca="1">IFERROR(__xludf.DUMMYFUNCTION("""COMPUTED_VALUE"""),8)</f>
        <v>8</v>
      </c>
      <c r="C444" s="8">
        <f ca="1">IFERROR(__xludf.DUMMYFUNCTION("""COMPUTED_VALUE"""),44333.3333333333)</f>
        <v>44333.333333333299</v>
      </c>
      <c r="D444" s="7">
        <f ca="1">IFERROR(__xludf.DUMMYFUNCTION("""COMPUTED_VALUE"""),7107)</f>
        <v>7107</v>
      </c>
      <c r="E444" s="7">
        <f ca="1">IFERROR(__xludf.DUMMYFUNCTION("""COMPUTED_VALUE"""),405229)</f>
        <v>405229</v>
      </c>
      <c r="F444" s="7">
        <f ca="1">IFERROR(__xludf.DUMMYFUNCTION("""COMPUTED_VALUE"""),3158)</f>
        <v>3158</v>
      </c>
      <c r="G444" s="7">
        <f ca="1">IFERROR(__xludf.DUMMYFUNCTION("""COMPUTED_VALUE"""),4135)</f>
        <v>4135</v>
      </c>
      <c r="H444" s="7">
        <f ca="1">IFERROR(__xludf.DUMMYFUNCTION("""COMPUTED_VALUE"""),419629)</f>
        <v>419629</v>
      </c>
      <c r="I444" s="7">
        <f ca="1">IFERROR(__xludf.DUMMYFUNCTION("""COMPUTED_VALUE"""),421)</f>
        <v>421</v>
      </c>
      <c r="J444" s="7">
        <f ca="1">IFERROR(__xludf.DUMMYFUNCTION("""COMPUTED_VALUE"""),7293)</f>
        <v>7293</v>
      </c>
      <c r="K444" s="7">
        <f ca="1">IFERROR(__xludf.DUMMYFUNCTION("""COMPUTED_VALUE"""),249)</f>
        <v>249</v>
      </c>
      <c r="L444" s="7">
        <f ca="1">IFERROR(__xludf.DUMMYFUNCTION("""COMPUTED_VALUE"""),1235)</f>
        <v>1235</v>
      </c>
      <c r="M444" s="7">
        <f ca="1">IFERROR(__xludf.DUMMYFUNCTION("""COMPUTED_VALUE"""),5834)</f>
        <v>5834</v>
      </c>
      <c r="N444" s="7">
        <f ca="1">IFERROR(__xludf.DUMMYFUNCTION("""COMPUTED_VALUE"""),224)</f>
        <v>224</v>
      </c>
    </row>
    <row r="445" spans="1:14" ht="13.2" x14ac:dyDescent="0.25">
      <c r="A445" s="6">
        <f ca="1">IFERROR(__xludf.DUMMYFUNCTION("""COMPUTED_VALUE"""),44334)</f>
        <v>44334</v>
      </c>
      <c r="B445" s="7">
        <f ca="1">IFERROR(__xludf.DUMMYFUNCTION("""COMPUTED_VALUE"""),8)</f>
        <v>8</v>
      </c>
      <c r="C445" s="8">
        <f ca="1">IFERROR(__xludf.DUMMYFUNCTION("""COMPUTED_VALUE"""),44334.3333333333)</f>
        <v>44334.333333333299</v>
      </c>
      <c r="D445" s="7">
        <f ca="1">IFERROR(__xludf.DUMMYFUNCTION("""COMPUTED_VALUE"""),7130)</f>
        <v>7130</v>
      </c>
      <c r="E445" s="7">
        <f ca="1">IFERROR(__xludf.DUMMYFUNCTION("""COMPUTED_VALUE"""),405357)</f>
        <v>405357</v>
      </c>
      <c r="F445" s="7">
        <f ca="1">IFERROR(__xludf.DUMMYFUNCTION("""COMPUTED_VALUE"""),3248)</f>
        <v>3248</v>
      </c>
      <c r="G445" s="7">
        <f ca="1">IFERROR(__xludf.DUMMYFUNCTION("""COMPUTED_VALUE"""),4185)</f>
        <v>4185</v>
      </c>
      <c r="H445" s="7">
        <f ca="1">IFERROR(__xludf.DUMMYFUNCTION("""COMPUTED_VALUE"""),419920)</f>
        <v>419920</v>
      </c>
      <c r="I445" s="7">
        <f ca="1">IFERROR(__xludf.DUMMYFUNCTION("""COMPUTED_VALUE"""),291)</f>
        <v>291</v>
      </c>
      <c r="J445" s="7">
        <f ca="1">IFERROR(__xludf.DUMMYFUNCTION("""COMPUTED_VALUE"""),7433)</f>
        <v>7433</v>
      </c>
      <c r="K445" s="7">
        <f ca="1">IFERROR(__xludf.DUMMYFUNCTION("""COMPUTED_VALUE"""),128)</f>
        <v>128</v>
      </c>
      <c r="L445" s="7">
        <f ca="1">IFERROR(__xludf.DUMMYFUNCTION("""COMPUTED_VALUE"""),1219)</f>
        <v>1219</v>
      </c>
      <c r="M445" s="7">
        <f ca="1">IFERROR(__xludf.DUMMYFUNCTION("""COMPUTED_VALUE"""),5793)</f>
        <v>5793</v>
      </c>
      <c r="N445" s="7">
        <f ca="1">IFERROR(__xludf.DUMMYFUNCTION("""COMPUTED_VALUE"""),421)</f>
        <v>421</v>
      </c>
    </row>
    <row r="446" spans="1:14" ht="13.2" x14ac:dyDescent="0.25">
      <c r="A446" s="6">
        <f ca="1">IFERROR(__xludf.DUMMYFUNCTION("""COMPUTED_VALUE"""),44335)</f>
        <v>44335</v>
      </c>
      <c r="B446" s="7">
        <f ca="1">IFERROR(__xludf.DUMMYFUNCTION("""COMPUTED_VALUE"""),8)</f>
        <v>8</v>
      </c>
      <c r="C446" s="8">
        <f ca="1">IFERROR(__xludf.DUMMYFUNCTION("""COMPUTED_VALUE"""),44335.3333333333)</f>
        <v>44335.333333333299</v>
      </c>
      <c r="D446" s="7">
        <f ca="1">IFERROR(__xludf.DUMMYFUNCTION("""COMPUTED_VALUE"""),7149)</f>
        <v>7149</v>
      </c>
      <c r="E446" s="7">
        <f ca="1">IFERROR(__xludf.DUMMYFUNCTION("""COMPUTED_VALUE"""),405535)</f>
        <v>405535</v>
      </c>
      <c r="F446" s="7">
        <f ca="1">IFERROR(__xludf.DUMMYFUNCTION("""COMPUTED_VALUE"""),3366)</f>
        <v>3366</v>
      </c>
      <c r="G446" s="7">
        <f ca="1">IFERROR(__xludf.DUMMYFUNCTION("""COMPUTED_VALUE"""),4409)</f>
        <v>4409</v>
      </c>
      <c r="H446" s="7">
        <f ca="1">IFERROR(__xludf.DUMMYFUNCTION("""COMPUTED_VALUE"""),420459)</f>
        <v>420459</v>
      </c>
      <c r="I446" s="7">
        <f ca="1">IFERROR(__xludf.DUMMYFUNCTION("""COMPUTED_VALUE"""),539)</f>
        <v>539</v>
      </c>
      <c r="J446" s="7">
        <f ca="1">IFERROR(__xludf.DUMMYFUNCTION("""COMPUTED_VALUE"""),7775)</f>
        <v>7775</v>
      </c>
      <c r="K446" s="7">
        <f ca="1">IFERROR(__xludf.DUMMYFUNCTION("""COMPUTED_VALUE"""),178)</f>
        <v>178</v>
      </c>
      <c r="L446" s="7">
        <f ca="1">IFERROR(__xludf.DUMMYFUNCTION("""COMPUTED_VALUE"""),1195)</f>
        <v>1195</v>
      </c>
      <c r="M446" s="7">
        <f ca="1">IFERROR(__xludf.DUMMYFUNCTION("""COMPUTED_VALUE"""),5818)</f>
        <v>5818</v>
      </c>
      <c r="N446" s="7">
        <f ca="1">IFERROR(__xludf.DUMMYFUNCTION("""COMPUTED_VALUE"""),762)</f>
        <v>762</v>
      </c>
    </row>
    <row r="447" spans="1:14" ht="13.2" x14ac:dyDescent="0.25">
      <c r="A447" s="6">
        <f ca="1">IFERROR(__xludf.DUMMYFUNCTION("""COMPUTED_VALUE"""),44336)</f>
        <v>44336</v>
      </c>
      <c r="B447" s="7">
        <f ca="1">IFERROR(__xludf.DUMMYFUNCTION("""COMPUTED_VALUE"""),8)</f>
        <v>8</v>
      </c>
      <c r="C447" s="8">
        <f ca="1">IFERROR(__xludf.DUMMYFUNCTION("""COMPUTED_VALUE"""),44336.3333333333)</f>
        <v>44336.333333333299</v>
      </c>
      <c r="D447" s="7">
        <f ca="1">IFERROR(__xludf.DUMMYFUNCTION("""COMPUTED_VALUE"""),7169)</f>
        <v>7169</v>
      </c>
      <c r="E447" s="7">
        <f ca="1">IFERROR(__xludf.DUMMYFUNCTION("""COMPUTED_VALUE"""),405714)</f>
        <v>405714</v>
      </c>
      <c r="F447" s="7">
        <f ca="1">IFERROR(__xludf.DUMMYFUNCTION("""COMPUTED_VALUE"""),3797)</f>
        <v>3797</v>
      </c>
      <c r="G447" s="7">
        <f ca="1">IFERROR(__xludf.DUMMYFUNCTION("""COMPUTED_VALUE"""),4674)</f>
        <v>4674</v>
      </c>
      <c r="H447" s="7">
        <f ca="1">IFERROR(__xludf.DUMMYFUNCTION("""COMPUTED_VALUE"""),421354)</f>
        <v>421354</v>
      </c>
      <c r="I447" s="7">
        <f ca="1">IFERROR(__xludf.DUMMYFUNCTION("""COMPUTED_VALUE"""),895)</f>
        <v>895</v>
      </c>
      <c r="J447" s="7">
        <f ca="1">IFERROR(__xludf.DUMMYFUNCTION("""COMPUTED_VALUE"""),8471)</f>
        <v>8471</v>
      </c>
      <c r="K447" s="7">
        <f ca="1">IFERROR(__xludf.DUMMYFUNCTION("""COMPUTED_VALUE"""),179)</f>
        <v>179</v>
      </c>
      <c r="L447" s="7">
        <f ca="1">IFERROR(__xludf.DUMMYFUNCTION("""COMPUTED_VALUE"""),1312)</f>
        <v>1312</v>
      </c>
      <c r="M447" s="7">
        <f ca="1">IFERROR(__xludf.DUMMYFUNCTION("""COMPUTED_VALUE"""),6599)</f>
        <v>6599</v>
      </c>
      <c r="N447" s="7">
        <f ca="1">IFERROR(__xludf.DUMMYFUNCTION("""COMPUTED_VALUE"""),560)</f>
        <v>560</v>
      </c>
    </row>
    <row r="448" spans="1:14" ht="13.2" x14ac:dyDescent="0.25">
      <c r="A448" s="6">
        <f ca="1">IFERROR(__xludf.DUMMYFUNCTION("""COMPUTED_VALUE"""),44337)</f>
        <v>44337</v>
      </c>
      <c r="B448" s="7">
        <f ca="1">IFERROR(__xludf.DUMMYFUNCTION("""COMPUTED_VALUE"""),8)</f>
        <v>8</v>
      </c>
      <c r="C448" s="8">
        <f ca="1">IFERROR(__xludf.DUMMYFUNCTION("""COMPUTED_VALUE"""),44337.3333333333)</f>
        <v>44337.333333333299</v>
      </c>
      <c r="D448" s="7">
        <f ca="1">IFERROR(__xludf.DUMMYFUNCTION("""COMPUTED_VALUE"""),7184)</f>
        <v>7184</v>
      </c>
      <c r="E448" s="7">
        <f ca="1">IFERROR(__xludf.DUMMYFUNCTION("""COMPUTED_VALUE"""),405918)</f>
        <v>405918</v>
      </c>
      <c r="F448" s="7">
        <f ca="1">IFERROR(__xludf.DUMMYFUNCTION("""COMPUTED_VALUE"""),4142)</f>
        <v>4142</v>
      </c>
      <c r="G448" s="7">
        <f ca="1">IFERROR(__xludf.DUMMYFUNCTION("""COMPUTED_VALUE"""),4966)</f>
        <v>4966</v>
      </c>
      <c r="H448" s="7">
        <f ca="1">IFERROR(__xludf.DUMMYFUNCTION("""COMPUTED_VALUE"""),422210)</f>
        <v>422210</v>
      </c>
      <c r="I448" s="7">
        <f ca="1">IFERROR(__xludf.DUMMYFUNCTION("""COMPUTED_VALUE"""),856)</f>
        <v>856</v>
      </c>
      <c r="J448" s="7">
        <f ca="1">IFERROR(__xludf.DUMMYFUNCTION("""COMPUTED_VALUE"""),9108)</f>
        <v>9108</v>
      </c>
      <c r="K448" s="7">
        <f ca="1">IFERROR(__xludf.DUMMYFUNCTION("""COMPUTED_VALUE"""),204)</f>
        <v>204</v>
      </c>
      <c r="L448" s="7">
        <f ca="1">IFERROR(__xludf.DUMMYFUNCTION("""COMPUTED_VALUE"""),1306)</f>
        <v>1306</v>
      </c>
      <c r="M448" s="7">
        <f ca="1">IFERROR(__xludf.DUMMYFUNCTION("""COMPUTED_VALUE"""),6655)</f>
        <v>6655</v>
      </c>
      <c r="N448" s="7">
        <f ca="1">IFERROR(__xludf.DUMMYFUNCTION("""COMPUTED_VALUE"""),1147)</f>
        <v>1147</v>
      </c>
    </row>
    <row r="449" spans="1:14" ht="13.2" x14ac:dyDescent="0.25">
      <c r="A449" s="6">
        <f ca="1">IFERROR(__xludf.DUMMYFUNCTION("""COMPUTED_VALUE"""),44338)</f>
        <v>44338</v>
      </c>
      <c r="B449" s="7">
        <f ca="1">IFERROR(__xludf.DUMMYFUNCTION("""COMPUTED_VALUE"""),8)</f>
        <v>8</v>
      </c>
      <c r="C449" s="8">
        <f ca="1">IFERROR(__xludf.DUMMYFUNCTION("""COMPUTED_VALUE"""),44338.3333333333)</f>
        <v>44338.333333333299</v>
      </c>
      <c r="D449" s="7">
        <f ca="1">IFERROR(__xludf.DUMMYFUNCTION("""COMPUTED_VALUE"""),7196)</f>
        <v>7196</v>
      </c>
      <c r="E449" s="7">
        <f ca="1">IFERROR(__xludf.DUMMYFUNCTION("""COMPUTED_VALUE"""),406300)</f>
        <v>406300</v>
      </c>
      <c r="F449" s="7">
        <f ca="1">IFERROR(__xludf.DUMMYFUNCTION("""COMPUTED_VALUE"""),4386)</f>
        <v>4386</v>
      </c>
      <c r="G449" s="7">
        <f ca="1">IFERROR(__xludf.DUMMYFUNCTION("""COMPUTED_VALUE"""),5260)</f>
        <v>5260</v>
      </c>
      <c r="H449" s="7">
        <f ca="1">IFERROR(__xludf.DUMMYFUNCTION("""COMPUTED_VALUE"""),423142)</f>
        <v>423142</v>
      </c>
      <c r="I449" s="7">
        <f ca="1">IFERROR(__xludf.DUMMYFUNCTION("""COMPUTED_VALUE"""),932)</f>
        <v>932</v>
      </c>
      <c r="J449" s="7">
        <f ca="1">IFERROR(__xludf.DUMMYFUNCTION("""COMPUTED_VALUE"""),9646)</f>
        <v>9646</v>
      </c>
      <c r="K449" s="7">
        <f ca="1">IFERROR(__xludf.DUMMYFUNCTION("""COMPUTED_VALUE"""),382)</f>
        <v>382</v>
      </c>
      <c r="L449" s="7">
        <f ca="1">IFERROR(__xludf.DUMMYFUNCTION("""COMPUTED_VALUE"""),1556)</f>
        <v>1556</v>
      </c>
      <c r="M449" s="7">
        <f ca="1">IFERROR(__xludf.DUMMYFUNCTION("""COMPUTED_VALUE"""),7514)</f>
        <v>7514</v>
      </c>
      <c r="N449" s="7">
        <f ca="1">IFERROR(__xludf.DUMMYFUNCTION("""COMPUTED_VALUE"""),576)</f>
        <v>576</v>
      </c>
    </row>
    <row r="450" spans="1:14" ht="13.2" x14ac:dyDescent="0.25">
      <c r="A450" s="6">
        <f ca="1">IFERROR(__xludf.DUMMYFUNCTION("""COMPUTED_VALUE"""),44339)</f>
        <v>44339</v>
      </c>
      <c r="B450" s="7">
        <f ca="1">IFERROR(__xludf.DUMMYFUNCTION("""COMPUTED_VALUE"""),8)</f>
        <v>8</v>
      </c>
      <c r="C450" s="8">
        <f ca="1">IFERROR(__xludf.DUMMYFUNCTION("""COMPUTED_VALUE"""),44339.3333333333)</f>
        <v>44339.333333333299</v>
      </c>
      <c r="D450" s="7">
        <f ca="1">IFERROR(__xludf.DUMMYFUNCTION("""COMPUTED_VALUE"""),7207)</f>
        <v>7207</v>
      </c>
      <c r="E450" s="7">
        <f ca="1">IFERROR(__xludf.DUMMYFUNCTION("""COMPUTED_VALUE"""),406669)</f>
        <v>406669</v>
      </c>
      <c r="F450" s="7">
        <f ca="1">IFERROR(__xludf.DUMMYFUNCTION("""COMPUTED_VALUE"""),4744)</f>
        <v>4744</v>
      </c>
      <c r="G450" s="7">
        <f ca="1">IFERROR(__xludf.DUMMYFUNCTION("""COMPUTED_VALUE"""),5389)</f>
        <v>5389</v>
      </c>
      <c r="H450" s="7">
        <f ca="1">IFERROR(__xludf.DUMMYFUNCTION("""COMPUTED_VALUE"""),424009)</f>
        <v>424009</v>
      </c>
      <c r="I450" s="7">
        <f ca="1">IFERROR(__xludf.DUMMYFUNCTION("""COMPUTED_VALUE"""),867)</f>
        <v>867</v>
      </c>
      <c r="J450" s="7">
        <f ca="1">IFERROR(__xludf.DUMMYFUNCTION("""COMPUTED_VALUE"""),10133)</f>
        <v>10133</v>
      </c>
      <c r="K450" s="7">
        <f ca="1">IFERROR(__xludf.DUMMYFUNCTION("""COMPUTED_VALUE"""),369)</f>
        <v>369</v>
      </c>
      <c r="L450" s="7">
        <f ca="1">IFERROR(__xludf.DUMMYFUNCTION("""COMPUTED_VALUE"""),1479)</f>
        <v>1479</v>
      </c>
      <c r="M450" s="7">
        <f ca="1">IFERROR(__xludf.DUMMYFUNCTION("""COMPUTED_VALUE"""),7469)</f>
        <v>7469</v>
      </c>
      <c r="N450" s="7">
        <f ca="1">IFERROR(__xludf.DUMMYFUNCTION("""COMPUTED_VALUE"""),1185)</f>
        <v>1185</v>
      </c>
    </row>
    <row r="451" spans="1:14" ht="13.2" x14ac:dyDescent="0.25">
      <c r="A451" s="6">
        <f ca="1">IFERROR(__xludf.DUMMYFUNCTION("""COMPUTED_VALUE"""),44340)</f>
        <v>44340</v>
      </c>
      <c r="B451" s="7">
        <f ca="1">IFERROR(__xludf.DUMMYFUNCTION("""COMPUTED_VALUE"""),8)</f>
        <v>8</v>
      </c>
      <c r="C451" s="8">
        <f ca="1">IFERROR(__xludf.DUMMYFUNCTION("""COMPUTED_VALUE"""),44340.3333333333)</f>
        <v>44340.333333333299</v>
      </c>
      <c r="D451" s="7">
        <f ca="1">IFERROR(__xludf.DUMMYFUNCTION("""COMPUTED_VALUE"""),7225)</f>
        <v>7225</v>
      </c>
      <c r="E451" s="7">
        <f ca="1">IFERROR(__xludf.DUMMYFUNCTION("""COMPUTED_VALUE"""),406987)</f>
        <v>406987</v>
      </c>
      <c r="F451" s="7">
        <f ca="1">IFERROR(__xludf.DUMMYFUNCTION("""COMPUTED_VALUE"""),5079)</f>
        <v>5079</v>
      </c>
      <c r="G451" s="7">
        <f ca="1">IFERROR(__xludf.DUMMYFUNCTION("""COMPUTED_VALUE"""),5537)</f>
        <v>5537</v>
      </c>
      <c r="H451" s="7">
        <f ca="1">IFERROR(__xludf.DUMMYFUNCTION("""COMPUTED_VALUE"""),424828)</f>
        <v>424828</v>
      </c>
      <c r="I451" s="7">
        <f ca="1">IFERROR(__xludf.DUMMYFUNCTION("""COMPUTED_VALUE"""),819)</f>
        <v>819</v>
      </c>
      <c r="J451" s="7">
        <f ca="1">IFERROR(__xludf.DUMMYFUNCTION("""COMPUTED_VALUE"""),10616)</f>
        <v>10616</v>
      </c>
      <c r="K451" s="7">
        <f ca="1">IFERROR(__xludf.DUMMYFUNCTION("""COMPUTED_VALUE"""),318)</f>
        <v>318</v>
      </c>
      <c r="L451" s="7">
        <f ca="1">IFERROR(__xludf.DUMMYFUNCTION("""COMPUTED_VALUE"""),1837)</f>
        <v>1837</v>
      </c>
      <c r="M451" s="7">
        <f ca="1">IFERROR(__xludf.DUMMYFUNCTION("""COMPUTED_VALUE"""),8217)</f>
        <v>8217</v>
      </c>
      <c r="N451" s="7">
        <f ca="1">IFERROR(__xludf.DUMMYFUNCTION("""COMPUTED_VALUE"""),562)</f>
        <v>562</v>
      </c>
    </row>
    <row r="452" spans="1:14" ht="13.2" x14ac:dyDescent="0.25">
      <c r="A452" s="6">
        <f ca="1">IFERROR(__xludf.DUMMYFUNCTION("""COMPUTED_VALUE"""),44341)</f>
        <v>44341</v>
      </c>
      <c r="B452" s="7">
        <f ca="1">IFERROR(__xludf.DUMMYFUNCTION("""COMPUTED_VALUE"""),8)</f>
        <v>8</v>
      </c>
      <c r="C452" s="8">
        <f ca="1">IFERROR(__xludf.DUMMYFUNCTION("""COMPUTED_VALUE"""),44341.3333333333)</f>
        <v>44341.333333333299</v>
      </c>
      <c r="D452" s="7">
        <f ca="1">IFERROR(__xludf.DUMMYFUNCTION("""COMPUTED_VALUE"""),7239)</f>
        <v>7239</v>
      </c>
      <c r="E452" s="7">
        <f ca="1">IFERROR(__xludf.DUMMYFUNCTION("""COMPUTED_VALUE"""),407493)</f>
        <v>407493</v>
      </c>
      <c r="F452" s="7">
        <f ca="1">IFERROR(__xludf.DUMMYFUNCTION("""COMPUTED_VALUE"""),5017)</f>
        <v>5017</v>
      </c>
      <c r="G452" s="7">
        <f ca="1">IFERROR(__xludf.DUMMYFUNCTION("""COMPUTED_VALUE"""),5463)</f>
        <v>5463</v>
      </c>
      <c r="H452" s="7">
        <f ca="1">IFERROR(__xludf.DUMMYFUNCTION("""COMPUTED_VALUE"""),425212)</f>
        <v>425212</v>
      </c>
      <c r="I452" s="7">
        <f ca="1">IFERROR(__xludf.DUMMYFUNCTION("""COMPUTED_VALUE"""),384)</f>
        <v>384</v>
      </c>
      <c r="J452" s="7">
        <f ca="1">IFERROR(__xludf.DUMMYFUNCTION("""COMPUTED_VALUE"""),10480)</f>
        <v>10480</v>
      </c>
      <c r="K452" s="7">
        <f ca="1">IFERROR(__xludf.DUMMYFUNCTION("""COMPUTED_VALUE"""),506)</f>
        <v>506</v>
      </c>
      <c r="L452" s="7">
        <f ca="1">IFERROR(__xludf.DUMMYFUNCTION("""COMPUTED_VALUE"""),1737)</f>
        <v>1737</v>
      </c>
      <c r="M452" s="7">
        <f ca="1">IFERROR(__xludf.DUMMYFUNCTION("""COMPUTED_VALUE"""),7878)</f>
        <v>7878</v>
      </c>
      <c r="N452" s="7">
        <f ca="1">IFERROR(__xludf.DUMMYFUNCTION("""COMPUTED_VALUE"""),865)</f>
        <v>865</v>
      </c>
    </row>
    <row r="453" spans="1:14" ht="13.2" x14ac:dyDescent="0.25">
      <c r="A453" s="6">
        <f ca="1">IFERROR(__xludf.DUMMYFUNCTION("""COMPUTED_VALUE"""),44342)</f>
        <v>44342</v>
      </c>
      <c r="B453" s="7">
        <f ca="1">IFERROR(__xludf.DUMMYFUNCTION("""COMPUTED_VALUE"""),8)</f>
        <v>8</v>
      </c>
      <c r="C453" s="8">
        <f ca="1">IFERROR(__xludf.DUMMYFUNCTION("""COMPUTED_VALUE"""),44342.3333333333)</f>
        <v>44342.333333333299</v>
      </c>
      <c r="D453" s="7">
        <f ca="1">IFERROR(__xludf.DUMMYFUNCTION("""COMPUTED_VALUE"""),7250)</f>
        <v>7250</v>
      </c>
      <c r="E453" s="7">
        <f ca="1">IFERROR(__xludf.DUMMYFUNCTION("""COMPUTED_VALUE"""),408019)</f>
        <v>408019</v>
      </c>
      <c r="F453" s="7">
        <f ca="1">IFERROR(__xludf.DUMMYFUNCTION("""COMPUTED_VALUE"""),4993)</f>
        <v>4993</v>
      </c>
      <c r="G453" s="7">
        <f ca="1">IFERROR(__xludf.DUMMYFUNCTION("""COMPUTED_VALUE"""),5567)</f>
        <v>5567</v>
      </c>
      <c r="H453" s="7">
        <f ca="1">IFERROR(__xludf.DUMMYFUNCTION("""COMPUTED_VALUE"""),425829)</f>
        <v>425829</v>
      </c>
      <c r="I453" s="7">
        <f ca="1">IFERROR(__xludf.DUMMYFUNCTION("""COMPUTED_VALUE"""),617)</f>
        <v>617</v>
      </c>
      <c r="J453" s="7">
        <f ca="1">IFERROR(__xludf.DUMMYFUNCTION("""COMPUTED_VALUE"""),10560)</f>
        <v>10560</v>
      </c>
      <c r="K453" s="7">
        <f ca="1">IFERROR(__xludf.DUMMYFUNCTION("""COMPUTED_VALUE"""),526)</f>
        <v>526</v>
      </c>
      <c r="L453" s="7">
        <f ca="1">IFERROR(__xludf.DUMMYFUNCTION("""COMPUTED_VALUE"""),1619)</f>
        <v>1619</v>
      </c>
      <c r="M453" s="7">
        <f ca="1">IFERROR(__xludf.DUMMYFUNCTION("""COMPUTED_VALUE"""),7619)</f>
        <v>7619</v>
      </c>
      <c r="N453" s="7">
        <f ca="1">IFERROR(__xludf.DUMMYFUNCTION("""COMPUTED_VALUE"""),1322)</f>
        <v>1322</v>
      </c>
    </row>
    <row r="454" spans="1:14" ht="13.2" x14ac:dyDescent="0.25">
      <c r="A454" s="6">
        <f ca="1">IFERROR(__xludf.DUMMYFUNCTION("""COMPUTED_VALUE"""),44343)</f>
        <v>44343</v>
      </c>
      <c r="B454" s="7">
        <f ca="1">IFERROR(__xludf.DUMMYFUNCTION("""COMPUTED_VALUE"""),8)</f>
        <v>8</v>
      </c>
      <c r="C454" s="8">
        <f ca="1">IFERROR(__xludf.DUMMYFUNCTION("""COMPUTED_VALUE"""),44343.3333333333)</f>
        <v>44343.333333333299</v>
      </c>
      <c r="D454" s="7">
        <f ca="1">IFERROR(__xludf.DUMMYFUNCTION("""COMPUTED_VALUE"""),7271)</f>
        <v>7271</v>
      </c>
      <c r="E454" s="7">
        <f ca="1">IFERROR(__xludf.DUMMYFUNCTION("""COMPUTED_VALUE"""),408585)</f>
        <v>408585</v>
      </c>
      <c r="F454" s="7">
        <f ca="1">IFERROR(__xludf.DUMMYFUNCTION("""COMPUTED_VALUE"""),5280)</f>
        <v>5280</v>
      </c>
      <c r="G454" s="7">
        <f ca="1">IFERROR(__xludf.DUMMYFUNCTION("""COMPUTED_VALUE"""),5633)</f>
        <v>5633</v>
      </c>
      <c r="H454" s="7">
        <f ca="1">IFERROR(__xludf.DUMMYFUNCTION("""COMPUTED_VALUE"""),426769)</f>
        <v>426769</v>
      </c>
      <c r="I454" s="7">
        <f ca="1">IFERROR(__xludf.DUMMYFUNCTION("""COMPUTED_VALUE"""),940)</f>
        <v>940</v>
      </c>
      <c r="J454" s="7">
        <f ca="1">IFERROR(__xludf.DUMMYFUNCTION("""COMPUTED_VALUE"""),10913)</f>
        <v>10913</v>
      </c>
      <c r="K454" s="7">
        <f ca="1">IFERROR(__xludf.DUMMYFUNCTION("""COMPUTED_VALUE"""),566)</f>
        <v>566</v>
      </c>
      <c r="L454" s="7">
        <f ca="1">IFERROR(__xludf.DUMMYFUNCTION("""COMPUTED_VALUE"""),1937)</f>
        <v>1937</v>
      </c>
      <c r="M454" s="7">
        <f ca="1">IFERROR(__xludf.DUMMYFUNCTION("""COMPUTED_VALUE"""),8364)</f>
        <v>8364</v>
      </c>
      <c r="N454" s="7">
        <f ca="1">IFERROR(__xludf.DUMMYFUNCTION("""COMPUTED_VALUE"""),612)</f>
        <v>612</v>
      </c>
    </row>
    <row r="455" spans="1:14" ht="13.2" x14ac:dyDescent="0.25">
      <c r="A455" s="6">
        <f ca="1">IFERROR(__xludf.DUMMYFUNCTION("""COMPUTED_VALUE"""),44344)</f>
        <v>44344</v>
      </c>
      <c r="B455" s="7">
        <f ca="1">IFERROR(__xludf.DUMMYFUNCTION("""COMPUTED_VALUE"""),8)</f>
        <v>8</v>
      </c>
      <c r="C455" s="8">
        <f ca="1">IFERROR(__xludf.DUMMYFUNCTION("""COMPUTED_VALUE"""),44344.3333333333)</f>
        <v>44344.333333333299</v>
      </c>
      <c r="D455" s="7">
        <f ca="1">IFERROR(__xludf.DUMMYFUNCTION("""COMPUTED_VALUE"""),7288)</f>
        <v>7288</v>
      </c>
      <c r="E455" s="7">
        <f ca="1">IFERROR(__xludf.DUMMYFUNCTION("""COMPUTED_VALUE"""),409497)</f>
        <v>409497</v>
      </c>
      <c r="F455" s="7">
        <f ca="1">IFERROR(__xludf.DUMMYFUNCTION("""COMPUTED_VALUE"""),5161)</f>
        <v>5161</v>
      </c>
      <c r="G455" s="7">
        <f ca="1">IFERROR(__xludf.DUMMYFUNCTION("""COMPUTED_VALUE"""),5516)</f>
        <v>5516</v>
      </c>
      <c r="H455" s="7">
        <f ca="1">IFERROR(__xludf.DUMMYFUNCTION("""COMPUTED_VALUE"""),427462)</f>
        <v>427462</v>
      </c>
      <c r="I455" s="7">
        <f ca="1">IFERROR(__xludf.DUMMYFUNCTION("""COMPUTED_VALUE"""),693)</f>
        <v>693</v>
      </c>
      <c r="J455" s="7">
        <f ca="1">IFERROR(__xludf.DUMMYFUNCTION("""COMPUTED_VALUE"""),10677)</f>
        <v>10677</v>
      </c>
      <c r="K455" s="7">
        <f ca="1">IFERROR(__xludf.DUMMYFUNCTION("""COMPUTED_VALUE"""),912)</f>
        <v>912</v>
      </c>
      <c r="L455" s="7">
        <f ca="1">IFERROR(__xludf.DUMMYFUNCTION("""COMPUTED_VALUE"""),1658)</f>
        <v>1658</v>
      </c>
      <c r="M455" s="7">
        <f ca="1">IFERROR(__xludf.DUMMYFUNCTION("""COMPUTED_VALUE"""),7859)</f>
        <v>7859</v>
      </c>
      <c r="N455" s="7">
        <f ca="1">IFERROR(__xludf.DUMMYFUNCTION("""COMPUTED_VALUE"""),1160)</f>
        <v>1160</v>
      </c>
    </row>
    <row r="456" spans="1:14" ht="13.2" x14ac:dyDescent="0.25">
      <c r="A456" s="6">
        <f ca="1">IFERROR(__xludf.DUMMYFUNCTION("""COMPUTED_VALUE"""),44345)</f>
        <v>44345</v>
      </c>
      <c r="B456" s="7">
        <f ca="1">IFERROR(__xludf.DUMMYFUNCTION("""COMPUTED_VALUE"""),8)</f>
        <v>8</v>
      </c>
      <c r="C456" s="8">
        <f ca="1">IFERROR(__xludf.DUMMYFUNCTION("""COMPUTED_VALUE"""),44345.3333333333)</f>
        <v>44345.333333333299</v>
      </c>
      <c r="D456" s="7">
        <f ca="1">IFERROR(__xludf.DUMMYFUNCTION("""COMPUTED_VALUE"""),7296)</f>
        <v>7296</v>
      </c>
      <c r="E456" s="7">
        <f ca="1">IFERROR(__xludf.DUMMYFUNCTION("""COMPUTED_VALUE"""),410508)</f>
        <v>410508</v>
      </c>
      <c r="F456" s="7">
        <f ca="1">IFERROR(__xludf.DUMMYFUNCTION("""COMPUTED_VALUE"""),5004)</f>
        <v>5004</v>
      </c>
      <c r="G456" s="7">
        <f ca="1">IFERROR(__xludf.DUMMYFUNCTION("""COMPUTED_VALUE"""),5461)</f>
        <v>5461</v>
      </c>
      <c r="H456" s="7">
        <f ca="1">IFERROR(__xludf.DUMMYFUNCTION("""COMPUTED_VALUE"""),428269)</f>
        <v>428269</v>
      </c>
      <c r="I456" s="7">
        <f ca="1">IFERROR(__xludf.DUMMYFUNCTION("""COMPUTED_VALUE"""),807)</f>
        <v>807</v>
      </c>
      <c r="J456" s="7">
        <f ca="1">IFERROR(__xludf.DUMMYFUNCTION("""COMPUTED_VALUE"""),10465)</f>
        <v>10465</v>
      </c>
      <c r="K456" s="7">
        <f ca="1">IFERROR(__xludf.DUMMYFUNCTION("""COMPUTED_VALUE"""),1011)</f>
        <v>1011</v>
      </c>
      <c r="L456" s="7">
        <f ca="1">IFERROR(__xludf.DUMMYFUNCTION("""COMPUTED_VALUE"""),1557)</f>
        <v>1557</v>
      </c>
      <c r="M456" s="7">
        <f ca="1">IFERROR(__xludf.DUMMYFUNCTION("""COMPUTED_VALUE"""),7184)</f>
        <v>7184</v>
      </c>
      <c r="N456" s="7">
        <f ca="1">IFERROR(__xludf.DUMMYFUNCTION("""COMPUTED_VALUE"""),1724)</f>
        <v>1724</v>
      </c>
    </row>
    <row r="457" spans="1:14" ht="13.2" x14ac:dyDescent="0.25">
      <c r="A457" s="6">
        <f ca="1">IFERROR(__xludf.DUMMYFUNCTION("""COMPUTED_VALUE"""),44346)</f>
        <v>44346</v>
      </c>
      <c r="B457" s="7">
        <f ca="1">IFERROR(__xludf.DUMMYFUNCTION("""COMPUTED_VALUE"""),8)</f>
        <v>8</v>
      </c>
      <c r="C457" s="8">
        <f ca="1">IFERROR(__xludf.DUMMYFUNCTION("""COMPUTED_VALUE"""),44346.3333333333)</f>
        <v>44346.333333333299</v>
      </c>
      <c r="D457" s="7">
        <f ca="1">IFERROR(__xludf.DUMMYFUNCTION("""COMPUTED_VALUE"""),7309)</f>
        <v>7309</v>
      </c>
      <c r="E457" s="7">
        <f ca="1">IFERROR(__xludf.DUMMYFUNCTION("""COMPUTED_VALUE"""),411495)</f>
        <v>411495</v>
      </c>
      <c r="F457" s="7">
        <f ca="1">IFERROR(__xludf.DUMMYFUNCTION("""COMPUTED_VALUE"""),5100)</f>
        <v>5100</v>
      </c>
      <c r="G457" s="7">
        <f ca="1">IFERROR(__xludf.DUMMYFUNCTION("""COMPUTED_VALUE"""),5429)</f>
        <v>5429</v>
      </c>
      <c r="H457" s="7">
        <f ca="1">IFERROR(__xludf.DUMMYFUNCTION("""COMPUTED_VALUE"""),429333)</f>
        <v>429333</v>
      </c>
      <c r="I457" s="7">
        <f ca="1">IFERROR(__xludf.DUMMYFUNCTION("""COMPUTED_VALUE"""),1064)</f>
        <v>1064</v>
      </c>
      <c r="J457" s="7">
        <f ca="1">IFERROR(__xludf.DUMMYFUNCTION("""COMPUTED_VALUE"""),10529)</f>
        <v>10529</v>
      </c>
      <c r="K457" s="7">
        <f ca="1">IFERROR(__xludf.DUMMYFUNCTION("""COMPUTED_VALUE"""),987)</f>
        <v>987</v>
      </c>
      <c r="L457" s="7">
        <f ca="1">IFERROR(__xludf.DUMMYFUNCTION("""COMPUTED_VALUE"""),1375)</f>
        <v>1375</v>
      </c>
      <c r="M457" s="7">
        <f ca="1">IFERROR(__xludf.DUMMYFUNCTION("""COMPUTED_VALUE"""),6661)</f>
        <v>6661</v>
      </c>
      <c r="N457" s="7">
        <f ca="1">IFERROR(__xludf.DUMMYFUNCTION("""COMPUTED_VALUE"""),2493)</f>
        <v>2493</v>
      </c>
    </row>
    <row r="458" spans="1:14" ht="13.2" x14ac:dyDescent="0.25">
      <c r="A458" s="6">
        <f ca="1">IFERROR(__xludf.DUMMYFUNCTION("""COMPUTED_VALUE"""),44347)</f>
        <v>44347</v>
      </c>
      <c r="B458" s="7">
        <f ca="1">IFERROR(__xludf.DUMMYFUNCTION("""COMPUTED_VALUE"""),8)</f>
        <v>8</v>
      </c>
      <c r="C458" s="8">
        <f ca="1">IFERROR(__xludf.DUMMYFUNCTION("""COMPUTED_VALUE"""),44347.3333333333)</f>
        <v>44347.333333333299</v>
      </c>
      <c r="D458" s="7">
        <f ca="1">IFERROR(__xludf.DUMMYFUNCTION("""COMPUTED_VALUE"""),7327)</f>
        <v>7327</v>
      </c>
      <c r="E458" s="7">
        <f ca="1">IFERROR(__xludf.DUMMYFUNCTION("""COMPUTED_VALUE"""),412074)</f>
        <v>412074</v>
      </c>
      <c r="F458" s="7">
        <f ca="1">IFERROR(__xludf.DUMMYFUNCTION("""COMPUTED_VALUE"""),5241)</f>
        <v>5241</v>
      </c>
      <c r="G458" s="7">
        <f ca="1">IFERROR(__xludf.DUMMYFUNCTION("""COMPUTED_VALUE"""),5417)</f>
        <v>5417</v>
      </c>
      <c r="H458" s="7">
        <f ca="1">IFERROR(__xludf.DUMMYFUNCTION("""COMPUTED_VALUE"""),430059)</f>
        <v>430059</v>
      </c>
      <c r="I458" s="7">
        <f ca="1">IFERROR(__xludf.DUMMYFUNCTION("""COMPUTED_VALUE"""),726)</f>
        <v>726</v>
      </c>
      <c r="J458" s="7">
        <f ca="1">IFERROR(__xludf.DUMMYFUNCTION("""COMPUTED_VALUE"""),10658)</f>
        <v>10658</v>
      </c>
      <c r="K458" s="7">
        <f ca="1">IFERROR(__xludf.DUMMYFUNCTION("""COMPUTED_VALUE"""),579)</f>
        <v>579</v>
      </c>
      <c r="L458" s="7">
        <f ca="1">IFERROR(__xludf.DUMMYFUNCTION("""COMPUTED_VALUE"""),2117)</f>
        <v>2117</v>
      </c>
      <c r="M458" s="7">
        <f ca="1">IFERROR(__xludf.DUMMYFUNCTION("""COMPUTED_VALUE"""),8023)</f>
        <v>8023</v>
      </c>
      <c r="N458" s="7">
        <f ca="1">IFERROR(__xludf.DUMMYFUNCTION("""COMPUTED_VALUE"""),518)</f>
        <v>518</v>
      </c>
    </row>
    <row r="459" spans="1:14" ht="13.2" x14ac:dyDescent="0.25">
      <c r="A459" s="6">
        <f ca="1">IFERROR(__xludf.DUMMYFUNCTION("""COMPUTED_VALUE"""),44348)</f>
        <v>44348</v>
      </c>
      <c r="B459" s="7">
        <f ca="1">IFERROR(__xludf.DUMMYFUNCTION("""COMPUTED_VALUE"""),8)</f>
        <v>8</v>
      </c>
      <c r="C459" s="8">
        <f ca="1">IFERROR(__xludf.DUMMYFUNCTION("""COMPUTED_VALUE"""),44348.3333333333)</f>
        <v>44348.333333333299</v>
      </c>
      <c r="D459" s="7">
        <f ca="1">IFERROR(__xludf.DUMMYFUNCTION("""COMPUTED_VALUE"""),7349)</f>
        <v>7349</v>
      </c>
      <c r="E459" s="7">
        <f ca="1">IFERROR(__xludf.DUMMYFUNCTION("""COMPUTED_VALUE"""),412593)</f>
        <v>412593</v>
      </c>
      <c r="F459" s="7">
        <f ca="1">IFERROR(__xludf.DUMMYFUNCTION("""COMPUTED_VALUE"""),5214)</f>
        <v>5214</v>
      </c>
      <c r="G459" s="7">
        <f ca="1">IFERROR(__xludf.DUMMYFUNCTION("""COMPUTED_VALUE"""),5422)</f>
        <v>5422</v>
      </c>
      <c r="H459" s="7">
        <f ca="1">IFERROR(__xludf.DUMMYFUNCTION("""COMPUTED_VALUE"""),430578)</f>
        <v>430578</v>
      </c>
      <c r="I459" s="7">
        <f ca="1">IFERROR(__xludf.DUMMYFUNCTION("""COMPUTED_VALUE"""),519)</f>
        <v>519</v>
      </c>
      <c r="J459" s="7">
        <f ca="1">IFERROR(__xludf.DUMMYFUNCTION("""COMPUTED_VALUE"""),10636)</f>
        <v>10636</v>
      </c>
      <c r="K459" s="7">
        <f ca="1">IFERROR(__xludf.DUMMYFUNCTION("""COMPUTED_VALUE"""),519)</f>
        <v>519</v>
      </c>
      <c r="L459" s="7">
        <f ca="1">IFERROR(__xludf.DUMMYFUNCTION("""COMPUTED_VALUE"""),1996)</f>
        <v>1996</v>
      </c>
      <c r="M459" s="7">
        <f ca="1">IFERROR(__xludf.DUMMYFUNCTION("""COMPUTED_VALUE"""),7706)</f>
        <v>7706</v>
      </c>
      <c r="N459" s="7">
        <f ca="1">IFERROR(__xludf.DUMMYFUNCTION("""COMPUTED_VALUE"""),934)</f>
        <v>934</v>
      </c>
    </row>
    <row r="460" spans="1:14" ht="13.2" x14ac:dyDescent="0.25">
      <c r="A460" s="6">
        <f ca="1">IFERROR(__xludf.DUMMYFUNCTION("""COMPUTED_VALUE"""),44349)</f>
        <v>44349</v>
      </c>
      <c r="B460" s="7">
        <f ca="1">IFERROR(__xludf.DUMMYFUNCTION("""COMPUTED_VALUE"""),8)</f>
        <v>8</v>
      </c>
      <c r="C460" s="8">
        <f ca="1">IFERROR(__xludf.DUMMYFUNCTION("""COMPUTED_VALUE"""),44349.3333333333)</f>
        <v>44349.333333333299</v>
      </c>
      <c r="D460" s="7">
        <f ca="1">IFERROR(__xludf.DUMMYFUNCTION("""COMPUTED_VALUE"""),7361)</f>
        <v>7361</v>
      </c>
      <c r="E460" s="7">
        <f ca="1">IFERROR(__xludf.DUMMYFUNCTION("""COMPUTED_VALUE"""),413179)</f>
        <v>413179</v>
      </c>
      <c r="F460" s="7">
        <f ca="1">IFERROR(__xludf.DUMMYFUNCTION("""COMPUTED_VALUE"""),5178)</f>
        <v>5178</v>
      </c>
      <c r="G460" s="7">
        <f ca="1">IFERROR(__xludf.DUMMYFUNCTION("""COMPUTED_VALUE"""),5461)</f>
        <v>5461</v>
      </c>
      <c r="H460" s="7">
        <f ca="1">IFERROR(__xludf.DUMMYFUNCTION("""COMPUTED_VALUE"""),431179)</f>
        <v>431179</v>
      </c>
      <c r="I460" s="7">
        <f ca="1">IFERROR(__xludf.DUMMYFUNCTION("""COMPUTED_VALUE"""),601)</f>
        <v>601</v>
      </c>
      <c r="J460" s="7">
        <f ca="1">IFERROR(__xludf.DUMMYFUNCTION("""COMPUTED_VALUE"""),10639)</f>
        <v>10639</v>
      </c>
      <c r="K460" s="7">
        <f ca="1">IFERROR(__xludf.DUMMYFUNCTION("""COMPUTED_VALUE"""),586)</f>
        <v>586</v>
      </c>
      <c r="L460" s="7">
        <f ca="1">IFERROR(__xludf.DUMMYFUNCTION("""COMPUTED_VALUE"""),1951)</f>
        <v>1951</v>
      </c>
      <c r="M460" s="7">
        <f ca="1">IFERROR(__xludf.DUMMYFUNCTION("""COMPUTED_VALUE"""),7330)</f>
        <v>7330</v>
      </c>
      <c r="N460" s="7">
        <f ca="1">IFERROR(__xludf.DUMMYFUNCTION("""COMPUTED_VALUE"""),1358)</f>
        <v>1358</v>
      </c>
    </row>
    <row r="461" spans="1:14" ht="13.2" x14ac:dyDescent="0.25">
      <c r="A461" s="6">
        <f ca="1">IFERROR(__xludf.DUMMYFUNCTION("""COMPUTED_VALUE"""),44350)</f>
        <v>44350</v>
      </c>
      <c r="B461" s="7">
        <f ca="1">IFERROR(__xludf.DUMMYFUNCTION("""COMPUTED_VALUE"""),8)</f>
        <v>8</v>
      </c>
      <c r="C461" s="8">
        <f ca="1">IFERROR(__xludf.DUMMYFUNCTION("""COMPUTED_VALUE"""),44350.3333333333)</f>
        <v>44350.333333333299</v>
      </c>
      <c r="D461" s="7">
        <f ca="1">IFERROR(__xludf.DUMMYFUNCTION("""COMPUTED_VALUE"""),7381)</f>
        <v>7381</v>
      </c>
      <c r="E461" s="7">
        <f ca="1">IFERROR(__xludf.DUMMYFUNCTION("""COMPUTED_VALUE"""),413680)</f>
        <v>413680</v>
      </c>
      <c r="F461" s="7">
        <f ca="1">IFERROR(__xludf.DUMMYFUNCTION("""COMPUTED_VALUE"""),5402)</f>
        <v>5402</v>
      </c>
      <c r="G461" s="7">
        <f ca="1">IFERROR(__xludf.DUMMYFUNCTION("""COMPUTED_VALUE"""),5430)</f>
        <v>5430</v>
      </c>
      <c r="H461" s="7">
        <f ca="1">IFERROR(__xludf.DUMMYFUNCTION("""COMPUTED_VALUE"""),431893)</f>
        <v>431893</v>
      </c>
      <c r="I461" s="7">
        <f ca="1">IFERROR(__xludf.DUMMYFUNCTION("""COMPUTED_VALUE"""),714)</f>
        <v>714</v>
      </c>
      <c r="J461" s="7">
        <f ca="1">IFERROR(__xludf.DUMMYFUNCTION("""COMPUTED_VALUE"""),10832)</f>
        <v>10832</v>
      </c>
      <c r="K461" s="7">
        <f ca="1">IFERROR(__xludf.DUMMYFUNCTION("""COMPUTED_VALUE"""),501)</f>
        <v>501</v>
      </c>
      <c r="L461" s="7">
        <f ca="1">IFERROR(__xludf.DUMMYFUNCTION("""COMPUTED_VALUE"""),1811)</f>
        <v>1811</v>
      </c>
      <c r="M461" s="7">
        <f ca="1">IFERROR(__xludf.DUMMYFUNCTION("""COMPUTED_VALUE"""),7116)</f>
        <v>7116</v>
      </c>
      <c r="N461" s="7">
        <f ca="1">IFERROR(__xludf.DUMMYFUNCTION("""COMPUTED_VALUE"""),1905)</f>
        <v>1905</v>
      </c>
    </row>
    <row r="462" spans="1:14" ht="13.2" x14ac:dyDescent="0.25">
      <c r="A462" s="6">
        <f ca="1">IFERROR(__xludf.DUMMYFUNCTION("""COMPUTED_VALUE"""),44351)</f>
        <v>44351</v>
      </c>
      <c r="B462" s="7">
        <f ca="1">IFERROR(__xludf.DUMMYFUNCTION("""COMPUTED_VALUE"""),8)</f>
        <v>8</v>
      </c>
      <c r="C462" s="8">
        <f ca="1">IFERROR(__xludf.DUMMYFUNCTION("""COMPUTED_VALUE"""),44351.3333333333)</f>
        <v>44351.333333333299</v>
      </c>
      <c r="D462" s="7">
        <f ca="1">IFERROR(__xludf.DUMMYFUNCTION("""COMPUTED_VALUE"""),7402)</f>
        <v>7402</v>
      </c>
      <c r="E462" s="7">
        <f ca="1">IFERROR(__xludf.DUMMYFUNCTION("""COMPUTED_VALUE"""),414496)</f>
        <v>414496</v>
      </c>
      <c r="F462" s="7">
        <f ca="1">IFERROR(__xludf.DUMMYFUNCTION("""COMPUTED_VALUE"""),5414)</f>
        <v>5414</v>
      </c>
      <c r="G462" s="7">
        <f ca="1">IFERROR(__xludf.DUMMYFUNCTION("""COMPUTED_VALUE"""),5487)</f>
        <v>5487</v>
      </c>
      <c r="H462" s="7">
        <f ca="1">IFERROR(__xludf.DUMMYFUNCTION("""COMPUTED_VALUE"""),432799)</f>
        <v>432799</v>
      </c>
      <c r="I462" s="7">
        <f ca="1">IFERROR(__xludf.DUMMYFUNCTION("""COMPUTED_VALUE"""),906)</f>
        <v>906</v>
      </c>
      <c r="J462" s="7">
        <f ca="1">IFERROR(__xludf.DUMMYFUNCTION("""COMPUTED_VALUE"""),10901)</f>
        <v>10901</v>
      </c>
      <c r="K462" s="7">
        <f ca="1">IFERROR(__xludf.DUMMYFUNCTION("""COMPUTED_VALUE"""),816)</f>
        <v>816</v>
      </c>
      <c r="L462" s="7">
        <f ca="1">IFERROR(__xludf.DUMMYFUNCTION("""COMPUTED_VALUE"""),2618)</f>
        <v>2618</v>
      </c>
      <c r="M462" s="7">
        <f ca="1">IFERROR(__xludf.DUMMYFUNCTION("""COMPUTED_VALUE"""),7650)</f>
        <v>7650</v>
      </c>
      <c r="N462" s="7">
        <f ca="1">IFERROR(__xludf.DUMMYFUNCTION("""COMPUTED_VALUE"""),633)</f>
        <v>633</v>
      </c>
    </row>
    <row r="463" spans="1:14" ht="13.2" x14ac:dyDescent="0.25">
      <c r="A463" s="6">
        <f ca="1">IFERROR(__xludf.DUMMYFUNCTION("""COMPUTED_VALUE"""),44352)</f>
        <v>44352</v>
      </c>
      <c r="B463" s="7">
        <f ca="1">IFERROR(__xludf.DUMMYFUNCTION("""COMPUTED_VALUE"""),8)</f>
        <v>8</v>
      </c>
      <c r="C463" s="8">
        <f ca="1">IFERROR(__xludf.DUMMYFUNCTION("""COMPUTED_VALUE"""),44352.3333333333)</f>
        <v>44352.333333333299</v>
      </c>
      <c r="D463" s="7">
        <f ca="1">IFERROR(__xludf.DUMMYFUNCTION("""COMPUTED_VALUE"""),7423)</f>
        <v>7423</v>
      </c>
      <c r="E463" s="7">
        <f ca="1">IFERROR(__xludf.DUMMYFUNCTION("""COMPUTED_VALUE"""),415317)</f>
        <v>415317</v>
      </c>
      <c r="F463" s="7">
        <f ca="1">IFERROR(__xludf.DUMMYFUNCTION("""COMPUTED_VALUE"""),5756)</f>
        <v>5756</v>
      </c>
      <c r="G463" s="7">
        <f ca="1">IFERROR(__xludf.DUMMYFUNCTION("""COMPUTED_VALUE"""),5620)</f>
        <v>5620</v>
      </c>
      <c r="H463" s="7">
        <f ca="1">IFERROR(__xludf.DUMMYFUNCTION("""COMPUTED_VALUE"""),434116)</f>
        <v>434116</v>
      </c>
      <c r="I463" s="7">
        <f ca="1">IFERROR(__xludf.DUMMYFUNCTION("""COMPUTED_VALUE"""),1317)</f>
        <v>1317</v>
      </c>
      <c r="J463" s="7">
        <f ca="1">IFERROR(__xludf.DUMMYFUNCTION("""COMPUTED_VALUE"""),11376)</f>
        <v>11376</v>
      </c>
      <c r="K463" s="7">
        <f ca="1">IFERROR(__xludf.DUMMYFUNCTION("""COMPUTED_VALUE"""),821)</f>
        <v>821</v>
      </c>
      <c r="L463" s="7">
        <f ca="1">IFERROR(__xludf.DUMMYFUNCTION("""COMPUTED_VALUE"""),2404)</f>
        <v>2404</v>
      </c>
      <c r="M463" s="7">
        <f ca="1">IFERROR(__xludf.DUMMYFUNCTION("""COMPUTED_VALUE"""),7279)</f>
        <v>7279</v>
      </c>
      <c r="N463" s="7">
        <f ca="1">IFERROR(__xludf.DUMMYFUNCTION("""COMPUTED_VALUE"""),1693)</f>
        <v>1693</v>
      </c>
    </row>
    <row r="464" spans="1:14" ht="13.2" x14ac:dyDescent="0.25">
      <c r="A464" s="6">
        <f ca="1">IFERROR(__xludf.DUMMYFUNCTION("""COMPUTED_VALUE"""),44353)</f>
        <v>44353</v>
      </c>
      <c r="B464" s="7">
        <f ca="1">IFERROR(__xludf.DUMMYFUNCTION("""COMPUTED_VALUE"""),8)</f>
        <v>8</v>
      </c>
      <c r="C464" s="8">
        <f ca="1">IFERROR(__xludf.DUMMYFUNCTION("""COMPUTED_VALUE"""),44353.3333333333)</f>
        <v>44353.333333333299</v>
      </c>
      <c r="D464" s="7">
        <f ca="1">IFERROR(__xludf.DUMMYFUNCTION("""COMPUTED_VALUE"""),7438)</f>
        <v>7438</v>
      </c>
      <c r="E464" s="7">
        <f ca="1">IFERROR(__xludf.DUMMYFUNCTION("""COMPUTED_VALUE"""),416181)</f>
        <v>416181</v>
      </c>
      <c r="F464" s="7">
        <f ca="1">IFERROR(__xludf.DUMMYFUNCTION("""COMPUTED_VALUE"""),5966)</f>
        <v>5966</v>
      </c>
      <c r="G464" s="7">
        <f ca="1">IFERROR(__xludf.DUMMYFUNCTION("""COMPUTED_VALUE"""),5550)</f>
        <v>5550</v>
      </c>
      <c r="H464" s="7">
        <f ca="1">IFERROR(__xludf.DUMMYFUNCTION("""COMPUTED_VALUE"""),435135)</f>
        <v>435135</v>
      </c>
      <c r="I464" s="7">
        <f ca="1">IFERROR(__xludf.DUMMYFUNCTION("""COMPUTED_VALUE"""),1019)</f>
        <v>1019</v>
      </c>
      <c r="J464" s="7">
        <f ca="1">IFERROR(__xludf.DUMMYFUNCTION("""COMPUTED_VALUE"""),11516)</f>
        <v>11516</v>
      </c>
      <c r="K464" s="7">
        <f ca="1">IFERROR(__xludf.DUMMYFUNCTION("""COMPUTED_VALUE"""),864)</f>
        <v>864</v>
      </c>
      <c r="L464" s="7">
        <f ca="1">IFERROR(__xludf.DUMMYFUNCTION("""COMPUTED_VALUE"""),1901)</f>
        <v>1901</v>
      </c>
      <c r="M464" s="7">
        <f ca="1">IFERROR(__xludf.DUMMYFUNCTION("""COMPUTED_VALUE"""),7135)</f>
        <v>7135</v>
      </c>
      <c r="N464" s="7">
        <f ca="1">IFERROR(__xludf.DUMMYFUNCTION("""COMPUTED_VALUE"""),2480)</f>
        <v>2480</v>
      </c>
    </row>
    <row r="465" spans="1:14" ht="13.2" x14ac:dyDescent="0.25">
      <c r="A465" s="6">
        <f ca="1">IFERROR(__xludf.DUMMYFUNCTION("""COMPUTED_VALUE"""),44354)</f>
        <v>44354</v>
      </c>
      <c r="B465" s="7">
        <f ca="1">IFERROR(__xludf.DUMMYFUNCTION("""COMPUTED_VALUE"""),8)</f>
        <v>8</v>
      </c>
      <c r="C465" s="8">
        <f ca="1">IFERROR(__xludf.DUMMYFUNCTION("""COMPUTED_VALUE"""),44354.3333333333)</f>
        <v>44354.333333333299</v>
      </c>
      <c r="D465" s="7">
        <f ca="1">IFERROR(__xludf.DUMMYFUNCTION("""COMPUTED_VALUE"""),7457)</f>
        <v>7457</v>
      </c>
      <c r="E465" s="7">
        <f ca="1">IFERROR(__xludf.DUMMYFUNCTION("""COMPUTED_VALUE"""),416994)</f>
        <v>416994</v>
      </c>
      <c r="F465" s="7">
        <f ca="1">IFERROR(__xludf.DUMMYFUNCTION("""COMPUTED_VALUE"""),6261)</f>
        <v>6261</v>
      </c>
      <c r="G465" s="7">
        <f ca="1">IFERROR(__xludf.DUMMYFUNCTION("""COMPUTED_VALUE"""),5620)</f>
        <v>5620</v>
      </c>
      <c r="H465" s="7">
        <f ca="1">IFERROR(__xludf.DUMMYFUNCTION("""COMPUTED_VALUE"""),436332)</f>
        <v>436332</v>
      </c>
      <c r="I465" s="7">
        <f ca="1">IFERROR(__xludf.DUMMYFUNCTION("""COMPUTED_VALUE"""),1197)</f>
        <v>1197</v>
      </c>
      <c r="J465" s="7">
        <f ca="1">IFERROR(__xludf.DUMMYFUNCTION("""COMPUTED_VALUE"""),11881)</f>
        <v>11881</v>
      </c>
      <c r="K465" s="7">
        <f ca="1">IFERROR(__xludf.DUMMYFUNCTION("""COMPUTED_VALUE"""),813)</f>
        <v>813</v>
      </c>
      <c r="L465" s="7">
        <f ca="1">IFERROR(__xludf.DUMMYFUNCTION("""COMPUTED_VALUE"""),2412)</f>
        <v>2412</v>
      </c>
      <c r="M465" s="7">
        <f ca="1">IFERROR(__xludf.DUMMYFUNCTION("""COMPUTED_VALUE"""),8576)</f>
        <v>8576</v>
      </c>
      <c r="N465" s="7">
        <f ca="1">IFERROR(__xludf.DUMMYFUNCTION("""COMPUTED_VALUE"""),893)</f>
        <v>893</v>
      </c>
    </row>
    <row r="466" spans="1:14" ht="13.2" x14ac:dyDescent="0.25">
      <c r="A466" s="6">
        <f ca="1">IFERROR(__xludf.DUMMYFUNCTION("""COMPUTED_VALUE"""),44355)</f>
        <v>44355</v>
      </c>
      <c r="B466" s="7">
        <f ca="1">IFERROR(__xludf.DUMMYFUNCTION("""COMPUTED_VALUE"""),8)</f>
        <v>8</v>
      </c>
      <c r="C466" s="8">
        <f ca="1">IFERROR(__xludf.DUMMYFUNCTION("""COMPUTED_VALUE"""),44355.3333333333)</f>
        <v>44355.333333333299</v>
      </c>
      <c r="D466" s="7">
        <f ca="1">IFERROR(__xludf.DUMMYFUNCTION("""COMPUTED_VALUE"""),7478)</f>
        <v>7478</v>
      </c>
      <c r="E466" s="7">
        <f ca="1">IFERROR(__xludf.DUMMYFUNCTION("""COMPUTED_VALUE"""),417997)</f>
        <v>417997</v>
      </c>
      <c r="F466" s="7">
        <f ca="1">IFERROR(__xludf.DUMMYFUNCTION("""COMPUTED_VALUE"""),6057)</f>
        <v>6057</v>
      </c>
      <c r="G466" s="7">
        <f ca="1">IFERROR(__xludf.DUMMYFUNCTION("""COMPUTED_VALUE"""),5555)</f>
        <v>5555</v>
      </c>
      <c r="H466" s="7">
        <f ca="1">IFERROR(__xludf.DUMMYFUNCTION("""COMPUTED_VALUE"""),437087)</f>
        <v>437087</v>
      </c>
      <c r="I466" s="7">
        <f ca="1">IFERROR(__xludf.DUMMYFUNCTION("""COMPUTED_VALUE"""),755)</f>
        <v>755</v>
      </c>
      <c r="J466" s="7">
        <f ca="1">IFERROR(__xludf.DUMMYFUNCTION("""COMPUTED_VALUE"""),11612)</f>
        <v>11612</v>
      </c>
      <c r="K466" s="7">
        <f ca="1">IFERROR(__xludf.DUMMYFUNCTION("""COMPUTED_VALUE"""),1003)</f>
        <v>1003</v>
      </c>
      <c r="L466" s="7">
        <f ca="1">IFERROR(__xludf.DUMMYFUNCTION("""COMPUTED_VALUE"""),2186)</f>
        <v>2186</v>
      </c>
      <c r="M466" s="7">
        <f ca="1">IFERROR(__xludf.DUMMYFUNCTION("""COMPUTED_VALUE"""),7949)</f>
        <v>7949</v>
      </c>
      <c r="N466" s="7">
        <f ca="1">IFERROR(__xludf.DUMMYFUNCTION("""COMPUTED_VALUE"""),1477)</f>
        <v>1477</v>
      </c>
    </row>
    <row r="467" spans="1:14" ht="13.2" x14ac:dyDescent="0.25">
      <c r="A467" s="6">
        <f ca="1">IFERROR(__xludf.DUMMYFUNCTION("""COMPUTED_VALUE"""),44356)</f>
        <v>44356</v>
      </c>
      <c r="B467" s="7">
        <f ca="1">IFERROR(__xludf.DUMMYFUNCTION("""COMPUTED_VALUE"""),8)</f>
        <v>8</v>
      </c>
      <c r="C467" s="8">
        <f ca="1">IFERROR(__xludf.DUMMYFUNCTION("""COMPUTED_VALUE"""),44356.3333333333)</f>
        <v>44356.333333333299</v>
      </c>
      <c r="D467" s="7">
        <f ca="1">IFERROR(__xludf.DUMMYFUNCTION("""COMPUTED_VALUE"""),7499)</f>
        <v>7499</v>
      </c>
      <c r="E467" s="7">
        <f ca="1">IFERROR(__xludf.DUMMYFUNCTION("""COMPUTED_VALUE"""),419109)</f>
        <v>419109</v>
      </c>
      <c r="F467" s="7">
        <f ca="1">IFERROR(__xludf.DUMMYFUNCTION("""COMPUTED_VALUE"""),6120)</f>
        <v>6120</v>
      </c>
      <c r="G467" s="7">
        <f ca="1">IFERROR(__xludf.DUMMYFUNCTION("""COMPUTED_VALUE"""),5730)</f>
        <v>5730</v>
      </c>
      <c r="H467" s="7">
        <f ca="1">IFERROR(__xludf.DUMMYFUNCTION("""COMPUTED_VALUE"""),438458)</f>
        <v>438458</v>
      </c>
      <c r="I467" s="7">
        <f ca="1">IFERROR(__xludf.DUMMYFUNCTION("""COMPUTED_VALUE"""),1371)</f>
        <v>1371</v>
      </c>
      <c r="J467" s="7">
        <f ca="1">IFERROR(__xludf.DUMMYFUNCTION("""COMPUTED_VALUE"""),11850)</f>
        <v>11850</v>
      </c>
      <c r="K467" s="7">
        <f ca="1">IFERROR(__xludf.DUMMYFUNCTION("""COMPUTED_VALUE"""),1112)</f>
        <v>1112</v>
      </c>
      <c r="L467" s="7">
        <f ca="1">IFERROR(__xludf.DUMMYFUNCTION("""COMPUTED_VALUE"""),1992)</f>
        <v>1992</v>
      </c>
      <c r="M467" s="7">
        <f ca="1">IFERROR(__xludf.DUMMYFUNCTION("""COMPUTED_VALUE"""),7270)</f>
        <v>7270</v>
      </c>
      <c r="N467" s="7">
        <f ca="1">IFERROR(__xludf.DUMMYFUNCTION("""COMPUTED_VALUE"""),2588)</f>
        <v>2588</v>
      </c>
    </row>
    <row r="468" spans="1:14" ht="13.2" x14ac:dyDescent="0.25">
      <c r="A468" s="6">
        <f ca="1">IFERROR(__xludf.DUMMYFUNCTION("""COMPUTED_VALUE"""),44357)</f>
        <v>44357</v>
      </c>
      <c r="B468" s="7">
        <f ca="1">IFERROR(__xludf.DUMMYFUNCTION("""COMPUTED_VALUE"""),8)</f>
        <v>8</v>
      </c>
      <c r="C468" s="8">
        <f ca="1">IFERROR(__xludf.DUMMYFUNCTION("""COMPUTED_VALUE"""),44357.3333333333)</f>
        <v>44357.333333333299</v>
      </c>
      <c r="D468" s="7">
        <f ca="1">IFERROR(__xludf.DUMMYFUNCTION("""COMPUTED_VALUE"""),7523)</f>
        <v>7523</v>
      </c>
      <c r="E468" s="7">
        <f ca="1">IFERROR(__xludf.DUMMYFUNCTION("""COMPUTED_VALUE"""),420211)</f>
        <v>420211</v>
      </c>
      <c r="F468" s="7">
        <f ca="1">IFERROR(__xludf.DUMMYFUNCTION("""COMPUTED_VALUE"""),6991)</f>
        <v>6991</v>
      </c>
      <c r="G468" s="7">
        <f ca="1">IFERROR(__xludf.DUMMYFUNCTION("""COMPUTED_VALUE"""),5829)</f>
        <v>5829</v>
      </c>
      <c r="H468" s="7">
        <f ca="1">IFERROR(__xludf.DUMMYFUNCTION("""COMPUTED_VALUE"""),440554)</f>
        <v>440554</v>
      </c>
      <c r="I468" s="7">
        <f ca="1">IFERROR(__xludf.DUMMYFUNCTION("""COMPUTED_VALUE"""),2096)</f>
        <v>2096</v>
      </c>
      <c r="J468" s="7">
        <f ca="1">IFERROR(__xludf.DUMMYFUNCTION("""COMPUTED_VALUE"""),12820)</f>
        <v>12820</v>
      </c>
      <c r="K468" s="7">
        <f ca="1">IFERROR(__xludf.DUMMYFUNCTION("""COMPUTED_VALUE"""),1102)</f>
        <v>1102</v>
      </c>
      <c r="L468" s="7">
        <f ca="1">IFERROR(__xludf.DUMMYFUNCTION("""COMPUTED_VALUE"""),1789)</f>
        <v>1789</v>
      </c>
      <c r="M468" s="7">
        <f ca="1">IFERROR(__xludf.DUMMYFUNCTION("""COMPUTED_VALUE"""),6881)</f>
        <v>6881</v>
      </c>
      <c r="N468" s="7">
        <f ca="1">IFERROR(__xludf.DUMMYFUNCTION("""COMPUTED_VALUE"""),4150)</f>
        <v>4150</v>
      </c>
    </row>
    <row r="469" spans="1:14" ht="13.2" x14ac:dyDescent="0.25">
      <c r="A469" s="6">
        <f ca="1">IFERROR(__xludf.DUMMYFUNCTION("""COMPUTED_VALUE"""),44358)</f>
        <v>44358</v>
      </c>
      <c r="B469" s="7">
        <f ca="1">IFERROR(__xludf.DUMMYFUNCTION("""COMPUTED_VALUE"""),8)</f>
        <v>8</v>
      </c>
      <c r="C469" s="8">
        <f ca="1">IFERROR(__xludf.DUMMYFUNCTION("""COMPUTED_VALUE"""),44358.3333333333)</f>
        <v>44358.333333333299</v>
      </c>
      <c r="D469" s="7">
        <f ca="1">IFERROR(__xludf.DUMMYFUNCTION("""COMPUTED_VALUE"""),7543)</f>
        <v>7543</v>
      </c>
      <c r="E469" s="7">
        <f ca="1">IFERROR(__xludf.DUMMYFUNCTION("""COMPUTED_VALUE"""),421396)</f>
        <v>421396</v>
      </c>
      <c r="F469" s="7">
        <f ca="1">IFERROR(__xludf.DUMMYFUNCTION("""COMPUTED_VALUE"""),7750)</f>
        <v>7750</v>
      </c>
      <c r="G469" s="7">
        <f ca="1">IFERROR(__xludf.DUMMYFUNCTION("""COMPUTED_VALUE"""),6158)</f>
        <v>6158</v>
      </c>
      <c r="H469" s="7">
        <f ca="1">IFERROR(__xludf.DUMMYFUNCTION("""COMPUTED_VALUE"""),442847)</f>
        <v>442847</v>
      </c>
      <c r="I469" s="7">
        <f ca="1">IFERROR(__xludf.DUMMYFUNCTION("""COMPUTED_VALUE"""),2293)</f>
        <v>2293</v>
      </c>
      <c r="J469" s="7">
        <f ca="1">IFERROR(__xludf.DUMMYFUNCTION("""COMPUTED_VALUE"""),13908)</f>
        <v>13908</v>
      </c>
      <c r="K469" s="7">
        <f ca="1">IFERROR(__xludf.DUMMYFUNCTION("""COMPUTED_VALUE"""),1185)</f>
        <v>1185</v>
      </c>
      <c r="L469" s="7">
        <f ca="1">IFERROR(__xludf.DUMMYFUNCTION("""COMPUTED_VALUE"""),1456)</f>
        <v>1456</v>
      </c>
      <c r="M469" s="7">
        <f ca="1">IFERROR(__xludf.DUMMYFUNCTION("""COMPUTED_VALUE"""),6442)</f>
        <v>6442</v>
      </c>
      <c r="N469" s="7">
        <f ca="1">IFERROR(__xludf.DUMMYFUNCTION("""COMPUTED_VALUE"""),6010)</f>
        <v>6010</v>
      </c>
    </row>
    <row r="470" spans="1:14" ht="13.2" x14ac:dyDescent="0.25">
      <c r="A470" s="6">
        <f ca="1">IFERROR(__xludf.DUMMYFUNCTION("""COMPUTED_VALUE"""),44359)</f>
        <v>44359</v>
      </c>
      <c r="B470" s="7">
        <f ca="1">IFERROR(__xludf.DUMMYFUNCTION("""COMPUTED_VALUE"""),8)</f>
        <v>8</v>
      </c>
      <c r="C470" s="8">
        <f ca="1">IFERROR(__xludf.DUMMYFUNCTION("""COMPUTED_VALUE"""),44359.3333333333)</f>
        <v>44359.333333333299</v>
      </c>
      <c r="D470" s="7">
        <f ca="1">IFERROR(__xludf.DUMMYFUNCTION("""COMPUTED_VALUE"""),7557)</f>
        <v>7557</v>
      </c>
      <c r="E470" s="7">
        <f ca="1">IFERROR(__xludf.DUMMYFUNCTION("""COMPUTED_VALUE"""),422121)</f>
        <v>422121</v>
      </c>
      <c r="F470" s="7">
        <f ca="1">IFERROR(__xludf.DUMMYFUNCTION("""COMPUTED_VALUE"""),8855)</f>
        <v>8855</v>
      </c>
      <c r="G470" s="7">
        <f ca="1">IFERROR(__xludf.DUMMYFUNCTION("""COMPUTED_VALUE"""),6769)</f>
        <v>6769</v>
      </c>
      <c r="H470" s="7">
        <f ca="1">IFERROR(__xludf.DUMMYFUNCTION("""COMPUTED_VALUE"""),445302)</f>
        <v>445302</v>
      </c>
      <c r="I470" s="7">
        <f ca="1">IFERROR(__xludf.DUMMYFUNCTION("""COMPUTED_VALUE"""),2455)</f>
        <v>2455</v>
      </c>
      <c r="J470" s="7">
        <f ca="1">IFERROR(__xludf.DUMMYFUNCTION("""COMPUTED_VALUE"""),15624)</f>
        <v>15624</v>
      </c>
      <c r="K470" s="7">
        <f ca="1">IFERROR(__xludf.DUMMYFUNCTION("""COMPUTED_VALUE"""),725)</f>
        <v>725</v>
      </c>
      <c r="L470" s="7">
        <f ca="1">IFERROR(__xludf.DUMMYFUNCTION("""COMPUTED_VALUE"""),1289)</f>
        <v>1289</v>
      </c>
      <c r="M470" s="7">
        <f ca="1">IFERROR(__xludf.DUMMYFUNCTION("""COMPUTED_VALUE"""),6395)</f>
        <v>6395</v>
      </c>
      <c r="N470" s="7">
        <f ca="1">IFERROR(__xludf.DUMMYFUNCTION("""COMPUTED_VALUE"""),7940)</f>
        <v>7940</v>
      </c>
    </row>
    <row r="471" spans="1:14" ht="13.2" x14ac:dyDescent="0.25">
      <c r="A471" s="6">
        <f ca="1">IFERROR(__xludf.DUMMYFUNCTION("""COMPUTED_VALUE"""),44360)</f>
        <v>44360</v>
      </c>
      <c r="B471" s="7">
        <f ca="1">IFERROR(__xludf.DUMMYFUNCTION("""COMPUTED_VALUE"""),8)</f>
        <v>8</v>
      </c>
      <c r="C471" s="8">
        <f ca="1">IFERROR(__xludf.DUMMYFUNCTION("""COMPUTED_VALUE"""),44360.3333333333)</f>
        <v>44360.333333333299</v>
      </c>
      <c r="D471" s="7">
        <f ca="1">IFERROR(__xludf.DUMMYFUNCTION("""COMPUTED_VALUE"""),7571)</f>
        <v>7571</v>
      </c>
      <c r="E471" s="7">
        <f ca="1">IFERROR(__xludf.DUMMYFUNCTION("""COMPUTED_VALUE"""),423056)</f>
        <v>423056</v>
      </c>
      <c r="F471" s="7">
        <f ca="1">IFERROR(__xludf.DUMMYFUNCTION("""COMPUTED_VALUE"""),10034)</f>
        <v>10034</v>
      </c>
      <c r="G471" s="7">
        <f ca="1">IFERROR(__xludf.DUMMYFUNCTION("""COMPUTED_VALUE"""),7410)</f>
        <v>7410</v>
      </c>
      <c r="H471" s="7">
        <f ca="1">IFERROR(__xludf.DUMMYFUNCTION("""COMPUTED_VALUE"""),448071)</f>
        <v>448071</v>
      </c>
      <c r="I471" s="7">
        <f ca="1">IFERROR(__xludf.DUMMYFUNCTION("""COMPUTED_VALUE"""),2769)</f>
        <v>2769</v>
      </c>
      <c r="J471" s="7">
        <f ca="1">IFERROR(__xludf.DUMMYFUNCTION("""COMPUTED_VALUE"""),17444)</f>
        <v>17444</v>
      </c>
      <c r="K471" s="7">
        <f ca="1">IFERROR(__xludf.DUMMYFUNCTION("""COMPUTED_VALUE"""),935)</f>
        <v>935</v>
      </c>
      <c r="L471" s="7">
        <f ca="1">IFERROR(__xludf.DUMMYFUNCTION("""COMPUTED_VALUE"""),1117)</f>
        <v>1117</v>
      </c>
      <c r="M471" s="7">
        <f ca="1">IFERROR(__xludf.DUMMYFUNCTION("""COMPUTED_VALUE"""),6352)</f>
        <v>6352</v>
      </c>
      <c r="N471" s="7">
        <f ca="1">IFERROR(__xludf.DUMMYFUNCTION("""COMPUTED_VALUE"""),9975)</f>
        <v>9975</v>
      </c>
    </row>
    <row r="472" spans="1:14" ht="13.2" x14ac:dyDescent="0.25">
      <c r="A472" s="6">
        <f ca="1">IFERROR(__xludf.DUMMYFUNCTION("""COMPUTED_VALUE"""),44361)</f>
        <v>44361</v>
      </c>
      <c r="B472" s="7">
        <f ca="1">IFERROR(__xludf.DUMMYFUNCTION("""COMPUTED_VALUE"""),8)</f>
        <v>8</v>
      </c>
      <c r="C472" s="8">
        <f ca="1">IFERROR(__xludf.DUMMYFUNCTION("""COMPUTED_VALUE"""),44361.3333333333)</f>
        <v>44361.333333333299</v>
      </c>
      <c r="D472" s="7">
        <f ca="1">IFERROR(__xludf.DUMMYFUNCTION("""COMPUTED_VALUE"""),7609)</f>
        <v>7609</v>
      </c>
      <c r="E472" s="7">
        <f ca="1">IFERROR(__xludf.DUMMYFUNCTION("""COMPUTED_VALUE"""),424088)</f>
        <v>424088</v>
      </c>
      <c r="F472" s="7">
        <f ca="1">IFERROR(__xludf.DUMMYFUNCTION("""COMPUTED_VALUE"""),11240)</f>
        <v>11240</v>
      </c>
      <c r="G472" s="7">
        <f ca="1">IFERROR(__xludf.DUMMYFUNCTION("""COMPUTED_VALUE"""),7856)</f>
        <v>7856</v>
      </c>
      <c r="H472" s="7">
        <f ca="1">IFERROR(__xludf.DUMMYFUNCTION("""COMPUTED_VALUE"""),450793)</f>
        <v>450793</v>
      </c>
      <c r="I472" s="7">
        <f ca="1">IFERROR(__xludf.DUMMYFUNCTION("""COMPUTED_VALUE"""),2722)</f>
        <v>2722</v>
      </c>
      <c r="J472" s="7">
        <f ca="1">IFERROR(__xludf.DUMMYFUNCTION("""COMPUTED_VALUE"""),19096)</f>
        <v>19096</v>
      </c>
      <c r="K472" s="7">
        <f ca="1">IFERROR(__xludf.DUMMYFUNCTION("""COMPUTED_VALUE"""),1032)</f>
        <v>1032</v>
      </c>
      <c r="L472" s="7">
        <f ca="1">IFERROR(__xludf.DUMMYFUNCTION("""COMPUTED_VALUE"""),4032)</f>
        <v>4032</v>
      </c>
      <c r="M472" s="7">
        <f ca="1">IFERROR(__xludf.DUMMYFUNCTION("""COMPUTED_VALUE"""),13945)</f>
        <v>13945</v>
      </c>
      <c r="N472" s="7">
        <f ca="1">IFERROR(__xludf.DUMMYFUNCTION("""COMPUTED_VALUE"""),1119)</f>
        <v>1119</v>
      </c>
    </row>
    <row r="473" spans="1:14" ht="13.2" x14ac:dyDescent="0.25">
      <c r="A473" s="6">
        <f ca="1">IFERROR(__xludf.DUMMYFUNCTION("""COMPUTED_VALUE"""),44362)</f>
        <v>44362</v>
      </c>
      <c r="B473" s="7">
        <f ca="1">IFERROR(__xludf.DUMMYFUNCTION("""COMPUTED_VALUE"""),8)</f>
        <v>8</v>
      </c>
      <c r="C473" s="8">
        <f ca="1">IFERROR(__xludf.DUMMYFUNCTION("""COMPUTED_VALUE"""),44362.3333333333)</f>
        <v>44362.333333333299</v>
      </c>
      <c r="D473" s="7">
        <f ca="1">IFERROR(__xludf.DUMMYFUNCTION("""COMPUTED_VALUE"""),7634)</f>
        <v>7634</v>
      </c>
      <c r="E473" s="7">
        <f ca="1">IFERROR(__xludf.DUMMYFUNCTION("""COMPUTED_VALUE"""),425417)</f>
        <v>425417</v>
      </c>
      <c r="F473" s="7">
        <f ca="1">IFERROR(__xludf.DUMMYFUNCTION("""COMPUTED_VALUE"""),11102)</f>
        <v>11102</v>
      </c>
      <c r="G473" s="7">
        <f ca="1">IFERROR(__xludf.DUMMYFUNCTION("""COMPUTED_VALUE"""),8142)</f>
        <v>8142</v>
      </c>
      <c r="H473" s="7">
        <f ca="1">IFERROR(__xludf.DUMMYFUNCTION("""COMPUTED_VALUE"""),452295)</f>
        <v>452295</v>
      </c>
      <c r="I473" s="7">
        <f ca="1">IFERROR(__xludf.DUMMYFUNCTION("""COMPUTED_VALUE"""),1502)</f>
        <v>1502</v>
      </c>
      <c r="J473" s="7">
        <f ca="1">IFERROR(__xludf.DUMMYFUNCTION("""COMPUTED_VALUE"""),19244)</f>
        <v>19244</v>
      </c>
      <c r="K473" s="7">
        <f ca="1">IFERROR(__xludf.DUMMYFUNCTION("""COMPUTED_VALUE"""),1329)</f>
        <v>1329</v>
      </c>
      <c r="L473" s="7">
        <f ca="1">IFERROR(__xludf.DUMMYFUNCTION("""COMPUTED_VALUE"""),3746)</f>
        <v>3746</v>
      </c>
      <c r="M473" s="7">
        <f ca="1">IFERROR(__xludf.DUMMYFUNCTION("""COMPUTED_VALUE"""),13108)</f>
        <v>13108</v>
      </c>
      <c r="N473" s="7">
        <f ca="1">IFERROR(__xludf.DUMMYFUNCTION("""COMPUTED_VALUE"""),2390)</f>
        <v>2390</v>
      </c>
    </row>
    <row r="474" spans="1:14" ht="13.2" x14ac:dyDescent="0.25">
      <c r="A474" s="6">
        <f ca="1">IFERROR(__xludf.DUMMYFUNCTION("""COMPUTED_VALUE"""),44363)</f>
        <v>44363</v>
      </c>
      <c r="B474" s="7">
        <f ca="1">IFERROR(__xludf.DUMMYFUNCTION("""COMPUTED_VALUE"""),8)</f>
        <v>8</v>
      </c>
      <c r="C474" s="8">
        <f ca="1">IFERROR(__xludf.DUMMYFUNCTION("""COMPUTED_VALUE"""),44363.3333333333)</f>
        <v>44363.333333333299</v>
      </c>
      <c r="D474" s="7">
        <f ca="1">IFERROR(__xludf.DUMMYFUNCTION("""COMPUTED_VALUE"""),7665)</f>
        <v>7665</v>
      </c>
      <c r="E474" s="7">
        <f ca="1">IFERROR(__xludf.DUMMYFUNCTION("""COMPUTED_VALUE"""),426695)</f>
        <v>426695</v>
      </c>
      <c r="F474" s="7">
        <f ca="1">IFERROR(__xludf.DUMMYFUNCTION("""COMPUTED_VALUE"""),11555)</f>
        <v>11555</v>
      </c>
      <c r="G474" s="7">
        <f ca="1">IFERROR(__xludf.DUMMYFUNCTION("""COMPUTED_VALUE"""),8756)</f>
        <v>8756</v>
      </c>
      <c r="H474" s="7">
        <f ca="1">IFERROR(__xludf.DUMMYFUNCTION("""COMPUTED_VALUE"""),454671)</f>
        <v>454671</v>
      </c>
      <c r="I474" s="7">
        <f ca="1">IFERROR(__xludf.DUMMYFUNCTION("""COMPUTED_VALUE"""),2376)</f>
        <v>2376</v>
      </c>
      <c r="J474" s="7">
        <f ca="1">IFERROR(__xludf.DUMMYFUNCTION("""COMPUTED_VALUE"""),20311)</f>
        <v>20311</v>
      </c>
      <c r="K474" s="7">
        <f ca="1">IFERROR(__xludf.DUMMYFUNCTION("""COMPUTED_VALUE"""),1278)</f>
        <v>1278</v>
      </c>
      <c r="L474" s="7">
        <f ca="1">IFERROR(__xludf.DUMMYFUNCTION("""COMPUTED_VALUE"""),3458)</f>
        <v>3458</v>
      </c>
      <c r="M474" s="7">
        <f ca="1">IFERROR(__xludf.DUMMYFUNCTION("""COMPUTED_VALUE"""),12419)</f>
        <v>12419</v>
      </c>
      <c r="N474" s="7">
        <f ca="1">IFERROR(__xludf.DUMMYFUNCTION("""COMPUTED_VALUE"""),4434)</f>
        <v>4434</v>
      </c>
    </row>
    <row r="475" spans="1:14" ht="13.2" x14ac:dyDescent="0.25">
      <c r="A475" s="6">
        <f ca="1">IFERROR(__xludf.DUMMYFUNCTION("""COMPUTED_VALUE"""),44364)</f>
        <v>44364</v>
      </c>
      <c r="B475" s="7">
        <f ca="1">IFERROR(__xludf.DUMMYFUNCTION("""COMPUTED_VALUE"""),8)</f>
        <v>8</v>
      </c>
      <c r="C475" s="8">
        <f ca="1">IFERROR(__xludf.DUMMYFUNCTION("""COMPUTED_VALUE"""),44364.3333333333)</f>
        <v>44364.333333333299</v>
      </c>
      <c r="D475" s="7">
        <f ca="1">IFERROR(__xludf.DUMMYFUNCTION("""COMPUTED_VALUE"""),7713)</f>
        <v>7713</v>
      </c>
      <c r="E475" s="7">
        <f ca="1">IFERROR(__xludf.DUMMYFUNCTION("""COMPUTED_VALUE"""),428764)</f>
        <v>428764</v>
      </c>
      <c r="F475" s="7">
        <f ca="1">IFERROR(__xludf.DUMMYFUNCTION("""COMPUTED_VALUE"""),13054)</f>
        <v>13054</v>
      </c>
      <c r="G475" s="7">
        <f ca="1">IFERROR(__xludf.DUMMYFUNCTION("""COMPUTED_VALUE"""),9284)</f>
        <v>9284</v>
      </c>
      <c r="H475" s="7">
        <f ca="1">IFERROR(__xludf.DUMMYFUNCTION("""COMPUTED_VALUE"""),458815)</f>
        <v>458815</v>
      </c>
      <c r="I475" s="7">
        <f ca="1">IFERROR(__xludf.DUMMYFUNCTION("""COMPUTED_VALUE"""),4144)</f>
        <v>4144</v>
      </c>
      <c r="J475" s="7">
        <f ca="1">IFERROR(__xludf.DUMMYFUNCTION("""COMPUTED_VALUE"""),22338)</f>
        <v>22338</v>
      </c>
      <c r="K475" s="7">
        <f ca="1">IFERROR(__xludf.DUMMYFUNCTION("""COMPUTED_VALUE"""),2069)</f>
        <v>2069</v>
      </c>
      <c r="L475" s="7">
        <f ca="1">IFERROR(__xludf.DUMMYFUNCTION("""COMPUTED_VALUE"""),2882)</f>
        <v>2882</v>
      </c>
      <c r="M475" s="7">
        <f ca="1">IFERROR(__xludf.DUMMYFUNCTION("""COMPUTED_VALUE"""),11788)</f>
        <v>11788</v>
      </c>
      <c r="N475" s="7">
        <f ca="1">IFERROR(__xludf.DUMMYFUNCTION("""COMPUTED_VALUE"""),7668)</f>
        <v>7668</v>
      </c>
    </row>
    <row r="476" spans="1:14" ht="13.2" x14ac:dyDescent="0.25">
      <c r="A476" s="6">
        <f ca="1">IFERROR(__xludf.DUMMYFUNCTION("""COMPUTED_VALUE"""),44365)</f>
        <v>44365</v>
      </c>
      <c r="B476" s="7">
        <f ca="1">IFERROR(__xludf.DUMMYFUNCTION("""COMPUTED_VALUE"""),8)</f>
        <v>8</v>
      </c>
      <c r="C476" s="8">
        <f ca="1">IFERROR(__xludf.DUMMYFUNCTION("""COMPUTED_VALUE"""),44365.3333333333)</f>
        <v>44365.333333333299</v>
      </c>
      <c r="D476" s="7">
        <f ca="1">IFERROR(__xludf.DUMMYFUNCTION("""COMPUTED_VALUE"""),7777)</f>
        <v>7777</v>
      </c>
      <c r="E476" s="7">
        <f ca="1">IFERROR(__xludf.DUMMYFUNCTION("""COMPUTED_VALUE"""),431264)</f>
        <v>431264</v>
      </c>
      <c r="F476" s="7">
        <f ca="1">IFERROR(__xludf.DUMMYFUNCTION("""COMPUTED_VALUE"""),14951)</f>
        <v>14951</v>
      </c>
      <c r="G476" s="7">
        <f ca="1">IFERROR(__xludf.DUMMYFUNCTION("""COMPUTED_VALUE"""),9560)</f>
        <v>9560</v>
      </c>
      <c r="H476" s="7">
        <f ca="1">IFERROR(__xludf.DUMMYFUNCTION("""COMPUTED_VALUE"""),463552)</f>
        <v>463552</v>
      </c>
      <c r="I476" s="7">
        <f ca="1">IFERROR(__xludf.DUMMYFUNCTION("""COMPUTED_VALUE"""),4737)</f>
        <v>4737</v>
      </c>
      <c r="J476" s="7">
        <f ca="1">IFERROR(__xludf.DUMMYFUNCTION("""COMPUTED_VALUE"""),24511)</f>
        <v>24511</v>
      </c>
      <c r="K476" s="7">
        <f ca="1">IFERROR(__xludf.DUMMYFUNCTION("""COMPUTED_VALUE"""),2500)</f>
        <v>2500</v>
      </c>
      <c r="L476" s="7">
        <f ca="1">IFERROR(__xludf.DUMMYFUNCTION("""COMPUTED_VALUE"""),2531)</f>
        <v>2531</v>
      </c>
      <c r="M476" s="7">
        <f ca="1">IFERROR(__xludf.DUMMYFUNCTION("""COMPUTED_VALUE"""),10655)</f>
        <v>10655</v>
      </c>
      <c r="N476" s="7">
        <f ca="1">IFERROR(__xludf.DUMMYFUNCTION("""COMPUTED_VALUE"""),11325)</f>
        <v>11325</v>
      </c>
    </row>
    <row r="477" spans="1:14" ht="13.2" x14ac:dyDescent="0.25">
      <c r="A477" s="6">
        <f ca="1">IFERROR(__xludf.DUMMYFUNCTION("""COMPUTED_VALUE"""),44366)</f>
        <v>44366</v>
      </c>
      <c r="B477" s="7">
        <f ca="1">IFERROR(__xludf.DUMMYFUNCTION("""COMPUTED_VALUE"""),8)</f>
        <v>8</v>
      </c>
      <c r="C477" s="8">
        <f ca="1">IFERROR(__xludf.DUMMYFUNCTION("""COMPUTED_VALUE"""),44366.3333333333)</f>
        <v>44366.333333333299</v>
      </c>
      <c r="D477" s="7">
        <f ca="1">IFERROR(__xludf.DUMMYFUNCTION("""COMPUTED_VALUE"""),7836)</f>
        <v>7836</v>
      </c>
      <c r="E477" s="7">
        <f ca="1">IFERROR(__xludf.DUMMYFUNCTION("""COMPUTED_VALUE"""),433499)</f>
        <v>433499</v>
      </c>
      <c r="F477" s="7">
        <f ca="1">IFERROR(__xludf.DUMMYFUNCTION("""COMPUTED_VALUE"""),16787)</f>
        <v>16787</v>
      </c>
      <c r="G477" s="7">
        <f ca="1">IFERROR(__xludf.DUMMYFUNCTION("""COMPUTED_VALUE"""),10325)</f>
        <v>10325</v>
      </c>
      <c r="H477" s="7">
        <f ca="1">IFERROR(__xludf.DUMMYFUNCTION("""COMPUTED_VALUE"""),468447)</f>
        <v>468447</v>
      </c>
      <c r="I477" s="7">
        <f ca="1">IFERROR(__xludf.DUMMYFUNCTION("""COMPUTED_VALUE"""),4895)</f>
        <v>4895</v>
      </c>
      <c r="J477" s="7">
        <f ca="1">IFERROR(__xludf.DUMMYFUNCTION("""COMPUTED_VALUE"""),27112)</f>
        <v>27112</v>
      </c>
      <c r="K477" s="7">
        <f ca="1">IFERROR(__xludf.DUMMYFUNCTION("""COMPUTED_VALUE"""),2235)</f>
        <v>2235</v>
      </c>
      <c r="L477" s="7">
        <f ca="1">IFERROR(__xludf.DUMMYFUNCTION("""COMPUTED_VALUE"""),1840)</f>
        <v>1840</v>
      </c>
      <c r="M477" s="7">
        <f ca="1">IFERROR(__xludf.DUMMYFUNCTION("""COMPUTED_VALUE"""),9740)</f>
        <v>9740</v>
      </c>
      <c r="N477" s="7">
        <f ca="1">IFERROR(__xludf.DUMMYFUNCTION("""COMPUTED_VALUE"""),15532)</f>
        <v>15532</v>
      </c>
    </row>
    <row r="478" spans="1:14" ht="13.2" x14ac:dyDescent="0.25">
      <c r="A478" s="6">
        <f ca="1">IFERROR(__xludf.DUMMYFUNCTION("""COMPUTED_VALUE"""),44367)</f>
        <v>44367</v>
      </c>
      <c r="B478" s="7">
        <f ca="1">IFERROR(__xludf.DUMMYFUNCTION("""COMPUTED_VALUE"""),8)</f>
        <v>8</v>
      </c>
      <c r="C478" s="8">
        <f ca="1">IFERROR(__xludf.DUMMYFUNCTION("""COMPUTED_VALUE"""),44367.3333333333)</f>
        <v>44367.333333333299</v>
      </c>
      <c r="D478" s="7">
        <f ca="1">IFERROR(__xludf.DUMMYFUNCTION("""COMPUTED_VALUE"""),7905)</f>
        <v>7905</v>
      </c>
      <c r="E478" s="7">
        <f ca="1">IFERROR(__xludf.DUMMYFUNCTION("""COMPUTED_VALUE"""),435982)</f>
        <v>435982</v>
      </c>
      <c r="F478" s="7">
        <f ca="1">IFERROR(__xludf.DUMMYFUNCTION("""COMPUTED_VALUE"""),19105)</f>
        <v>19105</v>
      </c>
      <c r="G478" s="7">
        <f ca="1">IFERROR(__xludf.DUMMYFUNCTION("""COMPUTED_VALUE"""),11037)</f>
        <v>11037</v>
      </c>
      <c r="H478" s="7">
        <f ca="1">IFERROR(__xludf.DUMMYFUNCTION("""COMPUTED_VALUE"""),474029)</f>
        <v>474029</v>
      </c>
      <c r="I478" s="7">
        <f ca="1">IFERROR(__xludf.DUMMYFUNCTION("""COMPUTED_VALUE"""),5582)</f>
        <v>5582</v>
      </c>
      <c r="J478" s="7">
        <f ca="1">IFERROR(__xludf.DUMMYFUNCTION("""COMPUTED_VALUE"""),30142)</f>
        <v>30142</v>
      </c>
      <c r="K478" s="7">
        <f ca="1">IFERROR(__xludf.DUMMYFUNCTION("""COMPUTED_VALUE"""),2483)</f>
        <v>2483</v>
      </c>
      <c r="L478" s="7">
        <f ca="1">IFERROR(__xludf.DUMMYFUNCTION("""COMPUTED_VALUE"""),1325)</f>
        <v>1325</v>
      </c>
      <c r="M478" s="7">
        <f ca="1">IFERROR(__xludf.DUMMYFUNCTION("""COMPUTED_VALUE"""),8734)</f>
        <v>8734</v>
      </c>
      <c r="N478" s="7">
        <f ca="1">IFERROR(__xludf.DUMMYFUNCTION("""COMPUTED_VALUE"""),20083)</f>
        <v>20083</v>
      </c>
    </row>
    <row r="479" spans="1:14" ht="13.2" x14ac:dyDescent="0.25">
      <c r="A479" s="6">
        <f ca="1">IFERROR(__xludf.DUMMYFUNCTION("""COMPUTED_VALUE"""),44368)</f>
        <v>44368</v>
      </c>
      <c r="B479" s="7">
        <f ca="1">IFERROR(__xludf.DUMMYFUNCTION("""COMPUTED_VALUE"""),8)</f>
        <v>8</v>
      </c>
      <c r="C479" s="8">
        <f ca="1">IFERROR(__xludf.DUMMYFUNCTION("""COMPUTED_VALUE"""),44368.3333333333)</f>
        <v>44368.333333333299</v>
      </c>
      <c r="D479" s="7">
        <f ca="1">IFERROR(__xludf.DUMMYFUNCTION("""COMPUTED_VALUE"""),7976)</f>
        <v>7976</v>
      </c>
      <c r="E479" s="7">
        <f ca="1">IFERROR(__xludf.DUMMYFUNCTION("""COMPUTED_VALUE"""),439007)</f>
        <v>439007</v>
      </c>
      <c r="F479" s="7">
        <f ca="1">IFERROR(__xludf.DUMMYFUNCTION("""COMPUTED_VALUE"""),20717)</f>
        <v>20717</v>
      </c>
      <c r="G479" s="7">
        <f ca="1">IFERROR(__xludf.DUMMYFUNCTION("""COMPUTED_VALUE"""),11343)</f>
        <v>11343</v>
      </c>
      <c r="H479" s="7">
        <f ca="1">IFERROR(__xludf.DUMMYFUNCTION("""COMPUTED_VALUE"""),479043)</f>
        <v>479043</v>
      </c>
      <c r="I479" s="7">
        <f ca="1">IFERROR(__xludf.DUMMYFUNCTION("""COMPUTED_VALUE"""),5014)</f>
        <v>5014</v>
      </c>
      <c r="J479" s="7">
        <f ca="1">IFERROR(__xludf.DUMMYFUNCTION("""COMPUTED_VALUE"""),32060)</f>
        <v>32060</v>
      </c>
      <c r="K479" s="7">
        <f ca="1">IFERROR(__xludf.DUMMYFUNCTION("""COMPUTED_VALUE"""),3025)</f>
        <v>3025</v>
      </c>
      <c r="L479" s="7">
        <f ca="1">IFERROR(__xludf.DUMMYFUNCTION("""COMPUTED_VALUE"""),8039)</f>
        <v>8039</v>
      </c>
      <c r="M479" s="7">
        <f ca="1">IFERROR(__xludf.DUMMYFUNCTION("""COMPUTED_VALUE"""),19670)</f>
        <v>19670</v>
      </c>
      <c r="N479" s="7">
        <f ca="1">IFERROR(__xludf.DUMMYFUNCTION("""COMPUTED_VALUE"""),4351)</f>
        <v>4351</v>
      </c>
    </row>
    <row r="480" spans="1:14" ht="13.2" x14ac:dyDescent="0.25">
      <c r="A480" s="6">
        <f ca="1">IFERROR(__xludf.DUMMYFUNCTION("""COMPUTED_VALUE"""),44369)</f>
        <v>44369</v>
      </c>
      <c r="B480" s="7">
        <f ca="1">IFERROR(__xludf.DUMMYFUNCTION("""COMPUTED_VALUE"""),8)</f>
        <v>8</v>
      </c>
      <c r="C480" s="8">
        <f ca="1">IFERROR(__xludf.DUMMYFUNCTION("""COMPUTED_VALUE"""),44369.3333333333)</f>
        <v>44369.333333333299</v>
      </c>
      <c r="D480" s="7">
        <f ca="1">IFERROR(__xludf.DUMMYFUNCTION("""COMPUTED_VALUE"""),8014)</f>
        <v>8014</v>
      </c>
      <c r="E480" s="7">
        <f ca="1">IFERROR(__xludf.DUMMYFUNCTION("""COMPUTED_VALUE"""),442059)</f>
        <v>442059</v>
      </c>
      <c r="F480" s="7">
        <f ca="1">IFERROR(__xludf.DUMMYFUNCTION("""COMPUTED_VALUE"""),21167)</f>
        <v>21167</v>
      </c>
      <c r="G480" s="7">
        <f ca="1">IFERROR(__xludf.DUMMYFUNCTION("""COMPUTED_VALUE"""),11024)</f>
        <v>11024</v>
      </c>
      <c r="H480" s="7">
        <f ca="1">IFERROR(__xludf.DUMMYFUNCTION("""COMPUTED_VALUE"""),482264)</f>
        <v>482264</v>
      </c>
      <c r="I480" s="7">
        <f ca="1">IFERROR(__xludf.DUMMYFUNCTION("""COMPUTED_VALUE"""),3221)</f>
        <v>3221</v>
      </c>
      <c r="J480" s="7">
        <f ca="1">IFERROR(__xludf.DUMMYFUNCTION("""COMPUTED_VALUE"""),32191)</f>
        <v>32191</v>
      </c>
      <c r="K480" s="7">
        <f ca="1">IFERROR(__xludf.DUMMYFUNCTION("""COMPUTED_VALUE"""),3052)</f>
        <v>3052</v>
      </c>
      <c r="L480" s="7">
        <f ca="1">IFERROR(__xludf.DUMMYFUNCTION("""COMPUTED_VALUE"""),6351)</f>
        <v>6351</v>
      </c>
      <c r="M480" s="7">
        <f ca="1">IFERROR(__xludf.DUMMYFUNCTION("""COMPUTED_VALUE"""),16241)</f>
        <v>16241</v>
      </c>
      <c r="N480" s="7">
        <f ca="1">IFERROR(__xludf.DUMMYFUNCTION("""COMPUTED_VALUE"""),9599)</f>
        <v>9599</v>
      </c>
    </row>
    <row r="481" spans="1:14" ht="13.2" x14ac:dyDescent="0.25">
      <c r="A481" s="6">
        <f ca="1">IFERROR(__xludf.DUMMYFUNCTION("""COMPUTED_VALUE"""),44370)</f>
        <v>44370</v>
      </c>
      <c r="B481" s="7">
        <f ca="1">IFERROR(__xludf.DUMMYFUNCTION("""COMPUTED_VALUE"""),8)</f>
        <v>8</v>
      </c>
      <c r="C481" s="8">
        <f ca="1">IFERROR(__xludf.DUMMYFUNCTION("""COMPUTED_VALUE"""),44370.3333333333)</f>
        <v>44370.333333333299</v>
      </c>
      <c r="D481" s="7">
        <f ca="1">IFERROR(__xludf.DUMMYFUNCTION("""COMPUTED_VALUE"""),8057)</f>
        <v>8057</v>
      </c>
      <c r="E481" s="7">
        <f ca="1">IFERROR(__xludf.DUMMYFUNCTION("""COMPUTED_VALUE"""),443195)</f>
        <v>443195</v>
      </c>
      <c r="F481" s="7">
        <f ca="1">IFERROR(__xludf.DUMMYFUNCTION("""COMPUTED_VALUE"""),22868)</f>
        <v>22868</v>
      </c>
      <c r="G481" s="7">
        <f ca="1">IFERROR(__xludf.DUMMYFUNCTION("""COMPUTED_VALUE"""),12837)</f>
        <v>12837</v>
      </c>
      <c r="H481" s="7">
        <f ca="1">IFERROR(__xludf.DUMMYFUNCTION("""COMPUTED_VALUE"""),486957)</f>
        <v>486957</v>
      </c>
      <c r="I481" s="7">
        <f ca="1">IFERROR(__xludf.DUMMYFUNCTION("""COMPUTED_VALUE"""),4693)</f>
        <v>4693</v>
      </c>
      <c r="J481" s="7">
        <f ca="1">IFERROR(__xludf.DUMMYFUNCTION("""COMPUTED_VALUE"""),35705)</f>
        <v>35705</v>
      </c>
      <c r="K481" s="7">
        <f ca="1">IFERROR(__xludf.DUMMYFUNCTION("""COMPUTED_VALUE"""),1136)</f>
        <v>1136</v>
      </c>
      <c r="L481" s="7">
        <f ca="1">IFERROR(__xludf.DUMMYFUNCTION("""COMPUTED_VALUE"""),6163)</f>
        <v>6163</v>
      </c>
      <c r="M481" s="7">
        <f ca="1">IFERROR(__xludf.DUMMYFUNCTION("""COMPUTED_VALUE"""),15906)</f>
        <v>15906</v>
      </c>
      <c r="N481" s="7">
        <f ca="1">IFERROR(__xludf.DUMMYFUNCTION("""COMPUTED_VALUE"""),13636)</f>
        <v>13636</v>
      </c>
    </row>
    <row r="482" spans="1:14" ht="13.2" x14ac:dyDescent="0.25">
      <c r="A482" s="6">
        <f ca="1">IFERROR(__xludf.DUMMYFUNCTION("""COMPUTED_VALUE"""),44371)</f>
        <v>44371</v>
      </c>
      <c r="B482" s="7">
        <f ca="1">IFERROR(__xludf.DUMMYFUNCTION("""COMPUTED_VALUE"""),8)</f>
        <v>8</v>
      </c>
      <c r="C482" s="8">
        <f ca="1">IFERROR(__xludf.DUMMYFUNCTION("""COMPUTED_VALUE"""),44371.3333333333)</f>
        <v>44371.333333333299</v>
      </c>
      <c r="D482" s="7">
        <f ca="1">IFERROR(__xludf.DUMMYFUNCTION("""COMPUTED_VALUE"""),8107)</f>
        <v>8107</v>
      </c>
      <c r="E482" s="7">
        <f ca="1">IFERROR(__xludf.DUMMYFUNCTION("""COMPUTED_VALUE"""),445718)</f>
        <v>445718</v>
      </c>
      <c r="F482" s="7">
        <f ca="1">IFERROR(__xludf.DUMMYFUNCTION("""COMPUTED_VALUE"""),26403)</f>
        <v>26403</v>
      </c>
      <c r="G482" s="7">
        <f ca="1">IFERROR(__xludf.DUMMYFUNCTION("""COMPUTED_VALUE"""),14234)</f>
        <v>14234</v>
      </c>
      <c r="H482" s="7">
        <f ca="1">IFERROR(__xludf.DUMMYFUNCTION("""COMPUTED_VALUE"""),494462)</f>
        <v>494462</v>
      </c>
      <c r="I482" s="7">
        <f ca="1">IFERROR(__xludf.DUMMYFUNCTION("""COMPUTED_VALUE"""),7505)</f>
        <v>7505</v>
      </c>
      <c r="J482" s="7">
        <f ca="1">IFERROR(__xludf.DUMMYFUNCTION("""COMPUTED_VALUE"""),40637)</f>
        <v>40637</v>
      </c>
      <c r="K482" s="7">
        <f ca="1">IFERROR(__xludf.DUMMYFUNCTION("""COMPUTED_VALUE"""),2523)</f>
        <v>2523</v>
      </c>
      <c r="L482" s="7">
        <f ca="1">IFERROR(__xludf.DUMMYFUNCTION("""COMPUTED_VALUE"""),5567)</f>
        <v>5567</v>
      </c>
      <c r="M482" s="7">
        <f ca="1">IFERROR(__xludf.DUMMYFUNCTION("""COMPUTED_VALUE"""),15624)</f>
        <v>15624</v>
      </c>
      <c r="N482" s="7">
        <f ca="1">IFERROR(__xludf.DUMMYFUNCTION("""COMPUTED_VALUE"""),19446)</f>
        <v>19446</v>
      </c>
    </row>
    <row r="483" spans="1:14" ht="13.2" x14ac:dyDescent="0.25">
      <c r="A483" s="6">
        <f ca="1">IFERROR(__xludf.DUMMYFUNCTION("""COMPUTED_VALUE"""),44372)</f>
        <v>44372</v>
      </c>
      <c r="B483" s="7">
        <f ca="1">IFERROR(__xludf.DUMMYFUNCTION("""COMPUTED_VALUE"""),8)</f>
        <v>8</v>
      </c>
      <c r="C483" s="8">
        <f ca="1">IFERROR(__xludf.DUMMYFUNCTION("""COMPUTED_VALUE"""),44372.3333333333)</f>
        <v>44372.333333333299</v>
      </c>
      <c r="D483" s="7">
        <f ca="1">IFERROR(__xludf.DUMMYFUNCTION("""COMPUTED_VALUE"""),8177)</f>
        <v>8177</v>
      </c>
      <c r="E483" s="7">
        <f ca="1">IFERROR(__xludf.DUMMYFUNCTION("""COMPUTED_VALUE"""),448288)</f>
        <v>448288</v>
      </c>
      <c r="F483" s="7">
        <f ca="1">IFERROR(__xludf.DUMMYFUNCTION("""COMPUTED_VALUE"""),29325)</f>
        <v>29325</v>
      </c>
      <c r="G483" s="7">
        <f ca="1">IFERROR(__xludf.DUMMYFUNCTION("""COMPUTED_VALUE"""),15606)</f>
        <v>15606</v>
      </c>
      <c r="H483" s="7">
        <f ca="1">IFERROR(__xludf.DUMMYFUNCTION("""COMPUTED_VALUE"""),501396)</f>
        <v>501396</v>
      </c>
      <c r="I483" s="7">
        <f ca="1">IFERROR(__xludf.DUMMYFUNCTION("""COMPUTED_VALUE"""),6934)</f>
        <v>6934</v>
      </c>
      <c r="J483" s="7">
        <f ca="1">IFERROR(__xludf.DUMMYFUNCTION("""COMPUTED_VALUE"""),44931)</f>
        <v>44931</v>
      </c>
      <c r="K483" s="7">
        <f ca="1">IFERROR(__xludf.DUMMYFUNCTION("""COMPUTED_VALUE"""),2570)</f>
        <v>2570</v>
      </c>
      <c r="L483" s="7">
        <f ca="1">IFERROR(__xludf.DUMMYFUNCTION("""COMPUTED_VALUE"""),5170)</f>
        <v>5170</v>
      </c>
      <c r="M483" s="7">
        <f ca="1">IFERROR(__xludf.DUMMYFUNCTION("""COMPUTED_VALUE"""),14668)</f>
        <v>14668</v>
      </c>
      <c r="N483" s="7">
        <f ca="1">IFERROR(__xludf.DUMMYFUNCTION("""COMPUTED_VALUE"""),25093)</f>
        <v>25093</v>
      </c>
    </row>
    <row r="484" spans="1:14" ht="13.2" x14ac:dyDescent="0.25">
      <c r="A484" s="6">
        <f ca="1">IFERROR(__xludf.DUMMYFUNCTION("""COMPUTED_VALUE"""),44373)</f>
        <v>44373</v>
      </c>
      <c r="B484" s="7">
        <f ca="1">IFERROR(__xludf.DUMMYFUNCTION("""COMPUTED_VALUE"""),8)</f>
        <v>8</v>
      </c>
      <c r="C484" s="8">
        <f ca="1">IFERROR(__xludf.DUMMYFUNCTION("""COMPUTED_VALUE"""),44373.3333333333)</f>
        <v>44373.333333333299</v>
      </c>
      <c r="D484" s="7">
        <f ca="1">IFERROR(__xludf.DUMMYFUNCTION("""COMPUTED_VALUE"""),8220)</f>
        <v>8220</v>
      </c>
      <c r="E484" s="7">
        <f ca="1">IFERROR(__xludf.DUMMYFUNCTION("""COMPUTED_VALUE"""),451013)</f>
        <v>451013</v>
      </c>
      <c r="F484" s="7">
        <f ca="1">IFERROR(__xludf.DUMMYFUNCTION("""COMPUTED_VALUE"""),33829)</f>
        <v>33829</v>
      </c>
      <c r="G484" s="7">
        <f ca="1">IFERROR(__xludf.DUMMYFUNCTION("""COMPUTED_VALUE"""),17605)</f>
        <v>17605</v>
      </c>
      <c r="H484" s="7">
        <f ca="1">IFERROR(__xludf.DUMMYFUNCTION("""COMPUTED_VALUE"""),510667)</f>
        <v>510667</v>
      </c>
      <c r="I484" s="7">
        <f ca="1">IFERROR(__xludf.DUMMYFUNCTION("""COMPUTED_VALUE"""),9271)</f>
        <v>9271</v>
      </c>
      <c r="J484" s="7">
        <f ca="1">IFERROR(__xludf.DUMMYFUNCTION("""COMPUTED_VALUE"""),51434)</f>
        <v>51434</v>
      </c>
      <c r="K484" s="7">
        <f ca="1">IFERROR(__xludf.DUMMYFUNCTION("""COMPUTED_VALUE"""),2725)</f>
        <v>2725</v>
      </c>
      <c r="L484" s="7">
        <f ca="1">IFERROR(__xludf.DUMMYFUNCTION("""COMPUTED_VALUE"""),4381)</f>
        <v>4381</v>
      </c>
      <c r="M484" s="7">
        <f ca="1">IFERROR(__xludf.DUMMYFUNCTION("""COMPUTED_VALUE"""),14547)</f>
        <v>14547</v>
      </c>
      <c r="N484" s="7">
        <f ca="1">IFERROR(__xludf.DUMMYFUNCTION("""COMPUTED_VALUE"""),32506)</f>
        <v>32506</v>
      </c>
    </row>
    <row r="485" spans="1:14" ht="13.2" x14ac:dyDescent="0.25">
      <c r="A485" s="6">
        <f ca="1">IFERROR(__xludf.DUMMYFUNCTION("""COMPUTED_VALUE"""),44374)</f>
        <v>44374</v>
      </c>
      <c r="B485" s="7">
        <f ca="1">IFERROR(__xludf.DUMMYFUNCTION("""COMPUTED_VALUE"""),8)</f>
        <v>8</v>
      </c>
      <c r="C485" s="8">
        <f ca="1">IFERROR(__xludf.DUMMYFUNCTION("""COMPUTED_VALUE"""),44374.3333333333)</f>
        <v>44374.333333333299</v>
      </c>
      <c r="D485" s="7">
        <f ca="1">IFERROR(__xludf.DUMMYFUNCTION("""COMPUTED_VALUE"""),8269)</f>
        <v>8269</v>
      </c>
      <c r="E485" s="7">
        <f ca="1">IFERROR(__xludf.DUMMYFUNCTION("""COMPUTED_VALUE"""),454497)</f>
        <v>454497</v>
      </c>
      <c r="F485" s="7">
        <f ca="1">IFERROR(__xludf.DUMMYFUNCTION("""COMPUTED_VALUE"""),38464)</f>
        <v>38464</v>
      </c>
      <c r="G485" s="7">
        <f ca="1">IFERROR(__xludf.DUMMYFUNCTION("""COMPUTED_VALUE"""),18831)</f>
        <v>18831</v>
      </c>
      <c r="H485" s="7">
        <f ca="1">IFERROR(__xludf.DUMMYFUNCTION("""COMPUTED_VALUE"""),520061)</f>
        <v>520061</v>
      </c>
      <c r="I485" s="7">
        <f ca="1">IFERROR(__xludf.DUMMYFUNCTION("""COMPUTED_VALUE"""),9394)</f>
        <v>9394</v>
      </c>
      <c r="J485" s="7">
        <f ca="1">IFERROR(__xludf.DUMMYFUNCTION("""COMPUTED_VALUE"""),57295)</f>
        <v>57295</v>
      </c>
      <c r="K485" s="7">
        <f ca="1">IFERROR(__xludf.DUMMYFUNCTION("""COMPUTED_VALUE"""),3484)</f>
        <v>3484</v>
      </c>
      <c r="L485" s="7">
        <f ca="1">IFERROR(__xludf.DUMMYFUNCTION("""COMPUTED_VALUE"""),3484)</f>
        <v>3484</v>
      </c>
      <c r="M485" s="7">
        <f ca="1">IFERROR(__xludf.DUMMYFUNCTION("""COMPUTED_VALUE"""),13789)</f>
        <v>13789</v>
      </c>
      <c r="N485" s="7">
        <f ca="1">IFERROR(__xludf.DUMMYFUNCTION("""COMPUTED_VALUE"""),40022)</f>
        <v>40022</v>
      </c>
    </row>
    <row r="486" spans="1:14" ht="13.2" x14ac:dyDescent="0.25">
      <c r="A486" s="6">
        <f ca="1">IFERROR(__xludf.DUMMYFUNCTION("""COMPUTED_VALUE"""),44375)</f>
        <v>44375</v>
      </c>
      <c r="B486" s="7">
        <f ca="1">IFERROR(__xludf.DUMMYFUNCTION("""COMPUTED_VALUE"""),8)</f>
        <v>8</v>
      </c>
      <c r="C486" s="8">
        <f ca="1">IFERROR(__xludf.DUMMYFUNCTION("""COMPUTED_VALUE"""),44375.3333333333)</f>
        <v>44375.333333333299</v>
      </c>
      <c r="D486" s="7">
        <f ca="1">IFERROR(__xludf.DUMMYFUNCTION("""COMPUTED_VALUE"""),8348)</f>
        <v>8348</v>
      </c>
      <c r="E486" s="7">
        <f ca="1">IFERROR(__xludf.DUMMYFUNCTION("""COMPUTED_VALUE"""),457935)</f>
        <v>457935</v>
      </c>
      <c r="F486" s="7">
        <f ca="1">IFERROR(__xludf.DUMMYFUNCTION("""COMPUTED_VALUE"""),42252)</f>
        <v>42252</v>
      </c>
      <c r="G486" s="7">
        <f ca="1">IFERROR(__xludf.DUMMYFUNCTION("""COMPUTED_VALUE"""),19874)</f>
        <v>19874</v>
      </c>
      <c r="H486" s="7">
        <f ca="1">IFERROR(__xludf.DUMMYFUNCTION("""COMPUTED_VALUE"""),528409)</f>
        <v>528409</v>
      </c>
      <c r="I486" s="7">
        <f ca="1">IFERROR(__xludf.DUMMYFUNCTION("""COMPUTED_VALUE"""),8348)</f>
        <v>8348</v>
      </c>
      <c r="J486" s="7">
        <f ca="1">IFERROR(__xludf.DUMMYFUNCTION("""COMPUTED_VALUE"""),62126)</f>
        <v>62126</v>
      </c>
      <c r="K486" s="7">
        <f ca="1">IFERROR(__xludf.DUMMYFUNCTION("""COMPUTED_VALUE"""),3438)</f>
        <v>3438</v>
      </c>
      <c r="L486" s="7">
        <f ca="1">IFERROR(__xludf.DUMMYFUNCTION("""COMPUTED_VALUE"""),17144)</f>
        <v>17144</v>
      </c>
      <c r="M486" s="7">
        <f ca="1">IFERROR(__xludf.DUMMYFUNCTION("""COMPUTED_VALUE"""),29461)</f>
        <v>29461</v>
      </c>
      <c r="N486" s="7">
        <f ca="1">IFERROR(__xludf.DUMMYFUNCTION("""COMPUTED_VALUE"""),15521)</f>
        <v>15521</v>
      </c>
    </row>
    <row r="487" spans="1:14" ht="13.2" x14ac:dyDescent="0.25">
      <c r="A487" s="6">
        <f ca="1">IFERROR(__xludf.DUMMYFUNCTION("""COMPUTED_VALUE"""),44376)</f>
        <v>44376</v>
      </c>
      <c r="B487" s="7">
        <f ca="1">IFERROR(__xludf.DUMMYFUNCTION("""COMPUTED_VALUE"""),8)</f>
        <v>8</v>
      </c>
      <c r="C487" s="8">
        <f ca="1">IFERROR(__xludf.DUMMYFUNCTION("""COMPUTED_VALUE"""),44376.3333333333)</f>
        <v>44376.333333333299</v>
      </c>
      <c r="D487" s="7">
        <f ca="1">IFERROR(__xludf.DUMMYFUNCTION("""COMPUTED_VALUE"""),8426)</f>
        <v>8426</v>
      </c>
      <c r="E487" s="7">
        <f ca="1">IFERROR(__xludf.DUMMYFUNCTION("""COMPUTED_VALUE"""),461439)</f>
        <v>461439</v>
      </c>
      <c r="F487" s="7">
        <f ca="1">IFERROR(__xludf.DUMMYFUNCTION("""COMPUTED_VALUE"""),45504)</f>
        <v>45504</v>
      </c>
      <c r="G487" s="7">
        <f ca="1">IFERROR(__xludf.DUMMYFUNCTION("""COMPUTED_VALUE"""),20419)</f>
        <v>20419</v>
      </c>
      <c r="H487" s="7">
        <f ca="1">IFERROR(__xludf.DUMMYFUNCTION("""COMPUTED_VALUE"""),535788)</f>
        <v>535788</v>
      </c>
      <c r="I487" s="7">
        <f ca="1">IFERROR(__xludf.DUMMYFUNCTION("""COMPUTED_VALUE"""),7379)</f>
        <v>7379</v>
      </c>
      <c r="J487" s="7">
        <f ca="1">IFERROR(__xludf.DUMMYFUNCTION("""COMPUTED_VALUE"""),65923)</f>
        <v>65923</v>
      </c>
      <c r="K487" s="7">
        <f ca="1">IFERROR(__xludf.DUMMYFUNCTION("""COMPUTED_VALUE"""),3504)</f>
        <v>3504</v>
      </c>
      <c r="L487" s="7">
        <f ca="1">IFERROR(__xludf.DUMMYFUNCTION("""COMPUTED_VALUE"""),15706)</f>
        <v>15706</v>
      </c>
      <c r="M487" s="7">
        <f ca="1">IFERROR(__xludf.DUMMYFUNCTION("""COMPUTED_VALUE"""),28925)</f>
        <v>28925</v>
      </c>
      <c r="N487" s="7">
        <f ca="1">IFERROR(__xludf.DUMMYFUNCTION("""COMPUTED_VALUE"""),21292)</f>
        <v>21292</v>
      </c>
    </row>
    <row r="488" spans="1:14" ht="13.2" x14ac:dyDescent="0.25">
      <c r="A488" s="6">
        <f ca="1">IFERROR(__xludf.DUMMYFUNCTION("""COMPUTED_VALUE"""),44377)</f>
        <v>44377</v>
      </c>
      <c r="B488" s="7">
        <f ca="1">IFERROR(__xludf.DUMMYFUNCTION("""COMPUTED_VALUE"""),8)</f>
        <v>8</v>
      </c>
      <c r="C488" s="8">
        <f ca="1">IFERROR(__xludf.DUMMYFUNCTION("""COMPUTED_VALUE"""),44377.3333333333)</f>
        <v>44377.333333333299</v>
      </c>
      <c r="D488" s="7">
        <f ca="1">IFERROR(__xludf.DUMMYFUNCTION("""COMPUTED_VALUE"""),8486)</f>
        <v>8486</v>
      </c>
      <c r="E488" s="7">
        <f ca="1">IFERROR(__xludf.DUMMYFUNCTION("""COMPUTED_VALUE"""),464943)</f>
        <v>464943</v>
      </c>
      <c r="F488" s="7">
        <f ca="1">IFERROR(__xludf.DUMMYFUNCTION("""COMPUTED_VALUE"""),47829)</f>
        <v>47829</v>
      </c>
      <c r="G488" s="7">
        <f ca="1">IFERROR(__xludf.DUMMYFUNCTION("""COMPUTED_VALUE"""),22210)</f>
        <v>22210</v>
      </c>
      <c r="H488" s="7">
        <f ca="1">IFERROR(__xludf.DUMMYFUNCTION("""COMPUTED_VALUE"""),543468)</f>
        <v>543468</v>
      </c>
      <c r="I488" s="7">
        <f ca="1">IFERROR(__xludf.DUMMYFUNCTION("""COMPUTED_VALUE"""),7680)</f>
        <v>7680</v>
      </c>
      <c r="J488" s="7">
        <f ca="1">IFERROR(__xludf.DUMMYFUNCTION("""COMPUTED_VALUE"""),70039)</f>
        <v>70039</v>
      </c>
      <c r="K488" s="7">
        <f ca="1">IFERROR(__xludf.DUMMYFUNCTION("""COMPUTED_VALUE"""),3504)</f>
        <v>3504</v>
      </c>
      <c r="L488" s="7">
        <f ca="1">IFERROR(__xludf.DUMMYFUNCTION("""COMPUTED_VALUE"""),14940)</f>
        <v>14940</v>
      </c>
      <c r="M488" s="7">
        <f ca="1">IFERROR(__xludf.DUMMYFUNCTION("""COMPUTED_VALUE"""),27514)</f>
        <v>27514</v>
      </c>
      <c r="N488" s="7">
        <f ca="1">IFERROR(__xludf.DUMMYFUNCTION("""COMPUTED_VALUE"""),27585)</f>
        <v>27585</v>
      </c>
    </row>
    <row r="489" spans="1:14" ht="13.2" x14ac:dyDescent="0.25">
      <c r="A489" s="6">
        <f ca="1">IFERROR(__xludf.DUMMYFUNCTION("""COMPUTED_VALUE"""),44378)</f>
        <v>44378</v>
      </c>
      <c r="B489" s="7">
        <f ca="1">IFERROR(__xludf.DUMMYFUNCTION("""COMPUTED_VALUE"""),8)</f>
        <v>8</v>
      </c>
      <c r="C489" s="8">
        <f ca="1">IFERROR(__xludf.DUMMYFUNCTION("""COMPUTED_VALUE"""),44378.3333333333)</f>
        <v>44378.333333333299</v>
      </c>
      <c r="D489" s="7">
        <f ca="1">IFERROR(__xludf.DUMMYFUNCTION("""COMPUTED_VALUE"""),8528)</f>
        <v>8528</v>
      </c>
      <c r="E489" s="7">
        <f ca="1">IFERROR(__xludf.DUMMYFUNCTION("""COMPUTED_VALUE"""),468461)</f>
        <v>468461</v>
      </c>
      <c r="F489" s="7">
        <f ca="1">IFERROR(__xludf.DUMMYFUNCTION("""COMPUTED_VALUE"""),49836)</f>
        <v>49836</v>
      </c>
      <c r="G489" s="7">
        <f ca="1">IFERROR(__xludf.DUMMYFUNCTION("""COMPUTED_VALUE"""),24184)</f>
        <v>24184</v>
      </c>
      <c r="H489" s="7">
        <f ca="1">IFERROR(__xludf.DUMMYFUNCTION("""COMPUTED_VALUE"""),551009)</f>
        <v>551009</v>
      </c>
      <c r="I489" s="7">
        <f ca="1">IFERROR(__xludf.DUMMYFUNCTION("""COMPUTED_VALUE"""),7541)</f>
        <v>7541</v>
      </c>
      <c r="J489" s="7">
        <f ca="1">IFERROR(__xludf.DUMMYFUNCTION("""COMPUTED_VALUE"""),74020)</f>
        <v>74020</v>
      </c>
      <c r="K489" s="7">
        <f ca="1">IFERROR(__xludf.DUMMYFUNCTION("""COMPUTED_VALUE"""),3518)</f>
        <v>3518</v>
      </c>
      <c r="L489" s="7">
        <f ca="1">IFERROR(__xludf.DUMMYFUNCTION("""COMPUTED_VALUE"""),13902)</f>
        <v>13902</v>
      </c>
      <c r="M489" s="7">
        <f ca="1">IFERROR(__xludf.DUMMYFUNCTION("""COMPUTED_VALUE"""),26151)</f>
        <v>26151</v>
      </c>
      <c r="N489" s="7">
        <f ca="1">IFERROR(__xludf.DUMMYFUNCTION("""COMPUTED_VALUE"""),33967)</f>
        <v>33967</v>
      </c>
    </row>
    <row r="490" spans="1:14" ht="13.2" x14ac:dyDescent="0.25">
      <c r="A490" s="6">
        <f ca="1">IFERROR(__xludf.DUMMYFUNCTION("""COMPUTED_VALUE"""),44379)</f>
        <v>44379</v>
      </c>
      <c r="B490" s="7">
        <f ca="1">IFERROR(__xludf.DUMMYFUNCTION("""COMPUTED_VALUE"""),8)</f>
        <v>8</v>
      </c>
      <c r="C490" s="8">
        <f ca="1">IFERROR(__xludf.DUMMYFUNCTION("""COMPUTED_VALUE"""),44379.3333333333)</f>
        <v>44379.333333333299</v>
      </c>
      <c r="D490" s="7">
        <f ca="1">IFERROR(__xludf.DUMMYFUNCTION("""COMPUTED_VALUE"""),8547)</f>
        <v>8547</v>
      </c>
      <c r="E490" s="7">
        <f ca="1">IFERROR(__xludf.DUMMYFUNCTION("""COMPUTED_VALUE"""),473467)</f>
        <v>473467</v>
      </c>
      <c r="F490" s="7">
        <f ca="1">IFERROR(__xludf.DUMMYFUNCTION("""COMPUTED_VALUE"""),53014)</f>
        <v>53014</v>
      </c>
      <c r="G490" s="7">
        <f ca="1">IFERROR(__xludf.DUMMYFUNCTION("""COMPUTED_VALUE"""),25380)</f>
        <v>25380</v>
      </c>
      <c r="H490" s="7">
        <f ca="1">IFERROR(__xludf.DUMMYFUNCTION("""COMPUTED_VALUE"""),560408)</f>
        <v>560408</v>
      </c>
      <c r="I490" s="7">
        <f ca="1">IFERROR(__xludf.DUMMYFUNCTION("""COMPUTED_VALUE"""),9399)</f>
        <v>9399</v>
      </c>
      <c r="J490" s="7">
        <f ca="1">IFERROR(__xludf.DUMMYFUNCTION("""COMPUTED_VALUE"""),78394)</f>
        <v>78394</v>
      </c>
      <c r="K490" s="7">
        <f ca="1">IFERROR(__xludf.DUMMYFUNCTION("""COMPUTED_VALUE"""),5006)</f>
        <v>5006</v>
      </c>
      <c r="L490" s="7">
        <f ca="1">IFERROR(__xludf.DUMMYFUNCTION("""COMPUTED_VALUE"""),12103)</f>
        <v>12103</v>
      </c>
      <c r="M490" s="7">
        <f ca="1">IFERROR(__xludf.DUMMYFUNCTION("""COMPUTED_VALUE"""),25076)</f>
        <v>25076</v>
      </c>
      <c r="N490" s="7">
        <f ca="1">IFERROR(__xludf.DUMMYFUNCTION("""COMPUTED_VALUE"""),41215)</f>
        <v>41215</v>
      </c>
    </row>
    <row r="491" spans="1:14" ht="13.2" x14ac:dyDescent="0.25">
      <c r="A491" s="6">
        <f ca="1">IFERROR(__xludf.DUMMYFUNCTION("""COMPUTED_VALUE"""),44380)</f>
        <v>44380</v>
      </c>
      <c r="B491" s="7">
        <f ca="1">IFERROR(__xludf.DUMMYFUNCTION("""COMPUTED_VALUE"""),8)</f>
        <v>8</v>
      </c>
      <c r="C491" s="8">
        <f ca="1">IFERROR(__xludf.DUMMYFUNCTION("""COMPUTED_VALUE"""),44380.3333333333)</f>
        <v>44380.333333333299</v>
      </c>
      <c r="D491" s="7">
        <f ca="1">IFERROR(__xludf.DUMMYFUNCTION("""COMPUTED_VALUE"""),8577)</f>
        <v>8577</v>
      </c>
      <c r="E491" s="7">
        <f ca="1">IFERROR(__xludf.DUMMYFUNCTION("""COMPUTED_VALUE"""),479150)</f>
        <v>479150</v>
      </c>
      <c r="F491" s="7">
        <f ca="1">IFERROR(__xludf.DUMMYFUNCTION("""COMPUTED_VALUE"""),54941)</f>
        <v>54941</v>
      </c>
      <c r="G491" s="7">
        <f ca="1">IFERROR(__xludf.DUMMYFUNCTION("""COMPUTED_VALUE"""),27442)</f>
        <v>27442</v>
      </c>
      <c r="H491" s="7">
        <f ca="1">IFERROR(__xludf.DUMMYFUNCTION("""COMPUTED_VALUE"""),570110)</f>
        <v>570110</v>
      </c>
      <c r="I491" s="7">
        <f ca="1">IFERROR(__xludf.DUMMYFUNCTION("""COMPUTED_VALUE"""),9702)</f>
        <v>9702</v>
      </c>
      <c r="J491" s="7">
        <f ca="1">IFERROR(__xludf.DUMMYFUNCTION("""COMPUTED_VALUE"""),82383)</f>
        <v>82383</v>
      </c>
      <c r="K491" s="7">
        <f ca="1">IFERROR(__xludf.DUMMYFUNCTION("""COMPUTED_VALUE"""),5683)</f>
        <v>5683</v>
      </c>
      <c r="L491" s="7">
        <f ca="1">IFERROR(__xludf.DUMMYFUNCTION("""COMPUTED_VALUE"""),11310)</f>
        <v>11310</v>
      </c>
      <c r="M491" s="7">
        <f ca="1">IFERROR(__xludf.DUMMYFUNCTION("""COMPUTED_VALUE"""),21941)</f>
        <v>21941</v>
      </c>
      <c r="N491" s="7">
        <f ca="1">IFERROR(__xludf.DUMMYFUNCTION("""COMPUTED_VALUE"""),49132)</f>
        <v>49132</v>
      </c>
    </row>
    <row r="492" spans="1:14" ht="13.2" x14ac:dyDescent="0.25">
      <c r="A492" s="6">
        <f ca="1">IFERROR(__xludf.DUMMYFUNCTION("""COMPUTED_VALUE"""),44381)</f>
        <v>44381</v>
      </c>
      <c r="B492" s="7">
        <f ca="1">IFERROR(__xludf.DUMMYFUNCTION("""COMPUTED_VALUE"""),8)</f>
        <v>8</v>
      </c>
      <c r="C492" s="8">
        <f ca="1">IFERROR(__xludf.DUMMYFUNCTION("""COMPUTED_VALUE"""),44381.3333333333)</f>
        <v>44381.333333333299</v>
      </c>
      <c r="D492" s="7">
        <f ca="1">IFERROR(__xludf.DUMMYFUNCTION("""COMPUTED_VALUE"""),8652)</f>
        <v>8652</v>
      </c>
      <c r="E492" s="7">
        <f ca="1">IFERROR(__xludf.DUMMYFUNCTION("""COMPUTED_VALUE"""),484949)</f>
        <v>484949</v>
      </c>
      <c r="F492" s="7">
        <f ca="1">IFERROR(__xludf.DUMMYFUNCTION("""COMPUTED_VALUE"""),59307)</f>
        <v>59307</v>
      </c>
      <c r="G492" s="7">
        <f ca="1">IFERROR(__xludf.DUMMYFUNCTION("""COMPUTED_VALUE"""),27687)</f>
        <v>27687</v>
      </c>
      <c r="H492" s="7">
        <f ca="1">IFERROR(__xludf.DUMMYFUNCTION("""COMPUTED_VALUE"""),580595)</f>
        <v>580595</v>
      </c>
      <c r="I492" s="7">
        <f ca="1">IFERROR(__xludf.DUMMYFUNCTION("""COMPUTED_VALUE"""),10485)</f>
        <v>10485</v>
      </c>
      <c r="J492" s="7">
        <f ca="1">IFERROR(__xludf.DUMMYFUNCTION("""COMPUTED_VALUE"""),86994)</f>
        <v>86994</v>
      </c>
      <c r="K492" s="7">
        <f ca="1">IFERROR(__xludf.DUMMYFUNCTION("""COMPUTED_VALUE"""),5799)</f>
        <v>5799</v>
      </c>
      <c r="L492" s="7">
        <f ca="1">IFERROR(__xludf.DUMMYFUNCTION("""COMPUTED_VALUE"""),8799)</f>
        <v>8799</v>
      </c>
      <c r="M492" s="7">
        <f ca="1">IFERROR(__xludf.DUMMYFUNCTION("""COMPUTED_VALUE"""),20101)</f>
        <v>20101</v>
      </c>
      <c r="N492" s="7">
        <f ca="1">IFERROR(__xludf.DUMMYFUNCTION("""COMPUTED_VALUE"""),58094)</f>
        <v>58094</v>
      </c>
    </row>
    <row r="493" spans="1:14" ht="13.2" x14ac:dyDescent="0.25">
      <c r="A493" s="6">
        <f ca="1">IFERROR(__xludf.DUMMYFUNCTION("""COMPUTED_VALUE"""),44382)</f>
        <v>44382</v>
      </c>
      <c r="B493" s="7">
        <f ca="1">IFERROR(__xludf.DUMMYFUNCTION("""COMPUTED_VALUE"""),8)</f>
        <v>8</v>
      </c>
      <c r="C493" s="8">
        <f ca="1">IFERROR(__xludf.DUMMYFUNCTION("""COMPUTED_VALUE"""),44382.3333333333)</f>
        <v>44382.333333333299</v>
      </c>
      <c r="D493" s="7">
        <f ca="1">IFERROR(__xludf.DUMMYFUNCTION("""COMPUTED_VALUE"""),8779)</f>
        <v>8779</v>
      </c>
      <c r="E493" s="7">
        <f ca="1">IFERROR(__xludf.DUMMYFUNCTION("""COMPUTED_VALUE"""),491556)</f>
        <v>491556</v>
      </c>
      <c r="F493" s="7">
        <f ca="1">IFERROR(__xludf.DUMMYFUNCTION("""COMPUTED_VALUE"""),62873)</f>
        <v>62873</v>
      </c>
      <c r="G493" s="7">
        <f ca="1">IFERROR(__xludf.DUMMYFUNCTION("""COMPUTED_VALUE"""),28290)</f>
        <v>28290</v>
      </c>
      <c r="H493" s="7">
        <f ca="1">IFERROR(__xludf.DUMMYFUNCTION("""COMPUTED_VALUE"""),591498)</f>
        <v>591498</v>
      </c>
      <c r="I493" s="7">
        <f ca="1">IFERROR(__xludf.DUMMYFUNCTION("""COMPUTED_VALUE"""),10903)</f>
        <v>10903</v>
      </c>
      <c r="J493" s="7">
        <f ca="1">IFERROR(__xludf.DUMMYFUNCTION("""COMPUTED_VALUE"""),91163)</f>
        <v>91163</v>
      </c>
      <c r="K493" s="7">
        <f ca="1">IFERROR(__xludf.DUMMYFUNCTION("""COMPUTED_VALUE"""),6607)</f>
        <v>6607</v>
      </c>
      <c r="L493" s="7">
        <f ca="1">IFERROR(__xludf.DUMMYFUNCTION("""COMPUTED_VALUE"""),7598)</f>
        <v>7598</v>
      </c>
      <c r="M493" s="7">
        <f ca="1">IFERROR(__xludf.DUMMYFUNCTION("""COMPUTED_VALUE"""),20096)</f>
        <v>20096</v>
      </c>
      <c r="N493" s="7">
        <f ca="1">IFERROR(__xludf.DUMMYFUNCTION("""COMPUTED_VALUE"""),63469)</f>
        <v>63469</v>
      </c>
    </row>
    <row r="494" spans="1:14" ht="13.2" x14ac:dyDescent="0.25">
      <c r="A494" s="6">
        <f ca="1">IFERROR(__xludf.DUMMYFUNCTION("""COMPUTED_VALUE"""),44383)</f>
        <v>44383</v>
      </c>
      <c r="B494" s="7">
        <f ca="1">IFERROR(__xludf.DUMMYFUNCTION("""COMPUTED_VALUE"""),8)</f>
        <v>8</v>
      </c>
      <c r="C494" s="8">
        <f ca="1">IFERROR(__xludf.DUMMYFUNCTION("""COMPUTED_VALUE"""),44383.3333333333)</f>
        <v>44383.333333333299</v>
      </c>
      <c r="D494" s="7">
        <f ca="1">IFERROR(__xludf.DUMMYFUNCTION("""COMPUTED_VALUE"""),8861)</f>
        <v>8861</v>
      </c>
      <c r="E494" s="7">
        <f ca="1">IFERROR(__xludf.DUMMYFUNCTION("""COMPUTED_VALUE"""),497492)</f>
        <v>497492</v>
      </c>
      <c r="F494" s="7">
        <f ca="1">IFERROR(__xludf.DUMMYFUNCTION("""COMPUTED_VALUE"""),65448)</f>
        <v>65448</v>
      </c>
      <c r="G494" s="7">
        <f ca="1">IFERROR(__xludf.DUMMYFUNCTION("""COMPUTED_VALUE"""),29136)</f>
        <v>29136</v>
      </c>
      <c r="H494" s="7">
        <f ca="1">IFERROR(__xludf.DUMMYFUNCTION("""COMPUTED_VALUE"""),600937)</f>
        <v>600937</v>
      </c>
      <c r="I494" s="7">
        <f ca="1">IFERROR(__xludf.DUMMYFUNCTION("""COMPUTED_VALUE"""),9439)</f>
        <v>9439</v>
      </c>
      <c r="J494" s="7">
        <f ca="1">IFERROR(__xludf.DUMMYFUNCTION("""COMPUTED_VALUE"""),94584)</f>
        <v>94584</v>
      </c>
      <c r="K494" s="7">
        <f ca="1">IFERROR(__xludf.DUMMYFUNCTION("""COMPUTED_VALUE"""),5936)</f>
        <v>5936</v>
      </c>
      <c r="L494" s="7">
        <f ca="1">IFERROR(__xludf.DUMMYFUNCTION("""COMPUTED_VALUE"""),18451)</f>
        <v>18451</v>
      </c>
      <c r="M494" s="7">
        <f ca="1">IFERROR(__xludf.DUMMYFUNCTION("""COMPUTED_VALUE"""),60476)</f>
        <v>60476</v>
      </c>
      <c r="N494" s="7">
        <f ca="1">IFERROR(__xludf.DUMMYFUNCTION("""COMPUTED_VALUE"""),15657)</f>
        <v>15657</v>
      </c>
    </row>
    <row r="495" spans="1:14" ht="13.2" x14ac:dyDescent="0.25">
      <c r="A495" s="6">
        <f ca="1">IFERROR(__xludf.DUMMYFUNCTION("""COMPUTED_VALUE"""),44384)</f>
        <v>44384</v>
      </c>
      <c r="B495" s="7">
        <f ca="1">IFERROR(__xludf.DUMMYFUNCTION("""COMPUTED_VALUE"""),8)</f>
        <v>8</v>
      </c>
      <c r="C495" s="8">
        <f ca="1">IFERROR(__xludf.DUMMYFUNCTION("""COMPUTED_VALUE"""),44384.3333333333)</f>
        <v>44384.333333333299</v>
      </c>
      <c r="D495" s="7">
        <f ca="1">IFERROR(__xludf.DUMMYFUNCTION("""COMPUTED_VALUE"""),9042)</f>
        <v>9042</v>
      </c>
      <c r="E495" s="7">
        <f ca="1">IFERROR(__xludf.DUMMYFUNCTION("""COMPUTED_VALUE"""),501199)</f>
        <v>501199</v>
      </c>
      <c r="F495" s="7">
        <f ca="1">IFERROR(__xludf.DUMMYFUNCTION("""COMPUTED_VALUE"""),69644)</f>
        <v>69644</v>
      </c>
      <c r="G495" s="7">
        <f ca="1">IFERROR(__xludf.DUMMYFUNCTION("""COMPUTED_VALUE"""),30418)</f>
        <v>30418</v>
      </c>
      <c r="H495" s="7">
        <f ca="1">IFERROR(__xludf.DUMMYFUNCTION("""COMPUTED_VALUE"""),610303)</f>
        <v>610303</v>
      </c>
      <c r="I495" s="7">
        <f ca="1">IFERROR(__xludf.DUMMYFUNCTION("""COMPUTED_VALUE"""),9366)</f>
        <v>9366</v>
      </c>
      <c r="J495" s="7">
        <f ca="1">IFERROR(__xludf.DUMMYFUNCTION("""COMPUTED_VALUE"""),100062)</f>
        <v>100062</v>
      </c>
      <c r="K495" s="7">
        <f ca="1">IFERROR(__xludf.DUMMYFUNCTION("""COMPUTED_VALUE"""),3707)</f>
        <v>3707</v>
      </c>
      <c r="L495" s="7">
        <f ca="1">IFERROR(__xludf.DUMMYFUNCTION("""COMPUTED_VALUE"""),18376)</f>
        <v>18376</v>
      </c>
      <c r="M495" s="7">
        <f ca="1">IFERROR(__xludf.DUMMYFUNCTION("""COMPUTED_VALUE"""),57521)</f>
        <v>57521</v>
      </c>
      <c r="N495" s="7">
        <f ca="1">IFERROR(__xludf.DUMMYFUNCTION("""COMPUTED_VALUE"""),24165)</f>
        <v>24165</v>
      </c>
    </row>
    <row r="496" spans="1:14" ht="13.2" x14ac:dyDescent="0.25">
      <c r="A496" s="6">
        <f ca="1">IFERROR(__xludf.DUMMYFUNCTION("""COMPUTED_VALUE"""),44385)</f>
        <v>44385</v>
      </c>
      <c r="B496" s="7">
        <f ca="1">IFERROR(__xludf.DUMMYFUNCTION("""COMPUTED_VALUE"""),8)</f>
        <v>8</v>
      </c>
      <c r="C496" s="8">
        <f ca="1">IFERROR(__xludf.DUMMYFUNCTION("""COMPUTED_VALUE"""),44385.3333333333)</f>
        <v>44385.333333333299</v>
      </c>
      <c r="D496" s="7">
        <f ca="1">IFERROR(__xludf.DUMMYFUNCTION("""COMPUTED_VALUE"""),9110)</f>
        <v>9110</v>
      </c>
      <c r="E496" s="7">
        <f ca="1">IFERROR(__xludf.DUMMYFUNCTION("""COMPUTED_VALUE"""),512085)</f>
        <v>512085</v>
      </c>
      <c r="F496" s="7">
        <f ca="1">IFERROR(__xludf.DUMMYFUNCTION("""COMPUTED_VALUE"""),72361)</f>
        <v>72361</v>
      </c>
      <c r="G496" s="7">
        <f ca="1">IFERROR(__xludf.DUMMYFUNCTION("""COMPUTED_VALUE"""),29721)</f>
        <v>29721</v>
      </c>
      <c r="H496" s="7">
        <f ca="1">IFERROR(__xludf.DUMMYFUNCTION("""COMPUTED_VALUE"""),623277)</f>
        <v>623277</v>
      </c>
      <c r="I496" s="7">
        <f ca="1">IFERROR(__xludf.DUMMYFUNCTION("""COMPUTED_VALUE"""),12974)</f>
        <v>12974</v>
      </c>
      <c r="J496" s="7">
        <f ca="1">IFERROR(__xludf.DUMMYFUNCTION("""COMPUTED_VALUE"""),102082)</f>
        <v>102082</v>
      </c>
      <c r="K496" s="7">
        <f ca="1">IFERROR(__xludf.DUMMYFUNCTION("""COMPUTED_VALUE"""),10886)</f>
        <v>10886</v>
      </c>
      <c r="L496" s="7">
        <f ca="1">IFERROR(__xludf.DUMMYFUNCTION("""COMPUTED_VALUE"""),14748)</f>
        <v>14748</v>
      </c>
      <c r="M496" s="7">
        <f ca="1">IFERROR(__xludf.DUMMYFUNCTION("""COMPUTED_VALUE"""),50824)</f>
        <v>50824</v>
      </c>
      <c r="N496" s="7">
        <f ca="1">IFERROR(__xludf.DUMMYFUNCTION("""COMPUTED_VALUE"""),36510)</f>
        <v>36510</v>
      </c>
    </row>
    <row r="497" spans="1:14" ht="13.2" x14ac:dyDescent="0.25">
      <c r="A497" s="6">
        <f ca="1">IFERROR(__xludf.DUMMYFUNCTION("""COMPUTED_VALUE"""),44386)</f>
        <v>44386</v>
      </c>
      <c r="B497" s="7">
        <f ca="1">IFERROR(__xludf.DUMMYFUNCTION("""COMPUTED_VALUE"""),8)</f>
        <v>8</v>
      </c>
      <c r="C497" s="8">
        <f ca="1">IFERROR(__xludf.DUMMYFUNCTION("""COMPUTED_VALUE"""),44386.3333333333)</f>
        <v>44386.333333333299</v>
      </c>
      <c r="D497" s="7">
        <f ca="1">IFERROR(__xludf.DUMMYFUNCTION("""COMPUTED_VALUE"""),9306)</f>
        <v>9306</v>
      </c>
      <c r="E497" s="7">
        <f ca="1">IFERROR(__xludf.DUMMYFUNCTION("""COMPUTED_VALUE"""),526941)</f>
        <v>526941</v>
      </c>
      <c r="F497" s="7">
        <f ca="1">IFERROR(__xludf.DUMMYFUNCTION("""COMPUTED_VALUE"""),73239)</f>
        <v>73239</v>
      </c>
      <c r="G497" s="7">
        <f ca="1">IFERROR(__xludf.DUMMYFUNCTION("""COMPUTED_VALUE"""),26903)</f>
        <v>26903</v>
      </c>
      <c r="H497" s="7">
        <f ca="1">IFERROR(__xludf.DUMMYFUNCTION("""COMPUTED_VALUE"""),636389)</f>
        <v>636389</v>
      </c>
      <c r="I497" s="7">
        <f ca="1">IFERROR(__xludf.DUMMYFUNCTION("""COMPUTED_VALUE"""),13112)</f>
        <v>13112</v>
      </c>
      <c r="J497" s="7">
        <f ca="1">IFERROR(__xludf.DUMMYFUNCTION("""COMPUTED_VALUE"""),100142)</f>
        <v>100142</v>
      </c>
      <c r="K497" s="7">
        <f ca="1">IFERROR(__xludf.DUMMYFUNCTION("""COMPUTED_VALUE"""),14856)</f>
        <v>14856</v>
      </c>
      <c r="L497" s="7">
        <f ca="1">IFERROR(__xludf.DUMMYFUNCTION("""COMPUTED_VALUE"""),10095)</f>
        <v>10095</v>
      </c>
      <c r="M497" s="7">
        <f ca="1">IFERROR(__xludf.DUMMYFUNCTION("""COMPUTED_VALUE"""),40727)</f>
        <v>40727</v>
      </c>
      <c r="N497" s="7">
        <f ca="1">IFERROR(__xludf.DUMMYFUNCTION("""COMPUTED_VALUE"""),49320)</f>
        <v>49320</v>
      </c>
    </row>
    <row r="498" spans="1:14" ht="13.2" x14ac:dyDescent="0.25">
      <c r="A498" s="6">
        <f ca="1">IFERROR(__xludf.DUMMYFUNCTION("""COMPUTED_VALUE"""),44387)</f>
        <v>44387</v>
      </c>
      <c r="B498" s="7">
        <f ca="1">IFERROR(__xludf.DUMMYFUNCTION("""COMPUTED_VALUE"""),8)</f>
        <v>8</v>
      </c>
      <c r="C498" s="8">
        <f ca="1">IFERROR(__xludf.DUMMYFUNCTION("""COMPUTED_VALUE"""),44387.3333333333)</f>
        <v>44387.333333333299</v>
      </c>
      <c r="D498" s="7">
        <f ca="1">IFERROR(__xludf.DUMMYFUNCTION("""COMPUTED_VALUE"""),9357)</f>
        <v>9357</v>
      </c>
      <c r="E498" s="7">
        <f ca="1">IFERROR(__xludf.DUMMYFUNCTION("""COMPUTED_VALUE"""),543867)</f>
        <v>543867</v>
      </c>
      <c r="F498" s="7">
        <f ca="1">IFERROR(__xludf.DUMMYFUNCTION("""COMPUTED_VALUE"""),71812)</f>
        <v>71812</v>
      </c>
      <c r="G498" s="7">
        <f ca="1">IFERROR(__xludf.DUMMYFUNCTION("""COMPUTED_VALUE"""),24273)</f>
        <v>24273</v>
      </c>
      <c r="H498" s="7">
        <f ca="1">IFERROR(__xludf.DUMMYFUNCTION("""COMPUTED_VALUE"""),649309)</f>
        <v>649309</v>
      </c>
      <c r="I498" s="7">
        <f ca="1">IFERROR(__xludf.DUMMYFUNCTION("""COMPUTED_VALUE"""),12920)</f>
        <v>12920</v>
      </c>
      <c r="J498" s="7">
        <f ca="1">IFERROR(__xludf.DUMMYFUNCTION("""COMPUTED_VALUE"""),96085)</f>
        <v>96085</v>
      </c>
      <c r="K498" s="7">
        <f ca="1">IFERROR(__xludf.DUMMYFUNCTION("""COMPUTED_VALUE"""),16926)</f>
        <v>16926</v>
      </c>
      <c r="L498" s="7">
        <f ca="1">IFERROR(__xludf.DUMMYFUNCTION("""COMPUTED_VALUE"""),7999)</f>
        <v>7999</v>
      </c>
      <c r="M498" s="7">
        <f ca="1">IFERROR(__xludf.DUMMYFUNCTION("""COMPUTED_VALUE"""),26379)</f>
        <v>26379</v>
      </c>
      <c r="N498" s="7">
        <f ca="1">IFERROR(__xludf.DUMMYFUNCTION("""COMPUTED_VALUE"""),61707)</f>
        <v>61707</v>
      </c>
    </row>
    <row r="499" spans="1:14" ht="13.2" x14ac:dyDescent="0.25">
      <c r="A499" s="6">
        <f ca="1">IFERROR(__xludf.DUMMYFUNCTION("""COMPUTED_VALUE"""),44388)</f>
        <v>44388</v>
      </c>
      <c r="B499" s="7">
        <f ca="1">IFERROR(__xludf.DUMMYFUNCTION("""COMPUTED_VALUE"""),8)</f>
        <v>8</v>
      </c>
      <c r="C499" s="8">
        <f ca="1">IFERROR(__xludf.DUMMYFUNCTION("""COMPUTED_VALUE"""),44388.3333333333)</f>
        <v>44388.333333333299</v>
      </c>
      <c r="D499" s="7">
        <f ca="1">IFERROR(__xludf.DUMMYFUNCTION("""COMPUTED_VALUE"""),9395)</f>
        <v>9395</v>
      </c>
      <c r="E499" s="7">
        <f ca="1">IFERROR(__xludf.DUMMYFUNCTION("""COMPUTED_VALUE"""),564437)</f>
        <v>564437</v>
      </c>
      <c r="F499" s="7">
        <f ca="1">IFERROR(__xludf.DUMMYFUNCTION("""COMPUTED_VALUE"""),68251)</f>
        <v>68251</v>
      </c>
      <c r="G499" s="7">
        <f ca="1">IFERROR(__xludf.DUMMYFUNCTION("""COMPUTED_VALUE"""),20359)</f>
        <v>20359</v>
      </c>
      <c r="H499" s="7">
        <f ca="1">IFERROR(__xludf.DUMMYFUNCTION("""COMPUTED_VALUE"""),662442)</f>
        <v>662442</v>
      </c>
      <c r="I499" s="7">
        <f ca="1">IFERROR(__xludf.DUMMYFUNCTION("""COMPUTED_VALUE"""),13133)</f>
        <v>13133</v>
      </c>
      <c r="J499" s="7">
        <f ca="1">IFERROR(__xludf.DUMMYFUNCTION("""COMPUTED_VALUE"""),88610)</f>
        <v>88610</v>
      </c>
      <c r="K499" s="7">
        <f ca="1">IFERROR(__xludf.DUMMYFUNCTION("""COMPUTED_VALUE"""),20570)</f>
        <v>20570</v>
      </c>
      <c r="L499" s="7">
        <f ca="1">IFERROR(__xludf.DUMMYFUNCTION("""COMPUTED_VALUE"""),4769)</f>
        <v>4769</v>
      </c>
      <c r="M499" s="7">
        <f ca="1">IFERROR(__xludf.DUMMYFUNCTION("""COMPUTED_VALUE"""),12893)</f>
        <v>12893</v>
      </c>
      <c r="N499" s="7">
        <f ca="1">IFERROR(__xludf.DUMMYFUNCTION("""COMPUTED_VALUE"""),70948)</f>
        <v>70948</v>
      </c>
    </row>
    <row r="500" spans="1:14" ht="13.2" x14ac:dyDescent="0.25">
      <c r="A500" s="6">
        <f ca="1">IFERROR(__xludf.DUMMYFUNCTION("""COMPUTED_VALUE"""),44389)</f>
        <v>44389</v>
      </c>
      <c r="B500" s="7">
        <f ca="1">IFERROR(__xludf.DUMMYFUNCTION("""COMPUTED_VALUE"""),8)</f>
        <v>8</v>
      </c>
      <c r="C500" s="8">
        <f ca="1">IFERROR(__xludf.DUMMYFUNCTION("""COMPUTED_VALUE"""),44389.3333333333)</f>
        <v>44389.333333333299</v>
      </c>
      <c r="D500" s="7">
        <f ca="1">IFERROR(__xludf.DUMMYFUNCTION("""COMPUTED_VALUE"""),9462)</f>
        <v>9462</v>
      </c>
      <c r="E500" s="7">
        <f ca="1">IFERROR(__xludf.DUMMYFUNCTION("""COMPUTED_VALUE"""),584912)</f>
        <v>584912</v>
      </c>
      <c r="F500" s="7">
        <f ca="1">IFERROR(__xludf.DUMMYFUNCTION("""COMPUTED_VALUE"""),66581)</f>
        <v>66581</v>
      </c>
      <c r="G500" s="7">
        <f ca="1">IFERROR(__xludf.DUMMYFUNCTION("""COMPUTED_VALUE"""),16106)</f>
        <v>16106</v>
      </c>
      <c r="H500" s="7">
        <f ca="1">IFERROR(__xludf.DUMMYFUNCTION("""COMPUTED_VALUE"""),677061)</f>
        <v>677061</v>
      </c>
      <c r="I500" s="7">
        <f ca="1">IFERROR(__xludf.DUMMYFUNCTION("""COMPUTED_VALUE"""),14619)</f>
        <v>14619</v>
      </c>
      <c r="J500" s="7">
        <f ca="1">IFERROR(__xludf.DUMMYFUNCTION("""COMPUTED_VALUE"""),82687)</f>
        <v>82687</v>
      </c>
      <c r="K500" s="7">
        <f ca="1">IFERROR(__xludf.DUMMYFUNCTION("""COMPUTED_VALUE"""),20475)</f>
        <v>20475</v>
      </c>
      <c r="L500" s="7">
        <f ca="1">IFERROR(__xludf.DUMMYFUNCTION("""COMPUTED_VALUE"""),17649)</f>
        <v>17649</v>
      </c>
      <c r="M500" s="7">
        <f ca="1">IFERROR(__xludf.DUMMYFUNCTION("""COMPUTED_VALUE"""),25597)</f>
        <v>25597</v>
      </c>
      <c r="N500" s="7">
        <f ca="1">IFERROR(__xludf.DUMMYFUNCTION("""COMPUTED_VALUE"""),39441)</f>
        <v>39441</v>
      </c>
    </row>
    <row r="501" spans="1:14" ht="13.2" x14ac:dyDescent="0.25">
      <c r="A501" s="6">
        <f ca="1">IFERROR(__xludf.DUMMYFUNCTION("""COMPUTED_VALUE"""),44390)</f>
        <v>44390</v>
      </c>
      <c r="B501" s="7">
        <f ca="1">IFERROR(__xludf.DUMMYFUNCTION("""COMPUTED_VALUE"""),8)</f>
        <v>8</v>
      </c>
      <c r="C501" s="8">
        <f ca="1">IFERROR(__xludf.DUMMYFUNCTION("""COMPUTED_VALUE"""),44390.3333333333)</f>
        <v>44390.333333333299</v>
      </c>
      <c r="D501" s="7">
        <f ca="1">IFERROR(__xludf.DUMMYFUNCTION("""COMPUTED_VALUE"""),9541)</f>
        <v>9541</v>
      </c>
      <c r="E501" s="7">
        <f ca="1">IFERROR(__xludf.DUMMYFUNCTION("""COMPUTED_VALUE"""),589486)</f>
        <v>589486</v>
      </c>
      <c r="F501" s="7">
        <f ca="1">IFERROR(__xludf.DUMMYFUNCTION("""COMPUTED_VALUE"""),71848)</f>
        <v>71848</v>
      </c>
      <c r="G501" s="7">
        <f ca="1">IFERROR(__xludf.DUMMYFUNCTION("""COMPUTED_VALUE"""),18368)</f>
        <v>18368</v>
      </c>
      <c r="H501" s="7">
        <f ca="1">IFERROR(__xludf.DUMMYFUNCTION("""COMPUTED_VALUE"""),689243)</f>
        <v>689243</v>
      </c>
      <c r="I501" s="7">
        <f ca="1">IFERROR(__xludf.DUMMYFUNCTION("""COMPUTED_VALUE"""),12182)</f>
        <v>12182</v>
      </c>
      <c r="J501" s="7">
        <f ca="1">IFERROR(__xludf.DUMMYFUNCTION("""COMPUTED_VALUE"""),90216)</f>
        <v>90216</v>
      </c>
      <c r="K501" s="7">
        <f ca="1">IFERROR(__xludf.DUMMYFUNCTION("""COMPUTED_VALUE"""),4574)</f>
        <v>4574</v>
      </c>
      <c r="L501" s="7">
        <f ca="1">IFERROR(__xludf.DUMMYFUNCTION("""COMPUTED_VALUE"""),16957)</f>
        <v>16957</v>
      </c>
      <c r="M501" s="7">
        <f ca="1">IFERROR(__xludf.DUMMYFUNCTION("""COMPUTED_VALUE"""),22339)</f>
        <v>22339</v>
      </c>
      <c r="N501" s="7">
        <f ca="1">IFERROR(__xludf.DUMMYFUNCTION("""COMPUTED_VALUE"""),50920)</f>
        <v>50920</v>
      </c>
    </row>
    <row r="502" spans="1:14" ht="13.2" x14ac:dyDescent="0.25">
      <c r="A502" s="6">
        <f ca="1">IFERROR(__xludf.DUMMYFUNCTION("""COMPUTED_VALUE"""),44391)</f>
        <v>44391</v>
      </c>
      <c r="B502" s="7">
        <f ca="1">IFERROR(__xludf.DUMMYFUNCTION("""COMPUTED_VALUE"""),8)</f>
        <v>8</v>
      </c>
      <c r="C502" s="8">
        <f ca="1">IFERROR(__xludf.DUMMYFUNCTION("""COMPUTED_VALUE"""),44391.3333333333)</f>
        <v>44391.333333333299</v>
      </c>
      <c r="D502" s="7">
        <f ca="1">IFERROR(__xludf.DUMMYFUNCTION("""COMPUTED_VALUE"""),9603)</f>
        <v>9603</v>
      </c>
      <c r="E502" s="7">
        <f ca="1">IFERROR(__xludf.DUMMYFUNCTION("""COMPUTED_VALUE"""),592556)</f>
        <v>592556</v>
      </c>
      <c r="F502" s="7">
        <f ca="1">IFERROR(__xludf.DUMMYFUNCTION("""COMPUTED_VALUE"""),78571)</f>
        <v>78571</v>
      </c>
      <c r="G502" s="7">
        <f ca="1">IFERROR(__xludf.DUMMYFUNCTION("""COMPUTED_VALUE"""),21180)</f>
        <v>21180</v>
      </c>
      <c r="H502" s="7">
        <f ca="1">IFERROR(__xludf.DUMMYFUNCTION("""COMPUTED_VALUE"""),701910)</f>
        <v>701910</v>
      </c>
      <c r="I502" s="7">
        <f ca="1">IFERROR(__xludf.DUMMYFUNCTION("""COMPUTED_VALUE"""),12667)</f>
        <v>12667</v>
      </c>
      <c r="J502" s="7">
        <f ca="1">IFERROR(__xludf.DUMMYFUNCTION("""COMPUTED_VALUE"""),99751)</f>
        <v>99751</v>
      </c>
      <c r="K502" s="7">
        <f ca="1">IFERROR(__xludf.DUMMYFUNCTION("""COMPUTED_VALUE"""),3070)</f>
        <v>3070</v>
      </c>
      <c r="L502" s="7">
        <f ca="1">IFERROR(__xludf.DUMMYFUNCTION("""COMPUTED_VALUE"""),32752)</f>
        <v>32752</v>
      </c>
      <c r="M502" s="7">
        <f ca="1">IFERROR(__xludf.DUMMYFUNCTION("""COMPUTED_VALUE"""),54463)</f>
        <v>54463</v>
      </c>
      <c r="N502" s="7">
        <f ca="1">IFERROR(__xludf.DUMMYFUNCTION("""COMPUTED_VALUE"""),12536)</f>
        <v>12536</v>
      </c>
    </row>
    <row r="503" spans="1:14" ht="13.2" x14ac:dyDescent="0.25">
      <c r="A503" s="6">
        <f ca="1">IFERROR(__xludf.DUMMYFUNCTION("""COMPUTED_VALUE"""),44392)</f>
        <v>44392</v>
      </c>
      <c r="B503" s="7">
        <f ca="1">IFERROR(__xludf.DUMMYFUNCTION("""COMPUTED_VALUE"""),8)</f>
        <v>8</v>
      </c>
      <c r="C503" s="8">
        <f ca="1">IFERROR(__xludf.DUMMYFUNCTION("""COMPUTED_VALUE"""),44392.3333333333)</f>
        <v>44392.333333333299</v>
      </c>
      <c r="D503" s="7">
        <f ca="1">IFERROR(__xludf.DUMMYFUNCTION("""COMPUTED_VALUE"""),9743)</f>
        <v>9743</v>
      </c>
      <c r="E503" s="7">
        <f ca="1">IFERROR(__xludf.DUMMYFUNCTION("""COMPUTED_VALUE"""),595582)</f>
        <v>595582</v>
      </c>
      <c r="F503" s="7">
        <f ca="1">IFERROR(__xludf.DUMMYFUNCTION("""COMPUTED_VALUE"""),86298)</f>
        <v>86298</v>
      </c>
      <c r="G503" s="7">
        <f ca="1">IFERROR(__xludf.DUMMYFUNCTION("""COMPUTED_VALUE"""),22978)</f>
        <v>22978</v>
      </c>
      <c r="H503" s="7">
        <f ca="1">IFERROR(__xludf.DUMMYFUNCTION("""COMPUTED_VALUE"""),714601)</f>
        <v>714601</v>
      </c>
      <c r="I503" s="7">
        <f ca="1">IFERROR(__xludf.DUMMYFUNCTION("""COMPUTED_VALUE"""),12691)</f>
        <v>12691</v>
      </c>
      <c r="J503" s="7">
        <f ca="1">IFERROR(__xludf.DUMMYFUNCTION("""COMPUTED_VALUE"""),109276)</f>
        <v>109276</v>
      </c>
      <c r="K503" s="7">
        <f ca="1">IFERROR(__xludf.DUMMYFUNCTION("""COMPUTED_VALUE"""),3026)</f>
        <v>3026</v>
      </c>
      <c r="L503" s="7">
        <f ca="1">IFERROR(__xludf.DUMMYFUNCTION("""COMPUTED_VALUE"""),31922)</f>
        <v>31922</v>
      </c>
      <c r="M503" s="7">
        <f ca="1">IFERROR(__xludf.DUMMYFUNCTION("""COMPUTED_VALUE"""),52360)</f>
        <v>52360</v>
      </c>
      <c r="N503" s="7">
        <f ca="1">IFERROR(__xludf.DUMMYFUNCTION("""COMPUTED_VALUE"""),24994)</f>
        <v>24994</v>
      </c>
    </row>
    <row r="504" spans="1:14" ht="13.2" x14ac:dyDescent="0.25">
      <c r="A504" s="6">
        <f ca="1">IFERROR(__xludf.DUMMYFUNCTION("""COMPUTED_VALUE"""),44393)</f>
        <v>44393</v>
      </c>
      <c r="B504" s="7">
        <f ca="1">IFERROR(__xludf.DUMMYFUNCTION("""COMPUTED_VALUE"""),8)</f>
        <v>8</v>
      </c>
      <c r="C504" s="8">
        <f ca="1">IFERROR(__xludf.DUMMYFUNCTION("""COMPUTED_VALUE"""),44393.3333333333)</f>
        <v>44393.333333333299</v>
      </c>
      <c r="D504" s="7">
        <f ca="1">IFERROR(__xludf.DUMMYFUNCTION("""COMPUTED_VALUE"""),9845)</f>
        <v>9845</v>
      </c>
      <c r="E504" s="7">
        <f ca="1">IFERROR(__xludf.DUMMYFUNCTION("""COMPUTED_VALUE"""),604033)</f>
        <v>604033</v>
      </c>
      <c r="F504" s="7">
        <f ca="1">IFERROR(__xludf.DUMMYFUNCTION("""COMPUTED_VALUE"""),88295)</f>
        <v>88295</v>
      </c>
      <c r="G504" s="7">
        <f ca="1">IFERROR(__xludf.DUMMYFUNCTION("""COMPUTED_VALUE"""),24843)</f>
        <v>24843</v>
      </c>
      <c r="H504" s="7">
        <f ca="1">IFERROR(__xludf.DUMMYFUNCTION("""COMPUTED_VALUE"""),727016)</f>
        <v>727016</v>
      </c>
      <c r="I504" s="7">
        <f ca="1">IFERROR(__xludf.DUMMYFUNCTION("""COMPUTED_VALUE"""),12415)</f>
        <v>12415</v>
      </c>
      <c r="J504" s="7">
        <f ca="1">IFERROR(__xludf.DUMMYFUNCTION("""COMPUTED_VALUE"""),113138)</f>
        <v>113138</v>
      </c>
      <c r="K504" s="7">
        <f ca="1">IFERROR(__xludf.DUMMYFUNCTION("""COMPUTED_VALUE"""),8451)</f>
        <v>8451</v>
      </c>
      <c r="L504" s="7">
        <f ca="1">IFERROR(__xludf.DUMMYFUNCTION("""COMPUTED_VALUE"""),28216)</f>
        <v>28216</v>
      </c>
      <c r="M504" s="7">
        <f ca="1">IFERROR(__xludf.DUMMYFUNCTION("""COMPUTED_VALUE"""),48144)</f>
        <v>48144</v>
      </c>
      <c r="N504" s="7">
        <f ca="1">IFERROR(__xludf.DUMMYFUNCTION("""COMPUTED_VALUE"""),36778)</f>
        <v>36778</v>
      </c>
    </row>
    <row r="505" spans="1:14" ht="13.2" x14ac:dyDescent="0.25">
      <c r="A505" s="6">
        <f ca="1">IFERROR(__xludf.DUMMYFUNCTION("""COMPUTED_VALUE"""),44394)</f>
        <v>44394</v>
      </c>
      <c r="B505" s="7">
        <f ca="1">IFERROR(__xludf.DUMMYFUNCTION("""COMPUTED_VALUE"""),8)</f>
        <v>8</v>
      </c>
      <c r="C505" s="8">
        <f ca="1">IFERROR(__xludf.DUMMYFUNCTION("""COMPUTED_VALUE"""),44394.3333333333)</f>
        <v>44394.333333333299</v>
      </c>
      <c r="D505" s="7">
        <f ca="1">IFERROR(__xludf.DUMMYFUNCTION("""COMPUTED_VALUE"""),9902)</f>
        <v>9902</v>
      </c>
      <c r="E505" s="7">
        <f ca="1">IFERROR(__xludf.DUMMYFUNCTION("""COMPUTED_VALUE"""),615640)</f>
        <v>615640</v>
      </c>
      <c r="F505" s="7">
        <f ca="1">IFERROR(__xludf.DUMMYFUNCTION("""COMPUTED_VALUE"""),87929)</f>
        <v>87929</v>
      </c>
      <c r="G505" s="7">
        <f ca="1">IFERROR(__xludf.DUMMYFUNCTION("""COMPUTED_VALUE"""),23713)</f>
        <v>23713</v>
      </c>
      <c r="H505" s="7">
        <f ca="1">IFERROR(__xludf.DUMMYFUNCTION("""COMPUTED_VALUE"""),737184)</f>
        <v>737184</v>
      </c>
      <c r="I505" s="7">
        <f ca="1">IFERROR(__xludf.DUMMYFUNCTION("""COMPUTED_VALUE"""),10168)</f>
        <v>10168</v>
      </c>
      <c r="J505" s="7">
        <f ca="1">IFERROR(__xludf.DUMMYFUNCTION("""COMPUTED_VALUE"""),111642)</f>
        <v>111642</v>
      </c>
      <c r="K505" s="7">
        <f ca="1">IFERROR(__xludf.DUMMYFUNCTION("""COMPUTED_VALUE"""),11607)</f>
        <v>11607</v>
      </c>
      <c r="L505" s="7">
        <f ca="1">IFERROR(__xludf.DUMMYFUNCTION("""COMPUTED_VALUE"""),23349)</f>
        <v>23349</v>
      </c>
      <c r="M505" s="7">
        <f ca="1">IFERROR(__xludf.DUMMYFUNCTION("""COMPUTED_VALUE"""),41735)</f>
        <v>41735</v>
      </c>
      <c r="N505" s="7">
        <f ca="1">IFERROR(__xludf.DUMMYFUNCTION("""COMPUTED_VALUE"""),46558)</f>
        <v>46558</v>
      </c>
    </row>
    <row r="506" spans="1:14" ht="13.2" x14ac:dyDescent="0.25">
      <c r="A506" s="6">
        <f ca="1">IFERROR(__xludf.DUMMYFUNCTION("""COMPUTED_VALUE"""),44395)</f>
        <v>44395</v>
      </c>
      <c r="B506" s="7">
        <f ca="1">IFERROR(__xludf.DUMMYFUNCTION("""COMPUTED_VALUE"""),8)</f>
        <v>8</v>
      </c>
      <c r="C506" s="8">
        <f ca="1">IFERROR(__xludf.DUMMYFUNCTION("""COMPUTED_VALUE"""),44395.3333333333)</f>
        <v>44395.333333333299</v>
      </c>
      <c r="D506" s="7">
        <f ca="1">IFERROR(__xludf.DUMMYFUNCTION("""COMPUTED_VALUE"""),10103)</f>
        <v>10103</v>
      </c>
      <c r="E506" s="7">
        <f ca="1">IFERROR(__xludf.DUMMYFUNCTION("""COMPUTED_VALUE"""),627481)</f>
        <v>627481</v>
      </c>
      <c r="F506" s="7">
        <f ca="1">IFERROR(__xludf.DUMMYFUNCTION("""COMPUTED_VALUE"""),86457)</f>
        <v>86457</v>
      </c>
      <c r="G506" s="7">
        <f ca="1">IFERROR(__xludf.DUMMYFUNCTION("""COMPUTED_VALUE"""),22271)</f>
        <v>22271</v>
      </c>
      <c r="H506" s="7">
        <f ca="1">IFERROR(__xludf.DUMMYFUNCTION("""COMPUTED_VALUE"""),746312)</f>
        <v>746312</v>
      </c>
      <c r="I506" s="7">
        <f ca="1">IFERROR(__xludf.DUMMYFUNCTION("""COMPUTED_VALUE"""),9128)</f>
        <v>9128</v>
      </c>
      <c r="J506" s="7">
        <f ca="1">IFERROR(__xludf.DUMMYFUNCTION("""COMPUTED_VALUE"""),108728)</f>
        <v>108728</v>
      </c>
      <c r="K506" s="7">
        <f ca="1">IFERROR(__xludf.DUMMYFUNCTION("""COMPUTED_VALUE"""),11841)</f>
        <v>11841</v>
      </c>
      <c r="L506" s="7">
        <f ca="1">IFERROR(__xludf.DUMMYFUNCTION("""COMPUTED_VALUE"""),20890)</f>
        <v>20890</v>
      </c>
      <c r="M506" s="7">
        <f ca="1">IFERROR(__xludf.DUMMYFUNCTION("""COMPUTED_VALUE"""),33459)</f>
        <v>33459</v>
      </c>
      <c r="N506" s="7">
        <f ca="1">IFERROR(__xludf.DUMMYFUNCTION("""COMPUTED_VALUE"""),54379)</f>
        <v>54379</v>
      </c>
    </row>
    <row r="507" spans="1:14" ht="13.2" x14ac:dyDescent="0.25">
      <c r="A507" s="6">
        <f ca="1">IFERROR(__xludf.DUMMYFUNCTION("""COMPUTED_VALUE"""),44396)</f>
        <v>44396</v>
      </c>
      <c r="B507" s="7">
        <f ca="1">IFERROR(__xludf.DUMMYFUNCTION("""COMPUTED_VALUE"""),8)</f>
        <v>8</v>
      </c>
      <c r="C507" s="8">
        <f ca="1">IFERROR(__xludf.DUMMYFUNCTION("""COMPUTED_VALUE"""),44396.3333333333)</f>
        <v>44396.333333333299</v>
      </c>
      <c r="D507" s="7">
        <f ca="1">IFERROR(__xludf.DUMMYFUNCTION("""COMPUTED_VALUE"""),10345)</f>
        <v>10345</v>
      </c>
      <c r="E507" s="7">
        <f ca="1">IFERROR(__xludf.DUMMYFUNCTION("""COMPUTED_VALUE"""),640171)</f>
        <v>640171</v>
      </c>
      <c r="F507" s="7">
        <f ca="1">IFERROR(__xludf.DUMMYFUNCTION("""COMPUTED_VALUE"""),81275)</f>
        <v>81275</v>
      </c>
      <c r="G507" s="7">
        <f ca="1">IFERROR(__xludf.DUMMYFUNCTION("""COMPUTED_VALUE"""),19521)</f>
        <v>19521</v>
      </c>
      <c r="H507" s="7">
        <f ca="1">IFERROR(__xludf.DUMMYFUNCTION("""COMPUTED_VALUE"""),751312)</f>
        <v>751312</v>
      </c>
      <c r="I507" s="7">
        <f ca="1">IFERROR(__xludf.DUMMYFUNCTION("""COMPUTED_VALUE"""),5000)</f>
        <v>5000</v>
      </c>
      <c r="J507" s="7">
        <f ca="1">IFERROR(__xludf.DUMMYFUNCTION("""COMPUTED_VALUE"""),100796)</f>
        <v>100796</v>
      </c>
      <c r="K507" s="7">
        <f ca="1">IFERROR(__xludf.DUMMYFUNCTION("""COMPUTED_VALUE"""),12690)</f>
        <v>12690</v>
      </c>
      <c r="L507" s="7">
        <f ca="1">IFERROR(__xludf.DUMMYFUNCTION("""COMPUTED_VALUE"""),35311)</f>
        <v>35311</v>
      </c>
      <c r="M507" s="7">
        <f ca="1">IFERROR(__xludf.DUMMYFUNCTION("""COMPUTED_VALUE"""),51962)</f>
        <v>51962</v>
      </c>
      <c r="N507" s="7">
        <f ca="1">IFERROR(__xludf.DUMMYFUNCTION("""COMPUTED_VALUE"""),13523)</f>
        <v>13523</v>
      </c>
    </row>
    <row r="508" spans="1:14" ht="13.2" x14ac:dyDescent="0.25">
      <c r="A508" s="6">
        <f ca="1">IFERROR(__xludf.DUMMYFUNCTION("""COMPUTED_VALUE"""),44397)</f>
        <v>44397</v>
      </c>
      <c r="B508" s="7">
        <f ca="1">IFERROR(__xludf.DUMMYFUNCTION("""COMPUTED_VALUE"""),8)</f>
        <v>8</v>
      </c>
      <c r="C508" s="8">
        <f ca="1">IFERROR(__xludf.DUMMYFUNCTION("""COMPUTED_VALUE"""),44397.3333333333)</f>
        <v>44397.333333333299</v>
      </c>
      <c r="D508" s="7">
        <f ca="1">IFERROR(__xludf.DUMMYFUNCTION("""COMPUTED_VALUE"""),10610)</f>
        <v>10610</v>
      </c>
      <c r="E508" s="7">
        <f ca="1">IFERROR(__xludf.DUMMYFUNCTION("""COMPUTED_VALUE"""),652242)</f>
        <v>652242</v>
      </c>
      <c r="F508" s="7">
        <f ca="1">IFERROR(__xludf.DUMMYFUNCTION("""COMPUTED_VALUE"""),75776)</f>
        <v>75776</v>
      </c>
      <c r="G508" s="7">
        <f ca="1">IFERROR(__xludf.DUMMYFUNCTION("""COMPUTED_VALUE"""),18897)</f>
        <v>18897</v>
      </c>
      <c r="H508" s="7">
        <f ca="1">IFERROR(__xludf.DUMMYFUNCTION("""COMPUTED_VALUE"""),757525)</f>
        <v>757525</v>
      </c>
      <c r="I508" s="7">
        <f ca="1">IFERROR(__xludf.DUMMYFUNCTION("""COMPUTED_VALUE"""),6213)</f>
        <v>6213</v>
      </c>
      <c r="J508" s="7">
        <f ca="1">IFERROR(__xludf.DUMMYFUNCTION("""COMPUTED_VALUE"""),94673)</f>
        <v>94673</v>
      </c>
      <c r="K508" s="7">
        <f ca="1">IFERROR(__xludf.DUMMYFUNCTION("""COMPUTED_VALUE"""),12071)</f>
        <v>12071</v>
      </c>
      <c r="L508" s="7">
        <f ca="1">IFERROR(__xludf.DUMMYFUNCTION("""COMPUTED_VALUE"""),30983)</f>
        <v>30983</v>
      </c>
      <c r="M508" s="7">
        <f ca="1">IFERROR(__xludf.DUMMYFUNCTION("""COMPUTED_VALUE"""),44129)</f>
        <v>44129</v>
      </c>
      <c r="N508" s="7">
        <f ca="1">IFERROR(__xludf.DUMMYFUNCTION("""COMPUTED_VALUE"""),19561)</f>
        <v>19561</v>
      </c>
    </row>
    <row r="509" spans="1:14" ht="13.2" x14ac:dyDescent="0.25">
      <c r="A509" s="6">
        <f ca="1">IFERROR(__xludf.DUMMYFUNCTION("""COMPUTED_VALUE"""),44398)</f>
        <v>44398</v>
      </c>
      <c r="B509" s="7">
        <f ca="1">IFERROR(__xludf.DUMMYFUNCTION("""COMPUTED_VALUE"""),8)</f>
        <v>8</v>
      </c>
      <c r="C509" s="8">
        <f ca="1">IFERROR(__xludf.DUMMYFUNCTION("""COMPUTED_VALUE"""),44398.3333333333)</f>
        <v>44398.333333333299</v>
      </c>
      <c r="D509" s="7">
        <f ca="1">IFERROR(__xludf.DUMMYFUNCTION("""COMPUTED_VALUE"""),10692)</f>
        <v>10692</v>
      </c>
      <c r="E509" s="7">
        <f ca="1">IFERROR(__xludf.DUMMYFUNCTION("""COMPUTED_VALUE"""),662800)</f>
        <v>662800</v>
      </c>
      <c r="F509" s="7">
        <f ca="1">IFERROR(__xludf.DUMMYFUNCTION("""COMPUTED_VALUE"""),72115)</f>
        <v>72115</v>
      </c>
      <c r="G509" s="7">
        <f ca="1">IFERROR(__xludf.DUMMYFUNCTION("""COMPUTED_VALUE"""),17822)</f>
        <v>17822</v>
      </c>
      <c r="H509" s="7">
        <f ca="1">IFERROR(__xludf.DUMMYFUNCTION("""COMPUTED_VALUE"""),763429)</f>
        <v>763429</v>
      </c>
      <c r="I509" s="7">
        <f ca="1">IFERROR(__xludf.DUMMYFUNCTION("""COMPUTED_VALUE"""),5904)</f>
        <v>5904</v>
      </c>
      <c r="J509" s="7">
        <f ca="1">IFERROR(__xludf.DUMMYFUNCTION("""COMPUTED_VALUE"""),89937)</f>
        <v>89937</v>
      </c>
      <c r="K509" s="7">
        <f ca="1">IFERROR(__xludf.DUMMYFUNCTION("""COMPUTED_VALUE"""),10558)</f>
        <v>10558</v>
      </c>
      <c r="L509" s="7">
        <f ca="1">IFERROR(__xludf.DUMMYFUNCTION("""COMPUTED_VALUE"""),27122)</f>
        <v>27122</v>
      </c>
      <c r="M509" s="7">
        <f ca="1">IFERROR(__xludf.DUMMYFUNCTION("""COMPUTED_VALUE"""),38320)</f>
        <v>38320</v>
      </c>
      <c r="N509" s="7">
        <f ca="1">IFERROR(__xludf.DUMMYFUNCTION("""COMPUTED_VALUE"""),24495)</f>
        <v>24495</v>
      </c>
    </row>
    <row r="510" spans="1:14" ht="13.2" x14ac:dyDescent="0.25">
      <c r="A510" s="6">
        <f ca="1">IFERROR(__xludf.DUMMYFUNCTION("""COMPUTED_VALUE"""),44399)</f>
        <v>44399</v>
      </c>
      <c r="B510" s="7">
        <f ca="1">IFERROR(__xludf.DUMMYFUNCTION("""COMPUTED_VALUE"""),8)</f>
        <v>8</v>
      </c>
      <c r="C510" s="8">
        <f ca="1">IFERROR(__xludf.DUMMYFUNCTION("""COMPUTED_VALUE"""),44399.3333333333)</f>
        <v>44399.333333333299</v>
      </c>
      <c r="D510" s="7">
        <f ca="1">IFERROR(__xludf.DUMMYFUNCTION("""COMPUTED_VALUE"""),10865)</f>
        <v>10865</v>
      </c>
      <c r="E510" s="7">
        <f ca="1">IFERROR(__xludf.DUMMYFUNCTION("""COMPUTED_VALUE"""),673424)</f>
        <v>673424</v>
      </c>
      <c r="F510" s="7">
        <f ca="1">IFERROR(__xludf.DUMMYFUNCTION("""COMPUTED_VALUE"""),68974)</f>
        <v>68974</v>
      </c>
      <c r="G510" s="7">
        <f ca="1">IFERROR(__xludf.DUMMYFUNCTION("""COMPUTED_VALUE"""),17224)</f>
        <v>17224</v>
      </c>
      <c r="H510" s="7">
        <f ca="1">IFERROR(__xludf.DUMMYFUNCTION("""COMPUTED_VALUE"""),770487)</f>
        <v>770487</v>
      </c>
      <c r="I510" s="7">
        <f ca="1">IFERROR(__xludf.DUMMYFUNCTION("""COMPUTED_VALUE"""),7058)</f>
        <v>7058</v>
      </c>
      <c r="J510" s="7">
        <f ca="1">IFERROR(__xludf.DUMMYFUNCTION("""COMPUTED_VALUE"""),86198)</f>
        <v>86198</v>
      </c>
      <c r="K510" s="7">
        <f ca="1">IFERROR(__xludf.DUMMYFUNCTION("""COMPUTED_VALUE"""),10624)</f>
        <v>10624</v>
      </c>
      <c r="L510" s="7">
        <f ca="1">IFERROR(__xludf.DUMMYFUNCTION("""COMPUTED_VALUE"""),22418)</f>
        <v>22418</v>
      </c>
      <c r="M510" s="7">
        <f ca="1">IFERROR(__xludf.DUMMYFUNCTION("""COMPUTED_VALUE"""),32730)</f>
        <v>32730</v>
      </c>
      <c r="N510" s="7">
        <f ca="1">IFERROR(__xludf.DUMMYFUNCTION("""COMPUTED_VALUE"""),31050)</f>
        <v>31050</v>
      </c>
    </row>
    <row r="511" spans="1:14" ht="13.2" x14ac:dyDescent="0.25">
      <c r="A511" s="6">
        <f ca="1">IFERROR(__xludf.DUMMYFUNCTION("""COMPUTED_VALUE"""),44400)</f>
        <v>44400</v>
      </c>
      <c r="B511" s="7">
        <f ca="1">IFERROR(__xludf.DUMMYFUNCTION("""COMPUTED_VALUE"""),8)</f>
        <v>8</v>
      </c>
      <c r="C511" s="8">
        <f ca="1">IFERROR(__xludf.DUMMYFUNCTION("""COMPUTED_VALUE"""),44400.3333333333)</f>
        <v>44400.333333333299</v>
      </c>
      <c r="D511" s="7">
        <f ca="1">IFERROR(__xludf.DUMMYFUNCTION("""COMPUTED_VALUE"""),11021)</f>
        <v>11021</v>
      </c>
      <c r="E511" s="7">
        <f ca="1">IFERROR(__xludf.DUMMYFUNCTION("""COMPUTED_VALUE"""),687864)</f>
        <v>687864</v>
      </c>
      <c r="F511" s="7">
        <f ca="1">IFERROR(__xludf.DUMMYFUNCTION("""COMPUTED_VALUE"""),62789)</f>
        <v>62789</v>
      </c>
      <c r="G511" s="7">
        <f ca="1">IFERROR(__xludf.DUMMYFUNCTION("""COMPUTED_VALUE"""),16846)</f>
        <v>16846</v>
      </c>
      <c r="H511" s="7">
        <f ca="1">IFERROR(__xludf.DUMMYFUNCTION("""COMPUTED_VALUE"""),778520)</f>
        <v>778520</v>
      </c>
      <c r="I511" s="7">
        <f ca="1">IFERROR(__xludf.DUMMYFUNCTION("""COMPUTED_VALUE"""),8033)</f>
        <v>8033</v>
      </c>
      <c r="J511" s="7">
        <f ca="1">IFERROR(__xludf.DUMMYFUNCTION("""COMPUTED_VALUE"""),79635)</f>
        <v>79635</v>
      </c>
      <c r="K511" s="7">
        <f ca="1">IFERROR(__xludf.DUMMYFUNCTION("""COMPUTED_VALUE"""),14440)</f>
        <v>14440</v>
      </c>
      <c r="L511" s="7">
        <f ca="1">IFERROR(__xludf.DUMMYFUNCTION("""COMPUTED_VALUE"""),18931)</f>
        <v>18931</v>
      </c>
      <c r="M511" s="7">
        <f ca="1">IFERROR(__xludf.DUMMYFUNCTION("""COMPUTED_VALUE"""),24456)</f>
        <v>24456</v>
      </c>
      <c r="N511" s="7">
        <f ca="1">IFERROR(__xludf.DUMMYFUNCTION("""COMPUTED_VALUE"""),36248)</f>
        <v>36248</v>
      </c>
    </row>
    <row r="512" spans="1:14" ht="13.2" x14ac:dyDescent="0.25">
      <c r="A512" s="6">
        <f ca="1">IFERROR(__xludf.DUMMYFUNCTION("""COMPUTED_VALUE"""),44401)</f>
        <v>44401</v>
      </c>
      <c r="B512" s="7">
        <f ca="1">IFERROR(__xludf.DUMMYFUNCTION("""COMPUTED_VALUE"""),8)</f>
        <v>8</v>
      </c>
      <c r="C512" s="8">
        <f ca="1">IFERROR(__xludf.DUMMYFUNCTION("""COMPUTED_VALUE"""),44401.3333333333)</f>
        <v>44401.333333333299</v>
      </c>
      <c r="D512" s="7">
        <f ca="1">IFERROR(__xludf.DUMMYFUNCTION("""COMPUTED_VALUE"""),11181)</f>
        <v>11181</v>
      </c>
      <c r="E512" s="7">
        <f ca="1">IFERROR(__xludf.DUMMYFUNCTION("""COMPUTED_VALUE"""),702477)</f>
        <v>702477</v>
      </c>
      <c r="F512" s="7">
        <f ca="1">IFERROR(__xludf.DUMMYFUNCTION("""COMPUTED_VALUE"""),56946)</f>
        <v>56946</v>
      </c>
      <c r="G512" s="7">
        <f ca="1">IFERROR(__xludf.DUMMYFUNCTION("""COMPUTED_VALUE"""),16276)</f>
        <v>16276</v>
      </c>
      <c r="H512" s="7">
        <f ca="1">IFERROR(__xludf.DUMMYFUNCTION("""COMPUTED_VALUE"""),786880)</f>
        <v>786880</v>
      </c>
      <c r="I512" s="7">
        <f ca="1">IFERROR(__xludf.DUMMYFUNCTION("""COMPUTED_VALUE"""),8360)</f>
        <v>8360</v>
      </c>
      <c r="J512" s="7">
        <f ca="1">IFERROR(__xludf.DUMMYFUNCTION("""COMPUTED_VALUE"""),73222)</f>
        <v>73222</v>
      </c>
      <c r="K512" s="7">
        <f ca="1">IFERROR(__xludf.DUMMYFUNCTION("""COMPUTED_VALUE"""),14613)</f>
        <v>14613</v>
      </c>
      <c r="L512" s="7">
        <f ca="1">IFERROR(__xludf.DUMMYFUNCTION("""COMPUTED_VALUE"""),16072)</f>
        <v>16072</v>
      </c>
      <c r="M512" s="7">
        <f ca="1">IFERROR(__xludf.DUMMYFUNCTION("""COMPUTED_VALUE"""),13489)</f>
        <v>13489</v>
      </c>
      <c r="N512" s="7">
        <f ca="1">IFERROR(__xludf.DUMMYFUNCTION("""COMPUTED_VALUE"""),43661)</f>
        <v>43661</v>
      </c>
    </row>
    <row r="513" spans="1:14" ht="13.2" x14ac:dyDescent="0.25">
      <c r="A513" s="6">
        <f ca="1">IFERROR(__xludf.DUMMYFUNCTION("""COMPUTED_VALUE"""),44402)</f>
        <v>44402</v>
      </c>
      <c r="B513" s="7">
        <f ca="1">IFERROR(__xludf.DUMMYFUNCTION("""COMPUTED_VALUE"""),8)</f>
        <v>8</v>
      </c>
      <c r="C513" s="8">
        <f ca="1">IFERROR(__xludf.DUMMYFUNCTION("""COMPUTED_VALUE"""),44402.3333333333)</f>
        <v>44402.333333333299</v>
      </c>
      <c r="D513" s="7">
        <f ca="1">IFERROR(__xludf.DUMMYFUNCTION("""COMPUTED_VALUE"""),11333)</f>
        <v>11333</v>
      </c>
      <c r="E513" s="7">
        <f ca="1">IFERROR(__xludf.DUMMYFUNCTION("""COMPUTED_VALUE"""),716838)</f>
        <v>716838</v>
      </c>
      <c r="F513" s="7">
        <f ca="1">IFERROR(__xludf.DUMMYFUNCTION("""COMPUTED_VALUE"""),48934)</f>
        <v>48934</v>
      </c>
      <c r="G513" s="7">
        <f ca="1">IFERROR(__xludf.DUMMYFUNCTION("""COMPUTED_VALUE"""),15168)</f>
        <v>15168</v>
      </c>
      <c r="H513" s="7">
        <f ca="1">IFERROR(__xludf.DUMMYFUNCTION("""COMPUTED_VALUE"""),792273)</f>
        <v>792273</v>
      </c>
      <c r="I513" s="7">
        <f ca="1">IFERROR(__xludf.DUMMYFUNCTION("""COMPUTED_VALUE"""),5393)</f>
        <v>5393</v>
      </c>
      <c r="J513" s="7">
        <f ca="1">IFERROR(__xludf.DUMMYFUNCTION("""COMPUTED_VALUE"""),64102)</f>
        <v>64102</v>
      </c>
      <c r="K513" s="7">
        <f ca="1">IFERROR(__xludf.DUMMYFUNCTION("""COMPUTED_VALUE"""),14361)</f>
        <v>14361</v>
      </c>
      <c r="L513" s="7">
        <f ca="1">IFERROR(__xludf.DUMMYFUNCTION("""COMPUTED_VALUE"""),18044)</f>
        <v>18044</v>
      </c>
      <c r="M513" s="7">
        <f ca="1">IFERROR(__xludf.DUMMYFUNCTION("""COMPUTED_VALUE"""),32952)</f>
        <v>32952</v>
      </c>
      <c r="N513" s="7">
        <f ca="1">IFERROR(__xludf.DUMMYFUNCTION("""COMPUTED_VALUE"""),13106)</f>
        <v>13106</v>
      </c>
    </row>
    <row r="514" spans="1:14" ht="13.2" x14ac:dyDescent="0.25">
      <c r="A514" s="6">
        <f ca="1">IFERROR(__xludf.DUMMYFUNCTION("""COMPUTED_VALUE"""),44403)</f>
        <v>44403</v>
      </c>
      <c r="B514" s="7">
        <f ca="1">IFERROR(__xludf.DUMMYFUNCTION("""COMPUTED_VALUE"""),8)</f>
        <v>8</v>
      </c>
      <c r="C514" s="8">
        <f ca="1">IFERROR(__xludf.DUMMYFUNCTION("""COMPUTED_VALUE"""),44403.3333333333)</f>
        <v>44403.333333333299</v>
      </c>
      <c r="D514" s="7">
        <f ca="1">IFERROR(__xludf.DUMMYFUNCTION("""COMPUTED_VALUE"""),11436)</f>
        <v>11436</v>
      </c>
      <c r="E514" s="7">
        <f ca="1">IFERROR(__xludf.DUMMYFUNCTION("""COMPUTED_VALUE"""),731504)</f>
        <v>731504</v>
      </c>
      <c r="F514" s="7">
        <f ca="1">IFERROR(__xludf.DUMMYFUNCTION("""COMPUTED_VALUE"""),38271)</f>
        <v>38271</v>
      </c>
      <c r="G514" s="7">
        <f ca="1">IFERROR(__xludf.DUMMYFUNCTION("""COMPUTED_VALUE"""),13724)</f>
        <v>13724</v>
      </c>
      <c r="H514" s="7">
        <f ca="1">IFERROR(__xludf.DUMMYFUNCTION("""COMPUTED_VALUE"""),794935)</f>
        <v>794935</v>
      </c>
      <c r="I514" s="7">
        <f ca="1">IFERROR(__xludf.DUMMYFUNCTION("""COMPUTED_VALUE"""),2662)</f>
        <v>2662</v>
      </c>
      <c r="J514" s="7">
        <f ca="1">IFERROR(__xludf.DUMMYFUNCTION("""COMPUTED_VALUE"""),51995)</f>
        <v>51995</v>
      </c>
      <c r="K514" s="7">
        <f ca="1">IFERROR(__xludf.DUMMYFUNCTION("""COMPUTED_VALUE"""),14666)</f>
        <v>14666</v>
      </c>
      <c r="L514" s="7">
        <f ca="1">IFERROR(__xludf.DUMMYFUNCTION("""COMPUTED_VALUE"""),10463)</f>
        <v>10463</v>
      </c>
      <c r="M514" s="7">
        <f ca="1">IFERROR(__xludf.DUMMYFUNCTION("""COMPUTED_VALUE"""),28033)</f>
        <v>28033</v>
      </c>
      <c r="N514" s="7">
        <f ca="1">IFERROR(__xludf.DUMMYFUNCTION("""COMPUTED_VALUE"""),13499)</f>
        <v>13499</v>
      </c>
    </row>
    <row r="515" spans="1:14" ht="13.2" x14ac:dyDescent="0.25">
      <c r="A515" s="6">
        <f ca="1">IFERROR(__xludf.DUMMYFUNCTION("""COMPUTED_VALUE"""),44404)</f>
        <v>44404</v>
      </c>
      <c r="B515" s="7">
        <f ca="1">IFERROR(__xludf.DUMMYFUNCTION("""COMPUTED_VALUE"""),8)</f>
        <v>8</v>
      </c>
      <c r="C515" s="8">
        <f ca="1">IFERROR(__xludf.DUMMYFUNCTION("""COMPUTED_VALUE"""),44404.3333333333)</f>
        <v>44404.333333333299</v>
      </c>
      <c r="D515" s="7">
        <f ca="1">IFERROR(__xludf.DUMMYFUNCTION("""COMPUTED_VALUE"""),11606)</f>
        <v>11606</v>
      </c>
      <c r="E515" s="7">
        <f ca="1">IFERROR(__xludf.DUMMYFUNCTION("""COMPUTED_VALUE"""),746087)</f>
        <v>746087</v>
      </c>
      <c r="F515" s="7">
        <f ca="1">IFERROR(__xludf.DUMMYFUNCTION("""COMPUTED_VALUE"""),26961)</f>
        <v>26961</v>
      </c>
      <c r="G515" s="7">
        <f ca="1">IFERROR(__xludf.DUMMYFUNCTION("""COMPUTED_VALUE"""),13848)</f>
        <v>13848</v>
      </c>
      <c r="H515" s="7">
        <f ca="1">IFERROR(__xludf.DUMMYFUNCTION("""COMPUTED_VALUE"""),798502)</f>
        <v>798502</v>
      </c>
      <c r="I515" s="7">
        <f ca="1">IFERROR(__xludf.DUMMYFUNCTION("""COMPUTED_VALUE"""),3567)</f>
        <v>3567</v>
      </c>
      <c r="J515" s="7">
        <f ca="1">IFERROR(__xludf.DUMMYFUNCTION("""COMPUTED_VALUE"""),40809)</f>
        <v>40809</v>
      </c>
      <c r="K515" s="7">
        <f ca="1">IFERROR(__xludf.DUMMYFUNCTION("""COMPUTED_VALUE"""),14583)</f>
        <v>14583</v>
      </c>
      <c r="L515" s="7">
        <f ca="1">IFERROR(__xludf.DUMMYFUNCTION("""COMPUTED_VALUE"""),8911)</f>
        <v>8911</v>
      </c>
      <c r="M515" s="7">
        <f ca="1">IFERROR(__xludf.DUMMYFUNCTION("""COMPUTED_VALUE"""),21290)</f>
        <v>21290</v>
      </c>
      <c r="N515" s="7">
        <f ca="1">IFERROR(__xludf.DUMMYFUNCTION("""COMPUTED_VALUE"""),10608)</f>
        <v>10608</v>
      </c>
    </row>
    <row r="516" spans="1:14" ht="13.2" x14ac:dyDescent="0.25">
      <c r="A516" s="6">
        <f ca="1">IFERROR(__xludf.DUMMYFUNCTION("""COMPUTED_VALUE"""),44405)</f>
        <v>44405</v>
      </c>
      <c r="B516" s="7">
        <f ca="1">IFERROR(__xludf.DUMMYFUNCTION("""COMPUTED_VALUE"""),8)</f>
        <v>8</v>
      </c>
      <c r="C516" s="8">
        <f ca="1">IFERROR(__xludf.DUMMYFUNCTION("""COMPUTED_VALUE"""),44405.3333333333)</f>
        <v>44405.333333333299</v>
      </c>
      <c r="D516" s="7">
        <f ca="1">IFERROR(__xludf.DUMMYFUNCTION("""COMPUTED_VALUE"""),11688)</f>
        <v>11688</v>
      </c>
      <c r="E516" s="7">
        <f ca="1">IFERROR(__xludf.DUMMYFUNCTION("""COMPUTED_VALUE"""),757122)</f>
        <v>757122</v>
      </c>
      <c r="F516" s="7">
        <f ca="1">IFERROR(__xludf.DUMMYFUNCTION("""COMPUTED_VALUE"""),22332)</f>
        <v>22332</v>
      </c>
      <c r="G516" s="7">
        <f ca="1">IFERROR(__xludf.DUMMYFUNCTION("""COMPUTED_VALUE"""),12885)</f>
        <v>12885</v>
      </c>
      <c r="H516" s="7">
        <f ca="1">IFERROR(__xludf.DUMMYFUNCTION("""COMPUTED_VALUE"""),804027)</f>
        <v>804027</v>
      </c>
      <c r="I516" s="7">
        <f ca="1">IFERROR(__xludf.DUMMYFUNCTION("""COMPUTED_VALUE"""),5525)</f>
        <v>5525</v>
      </c>
      <c r="J516" s="7">
        <f ca="1">IFERROR(__xludf.DUMMYFUNCTION("""COMPUTED_VALUE"""),35217)</f>
        <v>35217</v>
      </c>
      <c r="K516" s="7">
        <f ca="1">IFERROR(__xludf.DUMMYFUNCTION("""COMPUTED_VALUE"""),11035)</f>
        <v>11035</v>
      </c>
      <c r="L516" s="7">
        <f ca="1">IFERROR(__xludf.DUMMYFUNCTION("""COMPUTED_VALUE"""),5114)</f>
        <v>5114</v>
      </c>
      <c r="M516" s="7">
        <f ca="1">IFERROR(__xludf.DUMMYFUNCTION("""COMPUTED_VALUE"""),14320)</f>
        <v>14320</v>
      </c>
      <c r="N516" s="7">
        <f ca="1">IFERROR(__xludf.DUMMYFUNCTION("""COMPUTED_VALUE"""),15783)</f>
        <v>15783</v>
      </c>
    </row>
    <row r="517" spans="1:14" ht="13.2" x14ac:dyDescent="0.25">
      <c r="A517" s="6">
        <f ca="1">IFERROR(__xludf.DUMMYFUNCTION("""COMPUTED_VALUE"""),44406)</f>
        <v>44406</v>
      </c>
      <c r="B517" s="7">
        <f ca="1">IFERROR(__xludf.DUMMYFUNCTION("""COMPUTED_VALUE"""),8)</f>
        <v>8</v>
      </c>
      <c r="C517" s="8">
        <f ca="1">IFERROR(__xludf.DUMMYFUNCTION("""COMPUTED_VALUE"""),44406.3333333333)</f>
        <v>44406.333333333299</v>
      </c>
      <c r="D517" s="7">
        <f ca="1">IFERROR(__xludf.DUMMYFUNCTION("""COMPUTED_VALUE"""),11844)</f>
        <v>11844</v>
      </c>
      <c r="E517" s="7">
        <f ca="1">IFERROR(__xludf.DUMMYFUNCTION("""COMPUTED_VALUE"""),768562)</f>
        <v>768562</v>
      </c>
      <c r="F517" s="7">
        <f ca="1">IFERROR(__xludf.DUMMYFUNCTION("""COMPUTED_VALUE"""),16676)</f>
        <v>16676</v>
      </c>
      <c r="G517" s="7">
        <f ca="1">IFERROR(__xludf.DUMMYFUNCTION("""COMPUTED_VALUE"""),10790)</f>
        <v>10790</v>
      </c>
      <c r="H517" s="7">
        <f ca="1">IFERROR(__xludf.DUMMYFUNCTION("""COMPUTED_VALUE"""),807872)</f>
        <v>807872</v>
      </c>
      <c r="I517" s="7">
        <f ca="1">IFERROR(__xludf.DUMMYFUNCTION("""COMPUTED_VALUE"""),3845)</f>
        <v>3845</v>
      </c>
      <c r="J517" s="7">
        <f ca="1">IFERROR(__xludf.DUMMYFUNCTION("""COMPUTED_VALUE"""),27466)</f>
        <v>27466</v>
      </c>
      <c r="K517" s="7">
        <f ca="1">IFERROR(__xludf.DUMMYFUNCTION("""COMPUTED_VALUE"""),11440)</f>
        <v>11440</v>
      </c>
      <c r="L517" s="7">
        <f ca="1">IFERROR(__xludf.DUMMYFUNCTION("""COMPUTED_VALUE"""),1630)</f>
        <v>1630</v>
      </c>
      <c r="M517" s="7">
        <f ca="1">IFERROR(__xludf.DUMMYFUNCTION("""COMPUTED_VALUE"""),7060)</f>
        <v>7060</v>
      </c>
      <c r="N517" s="7">
        <f ca="1">IFERROR(__xludf.DUMMYFUNCTION("""COMPUTED_VALUE"""),18776)</f>
        <v>18776</v>
      </c>
    </row>
    <row r="518" spans="1:14" ht="13.2" x14ac:dyDescent="0.25">
      <c r="A518" s="6">
        <f ca="1">IFERROR(__xludf.DUMMYFUNCTION("""COMPUTED_VALUE"""),44407)</f>
        <v>44407</v>
      </c>
      <c r="B518" s="7">
        <f ca="1">IFERROR(__xludf.DUMMYFUNCTION("""COMPUTED_VALUE"""),8)</f>
        <v>8</v>
      </c>
      <c r="C518" s="8">
        <f ca="1">IFERROR(__xludf.DUMMYFUNCTION("""COMPUTED_VALUE"""),44407.3333333333)</f>
        <v>44407.333333333299</v>
      </c>
      <c r="D518" s="7">
        <f ca="1">IFERROR(__xludf.DUMMYFUNCTION("""COMPUTED_VALUE"""),11952)</f>
        <v>11952</v>
      </c>
      <c r="E518" s="7">
        <f ca="1">IFERROR(__xludf.DUMMYFUNCTION("""COMPUTED_VALUE"""),779720)</f>
        <v>779720</v>
      </c>
      <c r="F518" s="7">
        <f ca="1">IFERROR(__xludf.DUMMYFUNCTION("""COMPUTED_VALUE"""),11264)</f>
        <v>11264</v>
      </c>
      <c r="G518" s="7">
        <f ca="1">IFERROR(__xludf.DUMMYFUNCTION("""COMPUTED_VALUE"""),8390)</f>
        <v>8390</v>
      </c>
      <c r="H518" s="7">
        <f ca="1">IFERROR(__xludf.DUMMYFUNCTION("""COMPUTED_VALUE"""),811326)</f>
        <v>811326</v>
      </c>
      <c r="I518" s="7">
        <f ca="1">IFERROR(__xludf.DUMMYFUNCTION("""COMPUTED_VALUE"""),3454)</f>
        <v>3454</v>
      </c>
      <c r="J518" s="7">
        <f ca="1">IFERROR(__xludf.DUMMYFUNCTION("""COMPUTED_VALUE"""),19654)</f>
        <v>19654</v>
      </c>
      <c r="K518" s="7">
        <f ca="1">IFERROR(__xludf.DUMMYFUNCTION("""COMPUTED_VALUE"""),11158)</f>
        <v>11158</v>
      </c>
      <c r="L518" s="7">
        <f ca="1">IFERROR(__xludf.DUMMYFUNCTION("""COMPUTED_VALUE"""),2798)</f>
        <v>2798</v>
      </c>
      <c r="M518" s="7">
        <f ca="1">IFERROR(__xludf.DUMMYFUNCTION("""COMPUTED_VALUE"""),11212)</f>
        <v>11212</v>
      </c>
      <c r="N518" s="7">
        <f ca="1">IFERROR(__xludf.DUMMYFUNCTION("""COMPUTED_VALUE"""),5644)</f>
        <v>5644</v>
      </c>
    </row>
    <row r="519" spans="1:14" ht="13.2" x14ac:dyDescent="0.25">
      <c r="A519" s="6">
        <f ca="1">IFERROR(__xludf.DUMMYFUNCTION("""COMPUTED_VALUE"""),44408)</f>
        <v>44408</v>
      </c>
      <c r="B519" s="7">
        <f ca="1">IFERROR(__xludf.DUMMYFUNCTION("""COMPUTED_VALUE"""),8)</f>
        <v>8</v>
      </c>
      <c r="C519" s="8">
        <f ca="1">IFERROR(__xludf.DUMMYFUNCTION("""COMPUTED_VALUE"""),44408.3333333333)</f>
        <v>44408.333333333299</v>
      </c>
      <c r="D519" s="7">
        <f ca="1">IFERROR(__xludf.DUMMYFUNCTION("""COMPUTED_VALUE"""),12135)</f>
        <v>12135</v>
      </c>
      <c r="E519" s="7">
        <f ca="1">IFERROR(__xludf.DUMMYFUNCTION("""COMPUTED_VALUE"""),784668)</f>
        <v>784668</v>
      </c>
      <c r="F519" s="7">
        <f ca="1">IFERROR(__xludf.DUMMYFUNCTION("""COMPUTED_VALUE"""),10134)</f>
        <v>10134</v>
      </c>
      <c r="G519" s="7">
        <f ca="1">IFERROR(__xludf.DUMMYFUNCTION("""COMPUTED_VALUE"""),7716)</f>
        <v>7716</v>
      </c>
      <c r="H519" s="7">
        <f ca="1">IFERROR(__xludf.DUMMYFUNCTION("""COMPUTED_VALUE"""),814653)</f>
        <v>814653</v>
      </c>
      <c r="I519" s="7">
        <f ca="1">IFERROR(__xludf.DUMMYFUNCTION("""COMPUTED_VALUE"""),3327)</f>
        <v>3327</v>
      </c>
      <c r="J519" s="7">
        <f ca="1">IFERROR(__xludf.DUMMYFUNCTION("""COMPUTED_VALUE"""),17850)</f>
        <v>17850</v>
      </c>
      <c r="K519" s="7">
        <f ca="1">IFERROR(__xludf.DUMMYFUNCTION("""COMPUTED_VALUE"""),4948)</f>
        <v>4948</v>
      </c>
      <c r="L519" s="7">
        <f ca="1">IFERROR(__xludf.DUMMYFUNCTION("""COMPUTED_VALUE"""),1784)</f>
        <v>1784</v>
      </c>
      <c r="M519" s="7">
        <f ca="1">IFERROR(__xludf.DUMMYFUNCTION("""COMPUTED_VALUE"""),7157)</f>
        <v>7157</v>
      </c>
      <c r="N519" s="7">
        <f ca="1">IFERROR(__xludf.DUMMYFUNCTION("""COMPUTED_VALUE"""),8909)</f>
        <v>8909</v>
      </c>
    </row>
    <row r="520" spans="1:14" ht="13.2" x14ac:dyDescent="0.25">
      <c r="A520" s="6">
        <f ca="1">IFERROR(__xludf.DUMMYFUNCTION("""COMPUTED_VALUE"""),44409)</f>
        <v>44409</v>
      </c>
      <c r="B520" s="7">
        <f ca="1">IFERROR(__xludf.DUMMYFUNCTION("""COMPUTED_VALUE"""),8)</f>
        <v>8</v>
      </c>
      <c r="C520" s="8">
        <f ca="1">IFERROR(__xludf.DUMMYFUNCTION("""COMPUTED_VALUE"""),44409.3333333333)</f>
        <v>44409.333333333299</v>
      </c>
      <c r="D520" s="7">
        <f ca="1">IFERROR(__xludf.DUMMYFUNCTION("""COMPUTED_VALUE"""),12209)</f>
        <v>12209</v>
      </c>
      <c r="E520" s="7">
        <f ca="1">IFERROR(__xludf.DUMMYFUNCTION("""COMPUTED_VALUE"""),789261)</f>
        <v>789261</v>
      </c>
      <c r="F520" s="7">
        <f ca="1">IFERROR(__xludf.DUMMYFUNCTION("""COMPUTED_VALUE"""),9399)</f>
        <v>9399</v>
      </c>
      <c r="G520" s="7">
        <f ca="1">IFERROR(__xludf.DUMMYFUNCTION("""COMPUTED_VALUE"""),6485)</f>
        <v>6485</v>
      </c>
      <c r="H520" s="7">
        <f ca="1">IFERROR(__xludf.DUMMYFUNCTION("""COMPUTED_VALUE"""),817354)</f>
        <v>817354</v>
      </c>
      <c r="I520" s="7">
        <f ca="1">IFERROR(__xludf.DUMMYFUNCTION("""COMPUTED_VALUE"""),2701)</f>
        <v>2701</v>
      </c>
      <c r="J520" s="7">
        <f ca="1">IFERROR(__xludf.DUMMYFUNCTION("""COMPUTED_VALUE"""),15884)</f>
        <v>15884</v>
      </c>
      <c r="K520" s="7">
        <f ca="1">IFERROR(__xludf.DUMMYFUNCTION("""COMPUTED_VALUE"""),4593)</f>
        <v>4593</v>
      </c>
      <c r="L520" s="7">
        <f ca="1">IFERROR(__xludf.DUMMYFUNCTION("""COMPUTED_VALUE"""),115)</f>
        <v>115</v>
      </c>
      <c r="M520" s="7">
        <f ca="1">IFERROR(__xludf.DUMMYFUNCTION("""COMPUTED_VALUE"""),4275)</f>
        <v>4275</v>
      </c>
      <c r="N520" s="7">
        <f ca="1">IFERROR(__xludf.DUMMYFUNCTION("""COMPUTED_VALUE"""),11494)</f>
        <v>11494</v>
      </c>
    </row>
    <row r="521" spans="1:14" ht="13.2" x14ac:dyDescent="0.25">
      <c r="A521" s="6">
        <f ca="1">IFERROR(__xludf.DUMMYFUNCTION("""COMPUTED_VALUE"""),44410)</f>
        <v>44410</v>
      </c>
      <c r="B521" s="7">
        <f ca="1">IFERROR(__xludf.DUMMYFUNCTION("""COMPUTED_VALUE"""),8)</f>
        <v>8</v>
      </c>
      <c r="C521" s="8">
        <f ca="1">IFERROR(__xludf.DUMMYFUNCTION("""COMPUTED_VALUE"""),44410.3333333333)</f>
        <v>44410.333333333299</v>
      </c>
      <c r="D521" s="7">
        <f ca="1">IFERROR(__xludf.DUMMYFUNCTION("""COMPUTED_VALUE"""),12363)</f>
        <v>12363</v>
      </c>
      <c r="E521" s="7">
        <f ca="1">IFERROR(__xludf.DUMMYFUNCTION("""COMPUTED_VALUE"""),791422)</f>
        <v>791422</v>
      </c>
      <c r="F521" s="7">
        <f ca="1">IFERROR(__xludf.DUMMYFUNCTION("""COMPUTED_VALUE"""),9202)</f>
        <v>9202</v>
      </c>
      <c r="G521" s="7">
        <f ca="1">IFERROR(__xludf.DUMMYFUNCTION("""COMPUTED_VALUE"""),5777)</f>
        <v>5777</v>
      </c>
      <c r="H521" s="7">
        <f ca="1">IFERROR(__xludf.DUMMYFUNCTION("""COMPUTED_VALUE"""),818764)</f>
        <v>818764</v>
      </c>
      <c r="I521" s="7">
        <f ca="1">IFERROR(__xludf.DUMMYFUNCTION("""COMPUTED_VALUE"""),1410)</f>
        <v>1410</v>
      </c>
      <c r="J521" s="7">
        <f ca="1">IFERROR(__xludf.DUMMYFUNCTION("""COMPUTED_VALUE"""),14979)</f>
        <v>14979</v>
      </c>
      <c r="K521" s="7">
        <f ca="1">IFERROR(__xludf.DUMMYFUNCTION("""COMPUTED_VALUE"""),2161)</f>
        <v>2161</v>
      </c>
      <c r="L521" s="7">
        <f ca="1">IFERROR(__xludf.DUMMYFUNCTION("""COMPUTED_VALUE"""),27)</f>
        <v>27</v>
      </c>
      <c r="M521" s="7">
        <f ca="1">IFERROR(__xludf.DUMMYFUNCTION("""COMPUTED_VALUE"""),2468)</f>
        <v>2468</v>
      </c>
      <c r="N521" s="7">
        <f ca="1">IFERROR(__xludf.DUMMYFUNCTION("""COMPUTED_VALUE"""),12484)</f>
        <v>12484</v>
      </c>
    </row>
    <row r="522" spans="1:14" ht="13.2" x14ac:dyDescent="0.25">
      <c r="A522" s="6">
        <f ca="1">IFERROR(__xludf.DUMMYFUNCTION("""COMPUTED_VALUE"""),44411)</f>
        <v>44411</v>
      </c>
      <c r="B522" s="7">
        <f ca="1">IFERROR(__xludf.DUMMYFUNCTION("""COMPUTED_VALUE"""),8)</f>
        <v>8</v>
      </c>
      <c r="C522" s="8">
        <f ca="1">IFERROR(__xludf.DUMMYFUNCTION("""COMPUTED_VALUE"""),44411.3333333333)</f>
        <v>44411.333333333299</v>
      </c>
      <c r="D522" s="7">
        <f ca="1">IFERROR(__xludf.DUMMYFUNCTION("""COMPUTED_VALUE"""),12433)</f>
        <v>12433</v>
      </c>
      <c r="E522" s="7">
        <f ca="1">IFERROR(__xludf.DUMMYFUNCTION("""COMPUTED_VALUE"""),793928)</f>
        <v>793928</v>
      </c>
      <c r="F522" s="7">
        <f ca="1">IFERROR(__xludf.DUMMYFUNCTION("""COMPUTED_VALUE"""),8705)</f>
        <v>8705</v>
      </c>
      <c r="G522" s="7">
        <f ca="1">IFERROR(__xludf.DUMMYFUNCTION("""COMPUTED_VALUE"""),5299)</f>
        <v>5299</v>
      </c>
      <c r="H522" s="7">
        <f ca="1">IFERROR(__xludf.DUMMYFUNCTION("""COMPUTED_VALUE"""),820365)</f>
        <v>820365</v>
      </c>
      <c r="I522" s="7">
        <f ca="1">IFERROR(__xludf.DUMMYFUNCTION("""COMPUTED_VALUE"""),1601)</f>
        <v>1601</v>
      </c>
      <c r="J522" s="7">
        <f ca="1">IFERROR(__xludf.DUMMYFUNCTION("""COMPUTED_VALUE"""),14004)</f>
        <v>14004</v>
      </c>
      <c r="K522" s="7">
        <f ca="1">IFERROR(__xludf.DUMMYFUNCTION("""COMPUTED_VALUE"""),2506)</f>
        <v>2506</v>
      </c>
      <c r="L522" s="7">
        <f ca="1">IFERROR(__xludf.DUMMYFUNCTION("""COMPUTED_VALUE"""),27)</f>
        <v>27</v>
      </c>
      <c r="M522" s="7">
        <f ca="1">IFERROR(__xludf.DUMMYFUNCTION("""COMPUTED_VALUE"""),1389)</f>
        <v>1389</v>
      </c>
      <c r="N522" s="7">
        <f ca="1">IFERROR(__xludf.DUMMYFUNCTION("""COMPUTED_VALUE"""),12588)</f>
        <v>12588</v>
      </c>
    </row>
    <row r="523" spans="1:14" ht="13.2" x14ac:dyDescent="0.25">
      <c r="A523" s="6">
        <f ca="1">IFERROR(__xludf.DUMMYFUNCTION("""COMPUTED_VALUE"""),44412)</f>
        <v>44412</v>
      </c>
      <c r="B523" s="7">
        <f ca="1">IFERROR(__xludf.DUMMYFUNCTION("""COMPUTED_VALUE"""),8)</f>
        <v>8</v>
      </c>
      <c r="C523" s="8">
        <f ca="1">IFERROR(__xludf.DUMMYFUNCTION("""COMPUTED_VALUE"""),44412.3333333333)</f>
        <v>44412.333333333299</v>
      </c>
      <c r="D523" s="7">
        <f ca="1">IFERROR(__xludf.DUMMYFUNCTION("""COMPUTED_VALUE"""),12514)</f>
        <v>12514</v>
      </c>
      <c r="E523" s="7">
        <f ca="1">IFERROR(__xludf.DUMMYFUNCTION("""COMPUTED_VALUE"""),796381)</f>
        <v>796381</v>
      </c>
      <c r="F523" s="7">
        <f ca="1">IFERROR(__xludf.DUMMYFUNCTION("""COMPUTED_VALUE"""),9535)</f>
        <v>9535</v>
      </c>
      <c r="G523" s="7">
        <f ca="1">IFERROR(__xludf.DUMMYFUNCTION("""COMPUTED_VALUE"""),4916)</f>
        <v>4916</v>
      </c>
      <c r="H523" s="7">
        <f ca="1">IFERROR(__xludf.DUMMYFUNCTION("""COMPUTED_VALUE"""),823346)</f>
        <v>823346</v>
      </c>
      <c r="I523" s="7">
        <f ca="1">IFERROR(__xludf.DUMMYFUNCTION("""COMPUTED_VALUE"""),2981)</f>
        <v>2981</v>
      </c>
      <c r="J523" s="7">
        <f ca="1">IFERROR(__xludf.DUMMYFUNCTION("""COMPUTED_VALUE"""),14451)</f>
        <v>14451</v>
      </c>
      <c r="K523" s="7">
        <f ca="1">IFERROR(__xludf.DUMMYFUNCTION("""COMPUTED_VALUE"""),2453)</f>
        <v>2453</v>
      </c>
      <c r="L523" s="7">
        <f ca="1">IFERROR(__xludf.DUMMYFUNCTION("""COMPUTED_VALUE"""),27)</f>
        <v>27</v>
      </c>
      <c r="M523" s="7">
        <f ca="1">IFERROR(__xludf.DUMMYFUNCTION("""COMPUTED_VALUE"""),308)</f>
        <v>308</v>
      </c>
      <c r="N523" s="7">
        <f ca="1">IFERROR(__xludf.DUMMYFUNCTION("""COMPUTED_VALUE"""),14116)</f>
        <v>14116</v>
      </c>
    </row>
    <row r="524" spans="1:14" ht="13.2" x14ac:dyDescent="0.25">
      <c r="A524" s="6">
        <f ca="1">IFERROR(__xludf.DUMMYFUNCTION("""COMPUTED_VALUE"""),44413)</f>
        <v>44413</v>
      </c>
      <c r="B524" s="7">
        <f ca="1">IFERROR(__xludf.DUMMYFUNCTION("""COMPUTED_VALUE"""),8)</f>
        <v>8</v>
      </c>
      <c r="C524" s="8">
        <f ca="1">IFERROR(__xludf.DUMMYFUNCTION("""COMPUTED_VALUE"""),44413.3333333333)</f>
        <v>44413.333333333299</v>
      </c>
      <c r="D524" s="7">
        <f ca="1">IFERROR(__xludf.DUMMYFUNCTION("""COMPUTED_VALUE"""),12629)</f>
        <v>12629</v>
      </c>
      <c r="E524" s="7">
        <f ca="1">IFERROR(__xludf.DUMMYFUNCTION("""COMPUTED_VALUE"""),799151)</f>
        <v>799151</v>
      </c>
      <c r="F524" s="7">
        <f ca="1">IFERROR(__xludf.DUMMYFUNCTION("""COMPUTED_VALUE"""),9458)</f>
        <v>9458</v>
      </c>
      <c r="G524" s="7">
        <f ca="1">IFERROR(__xludf.DUMMYFUNCTION("""COMPUTED_VALUE"""),4419)</f>
        <v>4419</v>
      </c>
      <c r="H524" s="7">
        <f ca="1">IFERROR(__xludf.DUMMYFUNCTION("""COMPUTED_VALUE"""),825657)</f>
        <v>825657</v>
      </c>
      <c r="I524" s="7">
        <f ca="1">IFERROR(__xludf.DUMMYFUNCTION("""COMPUTED_VALUE"""),2311)</f>
        <v>2311</v>
      </c>
      <c r="J524" s="7">
        <f ca="1">IFERROR(__xludf.DUMMYFUNCTION("""COMPUTED_VALUE"""),13877)</f>
        <v>13877</v>
      </c>
      <c r="K524" s="7">
        <f ca="1">IFERROR(__xludf.DUMMYFUNCTION("""COMPUTED_VALUE"""),2770)</f>
        <v>2770</v>
      </c>
      <c r="L524" s="7">
        <f ca="1">IFERROR(__xludf.DUMMYFUNCTION("""COMPUTED_VALUE"""),0)</f>
        <v>0</v>
      </c>
      <c r="M524" s="7">
        <f ca="1">IFERROR(__xludf.DUMMYFUNCTION("""COMPUTED_VALUE"""),0)</f>
        <v>0</v>
      </c>
      <c r="N524" s="7">
        <f ca="1">IFERROR(__xludf.DUMMYFUNCTION("""COMPUTED_VALUE"""),13877)</f>
        <v>13877</v>
      </c>
    </row>
    <row r="525" spans="1:14" ht="13.2" x14ac:dyDescent="0.25">
      <c r="A525" s="6">
        <f ca="1">IFERROR(__xludf.DUMMYFUNCTION("""COMPUTED_VALUE"""),44414)</f>
        <v>44414</v>
      </c>
      <c r="B525" s="7">
        <f ca="1">IFERROR(__xludf.DUMMYFUNCTION("""COMPUTED_VALUE"""),8)</f>
        <v>8</v>
      </c>
      <c r="C525" s="8">
        <f ca="1">IFERROR(__xludf.DUMMYFUNCTION("""COMPUTED_VALUE"""),44414.3333333333)</f>
        <v>44414.333333333299</v>
      </c>
      <c r="D525" s="7">
        <f ca="1">IFERROR(__xludf.DUMMYFUNCTION("""COMPUTED_VALUE"""),12682)</f>
        <v>12682</v>
      </c>
      <c r="E525" s="7">
        <f ca="1">IFERROR(__xludf.DUMMYFUNCTION("""COMPUTED_VALUE"""),802373)</f>
        <v>802373</v>
      </c>
      <c r="F525" s="7">
        <f ca="1">IFERROR(__xludf.DUMMYFUNCTION("""COMPUTED_VALUE"""),8813)</f>
        <v>8813</v>
      </c>
      <c r="G525" s="7">
        <f ca="1">IFERROR(__xludf.DUMMYFUNCTION("""COMPUTED_VALUE"""),3974)</f>
        <v>3974</v>
      </c>
      <c r="H525" s="7">
        <f ca="1">IFERROR(__xludf.DUMMYFUNCTION("""COMPUTED_VALUE"""),827842)</f>
        <v>827842</v>
      </c>
      <c r="I525" s="7">
        <f ca="1">IFERROR(__xludf.DUMMYFUNCTION("""COMPUTED_VALUE"""),2185)</f>
        <v>2185</v>
      </c>
      <c r="J525" s="7">
        <f ca="1">IFERROR(__xludf.DUMMYFUNCTION("""COMPUTED_VALUE"""),12787)</f>
        <v>12787</v>
      </c>
      <c r="K525" s="7">
        <f ca="1">IFERROR(__xludf.DUMMYFUNCTION("""COMPUTED_VALUE"""),3222)</f>
        <v>3222</v>
      </c>
      <c r="L525" s="7">
        <f ca="1">IFERROR(__xludf.DUMMYFUNCTION("""COMPUTED_VALUE"""),0)</f>
        <v>0</v>
      </c>
      <c r="M525" s="7">
        <f ca="1">IFERROR(__xludf.DUMMYFUNCTION("""COMPUTED_VALUE"""),0)</f>
        <v>0</v>
      </c>
      <c r="N525" s="7">
        <f ca="1">IFERROR(__xludf.DUMMYFUNCTION("""COMPUTED_VALUE"""),12787)</f>
        <v>12787</v>
      </c>
    </row>
    <row r="526" spans="1:14" ht="13.2" x14ac:dyDescent="0.25">
      <c r="A526" s="6">
        <f ca="1">IFERROR(__xludf.DUMMYFUNCTION("""COMPUTED_VALUE"""),44415)</f>
        <v>44415</v>
      </c>
      <c r="B526" s="7">
        <f ca="1">IFERROR(__xludf.DUMMYFUNCTION("""COMPUTED_VALUE"""),8)</f>
        <v>8</v>
      </c>
      <c r="C526" s="8">
        <f ca="1">IFERROR(__xludf.DUMMYFUNCTION("""COMPUTED_VALUE"""),44415.3333333333)</f>
        <v>44415.333333333299</v>
      </c>
      <c r="D526" s="7">
        <f ca="1">IFERROR(__xludf.DUMMYFUNCTION("""COMPUTED_VALUE"""),12750)</f>
        <v>12750</v>
      </c>
      <c r="E526" s="7">
        <f ca="1">IFERROR(__xludf.DUMMYFUNCTION("""COMPUTED_VALUE"""),806924)</f>
        <v>806924</v>
      </c>
      <c r="F526" s="7">
        <f ca="1">IFERROR(__xludf.DUMMYFUNCTION("""COMPUTED_VALUE"""),6957)</f>
        <v>6957</v>
      </c>
      <c r="G526" s="7">
        <f ca="1">IFERROR(__xludf.DUMMYFUNCTION("""COMPUTED_VALUE"""),3219)</f>
        <v>3219</v>
      </c>
      <c r="H526" s="7">
        <f ca="1">IFERROR(__xludf.DUMMYFUNCTION("""COMPUTED_VALUE"""),829850)</f>
        <v>829850</v>
      </c>
      <c r="I526" s="7">
        <f ca="1">IFERROR(__xludf.DUMMYFUNCTION("""COMPUTED_VALUE"""),2008)</f>
        <v>2008</v>
      </c>
      <c r="J526" s="7">
        <f ca="1">IFERROR(__xludf.DUMMYFUNCTION("""COMPUTED_VALUE"""),10176)</f>
        <v>10176</v>
      </c>
      <c r="K526" s="7">
        <f ca="1">IFERROR(__xludf.DUMMYFUNCTION("""COMPUTED_VALUE"""),4551)</f>
        <v>4551</v>
      </c>
      <c r="L526" s="7">
        <f ca="1">IFERROR(__xludf.DUMMYFUNCTION("""COMPUTED_VALUE"""),0)</f>
        <v>0</v>
      </c>
      <c r="M526" s="7">
        <f ca="1">IFERROR(__xludf.DUMMYFUNCTION("""COMPUTED_VALUE"""),0)</f>
        <v>0</v>
      </c>
      <c r="N526" s="7">
        <f ca="1">IFERROR(__xludf.DUMMYFUNCTION("""COMPUTED_VALUE"""),10176)</f>
        <v>10176</v>
      </c>
    </row>
    <row r="527" spans="1:14" ht="13.2" x14ac:dyDescent="0.25">
      <c r="A527" s="6">
        <f ca="1">IFERROR(__xludf.DUMMYFUNCTION("""COMPUTED_VALUE"""),44416)</f>
        <v>44416</v>
      </c>
      <c r="B527" s="7">
        <f ca="1">IFERROR(__xludf.DUMMYFUNCTION("""COMPUTED_VALUE"""),8)</f>
        <v>8</v>
      </c>
      <c r="C527" s="8">
        <f ca="1">IFERROR(__xludf.DUMMYFUNCTION("""COMPUTED_VALUE"""),44416.3333333333)</f>
        <v>44416.333333333299</v>
      </c>
      <c r="D527" s="7">
        <f ca="1">IFERROR(__xludf.DUMMYFUNCTION("""COMPUTED_VALUE"""),12770)</f>
        <v>12770</v>
      </c>
      <c r="E527" s="7">
        <f ca="1">IFERROR(__xludf.DUMMYFUNCTION("""COMPUTED_VALUE"""),808087)</f>
        <v>808087</v>
      </c>
      <c r="F527" s="7">
        <f ca="1">IFERROR(__xludf.DUMMYFUNCTION("""COMPUTED_VALUE"""),7567)</f>
        <v>7567</v>
      </c>
      <c r="G527" s="7">
        <f ca="1">IFERROR(__xludf.DUMMYFUNCTION("""COMPUTED_VALUE"""),3075)</f>
        <v>3075</v>
      </c>
      <c r="H527" s="7">
        <f ca="1">IFERROR(__xludf.DUMMYFUNCTION("""COMPUTED_VALUE"""),831499)</f>
        <v>831499</v>
      </c>
      <c r="I527" s="7">
        <f ca="1">IFERROR(__xludf.DUMMYFUNCTION("""COMPUTED_VALUE"""),1649)</f>
        <v>1649</v>
      </c>
      <c r="J527" s="7">
        <f ca="1">IFERROR(__xludf.DUMMYFUNCTION("""COMPUTED_VALUE"""),10642)</f>
        <v>10642</v>
      </c>
      <c r="K527" s="7">
        <f ca="1">IFERROR(__xludf.DUMMYFUNCTION("""COMPUTED_VALUE"""),1163)</f>
        <v>1163</v>
      </c>
      <c r="L527" s="7">
        <f ca="1">IFERROR(__xludf.DUMMYFUNCTION("""COMPUTED_VALUE"""),0)</f>
        <v>0</v>
      </c>
      <c r="M527" s="7">
        <f ca="1">IFERROR(__xludf.DUMMYFUNCTION("""COMPUTED_VALUE"""),0)</f>
        <v>0</v>
      </c>
      <c r="N527" s="7">
        <f ca="1">IFERROR(__xludf.DUMMYFUNCTION("""COMPUTED_VALUE"""),10642)</f>
        <v>10642</v>
      </c>
    </row>
    <row r="528" spans="1:14" ht="13.2" x14ac:dyDescent="0.25">
      <c r="A528" s="6">
        <f ca="1">IFERROR(__xludf.DUMMYFUNCTION("""COMPUTED_VALUE"""),44417)</f>
        <v>44417</v>
      </c>
      <c r="B528" s="7">
        <f ca="1">IFERROR(__xludf.DUMMYFUNCTION("""COMPUTED_VALUE"""),8)</f>
        <v>8</v>
      </c>
      <c r="C528" s="8">
        <f ca="1">IFERROR(__xludf.DUMMYFUNCTION("""COMPUTED_VALUE"""),44417.3333333333)</f>
        <v>44417.333333333299</v>
      </c>
      <c r="D528" s="7">
        <f ca="1">IFERROR(__xludf.DUMMYFUNCTION("""COMPUTED_VALUE"""),12783)</f>
        <v>12783</v>
      </c>
      <c r="E528" s="7">
        <f ca="1">IFERROR(__xludf.DUMMYFUNCTION("""COMPUTED_VALUE"""),809087)</f>
        <v>809087</v>
      </c>
      <c r="F528" s="7">
        <f ca="1">IFERROR(__xludf.DUMMYFUNCTION("""COMPUTED_VALUE"""),7430)</f>
        <v>7430</v>
      </c>
      <c r="G528" s="7">
        <f ca="1">IFERROR(__xludf.DUMMYFUNCTION("""COMPUTED_VALUE"""),2926)</f>
        <v>2926</v>
      </c>
      <c r="H528" s="7">
        <f ca="1">IFERROR(__xludf.DUMMYFUNCTION("""COMPUTED_VALUE"""),832226)</f>
        <v>832226</v>
      </c>
      <c r="I528" s="7">
        <f ca="1">IFERROR(__xludf.DUMMYFUNCTION("""COMPUTED_VALUE"""),727)</f>
        <v>727</v>
      </c>
      <c r="J528" s="7">
        <f ca="1">IFERROR(__xludf.DUMMYFUNCTION("""COMPUTED_VALUE"""),10356)</f>
        <v>10356</v>
      </c>
      <c r="K528" s="7">
        <f ca="1">IFERROR(__xludf.DUMMYFUNCTION("""COMPUTED_VALUE"""),1000)</f>
        <v>1000</v>
      </c>
      <c r="L528" s="7">
        <f ca="1">IFERROR(__xludf.DUMMYFUNCTION("""COMPUTED_VALUE"""),0)</f>
        <v>0</v>
      </c>
      <c r="M528" s="7">
        <f ca="1">IFERROR(__xludf.DUMMYFUNCTION("""COMPUTED_VALUE"""),0)</f>
        <v>0</v>
      </c>
      <c r="N528" s="7">
        <f ca="1">IFERROR(__xludf.DUMMYFUNCTION("""COMPUTED_VALUE"""),10356)</f>
        <v>10356</v>
      </c>
    </row>
    <row r="529" spans="1:14" ht="13.2" x14ac:dyDescent="0.25">
      <c r="A529" s="6">
        <f ca="1">IFERROR(__xludf.DUMMYFUNCTION("""COMPUTED_VALUE"""),44418)</f>
        <v>44418</v>
      </c>
      <c r="B529" s="7">
        <f ca="1">IFERROR(__xludf.DUMMYFUNCTION("""COMPUTED_VALUE"""),8)</f>
        <v>8</v>
      </c>
      <c r="C529" s="8">
        <f ca="1">IFERROR(__xludf.DUMMYFUNCTION("""COMPUTED_VALUE"""),44418.3333333333)</f>
        <v>44418.333333333299</v>
      </c>
      <c r="D529" s="7">
        <f ca="1">IFERROR(__xludf.DUMMYFUNCTION("""COMPUTED_VALUE"""),12824)</f>
        <v>12824</v>
      </c>
      <c r="E529" s="7">
        <f ca="1">IFERROR(__xludf.DUMMYFUNCTION("""COMPUTED_VALUE"""),810308)</f>
        <v>810308</v>
      </c>
      <c r="F529" s="7">
        <f ca="1">IFERROR(__xludf.DUMMYFUNCTION("""COMPUTED_VALUE"""),7495)</f>
        <v>7495</v>
      </c>
      <c r="G529" s="7">
        <f ca="1">IFERROR(__xludf.DUMMYFUNCTION("""COMPUTED_VALUE"""),3024)</f>
        <v>3024</v>
      </c>
      <c r="H529" s="7">
        <f ca="1">IFERROR(__xludf.DUMMYFUNCTION("""COMPUTED_VALUE"""),833651)</f>
        <v>833651</v>
      </c>
      <c r="I529" s="7">
        <f ca="1">IFERROR(__xludf.DUMMYFUNCTION("""COMPUTED_VALUE"""),1425)</f>
        <v>1425</v>
      </c>
      <c r="J529" s="7">
        <f ca="1">IFERROR(__xludf.DUMMYFUNCTION("""COMPUTED_VALUE"""),10519)</f>
        <v>10519</v>
      </c>
      <c r="K529" s="7">
        <f ca="1">IFERROR(__xludf.DUMMYFUNCTION("""COMPUTED_VALUE"""),1221)</f>
        <v>1221</v>
      </c>
      <c r="L529" s="7">
        <f ca="1">IFERROR(__xludf.DUMMYFUNCTION("""COMPUTED_VALUE"""),0)</f>
        <v>0</v>
      </c>
      <c r="M529" s="7">
        <f ca="1">IFERROR(__xludf.DUMMYFUNCTION("""COMPUTED_VALUE"""),0)</f>
        <v>0</v>
      </c>
      <c r="N529" s="7">
        <f ca="1">IFERROR(__xludf.DUMMYFUNCTION("""COMPUTED_VALUE"""),10519)</f>
        <v>10519</v>
      </c>
    </row>
    <row r="530" spans="1:14" ht="13.2" x14ac:dyDescent="0.25">
      <c r="A530" s="6">
        <f ca="1">IFERROR(__xludf.DUMMYFUNCTION("""COMPUTED_VALUE"""),44419)</f>
        <v>44419</v>
      </c>
      <c r="B530" s="7">
        <f ca="1">IFERROR(__xludf.DUMMYFUNCTION("""COMPUTED_VALUE"""),8)</f>
        <v>8</v>
      </c>
      <c r="C530" s="8">
        <f ca="1">IFERROR(__xludf.DUMMYFUNCTION("""COMPUTED_VALUE"""),44419.3333333333)</f>
        <v>44419.333333333299</v>
      </c>
      <c r="D530" s="7">
        <f ca="1">IFERROR(__xludf.DUMMYFUNCTION("""COMPUTED_VALUE"""),12866)</f>
        <v>12866</v>
      </c>
      <c r="E530" s="7">
        <f ca="1">IFERROR(__xludf.DUMMYFUNCTION("""COMPUTED_VALUE"""),811642)</f>
        <v>811642</v>
      </c>
      <c r="F530" s="7">
        <f ca="1">IFERROR(__xludf.DUMMYFUNCTION("""COMPUTED_VALUE"""),7873)</f>
        <v>7873</v>
      </c>
      <c r="G530" s="7">
        <f ca="1">IFERROR(__xludf.DUMMYFUNCTION("""COMPUTED_VALUE"""),3228)</f>
        <v>3228</v>
      </c>
      <c r="H530" s="7">
        <f ca="1">IFERROR(__xludf.DUMMYFUNCTION("""COMPUTED_VALUE"""),835609)</f>
        <v>835609</v>
      </c>
      <c r="I530" s="7">
        <f ca="1">IFERROR(__xludf.DUMMYFUNCTION("""COMPUTED_VALUE"""),1958)</f>
        <v>1958</v>
      </c>
      <c r="J530" s="7">
        <f ca="1">IFERROR(__xludf.DUMMYFUNCTION("""COMPUTED_VALUE"""),11101)</f>
        <v>11101</v>
      </c>
      <c r="K530" s="7">
        <f ca="1">IFERROR(__xludf.DUMMYFUNCTION("""COMPUTED_VALUE"""),1334)</f>
        <v>1334</v>
      </c>
      <c r="L530" s="7">
        <f ca="1">IFERROR(__xludf.DUMMYFUNCTION("""COMPUTED_VALUE"""),0)</f>
        <v>0</v>
      </c>
      <c r="M530" s="7">
        <f ca="1">IFERROR(__xludf.DUMMYFUNCTION("""COMPUTED_VALUE"""),0)</f>
        <v>0</v>
      </c>
      <c r="N530" s="7">
        <f ca="1">IFERROR(__xludf.DUMMYFUNCTION("""COMPUTED_VALUE"""),11101)</f>
        <v>11101</v>
      </c>
    </row>
    <row r="531" spans="1:14" ht="13.2" x14ac:dyDescent="0.25">
      <c r="A531" s="6">
        <f ca="1">IFERROR(__xludf.DUMMYFUNCTION("""COMPUTED_VALUE"""),44420)</f>
        <v>44420</v>
      </c>
      <c r="B531" s="7">
        <f ca="1">IFERROR(__xludf.DUMMYFUNCTION("""COMPUTED_VALUE"""),8)</f>
        <v>8</v>
      </c>
      <c r="C531" s="8">
        <f ca="1">IFERROR(__xludf.DUMMYFUNCTION("""COMPUTED_VALUE"""),44420.3333333333)</f>
        <v>44420.333333333299</v>
      </c>
      <c r="D531" s="7">
        <f ca="1">IFERROR(__xludf.DUMMYFUNCTION("""COMPUTED_VALUE"""),12908)</f>
        <v>12908</v>
      </c>
      <c r="E531" s="7">
        <f ca="1">IFERROR(__xludf.DUMMYFUNCTION("""COMPUTED_VALUE"""),813898)</f>
        <v>813898</v>
      </c>
      <c r="F531" s="7">
        <f ca="1">IFERROR(__xludf.DUMMYFUNCTION("""COMPUTED_VALUE"""),7008)</f>
        <v>7008</v>
      </c>
      <c r="G531" s="7">
        <f ca="1">IFERROR(__xludf.DUMMYFUNCTION("""COMPUTED_VALUE"""),2873)</f>
        <v>2873</v>
      </c>
      <c r="H531" s="7">
        <f ca="1">IFERROR(__xludf.DUMMYFUNCTION("""COMPUTED_VALUE"""),836687)</f>
        <v>836687</v>
      </c>
      <c r="I531" s="7">
        <f ca="1">IFERROR(__xludf.DUMMYFUNCTION("""COMPUTED_VALUE"""),1078)</f>
        <v>1078</v>
      </c>
      <c r="J531" s="7">
        <f ca="1">IFERROR(__xludf.DUMMYFUNCTION("""COMPUTED_VALUE"""),9881)</f>
        <v>9881</v>
      </c>
      <c r="K531" s="7">
        <f ca="1">IFERROR(__xludf.DUMMYFUNCTION("""COMPUTED_VALUE"""),2256)</f>
        <v>2256</v>
      </c>
      <c r="L531" s="7">
        <f ca="1">IFERROR(__xludf.DUMMYFUNCTION("""COMPUTED_VALUE"""),0)</f>
        <v>0</v>
      </c>
      <c r="M531" s="7">
        <f ca="1">IFERROR(__xludf.DUMMYFUNCTION("""COMPUTED_VALUE"""),0)</f>
        <v>0</v>
      </c>
      <c r="N531" s="7">
        <f ca="1">IFERROR(__xludf.DUMMYFUNCTION("""COMPUTED_VALUE"""),9881)</f>
        <v>9881</v>
      </c>
    </row>
    <row r="532" spans="1:14" ht="13.2" x14ac:dyDescent="0.25">
      <c r="A532" s="6">
        <f ca="1">IFERROR(__xludf.DUMMYFUNCTION("""COMPUTED_VALUE"""),44421)</f>
        <v>44421</v>
      </c>
      <c r="B532" s="7">
        <f ca="1">IFERROR(__xludf.DUMMYFUNCTION("""COMPUTED_VALUE"""),8)</f>
        <v>8</v>
      </c>
      <c r="C532" s="8">
        <f ca="1">IFERROR(__xludf.DUMMYFUNCTION("""COMPUTED_VALUE"""),44421.3333333333)</f>
        <v>44421.333333333299</v>
      </c>
      <c r="D532" s="7">
        <f ca="1">IFERROR(__xludf.DUMMYFUNCTION("""COMPUTED_VALUE"""),12976)</f>
        <v>12976</v>
      </c>
      <c r="E532" s="7">
        <f ca="1">IFERROR(__xludf.DUMMYFUNCTION("""COMPUTED_VALUE"""),815468)</f>
        <v>815468</v>
      </c>
      <c r="F532" s="7">
        <f ca="1">IFERROR(__xludf.DUMMYFUNCTION("""COMPUTED_VALUE"""),6724)</f>
        <v>6724</v>
      </c>
      <c r="G532" s="7">
        <f ca="1">IFERROR(__xludf.DUMMYFUNCTION("""COMPUTED_VALUE"""),2729)</f>
        <v>2729</v>
      </c>
      <c r="H532" s="7">
        <f ca="1">IFERROR(__xludf.DUMMYFUNCTION("""COMPUTED_VALUE"""),837897)</f>
        <v>837897</v>
      </c>
      <c r="I532" s="7">
        <f ca="1">IFERROR(__xludf.DUMMYFUNCTION("""COMPUTED_VALUE"""),1210)</f>
        <v>1210</v>
      </c>
      <c r="J532" s="7">
        <f ca="1">IFERROR(__xludf.DUMMYFUNCTION("""COMPUTED_VALUE"""),9453)</f>
        <v>9453</v>
      </c>
      <c r="K532" s="7">
        <f ca="1">IFERROR(__xludf.DUMMYFUNCTION("""COMPUTED_VALUE"""),1570)</f>
        <v>1570</v>
      </c>
      <c r="L532" s="7">
        <f ca="1">IFERROR(__xludf.DUMMYFUNCTION("""COMPUTED_VALUE"""),0)</f>
        <v>0</v>
      </c>
      <c r="M532" s="7">
        <f ca="1">IFERROR(__xludf.DUMMYFUNCTION("""COMPUTED_VALUE"""),0)</f>
        <v>0</v>
      </c>
      <c r="N532" s="7">
        <f ca="1">IFERROR(__xludf.DUMMYFUNCTION("""COMPUTED_VALUE"""),9453)</f>
        <v>9453</v>
      </c>
    </row>
    <row r="533" spans="1:14" ht="13.2" x14ac:dyDescent="0.25">
      <c r="A533" s="6">
        <f ca="1">IFERROR(__xludf.DUMMYFUNCTION("""COMPUTED_VALUE"""),44422)</f>
        <v>44422</v>
      </c>
      <c r="B533" s="7">
        <f ca="1">IFERROR(__xludf.DUMMYFUNCTION("""COMPUTED_VALUE"""),8)</f>
        <v>8</v>
      </c>
      <c r="C533" s="8">
        <f ca="1">IFERROR(__xludf.DUMMYFUNCTION("""COMPUTED_VALUE"""),44422.3333333333)</f>
        <v>44422.333333333299</v>
      </c>
      <c r="D533" s="7">
        <f ca="1">IFERROR(__xludf.DUMMYFUNCTION("""COMPUTED_VALUE"""),13005)</f>
        <v>13005</v>
      </c>
      <c r="E533" s="7">
        <f ca="1">IFERROR(__xludf.DUMMYFUNCTION("""COMPUTED_VALUE"""),816687)</f>
        <v>816687</v>
      </c>
      <c r="F533" s="7">
        <f ca="1">IFERROR(__xludf.DUMMYFUNCTION("""COMPUTED_VALUE"""),6748)</f>
        <v>6748</v>
      </c>
      <c r="G533" s="7">
        <f ca="1">IFERROR(__xludf.DUMMYFUNCTION("""COMPUTED_VALUE"""),2820)</f>
        <v>2820</v>
      </c>
      <c r="H533" s="7">
        <f ca="1">IFERROR(__xludf.DUMMYFUNCTION("""COMPUTED_VALUE"""),839260)</f>
        <v>839260</v>
      </c>
      <c r="I533" s="7">
        <f ca="1">IFERROR(__xludf.DUMMYFUNCTION("""COMPUTED_VALUE"""),1363)</f>
        <v>1363</v>
      </c>
      <c r="J533" s="7">
        <f ca="1">IFERROR(__xludf.DUMMYFUNCTION("""COMPUTED_VALUE"""),9568)</f>
        <v>9568</v>
      </c>
      <c r="K533" s="7">
        <f ca="1">IFERROR(__xludf.DUMMYFUNCTION("""COMPUTED_VALUE"""),1219)</f>
        <v>1219</v>
      </c>
      <c r="L533" s="7">
        <f ca="1">IFERROR(__xludf.DUMMYFUNCTION("""COMPUTED_VALUE"""),0)</f>
        <v>0</v>
      </c>
      <c r="M533" s="7">
        <f ca="1">IFERROR(__xludf.DUMMYFUNCTION("""COMPUTED_VALUE"""),0)</f>
        <v>0</v>
      </c>
      <c r="N533" s="7">
        <f ca="1">IFERROR(__xludf.DUMMYFUNCTION("""COMPUTED_VALUE"""),9568)</f>
        <v>9568</v>
      </c>
    </row>
    <row r="534" spans="1:14" ht="13.2" x14ac:dyDescent="0.25">
      <c r="A534" s="6">
        <f ca="1">IFERROR(__xludf.DUMMYFUNCTION("""COMPUTED_VALUE"""),44423)</f>
        <v>44423</v>
      </c>
      <c r="B534" s="7">
        <f ca="1">IFERROR(__xludf.DUMMYFUNCTION("""COMPUTED_VALUE"""),8)</f>
        <v>8</v>
      </c>
      <c r="C534" s="8">
        <f ca="1">IFERROR(__xludf.DUMMYFUNCTION("""COMPUTED_VALUE"""),44423.3333333333)</f>
        <v>44423.333333333299</v>
      </c>
      <c r="D534" s="7">
        <f ca="1">IFERROR(__xludf.DUMMYFUNCTION("""COMPUTED_VALUE"""),13022)</f>
        <v>13022</v>
      </c>
      <c r="E534" s="7">
        <f ca="1">IFERROR(__xludf.DUMMYFUNCTION("""COMPUTED_VALUE"""),817764)</f>
        <v>817764</v>
      </c>
      <c r="F534" s="7">
        <f ca="1">IFERROR(__xludf.DUMMYFUNCTION("""COMPUTED_VALUE"""),6755)</f>
        <v>6755</v>
      </c>
      <c r="G534" s="7">
        <f ca="1">IFERROR(__xludf.DUMMYFUNCTION("""COMPUTED_VALUE"""),2901)</f>
        <v>2901</v>
      </c>
      <c r="H534" s="7">
        <f ca="1">IFERROR(__xludf.DUMMYFUNCTION("""COMPUTED_VALUE"""),840442)</f>
        <v>840442</v>
      </c>
      <c r="I534" s="7">
        <f ca="1">IFERROR(__xludf.DUMMYFUNCTION("""COMPUTED_VALUE"""),1182)</f>
        <v>1182</v>
      </c>
      <c r="J534" s="7">
        <f ca="1">IFERROR(__xludf.DUMMYFUNCTION("""COMPUTED_VALUE"""),9656)</f>
        <v>9656</v>
      </c>
      <c r="K534" s="7">
        <f ca="1">IFERROR(__xludf.DUMMYFUNCTION("""COMPUTED_VALUE"""),1077)</f>
        <v>1077</v>
      </c>
      <c r="L534" s="7">
        <f ca="1">IFERROR(__xludf.DUMMYFUNCTION("""COMPUTED_VALUE"""),0)</f>
        <v>0</v>
      </c>
      <c r="M534" s="7">
        <f ca="1">IFERROR(__xludf.DUMMYFUNCTION("""COMPUTED_VALUE"""),0)</f>
        <v>0</v>
      </c>
      <c r="N534" s="7">
        <f ca="1">IFERROR(__xludf.DUMMYFUNCTION("""COMPUTED_VALUE"""),9656)</f>
        <v>9656</v>
      </c>
    </row>
    <row r="535" spans="1:14" ht="13.2" x14ac:dyDescent="0.25">
      <c r="A535" s="6">
        <f ca="1">IFERROR(__xludf.DUMMYFUNCTION("""COMPUTED_VALUE"""),44424)</f>
        <v>44424</v>
      </c>
      <c r="B535" s="7">
        <f ca="1">IFERROR(__xludf.DUMMYFUNCTION("""COMPUTED_VALUE"""),8)</f>
        <v>8</v>
      </c>
      <c r="C535" s="8">
        <f ca="1">IFERROR(__xludf.DUMMYFUNCTION("""COMPUTED_VALUE"""),44424.3333333333)</f>
        <v>44424.333333333299</v>
      </c>
      <c r="D535" s="7">
        <f ca="1">IFERROR(__xludf.DUMMYFUNCTION("""COMPUTED_VALUE"""),13050)</f>
        <v>13050</v>
      </c>
      <c r="E535" s="7">
        <f ca="1">IFERROR(__xludf.DUMMYFUNCTION("""COMPUTED_VALUE"""),818700)</f>
        <v>818700</v>
      </c>
      <c r="F535" s="7">
        <f ca="1">IFERROR(__xludf.DUMMYFUNCTION("""COMPUTED_VALUE"""),6290)</f>
        <v>6290</v>
      </c>
      <c r="G535" s="7">
        <f ca="1">IFERROR(__xludf.DUMMYFUNCTION("""COMPUTED_VALUE"""),2915)</f>
        <v>2915</v>
      </c>
      <c r="H535" s="7">
        <f ca="1">IFERROR(__xludf.DUMMYFUNCTION("""COMPUTED_VALUE"""),840955)</f>
        <v>840955</v>
      </c>
      <c r="I535" s="7">
        <f ca="1">IFERROR(__xludf.DUMMYFUNCTION("""COMPUTED_VALUE"""),513)</f>
        <v>513</v>
      </c>
      <c r="J535" s="7">
        <f ca="1">IFERROR(__xludf.DUMMYFUNCTION("""COMPUTED_VALUE"""),9205)</f>
        <v>9205</v>
      </c>
      <c r="K535" s="7">
        <f ca="1">IFERROR(__xludf.DUMMYFUNCTION("""COMPUTED_VALUE"""),936)</f>
        <v>936</v>
      </c>
      <c r="L535" s="7">
        <f ca="1">IFERROR(__xludf.DUMMYFUNCTION("""COMPUTED_VALUE"""),0)</f>
        <v>0</v>
      </c>
      <c r="M535" s="7">
        <f ca="1">IFERROR(__xludf.DUMMYFUNCTION("""COMPUTED_VALUE"""),0)</f>
        <v>0</v>
      </c>
      <c r="N535" s="7">
        <f ca="1">IFERROR(__xludf.DUMMYFUNCTION("""COMPUTED_VALUE"""),9205)</f>
        <v>9205</v>
      </c>
    </row>
    <row r="536" spans="1:14" ht="13.2" x14ac:dyDescent="0.25">
      <c r="A536" s="6">
        <f ca="1">IFERROR(__xludf.DUMMYFUNCTION("""COMPUTED_VALUE"""),44425)</f>
        <v>44425</v>
      </c>
      <c r="B536" s="7">
        <f ca="1">IFERROR(__xludf.DUMMYFUNCTION("""COMPUTED_VALUE"""),8)</f>
        <v>8</v>
      </c>
      <c r="C536" s="8">
        <f ca="1">IFERROR(__xludf.DUMMYFUNCTION("""COMPUTED_VALUE"""),44425.3333333333)</f>
        <v>44425.333333333299</v>
      </c>
      <c r="D536" s="7">
        <f ca="1">IFERROR(__xludf.DUMMYFUNCTION("""COMPUTED_VALUE"""),13074)</f>
        <v>13074</v>
      </c>
      <c r="E536" s="7">
        <f ca="1">IFERROR(__xludf.DUMMYFUNCTION("""COMPUTED_VALUE"""),819620)</f>
        <v>819620</v>
      </c>
      <c r="F536" s="7">
        <f ca="1">IFERROR(__xludf.DUMMYFUNCTION("""COMPUTED_VALUE"""),5955)</f>
        <v>5955</v>
      </c>
      <c r="G536" s="7">
        <f ca="1">IFERROR(__xludf.DUMMYFUNCTION("""COMPUTED_VALUE"""),2961)</f>
        <v>2961</v>
      </c>
      <c r="H536" s="7">
        <f ca="1">IFERROR(__xludf.DUMMYFUNCTION("""COMPUTED_VALUE"""),841610)</f>
        <v>841610</v>
      </c>
      <c r="I536" s="7">
        <f ca="1">IFERROR(__xludf.DUMMYFUNCTION("""COMPUTED_VALUE"""),655)</f>
        <v>655</v>
      </c>
      <c r="J536" s="7">
        <f ca="1">IFERROR(__xludf.DUMMYFUNCTION("""COMPUTED_VALUE"""),8916)</f>
        <v>8916</v>
      </c>
      <c r="K536" s="7">
        <f ca="1">IFERROR(__xludf.DUMMYFUNCTION("""COMPUTED_VALUE"""),920)</f>
        <v>920</v>
      </c>
      <c r="L536" s="7">
        <f ca="1">IFERROR(__xludf.DUMMYFUNCTION("""COMPUTED_VALUE"""),0)</f>
        <v>0</v>
      </c>
      <c r="M536" s="7">
        <f ca="1">IFERROR(__xludf.DUMMYFUNCTION("""COMPUTED_VALUE"""),0)</f>
        <v>0</v>
      </c>
      <c r="N536" s="7">
        <f ca="1">IFERROR(__xludf.DUMMYFUNCTION("""COMPUTED_VALUE"""),8916)</f>
        <v>8916</v>
      </c>
    </row>
    <row r="537" spans="1:14" ht="13.2" x14ac:dyDescent="0.25">
      <c r="A537" s="6">
        <f ca="1">IFERROR(__xludf.DUMMYFUNCTION("""COMPUTED_VALUE"""),44426)</f>
        <v>44426</v>
      </c>
      <c r="B537" s="7">
        <f ca="1">IFERROR(__xludf.DUMMYFUNCTION("""COMPUTED_VALUE"""),8)</f>
        <v>8</v>
      </c>
      <c r="C537" s="8">
        <f ca="1">IFERROR(__xludf.DUMMYFUNCTION("""COMPUTED_VALUE"""),44426.3333333333)</f>
        <v>44426.333333333299</v>
      </c>
      <c r="D537" s="7">
        <f ca="1">IFERROR(__xludf.DUMMYFUNCTION("""COMPUTED_VALUE"""),13087)</f>
        <v>13087</v>
      </c>
      <c r="E537" s="7">
        <f ca="1">IFERROR(__xludf.DUMMYFUNCTION("""COMPUTED_VALUE"""),820517)</f>
        <v>820517</v>
      </c>
      <c r="F537" s="7">
        <f ca="1">IFERROR(__xludf.DUMMYFUNCTION("""COMPUTED_VALUE"""),6006)</f>
        <v>6006</v>
      </c>
      <c r="G537" s="7">
        <f ca="1">IFERROR(__xludf.DUMMYFUNCTION("""COMPUTED_VALUE"""),3029)</f>
        <v>3029</v>
      </c>
      <c r="H537" s="7">
        <f ca="1">IFERROR(__xludf.DUMMYFUNCTION("""COMPUTED_VALUE"""),842639)</f>
        <v>842639</v>
      </c>
      <c r="I537" s="7">
        <f ca="1">IFERROR(__xludf.DUMMYFUNCTION("""COMPUTED_VALUE"""),1029)</f>
        <v>1029</v>
      </c>
      <c r="J537" s="7">
        <f ca="1">IFERROR(__xludf.DUMMYFUNCTION("""COMPUTED_VALUE"""),9035)</f>
        <v>9035</v>
      </c>
      <c r="K537" s="7">
        <f ca="1">IFERROR(__xludf.DUMMYFUNCTION("""COMPUTED_VALUE"""),897)</f>
        <v>897</v>
      </c>
      <c r="L537" s="7">
        <f ca="1">IFERROR(__xludf.DUMMYFUNCTION("""COMPUTED_VALUE"""),0)</f>
        <v>0</v>
      </c>
      <c r="M537" s="7">
        <f ca="1">IFERROR(__xludf.DUMMYFUNCTION("""COMPUTED_VALUE"""),0)</f>
        <v>0</v>
      </c>
      <c r="N537" s="7">
        <f ca="1">IFERROR(__xludf.DUMMYFUNCTION("""COMPUTED_VALUE"""),9035)</f>
        <v>9035</v>
      </c>
    </row>
    <row r="538" spans="1:14" ht="13.2" x14ac:dyDescent="0.25">
      <c r="A538" s="6">
        <f ca="1">IFERROR(__xludf.DUMMYFUNCTION("""COMPUTED_VALUE"""),44427)</f>
        <v>44427</v>
      </c>
      <c r="B538" s="7">
        <f ca="1">IFERROR(__xludf.DUMMYFUNCTION("""COMPUTED_VALUE"""),8)</f>
        <v>8</v>
      </c>
      <c r="C538" s="8">
        <f ca="1">IFERROR(__xludf.DUMMYFUNCTION("""COMPUTED_VALUE"""),44427.3333333333)</f>
        <v>44427.333333333299</v>
      </c>
      <c r="D538" s="7">
        <f ca="1">IFERROR(__xludf.DUMMYFUNCTION("""COMPUTED_VALUE"""),13121)</f>
        <v>13121</v>
      </c>
      <c r="E538" s="7">
        <f ca="1">IFERROR(__xludf.DUMMYFUNCTION("""COMPUTED_VALUE"""),821451)</f>
        <v>821451</v>
      </c>
      <c r="F538" s="7">
        <f ca="1">IFERROR(__xludf.DUMMYFUNCTION("""COMPUTED_VALUE"""),5794)</f>
        <v>5794</v>
      </c>
      <c r="G538" s="7">
        <f ca="1">IFERROR(__xludf.DUMMYFUNCTION("""COMPUTED_VALUE"""),3004)</f>
        <v>3004</v>
      </c>
      <c r="H538" s="7">
        <f ca="1">IFERROR(__xludf.DUMMYFUNCTION("""COMPUTED_VALUE"""),843370)</f>
        <v>843370</v>
      </c>
      <c r="I538" s="7">
        <f ca="1">IFERROR(__xludf.DUMMYFUNCTION("""COMPUTED_VALUE"""),731)</f>
        <v>731</v>
      </c>
      <c r="J538" s="7">
        <f ca="1">IFERROR(__xludf.DUMMYFUNCTION("""COMPUTED_VALUE"""),8798)</f>
        <v>8798</v>
      </c>
      <c r="K538" s="7">
        <f ca="1">IFERROR(__xludf.DUMMYFUNCTION("""COMPUTED_VALUE"""),934)</f>
        <v>934</v>
      </c>
      <c r="L538" s="7">
        <f ca="1">IFERROR(__xludf.DUMMYFUNCTION("""COMPUTED_VALUE"""),0)</f>
        <v>0</v>
      </c>
      <c r="M538" s="7">
        <f ca="1">IFERROR(__xludf.DUMMYFUNCTION("""COMPUTED_VALUE"""),0)</f>
        <v>0</v>
      </c>
      <c r="N538" s="7">
        <f ca="1">IFERROR(__xludf.DUMMYFUNCTION("""COMPUTED_VALUE"""),8798)</f>
        <v>8798</v>
      </c>
    </row>
    <row r="539" spans="1:14" ht="13.2" x14ac:dyDescent="0.25">
      <c r="A539" s="6">
        <f ca="1">IFERROR(__xludf.DUMMYFUNCTION("""COMPUTED_VALUE"""),44428)</f>
        <v>44428</v>
      </c>
      <c r="B539" s="7">
        <f ca="1">IFERROR(__xludf.DUMMYFUNCTION("""COMPUTED_VALUE"""),8)</f>
        <v>8</v>
      </c>
      <c r="C539" s="8">
        <f ca="1">IFERROR(__xludf.DUMMYFUNCTION("""COMPUTED_VALUE"""),44428.3333333333)</f>
        <v>44428.333333333299</v>
      </c>
      <c r="D539" s="7">
        <f ca="1">IFERROR(__xludf.DUMMYFUNCTION("""COMPUTED_VALUE"""),13132)</f>
        <v>13132</v>
      </c>
      <c r="E539" s="7">
        <f ca="1">IFERROR(__xludf.DUMMYFUNCTION("""COMPUTED_VALUE"""),822399)</f>
        <v>822399</v>
      </c>
      <c r="F539" s="7">
        <f ca="1">IFERROR(__xludf.DUMMYFUNCTION("""COMPUTED_VALUE"""),5721)</f>
        <v>5721</v>
      </c>
      <c r="G539" s="7">
        <f ca="1">IFERROR(__xludf.DUMMYFUNCTION("""COMPUTED_VALUE"""),3087)</f>
        <v>3087</v>
      </c>
      <c r="H539" s="7">
        <f ca="1">IFERROR(__xludf.DUMMYFUNCTION("""COMPUTED_VALUE"""),844339)</f>
        <v>844339</v>
      </c>
      <c r="I539" s="7">
        <f ca="1">IFERROR(__xludf.DUMMYFUNCTION("""COMPUTED_VALUE"""),969)</f>
        <v>969</v>
      </c>
      <c r="J539" s="7">
        <f ca="1">IFERROR(__xludf.DUMMYFUNCTION("""COMPUTED_VALUE"""),8808)</f>
        <v>8808</v>
      </c>
      <c r="K539" s="7">
        <f ca="1">IFERROR(__xludf.DUMMYFUNCTION("""COMPUTED_VALUE"""),948)</f>
        <v>948</v>
      </c>
      <c r="L539" s="7">
        <f ca="1">IFERROR(__xludf.DUMMYFUNCTION("""COMPUTED_VALUE"""),0)</f>
        <v>0</v>
      </c>
      <c r="M539" s="7">
        <f ca="1">IFERROR(__xludf.DUMMYFUNCTION("""COMPUTED_VALUE"""),0)</f>
        <v>0</v>
      </c>
      <c r="N539" s="7">
        <f ca="1">IFERROR(__xludf.DUMMYFUNCTION("""COMPUTED_VALUE"""),8808)</f>
        <v>8808</v>
      </c>
    </row>
    <row r="540" spans="1:14" ht="13.2" x14ac:dyDescent="0.25">
      <c r="A540" s="6">
        <f ca="1">IFERROR(__xludf.DUMMYFUNCTION("""COMPUTED_VALUE"""),44429)</f>
        <v>44429</v>
      </c>
      <c r="B540" s="7">
        <f ca="1">IFERROR(__xludf.DUMMYFUNCTION("""COMPUTED_VALUE"""),8)</f>
        <v>8</v>
      </c>
      <c r="C540" s="8">
        <f ca="1">IFERROR(__xludf.DUMMYFUNCTION("""COMPUTED_VALUE"""),44429.3333333333)</f>
        <v>44429.333333333299</v>
      </c>
      <c r="D540" s="7">
        <f ca="1">IFERROR(__xludf.DUMMYFUNCTION("""COMPUTED_VALUE"""),13152)</f>
        <v>13152</v>
      </c>
      <c r="E540" s="7">
        <f ca="1">IFERROR(__xludf.DUMMYFUNCTION("""COMPUTED_VALUE"""),823314)</f>
        <v>823314</v>
      </c>
      <c r="F540" s="7">
        <f ca="1">IFERROR(__xludf.DUMMYFUNCTION("""COMPUTED_VALUE"""),5565)</f>
        <v>5565</v>
      </c>
      <c r="G540" s="7">
        <f ca="1">IFERROR(__xludf.DUMMYFUNCTION("""COMPUTED_VALUE"""),3199)</f>
        <v>3199</v>
      </c>
      <c r="H540" s="7">
        <f ca="1">IFERROR(__xludf.DUMMYFUNCTION("""COMPUTED_VALUE"""),845230)</f>
        <v>845230</v>
      </c>
      <c r="I540" s="7">
        <f ca="1">IFERROR(__xludf.DUMMYFUNCTION("""COMPUTED_VALUE"""),891)</f>
        <v>891</v>
      </c>
      <c r="J540" s="7">
        <f ca="1">IFERROR(__xludf.DUMMYFUNCTION("""COMPUTED_VALUE"""),8764)</f>
        <v>8764</v>
      </c>
      <c r="K540" s="7">
        <f ca="1">IFERROR(__xludf.DUMMYFUNCTION("""COMPUTED_VALUE"""),915)</f>
        <v>915</v>
      </c>
      <c r="L540" s="7">
        <f ca="1">IFERROR(__xludf.DUMMYFUNCTION("""COMPUTED_VALUE"""),0)</f>
        <v>0</v>
      </c>
      <c r="M540" s="7">
        <f ca="1">IFERROR(__xludf.DUMMYFUNCTION("""COMPUTED_VALUE"""),0)</f>
        <v>0</v>
      </c>
      <c r="N540" s="7">
        <f ca="1">IFERROR(__xludf.DUMMYFUNCTION("""COMPUTED_VALUE"""),8764)</f>
        <v>8764</v>
      </c>
    </row>
    <row r="541" spans="1:14" ht="13.2" x14ac:dyDescent="0.25">
      <c r="A541" s="6">
        <f ca="1">IFERROR(__xludf.DUMMYFUNCTION("""COMPUTED_VALUE"""),44430)</f>
        <v>44430</v>
      </c>
      <c r="B541" s="7">
        <f ca="1">IFERROR(__xludf.DUMMYFUNCTION("""COMPUTED_VALUE"""),8)</f>
        <v>8</v>
      </c>
      <c r="C541" s="8">
        <f ca="1">IFERROR(__xludf.DUMMYFUNCTION("""COMPUTED_VALUE"""),44430.3333333333)</f>
        <v>44430.333333333299</v>
      </c>
      <c r="D541" s="7">
        <f ca="1">IFERROR(__xludf.DUMMYFUNCTION("""COMPUTED_VALUE"""),13173)</f>
        <v>13173</v>
      </c>
      <c r="E541" s="7">
        <f ca="1">IFERROR(__xludf.DUMMYFUNCTION("""COMPUTED_VALUE"""),824227)</f>
        <v>824227</v>
      </c>
      <c r="F541" s="7">
        <f ca="1">IFERROR(__xludf.DUMMYFUNCTION("""COMPUTED_VALUE"""),5584)</f>
        <v>5584</v>
      </c>
      <c r="G541" s="7">
        <f ca="1">IFERROR(__xludf.DUMMYFUNCTION("""COMPUTED_VALUE"""),2947)</f>
        <v>2947</v>
      </c>
      <c r="H541" s="7">
        <f ca="1">IFERROR(__xludf.DUMMYFUNCTION("""COMPUTED_VALUE"""),845931)</f>
        <v>845931</v>
      </c>
      <c r="I541" s="7">
        <f ca="1">IFERROR(__xludf.DUMMYFUNCTION("""COMPUTED_VALUE"""),701)</f>
        <v>701</v>
      </c>
      <c r="J541" s="7">
        <f ca="1">IFERROR(__xludf.DUMMYFUNCTION("""COMPUTED_VALUE"""),8531)</f>
        <v>8531</v>
      </c>
      <c r="K541" s="7">
        <f ca="1">IFERROR(__xludf.DUMMYFUNCTION("""COMPUTED_VALUE"""),913)</f>
        <v>913</v>
      </c>
      <c r="L541" s="7">
        <f ca="1">IFERROR(__xludf.DUMMYFUNCTION("""COMPUTED_VALUE"""),0)</f>
        <v>0</v>
      </c>
      <c r="M541" s="7">
        <f ca="1">IFERROR(__xludf.DUMMYFUNCTION("""COMPUTED_VALUE"""),0)</f>
        <v>0</v>
      </c>
      <c r="N541" s="7">
        <f ca="1">IFERROR(__xludf.DUMMYFUNCTION("""COMPUTED_VALUE"""),8531)</f>
        <v>8531</v>
      </c>
    </row>
    <row r="542" spans="1:14" ht="13.2" x14ac:dyDescent="0.25">
      <c r="A542" s="6">
        <f ca="1">IFERROR(__xludf.DUMMYFUNCTION("""COMPUTED_VALUE"""),44431)</f>
        <v>44431</v>
      </c>
      <c r="B542" s="7">
        <f ca="1">IFERROR(__xludf.DUMMYFUNCTION("""COMPUTED_VALUE"""),8)</f>
        <v>8</v>
      </c>
      <c r="C542" s="8">
        <f ca="1">IFERROR(__xludf.DUMMYFUNCTION("""COMPUTED_VALUE"""),44431.3333333333)</f>
        <v>44431.333333333299</v>
      </c>
      <c r="D542" s="7">
        <f ca="1">IFERROR(__xludf.DUMMYFUNCTION("""COMPUTED_VALUE"""),13193)</f>
        <v>13193</v>
      </c>
      <c r="E542" s="7">
        <f ca="1">IFERROR(__xludf.DUMMYFUNCTION("""COMPUTED_VALUE"""),824958)</f>
        <v>824958</v>
      </c>
      <c r="F542" s="7">
        <f ca="1">IFERROR(__xludf.DUMMYFUNCTION("""COMPUTED_VALUE"""),5477)</f>
        <v>5477</v>
      </c>
      <c r="G542" s="7">
        <f ca="1">IFERROR(__xludf.DUMMYFUNCTION("""COMPUTED_VALUE"""),2788)</f>
        <v>2788</v>
      </c>
      <c r="H542" s="7">
        <f ca="1">IFERROR(__xludf.DUMMYFUNCTION("""COMPUTED_VALUE"""),846416)</f>
        <v>846416</v>
      </c>
      <c r="I542" s="7">
        <f ca="1">IFERROR(__xludf.DUMMYFUNCTION("""COMPUTED_VALUE"""),485)</f>
        <v>485</v>
      </c>
      <c r="J542" s="7">
        <f ca="1">IFERROR(__xludf.DUMMYFUNCTION("""COMPUTED_VALUE"""),8265)</f>
        <v>8265</v>
      </c>
      <c r="K542" s="7">
        <f ca="1">IFERROR(__xludf.DUMMYFUNCTION("""COMPUTED_VALUE"""),731)</f>
        <v>731</v>
      </c>
      <c r="L542" s="7">
        <f ca="1">IFERROR(__xludf.DUMMYFUNCTION("""COMPUTED_VALUE"""),0)</f>
        <v>0</v>
      </c>
      <c r="M542" s="7">
        <f ca="1">IFERROR(__xludf.DUMMYFUNCTION("""COMPUTED_VALUE"""),0)</f>
        <v>0</v>
      </c>
      <c r="N542" s="7">
        <f ca="1">IFERROR(__xludf.DUMMYFUNCTION("""COMPUTED_VALUE"""),8265)</f>
        <v>8265</v>
      </c>
    </row>
    <row r="543" spans="1:14" ht="13.2" x14ac:dyDescent="0.25">
      <c r="A543" s="6">
        <f ca="1">IFERROR(__xludf.DUMMYFUNCTION("""COMPUTED_VALUE"""),44432)</f>
        <v>44432</v>
      </c>
      <c r="B543" s="7">
        <f ca="1">IFERROR(__xludf.DUMMYFUNCTION("""COMPUTED_VALUE"""),8)</f>
        <v>8</v>
      </c>
      <c r="C543" s="8">
        <f ca="1">IFERROR(__xludf.DUMMYFUNCTION("""COMPUTED_VALUE"""),44432.3333333333)</f>
        <v>44432.333333333299</v>
      </c>
      <c r="D543" s="7">
        <f ca="1">IFERROR(__xludf.DUMMYFUNCTION("""COMPUTED_VALUE"""),13203)</f>
        <v>13203</v>
      </c>
      <c r="E543" s="7">
        <f ca="1">IFERROR(__xludf.DUMMYFUNCTION("""COMPUTED_VALUE"""),825573)</f>
        <v>825573</v>
      </c>
      <c r="F543" s="7">
        <f ca="1">IFERROR(__xludf.DUMMYFUNCTION("""COMPUTED_VALUE"""),5277)</f>
        <v>5277</v>
      </c>
      <c r="G543" s="7">
        <f ca="1">IFERROR(__xludf.DUMMYFUNCTION("""COMPUTED_VALUE"""),2847)</f>
        <v>2847</v>
      </c>
      <c r="H543" s="7">
        <f ca="1">IFERROR(__xludf.DUMMYFUNCTION("""COMPUTED_VALUE"""),846900)</f>
        <v>846900</v>
      </c>
      <c r="I543" s="7">
        <f ca="1">IFERROR(__xludf.DUMMYFUNCTION("""COMPUTED_VALUE"""),484)</f>
        <v>484</v>
      </c>
      <c r="J543" s="7">
        <f ca="1">IFERROR(__xludf.DUMMYFUNCTION("""COMPUTED_VALUE"""),8124)</f>
        <v>8124</v>
      </c>
      <c r="K543" s="7">
        <f ca="1">IFERROR(__xludf.DUMMYFUNCTION("""COMPUTED_VALUE"""),615)</f>
        <v>615</v>
      </c>
      <c r="L543" s="7">
        <f ca="1">IFERROR(__xludf.DUMMYFUNCTION("""COMPUTED_VALUE"""),0)</f>
        <v>0</v>
      </c>
      <c r="M543" s="7">
        <f ca="1">IFERROR(__xludf.DUMMYFUNCTION("""COMPUTED_VALUE"""),0)</f>
        <v>0</v>
      </c>
      <c r="N543" s="7">
        <f ca="1">IFERROR(__xludf.DUMMYFUNCTION("""COMPUTED_VALUE"""),8124)</f>
        <v>8124</v>
      </c>
    </row>
    <row r="544" spans="1:14" ht="13.2" x14ac:dyDescent="0.25">
      <c r="A544" s="6">
        <f ca="1">IFERROR(__xludf.DUMMYFUNCTION("""COMPUTED_VALUE"""),44433)</f>
        <v>44433</v>
      </c>
      <c r="B544" s="7">
        <f ca="1">IFERROR(__xludf.DUMMYFUNCTION("""COMPUTED_VALUE"""),8)</f>
        <v>8</v>
      </c>
      <c r="C544" s="8">
        <f ca="1">IFERROR(__xludf.DUMMYFUNCTION("""COMPUTED_VALUE"""),44433.3333333333)</f>
        <v>44433.333333333299</v>
      </c>
      <c r="D544" s="7">
        <f ca="1">IFERROR(__xludf.DUMMYFUNCTION("""COMPUTED_VALUE"""),13214)</f>
        <v>13214</v>
      </c>
      <c r="E544" s="7">
        <f ca="1">IFERROR(__xludf.DUMMYFUNCTION("""COMPUTED_VALUE"""),826302)</f>
        <v>826302</v>
      </c>
      <c r="F544" s="7">
        <f ca="1">IFERROR(__xludf.DUMMYFUNCTION("""COMPUTED_VALUE"""),5442)</f>
        <v>5442</v>
      </c>
      <c r="G544" s="7">
        <f ca="1">IFERROR(__xludf.DUMMYFUNCTION("""COMPUTED_VALUE"""),2731)</f>
        <v>2731</v>
      </c>
      <c r="H544" s="7">
        <f ca="1">IFERROR(__xludf.DUMMYFUNCTION("""COMPUTED_VALUE"""),847689)</f>
        <v>847689</v>
      </c>
      <c r="I544" s="7">
        <f ca="1">IFERROR(__xludf.DUMMYFUNCTION("""COMPUTED_VALUE"""),789)</f>
        <v>789</v>
      </c>
      <c r="J544" s="7">
        <f ca="1">IFERROR(__xludf.DUMMYFUNCTION("""COMPUTED_VALUE"""),8173)</f>
        <v>8173</v>
      </c>
      <c r="K544" s="7">
        <f ca="1">IFERROR(__xludf.DUMMYFUNCTION("""COMPUTED_VALUE"""),729)</f>
        <v>729</v>
      </c>
      <c r="L544" s="7">
        <f ca="1">IFERROR(__xludf.DUMMYFUNCTION("""COMPUTED_VALUE"""),0)</f>
        <v>0</v>
      </c>
      <c r="M544" s="7">
        <f ca="1">IFERROR(__xludf.DUMMYFUNCTION("""COMPUTED_VALUE"""),0)</f>
        <v>0</v>
      </c>
      <c r="N544" s="7">
        <f ca="1">IFERROR(__xludf.DUMMYFUNCTION("""COMPUTED_VALUE"""),8173)</f>
        <v>8173</v>
      </c>
    </row>
    <row r="545" spans="1:14" ht="13.2" x14ac:dyDescent="0.25">
      <c r="A545" s="6">
        <f ca="1">IFERROR(__xludf.DUMMYFUNCTION("""COMPUTED_VALUE"""),44434)</f>
        <v>44434</v>
      </c>
      <c r="B545" s="7">
        <f ca="1">IFERROR(__xludf.DUMMYFUNCTION("""COMPUTED_VALUE"""),8)</f>
        <v>8</v>
      </c>
      <c r="C545" s="8">
        <f ca="1">IFERROR(__xludf.DUMMYFUNCTION("""COMPUTED_VALUE"""),44434.3333333333)</f>
        <v>44434.333333333299</v>
      </c>
      <c r="D545" s="7">
        <f ca="1">IFERROR(__xludf.DUMMYFUNCTION("""COMPUTED_VALUE"""),13216)</f>
        <v>13216</v>
      </c>
      <c r="E545" s="7">
        <f ca="1">IFERROR(__xludf.DUMMYFUNCTION("""COMPUTED_VALUE"""),827333)</f>
        <v>827333</v>
      </c>
      <c r="F545" s="7">
        <f ca="1">IFERROR(__xludf.DUMMYFUNCTION("""COMPUTED_VALUE"""),5110)</f>
        <v>5110</v>
      </c>
      <c r="G545" s="7">
        <f ca="1">IFERROR(__xludf.DUMMYFUNCTION("""COMPUTED_VALUE"""),2604)</f>
        <v>2604</v>
      </c>
      <c r="H545" s="7">
        <f ca="1">IFERROR(__xludf.DUMMYFUNCTION("""COMPUTED_VALUE"""),848263)</f>
        <v>848263</v>
      </c>
      <c r="I545" s="7">
        <f ca="1">IFERROR(__xludf.DUMMYFUNCTION("""COMPUTED_VALUE"""),574)</f>
        <v>574</v>
      </c>
      <c r="J545" s="7">
        <f ca="1">IFERROR(__xludf.DUMMYFUNCTION("""COMPUTED_VALUE"""),7714)</f>
        <v>7714</v>
      </c>
      <c r="K545" s="7">
        <f ca="1">IFERROR(__xludf.DUMMYFUNCTION("""COMPUTED_VALUE"""),1031)</f>
        <v>1031</v>
      </c>
      <c r="L545" s="7">
        <f ca="1">IFERROR(__xludf.DUMMYFUNCTION("""COMPUTED_VALUE"""),0)</f>
        <v>0</v>
      </c>
      <c r="M545" s="7">
        <f ca="1">IFERROR(__xludf.DUMMYFUNCTION("""COMPUTED_VALUE"""),0)</f>
        <v>0</v>
      </c>
      <c r="N545" s="7">
        <f ca="1">IFERROR(__xludf.DUMMYFUNCTION("""COMPUTED_VALUE"""),7714)</f>
        <v>7714</v>
      </c>
    </row>
    <row r="546" spans="1:14" ht="13.2" x14ac:dyDescent="0.25">
      <c r="A546" s="6">
        <f ca="1">IFERROR(__xludf.DUMMYFUNCTION("""COMPUTED_VALUE"""),44435)</f>
        <v>44435</v>
      </c>
      <c r="B546" s="7">
        <f ca="1">IFERROR(__xludf.DUMMYFUNCTION("""COMPUTED_VALUE"""),8)</f>
        <v>8</v>
      </c>
      <c r="C546" s="8">
        <f ca="1">IFERROR(__xludf.DUMMYFUNCTION("""COMPUTED_VALUE"""),44435.3333333333)</f>
        <v>44435.333333333299</v>
      </c>
      <c r="D546" s="7">
        <f ca="1">IFERROR(__xludf.DUMMYFUNCTION("""COMPUTED_VALUE"""),13232)</f>
        <v>13232</v>
      </c>
      <c r="E546" s="7">
        <f ca="1">IFERROR(__xludf.DUMMYFUNCTION("""COMPUTED_VALUE"""),827674)</f>
        <v>827674</v>
      </c>
      <c r="F546" s="7">
        <f ca="1">IFERROR(__xludf.DUMMYFUNCTION("""COMPUTED_VALUE"""),5491)</f>
        <v>5491</v>
      </c>
      <c r="G546" s="7">
        <f ca="1">IFERROR(__xludf.DUMMYFUNCTION("""COMPUTED_VALUE"""),2504)</f>
        <v>2504</v>
      </c>
      <c r="H546" s="7">
        <f ca="1">IFERROR(__xludf.DUMMYFUNCTION("""COMPUTED_VALUE"""),848901)</f>
        <v>848901</v>
      </c>
      <c r="I546" s="7">
        <f ca="1">IFERROR(__xludf.DUMMYFUNCTION("""COMPUTED_VALUE"""),638)</f>
        <v>638</v>
      </c>
      <c r="J546" s="7">
        <f ca="1">IFERROR(__xludf.DUMMYFUNCTION("""COMPUTED_VALUE"""),7995)</f>
        <v>7995</v>
      </c>
      <c r="K546" s="7">
        <f ca="1">IFERROR(__xludf.DUMMYFUNCTION("""COMPUTED_VALUE"""),341)</f>
        <v>341</v>
      </c>
      <c r="L546" s="7">
        <f ca="1">IFERROR(__xludf.DUMMYFUNCTION("""COMPUTED_VALUE"""),0)</f>
        <v>0</v>
      </c>
      <c r="M546" s="7">
        <f ca="1">IFERROR(__xludf.DUMMYFUNCTION("""COMPUTED_VALUE"""),0)</f>
        <v>0</v>
      </c>
      <c r="N546" s="7">
        <f ca="1">IFERROR(__xludf.DUMMYFUNCTION("""COMPUTED_VALUE"""),7995)</f>
        <v>7995</v>
      </c>
    </row>
    <row r="547" spans="1:14" ht="13.2" x14ac:dyDescent="0.25">
      <c r="A547" s="6">
        <f ca="1">IFERROR(__xludf.DUMMYFUNCTION("""COMPUTED_VALUE"""),44436)</f>
        <v>44436</v>
      </c>
      <c r="B547" s="7">
        <f ca="1">IFERROR(__xludf.DUMMYFUNCTION("""COMPUTED_VALUE"""),8)</f>
        <v>8</v>
      </c>
      <c r="C547" s="8">
        <f ca="1">IFERROR(__xludf.DUMMYFUNCTION("""COMPUTED_VALUE"""),44436.3333333333)</f>
        <v>44436.333333333299</v>
      </c>
      <c r="D547" s="7">
        <f ca="1">IFERROR(__xludf.DUMMYFUNCTION("""COMPUTED_VALUE"""),13242)</f>
        <v>13242</v>
      </c>
      <c r="E547" s="7">
        <f ca="1">IFERROR(__xludf.DUMMYFUNCTION("""COMPUTED_VALUE"""),828125)</f>
        <v>828125</v>
      </c>
      <c r="F547" s="7">
        <f ca="1">IFERROR(__xludf.DUMMYFUNCTION("""COMPUTED_VALUE"""),5607)</f>
        <v>5607</v>
      </c>
      <c r="G547" s="7">
        <f ca="1">IFERROR(__xludf.DUMMYFUNCTION("""COMPUTED_VALUE"""),2395)</f>
        <v>2395</v>
      </c>
      <c r="H547" s="7">
        <f ca="1">IFERROR(__xludf.DUMMYFUNCTION("""COMPUTED_VALUE"""),849369)</f>
        <v>849369</v>
      </c>
      <c r="I547" s="7">
        <f ca="1">IFERROR(__xludf.DUMMYFUNCTION("""COMPUTED_VALUE"""),468)</f>
        <v>468</v>
      </c>
      <c r="J547" s="7">
        <f ca="1">IFERROR(__xludf.DUMMYFUNCTION("""COMPUTED_VALUE"""),8002)</f>
        <v>8002</v>
      </c>
      <c r="K547" s="7">
        <f ca="1">IFERROR(__xludf.DUMMYFUNCTION("""COMPUTED_VALUE"""),451)</f>
        <v>451</v>
      </c>
      <c r="L547" s="7">
        <f ca="1">IFERROR(__xludf.DUMMYFUNCTION("""COMPUTED_VALUE"""),0)</f>
        <v>0</v>
      </c>
      <c r="M547" s="7">
        <f ca="1">IFERROR(__xludf.DUMMYFUNCTION("""COMPUTED_VALUE"""),0)</f>
        <v>0</v>
      </c>
      <c r="N547" s="7">
        <f ca="1">IFERROR(__xludf.DUMMYFUNCTION("""COMPUTED_VALUE"""),8002)</f>
        <v>8002</v>
      </c>
    </row>
    <row r="548" spans="1:14" ht="13.2" x14ac:dyDescent="0.25">
      <c r="A548" s="6">
        <f ca="1">IFERROR(__xludf.DUMMYFUNCTION("""COMPUTED_VALUE"""),44437)</f>
        <v>44437</v>
      </c>
      <c r="B548" s="7">
        <f ca="1">IFERROR(__xludf.DUMMYFUNCTION("""COMPUTED_VALUE"""),8)</f>
        <v>8</v>
      </c>
      <c r="C548" s="8">
        <f ca="1">IFERROR(__xludf.DUMMYFUNCTION("""COMPUTED_VALUE"""),44437.3333333333)</f>
        <v>44437.333333333299</v>
      </c>
      <c r="D548" s="7">
        <f ca="1">IFERROR(__xludf.DUMMYFUNCTION("""COMPUTED_VALUE"""),13252)</f>
        <v>13252</v>
      </c>
      <c r="E548" s="7">
        <f ca="1">IFERROR(__xludf.DUMMYFUNCTION("""COMPUTED_VALUE"""),828838)</f>
        <v>828838</v>
      </c>
      <c r="F548" s="7">
        <f ca="1">IFERROR(__xludf.DUMMYFUNCTION("""COMPUTED_VALUE"""),5497)</f>
        <v>5497</v>
      </c>
      <c r="G548" s="7">
        <f ca="1">IFERROR(__xludf.DUMMYFUNCTION("""COMPUTED_VALUE"""),2256)</f>
        <v>2256</v>
      </c>
      <c r="H548" s="7">
        <f ca="1">IFERROR(__xludf.DUMMYFUNCTION("""COMPUTED_VALUE"""),849843)</f>
        <v>849843</v>
      </c>
      <c r="I548" s="7">
        <f ca="1">IFERROR(__xludf.DUMMYFUNCTION("""COMPUTED_VALUE"""),474)</f>
        <v>474</v>
      </c>
      <c r="J548" s="7">
        <f ca="1">IFERROR(__xludf.DUMMYFUNCTION("""COMPUTED_VALUE"""),7753)</f>
        <v>7753</v>
      </c>
      <c r="K548" s="7">
        <f ca="1">IFERROR(__xludf.DUMMYFUNCTION("""COMPUTED_VALUE"""),713)</f>
        <v>713</v>
      </c>
      <c r="L548" s="7">
        <f ca="1">IFERROR(__xludf.DUMMYFUNCTION("""COMPUTED_VALUE"""),0)</f>
        <v>0</v>
      </c>
      <c r="M548" s="7">
        <f ca="1">IFERROR(__xludf.DUMMYFUNCTION("""COMPUTED_VALUE"""),0)</f>
        <v>0</v>
      </c>
      <c r="N548" s="7">
        <f ca="1">IFERROR(__xludf.DUMMYFUNCTION("""COMPUTED_VALUE"""),7753)</f>
        <v>7753</v>
      </c>
    </row>
    <row r="549" spans="1:14" ht="13.2" x14ac:dyDescent="0.25">
      <c r="A549" s="6">
        <f ca="1">IFERROR(__xludf.DUMMYFUNCTION("""COMPUTED_VALUE"""),44438)</f>
        <v>44438</v>
      </c>
      <c r="B549" s="7">
        <f ca="1">IFERROR(__xludf.DUMMYFUNCTION("""COMPUTED_VALUE"""),8)</f>
        <v>8</v>
      </c>
      <c r="C549" s="8">
        <f ca="1">IFERROR(__xludf.DUMMYFUNCTION("""COMPUTED_VALUE"""),44438.3333333333)</f>
        <v>44438.333333333299</v>
      </c>
      <c r="D549" s="7">
        <f ca="1">IFERROR(__xludf.DUMMYFUNCTION("""COMPUTED_VALUE"""),13261)</f>
        <v>13261</v>
      </c>
      <c r="E549" s="7">
        <f ca="1">IFERROR(__xludf.DUMMYFUNCTION("""COMPUTED_VALUE"""),829668)</f>
        <v>829668</v>
      </c>
      <c r="F549" s="7">
        <f ca="1">IFERROR(__xludf.DUMMYFUNCTION("""COMPUTED_VALUE"""),5097)</f>
        <v>5097</v>
      </c>
      <c r="G549" s="7">
        <f ca="1">IFERROR(__xludf.DUMMYFUNCTION("""COMPUTED_VALUE"""),2158)</f>
        <v>2158</v>
      </c>
      <c r="H549" s="7">
        <f ca="1">IFERROR(__xludf.DUMMYFUNCTION("""COMPUTED_VALUE"""),850184)</f>
        <v>850184</v>
      </c>
      <c r="I549" s="7">
        <f ca="1">IFERROR(__xludf.DUMMYFUNCTION("""COMPUTED_VALUE"""),341)</f>
        <v>341</v>
      </c>
      <c r="J549" s="7">
        <f ca="1">IFERROR(__xludf.DUMMYFUNCTION("""COMPUTED_VALUE"""),7255)</f>
        <v>7255</v>
      </c>
      <c r="K549" s="7">
        <f ca="1">IFERROR(__xludf.DUMMYFUNCTION("""COMPUTED_VALUE"""),830)</f>
        <v>830</v>
      </c>
      <c r="L549" s="7">
        <f ca="1">IFERROR(__xludf.DUMMYFUNCTION("""COMPUTED_VALUE"""),0)</f>
        <v>0</v>
      </c>
      <c r="M549" s="7">
        <f ca="1">IFERROR(__xludf.DUMMYFUNCTION("""COMPUTED_VALUE"""),0)</f>
        <v>0</v>
      </c>
      <c r="N549" s="7">
        <f ca="1">IFERROR(__xludf.DUMMYFUNCTION("""COMPUTED_VALUE"""),7255)</f>
        <v>7255</v>
      </c>
    </row>
    <row r="550" spans="1:14" ht="13.2" x14ac:dyDescent="0.25">
      <c r="A550" s="7"/>
      <c r="B550" s="7"/>
      <c r="C550" s="7"/>
      <c r="D550" s="7"/>
      <c r="E550" s="7"/>
      <c r="F550" s="7"/>
      <c r="G550" s="7"/>
      <c r="H550" s="7"/>
      <c r="I550" s="7"/>
      <c r="J550" s="7"/>
      <c r="K550" s="7"/>
      <c r="L550" s="7"/>
      <c r="M550" s="7"/>
      <c r="N550" s="7"/>
    </row>
    <row r="551" spans="1:14" ht="13.2" x14ac:dyDescent="0.25">
      <c r="A551" s="7"/>
      <c r="B551" s="7"/>
      <c r="C551" s="7"/>
      <c r="D551" s="7"/>
      <c r="E551" s="7"/>
      <c r="F551" s="7"/>
      <c r="G551" s="7"/>
      <c r="H551" s="7"/>
      <c r="I551" s="7"/>
      <c r="J551" s="7"/>
      <c r="K551" s="7"/>
      <c r="L551" s="7"/>
      <c r="M551" s="7"/>
      <c r="N551" s="7"/>
    </row>
    <row r="552" spans="1:14" ht="13.2" x14ac:dyDescent="0.25">
      <c r="A552" s="7"/>
      <c r="B552" s="7"/>
      <c r="C552" s="7"/>
      <c r="D552" s="7"/>
      <c r="E552" s="7"/>
      <c r="F552" s="7"/>
      <c r="G552" s="7"/>
      <c r="H552" s="7"/>
      <c r="I552" s="7"/>
      <c r="J552" s="7"/>
      <c r="K552" s="7"/>
      <c r="L552" s="7"/>
      <c r="M552" s="7"/>
      <c r="N552" s="7"/>
    </row>
    <row r="553" spans="1:14" ht="13.2" x14ac:dyDescent="0.25">
      <c r="A553" s="7"/>
      <c r="B553" s="7"/>
      <c r="C553" s="7"/>
      <c r="D553" s="7"/>
      <c r="E553" s="7"/>
      <c r="F553" s="7"/>
      <c r="G553" s="7"/>
      <c r="H553" s="7"/>
      <c r="I553" s="7"/>
      <c r="J553" s="7"/>
      <c r="K553" s="7"/>
      <c r="L553" s="7"/>
      <c r="M553" s="7"/>
      <c r="N553" s="7"/>
    </row>
    <row r="554" spans="1:14" ht="13.2" x14ac:dyDescent="0.25">
      <c r="A554" s="7"/>
      <c r="B554" s="7"/>
      <c r="C554" s="7"/>
      <c r="D554" s="7"/>
      <c r="E554" s="7"/>
      <c r="F554" s="7"/>
      <c r="G554" s="7"/>
      <c r="H554" s="7"/>
      <c r="I554" s="7"/>
      <c r="J554" s="7"/>
      <c r="K554" s="7"/>
      <c r="L554" s="7"/>
      <c r="M554" s="7"/>
      <c r="N554" s="7"/>
    </row>
    <row r="555" spans="1:14" ht="13.2" x14ac:dyDescent="0.25">
      <c r="A555" s="7"/>
      <c r="B555" s="7"/>
      <c r="C555" s="7"/>
      <c r="D555" s="7"/>
      <c r="E555" s="7"/>
      <c r="F555" s="7"/>
      <c r="G555" s="7"/>
      <c r="H555" s="7"/>
      <c r="I555" s="7"/>
      <c r="J555" s="7"/>
      <c r="K555" s="7"/>
      <c r="L555" s="7"/>
      <c r="M555" s="7"/>
      <c r="N555" s="7"/>
    </row>
    <row r="556" spans="1:14" ht="13.2" x14ac:dyDescent="0.25">
      <c r="A556" s="7"/>
      <c r="B556" s="7"/>
      <c r="C556" s="7"/>
      <c r="D556" s="7"/>
      <c r="E556" s="7"/>
      <c r="F556" s="7"/>
      <c r="G556" s="7"/>
      <c r="H556" s="7"/>
      <c r="I556" s="7"/>
      <c r="J556" s="7"/>
      <c r="K556" s="7"/>
      <c r="L556" s="7"/>
      <c r="M556" s="7"/>
      <c r="N556" s="7"/>
    </row>
    <row r="557" spans="1:14" ht="13.2" x14ac:dyDescent="0.25">
      <c r="A557" s="7"/>
      <c r="B557" s="7"/>
      <c r="C557" s="7"/>
      <c r="D557" s="7"/>
      <c r="E557" s="7"/>
      <c r="F557" s="7"/>
      <c r="G557" s="7"/>
      <c r="H557" s="7"/>
      <c r="I557" s="7"/>
      <c r="J557" s="7"/>
      <c r="K557" s="7"/>
      <c r="L557" s="7"/>
      <c r="M557" s="7"/>
      <c r="N557" s="7"/>
    </row>
    <row r="558" spans="1:14" ht="13.2" x14ac:dyDescent="0.25">
      <c r="A558" s="7"/>
      <c r="B558" s="7"/>
      <c r="C558" s="7"/>
      <c r="D558" s="7"/>
      <c r="E558" s="7"/>
      <c r="F558" s="7"/>
      <c r="G558" s="7"/>
      <c r="H558" s="7"/>
      <c r="I558" s="7"/>
      <c r="J558" s="7"/>
      <c r="K558" s="7"/>
      <c r="L558" s="7"/>
      <c r="M558" s="7"/>
      <c r="N558" s="7"/>
    </row>
    <row r="559" spans="1:14" ht="13.2" x14ac:dyDescent="0.25">
      <c r="A559" s="7"/>
      <c r="B559" s="7"/>
      <c r="C559" s="7"/>
      <c r="D559" s="7"/>
      <c r="E559" s="7"/>
      <c r="F559" s="7"/>
      <c r="G559" s="7"/>
      <c r="H559" s="7"/>
      <c r="I559" s="7"/>
      <c r="J559" s="7"/>
      <c r="K559" s="7"/>
      <c r="L559" s="7"/>
      <c r="M559" s="7"/>
      <c r="N559" s="7"/>
    </row>
    <row r="560" spans="1:14" ht="13.2" x14ac:dyDescent="0.25">
      <c r="A560" s="7"/>
      <c r="B560" s="7"/>
      <c r="C560" s="7"/>
      <c r="D560" s="7"/>
      <c r="E560" s="7"/>
      <c r="F560" s="7"/>
      <c r="G560" s="7"/>
      <c r="H560" s="7"/>
      <c r="I560" s="7"/>
      <c r="J560" s="7"/>
      <c r="K560" s="7"/>
      <c r="L560" s="7"/>
      <c r="M560" s="7"/>
      <c r="N560" s="7"/>
    </row>
    <row r="561" spans="1:14" ht="13.2" x14ac:dyDescent="0.25">
      <c r="A561" s="7"/>
      <c r="B561" s="7"/>
      <c r="C561" s="7"/>
      <c r="D561" s="7"/>
      <c r="E561" s="7"/>
      <c r="F561" s="7"/>
      <c r="G561" s="7"/>
      <c r="H561" s="7"/>
      <c r="I561" s="7"/>
      <c r="J561" s="7"/>
      <c r="K561" s="7"/>
      <c r="L561" s="7"/>
      <c r="M561" s="7"/>
      <c r="N561" s="7"/>
    </row>
    <row r="562" spans="1:14" ht="13.2" x14ac:dyDescent="0.25">
      <c r="A562" s="7"/>
      <c r="B562" s="7"/>
      <c r="C562" s="7"/>
      <c r="D562" s="7"/>
      <c r="E562" s="7"/>
      <c r="F562" s="7"/>
      <c r="G562" s="7"/>
      <c r="H562" s="7"/>
      <c r="I562" s="7"/>
      <c r="J562" s="7"/>
      <c r="K562" s="7"/>
      <c r="L562" s="7"/>
      <c r="M562" s="7"/>
      <c r="N562" s="7"/>
    </row>
    <row r="563" spans="1:14" ht="13.2" x14ac:dyDescent="0.25">
      <c r="A563" s="7"/>
      <c r="B563" s="7"/>
      <c r="C563" s="7"/>
      <c r="D563" s="7"/>
      <c r="E563" s="7"/>
      <c r="F563" s="7"/>
      <c r="G563" s="7"/>
      <c r="H563" s="7"/>
      <c r="I563" s="7"/>
      <c r="J563" s="7"/>
      <c r="K563" s="7"/>
      <c r="L563" s="7"/>
      <c r="M563" s="7"/>
      <c r="N563" s="7"/>
    </row>
    <row r="564" spans="1:14" ht="13.2" x14ac:dyDescent="0.25">
      <c r="A564" s="7"/>
      <c r="B564" s="7"/>
      <c r="C564" s="7"/>
      <c r="D564" s="7"/>
      <c r="E564" s="7"/>
      <c r="F564" s="7"/>
      <c r="G564" s="7"/>
      <c r="H564" s="7"/>
      <c r="I564" s="7"/>
      <c r="J564" s="7"/>
      <c r="K564" s="7"/>
      <c r="L564" s="7"/>
      <c r="M564" s="7"/>
      <c r="N564" s="7"/>
    </row>
    <row r="565" spans="1:14" ht="13.2" x14ac:dyDescent="0.25">
      <c r="A565" s="7"/>
      <c r="B565" s="7"/>
      <c r="C565" s="7"/>
      <c r="D565" s="7"/>
      <c r="E565" s="7"/>
      <c r="F565" s="7"/>
      <c r="G565" s="7"/>
      <c r="H565" s="7"/>
      <c r="I565" s="7"/>
      <c r="J565" s="7"/>
      <c r="K565" s="7"/>
      <c r="L565" s="7"/>
      <c r="M565" s="7"/>
      <c r="N565" s="7"/>
    </row>
    <row r="566" spans="1:14" ht="13.2" x14ac:dyDescent="0.25">
      <c r="A566" s="7"/>
      <c r="B566" s="7"/>
      <c r="C566" s="7"/>
      <c r="D566" s="7"/>
      <c r="E566" s="7"/>
      <c r="F566" s="7"/>
      <c r="G566" s="7"/>
      <c r="H566" s="7"/>
      <c r="I566" s="7"/>
      <c r="J566" s="7"/>
      <c r="K566" s="7"/>
      <c r="L566" s="7"/>
      <c r="M566" s="7"/>
      <c r="N566" s="7"/>
    </row>
    <row r="567" spans="1:14" ht="13.2" x14ac:dyDescent="0.25">
      <c r="A567" s="7"/>
      <c r="B567" s="7"/>
      <c r="C567" s="7"/>
      <c r="D567" s="7"/>
      <c r="E567" s="7"/>
      <c r="F567" s="7"/>
      <c r="G567" s="7"/>
      <c r="H567" s="7"/>
      <c r="I567" s="7"/>
      <c r="J567" s="7"/>
      <c r="K567" s="7"/>
      <c r="L567" s="7"/>
      <c r="M567" s="7"/>
      <c r="N567" s="7"/>
    </row>
    <row r="568" spans="1:14" ht="13.2" x14ac:dyDescent="0.25">
      <c r="A568" s="7"/>
      <c r="B568" s="7"/>
      <c r="C568" s="7"/>
      <c r="D568" s="7"/>
      <c r="E568" s="7"/>
      <c r="F568" s="7"/>
      <c r="G568" s="7"/>
      <c r="H568" s="7"/>
      <c r="I568" s="7"/>
      <c r="J568" s="7"/>
      <c r="K568" s="7"/>
      <c r="L568" s="7"/>
      <c r="M568" s="7"/>
      <c r="N568" s="7"/>
    </row>
    <row r="569" spans="1:14" ht="13.2" x14ac:dyDescent="0.25">
      <c r="A569" s="7"/>
      <c r="B569" s="7"/>
      <c r="C569" s="7"/>
      <c r="D569" s="7"/>
      <c r="E569" s="7"/>
      <c r="F569" s="7"/>
      <c r="G569" s="7"/>
      <c r="H569" s="7"/>
      <c r="I569" s="7"/>
      <c r="J569" s="7"/>
      <c r="K569" s="7"/>
      <c r="L569" s="7"/>
      <c r="M569" s="7"/>
      <c r="N569" s="7"/>
    </row>
    <row r="570" spans="1:14" ht="13.2" x14ac:dyDescent="0.25">
      <c r="A570" s="7"/>
      <c r="B570" s="7"/>
      <c r="C570" s="7"/>
      <c r="D570" s="7"/>
      <c r="E570" s="7"/>
      <c r="F570" s="7"/>
      <c r="G570" s="7"/>
      <c r="H570" s="7"/>
      <c r="I570" s="7"/>
      <c r="J570" s="7"/>
      <c r="K570" s="7"/>
      <c r="L570" s="7"/>
      <c r="M570" s="7"/>
      <c r="N570" s="7"/>
    </row>
    <row r="571" spans="1:14" ht="13.2" x14ac:dyDescent="0.25">
      <c r="A571" s="7"/>
      <c r="B571" s="7"/>
      <c r="C571" s="7"/>
      <c r="D571" s="7"/>
      <c r="E571" s="7"/>
      <c r="F571" s="7"/>
      <c r="G571" s="7"/>
      <c r="H571" s="7"/>
      <c r="I571" s="7"/>
      <c r="J571" s="7"/>
      <c r="K571" s="7"/>
      <c r="L571" s="7"/>
      <c r="M571" s="7"/>
      <c r="N571" s="7"/>
    </row>
    <row r="572" spans="1:14" ht="13.2" x14ac:dyDescent="0.25">
      <c r="A572" s="7"/>
      <c r="B572" s="7"/>
      <c r="C572" s="7"/>
      <c r="D572" s="7"/>
      <c r="E572" s="7"/>
      <c r="F572" s="7"/>
      <c r="G572" s="7"/>
      <c r="H572" s="7"/>
      <c r="I572" s="7"/>
      <c r="J572" s="7"/>
      <c r="K572" s="7"/>
      <c r="L572" s="7"/>
      <c r="M572" s="7"/>
      <c r="N572" s="7"/>
    </row>
    <row r="573" spans="1:14" ht="13.2" x14ac:dyDescent="0.25">
      <c r="A573" s="7"/>
      <c r="B573" s="7"/>
      <c r="C573" s="7"/>
      <c r="D573" s="7"/>
      <c r="E573" s="7"/>
      <c r="F573" s="7"/>
      <c r="G573" s="7"/>
      <c r="H573" s="7"/>
      <c r="I573" s="7"/>
      <c r="J573" s="7"/>
      <c r="K573" s="7"/>
      <c r="L573" s="7"/>
      <c r="M573" s="7"/>
      <c r="N573" s="7"/>
    </row>
    <row r="574" spans="1:14" ht="13.2" x14ac:dyDescent="0.25">
      <c r="A574" s="7"/>
      <c r="B574" s="7"/>
      <c r="C574" s="7"/>
      <c r="D574" s="7"/>
      <c r="E574" s="7"/>
      <c r="F574" s="7"/>
      <c r="G574" s="7"/>
      <c r="H574" s="7"/>
      <c r="I574" s="7"/>
      <c r="J574" s="7"/>
      <c r="K574" s="7"/>
      <c r="L574" s="7"/>
      <c r="M574" s="7"/>
      <c r="N574" s="7"/>
    </row>
    <row r="575" spans="1:14" ht="13.2" x14ac:dyDescent="0.25">
      <c r="A575" s="7"/>
      <c r="B575" s="7"/>
      <c r="C575" s="7"/>
      <c r="D575" s="7"/>
      <c r="E575" s="7"/>
      <c r="F575" s="7"/>
      <c r="G575" s="7"/>
      <c r="H575" s="7"/>
      <c r="I575" s="7"/>
      <c r="J575" s="7"/>
      <c r="K575" s="7"/>
      <c r="L575" s="7"/>
      <c r="M575" s="7"/>
      <c r="N575" s="7"/>
    </row>
    <row r="576" spans="1:14" ht="13.2" x14ac:dyDescent="0.25">
      <c r="A576" s="7"/>
      <c r="B576" s="7"/>
      <c r="C576" s="7"/>
      <c r="D576" s="7"/>
      <c r="E576" s="7"/>
      <c r="F576" s="7"/>
      <c r="G576" s="7"/>
      <c r="H576" s="7"/>
      <c r="I576" s="7"/>
      <c r="J576" s="7"/>
      <c r="K576" s="7"/>
      <c r="L576" s="7"/>
      <c r="M576" s="7"/>
      <c r="N576" s="7"/>
    </row>
    <row r="577" spans="1:14" ht="13.2" x14ac:dyDescent="0.25">
      <c r="A577" s="7"/>
      <c r="B577" s="7"/>
      <c r="C577" s="7"/>
      <c r="D577" s="7"/>
      <c r="E577" s="7"/>
      <c r="F577" s="7"/>
      <c r="G577" s="7"/>
      <c r="H577" s="7"/>
      <c r="I577" s="7"/>
      <c r="J577" s="7"/>
      <c r="K577" s="7"/>
      <c r="L577" s="7"/>
      <c r="M577" s="7"/>
      <c r="N577" s="7"/>
    </row>
    <row r="578" spans="1:14" ht="13.2" x14ac:dyDescent="0.25">
      <c r="A578" s="7"/>
      <c r="B578" s="7"/>
      <c r="C578" s="7"/>
      <c r="D578" s="7"/>
      <c r="E578" s="7"/>
      <c r="F578" s="7"/>
      <c r="G578" s="7"/>
      <c r="H578" s="7"/>
      <c r="I578" s="7"/>
      <c r="J578" s="7"/>
      <c r="K578" s="7"/>
      <c r="L578" s="7"/>
      <c r="M578" s="7"/>
      <c r="N578" s="7"/>
    </row>
    <row r="579" spans="1:14" ht="13.2" x14ac:dyDescent="0.25">
      <c r="A579" s="7"/>
      <c r="B579" s="7"/>
      <c r="C579" s="7"/>
      <c r="D579" s="7"/>
      <c r="E579" s="7"/>
      <c r="F579" s="7"/>
      <c r="G579" s="7"/>
      <c r="H579" s="7"/>
      <c r="I579" s="7"/>
      <c r="J579" s="7"/>
      <c r="K579" s="7"/>
      <c r="L579" s="7"/>
      <c r="M579" s="7"/>
      <c r="N579" s="7"/>
    </row>
    <row r="580" spans="1:14" ht="13.2" x14ac:dyDescent="0.25">
      <c r="A580" s="7"/>
      <c r="B580" s="7"/>
      <c r="C580" s="7"/>
      <c r="D580" s="7"/>
      <c r="E580" s="7"/>
      <c r="F580" s="7"/>
      <c r="G580" s="7"/>
      <c r="H580" s="7"/>
      <c r="I580" s="7"/>
      <c r="J580" s="7"/>
      <c r="K580" s="7"/>
      <c r="L580" s="7"/>
      <c r="M580" s="7"/>
      <c r="N580" s="7"/>
    </row>
    <row r="581" spans="1:14" ht="13.2" x14ac:dyDescent="0.25">
      <c r="A581" s="7"/>
      <c r="B581" s="7"/>
      <c r="C581" s="7"/>
      <c r="D581" s="7"/>
      <c r="E581" s="7"/>
      <c r="F581" s="7"/>
      <c r="G581" s="7"/>
      <c r="H581" s="7"/>
      <c r="I581" s="7"/>
      <c r="J581" s="7"/>
      <c r="K581" s="7"/>
      <c r="L581" s="7"/>
      <c r="M581" s="7"/>
      <c r="N581" s="7"/>
    </row>
    <row r="582" spans="1:14" ht="13.2" x14ac:dyDescent="0.25">
      <c r="A582" s="7"/>
      <c r="B582" s="7"/>
      <c r="C582" s="7"/>
      <c r="D582" s="7"/>
      <c r="E582" s="7"/>
      <c r="F582" s="7"/>
      <c r="G582" s="7"/>
      <c r="H582" s="7"/>
      <c r="I582" s="7"/>
      <c r="J582" s="7"/>
      <c r="K582" s="7"/>
      <c r="L582" s="7"/>
      <c r="M582" s="7"/>
      <c r="N582" s="7"/>
    </row>
    <row r="583" spans="1:14" ht="13.2" x14ac:dyDescent="0.25">
      <c r="A583" s="7"/>
      <c r="B583" s="7"/>
      <c r="C583" s="7"/>
      <c r="D583" s="7"/>
      <c r="E583" s="7"/>
      <c r="F583" s="7"/>
      <c r="G583" s="7"/>
      <c r="H583" s="7"/>
      <c r="I583" s="7"/>
      <c r="J583" s="7"/>
      <c r="K583" s="7"/>
      <c r="L583" s="7"/>
      <c r="M583" s="7"/>
      <c r="N583" s="7"/>
    </row>
    <row r="584" spans="1:14" ht="13.2" x14ac:dyDescent="0.25">
      <c r="A584" s="7"/>
      <c r="B584" s="7"/>
      <c r="C584" s="7"/>
      <c r="D584" s="7"/>
      <c r="E584" s="7"/>
      <c r="F584" s="7"/>
      <c r="G584" s="7"/>
      <c r="H584" s="7"/>
      <c r="I584" s="7"/>
      <c r="J584" s="7"/>
      <c r="K584" s="7"/>
      <c r="L584" s="7"/>
      <c r="M584" s="7"/>
      <c r="N584" s="7"/>
    </row>
    <row r="585" spans="1:14" ht="13.2" x14ac:dyDescent="0.25">
      <c r="A585" s="7"/>
      <c r="B585" s="7"/>
      <c r="C585" s="7"/>
      <c r="D585" s="7"/>
      <c r="E585" s="7"/>
      <c r="F585" s="7"/>
      <c r="G585" s="7"/>
      <c r="H585" s="7"/>
      <c r="I585" s="7"/>
      <c r="J585" s="7"/>
      <c r="K585" s="7"/>
      <c r="L585" s="7"/>
      <c r="M585" s="7"/>
      <c r="N585" s="7"/>
    </row>
    <row r="586" spans="1:14" ht="13.2" x14ac:dyDescent="0.25">
      <c r="A586" s="7"/>
      <c r="B586" s="7"/>
      <c r="C586" s="7"/>
      <c r="D586" s="7"/>
      <c r="E586" s="7"/>
      <c r="F586" s="7"/>
      <c r="G586" s="7"/>
      <c r="H586" s="7"/>
      <c r="I586" s="7"/>
      <c r="J586" s="7"/>
      <c r="K586" s="7"/>
      <c r="L586" s="7"/>
      <c r="M586" s="7"/>
      <c r="N586" s="7"/>
    </row>
    <row r="587" spans="1:14" ht="13.2" x14ac:dyDescent="0.25">
      <c r="A587" s="7"/>
      <c r="B587" s="7"/>
      <c r="C587" s="7"/>
      <c r="D587" s="7"/>
      <c r="E587" s="7"/>
      <c r="F587" s="7"/>
      <c r="G587" s="7"/>
      <c r="H587" s="7"/>
      <c r="I587" s="7"/>
      <c r="J587" s="7"/>
      <c r="K587" s="7"/>
      <c r="L587" s="7"/>
      <c r="M587" s="7"/>
      <c r="N587" s="7"/>
    </row>
    <row r="588" spans="1:14" ht="13.2" x14ac:dyDescent="0.25">
      <c r="A588" s="7"/>
      <c r="B588" s="7"/>
      <c r="C588" s="7"/>
      <c r="D588" s="7"/>
      <c r="E588" s="7"/>
      <c r="F588" s="7"/>
      <c r="G588" s="7"/>
      <c r="H588" s="7"/>
      <c r="I588" s="7"/>
      <c r="J588" s="7"/>
      <c r="K588" s="7"/>
      <c r="L588" s="7"/>
      <c r="M588" s="7"/>
      <c r="N588" s="7"/>
    </row>
    <row r="589" spans="1:14" ht="13.2" x14ac:dyDescent="0.25">
      <c r="A589" s="7"/>
      <c r="B589" s="7"/>
      <c r="C589" s="7"/>
      <c r="D589" s="7"/>
      <c r="E589" s="7"/>
      <c r="F589" s="7"/>
      <c r="G589" s="7"/>
      <c r="H589" s="7"/>
      <c r="I589" s="7"/>
      <c r="J589" s="7"/>
      <c r="K589" s="7"/>
      <c r="L589" s="7"/>
      <c r="M589" s="7"/>
      <c r="N589" s="7"/>
    </row>
    <row r="590" spans="1:14" ht="13.2" x14ac:dyDescent="0.25">
      <c r="A590" s="7"/>
      <c r="B590" s="7"/>
      <c r="C590" s="7"/>
      <c r="D590" s="7"/>
      <c r="E590" s="7"/>
      <c r="F590" s="7"/>
      <c r="G590" s="7"/>
      <c r="H590" s="7"/>
      <c r="I590" s="7"/>
      <c r="J590" s="7"/>
      <c r="K590" s="7"/>
      <c r="L590" s="7"/>
      <c r="M590" s="7"/>
      <c r="N590" s="7"/>
    </row>
    <row r="591" spans="1:14" ht="13.2" x14ac:dyDescent="0.25">
      <c r="A591" s="7"/>
      <c r="B591" s="7"/>
      <c r="C591" s="7"/>
      <c r="D591" s="7"/>
      <c r="E591" s="7"/>
      <c r="F591" s="7"/>
      <c r="G591" s="7"/>
      <c r="H591" s="7"/>
      <c r="I591" s="7"/>
      <c r="J591" s="7"/>
      <c r="K591" s="7"/>
      <c r="L591" s="7"/>
      <c r="M591" s="7"/>
      <c r="N591" s="7"/>
    </row>
    <row r="592" spans="1:14" ht="13.2" x14ac:dyDescent="0.25">
      <c r="A592" s="7"/>
      <c r="B592" s="7"/>
      <c r="C592" s="7"/>
      <c r="D592" s="7"/>
      <c r="E592" s="7"/>
      <c r="F592" s="7"/>
      <c r="G592" s="7"/>
      <c r="H592" s="7"/>
      <c r="I592" s="7"/>
      <c r="J592" s="7"/>
      <c r="K592" s="7"/>
      <c r="L592" s="7"/>
      <c r="M592" s="7"/>
      <c r="N592" s="7"/>
    </row>
    <row r="593" spans="1:14" ht="13.2" x14ac:dyDescent="0.25">
      <c r="A593" s="7"/>
      <c r="B593" s="7"/>
      <c r="C593" s="7"/>
      <c r="D593" s="7"/>
      <c r="E593" s="7"/>
      <c r="F593" s="7"/>
      <c r="G593" s="7"/>
      <c r="H593" s="7"/>
      <c r="I593" s="7"/>
      <c r="J593" s="7"/>
      <c r="K593" s="7"/>
      <c r="L593" s="7"/>
      <c r="M593" s="7"/>
      <c r="N593" s="7"/>
    </row>
    <row r="594" spans="1:14" ht="13.2" x14ac:dyDescent="0.25">
      <c r="A594" s="7"/>
      <c r="B594" s="7"/>
      <c r="C594" s="7"/>
      <c r="D594" s="7"/>
      <c r="E594" s="7"/>
      <c r="F594" s="7"/>
      <c r="G594" s="7"/>
      <c r="H594" s="7"/>
      <c r="I594" s="7"/>
      <c r="J594" s="7"/>
      <c r="K594" s="7"/>
      <c r="L594" s="7"/>
      <c r="M594" s="7"/>
      <c r="N594" s="7"/>
    </row>
    <row r="595" spans="1:14" ht="13.2" x14ac:dyDescent="0.25">
      <c r="A595" s="7"/>
      <c r="B595" s="7"/>
      <c r="C595" s="7"/>
      <c r="D595" s="7"/>
      <c r="E595" s="7"/>
      <c r="F595" s="7"/>
      <c r="G595" s="7"/>
      <c r="H595" s="7"/>
      <c r="I595" s="7"/>
      <c r="J595" s="7"/>
      <c r="K595" s="7"/>
      <c r="L595" s="7"/>
      <c r="M595" s="7"/>
      <c r="N595" s="7"/>
    </row>
    <row r="596" spans="1:14" ht="13.2" x14ac:dyDescent="0.25">
      <c r="A596" s="7"/>
      <c r="B596" s="7"/>
      <c r="C596" s="7"/>
      <c r="D596" s="7"/>
      <c r="E596" s="7"/>
      <c r="F596" s="7"/>
      <c r="G596" s="7"/>
      <c r="H596" s="7"/>
      <c r="I596" s="7"/>
      <c r="J596" s="7"/>
      <c r="K596" s="7"/>
      <c r="L596" s="7"/>
      <c r="M596" s="7"/>
      <c r="N596" s="7"/>
    </row>
    <row r="597" spans="1:14" ht="13.2" x14ac:dyDescent="0.25">
      <c r="A597" s="7"/>
      <c r="B597" s="7"/>
      <c r="C597" s="7"/>
      <c r="D597" s="7"/>
      <c r="E597" s="7"/>
      <c r="F597" s="7"/>
      <c r="G597" s="7"/>
      <c r="H597" s="7"/>
      <c r="I597" s="7"/>
      <c r="J597" s="7"/>
      <c r="K597" s="7"/>
      <c r="L597" s="7"/>
      <c r="M597" s="7"/>
      <c r="N597" s="7"/>
    </row>
    <row r="598" spans="1:14" ht="13.2" x14ac:dyDescent="0.25">
      <c r="A598" s="7"/>
      <c r="B598" s="7"/>
      <c r="C598" s="7"/>
      <c r="D598" s="7"/>
      <c r="E598" s="7"/>
      <c r="F598" s="7"/>
      <c r="G598" s="7"/>
      <c r="H598" s="7"/>
      <c r="I598" s="7"/>
      <c r="J598" s="7"/>
      <c r="K598" s="7"/>
      <c r="L598" s="7"/>
      <c r="M598" s="7"/>
      <c r="N598" s="7"/>
    </row>
    <row r="599" spans="1:14" ht="13.2" x14ac:dyDescent="0.25">
      <c r="A599" s="7"/>
      <c r="B599" s="7"/>
      <c r="C599" s="7"/>
      <c r="D599" s="7"/>
      <c r="E599" s="7"/>
      <c r="F599" s="7"/>
      <c r="G599" s="7"/>
      <c r="H599" s="7"/>
      <c r="I599" s="7"/>
      <c r="J599" s="7"/>
      <c r="K599" s="7"/>
      <c r="L599" s="7"/>
      <c r="M599" s="7"/>
      <c r="N599" s="7"/>
    </row>
    <row r="600" spans="1:14" ht="13.2" x14ac:dyDescent="0.25">
      <c r="A600" s="7"/>
      <c r="B600" s="7"/>
      <c r="C600" s="7"/>
      <c r="D600" s="7"/>
      <c r="E600" s="7"/>
      <c r="F600" s="7"/>
      <c r="G600" s="7"/>
      <c r="H600" s="7"/>
      <c r="I600" s="7"/>
      <c r="J600" s="7"/>
      <c r="K600" s="7"/>
      <c r="L600" s="7"/>
      <c r="M600" s="7"/>
      <c r="N600" s="7"/>
    </row>
    <row r="601" spans="1:14" ht="13.2" x14ac:dyDescent="0.25">
      <c r="A601" s="7"/>
      <c r="B601" s="7"/>
      <c r="C601" s="7"/>
      <c r="D601" s="7"/>
      <c r="E601" s="7"/>
      <c r="F601" s="7"/>
      <c r="G601" s="7"/>
      <c r="H601" s="7"/>
      <c r="I601" s="7"/>
      <c r="J601" s="7"/>
      <c r="K601" s="7"/>
      <c r="L601" s="7"/>
      <c r="M601" s="7"/>
      <c r="N601" s="7"/>
    </row>
    <row r="602" spans="1:14" ht="13.2" x14ac:dyDescent="0.25">
      <c r="A602" s="7"/>
      <c r="B602" s="7"/>
      <c r="C602" s="7"/>
      <c r="D602" s="7"/>
      <c r="E602" s="7"/>
      <c r="F602" s="7"/>
      <c r="G602" s="7"/>
      <c r="H602" s="7"/>
      <c r="I602" s="7"/>
      <c r="J602" s="7"/>
      <c r="K602" s="7"/>
      <c r="L602" s="7"/>
      <c r="M602" s="7"/>
      <c r="N602" s="7"/>
    </row>
    <row r="603" spans="1:14" ht="13.2" x14ac:dyDescent="0.25">
      <c r="A603" s="7"/>
      <c r="B603" s="7"/>
      <c r="C603" s="7"/>
      <c r="D603" s="7"/>
      <c r="E603" s="7"/>
      <c r="F603" s="7"/>
      <c r="G603" s="7"/>
      <c r="H603" s="7"/>
      <c r="I603" s="7"/>
      <c r="J603" s="7"/>
      <c r="K603" s="7"/>
      <c r="L603" s="7"/>
      <c r="M603" s="7"/>
      <c r="N603" s="7"/>
    </row>
    <row r="604" spans="1:14" ht="13.2" x14ac:dyDescent="0.25">
      <c r="A604" s="7"/>
      <c r="B604" s="7"/>
      <c r="C604" s="7"/>
      <c r="D604" s="7"/>
      <c r="E604" s="7"/>
      <c r="F604" s="7"/>
      <c r="G604" s="7"/>
      <c r="H604" s="7"/>
      <c r="I604" s="7"/>
      <c r="J604" s="7"/>
      <c r="K604" s="7"/>
      <c r="L604" s="7"/>
      <c r="M604" s="7"/>
      <c r="N604" s="7"/>
    </row>
    <row r="605" spans="1:14" ht="13.2" x14ac:dyDescent="0.25">
      <c r="A605" s="7"/>
      <c r="B605" s="7"/>
      <c r="C605" s="7"/>
      <c r="D605" s="7"/>
      <c r="E605" s="7"/>
      <c r="F605" s="7"/>
      <c r="G605" s="7"/>
      <c r="H605" s="7"/>
      <c r="I605" s="7"/>
      <c r="J605" s="7"/>
      <c r="K605" s="7"/>
      <c r="L605" s="7"/>
      <c r="M605" s="7"/>
      <c r="N605" s="7"/>
    </row>
    <row r="606" spans="1:14" ht="13.2" x14ac:dyDescent="0.25">
      <c r="A606" s="7"/>
      <c r="B606" s="7"/>
      <c r="C606" s="7"/>
      <c r="D606" s="7"/>
      <c r="E606" s="7"/>
      <c r="F606" s="7"/>
      <c r="G606" s="7"/>
      <c r="H606" s="7"/>
      <c r="I606" s="7"/>
      <c r="J606" s="7"/>
      <c r="K606" s="7"/>
      <c r="L606" s="7"/>
      <c r="M606" s="7"/>
      <c r="N606" s="7"/>
    </row>
    <row r="607" spans="1:14" ht="13.2" x14ac:dyDescent="0.25">
      <c r="A607" s="7"/>
      <c r="B607" s="7"/>
      <c r="C607" s="7"/>
      <c r="D607" s="7"/>
      <c r="E607" s="7"/>
      <c r="F607" s="7"/>
      <c r="G607" s="7"/>
      <c r="H607" s="7"/>
      <c r="I607" s="7"/>
      <c r="J607" s="7"/>
      <c r="K607" s="7"/>
      <c r="L607" s="7"/>
      <c r="M607" s="7"/>
      <c r="N607" s="7"/>
    </row>
    <row r="608" spans="1:14" ht="13.2" x14ac:dyDescent="0.25">
      <c r="A608" s="7"/>
      <c r="B608" s="7"/>
      <c r="C608" s="7"/>
      <c r="D608" s="7"/>
      <c r="E608" s="7"/>
      <c r="F608" s="7"/>
      <c r="G608" s="7"/>
      <c r="H608" s="7"/>
      <c r="I608" s="7"/>
      <c r="J608" s="7"/>
      <c r="K608" s="7"/>
      <c r="L608" s="7"/>
      <c r="M608" s="7"/>
      <c r="N608" s="7"/>
    </row>
    <row r="609" spans="1:14" ht="13.2" x14ac:dyDescent="0.25">
      <c r="A609" s="7"/>
      <c r="B609" s="7"/>
      <c r="C609" s="7"/>
      <c r="D609" s="7"/>
      <c r="E609" s="7"/>
      <c r="F609" s="7"/>
      <c r="G609" s="7"/>
      <c r="H609" s="7"/>
      <c r="I609" s="7"/>
      <c r="J609" s="7"/>
      <c r="K609" s="7"/>
      <c r="L609" s="7"/>
      <c r="M609" s="7"/>
      <c r="N609" s="7"/>
    </row>
    <row r="610" spans="1:14" ht="13.2" x14ac:dyDescent="0.25">
      <c r="A610" s="7"/>
      <c r="B610" s="7"/>
      <c r="C610" s="7"/>
      <c r="D610" s="7"/>
      <c r="E610" s="7"/>
      <c r="F610" s="7"/>
      <c r="G610" s="7"/>
      <c r="H610" s="7"/>
      <c r="I610" s="7"/>
      <c r="J610" s="7"/>
      <c r="K610" s="7"/>
      <c r="L610" s="7"/>
      <c r="M610" s="7"/>
      <c r="N610" s="7"/>
    </row>
    <row r="611" spans="1:14" ht="13.2" x14ac:dyDescent="0.25">
      <c r="A611" s="7"/>
      <c r="B611" s="7"/>
      <c r="C611" s="7"/>
      <c r="D611" s="7"/>
      <c r="E611" s="7"/>
      <c r="F611" s="7"/>
      <c r="G611" s="7"/>
      <c r="H611" s="7"/>
      <c r="I611" s="7"/>
      <c r="J611" s="7"/>
      <c r="K611" s="7"/>
      <c r="L611" s="7"/>
      <c r="M611" s="7"/>
      <c r="N611" s="7"/>
    </row>
    <row r="612" spans="1:14" ht="13.2" x14ac:dyDescent="0.25">
      <c r="A612" s="7"/>
      <c r="B612" s="7"/>
      <c r="C612" s="7"/>
      <c r="D612" s="7"/>
      <c r="E612" s="7"/>
      <c r="F612" s="7"/>
      <c r="G612" s="7"/>
      <c r="H612" s="7"/>
      <c r="I612" s="7"/>
      <c r="J612" s="7"/>
      <c r="K612" s="7"/>
      <c r="L612" s="7"/>
      <c r="M612" s="7"/>
      <c r="N612" s="7"/>
    </row>
    <row r="613" spans="1:14" ht="13.2" x14ac:dyDescent="0.25">
      <c r="A613" s="7"/>
      <c r="B613" s="7"/>
      <c r="C613" s="7"/>
      <c r="D613" s="7"/>
      <c r="E613" s="7"/>
      <c r="F613" s="7"/>
      <c r="G613" s="7"/>
      <c r="H613" s="7"/>
      <c r="I613" s="7"/>
      <c r="J613" s="7"/>
      <c r="K613" s="7"/>
      <c r="L613" s="7"/>
      <c r="M613" s="7"/>
      <c r="N613" s="7"/>
    </row>
    <row r="614" spans="1:14" ht="13.2" x14ac:dyDescent="0.25">
      <c r="A614" s="7"/>
      <c r="B614" s="7"/>
      <c r="C614" s="7"/>
      <c r="D614" s="7"/>
      <c r="E614" s="7"/>
      <c r="F614" s="7"/>
      <c r="G614" s="7"/>
      <c r="H614" s="7"/>
      <c r="I614" s="7"/>
      <c r="J614" s="7"/>
      <c r="K614" s="7"/>
      <c r="L614" s="7"/>
      <c r="M614" s="7"/>
      <c r="N614" s="7"/>
    </row>
    <row r="615" spans="1:14" ht="13.2" x14ac:dyDescent="0.25">
      <c r="A615" s="7"/>
      <c r="B615" s="7"/>
      <c r="C615" s="7"/>
      <c r="D615" s="7"/>
      <c r="E615" s="7"/>
      <c r="F615" s="7"/>
      <c r="G615" s="7"/>
      <c r="H615" s="7"/>
      <c r="I615" s="7"/>
      <c r="J615" s="7"/>
      <c r="K615" s="7"/>
      <c r="L615" s="7"/>
      <c r="M615" s="7"/>
      <c r="N615" s="7"/>
    </row>
    <row r="616" spans="1:14" ht="13.2" x14ac:dyDescent="0.25">
      <c r="A616" s="7"/>
      <c r="B616" s="7"/>
      <c r="C616" s="7"/>
      <c r="D616" s="7"/>
      <c r="E616" s="7"/>
      <c r="F616" s="7"/>
      <c r="G616" s="7"/>
      <c r="H616" s="7"/>
      <c r="I616" s="7"/>
      <c r="J616" s="7"/>
      <c r="K616" s="7"/>
      <c r="L616" s="7"/>
      <c r="M616" s="7"/>
      <c r="N616" s="7"/>
    </row>
    <row r="617" spans="1:14" ht="13.2" x14ac:dyDescent="0.25">
      <c r="A617" s="7"/>
      <c r="B617" s="7"/>
      <c r="C617" s="7"/>
      <c r="D617" s="7"/>
      <c r="E617" s="7"/>
      <c r="F617" s="7"/>
      <c r="G617" s="7"/>
      <c r="H617" s="7"/>
      <c r="I617" s="7"/>
      <c r="J617" s="7"/>
      <c r="K617" s="7"/>
      <c r="L617" s="7"/>
      <c r="M617" s="7"/>
      <c r="N617" s="7"/>
    </row>
    <row r="618" spans="1:14" ht="13.2" x14ac:dyDescent="0.25">
      <c r="A618" s="7"/>
      <c r="B618" s="7"/>
      <c r="C618" s="7"/>
      <c r="D618" s="7"/>
      <c r="E618" s="7"/>
      <c r="F618" s="7"/>
      <c r="G618" s="7"/>
      <c r="H618" s="7"/>
      <c r="I618" s="7"/>
      <c r="J618" s="7"/>
      <c r="K618" s="7"/>
      <c r="L618" s="7"/>
      <c r="M618" s="7"/>
      <c r="N618" s="7"/>
    </row>
    <row r="619" spans="1:14" ht="13.2" x14ac:dyDescent="0.25">
      <c r="A619" s="7"/>
      <c r="B619" s="7"/>
      <c r="C619" s="7"/>
      <c r="D619" s="7"/>
      <c r="E619" s="7"/>
      <c r="F619" s="7"/>
      <c r="G619" s="7"/>
      <c r="H619" s="7"/>
      <c r="I619" s="7"/>
      <c r="J619" s="7"/>
      <c r="K619" s="7"/>
      <c r="L619" s="7"/>
      <c r="M619" s="7"/>
      <c r="N619" s="7"/>
    </row>
    <row r="620" spans="1:14" ht="13.2" x14ac:dyDescent="0.25">
      <c r="A620" s="7"/>
      <c r="B620" s="7"/>
      <c r="C620" s="7"/>
      <c r="D620" s="7"/>
      <c r="E620" s="7"/>
      <c r="F620" s="7"/>
      <c r="G620" s="7"/>
      <c r="H620" s="7"/>
      <c r="I620" s="7"/>
      <c r="J620" s="7"/>
      <c r="K620" s="7"/>
      <c r="L620" s="7"/>
      <c r="M620" s="7"/>
      <c r="N620" s="7"/>
    </row>
    <row r="621" spans="1:14" ht="13.2" x14ac:dyDescent="0.25">
      <c r="A621" s="7"/>
      <c r="B621" s="7"/>
      <c r="C621" s="7"/>
      <c r="D621" s="7"/>
      <c r="E621" s="7"/>
      <c r="F621" s="7"/>
      <c r="G621" s="7"/>
      <c r="H621" s="7"/>
      <c r="I621" s="7"/>
      <c r="J621" s="7"/>
      <c r="K621" s="7"/>
      <c r="L621" s="7"/>
      <c r="M621" s="7"/>
      <c r="N621" s="7"/>
    </row>
    <row r="622" spans="1:14" ht="13.2" x14ac:dyDescent="0.25">
      <c r="A622" s="7"/>
      <c r="B622" s="7"/>
      <c r="C622" s="7"/>
      <c r="D622" s="7"/>
      <c r="E622" s="7"/>
      <c r="F622" s="7"/>
      <c r="G622" s="7"/>
      <c r="H622" s="7"/>
      <c r="I622" s="7"/>
      <c r="J622" s="7"/>
      <c r="K622" s="7"/>
      <c r="L622" s="7"/>
      <c r="M622" s="7"/>
      <c r="N622" s="7"/>
    </row>
    <row r="623" spans="1:14" ht="13.2" x14ac:dyDescent="0.25">
      <c r="A623" s="7"/>
      <c r="B623" s="7"/>
      <c r="C623" s="7"/>
      <c r="D623" s="7"/>
      <c r="E623" s="7"/>
      <c r="F623" s="7"/>
      <c r="G623" s="7"/>
      <c r="H623" s="7"/>
      <c r="I623" s="7"/>
      <c r="J623" s="7"/>
      <c r="K623" s="7"/>
      <c r="L623" s="7"/>
      <c r="M623" s="7"/>
      <c r="N623" s="7"/>
    </row>
    <row r="624" spans="1:14" ht="13.2" x14ac:dyDescent="0.25">
      <c r="A624" s="7"/>
      <c r="B624" s="7"/>
      <c r="C624" s="7"/>
      <c r="D624" s="7"/>
      <c r="E624" s="7"/>
      <c r="F624" s="7"/>
      <c r="G624" s="7"/>
      <c r="H624" s="7"/>
      <c r="I624" s="7"/>
      <c r="J624" s="7"/>
      <c r="K624" s="7"/>
      <c r="L624" s="7"/>
      <c r="M624" s="7"/>
      <c r="N624" s="7"/>
    </row>
    <row r="625" spans="1:14" ht="13.2" x14ac:dyDescent="0.25">
      <c r="A625" s="7"/>
      <c r="B625" s="7"/>
      <c r="C625" s="7"/>
      <c r="D625" s="7"/>
      <c r="E625" s="7"/>
      <c r="F625" s="7"/>
      <c r="G625" s="7"/>
      <c r="H625" s="7"/>
      <c r="I625" s="7"/>
      <c r="J625" s="7"/>
      <c r="K625" s="7"/>
      <c r="L625" s="7"/>
      <c r="M625" s="7"/>
      <c r="N625" s="7"/>
    </row>
    <row r="626" spans="1:14" ht="13.2" x14ac:dyDescent="0.25">
      <c r="A626" s="7"/>
      <c r="B626" s="7"/>
      <c r="C626" s="7"/>
      <c r="D626" s="7"/>
      <c r="E626" s="7"/>
      <c r="F626" s="7"/>
      <c r="G626" s="7"/>
      <c r="H626" s="7"/>
      <c r="I626" s="7"/>
      <c r="J626" s="7"/>
      <c r="K626" s="7"/>
      <c r="L626" s="7"/>
      <c r="M626" s="7"/>
      <c r="N626" s="7"/>
    </row>
    <row r="627" spans="1:14" ht="13.2" x14ac:dyDescent="0.25">
      <c r="A627" s="7"/>
      <c r="B627" s="7"/>
      <c r="C627" s="7"/>
      <c r="D627" s="7"/>
      <c r="E627" s="7"/>
      <c r="F627" s="7"/>
      <c r="G627" s="7"/>
      <c r="H627" s="7"/>
      <c r="I627" s="7"/>
      <c r="J627" s="7"/>
      <c r="K627" s="7"/>
      <c r="L627" s="7"/>
      <c r="M627" s="7"/>
      <c r="N627" s="7"/>
    </row>
    <row r="628" spans="1:14" ht="13.2" x14ac:dyDescent="0.25">
      <c r="A628" s="7"/>
      <c r="B628" s="7"/>
      <c r="C628" s="7"/>
      <c r="D628" s="7"/>
      <c r="E628" s="7"/>
      <c r="F628" s="7"/>
      <c r="G628" s="7"/>
      <c r="H628" s="7"/>
      <c r="I628" s="7"/>
      <c r="J628" s="7"/>
      <c r="K628" s="7"/>
      <c r="L628" s="7"/>
      <c r="M628" s="7"/>
      <c r="N628" s="7"/>
    </row>
    <row r="629" spans="1:14" ht="13.2" x14ac:dyDescent="0.25">
      <c r="A629" s="7"/>
      <c r="B629" s="7"/>
      <c r="C629" s="7"/>
      <c r="D629" s="7"/>
      <c r="E629" s="7"/>
      <c r="F629" s="7"/>
      <c r="G629" s="7"/>
      <c r="H629" s="7"/>
      <c r="I629" s="7"/>
      <c r="J629" s="7"/>
      <c r="K629" s="7"/>
      <c r="L629" s="7"/>
      <c r="M629" s="7"/>
      <c r="N629" s="7"/>
    </row>
    <row r="630" spans="1:14" ht="13.2" x14ac:dyDescent="0.25">
      <c r="A630" s="7"/>
      <c r="B630" s="7"/>
      <c r="C630" s="7"/>
      <c r="D630" s="7"/>
      <c r="E630" s="7"/>
      <c r="F630" s="7"/>
      <c r="G630" s="7"/>
      <c r="H630" s="7"/>
      <c r="I630" s="7"/>
      <c r="J630" s="7"/>
      <c r="K630" s="7"/>
      <c r="L630" s="7"/>
      <c r="M630" s="7"/>
      <c r="N630" s="7"/>
    </row>
    <row r="631" spans="1:14" ht="13.2" x14ac:dyDescent="0.25">
      <c r="A631" s="7"/>
      <c r="B631" s="7"/>
      <c r="C631" s="7"/>
      <c r="D631" s="7"/>
      <c r="E631" s="7"/>
      <c r="F631" s="7"/>
      <c r="G631" s="7"/>
      <c r="H631" s="7"/>
      <c r="I631" s="7"/>
      <c r="J631" s="7"/>
      <c r="K631" s="7"/>
      <c r="L631" s="7"/>
      <c r="M631" s="7"/>
      <c r="N631" s="7"/>
    </row>
    <row r="632" spans="1:14" ht="13.2" x14ac:dyDescent="0.25">
      <c r="A632" s="7"/>
      <c r="B632" s="7"/>
      <c r="C632" s="7"/>
      <c r="D632" s="7"/>
      <c r="E632" s="7"/>
      <c r="F632" s="7"/>
      <c r="G632" s="7"/>
      <c r="H632" s="7"/>
      <c r="I632" s="7"/>
      <c r="J632" s="7"/>
      <c r="K632" s="7"/>
      <c r="L632" s="7"/>
      <c r="M632" s="7"/>
      <c r="N632" s="7"/>
    </row>
    <row r="633" spans="1:14" ht="13.2" x14ac:dyDescent="0.25">
      <c r="A633" s="7"/>
      <c r="B633" s="7"/>
      <c r="C633" s="7"/>
      <c r="D633" s="7"/>
      <c r="E633" s="7"/>
      <c r="F633" s="7"/>
      <c r="G633" s="7"/>
      <c r="H633" s="7"/>
      <c r="I633" s="7"/>
      <c r="J633" s="7"/>
      <c r="K633" s="7"/>
      <c r="L633" s="7"/>
      <c r="M633" s="7"/>
      <c r="N633" s="7"/>
    </row>
    <row r="634" spans="1:14" ht="13.2" x14ac:dyDescent="0.25">
      <c r="A634" s="7"/>
      <c r="B634" s="7"/>
      <c r="C634" s="7"/>
      <c r="D634" s="7"/>
      <c r="E634" s="7"/>
      <c r="F634" s="7"/>
      <c r="G634" s="7"/>
      <c r="H634" s="7"/>
      <c r="I634" s="7"/>
      <c r="J634" s="7"/>
      <c r="K634" s="7"/>
      <c r="L634" s="7"/>
      <c r="M634" s="7"/>
      <c r="N634" s="7"/>
    </row>
    <row r="635" spans="1:14" ht="13.2" x14ac:dyDescent="0.25">
      <c r="A635" s="7"/>
      <c r="B635" s="7"/>
      <c r="C635" s="7"/>
      <c r="D635" s="7"/>
      <c r="E635" s="7"/>
      <c r="F635" s="7"/>
      <c r="G635" s="7"/>
      <c r="H635" s="7"/>
      <c r="I635" s="7"/>
      <c r="J635" s="7"/>
      <c r="K635" s="7"/>
      <c r="L635" s="7"/>
      <c r="M635" s="7"/>
      <c r="N635" s="7"/>
    </row>
    <row r="636" spans="1:14" ht="13.2" x14ac:dyDescent="0.25">
      <c r="A636" s="7"/>
      <c r="B636" s="7"/>
      <c r="C636" s="7"/>
      <c r="D636" s="7"/>
      <c r="E636" s="7"/>
      <c r="F636" s="7"/>
      <c r="G636" s="7"/>
      <c r="H636" s="7"/>
      <c r="I636" s="7"/>
      <c r="J636" s="7"/>
      <c r="K636" s="7"/>
      <c r="L636" s="7"/>
      <c r="M636" s="7"/>
      <c r="N636" s="7"/>
    </row>
    <row r="637" spans="1:14" ht="13.2" x14ac:dyDescent="0.25">
      <c r="A637" s="7"/>
      <c r="B637" s="7"/>
      <c r="C637" s="7"/>
      <c r="D637" s="7"/>
      <c r="E637" s="7"/>
      <c r="F637" s="7"/>
      <c r="G637" s="7"/>
      <c r="H637" s="7"/>
      <c r="I637" s="7"/>
      <c r="J637" s="7"/>
      <c r="K637" s="7"/>
      <c r="L637" s="7"/>
      <c r="M637" s="7"/>
      <c r="N637" s="7"/>
    </row>
    <row r="638" spans="1:14" ht="13.2" x14ac:dyDescent="0.25">
      <c r="A638" s="7"/>
      <c r="B638" s="7"/>
      <c r="C638" s="7"/>
      <c r="D638" s="7"/>
      <c r="E638" s="7"/>
      <c r="F638" s="7"/>
      <c r="G638" s="7"/>
      <c r="H638" s="7"/>
      <c r="I638" s="7"/>
      <c r="J638" s="7"/>
      <c r="K638" s="7"/>
      <c r="L638" s="7"/>
      <c r="M638" s="7"/>
      <c r="N638" s="7"/>
    </row>
    <row r="639" spans="1:14" ht="13.2" x14ac:dyDescent="0.25">
      <c r="A639" s="7"/>
      <c r="B639" s="7"/>
      <c r="C639" s="7"/>
      <c r="D639" s="7"/>
      <c r="E639" s="7"/>
      <c r="F639" s="7"/>
      <c r="G639" s="7"/>
      <c r="H639" s="7"/>
      <c r="I639" s="7"/>
      <c r="J639" s="7"/>
      <c r="K639" s="7"/>
      <c r="L639" s="7"/>
      <c r="M639" s="7"/>
      <c r="N639" s="7"/>
    </row>
    <row r="640" spans="1:14" ht="13.2" x14ac:dyDescent="0.25">
      <c r="A640" s="7"/>
      <c r="B640" s="7"/>
      <c r="C640" s="7"/>
      <c r="D640" s="7"/>
      <c r="E640" s="7"/>
      <c r="F640" s="7"/>
      <c r="G640" s="7"/>
      <c r="H640" s="7"/>
      <c r="I640" s="7"/>
      <c r="J640" s="7"/>
      <c r="K640" s="7"/>
      <c r="L640" s="7"/>
      <c r="M640" s="7"/>
      <c r="N640" s="7"/>
    </row>
    <row r="641" spans="1:14" ht="13.2" x14ac:dyDescent="0.25">
      <c r="A641" s="7"/>
      <c r="B641" s="7"/>
      <c r="C641" s="7"/>
      <c r="D641" s="7"/>
      <c r="E641" s="7"/>
      <c r="F641" s="7"/>
      <c r="G641" s="7"/>
      <c r="H641" s="7"/>
      <c r="I641" s="7"/>
      <c r="J641" s="7"/>
      <c r="K641" s="7"/>
      <c r="L641" s="7"/>
      <c r="M641" s="7"/>
      <c r="N641" s="7"/>
    </row>
    <row r="642" spans="1:14" ht="13.2" x14ac:dyDescent="0.25">
      <c r="A642" s="7"/>
      <c r="B642" s="7"/>
      <c r="C642" s="7"/>
      <c r="D642" s="7"/>
      <c r="E642" s="7"/>
      <c r="F642" s="7"/>
      <c r="G642" s="7"/>
      <c r="H642" s="7"/>
      <c r="I642" s="7"/>
      <c r="J642" s="7"/>
      <c r="K642" s="7"/>
      <c r="L642" s="7"/>
      <c r="M642" s="7"/>
      <c r="N642" s="7"/>
    </row>
    <row r="643" spans="1:14" ht="13.2" x14ac:dyDescent="0.25">
      <c r="A643" s="7"/>
      <c r="B643" s="7"/>
      <c r="C643" s="7"/>
      <c r="D643" s="7"/>
      <c r="E643" s="7"/>
      <c r="F643" s="7"/>
      <c r="G643" s="7"/>
      <c r="H643" s="7"/>
      <c r="I643" s="7"/>
      <c r="J643" s="7"/>
      <c r="K643" s="7"/>
      <c r="L643" s="7"/>
      <c r="M643" s="7"/>
      <c r="N643" s="7"/>
    </row>
    <row r="644" spans="1:14" ht="13.2" x14ac:dyDescent="0.25">
      <c r="A644" s="7"/>
      <c r="B644" s="7"/>
      <c r="C644" s="7"/>
      <c r="D644" s="7"/>
      <c r="E644" s="7"/>
      <c r="F644" s="7"/>
      <c r="G644" s="7"/>
      <c r="H644" s="7"/>
      <c r="I644" s="7"/>
      <c r="J644" s="7"/>
      <c r="K644" s="7"/>
      <c r="L644" s="7"/>
      <c r="M644" s="7"/>
      <c r="N644" s="7"/>
    </row>
    <row r="645" spans="1:14" ht="13.2" x14ac:dyDescent="0.25">
      <c r="A645" s="7"/>
      <c r="B645" s="7"/>
      <c r="C645" s="7"/>
      <c r="D645" s="7"/>
      <c r="E645" s="7"/>
      <c r="F645" s="7"/>
      <c r="G645" s="7"/>
      <c r="H645" s="7"/>
      <c r="I645" s="7"/>
      <c r="J645" s="7"/>
      <c r="K645" s="7"/>
      <c r="L645" s="7"/>
      <c r="M645" s="7"/>
      <c r="N645" s="7"/>
    </row>
    <row r="646" spans="1:14" ht="13.2" x14ac:dyDescent="0.25">
      <c r="A646" s="7"/>
      <c r="B646" s="7"/>
      <c r="C646" s="7"/>
      <c r="D646" s="7"/>
      <c r="E646" s="7"/>
      <c r="F646" s="7"/>
      <c r="G646" s="7"/>
      <c r="H646" s="7"/>
      <c r="I646" s="7"/>
      <c r="J646" s="7"/>
      <c r="K646" s="7"/>
      <c r="L646" s="7"/>
      <c r="M646" s="7"/>
      <c r="N646" s="7"/>
    </row>
    <row r="647" spans="1:14" ht="13.2" x14ac:dyDescent="0.25">
      <c r="A647" s="7"/>
      <c r="B647" s="7"/>
      <c r="C647" s="7"/>
      <c r="D647" s="7"/>
      <c r="E647" s="7"/>
      <c r="F647" s="7"/>
      <c r="G647" s="7"/>
      <c r="H647" s="7"/>
      <c r="I647" s="7"/>
      <c r="J647" s="7"/>
      <c r="K647" s="7"/>
      <c r="L647" s="7"/>
      <c r="M647" s="7"/>
      <c r="N647" s="7"/>
    </row>
    <row r="648" spans="1:14" ht="13.2" x14ac:dyDescent="0.25">
      <c r="A648" s="7"/>
      <c r="B648" s="7"/>
      <c r="C648" s="7"/>
      <c r="D648" s="7"/>
      <c r="E648" s="7"/>
      <c r="F648" s="7"/>
      <c r="G648" s="7"/>
      <c r="H648" s="7"/>
      <c r="I648" s="7"/>
      <c r="J648" s="7"/>
      <c r="K648" s="7"/>
      <c r="L648" s="7"/>
      <c r="M648" s="7"/>
      <c r="N648" s="7"/>
    </row>
    <row r="649" spans="1:14" ht="13.2" x14ac:dyDescent="0.25">
      <c r="A649" s="7"/>
      <c r="B649" s="7"/>
      <c r="C649" s="7"/>
      <c r="D649" s="7"/>
      <c r="E649" s="7"/>
      <c r="F649" s="7"/>
      <c r="G649" s="7"/>
      <c r="H649" s="7"/>
      <c r="I649" s="7"/>
      <c r="J649" s="7"/>
      <c r="K649" s="7"/>
      <c r="L649" s="7"/>
      <c r="M649" s="7"/>
      <c r="N649" s="7"/>
    </row>
    <row r="650" spans="1:14" ht="13.2" x14ac:dyDescent="0.25">
      <c r="A650" s="7"/>
      <c r="B650" s="7"/>
      <c r="C650" s="7"/>
      <c r="D650" s="7"/>
      <c r="E650" s="7"/>
      <c r="F650" s="7"/>
      <c r="G650" s="7"/>
      <c r="H650" s="7"/>
      <c r="I650" s="7"/>
      <c r="J650" s="7"/>
      <c r="K650" s="7"/>
      <c r="L650" s="7"/>
      <c r="M650" s="7"/>
      <c r="N650" s="7"/>
    </row>
    <row r="651" spans="1:14" ht="13.2" x14ac:dyDescent="0.25">
      <c r="A651" s="7"/>
      <c r="B651" s="7"/>
      <c r="C651" s="7"/>
      <c r="D651" s="7"/>
      <c r="E651" s="7"/>
      <c r="F651" s="7"/>
      <c r="G651" s="7"/>
      <c r="H651" s="7"/>
      <c r="I651" s="7"/>
      <c r="J651" s="7"/>
      <c r="K651" s="7"/>
      <c r="L651" s="7"/>
      <c r="M651" s="7"/>
      <c r="N651" s="7"/>
    </row>
    <row r="652" spans="1:14" ht="13.2" x14ac:dyDescent="0.25">
      <c r="A652" s="7"/>
      <c r="B652" s="7"/>
      <c r="C652" s="7"/>
      <c r="D652" s="7"/>
      <c r="E652" s="7"/>
      <c r="F652" s="7"/>
      <c r="G652" s="7"/>
      <c r="H652" s="7"/>
      <c r="I652" s="7"/>
      <c r="J652" s="7"/>
      <c r="K652" s="7"/>
      <c r="L652" s="7"/>
      <c r="M652" s="7"/>
      <c r="N652" s="7"/>
    </row>
    <row r="653" spans="1:14" ht="13.2" x14ac:dyDescent="0.25">
      <c r="A653" s="7"/>
      <c r="B653" s="7"/>
      <c r="C653" s="7"/>
      <c r="D653" s="7"/>
      <c r="E653" s="7"/>
      <c r="F653" s="7"/>
      <c r="G653" s="7"/>
      <c r="H653" s="7"/>
      <c r="I653" s="7"/>
      <c r="J653" s="7"/>
      <c r="K653" s="7"/>
      <c r="L653" s="7"/>
      <c r="M653" s="7"/>
      <c r="N653" s="7"/>
    </row>
    <row r="654" spans="1:14" ht="13.2" x14ac:dyDescent="0.25">
      <c r="A654" s="7"/>
      <c r="B654" s="7"/>
      <c r="C654" s="7"/>
      <c r="D654" s="7"/>
      <c r="E654" s="7"/>
      <c r="F654" s="7"/>
      <c r="G654" s="7"/>
      <c r="H654" s="7"/>
      <c r="I654" s="7"/>
      <c r="J654" s="7"/>
      <c r="K654" s="7"/>
      <c r="L654" s="7"/>
      <c r="M654" s="7"/>
      <c r="N654" s="7"/>
    </row>
    <row r="655" spans="1:14" ht="13.2" x14ac:dyDescent="0.25">
      <c r="A655" s="7"/>
      <c r="B655" s="7"/>
      <c r="C655" s="7"/>
      <c r="D655" s="7"/>
      <c r="E655" s="7"/>
      <c r="F655" s="7"/>
      <c r="G655" s="7"/>
      <c r="H655" s="7"/>
      <c r="I655" s="7"/>
      <c r="J655" s="7"/>
      <c r="K655" s="7"/>
      <c r="L655" s="7"/>
      <c r="M655" s="7"/>
      <c r="N655" s="7"/>
    </row>
    <row r="656" spans="1:14" ht="13.2" x14ac:dyDescent="0.25">
      <c r="A656" s="7"/>
      <c r="B656" s="7"/>
      <c r="C656" s="7"/>
      <c r="D656" s="7"/>
      <c r="E656" s="7"/>
      <c r="F656" s="7"/>
      <c r="G656" s="7"/>
      <c r="H656" s="7"/>
      <c r="I656" s="7"/>
      <c r="J656" s="7"/>
      <c r="K656" s="7"/>
      <c r="L656" s="7"/>
      <c r="M656" s="7"/>
      <c r="N656" s="7"/>
    </row>
    <row r="657" spans="1:14" ht="13.2" x14ac:dyDescent="0.25">
      <c r="A657" s="7"/>
      <c r="B657" s="7"/>
      <c r="C657" s="7"/>
      <c r="D657" s="7"/>
      <c r="E657" s="7"/>
      <c r="F657" s="7"/>
      <c r="G657" s="7"/>
      <c r="H657" s="7"/>
      <c r="I657" s="7"/>
      <c r="J657" s="7"/>
      <c r="K657" s="7"/>
      <c r="L657" s="7"/>
      <c r="M657" s="7"/>
      <c r="N657" s="7"/>
    </row>
    <row r="658" spans="1:14" ht="13.2" x14ac:dyDescent="0.25">
      <c r="A658" s="7"/>
      <c r="B658" s="7"/>
      <c r="C658" s="7"/>
      <c r="D658" s="7"/>
      <c r="E658" s="7"/>
      <c r="F658" s="7"/>
      <c r="G658" s="7"/>
      <c r="H658" s="7"/>
      <c r="I658" s="7"/>
      <c r="J658" s="7"/>
      <c r="K658" s="7"/>
      <c r="L658" s="7"/>
      <c r="M658" s="7"/>
      <c r="N658" s="7"/>
    </row>
    <row r="659" spans="1:14" ht="13.2" x14ac:dyDescent="0.25">
      <c r="A659" s="7"/>
      <c r="B659" s="7"/>
      <c r="C659" s="7"/>
      <c r="D659" s="7"/>
      <c r="E659" s="7"/>
      <c r="F659" s="7"/>
      <c r="G659" s="7"/>
      <c r="H659" s="7"/>
      <c r="I659" s="7"/>
      <c r="J659" s="7"/>
      <c r="K659" s="7"/>
      <c r="L659" s="7"/>
      <c r="M659" s="7"/>
      <c r="N659" s="7"/>
    </row>
    <row r="660" spans="1:14" ht="13.2" x14ac:dyDescent="0.25">
      <c r="A660" s="7"/>
      <c r="B660" s="7"/>
      <c r="C660" s="7"/>
      <c r="D660" s="7"/>
      <c r="E660" s="7"/>
      <c r="F660" s="7"/>
      <c r="G660" s="7"/>
      <c r="H660" s="7"/>
      <c r="I660" s="7"/>
      <c r="J660" s="7"/>
      <c r="K660" s="7"/>
      <c r="L660" s="7"/>
      <c r="M660" s="7"/>
      <c r="N660" s="7"/>
    </row>
    <row r="661" spans="1:14" ht="13.2" x14ac:dyDescent="0.25">
      <c r="A661" s="7"/>
      <c r="B661" s="7"/>
      <c r="C661" s="7"/>
      <c r="D661" s="7"/>
      <c r="E661" s="7"/>
      <c r="F661" s="7"/>
      <c r="G661" s="7"/>
      <c r="H661" s="7"/>
      <c r="I661" s="7"/>
      <c r="J661" s="7"/>
      <c r="K661" s="7"/>
      <c r="L661" s="7"/>
      <c r="M661" s="7"/>
      <c r="N661" s="7"/>
    </row>
    <row r="662" spans="1:14" ht="13.2" x14ac:dyDescent="0.25">
      <c r="A662" s="7"/>
      <c r="B662" s="7"/>
      <c r="C662" s="7"/>
      <c r="D662" s="7"/>
      <c r="E662" s="7"/>
      <c r="F662" s="7"/>
      <c r="G662" s="7"/>
      <c r="H662" s="7"/>
      <c r="I662" s="7"/>
      <c r="J662" s="7"/>
      <c r="K662" s="7"/>
      <c r="L662" s="7"/>
      <c r="M662" s="7"/>
      <c r="N662" s="7"/>
    </row>
    <row r="663" spans="1:14" ht="13.2" x14ac:dyDescent="0.25">
      <c r="A663" s="7"/>
      <c r="B663" s="7"/>
      <c r="C663" s="7"/>
      <c r="D663" s="7"/>
      <c r="E663" s="7"/>
      <c r="F663" s="7"/>
      <c r="G663" s="7"/>
      <c r="H663" s="7"/>
      <c r="I663" s="7"/>
      <c r="J663" s="7"/>
      <c r="K663" s="7"/>
      <c r="L663" s="7"/>
      <c r="M663" s="7"/>
      <c r="N663" s="7"/>
    </row>
    <row r="664" spans="1:14" ht="13.2" x14ac:dyDescent="0.25">
      <c r="A664" s="7"/>
      <c r="B664" s="7"/>
      <c r="C664" s="7"/>
      <c r="D664" s="7"/>
      <c r="E664" s="7"/>
      <c r="F664" s="7"/>
      <c r="G664" s="7"/>
      <c r="H664" s="7"/>
      <c r="I664" s="7"/>
      <c r="J664" s="7"/>
      <c r="K664" s="7"/>
      <c r="L664" s="7"/>
      <c r="M664" s="7"/>
      <c r="N664" s="7"/>
    </row>
    <row r="665" spans="1:14" ht="13.2" x14ac:dyDescent="0.25">
      <c r="A665" s="7"/>
      <c r="B665" s="7"/>
      <c r="C665" s="7"/>
      <c r="D665" s="7"/>
      <c r="E665" s="7"/>
      <c r="F665" s="7"/>
      <c r="G665" s="7"/>
      <c r="H665" s="7"/>
      <c r="I665" s="7"/>
      <c r="J665" s="7"/>
      <c r="K665" s="7"/>
      <c r="L665" s="7"/>
      <c r="M665" s="7"/>
      <c r="N665" s="7"/>
    </row>
    <row r="666" spans="1:14" ht="13.2" x14ac:dyDescent="0.25">
      <c r="A666" s="7"/>
      <c r="B666" s="7"/>
      <c r="C666" s="7"/>
      <c r="D666" s="7"/>
      <c r="E666" s="7"/>
      <c r="F666" s="7"/>
      <c r="G666" s="7"/>
      <c r="H666" s="7"/>
      <c r="I666" s="7"/>
      <c r="J666" s="7"/>
      <c r="K666" s="7"/>
      <c r="L666" s="7"/>
      <c r="M666" s="7"/>
      <c r="N666" s="7"/>
    </row>
    <row r="667" spans="1:14" ht="13.2" x14ac:dyDescent="0.25">
      <c r="A667" s="7"/>
      <c r="B667" s="7"/>
      <c r="C667" s="7"/>
      <c r="D667" s="7"/>
      <c r="E667" s="7"/>
      <c r="F667" s="7"/>
      <c r="G667" s="7"/>
      <c r="H667" s="7"/>
      <c r="I667" s="7"/>
      <c r="J667" s="7"/>
      <c r="K667" s="7"/>
      <c r="L667" s="7"/>
      <c r="M667" s="7"/>
      <c r="N667" s="7"/>
    </row>
    <row r="668" spans="1:14" ht="13.2" x14ac:dyDescent="0.25">
      <c r="A668" s="7"/>
      <c r="B668" s="7"/>
      <c r="C668" s="7"/>
      <c r="D668" s="7"/>
      <c r="E668" s="7"/>
      <c r="F668" s="7"/>
      <c r="G668" s="7"/>
      <c r="H668" s="7"/>
      <c r="I668" s="7"/>
      <c r="J668" s="7"/>
      <c r="K668" s="7"/>
      <c r="L668" s="7"/>
      <c r="M668" s="7"/>
      <c r="N668" s="7"/>
    </row>
    <row r="669" spans="1:14" ht="13.2" x14ac:dyDescent="0.25">
      <c r="A669" s="7"/>
      <c r="B669" s="7"/>
      <c r="C669" s="7"/>
      <c r="D669" s="7"/>
      <c r="E669" s="7"/>
      <c r="F669" s="7"/>
      <c r="G669" s="7"/>
      <c r="H669" s="7"/>
      <c r="I669" s="7"/>
      <c r="J669" s="7"/>
      <c r="K669" s="7"/>
      <c r="L669" s="7"/>
      <c r="M669" s="7"/>
      <c r="N669" s="7"/>
    </row>
    <row r="670" spans="1:14" ht="13.2" x14ac:dyDescent="0.25">
      <c r="A670" s="7"/>
      <c r="B670" s="7"/>
      <c r="C670" s="7"/>
      <c r="D670" s="7"/>
      <c r="E670" s="7"/>
      <c r="F670" s="7"/>
      <c r="G670" s="7"/>
      <c r="H670" s="7"/>
      <c r="I670" s="7"/>
      <c r="J670" s="7"/>
      <c r="K670" s="7"/>
      <c r="L670" s="7"/>
      <c r="M670" s="7"/>
      <c r="N670" s="7"/>
    </row>
    <row r="671" spans="1:14" ht="13.2" x14ac:dyDescent="0.25">
      <c r="A671" s="7"/>
      <c r="B671" s="7"/>
      <c r="C671" s="7"/>
      <c r="D671" s="7"/>
      <c r="E671" s="7"/>
      <c r="F671" s="7"/>
      <c r="G671" s="7"/>
      <c r="H671" s="7"/>
      <c r="I671" s="7"/>
      <c r="J671" s="7"/>
      <c r="K671" s="7"/>
      <c r="L671" s="7"/>
      <c r="M671" s="7"/>
      <c r="N671" s="7"/>
    </row>
    <row r="672" spans="1:14" ht="13.2" x14ac:dyDescent="0.25">
      <c r="A672" s="7"/>
      <c r="B672" s="7"/>
      <c r="C672" s="7"/>
      <c r="D672" s="7"/>
      <c r="E672" s="7"/>
      <c r="F672" s="7"/>
      <c r="G672" s="7"/>
      <c r="H672" s="7"/>
      <c r="I672" s="7"/>
      <c r="J672" s="7"/>
      <c r="K672" s="7"/>
      <c r="L672" s="7"/>
      <c r="M672" s="7"/>
      <c r="N672" s="7"/>
    </row>
    <row r="673" spans="1:14" ht="13.2" x14ac:dyDescent="0.25">
      <c r="A673" s="7"/>
      <c r="B673" s="7"/>
      <c r="C673" s="7"/>
      <c r="D673" s="7"/>
      <c r="E673" s="7"/>
      <c r="F673" s="7"/>
      <c r="G673" s="7"/>
      <c r="H673" s="7"/>
      <c r="I673" s="7"/>
      <c r="J673" s="7"/>
      <c r="K673" s="7"/>
      <c r="L673" s="7"/>
      <c r="M673" s="7"/>
      <c r="N673" s="7"/>
    </row>
    <row r="674" spans="1:14" ht="13.2" x14ac:dyDescent="0.25">
      <c r="A674" s="7"/>
      <c r="B674" s="7"/>
      <c r="C674" s="7"/>
      <c r="D674" s="7"/>
      <c r="E674" s="7"/>
      <c r="F674" s="7"/>
      <c r="G674" s="7"/>
      <c r="H674" s="7"/>
      <c r="I674" s="7"/>
      <c r="J674" s="7"/>
      <c r="K674" s="7"/>
      <c r="L674" s="7"/>
      <c r="M674" s="7"/>
      <c r="N674" s="7"/>
    </row>
    <row r="675" spans="1:14" ht="13.2" x14ac:dyDescent="0.25">
      <c r="A675" s="7"/>
      <c r="B675" s="7"/>
      <c r="C675" s="7"/>
      <c r="D675" s="7"/>
      <c r="E675" s="7"/>
      <c r="F675" s="7"/>
      <c r="G675" s="7"/>
      <c r="H675" s="7"/>
      <c r="I675" s="7"/>
      <c r="J675" s="7"/>
      <c r="K675" s="7"/>
      <c r="L675" s="7"/>
      <c r="M675" s="7"/>
      <c r="N675" s="7"/>
    </row>
    <row r="676" spans="1:14" ht="13.2" x14ac:dyDescent="0.25">
      <c r="A676" s="7"/>
      <c r="B676" s="7"/>
      <c r="C676" s="7"/>
      <c r="D676" s="7"/>
      <c r="E676" s="7"/>
      <c r="F676" s="7"/>
      <c r="G676" s="7"/>
      <c r="H676" s="7"/>
      <c r="I676" s="7"/>
      <c r="J676" s="7"/>
      <c r="K676" s="7"/>
      <c r="L676" s="7"/>
      <c r="M676" s="7"/>
      <c r="N676" s="7"/>
    </row>
    <row r="677" spans="1:14" ht="13.2" x14ac:dyDescent="0.25">
      <c r="A677" s="7"/>
      <c r="B677" s="7"/>
      <c r="C677" s="7"/>
      <c r="D677" s="7"/>
      <c r="E677" s="7"/>
      <c r="F677" s="7"/>
      <c r="G677" s="7"/>
      <c r="H677" s="7"/>
      <c r="I677" s="7"/>
      <c r="J677" s="7"/>
      <c r="K677" s="7"/>
      <c r="L677" s="7"/>
      <c r="M677" s="7"/>
      <c r="N677" s="7"/>
    </row>
    <row r="678" spans="1:14" ht="13.2" x14ac:dyDescent="0.25">
      <c r="A678" s="7"/>
      <c r="B678" s="7"/>
      <c r="C678" s="7"/>
      <c r="D678" s="7"/>
      <c r="E678" s="7"/>
      <c r="F678" s="7"/>
      <c r="G678" s="7"/>
      <c r="H678" s="7"/>
      <c r="I678" s="7"/>
      <c r="J678" s="7"/>
      <c r="K678" s="7"/>
      <c r="L678" s="7"/>
      <c r="M678" s="7"/>
      <c r="N678" s="7"/>
    </row>
    <row r="679" spans="1:14" ht="13.2" x14ac:dyDescent="0.25">
      <c r="A679" s="7"/>
      <c r="B679" s="7"/>
      <c r="C679" s="7"/>
      <c r="D679" s="7"/>
      <c r="E679" s="7"/>
      <c r="F679" s="7"/>
      <c r="G679" s="7"/>
      <c r="H679" s="7"/>
      <c r="I679" s="7"/>
      <c r="J679" s="7"/>
      <c r="K679" s="7"/>
      <c r="L679" s="7"/>
      <c r="M679" s="7"/>
      <c r="N679" s="7"/>
    </row>
    <row r="680" spans="1:14" ht="13.2" x14ac:dyDescent="0.25">
      <c r="A680" s="7"/>
      <c r="B680" s="7"/>
      <c r="C680" s="7"/>
      <c r="D680" s="7"/>
      <c r="E680" s="7"/>
      <c r="F680" s="7"/>
      <c r="G680" s="7"/>
      <c r="H680" s="7"/>
      <c r="I680" s="7"/>
      <c r="J680" s="7"/>
      <c r="K680" s="7"/>
      <c r="L680" s="7"/>
      <c r="M680" s="7"/>
      <c r="N680" s="7"/>
    </row>
    <row r="681" spans="1:14" ht="13.2" x14ac:dyDescent="0.25">
      <c r="A681" s="7"/>
      <c r="B681" s="7"/>
      <c r="C681" s="7"/>
      <c r="D681" s="7"/>
      <c r="E681" s="7"/>
      <c r="F681" s="7"/>
      <c r="G681" s="7"/>
      <c r="H681" s="7"/>
      <c r="I681" s="7"/>
      <c r="J681" s="7"/>
      <c r="K681" s="7"/>
      <c r="L681" s="7"/>
      <c r="M681" s="7"/>
      <c r="N681" s="7"/>
    </row>
    <row r="682" spans="1:14" ht="13.2" x14ac:dyDescent="0.25">
      <c r="A682" s="7"/>
      <c r="B682" s="7"/>
      <c r="C682" s="7"/>
      <c r="D682" s="7"/>
      <c r="E682" s="7"/>
      <c r="F682" s="7"/>
      <c r="G682" s="7"/>
      <c r="H682" s="7"/>
      <c r="I682" s="7"/>
      <c r="J682" s="7"/>
      <c r="K682" s="7"/>
      <c r="L682" s="7"/>
      <c r="M682" s="7"/>
      <c r="N682" s="7"/>
    </row>
    <row r="683" spans="1:14" ht="13.2" x14ac:dyDescent="0.25">
      <c r="A683" s="7"/>
      <c r="B683" s="7"/>
      <c r="C683" s="7"/>
      <c r="D683" s="7"/>
      <c r="E683" s="7"/>
      <c r="F683" s="7"/>
      <c r="G683" s="7"/>
      <c r="H683" s="7"/>
      <c r="I683" s="7"/>
      <c r="J683" s="7"/>
      <c r="K683" s="7"/>
      <c r="L683" s="7"/>
      <c r="M683" s="7"/>
      <c r="N683" s="7"/>
    </row>
    <row r="684" spans="1:14" ht="13.2" x14ac:dyDescent="0.25">
      <c r="A684" s="7"/>
      <c r="B684" s="7"/>
      <c r="C684" s="7"/>
      <c r="D684" s="7"/>
      <c r="E684" s="7"/>
      <c r="F684" s="7"/>
      <c r="G684" s="7"/>
      <c r="H684" s="7"/>
      <c r="I684" s="7"/>
      <c r="J684" s="7"/>
      <c r="K684" s="7"/>
      <c r="L684" s="7"/>
      <c r="M684" s="7"/>
      <c r="N684" s="7"/>
    </row>
    <row r="685" spans="1:14" ht="13.2" x14ac:dyDescent="0.25">
      <c r="A685" s="7"/>
      <c r="B685" s="7"/>
      <c r="C685" s="7"/>
      <c r="D685" s="7"/>
      <c r="E685" s="7"/>
      <c r="F685" s="7"/>
      <c r="G685" s="7"/>
      <c r="H685" s="7"/>
      <c r="I685" s="7"/>
      <c r="J685" s="7"/>
      <c r="K685" s="7"/>
      <c r="L685" s="7"/>
      <c r="M685" s="7"/>
      <c r="N685" s="7"/>
    </row>
    <row r="686" spans="1:14" ht="13.2" x14ac:dyDescent="0.25">
      <c r="A686" s="7"/>
      <c r="B686" s="7"/>
      <c r="C686" s="7"/>
      <c r="D686" s="7"/>
      <c r="E686" s="7"/>
      <c r="F686" s="7"/>
      <c r="G686" s="7"/>
      <c r="H686" s="7"/>
      <c r="I686" s="7"/>
      <c r="J686" s="7"/>
      <c r="K686" s="7"/>
      <c r="L686" s="7"/>
      <c r="M686" s="7"/>
      <c r="N686" s="7"/>
    </row>
    <row r="687" spans="1:14" ht="13.2" x14ac:dyDescent="0.25">
      <c r="A687" s="7"/>
      <c r="B687" s="7"/>
      <c r="C687" s="7"/>
      <c r="D687" s="7"/>
      <c r="E687" s="7"/>
      <c r="F687" s="7"/>
      <c r="G687" s="7"/>
      <c r="H687" s="7"/>
      <c r="I687" s="7"/>
      <c r="J687" s="7"/>
      <c r="K687" s="7"/>
      <c r="L687" s="7"/>
      <c r="M687" s="7"/>
      <c r="N687" s="7"/>
    </row>
    <row r="688" spans="1:14" ht="13.2" x14ac:dyDescent="0.25">
      <c r="A688" s="7"/>
      <c r="B688" s="7"/>
      <c r="C688" s="7"/>
      <c r="D688" s="7"/>
      <c r="E688" s="7"/>
      <c r="F688" s="7"/>
      <c r="G688" s="7"/>
      <c r="H688" s="7"/>
      <c r="I688" s="7"/>
      <c r="J688" s="7"/>
      <c r="K688" s="7"/>
      <c r="L688" s="7"/>
      <c r="M688" s="7"/>
      <c r="N688" s="7"/>
    </row>
    <row r="689" spans="1:14" ht="13.2" x14ac:dyDescent="0.25">
      <c r="A689" s="7"/>
      <c r="B689" s="7"/>
      <c r="C689" s="7"/>
      <c r="D689" s="7"/>
      <c r="E689" s="7"/>
      <c r="F689" s="7"/>
      <c r="G689" s="7"/>
      <c r="H689" s="7"/>
      <c r="I689" s="7"/>
      <c r="J689" s="7"/>
      <c r="K689" s="7"/>
      <c r="L689" s="7"/>
      <c r="M689" s="7"/>
      <c r="N689" s="7"/>
    </row>
    <row r="690" spans="1:14" ht="13.2" x14ac:dyDescent="0.25">
      <c r="A690" s="7"/>
      <c r="B690" s="7"/>
      <c r="C690" s="7"/>
      <c r="D690" s="7"/>
      <c r="E690" s="7"/>
      <c r="F690" s="7"/>
      <c r="G690" s="7"/>
      <c r="H690" s="7"/>
      <c r="I690" s="7"/>
      <c r="J690" s="7"/>
      <c r="K690" s="7"/>
      <c r="L690" s="7"/>
      <c r="M690" s="7"/>
      <c r="N690" s="7"/>
    </row>
    <row r="691" spans="1:14" ht="13.2" x14ac:dyDescent="0.25">
      <c r="A691" s="7"/>
      <c r="B691" s="7"/>
      <c r="C691" s="7"/>
      <c r="D691" s="7"/>
      <c r="E691" s="7"/>
      <c r="F691" s="7"/>
      <c r="G691" s="7"/>
      <c r="H691" s="7"/>
      <c r="I691" s="7"/>
      <c r="J691" s="7"/>
      <c r="K691" s="7"/>
      <c r="L691" s="7"/>
      <c r="M691" s="7"/>
      <c r="N691" s="7"/>
    </row>
    <row r="692" spans="1:14" ht="13.2" x14ac:dyDescent="0.25">
      <c r="A692" s="7"/>
      <c r="B692" s="7"/>
      <c r="C692" s="7"/>
      <c r="D692" s="7"/>
      <c r="E692" s="7"/>
      <c r="F692" s="7"/>
      <c r="G692" s="7"/>
      <c r="H692" s="7"/>
      <c r="I692" s="7"/>
      <c r="J692" s="7"/>
      <c r="K692" s="7"/>
      <c r="L692" s="7"/>
      <c r="M692" s="7"/>
      <c r="N692" s="7"/>
    </row>
    <row r="693" spans="1:14" ht="13.2" x14ac:dyDescent="0.25">
      <c r="A693" s="7"/>
      <c r="B693" s="7"/>
      <c r="C693" s="7"/>
      <c r="D693" s="7"/>
      <c r="E693" s="7"/>
      <c r="F693" s="7"/>
      <c r="G693" s="7"/>
      <c r="H693" s="7"/>
      <c r="I693" s="7"/>
      <c r="J693" s="7"/>
      <c r="K693" s="7"/>
      <c r="L693" s="7"/>
      <c r="M693" s="7"/>
      <c r="N693" s="7"/>
    </row>
    <row r="694" spans="1:14" ht="13.2" x14ac:dyDescent="0.25">
      <c r="A694" s="7"/>
      <c r="B694" s="7"/>
      <c r="C694" s="7"/>
      <c r="D694" s="7"/>
      <c r="E694" s="7"/>
      <c r="F694" s="7"/>
      <c r="G694" s="7"/>
      <c r="H694" s="7"/>
      <c r="I694" s="7"/>
      <c r="J694" s="7"/>
      <c r="K694" s="7"/>
      <c r="L694" s="7"/>
      <c r="M694" s="7"/>
      <c r="N694" s="7"/>
    </row>
    <row r="695" spans="1:14" ht="13.2" x14ac:dyDescent="0.25">
      <c r="A695" s="7"/>
      <c r="B695" s="7"/>
      <c r="C695" s="7"/>
      <c r="D695" s="7"/>
      <c r="E695" s="7"/>
      <c r="F695" s="7"/>
      <c r="G695" s="7"/>
      <c r="H695" s="7"/>
      <c r="I695" s="7"/>
      <c r="J695" s="7"/>
      <c r="K695" s="7"/>
      <c r="L695" s="7"/>
      <c r="M695" s="7"/>
      <c r="N695" s="7"/>
    </row>
    <row r="696" spans="1:14" ht="13.2" x14ac:dyDescent="0.25">
      <c r="A696" s="7"/>
      <c r="B696" s="7"/>
      <c r="C696" s="7"/>
      <c r="D696" s="7"/>
      <c r="E696" s="7"/>
      <c r="F696" s="7"/>
      <c r="G696" s="7"/>
      <c r="H696" s="7"/>
      <c r="I696" s="7"/>
      <c r="J696" s="7"/>
      <c r="K696" s="7"/>
      <c r="L696" s="7"/>
      <c r="M696" s="7"/>
      <c r="N696" s="7"/>
    </row>
    <row r="697" spans="1:14" ht="13.2" x14ac:dyDescent="0.25">
      <c r="A697" s="7"/>
      <c r="B697" s="7"/>
      <c r="C697" s="7"/>
      <c r="D697" s="7"/>
      <c r="E697" s="7"/>
      <c r="F697" s="7"/>
      <c r="G697" s="7"/>
      <c r="H697" s="7"/>
      <c r="I697" s="7"/>
      <c r="J697" s="7"/>
      <c r="K697" s="7"/>
      <c r="L697" s="7"/>
      <c r="M697" s="7"/>
      <c r="N697" s="7"/>
    </row>
    <row r="698" spans="1:14" ht="13.2" x14ac:dyDescent="0.25">
      <c r="A698" s="7"/>
      <c r="B698" s="7"/>
      <c r="C698" s="7"/>
      <c r="D698" s="7"/>
      <c r="E698" s="7"/>
      <c r="F698" s="7"/>
      <c r="G698" s="7"/>
      <c r="H698" s="7"/>
      <c r="I698" s="7"/>
      <c r="J698" s="7"/>
      <c r="K698" s="7"/>
      <c r="L698" s="7"/>
      <c r="M698" s="7"/>
      <c r="N698" s="7"/>
    </row>
    <row r="699" spans="1:14" ht="13.2" x14ac:dyDescent="0.25">
      <c r="A699" s="7"/>
      <c r="B699" s="7"/>
      <c r="C699" s="7"/>
      <c r="D699" s="7"/>
      <c r="E699" s="7"/>
      <c r="F699" s="7"/>
      <c r="G699" s="7"/>
      <c r="H699" s="7"/>
      <c r="I699" s="7"/>
      <c r="J699" s="7"/>
      <c r="K699" s="7"/>
      <c r="L699" s="7"/>
      <c r="M699" s="7"/>
      <c r="N699" s="7"/>
    </row>
    <row r="700" spans="1:14" ht="13.2" x14ac:dyDescent="0.25">
      <c r="A700" s="7"/>
      <c r="B700" s="7"/>
      <c r="C700" s="7"/>
      <c r="D700" s="7"/>
      <c r="E700" s="7"/>
      <c r="F700" s="7"/>
      <c r="G700" s="7"/>
      <c r="H700" s="7"/>
      <c r="I700" s="7"/>
      <c r="J700" s="7"/>
      <c r="K700" s="7"/>
      <c r="L700" s="7"/>
      <c r="M700" s="7"/>
      <c r="N700" s="7"/>
    </row>
    <row r="701" spans="1:14" ht="13.2" x14ac:dyDescent="0.25">
      <c r="A701" s="7"/>
      <c r="B701" s="7"/>
      <c r="C701" s="7"/>
      <c r="D701" s="7"/>
      <c r="E701" s="7"/>
      <c r="F701" s="7"/>
      <c r="G701" s="7"/>
      <c r="H701" s="7"/>
      <c r="I701" s="7"/>
      <c r="J701" s="7"/>
      <c r="K701" s="7"/>
      <c r="L701" s="7"/>
      <c r="M701" s="7"/>
      <c r="N701" s="7"/>
    </row>
    <row r="702" spans="1:14" ht="13.2" x14ac:dyDescent="0.25">
      <c r="A702" s="7"/>
      <c r="B702" s="7"/>
      <c r="C702" s="7"/>
      <c r="D702" s="7"/>
      <c r="E702" s="7"/>
      <c r="F702" s="7"/>
      <c r="G702" s="7"/>
      <c r="H702" s="7"/>
      <c r="I702" s="7"/>
      <c r="J702" s="7"/>
      <c r="K702" s="7"/>
      <c r="L702" s="7"/>
      <c r="M702" s="7"/>
      <c r="N702" s="7"/>
    </row>
    <row r="703" spans="1:14" ht="13.2" x14ac:dyDescent="0.25">
      <c r="A703" s="7"/>
      <c r="B703" s="7"/>
      <c r="C703" s="7"/>
      <c r="D703" s="7"/>
      <c r="E703" s="7"/>
      <c r="F703" s="7"/>
      <c r="G703" s="7"/>
      <c r="H703" s="7"/>
      <c r="I703" s="7"/>
      <c r="J703" s="7"/>
      <c r="K703" s="7"/>
      <c r="L703" s="7"/>
      <c r="M703" s="7"/>
      <c r="N703" s="7"/>
    </row>
    <row r="704" spans="1:14" ht="13.2" x14ac:dyDescent="0.25">
      <c r="A704" s="7"/>
      <c r="B704" s="7"/>
      <c r="C704" s="7"/>
      <c r="D704" s="7"/>
      <c r="E704" s="7"/>
      <c r="F704" s="7"/>
      <c r="G704" s="7"/>
      <c r="H704" s="7"/>
      <c r="I704" s="7"/>
      <c r="J704" s="7"/>
      <c r="K704" s="7"/>
      <c r="L704" s="7"/>
      <c r="M704" s="7"/>
      <c r="N704" s="7"/>
    </row>
    <row r="705" spans="1:14" ht="13.2" x14ac:dyDescent="0.25">
      <c r="A705" s="7"/>
      <c r="B705" s="7"/>
      <c r="C705" s="7"/>
      <c r="D705" s="7"/>
      <c r="E705" s="7"/>
      <c r="F705" s="7"/>
      <c r="G705" s="7"/>
      <c r="H705" s="7"/>
      <c r="I705" s="7"/>
      <c r="J705" s="7"/>
      <c r="K705" s="7"/>
      <c r="L705" s="7"/>
      <c r="M705" s="7"/>
      <c r="N705" s="7"/>
    </row>
    <row r="706" spans="1:14" ht="13.2" x14ac:dyDescent="0.25">
      <c r="A706" s="7"/>
      <c r="B706" s="7"/>
      <c r="C706" s="7"/>
      <c r="D706" s="7"/>
      <c r="E706" s="7"/>
      <c r="F706" s="7"/>
      <c r="G706" s="7"/>
      <c r="H706" s="7"/>
      <c r="I706" s="7"/>
      <c r="J706" s="7"/>
      <c r="K706" s="7"/>
      <c r="L706" s="7"/>
      <c r="M706" s="7"/>
      <c r="N706" s="7"/>
    </row>
    <row r="707" spans="1:14" ht="13.2" x14ac:dyDescent="0.25">
      <c r="A707" s="7"/>
      <c r="B707" s="7"/>
      <c r="C707" s="7"/>
      <c r="D707" s="7"/>
      <c r="E707" s="7"/>
      <c r="F707" s="7"/>
      <c r="G707" s="7"/>
      <c r="H707" s="7"/>
      <c r="I707" s="7"/>
      <c r="J707" s="7"/>
      <c r="K707" s="7"/>
      <c r="L707" s="7"/>
      <c r="M707" s="7"/>
      <c r="N707" s="7"/>
    </row>
    <row r="708" spans="1:14" ht="13.2" x14ac:dyDescent="0.25">
      <c r="A708" s="7"/>
      <c r="B708" s="7"/>
      <c r="C708" s="7"/>
      <c r="D708" s="7"/>
      <c r="E708" s="7"/>
      <c r="F708" s="7"/>
      <c r="G708" s="7"/>
      <c r="H708" s="7"/>
      <c r="I708" s="7"/>
      <c r="J708" s="7"/>
      <c r="K708" s="7"/>
      <c r="L708" s="7"/>
      <c r="M708" s="7"/>
      <c r="N708" s="7"/>
    </row>
    <row r="709" spans="1:14" ht="13.2" x14ac:dyDescent="0.25">
      <c r="A709" s="7"/>
      <c r="B709" s="7"/>
      <c r="C709" s="7"/>
      <c r="D709" s="7"/>
      <c r="E709" s="7"/>
      <c r="F709" s="7"/>
      <c r="G709" s="7"/>
      <c r="H709" s="7"/>
      <c r="I709" s="7"/>
      <c r="J709" s="7"/>
      <c r="K709" s="7"/>
      <c r="L709" s="7"/>
      <c r="M709" s="7"/>
      <c r="N709" s="7"/>
    </row>
    <row r="710" spans="1:14" ht="13.2" x14ac:dyDescent="0.25">
      <c r="A710" s="7"/>
      <c r="B710" s="7"/>
      <c r="C710" s="7"/>
      <c r="D710" s="7"/>
      <c r="E710" s="7"/>
      <c r="F710" s="7"/>
      <c r="G710" s="7"/>
      <c r="H710" s="7"/>
      <c r="I710" s="7"/>
      <c r="J710" s="7"/>
      <c r="K710" s="7"/>
      <c r="L710" s="7"/>
      <c r="M710" s="7"/>
      <c r="N710" s="7"/>
    </row>
    <row r="711" spans="1:14" ht="13.2" x14ac:dyDescent="0.25">
      <c r="A711" s="7"/>
      <c r="B711" s="7"/>
      <c r="C711" s="7"/>
      <c r="D711" s="7"/>
      <c r="E711" s="7"/>
      <c r="F711" s="7"/>
      <c r="G711" s="7"/>
      <c r="H711" s="7"/>
      <c r="I711" s="7"/>
      <c r="J711" s="7"/>
      <c r="K711" s="7"/>
      <c r="L711" s="7"/>
      <c r="M711" s="7"/>
      <c r="N711" s="7"/>
    </row>
    <row r="712" spans="1:14" ht="13.2" x14ac:dyDescent="0.25">
      <c r="A712" s="7"/>
      <c r="B712" s="7"/>
      <c r="C712" s="7"/>
      <c r="D712" s="7"/>
      <c r="E712" s="7"/>
      <c r="F712" s="7"/>
      <c r="G712" s="7"/>
      <c r="H712" s="7"/>
      <c r="I712" s="7"/>
      <c r="J712" s="7"/>
      <c r="K712" s="7"/>
      <c r="L712" s="7"/>
      <c r="M712" s="7"/>
      <c r="N712" s="7"/>
    </row>
    <row r="713" spans="1:14" ht="13.2" x14ac:dyDescent="0.25">
      <c r="A713" s="7"/>
      <c r="B713" s="7"/>
      <c r="C713" s="7"/>
      <c r="D713" s="7"/>
      <c r="E713" s="7"/>
      <c r="F713" s="7"/>
      <c r="G713" s="7"/>
      <c r="H713" s="7"/>
      <c r="I713" s="7"/>
      <c r="J713" s="7"/>
      <c r="K713" s="7"/>
      <c r="L713" s="7"/>
      <c r="M713" s="7"/>
      <c r="N713" s="7"/>
    </row>
    <row r="714" spans="1:14" ht="13.2" x14ac:dyDescent="0.25">
      <c r="A714" s="7"/>
      <c r="B714" s="7"/>
      <c r="C714" s="7"/>
      <c r="D714" s="7"/>
      <c r="E714" s="7"/>
      <c r="F714" s="7"/>
      <c r="G714" s="7"/>
      <c r="H714" s="7"/>
      <c r="I714" s="7"/>
      <c r="J714" s="7"/>
      <c r="K714" s="7"/>
      <c r="L714" s="7"/>
      <c r="M714" s="7"/>
      <c r="N714" s="7"/>
    </row>
    <row r="715" spans="1:14" ht="13.2" x14ac:dyDescent="0.25">
      <c r="A715" s="7"/>
      <c r="B715" s="7"/>
      <c r="C715" s="7"/>
      <c r="D715" s="7"/>
      <c r="E715" s="7"/>
      <c r="F715" s="7"/>
      <c r="G715" s="7"/>
      <c r="H715" s="7"/>
      <c r="I715" s="7"/>
      <c r="J715" s="7"/>
      <c r="K715" s="7"/>
      <c r="L715" s="7"/>
      <c r="M715" s="7"/>
      <c r="N715" s="7"/>
    </row>
    <row r="716" spans="1:14" ht="13.2" x14ac:dyDescent="0.25">
      <c r="A716" s="7"/>
      <c r="B716" s="7"/>
      <c r="C716" s="7"/>
      <c r="D716" s="7"/>
      <c r="E716" s="7"/>
      <c r="F716" s="7"/>
      <c r="G716" s="7"/>
      <c r="H716" s="7"/>
      <c r="I716" s="7"/>
      <c r="J716" s="7"/>
      <c r="K716" s="7"/>
      <c r="L716" s="7"/>
      <c r="M716" s="7"/>
      <c r="N716" s="7"/>
    </row>
    <row r="717" spans="1:14" ht="13.2" x14ac:dyDescent="0.25">
      <c r="A717" s="7"/>
      <c r="B717" s="7"/>
      <c r="C717" s="7"/>
      <c r="D717" s="7"/>
      <c r="E717" s="7"/>
      <c r="F717" s="7"/>
      <c r="G717" s="7"/>
      <c r="H717" s="7"/>
      <c r="I717" s="7"/>
      <c r="J717" s="7"/>
      <c r="K717" s="7"/>
      <c r="L717" s="7"/>
      <c r="M717" s="7"/>
      <c r="N717" s="7"/>
    </row>
    <row r="718" spans="1:14" ht="13.2" x14ac:dyDescent="0.25">
      <c r="A718" s="7"/>
      <c r="B718" s="7"/>
      <c r="C718" s="7"/>
      <c r="D718" s="7"/>
      <c r="E718" s="7"/>
      <c r="F718" s="7"/>
      <c r="G718" s="7"/>
      <c r="H718" s="7"/>
      <c r="I718" s="7"/>
      <c r="J718" s="7"/>
      <c r="K718" s="7"/>
      <c r="L718" s="7"/>
      <c r="M718" s="7"/>
      <c r="N718" s="7"/>
    </row>
    <row r="719" spans="1:14" ht="13.2" x14ac:dyDescent="0.25">
      <c r="A719" s="7"/>
      <c r="B719" s="7"/>
      <c r="C719" s="7"/>
      <c r="D719" s="7"/>
      <c r="E719" s="7"/>
      <c r="F719" s="7"/>
      <c r="G719" s="7"/>
      <c r="H719" s="7"/>
      <c r="I719" s="7"/>
      <c r="J719" s="7"/>
      <c r="K719" s="7"/>
      <c r="L719" s="7"/>
      <c r="M719" s="7"/>
      <c r="N719" s="7"/>
    </row>
    <row r="720" spans="1:14" ht="13.2" x14ac:dyDescent="0.25">
      <c r="A720" s="7"/>
      <c r="B720" s="7"/>
      <c r="C720" s="7"/>
      <c r="D720" s="7"/>
      <c r="E720" s="7"/>
      <c r="F720" s="7"/>
      <c r="G720" s="7"/>
      <c r="H720" s="7"/>
      <c r="I720" s="7"/>
      <c r="J720" s="7"/>
      <c r="K720" s="7"/>
      <c r="L720" s="7"/>
      <c r="M720" s="7"/>
      <c r="N720" s="7"/>
    </row>
    <row r="721" spans="1:14" ht="13.2" x14ac:dyDescent="0.25">
      <c r="A721" s="7"/>
      <c r="B721" s="7"/>
      <c r="C721" s="7"/>
      <c r="D721" s="7"/>
      <c r="E721" s="7"/>
      <c r="F721" s="7"/>
      <c r="G721" s="7"/>
      <c r="H721" s="7"/>
      <c r="I721" s="7"/>
      <c r="J721" s="7"/>
      <c r="K721" s="7"/>
      <c r="L721" s="7"/>
      <c r="M721" s="7"/>
      <c r="N721" s="7"/>
    </row>
    <row r="722" spans="1:14" ht="13.2" x14ac:dyDescent="0.25">
      <c r="A722" s="7"/>
      <c r="B722" s="7"/>
      <c r="C722" s="7"/>
      <c r="D722" s="7"/>
      <c r="E722" s="7"/>
      <c r="F722" s="7"/>
      <c r="G722" s="7"/>
      <c r="H722" s="7"/>
      <c r="I722" s="7"/>
      <c r="J722" s="7"/>
      <c r="K722" s="7"/>
      <c r="L722" s="7"/>
      <c r="M722" s="7"/>
      <c r="N722" s="7"/>
    </row>
    <row r="723" spans="1:14" ht="13.2" x14ac:dyDescent="0.25">
      <c r="A723" s="7"/>
      <c r="B723" s="7"/>
      <c r="C723" s="7"/>
      <c r="D723" s="7"/>
      <c r="E723" s="7"/>
      <c r="F723" s="7"/>
      <c r="G723" s="7"/>
      <c r="H723" s="7"/>
      <c r="I723" s="7"/>
      <c r="J723" s="7"/>
      <c r="K723" s="7"/>
      <c r="L723" s="7"/>
      <c r="M723" s="7"/>
      <c r="N723" s="7"/>
    </row>
    <row r="724" spans="1:14" ht="13.2" x14ac:dyDescent="0.25">
      <c r="A724" s="7"/>
      <c r="B724" s="7"/>
      <c r="C724" s="7"/>
      <c r="D724" s="7"/>
      <c r="E724" s="7"/>
      <c r="F724" s="7"/>
      <c r="G724" s="7"/>
      <c r="H724" s="7"/>
      <c r="I724" s="7"/>
      <c r="J724" s="7"/>
      <c r="K724" s="7"/>
      <c r="L724" s="7"/>
      <c r="M724" s="7"/>
      <c r="N724" s="7"/>
    </row>
    <row r="725" spans="1:14" ht="13.2" x14ac:dyDescent="0.25">
      <c r="A725" s="7"/>
      <c r="B725" s="7"/>
      <c r="C725" s="7"/>
      <c r="D725" s="7"/>
      <c r="E725" s="7"/>
      <c r="F725" s="7"/>
      <c r="G725" s="7"/>
      <c r="H725" s="7"/>
      <c r="I725" s="7"/>
      <c r="J725" s="7"/>
      <c r="K725" s="7"/>
      <c r="L725" s="7"/>
      <c r="M725" s="7"/>
      <c r="N725" s="7"/>
    </row>
    <row r="726" spans="1:14" ht="13.2" x14ac:dyDescent="0.25">
      <c r="A726" s="7"/>
      <c r="B726" s="7"/>
      <c r="C726" s="7"/>
      <c r="D726" s="7"/>
      <c r="E726" s="7"/>
      <c r="F726" s="7"/>
      <c r="G726" s="7"/>
      <c r="H726" s="7"/>
      <c r="I726" s="7"/>
      <c r="J726" s="7"/>
      <c r="K726" s="7"/>
      <c r="L726" s="7"/>
      <c r="M726" s="7"/>
      <c r="N726" s="7"/>
    </row>
    <row r="727" spans="1:14" ht="13.2" x14ac:dyDescent="0.25">
      <c r="A727" s="7"/>
      <c r="B727" s="7"/>
      <c r="C727" s="7"/>
      <c r="D727" s="7"/>
      <c r="E727" s="7"/>
      <c r="F727" s="7"/>
      <c r="G727" s="7"/>
      <c r="H727" s="7"/>
      <c r="I727" s="7"/>
      <c r="J727" s="7"/>
      <c r="K727" s="7"/>
      <c r="L727" s="7"/>
      <c r="M727" s="7"/>
      <c r="N727" s="7"/>
    </row>
    <row r="728" spans="1:14" ht="13.2" x14ac:dyDescent="0.25">
      <c r="A728" s="7"/>
      <c r="B728" s="7"/>
      <c r="C728" s="7"/>
      <c r="D728" s="7"/>
      <c r="E728" s="7"/>
      <c r="F728" s="7"/>
      <c r="G728" s="7"/>
      <c r="H728" s="7"/>
      <c r="I728" s="7"/>
      <c r="J728" s="7"/>
      <c r="K728" s="7"/>
      <c r="L728" s="7"/>
      <c r="M728" s="7"/>
      <c r="N728" s="7"/>
    </row>
    <row r="729" spans="1:14" ht="13.2" x14ac:dyDescent="0.25">
      <c r="A729" s="7"/>
      <c r="B729" s="7"/>
      <c r="C729" s="7"/>
      <c r="D729" s="7"/>
      <c r="E729" s="7"/>
      <c r="F729" s="7"/>
      <c r="G729" s="7"/>
      <c r="H729" s="7"/>
      <c r="I729" s="7"/>
      <c r="J729" s="7"/>
      <c r="K729" s="7"/>
      <c r="L729" s="7"/>
      <c r="M729" s="7"/>
      <c r="N729" s="7"/>
    </row>
    <row r="730" spans="1:14" ht="13.2" x14ac:dyDescent="0.25">
      <c r="A730" s="7"/>
      <c r="B730" s="7"/>
      <c r="C730" s="7"/>
      <c r="D730" s="7"/>
      <c r="E730" s="7"/>
      <c r="F730" s="7"/>
      <c r="G730" s="7"/>
      <c r="H730" s="7"/>
      <c r="I730" s="7"/>
      <c r="J730" s="7"/>
      <c r="K730" s="7"/>
      <c r="L730" s="7"/>
      <c r="M730" s="7"/>
      <c r="N730" s="7"/>
    </row>
    <row r="731" spans="1:14" ht="13.2" x14ac:dyDescent="0.25">
      <c r="A731" s="7"/>
      <c r="B731" s="7"/>
      <c r="C731" s="7"/>
      <c r="D731" s="7"/>
      <c r="E731" s="7"/>
      <c r="F731" s="7"/>
      <c r="G731" s="7"/>
      <c r="H731" s="7"/>
      <c r="I731" s="7"/>
      <c r="J731" s="7"/>
      <c r="K731" s="7"/>
      <c r="L731" s="7"/>
      <c r="M731" s="7"/>
      <c r="N731" s="7"/>
    </row>
    <row r="732" spans="1:14" ht="13.2" x14ac:dyDescent="0.25">
      <c r="A732" s="7"/>
      <c r="B732" s="7"/>
      <c r="C732" s="7"/>
      <c r="D732" s="7"/>
      <c r="E732" s="7"/>
      <c r="F732" s="7"/>
      <c r="G732" s="7"/>
      <c r="H732" s="7"/>
      <c r="I732" s="7"/>
      <c r="J732" s="7"/>
      <c r="K732" s="7"/>
      <c r="L732" s="7"/>
      <c r="M732" s="7"/>
      <c r="N732" s="7"/>
    </row>
    <row r="733" spans="1:14" ht="13.2" x14ac:dyDescent="0.25">
      <c r="A733" s="7"/>
      <c r="B733" s="7"/>
      <c r="C733" s="7"/>
      <c r="D733" s="7"/>
      <c r="E733" s="7"/>
      <c r="F733" s="7"/>
      <c r="G733" s="7"/>
      <c r="H733" s="7"/>
      <c r="I733" s="7"/>
      <c r="J733" s="7"/>
      <c r="K733" s="7"/>
      <c r="L733" s="7"/>
      <c r="M733" s="7"/>
      <c r="N733" s="7"/>
    </row>
    <row r="734" spans="1:14" ht="13.2" x14ac:dyDescent="0.25">
      <c r="A734" s="7"/>
      <c r="B734" s="7"/>
      <c r="C734" s="7"/>
      <c r="D734" s="7"/>
      <c r="E734" s="7"/>
      <c r="F734" s="7"/>
      <c r="G734" s="7"/>
      <c r="H734" s="7"/>
      <c r="I734" s="7"/>
      <c r="J734" s="7"/>
      <c r="K734" s="7"/>
      <c r="L734" s="7"/>
      <c r="M734" s="7"/>
      <c r="N734" s="7"/>
    </row>
    <row r="735" spans="1:14" ht="13.2" x14ac:dyDescent="0.25">
      <c r="A735" s="7"/>
      <c r="B735" s="7"/>
      <c r="C735" s="7"/>
      <c r="D735" s="7"/>
      <c r="E735" s="7"/>
      <c r="F735" s="7"/>
      <c r="G735" s="7"/>
      <c r="H735" s="7"/>
      <c r="I735" s="7"/>
      <c r="J735" s="7"/>
      <c r="K735" s="7"/>
      <c r="L735" s="7"/>
      <c r="M735" s="7"/>
      <c r="N735" s="7"/>
    </row>
    <row r="736" spans="1:14" ht="13.2" x14ac:dyDescent="0.25">
      <c r="A736" s="7"/>
      <c r="B736" s="7"/>
      <c r="C736" s="7"/>
      <c r="D736" s="7"/>
      <c r="E736" s="7"/>
      <c r="F736" s="7"/>
      <c r="G736" s="7"/>
      <c r="H736" s="7"/>
      <c r="I736" s="7"/>
      <c r="J736" s="7"/>
      <c r="K736" s="7"/>
      <c r="L736" s="7"/>
      <c r="M736" s="7"/>
      <c r="N736" s="7"/>
    </row>
    <row r="737" spans="1:14" ht="13.2" x14ac:dyDescent="0.25">
      <c r="A737" s="7"/>
      <c r="B737" s="7"/>
      <c r="C737" s="7"/>
      <c r="D737" s="7"/>
      <c r="E737" s="7"/>
      <c r="F737" s="7"/>
      <c r="G737" s="7"/>
      <c r="H737" s="7"/>
      <c r="I737" s="7"/>
      <c r="J737" s="7"/>
      <c r="K737" s="7"/>
      <c r="L737" s="7"/>
      <c r="M737" s="7"/>
      <c r="N737" s="7"/>
    </row>
    <row r="738" spans="1:14" ht="13.2" x14ac:dyDescent="0.25">
      <c r="A738" s="7"/>
      <c r="B738" s="7"/>
      <c r="C738" s="7"/>
      <c r="D738" s="7"/>
      <c r="E738" s="7"/>
      <c r="F738" s="7"/>
      <c r="G738" s="7"/>
      <c r="H738" s="7"/>
      <c r="I738" s="7"/>
      <c r="J738" s="7"/>
      <c r="K738" s="7"/>
      <c r="L738" s="7"/>
      <c r="M738" s="7"/>
      <c r="N738" s="7"/>
    </row>
    <row r="739" spans="1:14" ht="13.2" x14ac:dyDescent="0.25">
      <c r="A739" s="7"/>
      <c r="B739" s="7"/>
      <c r="C739" s="7"/>
      <c r="D739" s="7"/>
      <c r="E739" s="7"/>
      <c r="F739" s="7"/>
      <c r="G739" s="7"/>
      <c r="H739" s="7"/>
      <c r="I739" s="7"/>
      <c r="J739" s="7"/>
      <c r="K739" s="7"/>
      <c r="L739" s="7"/>
      <c r="M739" s="7"/>
      <c r="N739" s="7"/>
    </row>
    <row r="740" spans="1:14" ht="13.2" x14ac:dyDescent="0.25">
      <c r="A740" s="7"/>
      <c r="B740" s="7"/>
      <c r="C740" s="7"/>
      <c r="D740" s="7"/>
      <c r="E740" s="7"/>
      <c r="F740" s="7"/>
      <c r="G740" s="7"/>
      <c r="H740" s="7"/>
      <c r="I740" s="7"/>
      <c r="J740" s="7"/>
      <c r="K740" s="7"/>
      <c r="L740" s="7"/>
      <c r="M740" s="7"/>
      <c r="N740" s="7"/>
    </row>
    <row r="741" spans="1:14" ht="13.2" x14ac:dyDescent="0.25">
      <c r="A741" s="7"/>
      <c r="B741" s="7"/>
      <c r="C741" s="7"/>
      <c r="D741" s="7"/>
      <c r="E741" s="7"/>
      <c r="F741" s="7"/>
      <c r="G741" s="7"/>
      <c r="H741" s="7"/>
      <c r="I741" s="7"/>
      <c r="J741" s="7"/>
      <c r="K741" s="7"/>
      <c r="L741" s="7"/>
      <c r="M741" s="7"/>
      <c r="N741" s="7"/>
    </row>
    <row r="742" spans="1:14" ht="13.2" x14ac:dyDescent="0.25">
      <c r="A742" s="7"/>
      <c r="B742" s="7"/>
      <c r="C742" s="7"/>
      <c r="D742" s="7"/>
      <c r="E742" s="7"/>
      <c r="F742" s="7"/>
      <c r="G742" s="7"/>
      <c r="H742" s="7"/>
      <c r="I742" s="7"/>
      <c r="J742" s="7"/>
      <c r="K742" s="7"/>
      <c r="L742" s="7"/>
      <c r="M742" s="7"/>
      <c r="N742" s="7"/>
    </row>
    <row r="743" spans="1:14" ht="13.2" x14ac:dyDescent="0.25">
      <c r="A743" s="7"/>
      <c r="B743" s="7"/>
      <c r="C743" s="7"/>
      <c r="D743" s="7"/>
      <c r="E743" s="7"/>
      <c r="F743" s="7"/>
      <c r="G743" s="7"/>
      <c r="H743" s="7"/>
      <c r="I743" s="7"/>
      <c r="J743" s="7"/>
      <c r="K743" s="7"/>
      <c r="L743" s="7"/>
      <c r="M743" s="7"/>
      <c r="N743" s="7"/>
    </row>
    <row r="744" spans="1:14" ht="13.2" x14ac:dyDescent="0.25">
      <c r="A744" s="7"/>
      <c r="B744" s="7"/>
      <c r="C744" s="7"/>
      <c r="D744" s="7"/>
      <c r="E744" s="7"/>
      <c r="F744" s="7"/>
      <c r="G744" s="7"/>
      <c r="H744" s="7"/>
      <c r="I744" s="7"/>
      <c r="J744" s="7"/>
      <c r="K744" s="7"/>
      <c r="L744" s="7"/>
      <c r="M744" s="7"/>
      <c r="N744" s="7"/>
    </row>
    <row r="745" spans="1:14" ht="13.2" x14ac:dyDescent="0.25">
      <c r="A745" s="7"/>
      <c r="B745" s="7"/>
      <c r="C745" s="7"/>
      <c r="D745" s="7"/>
      <c r="E745" s="7"/>
      <c r="F745" s="7"/>
      <c r="G745" s="7"/>
      <c r="H745" s="7"/>
      <c r="I745" s="7"/>
      <c r="J745" s="7"/>
      <c r="K745" s="7"/>
      <c r="L745" s="7"/>
      <c r="M745" s="7"/>
      <c r="N745" s="7"/>
    </row>
    <row r="746" spans="1:14" ht="13.2" x14ac:dyDescent="0.25">
      <c r="A746" s="7"/>
      <c r="B746" s="7"/>
      <c r="C746" s="7"/>
      <c r="D746" s="7"/>
      <c r="E746" s="7"/>
      <c r="F746" s="7"/>
      <c r="G746" s="7"/>
      <c r="H746" s="7"/>
      <c r="I746" s="7"/>
      <c r="J746" s="7"/>
      <c r="K746" s="7"/>
      <c r="L746" s="7"/>
      <c r="M746" s="7"/>
      <c r="N746" s="7"/>
    </row>
    <row r="747" spans="1:14" ht="13.2" x14ac:dyDescent="0.25">
      <c r="A747" s="7"/>
      <c r="B747" s="7"/>
      <c r="C747" s="7"/>
      <c r="D747" s="7"/>
      <c r="E747" s="7"/>
      <c r="F747" s="7"/>
      <c r="G747" s="7"/>
      <c r="H747" s="7"/>
      <c r="I747" s="7"/>
      <c r="J747" s="7"/>
      <c r="K747" s="7"/>
      <c r="L747" s="7"/>
      <c r="M747" s="7"/>
      <c r="N747" s="7"/>
    </row>
    <row r="748" spans="1:14" ht="13.2" x14ac:dyDescent="0.25">
      <c r="A748" s="7"/>
      <c r="B748" s="7"/>
      <c r="C748" s="7"/>
      <c r="D748" s="7"/>
      <c r="E748" s="7"/>
      <c r="F748" s="7"/>
      <c r="G748" s="7"/>
      <c r="H748" s="7"/>
      <c r="I748" s="7"/>
      <c r="J748" s="7"/>
      <c r="K748" s="7"/>
      <c r="L748" s="7"/>
      <c r="M748" s="7"/>
      <c r="N748" s="7"/>
    </row>
    <row r="749" spans="1:14" ht="13.2" x14ac:dyDescent="0.25">
      <c r="A749" s="7"/>
      <c r="B749" s="7"/>
      <c r="C749" s="7"/>
      <c r="D749" s="7"/>
      <c r="E749" s="7"/>
      <c r="F749" s="7"/>
      <c r="G749" s="7"/>
      <c r="H749" s="7"/>
      <c r="I749" s="7"/>
      <c r="J749" s="7"/>
      <c r="K749" s="7"/>
      <c r="L749" s="7"/>
      <c r="M749" s="7"/>
      <c r="N749" s="7"/>
    </row>
    <row r="750" spans="1:14" ht="13.2" x14ac:dyDescent="0.25">
      <c r="A750" s="7"/>
      <c r="B750" s="7"/>
      <c r="C750" s="7"/>
      <c r="D750" s="7"/>
      <c r="E750" s="7"/>
      <c r="F750" s="7"/>
      <c r="G750" s="7"/>
      <c r="H750" s="7"/>
      <c r="I750" s="7"/>
      <c r="J750" s="7"/>
      <c r="K750" s="7"/>
      <c r="L750" s="7"/>
      <c r="M750" s="7"/>
      <c r="N750" s="7"/>
    </row>
    <row r="751" spans="1:14" ht="13.2" x14ac:dyDescent="0.25">
      <c r="A751" s="7"/>
      <c r="B751" s="7"/>
      <c r="C751" s="7"/>
      <c r="D751" s="7"/>
      <c r="E751" s="7"/>
      <c r="F751" s="7"/>
      <c r="G751" s="7"/>
      <c r="H751" s="7"/>
      <c r="I751" s="7"/>
      <c r="J751" s="7"/>
      <c r="K751" s="7"/>
      <c r="L751" s="7"/>
      <c r="M751" s="7"/>
      <c r="N751" s="7"/>
    </row>
    <row r="752" spans="1:14" ht="13.2" x14ac:dyDescent="0.25">
      <c r="A752" s="7"/>
      <c r="B752" s="7"/>
      <c r="C752" s="7"/>
      <c r="D752" s="7"/>
      <c r="E752" s="7"/>
      <c r="F752" s="7"/>
      <c r="G752" s="7"/>
      <c r="H752" s="7"/>
      <c r="I752" s="7"/>
      <c r="J752" s="7"/>
      <c r="K752" s="7"/>
      <c r="L752" s="7"/>
      <c r="M752" s="7"/>
      <c r="N752" s="7"/>
    </row>
    <row r="753" spans="1:14" ht="13.2" x14ac:dyDescent="0.25">
      <c r="A753" s="7"/>
      <c r="B753" s="7"/>
      <c r="C753" s="7"/>
      <c r="D753" s="7"/>
      <c r="E753" s="7"/>
      <c r="F753" s="7"/>
      <c r="G753" s="7"/>
      <c r="H753" s="7"/>
      <c r="I753" s="7"/>
      <c r="J753" s="7"/>
      <c r="K753" s="7"/>
      <c r="L753" s="7"/>
      <c r="M753" s="7"/>
      <c r="N753" s="7"/>
    </row>
    <row r="754" spans="1:14" ht="13.2" x14ac:dyDescent="0.25">
      <c r="A754" s="7"/>
      <c r="B754" s="7"/>
      <c r="C754" s="7"/>
      <c r="D754" s="7"/>
      <c r="E754" s="7"/>
      <c r="F754" s="7"/>
      <c r="G754" s="7"/>
      <c r="H754" s="7"/>
      <c r="I754" s="7"/>
      <c r="J754" s="7"/>
      <c r="K754" s="7"/>
      <c r="L754" s="7"/>
      <c r="M754" s="7"/>
      <c r="N754" s="7"/>
    </row>
    <row r="755" spans="1:14" ht="13.2" x14ac:dyDescent="0.25">
      <c r="A755" s="7"/>
      <c r="B755" s="7"/>
      <c r="C755" s="7"/>
      <c r="D755" s="7"/>
      <c r="E755" s="7"/>
      <c r="F755" s="7"/>
      <c r="G755" s="7"/>
      <c r="H755" s="7"/>
      <c r="I755" s="7"/>
      <c r="J755" s="7"/>
      <c r="K755" s="7"/>
      <c r="L755" s="7"/>
      <c r="M755" s="7"/>
      <c r="N755" s="7"/>
    </row>
    <row r="756" spans="1:14" ht="13.2" x14ac:dyDescent="0.25">
      <c r="A756" s="7"/>
      <c r="B756" s="7"/>
      <c r="C756" s="7"/>
      <c r="D756" s="7"/>
      <c r="E756" s="7"/>
      <c r="F756" s="7"/>
      <c r="G756" s="7"/>
      <c r="H756" s="7"/>
      <c r="I756" s="7"/>
      <c r="J756" s="7"/>
      <c r="K756" s="7"/>
      <c r="L756" s="7"/>
      <c r="M756" s="7"/>
      <c r="N756" s="7"/>
    </row>
    <row r="757" spans="1:14" ht="13.2" x14ac:dyDescent="0.25">
      <c r="A757" s="7"/>
      <c r="B757" s="7"/>
      <c r="C757" s="7"/>
      <c r="D757" s="7"/>
      <c r="E757" s="7"/>
      <c r="F757" s="7"/>
      <c r="G757" s="7"/>
      <c r="H757" s="7"/>
      <c r="I757" s="7"/>
      <c r="J757" s="7"/>
      <c r="K757" s="7"/>
      <c r="L757" s="7"/>
      <c r="M757" s="7"/>
      <c r="N757" s="7"/>
    </row>
    <row r="758" spans="1:14" ht="13.2" x14ac:dyDescent="0.25">
      <c r="A758" s="7"/>
      <c r="B758" s="7"/>
      <c r="C758" s="7"/>
      <c r="D758" s="7"/>
      <c r="E758" s="7"/>
      <c r="F758" s="7"/>
      <c r="G758" s="7"/>
      <c r="H758" s="7"/>
      <c r="I758" s="7"/>
      <c r="J758" s="7"/>
      <c r="K758" s="7"/>
      <c r="L758" s="7"/>
      <c r="M758" s="7"/>
      <c r="N758" s="7"/>
    </row>
    <row r="759" spans="1:14" ht="13.2" x14ac:dyDescent="0.25">
      <c r="A759" s="7"/>
      <c r="B759" s="7"/>
      <c r="C759" s="7"/>
      <c r="D759" s="7"/>
      <c r="E759" s="7"/>
      <c r="F759" s="7"/>
      <c r="G759" s="7"/>
      <c r="H759" s="7"/>
      <c r="I759" s="7"/>
      <c r="J759" s="7"/>
      <c r="K759" s="7"/>
      <c r="L759" s="7"/>
      <c r="M759" s="7"/>
      <c r="N759" s="7"/>
    </row>
    <row r="760" spans="1:14" ht="13.2" x14ac:dyDescent="0.25">
      <c r="A760" s="7"/>
      <c r="B760" s="7"/>
      <c r="C760" s="7"/>
      <c r="D760" s="7"/>
      <c r="E760" s="7"/>
      <c r="F760" s="7"/>
      <c r="G760" s="7"/>
      <c r="H760" s="7"/>
      <c r="I760" s="7"/>
      <c r="J760" s="7"/>
      <c r="K760" s="7"/>
      <c r="L760" s="7"/>
      <c r="M760" s="7"/>
      <c r="N760" s="7"/>
    </row>
    <row r="761" spans="1:14" ht="13.2" x14ac:dyDescent="0.25">
      <c r="A761" s="7"/>
      <c r="B761" s="7"/>
      <c r="C761" s="7"/>
      <c r="D761" s="7"/>
      <c r="E761" s="7"/>
      <c r="F761" s="7"/>
      <c r="G761" s="7"/>
      <c r="H761" s="7"/>
      <c r="I761" s="7"/>
      <c r="J761" s="7"/>
      <c r="K761" s="7"/>
      <c r="L761" s="7"/>
      <c r="M761" s="7"/>
      <c r="N761" s="7"/>
    </row>
    <row r="762" spans="1:14" ht="13.2" x14ac:dyDescent="0.25">
      <c r="A762" s="7"/>
      <c r="B762" s="7"/>
      <c r="C762" s="7"/>
      <c r="D762" s="7"/>
      <c r="E762" s="7"/>
      <c r="F762" s="7"/>
      <c r="G762" s="7"/>
      <c r="H762" s="7"/>
      <c r="I762" s="7"/>
      <c r="J762" s="7"/>
      <c r="K762" s="7"/>
      <c r="L762" s="7"/>
      <c r="M762" s="7"/>
      <c r="N762" s="7"/>
    </row>
    <row r="763" spans="1:14" ht="13.2" x14ac:dyDescent="0.25">
      <c r="A763" s="7"/>
      <c r="B763" s="7"/>
      <c r="C763" s="7"/>
      <c r="D763" s="7"/>
      <c r="E763" s="7"/>
      <c r="F763" s="7"/>
      <c r="G763" s="7"/>
      <c r="H763" s="7"/>
      <c r="I763" s="7"/>
      <c r="J763" s="7"/>
      <c r="K763" s="7"/>
      <c r="L763" s="7"/>
      <c r="M763" s="7"/>
      <c r="N763" s="7"/>
    </row>
    <row r="764" spans="1:14" ht="13.2" x14ac:dyDescent="0.25">
      <c r="A764" s="7"/>
      <c r="B764" s="7"/>
      <c r="C764" s="7"/>
      <c r="D764" s="7"/>
      <c r="E764" s="7"/>
      <c r="F764" s="7"/>
      <c r="G764" s="7"/>
      <c r="H764" s="7"/>
      <c r="I764" s="7"/>
      <c r="J764" s="7"/>
      <c r="K764" s="7"/>
      <c r="L764" s="7"/>
      <c r="M764" s="7"/>
      <c r="N764" s="7"/>
    </row>
    <row r="765" spans="1:14" ht="13.2" x14ac:dyDescent="0.25">
      <c r="A765" s="7"/>
      <c r="B765" s="7"/>
      <c r="C765" s="7"/>
      <c r="D765" s="7"/>
      <c r="E765" s="7"/>
      <c r="F765" s="7"/>
      <c r="G765" s="7"/>
      <c r="H765" s="7"/>
      <c r="I765" s="7"/>
      <c r="J765" s="7"/>
      <c r="K765" s="7"/>
      <c r="L765" s="7"/>
      <c r="M765" s="7"/>
      <c r="N765" s="7"/>
    </row>
    <row r="766" spans="1:14" ht="13.2" x14ac:dyDescent="0.25">
      <c r="A766" s="7"/>
      <c r="B766" s="7"/>
      <c r="C766" s="7"/>
      <c r="D766" s="7"/>
      <c r="E766" s="7"/>
      <c r="F766" s="7"/>
      <c r="G766" s="7"/>
      <c r="H766" s="7"/>
      <c r="I766" s="7"/>
      <c r="J766" s="7"/>
      <c r="K766" s="7"/>
      <c r="L766" s="7"/>
      <c r="M766" s="7"/>
      <c r="N766" s="7"/>
    </row>
    <row r="767" spans="1:14" ht="13.2" x14ac:dyDescent="0.25">
      <c r="A767" s="7"/>
      <c r="B767" s="7"/>
      <c r="C767" s="7"/>
      <c r="D767" s="7"/>
      <c r="E767" s="7"/>
      <c r="F767" s="7"/>
      <c r="G767" s="7"/>
      <c r="H767" s="7"/>
      <c r="I767" s="7"/>
      <c r="J767" s="7"/>
      <c r="K767" s="7"/>
      <c r="L767" s="7"/>
      <c r="M767" s="7"/>
      <c r="N767" s="7"/>
    </row>
    <row r="768" spans="1:14" ht="13.2" x14ac:dyDescent="0.25">
      <c r="A768" s="7"/>
      <c r="B768" s="7"/>
      <c r="C768" s="7"/>
      <c r="D768" s="7"/>
      <c r="E768" s="7"/>
      <c r="F768" s="7"/>
      <c r="G768" s="7"/>
      <c r="H768" s="7"/>
      <c r="I768" s="7"/>
      <c r="J768" s="7"/>
      <c r="K768" s="7"/>
      <c r="L768" s="7"/>
      <c r="M768" s="7"/>
      <c r="N768" s="7"/>
    </row>
    <row r="769" spans="1:14" ht="13.2" x14ac:dyDescent="0.25">
      <c r="A769" s="7"/>
      <c r="B769" s="7"/>
      <c r="C769" s="7"/>
      <c r="D769" s="7"/>
      <c r="E769" s="7"/>
      <c r="F769" s="7"/>
      <c r="G769" s="7"/>
      <c r="H769" s="7"/>
      <c r="I769" s="7"/>
      <c r="J769" s="7"/>
      <c r="K769" s="7"/>
      <c r="L769" s="7"/>
      <c r="M769" s="7"/>
      <c r="N769" s="7"/>
    </row>
    <row r="770" spans="1:14" ht="13.2" x14ac:dyDescent="0.25">
      <c r="A770" s="7"/>
      <c r="B770" s="7"/>
      <c r="C770" s="7"/>
      <c r="D770" s="7"/>
      <c r="E770" s="7"/>
      <c r="F770" s="7"/>
      <c r="G770" s="7"/>
      <c r="H770" s="7"/>
      <c r="I770" s="7"/>
      <c r="J770" s="7"/>
      <c r="K770" s="7"/>
      <c r="L770" s="7"/>
      <c r="M770" s="7"/>
      <c r="N770" s="7"/>
    </row>
    <row r="771" spans="1:14" ht="13.2" x14ac:dyDescent="0.25">
      <c r="A771" s="7"/>
      <c r="B771" s="7"/>
      <c r="C771" s="7"/>
      <c r="D771" s="7"/>
      <c r="E771" s="7"/>
      <c r="F771" s="7"/>
      <c r="G771" s="7"/>
      <c r="H771" s="7"/>
      <c r="I771" s="7"/>
      <c r="J771" s="7"/>
      <c r="K771" s="7"/>
      <c r="L771" s="7"/>
      <c r="M771" s="7"/>
      <c r="N771" s="7"/>
    </row>
    <row r="772" spans="1:14" ht="13.2" x14ac:dyDescent="0.25">
      <c r="A772" s="7"/>
      <c r="B772" s="7"/>
      <c r="C772" s="7"/>
      <c r="D772" s="7"/>
      <c r="E772" s="7"/>
      <c r="F772" s="7"/>
      <c r="G772" s="7"/>
      <c r="H772" s="7"/>
      <c r="I772" s="7"/>
      <c r="J772" s="7"/>
      <c r="K772" s="7"/>
      <c r="L772" s="7"/>
      <c r="M772" s="7"/>
      <c r="N772" s="7"/>
    </row>
    <row r="773" spans="1:14" ht="13.2" x14ac:dyDescent="0.25">
      <c r="A773" s="7"/>
      <c r="B773" s="7"/>
      <c r="C773" s="7"/>
      <c r="D773" s="7"/>
      <c r="E773" s="7"/>
      <c r="F773" s="7"/>
      <c r="G773" s="7"/>
      <c r="H773" s="7"/>
      <c r="I773" s="7"/>
      <c r="J773" s="7"/>
      <c r="K773" s="7"/>
      <c r="L773" s="7"/>
      <c r="M773" s="7"/>
      <c r="N773" s="7"/>
    </row>
    <row r="774" spans="1:14" ht="13.2" x14ac:dyDescent="0.25">
      <c r="A774" s="7"/>
      <c r="B774" s="7"/>
      <c r="C774" s="7"/>
      <c r="D774" s="7"/>
      <c r="E774" s="7"/>
      <c r="F774" s="7"/>
      <c r="G774" s="7"/>
      <c r="H774" s="7"/>
      <c r="I774" s="7"/>
      <c r="J774" s="7"/>
      <c r="K774" s="7"/>
      <c r="L774" s="7"/>
      <c r="M774" s="7"/>
      <c r="N774" s="7"/>
    </row>
    <row r="775" spans="1:14" ht="13.2" x14ac:dyDescent="0.25">
      <c r="A775" s="7"/>
      <c r="B775" s="7"/>
      <c r="C775" s="7"/>
      <c r="D775" s="7"/>
      <c r="E775" s="7"/>
      <c r="F775" s="7"/>
      <c r="G775" s="7"/>
      <c r="H775" s="7"/>
      <c r="I775" s="7"/>
      <c r="J775" s="7"/>
      <c r="K775" s="7"/>
      <c r="L775" s="7"/>
      <c r="M775" s="7"/>
      <c r="N775" s="7"/>
    </row>
    <row r="776" spans="1:14" ht="13.2" x14ac:dyDescent="0.25">
      <c r="A776" s="7"/>
      <c r="B776" s="7"/>
      <c r="C776" s="7"/>
      <c r="D776" s="7"/>
      <c r="E776" s="7"/>
      <c r="F776" s="7"/>
      <c r="G776" s="7"/>
      <c r="H776" s="7"/>
      <c r="I776" s="7"/>
      <c r="J776" s="7"/>
      <c r="K776" s="7"/>
      <c r="L776" s="7"/>
      <c r="M776" s="7"/>
      <c r="N776" s="7"/>
    </row>
    <row r="777" spans="1:14" ht="13.2" x14ac:dyDescent="0.25">
      <c r="A777" s="7"/>
      <c r="B777" s="7"/>
      <c r="C777" s="7"/>
      <c r="D777" s="7"/>
      <c r="E777" s="7"/>
      <c r="F777" s="7"/>
      <c r="G777" s="7"/>
      <c r="H777" s="7"/>
      <c r="I777" s="7"/>
      <c r="J777" s="7"/>
      <c r="K777" s="7"/>
      <c r="L777" s="7"/>
      <c r="M777" s="7"/>
      <c r="N777" s="7"/>
    </row>
    <row r="778" spans="1:14" ht="13.2" x14ac:dyDescent="0.25">
      <c r="A778" s="7"/>
      <c r="B778" s="7"/>
      <c r="C778" s="7"/>
      <c r="D778" s="7"/>
      <c r="E778" s="7"/>
      <c r="F778" s="7"/>
      <c r="G778" s="7"/>
      <c r="H778" s="7"/>
      <c r="I778" s="7"/>
      <c r="J778" s="7"/>
      <c r="K778" s="7"/>
      <c r="L778" s="7"/>
      <c r="M778" s="7"/>
      <c r="N778" s="7"/>
    </row>
    <row r="779" spans="1:14" ht="13.2" x14ac:dyDescent="0.25">
      <c r="A779" s="7"/>
      <c r="B779" s="7"/>
      <c r="C779" s="7"/>
      <c r="D779" s="7"/>
      <c r="E779" s="7"/>
      <c r="F779" s="7"/>
      <c r="G779" s="7"/>
      <c r="H779" s="7"/>
      <c r="I779" s="7"/>
      <c r="J779" s="7"/>
      <c r="K779" s="7"/>
      <c r="L779" s="7"/>
      <c r="M779" s="7"/>
      <c r="N779" s="7"/>
    </row>
    <row r="780" spans="1:14" ht="13.2" x14ac:dyDescent="0.25">
      <c r="A780" s="7"/>
      <c r="B780" s="7"/>
      <c r="C780" s="7"/>
      <c r="D780" s="7"/>
      <c r="E780" s="7"/>
      <c r="F780" s="7"/>
      <c r="G780" s="7"/>
      <c r="H780" s="7"/>
      <c r="I780" s="7"/>
      <c r="J780" s="7"/>
      <c r="K780" s="7"/>
      <c r="L780" s="7"/>
      <c r="M780" s="7"/>
      <c r="N780" s="7"/>
    </row>
    <row r="781" spans="1:14" ht="13.2" x14ac:dyDescent="0.25">
      <c r="A781" s="7"/>
      <c r="B781" s="7"/>
      <c r="C781" s="7"/>
      <c r="D781" s="7"/>
      <c r="E781" s="7"/>
      <c r="F781" s="7"/>
      <c r="G781" s="7"/>
      <c r="H781" s="7"/>
      <c r="I781" s="7"/>
      <c r="J781" s="7"/>
      <c r="K781" s="7"/>
      <c r="L781" s="7"/>
      <c r="M781" s="7"/>
      <c r="N781" s="7"/>
    </row>
    <row r="782" spans="1:14" ht="13.2" x14ac:dyDescent="0.25">
      <c r="A782" s="7"/>
      <c r="B782" s="7"/>
      <c r="C782" s="7"/>
      <c r="D782" s="7"/>
      <c r="E782" s="7"/>
      <c r="F782" s="7"/>
      <c r="G782" s="7"/>
      <c r="H782" s="7"/>
      <c r="I782" s="7"/>
      <c r="J782" s="7"/>
      <c r="K782" s="7"/>
      <c r="L782" s="7"/>
      <c r="M782" s="7"/>
      <c r="N782" s="7"/>
    </row>
    <row r="783" spans="1:14" ht="13.2" x14ac:dyDescent="0.25">
      <c r="A783" s="7"/>
      <c r="B783" s="7"/>
      <c r="C783" s="7"/>
      <c r="D783" s="7"/>
      <c r="E783" s="7"/>
      <c r="F783" s="7"/>
      <c r="G783" s="7"/>
      <c r="H783" s="7"/>
      <c r="I783" s="7"/>
      <c r="J783" s="7"/>
      <c r="K783" s="7"/>
      <c r="L783" s="7"/>
      <c r="M783" s="7"/>
      <c r="N783" s="7"/>
    </row>
    <row r="784" spans="1:14" ht="13.2" x14ac:dyDescent="0.25">
      <c r="A784" s="7"/>
      <c r="B784" s="7"/>
      <c r="C784" s="7"/>
      <c r="D784" s="7"/>
      <c r="E784" s="7"/>
      <c r="F784" s="7"/>
      <c r="G784" s="7"/>
      <c r="H784" s="7"/>
      <c r="I784" s="7"/>
      <c r="J784" s="7"/>
      <c r="K784" s="7"/>
      <c r="L784" s="7"/>
      <c r="M784" s="7"/>
      <c r="N784" s="7"/>
    </row>
    <row r="785" spans="1:14" ht="13.2" x14ac:dyDescent="0.25">
      <c r="A785" s="7"/>
      <c r="B785" s="7"/>
      <c r="C785" s="7"/>
      <c r="D785" s="7"/>
      <c r="E785" s="7"/>
      <c r="F785" s="7"/>
      <c r="G785" s="7"/>
      <c r="H785" s="7"/>
      <c r="I785" s="7"/>
      <c r="J785" s="7"/>
      <c r="K785" s="7"/>
      <c r="L785" s="7"/>
      <c r="M785" s="7"/>
      <c r="N785" s="7"/>
    </row>
    <row r="786" spans="1:14" ht="13.2" x14ac:dyDescent="0.25">
      <c r="A786" s="7"/>
      <c r="B786" s="7"/>
      <c r="C786" s="7"/>
      <c r="D786" s="7"/>
      <c r="E786" s="7"/>
      <c r="F786" s="7"/>
      <c r="G786" s="7"/>
      <c r="H786" s="7"/>
      <c r="I786" s="7"/>
      <c r="J786" s="7"/>
      <c r="K786" s="7"/>
      <c r="L786" s="7"/>
      <c r="M786" s="7"/>
      <c r="N786" s="7"/>
    </row>
    <row r="787" spans="1:14" ht="13.2" x14ac:dyDescent="0.25">
      <c r="A787" s="7"/>
      <c r="B787" s="7"/>
      <c r="C787" s="7"/>
      <c r="D787" s="7"/>
      <c r="E787" s="7"/>
      <c r="F787" s="7"/>
      <c r="G787" s="7"/>
      <c r="H787" s="7"/>
      <c r="I787" s="7"/>
      <c r="J787" s="7"/>
      <c r="K787" s="7"/>
      <c r="L787" s="7"/>
      <c r="M787" s="7"/>
      <c r="N787" s="7"/>
    </row>
    <row r="788" spans="1:14" ht="13.2" x14ac:dyDescent="0.25">
      <c r="A788" s="7"/>
      <c r="B788" s="7"/>
      <c r="C788" s="7"/>
      <c r="D788" s="7"/>
      <c r="E788" s="7"/>
      <c r="F788" s="7"/>
      <c r="G788" s="7"/>
      <c r="H788" s="7"/>
      <c r="I788" s="7"/>
      <c r="J788" s="7"/>
      <c r="K788" s="7"/>
      <c r="L788" s="7"/>
      <c r="M788" s="7"/>
      <c r="N788" s="7"/>
    </row>
    <row r="789" spans="1:14" ht="13.2" x14ac:dyDescent="0.25">
      <c r="A789" s="7"/>
      <c r="B789" s="7"/>
      <c r="C789" s="7"/>
      <c r="D789" s="7"/>
      <c r="E789" s="7"/>
      <c r="F789" s="7"/>
      <c r="G789" s="7"/>
      <c r="H789" s="7"/>
      <c r="I789" s="7"/>
      <c r="J789" s="7"/>
      <c r="K789" s="7"/>
      <c r="L789" s="7"/>
      <c r="M789" s="7"/>
      <c r="N789" s="7"/>
    </row>
    <row r="790" spans="1:14" ht="13.2" x14ac:dyDescent="0.25">
      <c r="A790" s="7"/>
      <c r="B790" s="7"/>
      <c r="C790" s="7"/>
      <c r="D790" s="7"/>
      <c r="E790" s="7"/>
      <c r="F790" s="7"/>
      <c r="G790" s="7"/>
      <c r="H790" s="7"/>
      <c r="I790" s="7"/>
      <c r="J790" s="7"/>
      <c r="K790" s="7"/>
      <c r="L790" s="7"/>
      <c r="M790" s="7"/>
      <c r="N790" s="7"/>
    </row>
    <row r="791" spans="1:14" ht="13.2" x14ac:dyDescent="0.25">
      <c r="A791" s="7"/>
      <c r="B791" s="7"/>
      <c r="C791" s="7"/>
      <c r="D791" s="7"/>
      <c r="E791" s="7"/>
      <c r="F791" s="7"/>
      <c r="G791" s="7"/>
      <c r="H791" s="7"/>
      <c r="I791" s="7"/>
      <c r="J791" s="7"/>
      <c r="K791" s="7"/>
      <c r="L791" s="7"/>
      <c r="M791" s="7"/>
      <c r="N791" s="7"/>
    </row>
    <row r="792" spans="1:14" ht="13.2" x14ac:dyDescent="0.25">
      <c r="A792" s="7"/>
      <c r="B792" s="7"/>
      <c r="C792" s="7"/>
      <c r="D792" s="7"/>
      <c r="E792" s="7"/>
      <c r="F792" s="7"/>
      <c r="G792" s="7"/>
      <c r="H792" s="7"/>
      <c r="I792" s="7"/>
      <c r="J792" s="7"/>
      <c r="K792" s="7"/>
      <c r="L792" s="7"/>
      <c r="M792" s="7"/>
      <c r="N792" s="7"/>
    </row>
    <row r="793" spans="1:14" ht="13.2" x14ac:dyDescent="0.25">
      <c r="A793" s="7"/>
      <c r="B793" s="7"/>
      <c r="C793" s="7"/>
      <c r="D793" s="7"/>
      <c r="E793" s="7"/>
      <c r="F793" s="7"/>
      <c r="G793" s="7"/>
      <c r="H793" s="7"/>
      <c r="I793" s="7"/>
      <c r="J793" s="7"/>
      <c r="K793" s="7"/>
      <c r="L793" s="7"/>
      <c r="M793" s="7"/>
      <c r="N793" s="7"/>
    </row>
    <row r="794" spans="1:14" ht="13.2" x14ac:dyDescent="0.25">
      <c r="A794" s="7"/>
      <c r="B794" s="7"/>
      <c r="C794" s="7"/>
      <c r="D794" s="7"/>
      <c r="E794" s="7"/>
      <c r="F794" s="7"/>
      <c r="G794" s="7"/>
      <c r="H794" s="7"/>
      <c r="I794" s="7"/>
      <c r="J794" s="7"/>
      <c r="K794" s="7"/>
      <c r="L794" s="7"/>
      <c r="M794" s="7"/>
      <c r="N794" s="7"/>
    </row>
    <row r="795" spans="1:14" ht="13.2" x14ac:dyDescent="0.25">
      <c r="A795" s="7"/>
      <c r="B795" s="7"/>
      <c r="C795" s="7"/>
      <c r="D795" s="7"/>
      <c r="E795" s="7"/>
      <c r="F795" s="7"/>
      <c r="G795" s="7"/>
      <c r="H795" s="7"/>
      <c r="I795" s="7"/>
      <c r="J795" s="7"/>
      <c r="K795" s="7"/>
      <c r="L795" s="7"/>
      <c r="M795" s="7"/>
      <c r="N795" s="7"/>
    </row>
    <row r="796" spans="1:14" ht="13.2" x14ac:dyDescent="0.25">
      <c r="A796" s="7"/>
      <c r="B796" s="7"/>
      <c r="C796" s="7"/>
      <c r="D796" s="7"/>
      <c r="E796" s="7"/>
      <c r="F796" s="7"/>
      <c r="G796" s="7"/>
      <c r="H796" s="7"/>
      <c r="I796" s="7"/>
      <c r="J796" s="7"/>
      <c r="K796" s="7"/>
      <c r="L796" s="7"/>
      <c r="M796" s="7"/>
      <c r="N796" s="7"/>
    </row>
    <row r="797" spans="1:14" ht="13.2" x14ac:dyDescent="0.25">
      <c r="A797" s="7"/>
      <c r="B797" s="7"/>
      <c r="C797" s="7"/>
      <c r="D797" s="7"/>
      <c r="E797" s="7"/>
      <c r="F797" s="7"/>
      <c r="G797" s="7"/>
      <c r="H797" s="7"/>
      <c r="I797" s="7"/>
      <c r="J797" s="7"/>
      <c r="K797" s="7"/>
      <c r="L797" s="7"/>
      <c r="M797" s="7"/>
      <c r="N797" s="7"/>
    </row>
    <row r="798" spans="1:14" ht="13.2" x14ac:dyDescent="0.25">
      <c r="A798" s="7"/>
      <c r="B798" s="7"/>
      <c r="C798" s="7"/>
      <c r="D798" s="7"/>
      <c r="E798" s="7"/>
      <c r="F798" s="7"/>
      <c r="G798" s="7"/>
      <c r="H798" s="7"/>
      <c r="I798" s="7"/>
      <c r="J798" s="7"/>
      <c r="K798" s="7"/>
      <c r="L798" s="7"/>
      <c r="M798" s="7"/>
      <c r="N798" s="7"/>
    </row>
    <row r="799" spans="1:14" ht="13.2" x14ac:dyDescent="0.25">
      <c r="A799" s="7"/>
      <c r="B799" s="7"/>
      <c r="C799" s="7"/>
      <c r="D799" s="7"/>
      <c r="E799" s="7"/>
      <c r="F799" s="7"/>
      <c r="G799" s="7"/>
      <c r="H799" s="7"/>
      <c r="I799" s="7"/>
      <c r="J799" s="7"/>
      <c r="K799" s="7"/>
      <c r="L799" s="7"/>
      <c r="M799" s="7"/>
      <c r="N799" s="7"/>
    </row>
    <row r="800" spans="1:14" ht="13.2" x14ac:dyDescent="0.25">
      <c r="A800" s="7"/>
      <c r="B800" s="7"/>
      <c r="C800" s="7"/>
      <c r="D800" s="7"/>
      <c r="E800" s="7"/>
      <c r="F800" s="7"/>
      <c r="G800" s="7"/>
      <c r="H800" s="7"/>
      <c r="I800" s="7"/>
      <c r="J800" s="7"/>
      <c r="K800" s="7"/>
      <c r="L800" s="7"/>
      <c r="M800" s="7"/>
      <c r="N800" s="7"/>
    </row>
    <row r="801" spans="1:14" ht="13.2" x14ac:dyDescent="0.25">
      <c r="A801" s="7"/>
      <c r="B801" s="7"/>
      <c r="C801" s="7"/>
      <c r="D801" s="7"/>
      <c r="E801" s="7"/>
      <c r="F801" s="7"/>
      <c r="G801" s="7"/>
      <c r="H801" s="7"/>
      <c r="I801" s="7"/>
      <c r="J801" s="7"/>
      <c r="K801" s="7"/>
      <c r="L801" s="7"/>
      <c r="M801" s="7"/>
      <c r="N801" s="7"/>
    </row>
    <row r="802" spans="1:14" ht="13.2" x14ac:dyDescent="0.25">
      <c r="A802" s="7"/>
      <c r="B802" s="7"/>
      <c r="C802" s="7"/>
      <c r="D802" s="7"/>
      <c r="E802" s="7"/>
      <c r="F802" s="7"/>
      <c r="G802" s="7"/>
      <c r="H802" s="7"/>
      <c r="I802" s="7"/>
      <c r="J802" s="7"/>
      <c r="K802" s="7"/>
      <c r="L802" s="7"/>
      <c r="M802" s="7"/>
      <c r="N802" s="7"/>
    </row>
    <row r="803" spans="1:14" ht="13.2" x14ac:dyDescent="0.25">
      <c r="A803" s="7"/>
      <c r="B803" s="7"/>
      <c r="C803" s="7"/>
      <c r="D803" s="7"/>
      <c r="E803" s="7"/>
      <c r="F803" s="7"/>
      <c r="G803" s="7"/>
      <c r="H803" s="7"/>
      <c r="I803" s="7"/>
      <c r="J803" s="7"/>
      <c r="K803" s="7"/>
      <c r="L803" s="7"/>
      <c r="M803" s="7"/>
      <c r="N803" s="7"/>
    </row>
    <row r="804" spans="1:14" ht="13.2" x14ac:dyDescent="0.25">
      <c r="A804" s="7"/>
      <c r="B804" s="7"/>
      <c r="C804" s="7"/>
      <c r="D804" s="7"/>
      <c r="E804" s="7"/>
      <c r="F804" s="7"/>
      <c r="G804" s="7"/>
      <c r="H804" s="7"/>
      <c r="I804" s="7"/>
      <c r="J804" s="7"/>
      <c r="K804" s="7"/>
      <c r="L804" s="7"/>
      <c r="M804" s="7"/>
      <c r="N804" s="7"/>
    </row>
    <row r="805" spans="1:14" ht="13.2" x14ac:dyDescent="0.25">
      <c r="A805" s="7"/>
      <c r="B805" s="7"/>
      <c r="C805" s="7"/>
      <c r="D805" s="7"/>
      <c r="E805" s="7"/>
      <c r="F805" s="7"/>
      <c r="G805" s="7"/>
      <c r="H805" s="7"/>
      <c r="I805" s="7"/>
      <c r="J805" s="7"/>
      <c r="K805" s="7"/>
      <c r="L805" s="7"/>
      <c r="M805" s="7"/>
      <c r="N805" s="7"/>
    </row>
    <row r="806" spans="1:14" ht="13.2" x14ac:dyDescent="0.25">
      <c r="A806" s="7"/>
      <c r="B806" s="7"/>
      <c r="C806" s="7"/>
      <c r="D806" s="7"/>
      <c r="E806" s="7"/>
      <c r="F806" s="7"/>
      <c r="G806" s="7"/>
      <c r="H806" s="7"/>
      <c r="I806" s="7"/>
      <c r="J806" s="7"/>
      <c r="K806" s="7"/>
      <c r="L806" s="7"/>
      <c r="M806" s="7"/>
      <c r="N806" s="7"/>
    </row>
    <row r="807" spans="1:14" ht="13.2" x14ac:dyDescent="0.25">
      <c r="A807" s="7"/>
      <c r="B807" s="7"/>
      <c r="C807" s="7"/>
      <c r="D807" s="7"/>
      <c r="E807" s="7"/>
      <c r="F807" s="7"/>
      <c r="G807" s="7"/>
      <c r="H807" s="7"/>
      <c r="I807" s="7"/>
      <c r="J807" s="7"/>
      <c r="K807" s="7"/>
      <c r="L807" s="7"/>
      <c r="M807" s="7"/>
      <c r="N807" s="7"/>
    </row>
    <row r="808" spans="1:14" ht="13.2" x14ac:dyDescent="0.25">
      <c r="A808" s="7"/>
      <c r="B808" s="7"/>
      <c r="C808" s="7"/>
      <c r="D808" s="7"/>
      <c r="E808" s="7"/>
      <c r="F808" s="7"/>
      <c r="G808" s="7"/>
      <c r="H808" s="7"/>
      <c r="I808" s="7"/>
      <c r="J808" s="7"/>
      <c r="K808" s="7"/>
      <c r="L808" s="7"/>
      <c r="M808" s="7"/>
      <c r="N808" s="7"/>
    </row>
    <row r="809" spans="1:14" ht="13.2" x14ac:dyDescent="0.25">
      <c r="A809" s="7"/>
      <c r="B809" s="7"/>
      <c r="C809" s="7"/>
      <c r="D809" s="7"/>
      <c r="E809" s="7"/>
      <c r="F809" s="7"/>
      <c r="G809" s="7"/>
      <c r="H809" s="7"/>
      <c r="I809" s="7"/>
      <c r="J809" s="7"/>
      <c r="K809" s="7"/>
      <c r="L809" s="7"/>
      <c r="M809" s="7"/>
      <c r="N809" s="7"/>
    </row>
    <row r="810" spans="1:14" ht="13.2" x14ac:dyDescent="0.25">
      <c r="A810" s="7"/>
      <c r="B810" s="7"/>
      <c r="C810" s="7"/>
      <c r="D810" s="7"/>
      <c r="E810" s="7"/>
      <c r="F810" s="7"/>
      <c r="G810" s="7"/>
      <c r="H810" s="7"/>
      <c r="I810" s="7"/>
      <c r="J810" s="7"/>
      <c r="K810" s="7"/>
      <c r="L810" s="7"/>
      <c r="M810" s="7"/>
      <c r="N810" s="7"/>
    </row>
    <row r="811" spans="1:14" ht="13.2" x14ac:dyDescent="0.25">
      <c r="A811" s="7"/>
      <c r="B811" s="7"/>
      <c r="C811" s="7"/>
      <c r="D811" s="7"/>
      <c r="E811" s="7"/>
      <c r="F811" s="7"/>
      <c r="G811" s="7"/>
      <c r="H811" s="7"/>
      <c r="I811" s="7"/>
      <c r="J811" s="7"/>
      <c r="K811" s="7"/>
      <c r="L811" s="7"/>
      <c r="M811" s="7"/>
      <c r="N811" s="7"/>
    </row>
    <row r="812" spans="1:14" ht="13.2" x14ac:dyDescent="0.25">
      <c r="A812" s="7"/>
      <c r="B812" s="7"/>
      <c r="C812" s="7"/>
      <c r="D812" s="7"/>
      <c r="E812" s="7"/>
      <c r="F812" s="7"/>
      <c r="G812" s="7"/>
      <c r="H812" s="7"/>
      <c r="I812" s="7"/>
      <c r="J812" s="7"/>
      <c r="K812" s="7"/>
      <c r="L812" s="7"/>
      <c r="M812" s="7"/>
      <c r="N812" s="7"/>
    </row>
    <row r="813" spans="1:14" ht="13.2" x14ac:dyDescent="0.25">
      <c r="A813" s="7"/>
      <c r="B813" s="7"/>
      <c r="C813" s="7"/>
      <c r="D813" s="7"/>
      <c r="E813" s="7"/>
      <c r="F813" s="7"/>
      <c r="G813" s="7"/>
      <c r="H813" s="7"/>
      <c r="I813" s="7"/>
      <c r="J813" s="7"/>
      <c r="K813" s="7"/>
      <c r="L813" s="7"/>
      <c r="M813" s="7"/>
      <c r="N813" s="7"/>
    </row>
    <row r="814" spans="1:14" ht="13.2" x14ac:dyDescent="0.25">
      <c r="A814" s="7"/>
      <c r="B814" s="7"/>
      <c r="C814" s="7"/>
      <c r="D814" s="7"/>
      <c r="E814" s="7"/>
      <c r="F814" s="7"/>
      <c r="G814" s="7"/>
      <c r="H814" s="7"/>
      <c r="I814" s="7"/>
      <c r="J814" s="7"/>
      <c r="K814" s="7"/>
      <c r="L814" s="7"/>
      <c r="M814" s="7"/>
      <c r="N814" s="7"/>
    </row>
    <row r="815" spans="1:14" ht="13.2" x14ac:dyDescent="0.25">
      <c r="A815" s="7"/>
      <c r="B815" s="7"/>
      <c r="C815" s="7"/>
      <c r="D815" s="7"/>
      <c r="E815" s="7"/>
      <c r="F815" s="7"/>
      <c r="G815" s="7"/>
      <c r="H815" s="7"/>
      <c r="I815" s="7"/>
      <c r="J815" s="7"/>
      <c r="K815" s="7"/>
      <c r="L815" s="7"/>
      <c r="M815" s="7"/>
      <c r="N815" s="7"/>
    </row>
    <row r="816" spans="1:14" ht="13.2" x14ac:dyDescent="0.25">
      <c r="A816" s="7"/>
      <c r="B816" s="7"/>
      <c r="C816" s="7"/>
      <c r="D816" s="7"/>
      <c r="E816" s="7"/>
      <c r="F816" s="7"/>
      <c r="G816" s="7"/>
      <c r="H816" s="7"/>
      <c r="I816" s="7"/>
      <c r="J816" s="7"/>
      <c r="K816" s="7"/>
      <c r="L816" s="7"/>
      <c r="M816" s="7"/>
      <c r="N816" s="7"/>
    </row>
    <row r="817" spans="1:14" ht="13.2" x14ac:dyDescent="0.25">
      <c r="A817" s="7"/>
      <c r="B817" s="7"/>
      <c r="C817" s="7"/>
      <c r="D817" s="7"/>
      <c r="E817" s="7"/>
      <c r="F817" s="7"/>
      <c r="G817" s="7"/>
      <c r="H817" s="7"/>
      <c r="I817" s="7"/>
      <c r="J817" s="7"/>
      <c r="K817" s="7"/>
      <c r="L817" s="7"/>
      <c r="M817" s="7"/>
      <c r="N817" s="7"/>
    </row>
    <row r="818" spans="1:14" ht="13.2" x14ac:dyDescent="0.25">
      <c r="A818" s="7"/>
      <c r="B818" s="7"/>
      <c r="C818" s="7"/>
      <c r="D818" s="7"/>
      <c r="E818" s="7"/>
      <c r="F818" s="7"/>
      <c r="G818" s="7"/>
      <c r="H818" s="7"/>
      <c r="I818" s="7"/>
      <c r="J818" s="7"/>
      <c r="K818" s="7"/>
      <c r="L818" s="7"/>
      <c r="M818" s="7"/>
      <c r="N818" s="7"/>
    </row>
    <row r="819" spans="1:14" ht="13.2" x14ac:dyDescent="0.25">
      <c r="A819" s="7"/>
      <c r="B819" s="7"/>
      <c r="C819" s="7"/>
      <c r="D819" s="7"/>
      <c r="E819" s="7"/>
      <c r="F819" s="7"/>
      <c r="G819" s="7"/>
      <c r="H819" s="7"/>
      <c r="I819" s="7"/>
      <c r="J819" s="7"/>
      <c r="K819" s="7"/>
      <c r="L819" s="7"/>
      <c r="M819" s="7"/>
      <c r="N819" s="7"/>
    </row>
    <row r="820" spans="1:14" ht="13.2" x14ac:dyDescent="0.25">
      <c r="A820" s="7"/>
      <c r="B820" s="7"/>
      <c r="C820" s="7"/>
      <c r="D820" s="7"/>
      <c r="E820" s="7"/>
      <c r="F820" s="7"/>
      <c r="G820" s="7"/>
      <c r="H820" s="7"/>
      <c r="I820" s="7"/>
      <c r="J820" s="7"/>
      <c r="K820" s="7"/>
      <c r="L820" s="7"/>
      <c r="M820" s="7"/>
      <c r="N820" s="7"/>
    </row>
    <row r="821" spans="1:14" ht="13.2" x14ac:dyDescent="0.25">
      <c r="A821" s="7"/>
      <c r="B821" s="7"/>
      <c r="C821" s="7"/>
      <c r="D821" s="7"/>
      <c r="E821" s="7"/>
      <c r="F821" s="7"/>
      <c r="G821" s="7"/>
      <c r="H821" s="7"/>
      <c r="I821" s="7"/>
      <c r="J821" s="7"/>
      <c r="K821" s="7"/>
      <c r="L821" s="7"/>
      <c r="M821" s="7"/>
      <c r="N821" s="7"/>
    </row>
    <row r="822" spans="1:14" ht="13.2" x14ac:dyDescent="0.25">
      <c r="A822" s="7"/>
      <c r="B822" s="7"/>
      <c r="C822" s="7"/>
      <c r="D822" s="7"/>
      <c r="E822" s="7"/>
      <c r="F822" s="7"/>
      <c r="G822" s="7"/>
      <c r="H822" s="7"/>
      <c r="I822" s="7"/>
      <c r="J822" s="7"/>
      <c r="K822" s="7"/>
      <c r="L822" s="7"/>
      <c r="M822" s="7"/>
      <c r="N822" s="7"/>
    </row>
    <row r="823" spans="1:14" ht="13.2" x14ac:dyDescent="0.25">
      <c r="A823" s="7"/>
      <c r="B823" s="7"/>
      <c r="C823" s="7"/>
      <c r="D823" s="7"/>
      <c r="E823" s="7"/>
      <c r="F823" s="7"/>
      <c r="G823" s="7"/>
      <c r="H823" s="7"/>
      <c r="I823" s="7"/>
      <c r="J823" s="7"/>
      <c r="K823" s="7"/>
      <c r="L823" s="7"/>
      <c r="M823" s="7"/>
      <c r="N823" s="7"/>
    </row>
    <row r="824" spans="1:14" ht="13.2" x14ac:dyDescent="0.25">
      <c r="A824" s="7"/>
      <c r="B824" s="7"/>
      <c r="C824" s="7"/>
      <c r="D824" s="7"/>
      <c r="E824" s="7"/>
      <c r="F824" s="7"/>
      <c r="G824" s="7"/>
      <c r="H824" s="7"/>
      <c r="I824" s="7"/>
      <c r="J824" s="7"/>
      <c r="K824" s="7"/>
      <c r="L824" s="7"/>
      <c r="M824" s="7"/>
      <c r="N824" s="7"/>
    </row>
    <row r="825" spans="1:14" ht="13.2" x14ac:dyDescent="0.25">
      <c r="A825" s="7"/>
      <c r="B825" s="7"/>
      <c r="C825" s="7"/>
      <c r="D825" s="7"/>
      <c r="E825" s="7"/>
      <c r="F825" s="7"/>
      <c r="G825" s="7"/>
      <c r="H825" s="7"/>
      <c r="I825" s="7"/>
      <c r="J825" s="7"/>
      <c r="K825" s="7"/>
      <c r="L825" s="7"/>
      <c r="M825" s="7"/>
      <c r="N825" s="7"/>
    </row>
    <row r="826" spans="1:14" ht="13.2" x14ac:dyDescent="0.25">
      <c r="A826" s="7"/>
      <c r="B826" s="7"/>
      <c r="C826" s="7"/>
      <c r="D826" s="7"/>
      <c r="E826" s="7"/>
      <c r="F826" s="7"/>
      <c r="G826" s="7"/>
      <c r="H826" s="7"/>
      <c r="I826" s="7"/>
      <c r="J826" s="7"/>
      <c r="K826" s="7"/>
      <c r="L826" s="7"/>
      <c r="M826" s="7"/>
      <c r="N826" s="7"/>
    </row>
    <row r="827" spans="1:14" ht="13.2" x14ac:dyDescent="0.25">
      <c r="A827" s="7"/>
      <c r="B827" s="7"/>
      <c r="C827" s="7"/>
      <c r="D827" s="7"/>
      <c r="E827" s="7"/>
      <c r="F827" s="7"/>
      <c r="G827" s="7"/>
      <c r="H827" s="7"/>
      <c r="I827" s="7"/>
      <c r="J827" s="7"/>
      <c r="K827" s="7"/>
      <c r="L827" s="7"/>
      <c r="M827" s="7"/>
      <c r="N827" s="7"/>
    </row>
    <row r="828" spans="1:14" ht="13.2" x14ac:dyDescent="0.25">
      <c r="A828" s="7"/>
      <c r="B828" s="7"/>
      <c r="C828" s="7"/>
      <c r="D828" s="7"/>
      <c r="E828" s="7"/>
      <c r="F828" s="7"/>
      <c r="G828" s="7"/>
      <c r="H828" s="7"/>
      <c r="I828" s="7"/>
      <c r="J828" s="7"/>
      <c r="K828" s="7"/>
      <c r="L828" s="7"/>
      <c r="M828" s="7"/>
      <c r="N828" s="7"/>
    </row>
    <row r="829" spans="1:14" ht="13.2" x14ac:dyDescent="0.25">
      <c r="A829" s="7"/>
      <c r="B829" s="7"/>
      <c r="C829" s="7"/>
      <c r="D829" s="7"/>
      <c r="E829" s="7"/>
      <c r="F829" s="7"/>
      <c r="G829" s="7"/>
      <c r="H829" s="7"/>
      <c r="I829" s="7"/>
      <c r="J829" s="7"/>
      <c r="K829" s="7"/>
      <c r="L829" s="7"/>
      <c r="M829" s="7"/>
      <c r="N829" s="7"/>
    </row>
    <row r="830" spans="1:14" ht="13.2" x14ac:dyDescent="0.25">
      <c r="A830" s="7"/>
      <c r="B830" s="7"/>
      <c r="C830" s="7"/>
      <c r="D830" s="7"/>
      <c r="E830" s="7"/>
      <c r="F830" s="7"/>
      <c r="G830" s="7"/>
      <c r="H830" s="7"/>
      <c r="I830" s="7"/>
      <c r="J830" s="7"/>
      <c r="K830" s="7"/>
      <c r="L830" s="7"/>
      <c r="M830" s="7"/>
      <c r="N830" s="7"/>
    </row>
    <row r="831" spans="1:14" ht="13.2" x14ac:dyDescent="0.25">
      <c r="A831" s="7"/>
      <c r="B831" s="7"/>
      <c r="C831" s="7"/>
      <c r="D831" s="7"/>
      <c r="E831" s="7"/>
      <c r="F831" s="7"/>
      <c r="G831" s="7"/>
      <c r="H831" s="7"/>
      <c r="I831" s="7"/>
      <c r="J831" s="7"/>
      <c r="K831" s="7"/>
      <c r="L831" s="7"/>
      <c r="M831" s="7"/>
      <c r="N831" s="7"/>
    </row>
    <row r="832" spans="1:14" ht="13.2" x14ac:dyDescent="0.25">
      <c r="A832" s="7"/>
      <c r="B832" s="7"/>
      <c r="C832" s="7"/>
      <c r="D832" s="7"/>
      <c r="E832" s="7"/>
      <c r="F832" s="7"/>
      <c r="G832" s="7"/>
      <c r="H832" s="7"/>
      <c r="I832" s="7"/>
      <c r="J832" s="7"/>
      <c r="K832" s="7"/>
      <c r="L832" s="7"/>
      <c r="M832" s="7"/>
      <c r="N832" s="7"/>
    </row>
    <row r="833" spans="1:14" ht="13.2" x14ac:dyDescent="0.25">
      <c r="A833" s="7"/>
      <c r="B833" s="7"/>
      <c r="C833" s="7"/>
      <c r="D833" s="7"/>
      <c r="E833" s="7"/>
      <c r="F833" s="7"/>
      <c r="G833" s="7"/>
      <c r="H833" s="7"/>
      <c r="I833" s="7"/>
      <c r="J833" s="7"/>
      <c r="K833" s="7"/>
      <c r="L833" s="7"/>
      <c r="M833" s="7"/>
      <c r="N833" s="7"/>
    </row>
    <row r="834" spans="1:14" ht="13.2" x14ac:dyDescent="0.25">
      <c r="A834" s="7"/>
      <c r="B834" s="7"/>
      <c r="C834" s="7"/>
      <c r="D834" s="7"/>
      <c r="E834" s="7"/>
      <c r="F834" s="7"/>
      <c r="G834" s="7"/>
      <c r="H834" s="7"/>
      <c r="I834" s="7"/>
      <c r="J834" s="7"/>
      <c r="K834" s="7"/>
      <c r="L834" s="7"/>
      <c r="M834" s="7"/>
      <c r="N834" s="7"/>
    </row>
    <row r="835" spans="1:14" ht="13.2" x14ac:dyDescent="0.25">
      <c r="A835" s="7"/>
      <c r="B835" s="7"/>
      <c r="C835" s="7"/>
      <c r="D835" s="7"/>
      <c r="E835" s="7"/>
      <c r="F835" s="7"/>
      <c r="G835" s="7"/>
      <c r="H835" s="7"/>
      <c r="I835" s="7"/>
      <c r="J835" s="7"/>
      <c r="K835" s="7"/>
      <c r="L835" s="7"/>
      <c r="M835" s="7"/>
      <c r="N835" s="7"/>
    </row>
    <row r="836" spans="1:14" ht="13.2" x14ac:dyDescent="0.25">
      <c r="A836" s="7"/>
      <c r="B836" s="7"/>
      <c r="C836" s="7"/>
      <c r="D836" s="7"/>
      <c r="E836" s="7"/>
      <c r="F836" s="7"/>
      <c r="G836" s="7"/>
      <c r="H836" s="7"/>
      <c r="I836" s="7"/>
      <c r="J836" s="7"/>
      <c r="K836" s="7"/>
      <c r="L836" s="7"/>
      <c r="M836" s="7"/>
      <c r="N836" s="7"/>
    </row>
    <row r="837" spans="1:14" ht="13.2" x14ac:dyDescent="0.25">
      <c r="A837" s="7"/>
      <c r="B837" s="7"/>
      <c r="C837" s="7"/>
      <c r="D837" s="7"/>
      <c r="E837" s="7"/>
      <c r="F837" s="7"/>
      <c r="G837" s="7"/>
      <c r="H837" s="7"/>
      <c r="I837" s="7"/>
      <c r="J837" s="7"/>
      <c r="K837" s="7"/>
      <c r="L837" s="7"/>
      <c r="M837" s="7"/>
      <c r="N837" s="7"/>
    </row>
    <row r="838" spans="1:14" ht="13.2" x14ac:dyDescent="0.25">
      <c r="A838" s="7"/>
      <c r="B838" s="7"/>
      <c r="C838" s="7"/>
      <c r="D838" s="7"/>
      <c r="E838" s="7"/>
      <c r="F838" s="7"/>
      <c r="G838" s="7"/>
      <c r="H838" s="7"/>
      <c r="I838" s="7"/>
      <c r="J838" s="7"/>
      <c r="K838" s="7"/>
      <c r="L838" s="7"/>
      <c r="M838" s="7"/>
      <c r="N838" s="7"/>
    </row>
    <row r="839" spans="1:14" ht="13.2" x14ac:dyDescent="0.25">
      <c r="A839" s="7"/>
      <c r="B839" s="7"/>
      <c r="C839" s="7"/>
      <c r="D839" s="7"/>
      <c r="E839" s="7"/>
      <c r="F839" s="7"/>
      <c r="G839" s="7"/>
      <c r="H839" s="7"/>
      <c r="I839" s="7"/>
      <c r="J839" s="7"/>
      <c r="K839" s="7"/>
      <c r="L839" s="7"/>
      <c r="M839" s="7"/>
      <c r="N839" s="7"/>
    </row>
    <row r="840" spans="1:14" ht="13.2" x14ac:dyDescent="0.25">
      <c r="A840" s="7"/>
      <c r="B840" s="7"/>
      <c r="C840" s="7"/>
      <c r="D840" s="7"/>
      <c r="E840" s="7"/>
      <c r="F840" s="7"/>
      <c r="G840" s="7"/>
      <c r="H840" s="7"/>
      <c r="I840" s="7"/>
      <c r="J840" s="7"/>
      <c r="K840" s="7"/>
      <c r="L840" s="7"/>
      <c r="M840" s="7"/>
      <c r="N840" s="7"/>
    </row>
    <row r="841" spans="1:14" ht="13.2" x14ac:dyDescent="0.25">
      <c r="A841" s="7"/>
      <c r="B841" s="7"/>
      <c r="C841" s="7"/>
      <c r="D841" s="7"/>
      <c r="E841" s="7"/>
      <c r="F841" s="7"/>
      <c r="G841" s="7"/>
      <c r="H841" s="7"/>
      <c r="I841" s="7"/>
      <c r="J841" s="7"/>
      <c r="K841" s="7"/>
      <c r="L841" s="7"/>
      <c r="M841" s="7"/>
      <c r="N841" s="7"/>
    </row>
    <row r="842" spans="1:14" ht="13.2" x14ac:dyDescent="0.25">
      <c r="A842" s="7"/>
      <c r="B842" s="7"/>
      <c r="C842" s="7"/>
      <c r="D842" s="7"/>
      <c r="E842" s="7"/>
      <c r="F842" s="7"/>
      <c r="G842" s="7"/>
      <c r="H842" s="7"/>
      <c r="I842" s="7"/>
      <c r="J842" s="7"/>
      <c r="K842" s="7"/>
      <c r="L842" s="7"/>
      <c r="M842" s="7"/>
      <c r="N842" s="7"/>
    </row>
    <row r="843" spans="1:14" ht="13.2" x14ac:dyDescent="0.25">
      <c r="A843" s="7"/>
      <c r="B843" s="7"/>
      <c r="C843" s="7"/>
      <c r="D843" s="7"/>
      <c r="E843" s="7"/>
      <c r="F843" s="7"/>
      <c r="G843" s="7"/>
      <c r="H843" s="7"/>
      <c r="I843" s="7"/>
      <c r="J843" s="7"/>
      <c r="K843" s="7"/>
      <c r="L843" s="7"/>
      <c r="M843" s="7"/>
      <c r="N843" s="7"/>
    </row>
    <row r="844" spans="1:14" ht="13.2" x14ac:dyDescent="0.25">
      <c r="A844" s="7"/>
      <c r="B844" s="7"/>
      <c r="C844" s="7"/>
      <c r="D844" s="7"/>
      <c r="E844" s="7"/>
      <c r="F844" s="7"/>
      <c r="G844" s="7"/>
      <c r="H844" s="7"/>
      <c r="I844" s="7"/>
      <c r="J844" s="7"/>
      <c r="K844" s="7"/>
      <c r="L844" s="7"/>
      <c r="M844" s="7"/>
      <c r="N844" s="7"/>
    </row>
    <row r="845" spans="1:14" ht="13.2" x14ac:dyDescent="0.25">
      <c r="A845" s="7"/>
      <c r="B845" s="7"/>
      <c r="C845" s="7"/>
      <c r="D845" s="7"/>
      <c r="E845" s="7"/>
      <c r="F845" s="7"/>
      <c r="G845" s="7"/>
      <c r="H845" s="7"/>
      <c r="I845" s="7"/>
      <c r="J845" s="7"/>
      <c r="K845" s="7"/>
      <c r="L845" s="7"/>
      <c r="M845" s="7"/>
      <c r="N845" s="7"/>
    </row>
    <row r="846" spans="1:14" ht="13.2" x14ac:dyDescent="0.25">
      <c r="A846" s="7"/>
      <c r="B846" s="7"/>
      <c r="C846" s="7"/>
      <c r="D846" s="7"/>
      <c r="E846" s="7"/>
      <c r="F846" s="7"/>
      <c r="G846" s="7"/>
      <c r="H846" s="7"/>
      <c r="I846" s="7"/>
      <c r="J846" s="7"/>
      <c r="K846" s="7"/>
      <c r="L846" s="7"/>
      <c r="M846" s="7"/>
      <c r="N846" s="7"/>
    </row>
    <row r="847" spans="1:14" ht="13.2" x14ac:dyDescent="0.25">
      <c r="A847" s="7"/>
      <c r="B847" s="7"/>
      <c r="C847" s="7"/>
      <c r="D847" s="7"/>
      <c r="E847" s="7"/>
      <c r="F847" s="7"/>
      <c r="G847" s="7"/>
      <c r="H847" s="7"/>
      <c r="I847" s="7"/>
      <c r="J847" s="7"/>
      <c r="K847" s="7"/>
      <c r="L847" s="7"/>
      <c r="M847" s="7"/>
      <c r="N847" s="7"/>
    </row>
    <row r="848" spans="1:14" ht="13.2" x14ac:dyDescent="0.25">
      <c r="A848" s="7"/>
      <c r="B848" s="7"/>
      <c r="C848" s="7"/>
      <c r="D848" s="7"/>
      <c r="E848" s="7"/>
      <c r="F848" s="7"/>
      <c r="G848" s="7"/>
      <c r="H848" s="7"/>
      <c r="I848" s="7"/>
      <c r="J848" s="7"/>
      <c r="K848" s="7"/>
      <c r="L848" s="7"/>
      <c r="M848" s="7"/>
      <c r="N848" s="7"/>
    </row>
    <row r="849" spans="1:14" ht="13.2" x14ac:dyDescent="0.25">
      <c r="A849" s="7"/>
      <c r="B849" s="7"/>
      <c r="C849" s="7"/>
      <c r="D849" s="7"/>
      <c r="E849" s="7"/>
      <c r="F849" s="7"/>
      <c r="G849" s="7"/>
      <c r="H849" s="7"/>
      <c r="I849" s="7"/>
      <c r="J849" s="7"/>
      <c r="K849" s="7"/>
      <c r="L849" s="7"/>
      <c r="M849" s="7"/>
      <c r="N849" s="7"/>
    </row>
    <row r="850" spans="1:14" ht="13.2" x14ac:dyDescent="0.25">
      <c r="A850" s="7"/>
      <c r="B850" s="7"/>
      <c r="C850" s="7"/>
      <c r="D850" s="7"/>
      <c r="E850" s="7"/>
      <c r="F850" s="7"/>
      <c r="G850" s="7"/>
      <c r="H850" s="7"/>
      <c r="I850" s="7"/>
      <c r="J850" s="7"/>
      <c r="K850" s="7"/>
      <c r="L850" s="7"/>
      <c r="M850" s="7"/>
      <c r="N850" s="7"/>
    </row>
    <row r="851" spans="1:14" ht="13.2" x14ac:dyDescent="0.25">
      <c r="A851" s="7"/>
      <c r="B851" s="7"/>
      <c r="C851" s="7"/>
      <c r="D851" s="7"/>
      <c r="E851" s="7"/>
      <c r="F851" s="7"/>
      <c r="G851" s="7"/>
      <c r="H851" s="7"/>
      <c r="I851" s="7"/>
      <c r="J851" s="7"/>
      <c r="K851" s="7"/>
      <c r="L851" s="7"/>
      <c r="M851" s="7"/>
      <c r="N851" s="7"/>
    </row>
    <row r="852" spans="1:14" ht="13.2" x14ac:dyDescent="0.25">
      <c r="A852" s="7"/>
      <c r="B852" s="7"/>
      <c r="C852" s="7"/>
      <c r="D852" s="7"/>
      <c r="E852" s="7"/>
      <c r="F852" s="7"/>
      <c r="G852" s="7"/>
      <c r="H852" s="7"/>
      <c r="I852" s="7"/>
      <c r="J852" s="7"/>
      <c r="K852" s="7"/>
      <c r="L852" s="7"/>
      <c r="M852" s="7"/>
      <c r="N852" s="7"/>
    </row>
    <row r="853" spans="1:14" ht="13.2" x14ac:dyDescent="0.25">
      <c r="A853" s="7"/>
      <c r="B853" s="7"/>
      <c r="C853" s="7"/>
      <c r="D853" s="7"/>
      <c r="E853" s="7"/>
      <c r="F853" s="7"/>
      <c r="G853" s="7"/>
      <c r="H853" s="7"/>
      <c r="I853" s="7"/>
      <c r="J853" s="7"/>
      <c r="K853" s="7"/>
      <c r="L853" s="7"/>
      <c r="M853" s="7"/>
      <c r="N853" s="7"/>
    </row>
    <row r="854" spans="1:14" ht="13.2" x14ac:dyDescent="0.25">
      <c r="A854" s="7"/>
      <c r="B854" s="7"/>
      <c r="C854" s="7"/>
      <c r="D854" s="7"/>
      <c r="E854" s="7"/>
      <c r="F854" s="7"/>
      <c r="G854" s="7"/>
      <c r="H854" s="7"/>
      <c r="I854" s="7"/>
      <c r="J854" s="7"/>
      <c r="K854" s="7"/>
      <c r="L854" s="7"/>
      <c r="M854" s="7"/>
      <c r="N854" s="7"/>
    </row>
    <row r="855" spans="1:14" ht="13.2" x14ac:dyDescent="0.25">
      <c r="A855" s="7"/>
      <c r="B855" s="7"/>
      <c r="C855" s="7"/>
      <c r="D855" s="7"/>
      <c r="E855" s="7"/>
      <c r="F855" s="7"/>
      <c r="G855" s="7"/>
      <c r="H855" s="7"/>
      <c r="I855" s="7"/>
      <c r="J855" s="7"/>
      <c r="K855" s="7"/>
      <c r="L855" s="7"/>
      <c r="M855" s="7"/>
      <c r="N855" s="7"/>
    </row>
    <row r="856" spans="1:14" ht="13.2" x14ac:dyDescent="0.25">
      <c r="A856" s="7"/>
      <c r="B856" s="7"/>
      <c r="C856" s="7"/>
      <c r="D856" s="7"/>
      <c r="E856" s="7"/>
      <c r="F856" s="7"/>
      <c r="G856" s="7"/>
      <c r="H856" s="7"/>
      <c r="I856" s="7"/>
      <c r="J856" s="7"/>
      <c r="K856" s="7"/>
      <c r="L856" s="7"/>
      <c r="M856" s="7"/>
      <c r="N856" s="7"/>
    </row>
    <row r="857" spans="1:14" ht="13.2" x14ac:dyDescent="0.25">
      <c r="A857" s="7"/>
      <c r="B857" s="7"/>
      <c r="C857" s="7"/>
      <c r="D857" s="7"/>
      <c r="E857" s="7"/>
      <c r="F857" s="7"/>
      <c r="G857" s="7"/>
      <c r="H857" s="7"/>
      <c r="I857" s="7"/>
      <c r="J857" s="7"/>
      <c r="K857" s="7"/>
      <c r="L857" s="7"/>
      <c r="M857" s="7"/>
      <c r="N857" s="7"/>
    </row>
    <row r="858" spans="1:14" ht="13.2" x14ac:dyDescent="0.25">
      <c r="A858" s="7"/>
      <c r="B858" s="7"/>
      <c r="C858" s="7"/>
      <c r="D858" s="7"/>
      <c r="E858" s="7"/>
      <c r="F858" s="7"/>
      <c r="G858" s="7"/>
      <c r="H858" s="7"/>
      <c r="I858" s="7"/>
      <c r="J858" s="7"/>
      <c r="K858" s="7"/>
      <c r="L858" s="7"/>
      <c r="M858" s="7"/>
      <c r="N858" s="7"/>
    </row>
    <row r="859" spans="1:14" ht="13.2" x14ac:dyDescent="0.25">
      <c r="A859" s="7"/>
      <c r="B859" s="7"/>
      <c r="C859" s="7"/>
      <c r="D859" s="7"/>
      <c r="E859" s="7"/>
      <c r="F859" s="7"/>
      <c r="G859" s="7"/>
      <c r="H859" s="7"/>
      <c r="I859" s="7"/>
      <c r="J859" s="7"/>
      <c r="K859" s="7"/>
      <c r="L859" s="7"/>
      <c r="M859" s="7"/>
      <c r="N859" s="7"/>
    </row>
    <row r="860" spans="1:14" ht="13.2" x14ac:dyDescent="0.25">
      <c r="A860" s="7"/>
      <c r="B860" s="7"/>
      <c r="C860" s="7"/>
      <c r="D860" s="7"/>
      <c r="E860" s="7"/>
      <c r="F860" s="7"/>
      <c r="G860" s="7"/>
      <c r="H860" s="7"/>
      <c r="I860" s="7"/>
      <c r="J860" s="7"/>
      <c r="K860" s="7"/>
      <c r="L860" s="7"/>
      <c r="M860" s="7"/>
      <c r="N860" s="7"/>
    </row>
    <row r="861" spans="1:14" ht="13.2" x14ac:dyDescent="0.25">
      <c r="A861" s="7"/>
      <c r="B861" s="7"/>
      <c r="C861" s="7"/>
      <c r="D861" s="7"/>
      <c r="E861" s="7"/>
      <c r="F861" s="7"/>
      <c r="G861" s="7"/>
      <c r="H861" s="7"/>
      <c r="I861" s="7"/>
      <c r="J861" s="7"/>
      <c r="K861" s="7"/>
      <c r="L861" s="7"/>
      <c r="M861" s="7"/>
      <c r="N861" s="7"/>
    </row>
    <row r="862" spans="1:14" ht="13.2" x14ac:dyDescent="0.25">
      <c r="A862" s="7"/>
      <c r="B862" s="7"/>
      <c r="C862" s="7"/>
      <c r="D862" s="7"/>
      <c r="E862" s="7"/>
      <c r="F862" s="7"/>
      <c r="G862" s="7"/>
      <c r="H862" s="7"/>
      <c r="I862" s="7"/>
      <c r="J862" s="7"/>
      <c r="K862" s="7"/>
      <c r="L862" s="7"/>
      <c r="M862" s="7"/>
      <c r="N862" s="7"/>
    </row>
    <row r="863" spans="1:14" ht="13.2" x14ac:dyDescent="0.25">
      <c r="A863" s="7"/>
      <c r="B863" s="7"/>
      <c r="C863" s="7"/>
      <c r="D863" s="7"/>
      <c r="E863" s="7"/>
      <c r="F863" s="7"/>
      <c r="G863" s="7"/>
      <c r="H863" s="7"/>
      <c r="I863" s="7"/>
      <c r="J863" s="7"/>
      <c r="K863" s="7"/>
      <c r="L863" s="7"/>
      <c r="M863" s="7"/>
      <c r="N863" s="7"/>
    </row>
    <row r="864" spans="1:14" ht="13.2" x14ac:dyDescent="0.25">
      <c r="A864" s="7"/>
      <c r="B864" s="7"/>
      <c r="C864" s="7"/>
      <c r="D864" s="7"/>
      <c r="E864" s="7"/>
      <c r="F864" s="7"/>
      <c r="G864" s="7"/>
      <c r="H864" s="7"/>
      <c r="I864" s="7"/>
      <c r="J864" s="7"/>
      <c r="K864" s="7"/>
      <c r="L864" s="7"/>
      <c r="M864" s="7"/>
      <c r="N864" s="7"/>
    </row>
    <row r="865" spans="1:14" ht="13.2" x14ac:dyDescent="0.25">
      <c r="A865" s="7"/>
      <c r="B865" s="7"/>
      <c r="C865" s="7"/>
      <c r="D865" s="7"/>
      <c r="E865" s="7"/>
      <c r="F865" s="7"/>
      <c r="G865" s="7"/>
      <c r="H865" s="7"/>
      <c r="I865" s="7"/>
      <c r="J865" s="7"/>
      <c r="K865" s="7"/>
      <c r="L865" s="7"/>
      <c r="M865" s="7"/>
      <c r="N865" s="7"/>
    </row>
    <row r="866" spans="1:14" ht="13.2" x14ac:dyDescent="0.25">
      <c r="A866" s="7"/>
      <c r="B866" s="7"/>
      <c r="C866" s="7"/>
      <c r="D866" s="7"/>
      <c r="E866" s="7"/>
      <c r="F866" s="7"/>
      <c r="G866" s="7"/>
      <c r="H866" s="7"/>
      <c r="I866" s="7"/>
      <c r="J866" s="7"/>
      <c r="K866" s="7"/>
      <c r="L866" s="7"/>
      <c r="M866" s="7"/>
      <c r="N866" s="7"/>
    </row>
    <row r="867" spans="1:14" ht="13.2" x14ac:dyDescent="0.25">
      <c r="A867" s="7"/>
      <c r="B867" s="7"/>
      <c r="C867" s="7"/>
      <c r="D867" s="7"/>
      <c r="E867" s="7"/>
      <c r="F867" s="7"/>
      <c r="G867" s="7"/>
      <c r="H867" s="7"/>
      <c r="I867" s="7"/>
      <c r="J867" s="7"/>
      <c r="K867" s="7"/>
      <c r="L867" s="7"/>
      <c r="M867" s="7"/>
      <c r="N867" s="7"/>
    </row>
    <row r="868" spans="1:14" ht="13.2" x14ac:dyDescent="0.25">
      <c r="A868" s="7"/>
      <c r="B868" s="7"/>
      <c r="C868" s="7"/>
      <c r="D868" s="7"/>
      <c r="E868" s="7"/>
      <c r="F868" s="7"/>
      <c r="G868" s="7"/>
      <c r="H868" s="7"/>
      <c r="I868" s="7"/>
      <c r="J868" s="7"/>
      <c r="K868" s="7"/>
      <c r="L868" s="7"/>
      <c r="M868" s="7"/>
      <c r="N868" s="7"/>
    </row>
    <row r="869" spans="1:14" ht="13.2" x14ac:dyDescent="0.25">
      <c r="A869" s="7"/>
      <c r="B869" s="7"/>
      <c r="C869" s="7"/>
      <c r="D869" s="7"/>
      <c r="E869" s="7"/>
      <c r="F869" s="7"/>
      <c r="G869" s="7"/>
      <c r="H869" s="7"/>
      <c r="I869" s="7"/>
      <c r="J869" s="7"/>
      <c r="K869" s="7"/>
      <c r="L869" s="7"/>
      <c r="M869" s="7"/>
      <c r="N869" s="7"/>
    </row>
    <row r="870" spans="1:14" ht="13.2" x14ac:dyDescent="0.25">
      <c r="A870" s="7"/>
      <c r="B870" s="7"/>
      <c r="C870" s="7"/>
      <c r="D870" s="7"/>
      <c r="E870" s="7"/>
      <c r="F870" s="7"/>
      <c r="G870" s="7"/>
      <c r="H870" s="7"/>
      <c r="I870" s="7"/>
      <c r="J870" s="7"/>
      <c r="K870" s="7"/>
      <c r="L870" s="7"/>
      <c r="M870" s="7"/>
      <c r="N870" s="7"/>
    </row>
    <row r="871" spans="1:14" ht="13.2" x14ac:dyDescent="0.25">
      <c r="A871" s="7"/>
      <c r="B871" s="7"/>
      <c r="C871" s="7"/>
      <c r="D871" s="7"/>
      <c r="E871" s="7"/>
      <c r="F871" s="7"/>
      <c r="G871" s="7"/>
      <c r="H871" s="7"/>
      <c r="I871" s="7"/>
      <c r="J871" s="7"/>
      <c r="K871" s="7"/>
      <c r="L871" s="7"/>
      <c r="M871" s="7"/>
      <c r="N871" s="7"/>
    </row>
    <row r="872" spans="1:14" ht="13.2" x14ac:dyDescent="0.25">
      <c r="A872" s="7"/>
      <c r="B872" s="7"/>
      <c r="C872" s="7"/>
      <c r="D872" s="7"/>
      <c r="E872" s="7"/>
      <c r="F872" s="7"/>
      <c r="G872" s="7"/>
      <c r="H872" s="7"/>
      <c r="I872" s="7"/>
      <c r="J872" s="7"/>
      <c r="K872" s="7"/>
      <c r="L872" s="7"/>
      <c r="M872" s="7"/>
      <c r="N872" s="7"/>
    </row>
    <row r="873" spans="1:14" ht="13.2" x14ac:dyDescent="0.25">
      <c r="A873" s="7"/>
      <c r="B873" s="7"/>
      <c r="C873" s="7"/>
      <c r="D873" s="7"/>
      <c r="E873" s="7"/>
      <c r="F873" s="7"/>
      <c r="G873" s="7"/>
      <c r="H873" s="7"/>
      <c r="I873" s="7"/>
      <c r="J873" s="7"/>
      <c r="K873" s="7"/>
      <c r="L873" s="7"/>
      <c r="M873" s="7"/>
      <c r="N873" s="7"/>
    </row>
    <row r="874" spans="1:14" ht="13.2" x14ac:dyDescent="0.25">
      <c r="A874" s="7"/>
      <c r="B874" s="7"/>
      <c r="C874" s="7"/>
      <c r="D874" s="7"/>
      <c r="E874" s="7"/>
      <c r="F874" s="7"/>
      <c r="G874" s="7"/>
      <c r="H874" s="7"/>
      <c r="I874" s="7"/>
      <c r="J874" s="7"/>
      <c r="K874" s="7"/>
      <c r="L874" s="7"/>
      <c r="M874" s="7"/>
      <c r="N874" s="7"/>
    </row>
    <row r="875" spans="1:14" ht="13.2" x14ac:dyDescent="0.25">
      <c r="A875" s="7"/>
      <c r="B875" s="7"/>
      <c r="C875" s="7"/>
      <c r="D875" s="7"/>
      <c r="E875" s="7"/>
      <c r="F875" s="7"/>
      <c r="G875" s="7"/>
      <c r="H875" s="7"/>
      <c r="I875" s="7"/>
      <c r="J875" s="7"/>
      <c r="K875" s="7"/>
      <c r="L875" s="7"/>
      <c r="M875" s="7"/>
      <c r="N875" s="7"/>
    </row>
    <row r="876" spans="1:14" ht="13.2" x14ac:dyDescent="0.25">
      <c r="A876" s="7"/>
      <c r="B876" s="7"/>
      <c r="C876" s="7"/>
      <c r="D876" s="7"/>
      <c r="E876" s="7"/>
      <c r="F876" s="7"/>
      <c r="G876" s="7"/>
      <c r="H876" s="7"/>
      <c r="I876" s="7"/>
      <c r="J876" s="7"/>
      <c r="K876" s="7"/>
      <c r="L876" s="7"/>
      <c r="M876" s="7"/>
      <c r="N876" s="7"/>
    </row>
    <row r="877" spans="1:14" ht="13.2" x14ac:dyDescent="0.25">
      <c r="A877" s="7"/>
      <c r="B877" s="7"/>
      <c r="C877" s="7"/>
      <c r="D877" s="7"/>
      <c r="E877" s="7"/>
      <c r="F877" s="7"/>
      <c r="G877" s="7"/>
      <c r="H877" s="7"/>
      <c r="I877" s="7"/>
      <c r="J877" s="7"/>
      <c r="K877" s="7"/>
      <c r="L877" s="7"/>
      <c r="M877" s="7"/>
      <c r="N877" s="7"/>
    </row>
    <row r="878" spans="1:14" ht="13.2" x14ac:dyDescent="0.25">
      <c r="A878" s="7"/>
      <c r="B878" s="7"/>
      <c r="C878" s="7"/>
      <c r="D878" s="7"/>
      <c r="E878" s="7"/>
      <c r="F878" s="7"/>
      <c r="G878" s="7"/>
      <c r="H878" s="7"/>
      <c r="I878" s="7"/>
      <c r="J878" s="7"/>
      <c r="K878" s="7"/>
      <c r="L878" s="7"/>
      <c r="M878" s="7"/>
      <c r="N878" s="7"/>
    </row>
    <row r="879" spans="1:14" ht="13.2" x14ac:dyDescent="0.25">
      <c r="A879" s="7"/>
      <c r="B879" s="7"/>
      <c r="C879" s="7"/>
      <c r="D879" s="7"/>
      <c r="E879" s="7"/>
      <c r="F879" s="7"/>
      <c r="G879" s="7"/>
      <c r="H879" s="7"/>
      <c r="I879" s="7"/>
      <c r="J879" s="7"/>
      <c r="K879" s="7"/>
      <c r="L879" s="7"/>
      <c r="M879" s="7"/>
      <c r="N879" s="7"/>
    </row>
    <row r="880" spans="1:14" ht="13.2" x14ac:dyDescent="0.25">
      <c r="A880" s="7"/>
      <c r="B880" s="7"/>
      <c r="C880" s="7"/>
      <c r="D880" s="7"/>
      <c r="E880" s="7"/>
      <c r="F880" s="7"/>
      <c r="G880" s="7"/>
      <c r="H880" s="7"/>
      <c r="I880" s="7"/>
      <c r="J880" s="7"/>
      <c r="K880" s="7"/>
      <c r="L880" s="7"/>
      <c r="M880" s="7"/>
      <c r="N880" s="7"/>
    </row>
    <row r="881" spans="1:14" ht="13.2" x14ac:dyDescent="0.25">
      <c r="A881" s="7"/>
      <c r="B881" s="7"/>
      <c r="C881" s="7"/>
      <c r="D881" s="7"/>
      <c r="E881" s="7"/>
      <c r="F881" s="7"/>
      <c r="G881" s="7"/>
      <c r="H881" s="7"/>
      <c r="I881" s="7"/>
      <c r="J881" s="7"/>
      <c r="K881" s="7"/>
      <c r="L881" s="7"/>
      <c r="M881" s="7"/>
      <c r="N881" s="7"/>
    </row>
    <row r="882" spans="1:14" ht="13.2" x14ac:dyDescent="0.25">
      <c r="A882" s="7"/>
      <c r="B882" s="7"/>
      <c r="C882" s="7"/>
      <c r="D882" s="7"/>
      <c r="E882" s="7"/>
      <c r="F882" s="7"/>
      <c r="G882" s="7"/>
      <c r="H882" s="7"/>
      <c r="I882" s="7"/>
      <c r="J882" s="7"/>
      <c r="K882" s="7"/>
      <c r="L882" s="7"/>
      <c r="M882" s="7"/>
      <c r="N882" s="7"/>
    </row>
    <row r="883" spans="1:14" ht="13.2" x14ac:dyDescent="0.25">
      <c r="A883" s="7"/>
      <c r="B883" s="7"/>
      <c r="C883" s="7"/>
      <c r="D883" s="7"/>
      <c r="E883" s="7"/>
      <c r="F883" s="7"/>
      <c r="G883" s="7"/>
      <c r="H883" s="7"/>
      <c r="I883" s="7"/>
      <c r="J883" s="7"/>
      <c r="K883" s="7"/>
      <c r="L883" s="7"/>
      <c r="M883" s="7"/>
      <c r="N883" s="7"/>
    </row>
    <row r="884" spans="1:14" ht="13.2" x14ac:dyDescent="0.25">
      <c r="A884" s="7"/>
      <c r="B884" s="7"/>
      <c r="C884" s="7"/>
      <c r="D884" s="7"/>
      <c r="E884" s="7"/>
      <c r="F884" s="7"/>
      <c r="G884" s="7"/>
      <c r="H884" s="7"/>
      <c r="I884" s="7"/>
      <c r="J884" s="7"/>
      <c r="K884" s="7"/>
      <c r="L884" s="7"/>
      <c r="M884" s="7"/>
      <c r="N884" s="7"/>
    </row>
    <row r="885" spans="1:14" ht="13.2" x14ac:dyDescent="0.25">
      <c r="A885" s="7"/>
      <c r="B885" s="7"/>
      <c r="C885" s="7"/>
      <c r="D885" s="7"/>
      <c r="E885" s="7"/>
      <c r="F885" s="7"/>
      <c r="G885" s="7"/>
      <c r="H885" s="7"/>
      <c r="I885" s="7"/>
      <c r="J885" s="7"/>
      <c r="K885" s="7"/>
      <c r="L885" s="7"/>
      <c r="M885" s="7"/>
      <c r="N885" s="7"/>
    </row>
    <row r="886" spans="1:14" ht="13.2" x14ac:dyDescent="0.25">
      <c r="A886" s="7"/>
      <c r="B886" s="7"/>
      <c r="C886" s="7"/>
      <c r="D886" s="7"/>
      <c r="E886" s="7"/>
      <c r="F886" s="7"/>
      <c r="G886" s="7"/>
      <c r="H886" s="7"/>
      <c r="I886" s="7"/>
      <c r="J886" s="7"/>
      <c r="K886" s="7"/>
      <c r="L886" s="7"/>
      <c r="M886" s="7"/>
      <c r="N886" s="7"/>
    </row>
    <row r="887" spans="1:14" ht="13.2" x14ac:dyDescent="0.25">
      <c r="A887" s="7"/>
      <c r="B887" s="7"/>
      <c r="C887" s="7"/>
      <c r="D887" s="7"/>
      <c r="E887" s="7"/>
      <c r="F887" s="7"/>
      <c r="G887" s="7"/>
      <c r="H887" s="7"/>
      <c r="I887" s="7"/>
      <c r="J887" s="7"/>
      <c r="K887" s="7"/>
      <c r="L887" s="7"/>
      <c r="M887" s="7"/>
      <c r="N887" s="7"/>
    </row>
    <row r="888" spans="1:14" ht="13.2" x14ac:dyDescent="0.25">
      <c r="A888" s="7"/>
      <c r="B888" s="7"/>
      <c r="C888" s="7"/>
      <c r="D888" s="7"/>
      <c r="E888" s="7"/>
      <c r="F888" s="7"/>
      <c r="G888" s="7"/>
      <c r="H888" s="7"/>
      <c r="I888" s="7"/>
      <c r="J888" s="7"/>
      <c r="K888" s="7"/>
      <c r="L888" s="7"/>
      <c r="M888" s="7"/>
      <c r="N888" s="7"/>
    </row>
    <row r="889" spans="1:14" ht="13.2" x14ac:dyDescent="0.25">
      <c r="A889" s="7"/>
      <c r="B889" s="7"/>
      <c r="C889" s="7"/>
      <c r="D889" s="7"/>
      <c r="E889" s="7"/>
      <c r="F889" s="7"/>
      <c r="G889" s="7"/>
      <c r="H889" s="7"/>
      <c r="I889" s="7"/>
      <c r="J889" s="7"/>
      <c r="K889" s="7"/>
      <c r="L889" s="7"/>
      <c r="M889" s="7"/>
      <c r="N889" s="7"/>
    </row>
    <row r="890" spans="1:14" ht="13.2" x14ac:dyDescent="0.25">
      <c r="A890" s="7"/>
      <c r="B890" s="7"/>
      <c r="C890" s="7"/>
      <c r="D890" s="7"/>
      <c r="E890" s="7"/>
      <c r="F890" s="7"/>
      <c r="G890" s="7"/>
      <c r="H890" s="7"/>
      <c r="I890" s="7"/>
      <c r="J890" s="7"/>
      <c r="K890" s="7"/>
      <c r="L890" s="7"/>
      <c r="M890" s="7"/>
      <c r="N890" s="7"/>
    </row>
    <row r="891" spans="1:14" ht="13.2" x14ac:dyDescent="0.25">
      <c r="A891" s="7"/>
      <c r="B891" s="7"/>
      <c r="C891" s="7"/>
      <c r="D891" s="7"/>
      <c r="E891" s="7"/>
      <c r="F891" s="7"/>
      <c r="G891" s="7"/>
      <c r="H891" s="7"/>
      <c r="I891" s="7"/>
      <c r="J891" s="7"/>
      <c r="K891" s="7"/>
      <c r="L891" s="7"/>
      <c r="M891" s="7"/>
      <c r="N891" s="7"/>
    </row>
    <row r="892" spans="1:14" ht="13.2" x14ac:dyDescent="0.25">
      <c r="A892" s="7"/>
      <c r="B892" s="7"/>
      <c r="C892" s="7"/>
      <c r="D892" s="7"/>
      <c r="E892" s="7"/>
      <c r="F892" s="7"/>
      <c r="G892" s="7"/>
      <c r="H892" s="7"/>
      <c r="I892" s="7"/>
      <c r="J892" s="7"/>
      <c r="K892" s="7"/>
      <c r="L892" s="7"/>
      <c r="M892" s="7"/>
      <c r="N892" s="7"/>
    </row>
    <row r="893" spans="1:14" ht="13.2" x14ac:dyDescent="0.25">
      <c r="A893" s="7"/>
      <c r="B893" s="7"/>
      <c r="C893" s="7"/>
      <c r="D893" s="7"/>
      <c r="E893" s="7"/>
      <c r="F893" s="7"/>
      <c r="G893" s="7"/>
      <c r="H893" s="7"/>
      <c r="I893" s="7"/>
      <c r="J893" s="7"/>
      <c r="K893" s="7"/>
      <c r="L893" s="7"/>
      <c r="M893" s="7"/>
      <c r="N893" s="7"/>
    </row>
    <row r="894" spans="1:14" ht="13.2" x14ac:dyDescent="0.25">
      <c r="A894" s="7"/>
      <c r="B894" s="7"/>
      <c r="C894" s="7"/>
      <c r="D894" s="7"/>
      <c r="E894" s="7"/>
      <c r="F894" s="7"/>
      <c r="G894" s="7"/>
      <c r="H894" s="7"/>
      <c r="I894" s="7"/>
      <c r="J894" s="7"/>
      <c r="K894" s="7"/>
      <c r="L894" s="7"/>
      <c r="M894" s="7"/>
      <c r="N894" s="7"/>
    </row>
    <row r="895" spans="1:14" ht="13.2" x14ac:dyDescent="0.25">
      <c r="A895" s="7"/>
      <c r="B895" s="7"/>
      <c r="C895" s="7"/>
      <c r="D895" s="7"/>
      <c r="E895" s="7"/>
      <c r="F895" s="7"/>
      <c r="G895" s="7"/>
      <c r="H895" s="7"/>
      <c r="I895" s="7"/>
      <c r="J895" s="7"/>
      <c r="K895" s="7"/>
      <c r="L895" s="7"/>
      <c r="M895" s="7"/>
      <c r="N895" s="7"/>
    </row>
    <row r="896" spans="1:14" ht="13.2" x14ac:dyDescent="0.25">
      <c r="A896" s="7"/>
      <c r="B896" s="7"/>
      <c r="C896" s="7"/>
      <c r="D896" s="7"/>
      <c r="E896" s="7"/>
      <c r="F896" s="7"/>
      <c r="G896" s="7"/>
      <c r="H896" s="7"/>
      <c r="I896" s="7"/>
      <c r="J896" s="7"/>
      <c r="K896" s="7"/>
      <c r="L896" s="7"/>
      <c r="M896" s="7"/>
      <c r="N896" s="7"/>
    </row>
    <row r="897" spans="1:14" ht="13.2" x14ac:dyDescent="0.25">
      <c r="A897" s="7"/>
      <c r="B897" s="7"/>
      <c r="C897" s="7"/>
      <c r="D897" s="7"/>
      <c r="E897" s="7"/>
      <c r="F897" s="7"/>
      <c r="G897" s="7"/>
      <c r="H897" s="7"/>
      <c r="I897" s="7"/>
      <c r="J897" s="7"/>
      <c r="K897" s="7"/>
      <c r="L897" s="7"/>
      <c r="M897" s="7"/>
      <c r="N897" s="7"/>
    </row>
    <row r="898" spans="1:14" ht="13.2" x14ac:dyDescent="0.25">
      <c r="A898" s="7"/>
      <c r="B898" s="7"/>
      <c r="C898" s="7"/>
      <c r="D898" s="7"/>
      <c r="E898" s="7"/>
      <c r="F898" s="7"/>
      <c r="G898" s="7"/>
      <c r="H898" s="7"/>
      <c r="I898" s="7"/>
      <c r="J898" s="7"/>
      <c r="K898" s="7"/>
      <c r="L898" s="7"/>
      <c r="M898" s="7"/>
      <c r="N898" s="7"/>
    </row>
    <row r="899" spans="1:14" ht="13.2" x14ac:dyDescent="0.25">
      <c r="A899" s="7"/>
      <c r="B899" s="7"/>
      <c r="C899" s="7"/>
      <c r="D899" s="7"/>
      <c r="E899" s="7"/>
      <c r="F899" s="7"/>
      <c r="G899" s="7"/>
      <c r="H899" s="7"/>
      <c r="I899" s="7"/>
      <c r="J899" s="7"/>
      <c r="K899" s="7"/>
      <c r="L899" s="7"/>
      <c r="M899" s="7"/>
      <c r="N899" s="7"/>
    </row>
    <row r="900" spans="1:14" ht="13.2" x14ac:dyDescent="0.25">
      <c r="A900" s="7"/>
      <c r="B900" s="7"/>
      <c r="C900" s="7"/>
      <c r="D900" s="7"/>
      <c r="E900" s="7"/>
      <c r="F900" s="7"/>
      <c r="G900" s="7"/>
      <c r="H900" s="7"/>
      <c r="I900" s="7"/>
      <c r="J900" s="7"/>
      <c r="K900" s="7"/>
      <c r="L900" s="7"/>
      <c r="M900" s="7"/>
      <c r="N900" s="7"/>
    </row>
    <row r="901" spans="1:14" ht="13.2" x14ac:dyDescent="0.25">
      <c r="A901" s="7"/>
      <c r="B901" s="7"/>
      <c r="C901" s="7"/>
      <c r="D901" s="7"/>
      <c r="E901" s="7"/>
      <c r="F901" s="7"/>
      <c r="G901" s="7"/>
      <c r="H901" s="7"/>
      <c r="I901" s="7"/>
      <c r="J901" s="7"/>
      <c r="K901" s="7"/>
      <c r="L901" s="7"/>
      <c r="M901" s="7"/>
      <c r="N901" s="7"/>
    </row>
    <row r="902" spans="1:14" ht="13.2" x14ac:dyDescent="0.25">
      <c r="A902" s="7"/>
      <c r="B902" s="7"/>
      <c r="C902" s="7"/>
      <c r="D902" s="7"/>
      <c r="E902" s="7"/>
      <c r="F902" s="7"/>
      <c r="G902" s="7"/>
      <c r="H902" s="7"/>
      <c r="I902" s="7"/>
      <c r="J902" s="7"/>
      <c r="K902" s="7"/>
      <c r="L902" s="7"/>
      <c r="M902" s="7"/>
      <c r="N902" s="7"/>
    </row>
    <row r="903" spans="1:14" ht="13.2" x14ac:dyDescent="0.25">
      <c r="A903" s="7"/>
      <c r="B903" s="7"/>
      <c r="C903" s="7"/>
      <c r="D903" s="7"/>
      <c r="E903" s="7"/>
      <c r="F903" s="7"/>
      <c r="G903" s="7"/>
      <c r="H903" s="7"/>
      <c r="I903" s="7"/>
      <c r="J903" s="7"/>
      <c r="K903" s="7"/>
      <c r="L903" s="7"/>
      <c r="M903" s="7"/>
      <c r="N903" s="7"/>
    </row>
    <row r="904" spans="1:14" ht="13.2" x14ac:dyDescent="0.25">
      <c r="A904" s="7"/>
      <c r="B904" s="7"/>
      <c r="C904" s="7"/>
      <c r="D904" s="7"/>
      <c r="E904" s="7"/>
      <c r="F904" s="7"/>
      <c r="G904" s="7"/>
      <c r="H904" s="7"/>
      <c r="I904" s="7"/>
      <c r="J904" s="7"/>
      <c r="K904" s="7"/>
      <c r="L904" s="7"/>
      <c r="M904" s="7"/>
      <c r="N904" s="7"/>
    </row>
    <row r="905" spans="1:14" ht="13.2" x14ac:dyDescent="0.25">
      <c r="A905" s="7"/>
      <c r="B905" s="7"/>
      <c r="C905" s="7"/>
      <c r="D905" s="7"/>
      <c r="E905" s="7"/>
      <c r="F905" s="7"/>
      <c r="G905" s="7"/>
      <c r="H905" s="7"/>
      <c r="I905" s="7"/>
      <c r="J905" s="7"/>
      <c r="K905" s="7"/>
      <c r="L905" s="7"/>
      <c r="M905" s="7"/>
      <c r="N905" s="7"/>
    </row>
    <row r="906" spans="1:14" ht="13.2" x14ac:dyDescent="0.25">
      <c r="A906" s="7"/>
      <c r="B906" s="7"/>
      <c r="C906" s="7"/>
      <c r="D906" s="7"/>
      <c r="E906" s="7"/>
      <c r="F906" s="7"/>
      <c r="G906" s="7"/>
      <c r="H906" s="7"/>
      <c r="I906" s="7"/>
      <c r="J906" s="7"/>
      <c r="K906" s="7"/>
      <c r="L906" s="7"/>
      <c r="M906" s="7"/>
      <c r="N906" s="7"/>
    </row>
    <row r="907" spans="1:14" ht="13.2" x14ac:dyDescent="0.25">
      <c r="A907" s="7"/>
      <c r="B907" s="7"/>
      <c r="C907" s="7"/>
      <c r="D907" s="7"/>
      <c r="E907" s="7"/>
      <c r="F907" s="7"/>
      <c r="G907" s="7"/>
      <c r="H907" s="7"/>
      <c r="I907" s="7"/>
      <c r="J907" s="7"/>
      <c r="K907" s="7"/>
      <c r="L907" s="7"/>
      <c r="M907" s="7"/>
      <c r="N907" s="7"/>
    </row>
    <row r="908" spans="1:14" ht="13.2" x14ac:dyDescent="0.25">
      <c r="A908" s="7"/>
      <c r="B908" s="7"/>
      <c r="C908" s="7"/>
      <c r="D908" s="7"/>
      <c r="E908" s="7"/>
      <c r="F908" s="7"/>
      <c r="G908" s="7"/>
      <c r="H908" s="7"/>
      <c r="I908" s="7"/>
      <c r="J908" s="7"/>
      <c r="K908" s="7"/>
      <c r="L908" s="7"/>
      <c r="M908" s="7"/>
      <c r="N908" s="7"/>
    </row>
    <row r="909" spans="1:14" ht="13.2" x14ac:dyDescent="0.25">
      <c r="A909" s="7"/>
      <c r="B909" s="7"/>
      <c r="C909" s="7"/>
      <c r="D909" s="7"/>
      <c r="E909" s="7"/>
      <c r="F909" s="7"/>
      <c r="G909" s="7"/>
      <c r="H909" s="7"/>
      <c r="I909" s="7"/>
      <c r="J909" s="7"/>
      <c r="K909" s="7"/>
      <c r="L909" s="7"/>
      <c r="M909" s="7"/>
      <c r="N909" s="7"/>
    </row>
    <row r="910" spans="1:14" ht="13.2" x14ac:dyDescent="0.25">
      <c r="A910" s="7"/>
      <c r="B910" s="7"/>
      <c r="C910" s="7"/>
      <c r="D910" s="7"/>
      <c r="E910" s="7"/>
      <c r="F910" s="7"/>
      <c r="G910" s="7"/>
      <c r="H910" s="7"/>
      <c r="I910" s="7"/>
      <c r="J910" s="7"/>
      <c r="K910" s="7"/>
      <c r="L910" s="7"/>
      <c r="M910" s="7"/>
      <c r="N910" s="7"/>
    </row>
    <row r="911" spans="1:14" ht="13.2" x14ac:dyDescent="0.25">
      <c r="A911" s="7"/>
      <c r="B911" s="7"/>
      <c r="C911" s="7"/>
      <c r="D911" s="7"/>
      <c r="E911" s="7"/>
      <c r="F911" s="7"/>
      <c r="G911" s="7"/>
      <c r="H911" s="7"/>
      <c r="I911" s="7"/>
      <c r="J911" s="7"/>
      <c r="K911" s="7"/>
      <c r="L911" s="7"/>
      <c r="M911" s="7"/>
      <c r="N911" s="7"/>
    </row>
    <row r="912" spans="1:14" ht="13.2" x14ac:dyDescent="0.25">
      <c r="A912" s="7"/>
      <c r="B912" s="7"/>
      <c r="C912" s="7"/>
      <c r="D912" s="7"/>
      <c r="E912" s="7"/>
      <c r="F912" s="7"/>
      <c r="G912" s="7"/>
      <c r="H912" s="7"/>
      <c r="I912" s="7"/>
      <c r="J912" s="7"/>
      <c r="K912" s="7"/>
      <c r="L912" s="7"/>
      <c r="M912" s="7"/>
      <c r="N912" s="7"/>
    </row>
    <row r="913" spans="1:14" ht="13.2" x14ac:dyDescent="0.25">
      <c r="A913" s="7"/>
      <c r="B913" s="7"/>
      <c r="C913" s="7"/>
      <c r="D913" s="7"/>
      <c r="E913" s="7"/>
      <c r="F913" s="7"/>
      <c r="G913" s="7"/>
      <c r="H913" s="7"/>
      <c r="I913" s="7"/>
      <c r="J913" s="7"/>
      <c r="K913" s="7"/>
      <c r="L913" s="7"/>
      <c r="M913" s="7"/>
      <c r="N913" s="7"/>
    </row>
    <row r="914" spans="1:14" ht="13.2" x14ac:dyDescent="0.25">
      <c r="A914" s="7"/>
      <c r="B914" s="7"/>
      <c r="C914" s="7"/>
      <c r="D914" s="7"/>
      <c r="E914" s="7"/>
      <c r="F914" s="7"/>
      <c r="G914" s="7"/>
      <c r="H914" s="7"/>
      <c r="I914" s="7"/>
      <c r="J914" s="7"/>
      <c r="K914" s="7"/>
      <c r="L914" s="7"/>
      <c r="M914" s="7"/>
      <c r="N914" s="7"/>
    </row>
    <row r="915" spans="1:14" ht="13.2" x14ac:dyDescent="0.25">
      <c r="A915" s="7"/>
      <c r="B915" s="7"/>
      <c r="C915" s="7"/>
      <c r="D915" s="7"/>
      <c r="E915" s="7"/>
      <c r="F915" s="7"/>
      <c r="G915" s="7"/>
      <c r="H915" s="7"/>
      <c r="I915" s="7"/>
      <c r="J915" s="7"/>
      <c r="K915" s="7"/>
      <c r="L915" s="7"/>
      <c r="M915" s="7"/>
      <c r="N915" s="7"/>
    </row>
    <row r="916" spans="1:14" ht="13.2" x14ac:dyDescent="0.25">
      <c r="A916" s="7"/>
      <c r="B916" s="7"/>
      <c r="C916" s="7"/>
      <c r="D916" s="7"/>
      <c r="E916" s="7"/>
      <c r="F916" s="7"/>
      <c r="G916" s="7"/>
      <c r="H916" s="7"/>
      <c r="I916" s="7"/>
      <c r="J916" s="7"/>
      <c r="K916" s="7"/>
      <c r="L916" s="7"/>
      <c r="M916" s="7"/>
      <c r="N916" s="7"/>
    </row>
    <row r="917" spans="1:14" ht="13.2" x14ac:dyDescent="0.25">
      <c r="A917" s="7"/>
      <c r="B917" s="7"/>
      <c r="C917" s="7"/>
      <c r="D917" s="7"/>
      <c r="E917" s="7"/>
      <c r="F917" s="7"/>
      <c r="G917" s="7"/>
      <c r="H917" s="7"/>
      <c r="I917" s="7"/>
      <c r="J917" s="7"/>
      <c r="K917" s="7"/>
      <c r="L917" s="7"/>
      <c r="M917" s="7"/>
      <c r="N917" s="7"/>
    </row>
    <row r="918" spans="1:14" ht="13.2" x14ac:dyDescent="0.25">
      <c r="A918" s="7"/>
      <c r="B918" s="7"/>
      <c r="C918" s="7"/>
      <c r="D918" s="7"/>
      <c r="E918" s="7"/>
      <c r="F918" s="7"/>
      <c r="G918" s="7"/>
      <c r="H918" s="7"/>
      <c r="I918" s="7"/>
      <c r="J918" s="7"/>
      <c r="K918" s="7"/>
      <c r="L918" s="7"/>
      <c r="M918" s="7"/>
      <c r="N918" s="7"/>
    </row>
    <row r="919" spans="1:14" ht="13.2" x14ac:dyDescent="0.25">
      <c r="A919" s="7"/>
      <c r="B919" s="7"/>
      <c r="C919" s="7"/>
      <c r="D919" s="7"/>
      <c r="E919" s="7"/>
      <c r="F919" s="7"/>
      <c r="G919" s="7"/>
      <c r="H919" s="7"/>
      <c r="I919" s="7"/>
      <c r="J919" s="7"/>
      <c r="K919" s="7"/>
      <c r="L919" s="7"/>
      <c r="M919" s="7"/>
      <c r="N919" s="7"/>
    </row>
    <row r="920" spans="1:14" ht="13.2" x14ac:dyDescent="0.25">
      <c r="A920" s="7"/>
      <c r="B920" s="7"/>
      <c r="C920" s="7"/>
      <c r="D920" s="7"/>
      <c r="E920" s="7"/>
      <c r="F920" s="7"/>
      <c r="G920" s="7"/>
      <c r="H920" s="7"/>
      <c r="I920" s="7"/>
      <c r="J920" s="7"/>
      <c r="K920" s="7"/>
      <c r="L920" s="7"/>
      <c r="M920" s="7"/>
      <c r="N920" s="7"/>
    </row>
    <row r="921" spans="1:14" ht="13.2" x14ac:dyDescent="0.25">
      <c r="A921" s="7"/>
      <c r="B921" s="7"/>
      <c r="C921" s="7"/>
      <c r="D921" s="7"/>
      <c r="E921" s="7"/>
      <c r="F921" s="7"/>
      <c r="G921" s="7"/>
      <c r="H921" s="7"/>
      <c r="I921" s="7"/>
      <c r="J921" s="7"/>
      <c r="K921" s="7"/>
      <c r="L921" s="7"/>
      <c r="M921" s="7"/>
      <c r="N921" s="7"/>
    </row>
    <row r="922" spans="1:14" ht="13.2" x14ac:dyDescent="0.25">
      <c r="A922" s="7"/>
      <c r="B922" s="7"/>
      <c r="C922" s="7"/>
      <c r="D922" s="7"/>
      <c r="E922" s="7"/>
      <c r="F922" s="7"/>
      <c r="G922" s="7"/>
      <c r="H922" s="7"/>
      <c r="I922" s="7"/>
      <c r="J922" s="7"/>
      <c r="K922" s="7"/>
      <c r="L922" s="7"/>
      <c r="M922" s="7"/>
      <c r="N922" s="7"/>
    </row>
    <row r="923" spans="1:14" ht="13.2" x14ac:dyDescent="0.25">
      <c r="A923" s="7"/>
      <c r="B923" s="7"/>
      <c r="C923" s="7"/>
      <c r="D923" s="7"/>
      <c r="E923" s="7"/>
      <c r="F923" s="7"/>
      <c r="G923" s="7"/>
      <c r="H923" s="7"/>
      <c r="I923" s="7"/>
      <c r="J923" s="7"/>
      <c r="K923" s="7"/>
      <c r="L923" s="7"/>
      <c r="M923" s="7"/>
      <c r="N923" s="7"/>
    </row>
    <row r="924" spans="1:14" ht="13.2" x14ac:dyDescent="0.25">
      <c r="A924" s="7"/>
      <c r="B924" s="7"/>
      <c r="C924" s="7"/>
      <c r="D924" s="7"/>
      <c r="E924" s="7"/>
      <c r="F924" s="7"/>
      <c r="G924" s="7"/>
      <c r="H924" s="7"/>
      <c r="I924" s="7"/>
      <c r="J924" s="7"/>
      <c r="K924" s="7"/>
      <c r="L924" s="7"/>
      <c r="M924" s="7"/>
      <c r="N924" s="7"/>
    </row>
    <row r="925" spans="1:14" ht="13.2" x14ac:dyDescent="0.25">
      <c r="A925" s="7"/>
      <c r="B925" s="7"/>
      <c r="C925" s="7"/>
      <c r="D925" s="7"/>
      <c r="E925" s="7"/>
      <c r="F925" s="7"/>
      <c r="G925" s="7"/>
      <c r="H925" s="7"/>
      <c r="I925" s="7"/>
      <c r="J925" s="7"/>
      <c r="K925" s="7"/>
      <c r="L925" s="7"/>
      <c r="M925" s="7"/>
      <c r="N925" s="7"/>
    </row>
    <row r="926" spans="1:14" ht="13.2" x14ac:dyDescent="0.25">
      <c r="A926" s="7"/>
      <c r="B926" s="7"/>
      <c r="C926" s="7"/>
      <c r="D926" s="7"/>
      <c r="E926" s="7"/>
      <c r="F926" s="7"/>
      <c r="G926" s="7"/>
      <c r="H926" s="7"/>
      <c r="I926" s="7"/>
      <c r="J926" s="7"/>
      <c r="K926" s="7"/>
      <c r="L926" s="7"/>
      <c r="M926" s="7"/>
      <c r="N926" s="7"/>
    </row>
    <row r="927" spans="1:14" ht="13.2" x14ac:dyDescent="0.25">
      <c r="A927" s="7"/>
      <c r="B927" s="7"/>
      <c r="C927" s="7"/>
      <c r="D927" s="7"/>
      <c r="E927" s="7"/>
      <c r="F927" s="7"/>
      <c r="G927" s="7"/>
      <c r="H927" s="7"/>
      <c r="I927" s="7"/>
      <c r="J927" s="7"/>
      <c r="K927" s="7"/>
      <c r="L927" s="7"/>
      <c r="M927" s="7"/>
      <c r="N927" s="7"/>
    </row>
    <row r="928" spans="1:14" ht="13.2" x14ac:dyDescent="0.25">
      <c r="A928" s="7"/>
      <c r="B928" s="7"/>
      <c r="C928" s="7"/>
      <c r="D928" s="7"/>
      <c r="E928" s="7"/>
      <c r="F928" s="7"/>
      <c r="G928" s="7"/>
      <c r="H928" s="7"/>
      <c r="I928" s="7"/>
      <c r="J928" s="7"/>
      <c r="K928" s="7"/>
      <c r="L928" s="7"/>
      <c r="M928" s="7"/>
      <c r="N928" s="7"/>
    </row>
    <row r="929" spans="1:14" ht="13.2" x14ac:dyDescent="0.25">
      <c r="A929" s="7"/>
      <c r="B929" s="7"/>
      <c r="C929" s="7"/>
      <c r="D929" s="7"/>
      <c r="E929" s="7"/>
      <c r="F929" s="7"/>
      <c r="G929" s="7"/>
      <c r="H929" s="7"/>
      <c r="I929" s="7"/>
      <c r="J929" s="7"/>
      <c r="K929" s="7"/>
      <c r="L929" s="7"/>
      <c r="M929" s="7"/>
      <c r="N929" s="7"/>
    </row>
    <row r="930" spans="1:14" ht="13.2" x14ac:dyDescent="0.25">
      <c r="A930" s="7"/>
      <c r="B930" s="7"/>
      <c r="C930" s="7"/>
      <c r="D930" s="7"/>
      <c r="E930" s="7"/>
      <c r="F930" s="7"/>
      <c r="G930" s="7"/>
      <c r="H930" s="7"/>
      <c r="I930" s="7"/>
      <c r="J930" s="7"/>
      <c r="K930" s="7"/>
      <c r="L930" s="7"/>
      <c r="M930" s="7"/>
      <c r="N930" s="7"/>
    </row>
    <row r="931" spans="1:14" ht="13.2" x14ac:dyDescent="0.25">
      <c r="A931" s="7"/>
      <c r="B931" s="7"/>
      <c r="C931" s="7"/>
      <c r="D931" s="7"/>
      <c r="E931" s="7"/>
      <c r="F931" s="7"/>
      <c r="G931" s="7"/>
      <c r="H931" s="7"/>
      <c r="I931" s="7"/>
      <c r="J931" s="7"/>
      <c r="K931" s="7"/>
      <c r="L931" s="7"/>
      <c r="M931" s="7"/>
      <c r="N931" s="7"/>
    </row>
    <row r="932" spans="1:14" ht="13.2" x14ac:dyDescent="0.25">
      <c r="A932" s="7"/>
      <c r="B932" s="7"/>
      <c r="C932" s="7"/>
      <c r="D932" s="7"/>
      <c r="E932" s="7"/>
      <c r="F932" s="7"/>
      <c r="G932" s="7"/>
      <c r="H932" s="7"/>
      <c r="I932" s="7"/>
      <c r="J932" s="7"/>
      <c r="K932" s="7"/>
      <c r="L932" s="7"/>
      <c r="M932" s="7"/>
      <c r="N932" s="7"/>
    </row>
    <row r="933" spans="1:14" ht="13.2" x14ac:dyDescent="0.25">
      <c r="A933" s="7"/>
      <c r="B933" s="7"/>
      <c r="C933" s="7"/>
      <c r="D933" s="7"/>
      <c r="E933" s="7"/>
      <c r="F933" s="7"/>
      <c r="G933" s="7"/>
      <c r="H933" s="7"/>
      <c r="I933" s="7"/>
      <c r="J933" s="7"/>
      <c r="K933" s="7"/>
      <c r="L933" s="7"/>
      <c r="M933" s="7"/>
      <c r="N933" s="7"/>
    </row>
    <row r="934" spans="1:14" ht="13.2" x14ac:dyDescent="0.25">
      <c r="A934" s="7"/>
      <c r="B934" s="7"/>
      <c r="C934" s="7"/>
      <c r="D934" s="7"/>
      <c r="E934" s="7"/>
      <c r="F934" s="7"/>
      <c r="G934" s="7"/>
      <c r="H934" s="7"/>
      <c r="I934" s="7"/>
      <c r="J934" s="7"/>
      <c r="K934" s="7"/>
      <c r="L934" s="7"/>
      <c r="M934" s="7"/>
      <c r="N934" s="7"/>
    </row>
    <row r="935" spans="1:14" ht="13.2" x14ac:dyDescent="0.25">
      <c r="A935" s="7"/>
      <c r="B935" s="7"/>
      <c r="C935" s="7"/>
      <c r="D935" s="7"/>
      <c r="E935" s="7"/>
      <c r="F935" s="7"/>
      <c r="G935" s="7"/>
      <c r="H935" s="7"/>
      <c r="I935" s="7"/>
      <c r="J935" s="7"/>
      <c r="K935" s="7"/>
      <c r="L935" s="7"/>
      <c r="M935" s="7"/>
      <c r="N935" s="7"/>
    </row>
    <row r="936" spans="1:14" ht="13.2" x14ac:dyDescent="0.25">
      <c r="A936" s="7"/>
      <c r="B936" s="7"/>
      <c r="C936" s="7"/>
      <c r="D936" s="7"/>
      <c r="E936" s="7"/>
      <c r="F936" s="7"/>
      <c r="G936" s="7"/>
      <c r="H936" s="7"/>
      <c r="I936" s="7"/>
      <c r="J936" s="7"/>
      <c r="K936" s="7"/>
      <c r="L936" s="7"/>
      <c r="M936" s="7"/>
      <c r="N936" s="7"/>
    </row>
    <row r="937" spans="1:14" ht="13.2" x14ac:dyDescent="0.25">
      <c r="A937" s="7"/>
      <c r="B937" s="7"/>
      <c r="C937" s="7"/>
      <c r="D937" s="7"/>
      <c r="E937" s="7"/>
      <c r="F937" s="7"/>
      <c r="G937" s="7"/>
      <c r="H937" s="7"/>
      <c r="I937" s="7"/>
      <c r="J937" s="7"/>
      <c r="K937" s="7"/>
      <c r="L937" s="7"/>
      <c r="M937" s="7"/>
      <c r="N937" s="7"/>
    </row>
    <row r="938" spans="1:14" ht="13.2" x14ac:dyDescent="0.25">
      <c r="A938" s="7"/>
      <c r="B938" s="7"/>
      <c r="C938" s="7"/>
      <c r="D938" s="7"/>
      <c r="E938" s="7"/>
      <c r="F938" s="7"/>
      <c r="G938" s="7"/>
      <c r="H938" s="7"/>
      <c r="I938" s="7"/>
      <c r="J938" s="7"/>
      <c r="K938" s="7"/>
      <c r="L938" s="7"/>
      <c r="M938" s="7"/>
      <c r="N938" s="7"/>
    </row>
    <row r="939" spans="1:14" ht="13.2" x14ac:dyDescent="0.25">
      <c r="A939" s="7"/>
      <c r="B939" s="7"/>
      <c r="C939" s="7"/>
      <c r="D939" s="7"/>
      <c r="E939" s="7"/>
      <c r="F939" s="7"/>
      <c r="G939" s="7"/>
      <c r="H939" s="7"/>
      <c r="I939" s="7"/>
      <c r="J939" s="7"/>
      <c r="K939" s="7"/>
      <c r="L939" s="7"/>
      <c r="M939" s="7"/>
      <c r="N939" s="7"/>
    </row>
    <row r="940" spans="1:14" ht="13.2" x14ac:dyDescent="0.25">
      <c r="A940" s="7"/>
      <c r="B940" s="7"/>
      <c r="C940" s="7"/>
      <c r="D940" s="7"/>
      <c r="E940" s="7"/>
      <c r="F940" s="7"/>
      <c r="G940" s="7"/>
      <c r="H940" s="7"/>
      <c r="I940" s="7"/>
      <c r="J940" s="7"/>
      <c r="K940" s="7"/>
      <c r="L940" s="7"/>
      <c r="M940" s="7"/>
      <c r="N940" s="7"/>
    </row>
    <row r="941" spans="1:14" ht="13.2" x14ac:dyDescent="0.25">
      <c r="A941" s="7"/>
      <c r="B941" s="7"/>
      <c r="C941" s="7"/>
      <c r="D941" s="7"/>
      <c r="E941" s="7"/>
      <c r="F941" s="7"/>
      <c r="G941" s="7"/>
      <c r="H941" s="7"/>
      <c r="I941" s="7"/>
      <c r="J941" s="7"/>
      <c r="K941" s="7"/>
      <c r="L941" s="7"/>
      <c r="M941" s="7"/>
      <c r="N941" s="7"/>
    </row>
    <row r="942" spans="1:14" ht="13.2" x14ac:dyDescent="0.25">
      <c r="A942" s="7"/>
      <c r="B942" s="7"/>
      <c r="C942" s="7"/>
      <c r="D942" s="7"/>
      <c r="E942" s="7"/>
      <c r="F942" s="7"/>
      <c r="G942" s="7"/>
      <c r="H942" s="7"/>
      <c r="I942" s="7"/>
      <c r="J942" s="7"/>
      <c r="K942" s="7"/>
      <c r="L942" s="7"/>
      <c r="M942" s="7"/>
      <c r="N942" s="7"/>
    </row>
    <row r="943" spans="1:14" ht="13.2" x14ac:dyDescent="0.25">
      <c r="A943" s="7"/>
      <c r="B943" s="7"/>
      <c r="C943" s="7"/>
      <c r="D943" s="7"/>
      <c r="E943" s="7"/>
      <c r="F943" s="7"/>
      <c r="G943" s="7"/>
      <c r="H943" s="7"/>
      <c r="I943" s="7"/>
      <c r="J943" s="7"/>
      <c r="K943" s="7"/>
      <c r="L943" s="7"/>
      <c r="M943" s="7"/>
      <c r="N943" s="7"/>
    </row>
    <row r="944" spans="1:14" ht="13.2" x14ac:dyDescent="0.25">
      <c r="A944" s="7"/>
      <c r="B944" s="7"/>
      <c r="C944" s="7"/>
      <c r="D944" s="7"/>
      <c r="E944" s="7"/>
      <c r="F944" s="7"/>
      <c r="G944" s="7"/>
      <c r="H944" s="7"/>
      <c r="I944" s="7"/>
      <c r="J944" s="7"/>
      <c r="K944" s="7"/>
      <c r="L944" s="7"/>
      <c r="M944" s="7"/>
      <c r="N944" s="7"/>
    </row>
    <row r="945" spans="1:14" ht="13.2" x14ac:dyDescent="0.25">
      <c r="A945" s="7"/>
      <c r="B945" s="7"/>
      <c r="C945" s="7"/>
      <c r="D945" s="7"/>
      <c r="E945" s="7"/>
      <c r="F945" s="7"/>
      <c r="G945" s="7"/>
      <c r="H945" s="7"/>
      <c r="I945" s="7"/>
      <c r="J945" s="7"/>
      <c r="K945" s="7"/>
      <c r="L945" s="7"/>
      <c r="M945" s="7"/>
      <c r="N945" s="7"/>
    </row>
    <row r="946" spans="1:14" ht="13.2" x14ac:dyDescent="0.25">
      <c r="A946" s="7"/>
      <c r="B946" s="7"/>
      <c r="C946" s="7"/>
      <c r="D946" s="7"/>
      <c r="E946" s="7"/>
      <c r="F946" s="7"/>
      <c r="G946" s="7"/>
      <c r="H946" s="7"/>
      <c r="I946" s="7"/>
      <c r="J946" s="7"/>
      <c r="K946" s="7"/>
      <c r="L946" s="7"/>
      <c r="M946" s="7"/>
      <c r="N946" s="7"/>
    </row>
    <row r="947" spans="1:14" ht="13.2" x14ac:dyDescent="0.25">
      <c r="A947" s="7"/>
      <c r="B947" s="7"/>
      <c r="C947" s="7"/>
      <c r="D947" s="7"/>
      <c r="E947" s="7"/>
      <c r="F947" s="7"/>
      <c r="G947" s="7"/>
      <c r="H947" s="7"/>
      <c r="I947" s="7"/>
      <c r="J947" s="7"/>
      <c r="K947" s="7"/>
      <c r="L947" s="7"/>
      <c r="M947" s="7"/>
      <c r="N947" s="7"/>
    </row>
    <row r="948" spans="1:14" ht="13.2" x14ac:dyDescent="0.25">
      <c r="A948" s="7"/>
      <c r="B948" s="7"/>
      <c r="C948" s="7"/>
      <c r="D948" s="7"/>
      <c r="E948" s="7"/>
      <c r="F948" s="7"/>
      <c r="G948" s="7"/>
      <c r="H948" s="7"/>
      <c r="I948" s="7"/>
      <c r="J948" s="7"/>
      <c r="K948" s="7"/>
      <c r="L948" s="7"/>
      <c r="M948" s="7"/>
      <c r="N948" s="7"/>
    </row>
    <row r="949" spans="1:14" ht="13.2" x14ac:dyDescent="0.25">
      <c r="A949" s="7"/>
      <c r="B949" s="7"/>
      <c r="C949" s="7"/>
      <c r="D949" s="7"/>
      <c r="E949" s="7"/>
      <c r="F949" s="7"/>
      <c r="G949" s="7"/>
      <c r="H949" s="7"/>
      <c r="I949" s="7"/>
      <c r="J949" s="7"/>
      <c r="K949" s="7"/>
      <c r="L949" s="7"/>
      <c r="M949" s="7"/>
      <c r="N949" s="7"/>
    </row>
    <row r="950" spans="1:14" ht="13.2" x14ac:dyDescent="0.25">
      <c r="A950" s="7"/>
      <c r="B950" s="7"/>
      <c r="C950" s="7"/>
      <c r="D950" s="7"/>
      <c r="E950" s="7"/>
      <c r="F950" s="7"/>
      <c r="G950" s="7"/>
      <c r="H950" s="7"/>
      <c r="I950" s="7"/>
      <c r="J950" s="7"/>
      <c r="K950" s="7"/>
      <c r="L950" s="7"/>
      <c r="M950" s="7"/>
      <c r="N950" s="7"/>
    </row>
    <row r="951" spans="1:14" ht="13.2" x14ac:dyDescent="0.25">
      <c r="A951" s="7"/>
      <c r="B951" s="7"/>
      <c r="C951" s="7"/>
      <c r="D951" s="7"/>
      <c r="E951" s="7"/>
      <c r="F951" s="7"/>
      <c r="G951" s="7"/>
      <c r="H951" s="7"/>
      <c r="I951" s="7"/>
      <c r="J951" s="7"/>
      <c r="K951" s="7"/>
      <c r="L951" s="7"/>
      <c r="M951" s="7"/>
      <c r="N951" s="7"/>
    </row>
    <row r="952" spans="1:14" ht="13.2" x14ac:dyDescent="0.25">
      <c r="A952" s="7"/>
      <c r="B952" s="7"/>
      <c r="C952" s="7"/>
      <c r="D952" s="7"/>
      <c r="E952" s="7"/>
      <c r="F952" s="7"/>
      <c r="G952" s="7"/>
      <c r="H952" s="7"/>
      <c r="I952" s="7"/>
      <c r="J952" s="7"/>
      <c r="K952" s="7"/>
      <c r="L952" s="7"/>
      <c r="M952" s="7"/>
      <c r="N952" s="7"/>
    </row>
    <row r="953" spans="1:14" ht="13.2" x14ac:dyDescent="0.25">
      <c r="A953" s="7"/>
      <c r="B953" s="7"/>
      <c r="C953" s="7"/>
      <c r="D953" s="7"/>
      <c r="E953" s="7"/>
      <c r="F953" s="7"/>
      <c r="G953" s="7"/>
      <c r="H953" s="7"/>
      <c r="I953" s="7"/>
      <c r="J953" s="7"/>
      <c r="K953" s="7"/>
      <c r="L953" s="7"/>
      <c r="M953" s="7"/>
      <c r="N953" s="7"/>
    </row>
    <row r="954" spans="1:14" ht="13.2" x14ac:dyDescent="0.25">
      <c r="A954" s="7"/>
      <c r="B954" s="7"/>
      <c r="C954" s="7"/>
      <c r="D954" s="7"/>
      <c r="E954" s="7"/>
      <c r="F954" s="7"/>
      <c r="G954" s="7"/>
      <c r="H954" s="7"/>
      <c r="I954" s="7"/>
      <c r="J954" s="7"/>
      <c r="K954" s="7"/>
      <c r="L954" s="7"/>
      <c r="M954" s="7"/>
      <c r="N954" s="7"/>
    </row>
    <row r="955" spans="1:14" ht="13.2" x14ac:dyDescent="0.25">
      <c r="A955" s="7"/>
      <c r="B955" s="7"/>
      <c r="C955" s="7"/>
      <c r="D955" s="7"/>
      <c r="E955" s="7"/>
      <c r="F955" s="7"/>
      <c r="G955" s="7"/>
      <c r="H955" s="7"/>
      <c r="I955" s="7"/>
      <c r="J955" s="7"/>
      <c r="K955" s="7"/>
      <c r="L955" s="7"/>
      <c r="M955" s="7"/>
      <c r="N955" s="7"/>
    </row>
    <row r="956" spans="1:14" ht="13.2" x14ac:dyDescent="0.25">
      <c r="A956" s="7"/>
      <c r="B956" s="7"/>
      <c r="C956" s="7"/>
      <c r="D956" s="7"/>
      <c r="E956" s="7"/>
      <c r="F956" s="7"/>
      <c r="G956" s="7"/>
      <c r="H956" s="7"/>
      <c r="I956" s="7"/>
      <c r="J956" s="7"/>
      <c r="K956" s="7"/>
      <c r="L956" s="7"/>
      <c r="M956" s="7"/>
      <c r="N956" s="7"/>
    </row>
    <row r="957" spans="1:14" ht="13.2" x14ac:dyDescent="0.25">
      <c r="A957" s="7"/>
      <c r="B957" s="7"/>
      <c r="C957" s="7"/>
      <c r="D957" s="7"/>
      <c r="E957" s="7"/>
      <c r="F957" s="7"/>
      <c r="G957" s="7"/>
      <c r="H957" s="7"/>
      <c r="I957" s="7"/>
      <c r="J957" s="7"/>
      <c r="K957" s="7"/>
      <c r="L957" s="7"/>
      <c r="M957" s="7"/>
      <c r="N957" s="7"/>
    </row>
    <row r="958" spans="1:14" ht="13.2" x14ac:dyDescent="0.25">
      <c r="A958" s="7"/>
      <c r="B958" s="7"/>
      <c r="C958" s="7"/>
      <c r="D958" s="7"/>
      <c r="E958" s="7"/>
      <c r="F958" s="7"/>
      <c r="G958" s="7"/>
      <c r="H958" s="7"/>
      <c r="I958" s="7"/>
      <c r="J958" s="7"/>
      <c r="K958" s="7"/>
      <c r="L958" s="7"/>
      <c r="M958" s="7"/>
      <c r="N958" s="7"/>
    </row>
    <row r="959" spans="1:14" ht="13.2" x14ac:dyDescent="0.25">
      <c r="A959" s="7"/>
      <c r="B959" s="7"/>
      <c r="C959" s="7"/>
      <c r="D959" s="7"/>
      <c r="E959" s="7"/>
      <c r="F959" s="7"/>
      <c r="G959" s="7"/>
      <c r="H959" s="7"/>
      <c r="I959" s="7"/>
      <c r="J959" s="7"/>
      <c r="K959" s="7"/>
      <c r="L959" s="7"/>
      <c r="M959" s="7"/>
      <c r="N959" s="7"/>
    </row>
    <row r="960" spans="1:14" ht="13.2" x14ac:dyDescent="0.25">
      <c r="A960" s="7"/>
      <c r="B960" s="7"/>
      <c r="C960" s="7"/>
      <c r="D960" s="7"/>
      <c r="E960" s="7"/>
      <c r="F960" s="7"/>
      <c r="G960" s="7"/>
      <c r="H960" s="7"/>
      <c r="I960" s="7"/>
      <c r="J960" s="7"/>
      <c r="K960" s="7"/>
      <c r="L960" s="7"/>
      <c r="M960" s="7"/>
      <c r="N960" s="7"/>
    </row>
    <row r="961" spans="1:14" ht="13.2" x14ac:dyDescent="0.25">
      <c r="A961" s="7"/>
      <c r="B961" s="7"/>
      <c r="C961" s="7"/>
      <c r="D961" s="7"/>
      <c r="E961" s="7"/>
      <c r="F961" s="7"/>
      <c r="G961" s="7"/>
      <c r="H961" s="7"/>
      <c r="I961" s="7"/>
      <c r="J961" s="7"/>
      <c r="K961" s="7"/>
      <c r="L961" s="7"/>
      <c r="M961" s="7"/>
      <c r="N961" s="7"/>
    </row>
    <row r="962" spans="1:14" ht="13.2" x14ac:dyDescent="0.25">
      <c r="A962" s="7"/>
      <c r="B962" s="7"/>
      <c r="C962" s="7"/>
      <c r="D962" s="7"/>
      <c r="E962" s="7"/>
      <c r="F962" s="7"/>
      <c r="G962" s="7"/>
      <c r="H962" s="7"/>
      <c r="I962" s="7"/>
      <c r="J962" s="7"/>
      <c r="K962" s="7"/>
      <c r="L962" s="7"/>
      <c r="M962" s="7"/>
      <c r="N962" s="7"/>
    </row>
    <row r="963" spans="1:14" ht="13.2" x14ac:dyDescent="0.25">
      <c r="A963" s="7"/>
      <c r="B963" s="7"/>
      <c r="C963" s="7"/>
      <c r="D963" s="7"/>
      <c r="E963" s="7"/>
      <c r="F963" s="7"/>
      <c r="G963" s="7"/>
      <c r="H963" s="7"/>
      <c r="I963" s="7"/>
      <c r="J963" s="7"/>
      <c r="K963" s="7"/>
      <c r="L963" s="7"/>
      <c r="M963" s="7"/>
      <c r="N963" s="7"/>
    </row>
    <row r="964" spans="1:14" ht="13.2" x14ac:dyDescent="0.25">
      <c r="A964" s="7"/>
      <c r="B964" s="7"/>
      <c r="C964" s="7"/>
      <c r="D964" s="7"/>
      <c r="E964" s="7"/>
      <c r="F964" s="7"/>
      <c r="G964" s="7"/>
      <c r="H964" s="7"/>
      <c r="I964" s="7"/>
      <c r="J964" s="7"/>
      <c r="K964" s="7"/>
      <c r="L964" s="7"/>
      <c r="M964" s="7"/>
      <c r="N964" s="7"/>
    </row>
    <row r="965" spans="1:14" ht="13.2" x14ac:dyDescent="0.25">
      <c r="A965" s="7"/>
      <c r="B965" s="7"/>
      <c r="C965" s="7"/>
      <c r="D965" s="7"/>
      <c r="E965" s="7"/>
      <c r="F965" s="7"/>
      <c r="G965" s="7"/>
      <c r="H965" s="7"/>
      <c r="I965" s="7"/>
      <c r="J965" s="7"/>
      <c r="K965" s="7"/>
      <c r="L965" s="7"/>
      <c r="M965" s="7"/>
      <c r="N965" s="7"/>
    </row>
    <row r="966" spans="1:14" ht="13.2" x14ac:dyDescent="0.25">
      <c r="A966" s="7"/>
      <c r="B966" s="7"/>
      <c r="C966" s="7"/>
      <c r="D966" s="7"/>
      <c r="E966" s="7"/>
      <c r="F966" s="7"/>
      <c r="G966" s="7"/>
      <c r="H966" s="7"/>
      <c r="I966" s="7"/>
      <c r="J966" s="7"/>
      <c r="K966" s="7"/>
      <c r="L966" s="7"/>
      <c r="M966" s="7"/>
      <c r="N966" s="7"/>
    </row>
    <row r="967" spans="1:14" ht="13.2" x14ac:dyDescent="0.25">
      <c r="A967" s="7"/>
      <c r="B967" s="7"/>
      <c r="C967" s="7"/>
      <c r="D967" s="7"/>
      <c r="E967" s="7"/>
      <c r="F967" s="7"/>
      <c r="G967" s="7"/>
      <c r="H967" s="7"/>
      <c r="I967" s="7"/>
      <c r="J967" s="7"/>
      <c r="K967" s="7"/>
      <c r="L967" s="7"/>
      <c r="M967" s="7"/>
      <c r="N967" s="7"/>
    </row>
    <row r="968" spans="1:14" ht="13.2" x14ac:dyDescent="0.25">
      <c r="A968" s="7"/>
      <c r="B968" s="7"/>
      <c r="C968" s="7"/>
      <c r="D968" s="7"/>
      <c r="E968" s="7"/>
      <c r="F968" s="7"/>
      <c r="G968" s="7"/>
      <c r="H968" s="7"/>
      <c r="I968" s="7"/>
      <c r="J968" s="7"/>
      <c r="K968" s="7"/>
      <c r="L968" s="7"/>
      <c r="M968" s="7"/>
      <c r="N968" s="7"/>
    </row>
    <row r="969" spans="1:14" ht="13.2" x14ac:dyDescent="0.25">
      <c r="A969" s="7"/>
      <c r="B969" s="7"/>
      <c r="C969" s="7"/>
      <c r="D969" s="7"/>
      <c r="E969" s="7"/>
      <c r="F969" s="7"/>
      <c r="G969" s="7"/>
      <c r="H969" s="7"/>
      <c r="I969" s="7"/>
      <c r="J969" s="7"/>
      <c r="K969" s="7"/>
      <c r="L969" s="7"/>
      <c r="M969" s="7"/>
      <c r="N969" s="7"/>
    </row>
    <row r="970" spans="1:14" ht="13.2" x14ac:dyDescent="0.25">
      <c r="A970" s="7"/>
      <c r="B970" s="7"/>
      <c r="C970" s="7"/>
      <c r="D970" s="7"/>
      <c r="E970" s="7"/>
      <c r="F970" s="7"/>
      <c r="G970" s="7"/>
      <c r="H970" s="7"/>
      <c r="I970" s="7"/>
      <c r="J970" s="7"/>
      <c r="K970" s="7"/>
      <c r="L970" s="7"/>
      <c r="M970" s="7"/>
      <c r="N970" s="7"/>
    </row>
    <row r="971" spans="1:14" ht="13.2" x14ac:dyDescent="0.25">
      <c r="A971" s="7"/>
      <c r="B971" s="7"/>
      <c r="C971" s="7"/>
      <c r="D971" s="7"/>
      <c r="E971" s="7"/>
      <c r="F971" s="7"/>
      <c r="G971" s="7"/>
      <c r="H971" s="7"/>
      <c r="I971" s="7"/>
      <c r="J971" s="7"/>
      <c r="K971" s="7"/>
      <c r="L971" s="7"/>
      <c r="M971" s="7"/>
      <c r="N971" s="7"/>
    </row>
    <row r="972" spans="1:14" ht="13.2" x14ac:dyDescent="0.25">
      <c r="A972" s="7"/>
      <c r="B972" s="7"/>
      <c r="C972" s="7"/>
      <c r="D972" s="7"/>
      <c r="E972" s="7"/>
      <c r="F972" s="7"/>
      <c r="G972" s="7"/>
      <c r="H972" s="7"/>
      <c r="I972" s="7"/>
      <c r="J972" s="7"/>
      <c r="K972" s="7"/>
      <c r="L972" s="7"/>
      <c r="M972" s="7"/>
      <c r="N972" s="7"/>
    </row>
    <row r="973" spans="1:14" ht="13.2" x14ac:dyDescent="0.25">
      <c r="A973" s="7"/>
      <c r="B973" s="7"/>
      <c r="C973" s="7"/>
      <c r="D973" s="7"/>
      <c r="E973" s="7"/>
      <c r="F973" s="7"/>
      <c r="G973" s="7"/>
      <c r="H973" s="7"/>
      <c r="I973" s="7"/>
      <c r="J973" s="7"/>
      <c r="K973" s="7"/>
      <c r="L973" s="7"/>
      <c r="M973" s="7"/>
      <c r="N973" s="7"/>
    </row>
    <row r="974" spans="1:14" ht="13.2" x14ac:dyDescent="0.25">
      <c r="A974" s="7"/>
      <c r="B974" s="7"/>
      <c r="C974" s="7"/>
      <c r="D974" s="7"/>
      <c r="E974" s="7"/>
      <c r="F974" s="7"/>
      <c r="G974" s="7"/>
      <c r="H974" s="7"/>
      <c r="I974" s="7"/>
      <c r="J974" s="7"/>
      <c r="K974" s="7"/>
      <c r="L974" s="7"/>
      <c r="M974" s="7"/>
      <c r="N974" s="7"/>
    </row>
    <row r="975" spans="1:14" ht="13.2" x14ac:dyDescent="0.25">
      <c r="A975" s="7"/>
      <c r="B975" s="7"/>
      <c r="C975" s="7"/>
      <c r="D975" s="7"/>
      <c r="E975" s="7"/>
      <c r="F975" s="7"/>
      <c r="G975" s="7"/>
      <c r="H975" s="7"/>
      <c r="I975" s="7"/>
      <c r="J975" s="7"/>
      <c r="K975" s="7"/>
      <c r="L975" s="7"/>
      <c r="M975" s="7"/>
      <c r="N975" s="7"/>
    </row>
    <row r="976" spans="1:14" ht="13.2" x14ac:dyDescent="0.25">
      <c r="A976" s="7"/>
      <c r="B976" s="7"/>
      <c r="C976" s="7"/>
      <c r="D976" s="7"/>
      <c r="E976" s="7"/>
      <c r="F976" s="7"/>
      <c r="G976" s="7"/>
      <c r="H976" s="7"/>
      <c r="I976" s="7"/>
      <c r="J976" s="7"/>
      <c r="K976" s="7"/>
      <c r="L976" s="7"/>
      <c r="M976" s="7"/>
      <c r="N976" s="7"/>
    </row>
    <row r="977" spans="1:14" ht="13.2" x14ac:dyDescent="0.25">
      <c r="A977" s="7"/>
      <c r="B977" s="7"/>
      <c r="C977" s="7"/>
      <c r="D977" s="7"/>
      <c r="E977" s="7"/>
      <c r="F977" s="7"/>
      <c r="G977" s="7"/>
      <c r="H977" s="7"/>
      <c r="I977" s="7"/>
      <c r="J977" s="7"/>
      <c r="K977" s="7"/>
      <c r="L977" s="7"/>
      <c r="M977" s="7"/>
      <c r="N977" s="7"/>
    </row>
    <row r="978" spans="1:14" ht="13.2" x14ac:dyDescent="0.25">
      <c r="A978" s="7"/>
      <c r="B978" s="7"/>
      <c r="C978" s="7"/>
      <c r="D978" s="7"/>
      <c r="E978" s="7"/>
      <c r="F978" s="7"/>
      <c r="G978" s="7"/>
      <c r="H978" s="7"/>
      <c r="I978" s="7"/>
      <c r="J978" s="7"/>
      <c r="K978" s="7"/>
      <c r="L978" s="7"/>
      <c r="M978" s="7"/>
      <c r="N978" s="7"/>
    </row>
    <row r="979" spans="1:14" ht="13.2" x14ac:dyDescent="0.25">
      <c r="A979" s="7"/>
      <c r="B979" s="7"/>
      <c r="C979" s="7"/>
      <c r="D979" s="7"/>
      <c r="E979" s="7"/>
      <c r="F979" s="7"/>
      <c r="G979" s="7"/>
      <c r="H979" s="7"/>
      <c r="I979" s="7"/>
      <c r="J979" s="7"/>
      <c r="K979" s="7"/>
      <c r="L979" s="7"/>
      <c r="M979" s="7"/>
      <c r="N979" s="7"/>
    </row>
    <row r="980" spans="1:14" ht="13.2" x14ac:dyDescent="0.25">
      <c r="A980" s="7"/>
      <c r="B980" s="7"/>
      <c r="C980" s="7"/>
      <c r="D980" s="7"/>
      <c r="E980" s="7"/>
      <c r="F980" s="7"/>
      <c r="G980" s="7"/>
      <c r="H980" s="7"/>
      <c r="I980" s="7"/>
      <c r="J980" s="7"/>
      <c r="K980" s="7"/>
      <c r="L980" s="7"/>
      <c r="M980" s="7"/>
      <c r="N980" s="7"/>
    </row>
    <row r="981" spans="1:14" ht="13.2" x14ac:dyDescent="0.25">
      <c r="A981" s="7"/>
      <c r="B981" s="7"/>
      <c r="C981" s="7"/>
      <c r="D981" s="7"/>
      <c r="E981" s="7"/>
      <c r="F981" s="7"/>
      <c r="G981" s="7"/>
      <c r="H981" s="7"/>
      <c r="I981" s="7"/>
      <c r="J981" s="7"/>
      <c r="K981" s="7"/>
      <c r="L981" s="7"/>
      <c r="M981" s="7"/>
      <c r="N981" s="7"/>
    </row>
    <row r="982" spans="1:14" ht="13.2" x14ac:dyDescent="0.25">
      <c r="A982" s="7"/>
      <c r="B982" s="7"/>
      <c r="C982" s="7"/>
      <c r="D982" s="7"/>
      <c r="E982" s="7"/>
      <c r="F982" s="7"/>
      <c r="G982" s="7"/>
      <c r="H982" s="7"/>
      <c r="I982" s="7"/>
      <c r="J982" s="7"/>
      <c r="K982" s="7"/>
      <c r="L982" s="7"/>
      <c r="M982" s="7"/>
      <c r="N982" s="7"/>
    </row>
    <row r="983" spans="1:14" ht="13.2" x14ac:dyDescent="0.25">
      <c r="A983" s="7"/>
      <c r="B983" s="7"/>
      <c r="C983" s="7"/>
      <c r="D983" s="7"/>
      <c r="E983" s="7"/>
      <c r="F983" s="7"/>
      <c r="G983" s="7"/>
      <c r="H983" s="7"/>
      <c r="I983" s="7"/>
      <c r="J983" s="7"/>
      <c r="K983" s="7"/>
      <c r="L983" s="7"/>
      <c r="M983" s="7"/>
      <c r="N983" s="7"/>
    </row>
    <row r="984" spans="1:14" ht="13.2" x14ac:dyDescent="0.25">
      <c r="A984" s="7"/>
      <c r="B984" s="7"/>
      <c r="C984" s="7"/>
      <c r="D984" s="7"/>
      <c r="E984" s="7"/>
      <c r="F984" s="7"/>
      <c r="G984" s="7"/>
      <c r="H984" s="7"/>
      <c r="I984" s="7"/>
      <c r="J984" s="7"/>
      <c r="K984" s="7"/>
      <c r="L984" s="7"/>
      <c r="M984" s="7"/>
      <c r="N984" s="7"/>
    </row>
    <row r="985" spans="1:14" ht="13.2" x14ac:dyDescent="0.25">
      <c r="A985" s="7"/>
      <c r="B985" s="7"/>
      <c r="C985" s="7"/>
      <c r="D985" s="7"/>
      <c r="E985" s="7"/>
      <c r="F985" s="7"/>
      <c r="G985" s="7"/>
      <c r="H985" s="7"/>
      <c r="I985" s="7"/>
      <c r="J985" s="7"/>
      <c r="K985" s="7"/>
      <c r="L985" s="7"/>
      <c r="M985" s="7"/>
      <c r="N985" s="7"/>
    </row>
    <row r="986" spans="1:14" ht="13.2" x14ac:dyDescent="0.25">
      <c r="A986" s="7"/>
      <c r="B986" s="7"/>
      <c r="C986" s="7"/>
      <c r="D986" s="7"/>
      <c r="E986" s="7"/>
      <c r="F986" s="7"/>
      <c r="G986" s="7"/>
      <c r="H986" s="7"/>
      <c r="I986" s="7"/>
      <c r="J986" s="7"/>
      <c r="K986" s="7"/>
      <c r="L986" s="7"/>
      <c r="M986" s="7"/>
      <c r="N986" s="7"/>
    </row>
    <row r="987" spans="1:14" ht="13.2" x14ac:dyDescent="0.25">
      <c r="A987" s="7"/>
      <c r="B987" s="7"/>
      <c r="C987" s="7"/>
      <c r="D987" s="7"/>
      <c r="E987" s="7"/>
      <c r="F987" s="7"/>
      <c r="G987" s="7"/>
      <c r="H987" s="7"/>
      <c r="I987" s="7"/>
      <c r="J987" s="7"/>
      <c r="K987" s="7"/>
      <c r="L987" s="7"/>
      <c r="M987" s="7"/>
      <c r="N987" s="7"/>
    </row>
    <row r="988" spans="1:14" ht="13.2" x14ac:dyDescent="0.25">
      <c r="A988" s="7"/>
      <c r="B988" s="7"/>
      <c r="C988" s="7"/>
      <c r="D988" s="7"/>
      <c r="E988" s="7"/>
      <c r="F988" s="7"/>
      <c r="G988" s="7"/>
      <c r="H988" s="7"/>
      <c r="I988" s="7"/>
      <c r="J988" s="7"/>
      <c r="K988" s="7"/>
      <c r="L988" s="7"/>
      <c r="M988" s="7"/>
      <c r="N988" s="7"/>
    </row>
    <row r="989" spans="1:14" ht="13.2" x14ac:dyDescent="0.25">
      <c r="A989" s="7"/>
      <c r="B989" s="7"/>
      <c r="C989" s="7"/>
      <c r="D989" s="7"/>
      <c r="E989" s="7"/>
      <c r="F989" s="7"/>
      <c r="G989" s="7"/>
      <c r="H989" s="7"/>
      <c r="I989" s="7"/>
      <c r="J989" s="7"/>
      <c r="K989" s="7"/>
      <c r="L989" s="7"/>
      <c r="M989" s="7"/>
      <c r="N989" s="7"/>
    </row>
    <row r="990" spans="1:14" ht="13.2" x14ac:dyDescent="0.25">
      <c r="A990" s="7"/>
      <c r="B990" s="7"/>
      <c r="C990" s="7"/>
      <c r="D990" s="7"/>
      <c r="E990" s="7"/>
      <c r="F990" s="7"/>
      <c r="G990" s="7"/>
      <c r="H990" s="7"/>
      <c r="I990" s="7"/>
      <c r="J990" s="7"/>
      <c r="K990" s="7"/>
      <c r="L990" s="7"/>
      <c r="M990" s="7"/>
      <c r="N990" s="7"/>
    </row>
    <row r="991" spans="1:14" ht="13.2" x14ac:dyDescent="0.25">
      <c r="A991" s="7"/>
      <c r="B991" s="7"/>
      <c r="C991" s="7"/>
      <c r="D991" s="7"/>
      <c r="E991" s="7"/>
      <c r="F991" s="7"/>
      <c r="G991" s="7"/>
      <c r="H991" s="7"/>
      <c r="I991" s="7"/>
      <c r="J991" s="7"/>
      <c r="K991" s="7"/>
      <c r="L991" s="7"/>
      <c r="M991" s="7"/>
      <c r="N991" s="7"/>
    </row>
    <row r="992" spans="1:14" ht="13.2" x14ac:dyDescent="0.25">
      <c r="A992" s="7"/>
      <c r="B992" s="7"/>
      <c r="C992" s="7"/>
      <c r="D992" s="7"/>
      <c r="E992" s="7"/>
      <c r="F992" s="7"/>
      <c r="G992" s="7"/>
      <c r="H992" s="7"/>
      <c r="I992" s="7"/>
      <c r="J992" s="7"/>
      <c r="K992" s="7"/>
      <c r="L992" s="7"/>
      <c r="M992" s="7"/>
      <c r="N992" s="7"/>
    </row>
    <row r="993" spans="1:14" ht="13.2" x14ac:dyDescent="0.25">
      <c r="A993" s="7"/>
      <c r="B993" s="7"/>
      <c r="C993" s="7"/>
      <c r="D993" s="7"/>
      <c r="E993" s="7"/>
      <c r="F993" s="7"/>
      <c r="G993" s="7"/>
      <c r="H993" s="7"/>
      <c r="I993" s="7"/>
      <c r="J993" s="7"/>
      <c r="K993" s="7"/>
      <c r="L993" s="7"/>
      <c r="M993" s="7"/>
      <c r="N993" s="7"/>
    </row>
    <row r="994" spans="1:14" ht="13.2" x14ac:dyDescent="0.25">
      <c r="A994" s="7"/>
      <c r="B994" s="7"/>
      <c r="C994" s="7"/>
      <c r="D994" s="7"/>
      <c r="E994" s="7"/>
      <c r="F994" s="7"/>
      <c r="G994" s="7"/>
      <c r="H994" s="7"/>
      <c r="I994" s="7"/>
      <c r="J994" s="7"/>
      <c r="K994" s="7"/>
      <c r="L994" s="7"/>
      <c r="M994" s="7"/>
      <c r="N994" s="7"/>
    </row>
    <row r="995" spans="1:14" ht="13.2" x14ac:dyDescent="0.25">
      <c r="A995" s="7"/>
      <c r="B995" s="7"/>
      <c r="C995" s="7"/>
      <c r="D995" s="7"/>
      <c r="E995" s="7"/>
      <c r="F995" s="7"/>
      <c r="G995" s="7"/>
      <c r="H995" s="7"/>
      <c r="I995" s="7"/>
      <c r="J995" s="7"/>
      <c r="K995" s="7"/>
      <c r="L995" s="7"/>
      <c r="M995" s="7"/>
      <c r="N995" s="7"/>
    </row>
    <row r="996" spans="1:14" ht="13.2" x14ac:dyDescent="0.25">
      <c r="A996" s="7"/>
      <c r="B996" s="7"/>
      <c r="C996" s="7"/>
      <c r="D996" s="7"/>
      <c r="E996" s="7"/>
      <c r="F996" s="7"/>
      <c r="G996" s="7"/>
      <c r="H996" s="7"/>
      <c r="I996" s="7"/>
      <c r="J996" s="7"/>
      <c r="K996" s="7"/>
      <c r="L996" s="7"/>
      <c r="M996" s="7"/>
      <c r="N996" s="7"/>
    </row>
    <row r="997" spans="1:14" ht="13.2" x14ac:dyDescent="0.25">
      <c r="A997" s="7"/>
      <c r="B997" s="7"/>
      <c r="C997" s="7"/>
      <c r="D997" s="7"/>
      <c r="E997" s="7"/>
      <c r="F997" s="7"/>
      <c r="G997" s="7"/>
      <c r="H997" s="7"/>
      <c r="I997" s="7"/>
      <c r="J997" s="7"/>
      <c r="K997" s="7"/>
      <c r="L997" s="7"/>
      <c r="M997" s="7"/>
      <c r="N997" s="7"/>
    </row>
    <row r="998" spans="1:14" ht="13.2" x14ac:dyDescent="0.25">
      <c r="A998" s="7"/>
      <c r="B998" s="7"/>
      <c r="C998" s="7"/>
      <c r="D998" s="7"/>
      <c r="E998" s="7"/>
      <c r="F998" s="7"/>
      <c r="G998" s="7"/>
      <c r="H998" s="7"/>
      <c r="I998" s="7"/>
      <c r="J998" s="7"/>
      <c r="K998" s="7"/>
      <c r="L998" s="7"/>
      <c r="M998" s="7"/>
      <c r="N998" s="7"/>
    </row>
    <row r="999" spans="1:14" ht="13.2" x14ac:dyDescent="0.25">
      <c r="A999" s="7"/>
      <c r="B999" s="7"/>
      <c r="C999" s="7"/>
      <c r="D999" s="7"/>
      <c r="E999" s="7"/>
      <c r="F999" s="7"/>
      <c r="G999" s="7"/>
      <c r="H999" s="7"/>
      <c r="I999" s="7"/>
      <c r="J999" s="7"/>
      <c r="K999" s="7"/>
      <c r="L999" s="7"/>
      <c r="M999" s="7"/>
      <c r="N999" s="7"/>
    </row>
    <row r="1000" spans="1:14" ht="13.2" x14ac:dyDescent="0.25">
      <c r="A1000" s="7"/>
      <c r="B1000" s="7"/>
      <c r="C1000" s="7"/>
      <c r="D1000" s="7"/>
      <c r="E1000" s="7"/>
      <c r="F1000" s="7"/>
      <c r="G1000" s="7"/>
      <c r="H1000" s="7"/>
      <c r="I1000" s="7"/>
      <c r="J1000" s="7"/>
      <c r="K1000" s="7"/>
      <c r="L1000" s="7"/>
      <c r="M1000" s="7"/>
      <c r="N1000"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D9E89-AAF2-4702-807C-6BA46CEC648D}">
  <dimension ref="A1:H8462"/>
  <sheetViews>
    <sheetView tabSelected="1" topLeftCell="A25" workbookViewId="0">
      <selection activeCell="Q11" sqref="Q11"/>
    </sheetView>
  </sheetViews>
  <sheetFormatPr defaultRowHeight="13.2" x14ac:dyDescent="0.25"/>
  <cols>
    <col min="1" max="1" width="13" customWidth="1"/>
    <col min="2" max="2" width="12.33203125" bestFit="1" customWidth="1"/>
    <col min="3" max="3" width="14.44140625" style="209"/>
    <col min="4" max="8" width="8.88671875" style="209"/>
  </cols>
  <sheetData>
    <row r="1" spans="1:8" ht="14.4" x14ac:dyDescent="0.3">
      <c r="A1" s="1" t="s">
        <v>0</v>
      </c>
      <c r="B1" s="211" t="s">
        <v>64</v>
      </c>
      <c r="C1" s="210" t="s">
        <v>507</v>
      </c>
      <c r="D1" s="210" t="s">
        <v>508</v>
      </c>
      <c r="E1" s="210" t="s">
        <v>509</v>
      </c>
      <c r="F1" s="210" t="s">
        <v>510</v>
      </c>
      <c r="G1" s="210" t="s">
        <v>511</v>
      </c>
      <c r="H1" s="210" t="s">
        <v>512</v>
      </c>
    </row>
    <row r="2" spans="1:8" x14ac:dyDescent="0.25">
      <c r="A2" s="2">
        <f ca="1">IFERROR(__xludf.DUMMYFUNCTION("IMPORTRANGE(""https://docs.google.com/spreadsheets/d/1Xn9jFnhuJi5zY1GsAOHKKWOWFm19gsfN05WfR69DfvY/edit#gid=1255631436"",""[INPUT] Data Jakarta!A2:H"")"),43891)</f>
        <v>43891</v>
      </c>
      <c r="B2" s="212"/>
      <c r="C2" s="210">
        <v>1</v>
      </c>
      <c r="D2" s="210">
        <v>5</v>
      </c>
      <c r="E2" s="210">
        <v>-8</v>
      </c>
      <c r="F2" s="210">
        <v>0</v>
      </c>
      <c r="G2" s="210">
        <v>3</v>
      </c>
      <c r="H2" s="210">
        <v>1</v>
      </c>
    </row>
    <row r="3" spans="1:8" x14ac:dyDescent="0.25">
      <c r="A3" s="6">
        <f ca="1">IFERROR(__xludf.DUMMYFUNCTION("""COMPUTED_VALUE"""),43892)</f>
        <v>43892</v>
      </c>
      <c r="B3" s="212"/>
      <c r="C3" s="210">
        <v>5</v>
      </c>
      <c r="D3" s="210">
        <v>12</v>
      </c>
      <c r="E3" s="210">
        <v>0</v>
      </c>
      <c r="F3" s="210">
        <v>3</v>
      </c>
      <c r="G3" s="210">
        <v>5</v>
      </c>
      <c r="H3" s="210">
        <v>0</v>
      </c>
    </row>
    <row r="4" spans="1:8" x14ac:dyDescent="0.25">
      <c r="A4" s="6">
        <f ca="1">IFERROR(__xludf.DUMMYFUNCTION("""COMPUTED_VALUE"""),43893)</f>
        <v>43893</v>
      </c>
      <c r="B4" s="212"/>
      <c r="C4" s="210">
        <v>3</v>
      </c>
      <c r="D4" s="210">
        <v>10</v>
      </c>
      <c r="E4" s="210">
        <v>-2</v>
      </c>
      <c r="F4" s="210">
        <v>2</v>
      </c>
      <c r="G4" s="210">
        <v>5</v>
      </c>
      <c r="H4" s="210">
        <v>0</v>
      </c>
    </row>
    <row r="5" spans="1:8" x14ac:dyDescent="0.25">
      <c r="A5" s="6">
        <f ca="1">IFERROR(__xludf.DUMMYFUNCTION("""COMPUTED_VALUE"""),43894)</f>
        <v>43894</v>
      </c>
      <c r="B5" s="212"/>
      <c r="C5" s="210">
        <v>0</v>
      </c>
      <c r="D5" s="210">
        <v>4</v>
      </c>
      <c r="E5" s="210">
        <v>-5</v>
      </c>
      <c r="F5" s="210">
        <v>-1</v>
      </c>
      <c r="G5" s="210">
        <v>4</v>
      </c>
      <c r="H5" s="210">
        <v>1</v>
      </c>
    </row>
    <row r="6" spans="1:8" x14ac:dyDescent="0.25">
      <c r="A6" s="6">
        <f ca="1">IFERROR(__xludf.DUMMYFUNCTION("""COMPUTED_VALUE"""),43895)</f>
        <v>43895</v>
      </c>
      <c r="B6" s="212"/>
      <c r="C6" s="210">
        <v>4</v>
      </c>
      <c r="D6" s="210">
        <v>8</v>
      </c>
      <c r="E6" s="210">
        <v>-1</v>
      </c>
      <c r="F6" s="210">
        <v>3</v>
      </c>
      <c r="G6" s="210">
        <v>4</v>
      </c>
      <c r="H6" s="210">
        <v>0</v>
      </c>
    </row>
    <row r="7" spans="1:8" x14ac:dyDescent="0.25">
      <c r="A7" s="6">
        <f ca="1">IFERROR(__xludf.DUMMYFUNCTION("""COMPUTED_VALUE"""),43896)</f>
        <v>43896</v>
      </c>
      <c r="B7" s="212"/>
      <c r="C7" s="210">
        <v>2</v>
      </c>
      <c r="D7" s="210">
        <v>4</v>
      </c>
      <c r="E7" s="210">
        <v>-3</v>
      </c>
      <c r="F7" s="210">
        <v>3</v>
      </c>
      <c r="G7" s="210">
        <v>6</v>
      </c>
      <c r="H7" s="210">
        <v>1</v>
      </c>
    </row>
    <row r="8" spans="1:8" x14ac:dyDescent="0.25">
      <c r="A8" s="6">
        <f ca="1">IFERROR(__xludf.DUMMYFUNCTION("""COMPUTED_VALUE"""),43897)</f>
        <v>43897</v>
      </c>
      <c r="B8" s="212"/>
      <c r="C8" s="210">
        <v>3</v>
      </c>
      <c r="D8" s="210">
        <v>6</v>
      </c>
      <c r="E8" s="210">
        <v>-4</v>
      </c>
      <c r="F8" s="210">
        <v>3</v>
      </c>
      <c r="G8" s="210">
        <v>6</v>
      </c>
      <c r="H8" s="210">
        <v>0</v>
      </c>
    </row>
    <row r="9" spans="1:8" x14ac:dyDescent="0.25">
      <c r="A9" s="6">
        <f ca="1">IFERROR(__xludf.DUMMYFUNCTION("""COMPUTED_VALUE"""),43898)</f>
        <v>43898</v>
      </c>
      <c r="B9" s="212"/>
      <c r="C9" s="210">
        <v>1</v>
      </c>
      <c r="D9" s="210">
        <v>4</v>
      </c>
      <c r="E9" s="210">
        <v>-4</v>
      </c>
      <c r="F9" s="210">
        <v>-1</v>
      </c>
      <c r="G9" s="210">
        <v>4</v>
      </c>
      <c r="H9" s="210">
        <v>1</v>
      </c>
    </row>
    <row r="10" spans="1:8" x14ac:dyDescent="0.25">
      <c r="A10" s="6">
        <f ca="1">IFERROR(__xludf.DUMMYFUNCTION("""COMPUTED_VALUE"""),43899)</f>
        <v>43899</v>
      </c>
      <c r="B10" s="212"/>
      <c r="C10" s="210">
        <v>2</v>
      </c>
      <c r="D10" s="210">
        <v>3</v>
      </c>
      <c r="E10" s="210">
        <v>-1</v>
      </c>
      <c r="F10" s="210">
        <v>1</v>
      </c>
      <c r="G10" s="210">
        <v>5</v>
      </c>
      <c r="H10" s="210">
        <v>1</v>
      </c>
    </row>
    <row r="11" spans="1:8" x14ac:dyDescent="0.25">
      <c r="A11" s="6">
        <f ca="1">IFERROR(__xludf.DUMMYFUNCTION("""COMPUTED_VALUE"""),43900)</f>
        <v>43900</v>
      </c>
      <c r="B11" s="212"/>
      <c r="C11" s="210">
        <v>3</v>
      </c>
      <c r="D11" s="210">
        <v>6</v>
      </c>
      <c r="E11" s="210">
        <v>2</v>
      </c>
      <c r="F11" s="210">
        <v>1</v>
      </c>
      <c r="G11" s="210">
        <v>4</v>
      </c>
      <c r="H11" s="210">
        <v>1</v>
      </c>
    </row>
    <row r="12" spans="1:8" x14ac:dyDescent="0.25">
      <c r="A12" s="6">
        <f ca="1">IFERROR(__xludf.DUMMYFUNCTION("""COMPUTED_VALUE"""),43901)</f>
        <v>43901</v>
      </c>
      <c r="B12" s="212"/>
      <c r="C12" s="210">
        <v>3</v>
      </c>
      <c r="D12" s="210">
        <v>5</v>
      </c>
      <c r="E12" s="210">
        <v>2</v>
      </c>
      <c r="F12" s="210">
        <v>1</v>
      </c>
      <c r="G12" s="210">
        <v>4</v>
      </c>
      <c r="H12" s="210">
        <v>1</v>
      </c>
    </row>
    <row r="13" spans="1:8" x14ac:dyDescent="0.25">
      <c r="A13" s="6">
        <f ca="1">IFERROR(__xludf.DUMMYFUNCTION("""COMPUTED_VALUE"""),43902)</f>
        <v>43902</v>
      </c>
      <c r="B13" s="212"/>
      <c r="C13" s="210">
        <v>2</v>
      </c>
      <c r="D13" s="210">
        <v>3</v>
      </c>
      <c r="E13" s="210">
        <v>0</v>
      </c>
      <c r="F13" s="210">
        <v>1</v>
      </c>
      <c r="G13" s="210">
        <v>4</v>
      </c>
      <c r="H13" s="210">
        <v>1</v>
      </c>
    </row>
    <row r="14" spans="1:8" x14ac:dyDescent="0.25">
      <c r="A14" s="6">
        <f ca="1">IFERROR(__xludf.DUMMYFUNCTION("""COMPUTED_VALUE"""),43903)</f>
        <v>43903</v>
      </c>
      <c r="B14" s="212"/>
      <c r="C14" s="210">
        <v>2</v>
      </c>
      <c r="D14" s="210">
        <v>3</v>
      </c>
      <c r="E14" s="210">
        <v>-2</v>
      </c>
      <c r="F14" s="210">
        <v>1</v>
      </c>
      <c r="G14" s="210">
        <v>6</v>
      </c>
      <c r="H14" s="210">
        <v>1</v>
      </c>
    </row>
    <row r="15" spans="1:8" x14ac:dyDescent="0.25">
      <c r="A15" s="6">
        <f ca="1">IFERROR(__xludf.DUMMYFUNCTION("""COMPUTED_VALUE"""),43904)</f>
        <v>43904</v>
      </c>
      <c r="B15" s="212"/>
      <c r="C15" s="210">
        <v>-2</v>
      </c>
      <c r="D15" s="210">
        <v>3</v>
      </c>
      <c r="E15" s="210">
        <v>-6</v>
      </c>
      <c r="F15" s="210">
        <v>-5</v>
      </c>
      <c r="G15" s="210">
        <v>5</v>
      </c>
      <c r="H15" s="210">
        <v>1</v>
      </c>
    </row>
    <row r="16" spans="1:8" x14ac:dyDescent="0.25">
      <c r="A16" s="6">
        <f ca="1">IFERROR(__xludf.DUMMYFUNCTION("""COMPUTED_VALUE"""),43905)</f>
        <v>43905</v>
      </c>
      <c r="B16" s="212"/>
      <c r="C16" s="210">
        <v>-7</v>
      </c>
      <c r="D16" s="210">
        <v>3</v>
      </c>
      <c r="E16" s="210">
        <v>-12</v>
      </c>
      <c r="F16" s="210">
        <v>-12</v>
      </c>
      <c r="G16" s="210">
        <v>4</v>
      </c>
      <c r="H16" s="210">
        <v>3</v>
      </c>
    </row>
    <row r="17" spans="1:8" x14ac:dyDescent="0.25">
      <c r="A17" s="6">
        <f ca="1">IFERROR(__xludf.DUMMYFUNCTION("""COMPUTED_VALUE"""),43906)</f>
        <v>43906</v>
      </c>
      <c r="B17" s="212"/>
      <c r="C17" s="210">
        <v>-7</v>
      </c>
      <c r="D17" s="210">
        <v>2</v>
      </c>
      <c r="E17" s="210">
        <v>-8</v>
      </c>
      <c r="F17" s="210">
        <v>-12</v>
      </c>
      <c r="G17" s="210">
        <v>-8</v>
      </c>
      <c r="H17" s="210">
        <v>5</v>
      </c>
    </row>
    <row r="18" spans="1:8" x14ac:dyDescent="0.25">
      <c r="A18" s="6">
        <f ca="1">IFERROR(__xludf.DUMMYFUNCTION("""COMPUTED_VALUE"""),43907)</f>
        <v>43907</v>
      </c>
      <c r="B18" s="212"/>
      <c r="C18" s="210">
        <v>-9</v>
      </c>
      <c r="D18" s="210">
        <v>1</v>
      </c>
      <c r="E18" s="210">
        <v>-10</v>
      </c>
      <c r="F18" s="210">
        <v>-16</v>
      </c>
      <c r="G18" s="210">
        <v>-13</v>
      </c>
      <c r="H18" s="210">
        <v>6</v>
      </c>
    </row>
    <row r="19" spans="1:8" x14ac:dyDescent="0.25">
      <c r="A19" s="6">
        <f ca="1">IFERROR(__xludf.DUMMYFUNCTION("""COMPUTED_VALUE"""),43908)</f>
        <v>43908</v>
      </c>
      <c r="B19" s="212"/>
      <c r="C19" s="210">
        <v>-11</v>
      </c>
      <c r="D19" s="210">
        <v>0</v>
      </c>
      <c r="E19" s="210">
        <v>-12</v>
      </c>
      <c r="F19" s="210">
        <v>-21</v>
      </c>
      <c r="G19" s="210">
        <v>-16</v>
      </c>
      <c r="H19" s="210">
        <v>8</v>
      </c>
    </row>
    <row r="20" spans="1:8" x14ac:dyDescent="0.25">
      <c r="A20" s="6">
        <f ca="1">IFERROR(__xludf.DUMMYFUNCTION("""COMPUTED_VALUE"""),43909)</f>
        <v>43909</v>
      </c>
      <c r="B20" s="212"/>
      <c r="C20" s="210">
        <v>-16</v>
      </c>
      <c r="D20" s="210">
        <v>-5</v>
      </c>
      <c r="E20" s="210">
        <v>-17</v>
      </c>
      <c r="F20" s="210">
        <v>-26</v>
      </c>
      <c r="G20" s="210">
        <v>-17</v>
      </c>
      <c r="H20" s="210">
        <v>9</v>
      </c>
    </row>
    <row r="21" spans="1:8" x14ac:dyDescent="0.25">
      <c r="A21" s="6">
        <f ca="1">IFERROR(__xludf.DUMMYFUNCTION("""COMPUTED_VALUE"""),43910)</f>
        <v>43910</v>
      </c>
      <c r="B21" s="212"/>
      <c r="C21" s="210">
        <v>-19</v>
      </c>
      <c r="D21" s="210">
        <v>-7</v>
      </c>
      <c r="E21" s="210">
        <v>-21</v>
      </c>
      <c r="F21" s="210">
        <v>-31</v>
      </c>
      <c r="G21" s="210">
        <v>-18</v>
      </c>
      <c r="H21" s="210">
        <v>10</v>
      </c>
    </row>
    <row r="22" spans="1:8" x14ac:dyDescent="0.25">
      <c r="A22" s="6">
        <f ca="1">IFERROR(__xludf.DUMMYFUNCTION("""COMPUTED_VALUE"""),43911)</f>
        <v>43911</v>
      </c>
      <c r="B22" s="212"/>
      <c r="C22" s="210">
        <v>-23</v>
      </c>
      <c r="D22" s="210">
        <v>-5</v>
      </c>
      <c r="E22" s="210">
        <v>-30</v>
      </c>
      <c r="F22" s="210">
        <v>-33</v>
      </c>
      <c r="G22" s="210">
        <v>-11</v>
      </c>
      <c r="H22" s="210">
        <v>9</v>
      </c>
    </row>
    <row r="23" spans="1:8" x14ac:dyDescent="0.25">
      <c r="A23" s="6">
        <f ca="1">IFERROR(__xludf.DUMMYFUNCTION("""COMPUTED_VALUE"""),43912)</f>
        <v>43912</v>
      </c>
      <c r="B23" s="212"/>
      <c r="C23" s="210">
        <v>-32</v>
      </c>
      <c r="D23" s="210">
        <v>-15</v>
      </c>
      <c r="E23" s="210">
        <v>-39</v>
      </c>
      <c r="F23" s="210">
        <v>-42</v>
      </c>
      <c r="G23" s="210">
        <v>-7</v>
      </c>
      <c r="H23" s="210">
        <v>10</v>
      </c>
    </row>
    <row r="24" spans="1:8" x14ac:dyDescent="0.25">
      <c r="A24" s="6">
        <f ca="1">IFERROR(__xludf.DUMMYFUNCTION("""COMPUTED_VALUE"""),43913)</f>
        <v>43913</v>
      </c>
      <c r="B24" s="212"/>
      <c r="C24" s="210">
        <v>-27</v>
      </c>
      <c r="D24" s="210">
        <v>-12</v>
      </c>
      <c r="E24" s="210">
        <v>-25</v>
      </c>
      <c r="F24" s="210">
        <v>-41</v>
      </c>
      <c r="G24" s="210">
        <v>-27</v>
      </c>
      <c r="H24" s="210">
        <v>13</v>
      </c>
    </row>
    <row r="25" spans="1:8" x14ac:dyDescent="0.25">
      <c r="A25" s="6">
        <f ca="1">IFERROR(__xludf.DUMMYFUNCTION("""COMPUTED_VALUE"""),43914)</f>
        <v>43914</v>
      </c>
      <c r="B25" s="212"/>
      <c r="C25" s="210">
        <v>-29</v>
      </c>
      <c r="D25" s="210">
        <v>-11</v>
      </c>
      <c r="E25" s="210">
        <v>-26</v>
      </c>
      <c r="F25" s="210">
        <v>-42</v>
      </c>
      <c r="G25" s="210">
        <v>-31</v>
      </c>
      <c r="H25" s="210">
        <v>13</v>
      </c>
    </row>
    <row r="26" spans="1:8" x14ac:dyDescent="0.25">
      <c r="A26" s="6">
        <f ca="1">IFERROR(__xludf.DUMMYFUNCTION("""COMPUTED_VALUE"""),43915)</f>
        <v>43915</v>
      </c>
      <c r="B26" s="212"/>
      <c r="C26" s="210">
        <v>-38</v>
      </c>
      <c r="D26" s="210">
        <v>-20</v>
      </c>
      <c r="E26" s="210">
        <v>-31</v>
      </c>
      <c r="F26" s="210">
        <v>-52</v>
      </c>
      <c r="G26" s="210">
        <v>-59</v>
      </c>
      <c r="H26" s="210">
        <v>21</v>
      </c>
    </row>
    <row r="27" spans="1:8" x14ac:dyDescent="0.25">
      <c r="A27" s="6">
        <f ca="1">IFERROR(__xludf.DUMMYFUNCTION("""COMPUTED_VALUE"""),43916)</f>
        <v>43916</v>
      </c>
      <c r="B27" s="212"/>
      <c r="C27" s="210">
        <v>-34</v>
      </c>
      <c r="D27" s="210">
        <v>-17</v>
      </c>
      <c r="E27" s="210">
        <v>-30</v>
      </c>
      <c r="F27" s="210">
        <v>-46</v>
      </c>
      <c r="G27" s="210">
        <v>-34</v>
      </c>
      <c r="H27" s="210">
        <v>15</v>
      </c>
    </row>
    <row r="28" spans="1:8" x14ac:dyDescent="0.25">
      <c r="A28" s="6">
        <f ca="1">IFERROR(__xludf.DUMMYFUNCTION("""COMPUTED_VALUE"""),43917)</f>
        <v>43917</v>
      </c>
      <c r="B28" s="212"/>
      <c r="C28" s="210">
        <v>-36</v>
      </c>
      <c r="D28" s="210">
        <v>-17</v>
      </c>
      <c r="E28" s="210">
        <v>-34</v>
      </c>
      <c r="F28" s="210">
        <v>-49</v>
      </c>
      <c r="G28" s="210">
        <v>-33</v>
      </c>
      <c r="H28" s="210">
        <v>16</v>
      </c>
    </row>
    <row r="29" spans="1:8" x14ac:dyDescent="0.25">
      <c r="A29" s="6">
        <f ca="1">IFERROR(__xludf.DUMMYFUNCTION("""COMPUTED_VALUE"""),43918)</f>
        <v>43918</v>
      </c>
      <c r="B29" s="212"/>
      <c r="C29" s="210">
        <v>-42</v>
      </c>
      <c r="D29" s="210">
        <v>-20</v>
      </c>
      <c r="E29" s="210">
        <v>-46</v>
      </c>
      <c r="F29" s="210">
        <v>-50</v>
      </c>
      <c r="G29" s="210">
        <v>-23</v>
      </c>
      <c r="H29" s="210">
        <v>15</v>
      </c>
    </row>
    <row r="30" spans="1:8" x14ac:dyDescent="0.25">
      <c r="A30" s="6">
        <f ca="1">IFERROR(__xludf.DUMMYFUNCTION("""COMPUTED_VALUE"""),43919)</f>
        <v>43919</v>
      </c>
      <c r="B30" s="212"/>
      <c r="C30" s="210">
        <v>-47</v>
      </c>
      <c r="D30" s="210">
        <v>-27</v>
      </c>
      <c r="E30" s="210">
        <v>-52</v>
      </c>
      <c r="F30" s="210">
        <v>-54</v>
      </c>
      <c r="G30" s="210">
        <v>-15</v>
      </c>
      <c r="H30" s="210">
        <v>15</v>
      </c>
    </row>
    <row r="31" spans="1:8" x14ac:dyDescent="0.25">
      <c r="A31" s="6">
        <f ca="1">IFERROR(__xludf.DUMMYFUNCTION("""COMPUTED_VALUE"""),43920)</f>
        <v>43920</v>
      </c>
      <c r="B31" s="212"/>
      <c r="C31" s="210">
        <v>-36</v>
      </c>
      <c r="D31" s="210">
        <v>-20</v>
      </c>
      <c r="E31" s="210">
        <v>-32</v>
      </c>
      <c r="F31" s="210">
        <v>-51</v>
      </c>
      <c r="G31" s="210">
        <v>-34</v>
      </c>
      <c r="H31" s="210">
        <v>16</v>
      </c>
    </row>
    <row r="32" spans="1:8" x14ac:dyDescent="0.25">
      <c r="A32" s="6">
        <f ca="1">IFERROR(__xludf.DUMMYFUNCTION("""COMPUTED_VALUE"""),43921)</f>
        <v>43921</v>
      </c>
      <c r="C32" s="210">
        <v>-35</v>
      </c>
      <c r="D32" s="210">
        <v>-16</v>
      </c>
      <c r="E32" s="210">
        <v>-32</v>
      </c>
      <c r="F32" s="210">
        <v>-49</v>
      </c>
      <c r="G32" s="210">
        <v>-35</v>
      </c>
      <c r="H32" s="210">
        <v>15</v>
      </c>
    </row>
    <row r="33" spans="1:8" x14ac:dyDescent="0.25">
      <c r="A33" s="6">
        <f ca="1">IFERROR(__xludf.DUMMYFUNCTION("""COMPUTED_VALUE"""),43922)</f>
        <v>43922</v>
      </c>
      <c r="C33" s="210">
        <v>-31</v>
      </c>
      <c r="D33" s="210">
        <v>-10</v>
      </c>
      <c r="E33" s="210">
        <v>-28</v>
      </c>
      <c r="F33" s="210">
        <v>-49</v>
      </c>
      <c r="G33" s="210">
        <v>-35</v>
      </c>
      <c r="H33" s="210">
        <v>15</v>
      </c>
    </row>
    <row r="34" spans="1:8" x14ac:dyDescent="0.25">
      <c r="A34" s="6">
        <f ca="1">IFERROR(__xludf.DUMMYFUNCTION("""COMPUTED_VALUE"""),43923)</f>
        <v>43923</v>
      </c>
      <c r="C34" s="210">
        <v>-33</v>
      </c>
      <c r="D34" s="210">
        <v>-13</v>
      </c>
      <c r="E34" s="210">
        <v>-29</v>
      </c>
      <c r="F34" s="210">
        <v>-50</v>
      </c>
      <c r="G34" s="210">
        <v>-35</v>
      </c>
      <c r="H34" s="210">
        <v>16</v>
      </c>
    </row>
    <row r="35" spans="1:8" x14ac:dyDescent="0.25">
      <c r="A35" s="6">
        <f ca="1">IFERROR(__xludf.DUMMYFUNCTION("""COMPUTED_VALUE"""),43924)</f>
        <v>43924</v>
      </c>
      <c r="C35" s="210">
        <v>-35</v>
      </c>
      <c r="D35" s="210">
        <v>-17</v>
      </c>
      <c r="E35" s="210">
        <v>-34</v>
      </c>
      <c r="F35" s="210">
        <v>-53</v>
      </c>
      <c r="G35" s="210">
        <v>-34</v>
      </c>
      <c r="H35" s="210">
        <v>17</v>
      </c>
    </row>
    <row r="36" spans="1:8" x14ac:dyDescent="0.25">
      <c r="A36" s="6">
        <f ca="1">IFERROR(__xludf.DUMMYFUNCTION("""COMPUTED_VALUE"""),43925)</f>
        <v>43925</v>
      </c>
      <c r="C36" s="210">
        <v>-40</v>
      </c>
      <c r="D36" s="210">
        <v>-20</v>
      </c>
      <c r="E36" s="210">
        <v>-45</v>
      </c>
      <c r="F36" s="210">
        <v>-54</v>
      </c>
      <c r="G36" s="210">
        <v>-25</v>
      </c>
      <c r="H36" s="210">
        <v>15</v>
      </c>
    </row>
    <row r="37" spans="1:8" x14ac:dyDescent="0.25">
      <c r="A37" s="6">
        <f ca="1">IFERROR(__xludf.DUMMYFUNCTION("""COMPUTED_VALUE"""),43926)</f>
        <v>43926</v>
      </c>
      <c r="C37" s="210">
        <v>-43</v>
      </c>
      <c r="D37" s="210">
        <v>-24</v>
      </c>
      <c r="E37" s="210">
        <v>-50</v>
      </c>
      <c r="F37" s="210">
        <v>-58</v>
      </c>
      <c r="G37" s="210">
        <v>-17</v>
      </c>
      <c r="H37" s="210">
        <v>14</v>
      </c>
    </row>
    <row r="38" spans="1:8" x14ac:dyDescent="0.25">
      <c r="A38" s="6">
        <f ca="1">IFERROR(__xludf.DUMMYFUNCTION("""COMPUTED_VALUE"""),43927)</f>
        <v>43927</v>
      </c>
      <c r="C38" s="210">
        <v>-34</v>
      </c>
      <c r="D38" s="210">
        <v>-20</v>
      </c>
      <c r="E38" s="210">
        <v>-31</v>
      </c>
      <c r="F38" s="210">
        <v>-54</v>
      </c>
      <c r="G38" s="210">
        <v>-34</v>
      </c>
      <c r="H38" s="210">
        <v>16</v>
      </c>
    </row>
    <row r="39" spans="1:8" x14ac:dyDescent="0.25">
      <c r="A39" s="6">
        <f ca="1">IFERROR(__xludf.DUMMYFUNCTION("""COMPUTED_VALUE"""),43928)</f>
        <v>43928</v>
      </c>
      <c r="C39" s="210">
        <v>-33</v>
      </c>
      <c r="D39" s="210">
        <v>-16</v>
      </c>
      <c r="E39" s="210">
        <v>-30</v>
      </c>
      <c r="F39" s="210">
        <v>-51</v>
      </c>
      <c r="G39" s="210">
        <v>-35</v>
      </c>
      <c r="H39" s="210">
        <v>15</v>
      </c>
    </row>
    <row r="40" spans="1:8" x14ac:dyDescent="0.25">
      <c r="A40" s="6">
        <f ca="1">IFERROR(__xludf.DUMMYFUNCTION("""COMPUTED_VALUE"""),43929)</f>
        <v>43929</v>
      </c>
      <c r="C40" s="210">
        <v>-34</v>
      </c>
      <c r="D40" s="210">
        <v>-17</v>
      </c>
      <c r="E40" s="210">
        <v>-30</v>
      </c>
      <c r="F40" s="210">
        <v>-52</v>
      </c>
      <c r="G40" s="210">
        <v>-36</v>
      </c>
      <c r="H40" s="210">
        <v>15</v>
      </c>
    </row>
    <row r="41" spans="1:8" x14ac:dyDescent="0.25">
      <c r="A41" s="6">
        <f ca="1">IFERROR(__xludf.DUMMYFUNCTION("""COMPUTED_VALUE"""),43930)</f>
        <v>43930</v>
      </c>
      <c r="C41" s="210">
        <v>-31</v>
      </c>
      <c r="D41" s="210">
        <v>-13</v>
      </c>
      <c r="E41" s="210">
        <v>-28</v>
      </c>
      <c r="F41" s="210">
        <v>-50</v>
      </c>
      <c r="G41" s="210">
        <v>-35</v>
      </c>
      <c r="H41" s="210">
        <v>15</v>
      </c>
    </row>
    <row r="42" spans="1:8" x14ac:dyDescent="0.25">
      <c r="A42" s="6">
        <f ca="1">IFERROR(__xludf.DUMMYFUNCTION("""COMPUTED_VALUE"""),43931)</f>
        <v>43931</v>
      </c>
      <c r="C42" s="210">
        <v>-43</v>
      </c>
      <c r="D42" s="210">
        <v>-28</v>
      </c>
      <c r="E42" s="210">
        <v>-37</v>
      </c>
      <c r="F42" s="210">
        <v>-64</v>
      </c>
      <c r="G42" s="210">
        <v>-60</v>
      </c>
      <c r="H42" s="210">
        <v>24</v>
      </c>
    </row>
    <row r="43" spans="1:8" x14ac:dyDescent="0.25">
      <c r="A43" s="6">
        <f ca="1">IFERROR(__xludf.DUMMYFUNCTION("""COMPUTED_VALUE"""),43932)</f>
        <v>43932</v>
      </c>
      <c r="C43" s="210">
        <v>-43</v>
      </c>
      <c r="D43" s="210">
        <v>-24</v>
      </c>
      <c r="E43" s="210">
        <v>-46</v>
      </c>
      <c r="F43" s="210">
        <v>-59</v>
      </c>
      <c r="G43" s="210">
        <v>-30</v>
      </c>
      <c r="H43" s="210">
        <v>17</v>
      </c>
    </row>
    <row r="44" spans="1:8" x14ac:dyDescent="0.25">
      <c r="A44" s="6">
        <f ca="1">IFERROR(__xludf.DUMMYFUNCTION("""COMPUTED_VALUE"""),43933)</f>
        <v>43933</v>
      </c>
      <c r="C44" s="210">
        <v>-46</v>
      </c>
      <c r="D44" s="210">
        <v>-27</v>
      </c>
      <c r="E44" s="210">
        <v>-50</v>
      </c>
      <c r="F44" s="210">
        <v>-61</v>
      </c>
      <c r="G44" s="210">
        <v>-17</v>
      </c>
      <c r="H44" s="210">
        <v>15</v>
      </c>
    </row>
    <row r="45" spans="1:8" x14ac:dyDescent="0.25">
      <c r="A45" s="6">
        <f ca="1">IFERROR(__xludf.DUMMYFUNCTION("""COMPUTED_VALUE"""),43934)</f>
        <v>43934</v>
      </c>
      <c r="C45" s="210">
        <v>-33</v>
      </c>
      <c r="D45" s="210">
        <v>-19</v>
      </c>
      <c r="E45" s="210">
        <v>-29</v>
      </c>
      <c r="F45" s="210">
        <v>-56</v>
      </c>
      <c r="G45" s="210">
        <v>-35</v>
      </c>
      <c r="H45" s="210">
        <v>17</v>
      </c>
    </row>
    <row r="46" spans="1:8" x14ac:dyDescent="0.25">
      <c r="A46" s="6">
        <f ca="1">IFERROR(__xludf.DUMMYFUNCTION("""COMPUTED_VALUE"""),43935)</f>
        <v>43935</v>
      </c>
      <c r="C46" s="210">
        <v>-34</v>
      </c>
      <c r="D46" s="210">
        <v>-19</v>
      </c>
      <c r="E46" s="210">
        <v>-29</v>
      </c>
      <c r="F46" s="210">
        <v>-54</v>
      </c>
      <c r="G46" s="210">
        <v>-36</v>
      </c>
      <c r="H46" s="210">
        <v>16</v>
      </c>
    </row>
    <row r="47" spans="1:8" x14ac:dyDescent="0.25">
      <c r="A47" s="6">
        <f ca="1">IFERROR(__xludf.DUMMYFUNCTION("""COMPUTED_VALUE"""),43936)</f>
        <v>43936</v>
      </c>
      <c r="C47" s="210">
        <v>-35</v>
      </c>
      <c r="D47" s="210">
        <v>-19</v>
      </c>
      <c r="E47" s="210">
        <v>-29</v>
      </c>
      <c r="F47" s="210">
        <v>-55</v>
      </c>
      <c r="G47" s="210">
        <v>-36</v>
      </c>
      <c r="H47" s="210">
        <v>17</v>
      </c>
    </row>
    <row r="48" spans="1:8" x14ac:dyDescent="0.25">
      <c r="A48" s="6">
        <f ca="1">IFERROR(__xludf.DUMMYFUNCTION("""COMPUTED_VALUE"""),43937)</f>
        <v>43937</v>
      </c>
      <c r="C48" s="210">
        <v>-34</v>
      </c>
      <c r="D48" s="210">
        <v>-18</v>
      </c>
      <c r="E48" s="210">
        <v>-29</v>
      </c>
      <c r="F48" s="210">
        <v>-56</v>
      </c>
      <c r="G48" s="210">
        <v>-36</v>
      </c>
      <c r="H48" s="210">
        <v>17</v>
      </c>
    </row>
    <row r="49" spans="1:8" x14ac:dyDescent="0.25">
      <c r="A49" s="6">
        <f ca="1">IFERROR(__xludf.DUMMYFUNCTION("""COMPUTED_VALUE"""),43938)</f>
        <v>43938</v>
      </c>
      <c r="C49" s="210">
        <v>-38</v>
      </c>
      <c r="D49" s="210">
        <v>-23</v>
      </c>
      <c r="E49" s="210">
        <v>-35</v>
      </c>
      <c r="F49" s="210">
        <v>-58</v>
      </c>
      <c r="G49" s="210">
        <v>-35</v>
      </c>
      <c r="H49" s="210">
        <v>18</v>
      </c>
    </row>
    <row r="50" spans="1:8" x14ac:dyDescent="0.25">
      <c r="A50" s="6">
        <f ca="1">IFERROR(__xludf.DUMMYFUNCTION("""COMPUTED_VALUE"""),43939)</f>
        <v>43939</v>
      </c>
      <c r="C50" s="210">
        <v>-43</v>
      </c>
      <c r="D50" s="210">
        <v>-25</v>
      </c>
      <c r="E50" s="210">
        <v>-46</v>
      </c>
      <c r="F50" s="210">
        <v>-58</v>
      </c>
      <c r="G50" s="210">
        <v>-24</v>
      </c>
      <c r="H50" s="210">
        <v>15</v>
      </c>
    </row>
    <row r="51" spans="1:8" x14ac:dyDescent="0.25">
      <c r="A51" s="6">
        <f ca="1">IFERROR(__xludf.DUMMYFUNCTION("""COMPUTED_VALUE"""),43940)</f>
        <v>43940</v>
      </c>
      <c r="C51" s="210">
        <v>-45</v>
      </c>
      <c r="D51" s="210">
        <v>-26</v>
      </c>
      <c r="E51" s="210">
        <v>-49</v>
      </c>
      <c r="F51" s="210">
        <v>-60</v>
      </c>
      <c r="G51" s="210">
        <v>-14</v>
      </c>
      <c r="H51" s="210">
        <v>14</v>
      </c>
    </row>
    <row r="52" spans="1:8" x14ac:dyDescent="0.25">
      <c r="A52" s="6">
        <f ca="1">IFERROR(__xludf.DUMMYFUNCTION("""COMPUTED_VALUE"""),43941)</f>
        <v>43941</v>
      </c>
      <c r="C52" s="210">
        <v>-34</v>
      </c>
      <c r="D52" s="210">
        <v>-19</v>
      </c>
      <c r="E52" s="210">
        <v>-29</v>
      </c>
      <c r="F52" s="210">
        <v>-56</v>
      </c>
      <c r="G52" s="210">
        <v>-34</v>
      </c>
      <c r="H52" s="210">
        <v>16</v>
      </c>
    </row>
    <row r="53" spans="1:8" x14ac:dyDescent="0.25">
      <c r="A53" s="6">
        <f ca="1">IFERROR(__xludf.DUMMYFUNCTION("""COMPUTED_VALUE"""),43942)</f>
        <v>43942</v>
      </c>
      <c r="C53" s="210">
        <v>-35</v>
      </c>
      <c r="D53" s="210">
        <v>-19</v>
      </c>
      <c r="E53" s="210">
        <v>-31</v>
      </c>
      <c r="F53" s="210">
        <v>-55</v>
      </c>
      <c r="G53" s="210">
        <v>-36</v>
      </c>
      <c r="H53" s="210">
        <v>16</v>
      </c>
    </row>
    <row r="54" spans="1:8" x14ac:dyDescent="0.25">
      <c r="A54" s="6">
        <f ca="1">IFERROR(__xludf.DUMMYFUNCTION("""COMPUTED_VALUE"""),43943)</f>
        <v>43943</v>
      </c>
      <c r="C54" s="210">
        <v>-34</v>
      </c>
      <c r="D54" s="210">
        <v>-16</v>
      </c>
      <c r="E54" s="210">
        <v>-28</v>
      </c>
      <c r="F54" s="210">
        <v>-53</v>
      </c>
      <c r="G54" s="210">
        <v>-36</v>
      </c>
      <c r="H54" s="210">
        <v>15</v>
      </c>
    </row>
    <row r="55" spans="1:8" x14ac:dyDescent="0.25">
      <c r="A55" s="6">
        <f ca="1">IFERROR(__xludf.DUMMYFUNCTION("""COMPUTED_VALUE"""),43944)</f>
        <v>43944</v>
      </c>
      <c r="C55" s="210">
        <v>-32</v>
      </c>
      <c r="D55" s="210">
        <v>-10</v>
      </c>
      <c r="E55" s="210">
        <v>-28</v>
      </c>
      <c r="F55" s="210">
        <v>-50</v>
      </c>
      <c r="G55" s="210">
        <v>-37</v>
      </c>
      <c r="H55" s="210">
        <v>15</v>
      </c>
    </row>
    <row r="56" spans="1:8" x14ac:dyDescent="0.25">
      <c r="A56" s="6">
        <f ca="1">IFERROR(__xludf.DUMMYFUNCTION("""COMPUTED_VALUE"""),43945)</f>
        <v>43945</v>
      </c>
      <c r="C56" s="210">
        <v>-49</v>
      </c>
      <c r="D56" s="210">
        <v>-30</v>
      </c>
      <c r="E56" s="210">
        <v>-45</v>
      </c>
      <c r="F56" s="210">
        <v>-64</v>
      </c>
      <c r="G56" s="210">
        <v>-43</v>
      </c>
      <c r="H56" s="210">
        <v>22</v>
      </c>
    </row>
    <row r="57" spans="1:8" x14ac:dyDescent="0.25">
      <c r="A57" s="6">
        <f ca="1">IFERROR(__xludf.DUMMYFUNCTION("""COMPUTED_VALUE"""),43946)</f>
        <v>43946</v>
      </c>
      <c r="C57" s="210">
        <v>-50</v>
      </c>
      <c r="D57" s="210">
        <v>-29</v>
      </c>
      <c r="E57" s="210">
        <v>-53</v>
      </c>
      <c r="F57" s="210">
        <v>-64</v>
      </c>
      <c r="G57" s="210">
        <v>-30</v>
      </c>
      <c r="H57" s="210">
        <v>19</v>
      </c>
    </row>
    <row r="58" spans="1:8" x14ac:dyDescent="0.25">
      <c r="A58" s="6">
        <f ca="1">IFERROR(__xludf.DUMMYFUNCTION("""COMPUTED_VALUE"""),43947)</f>
        <v>43947</v>
      </c>
      <c r="C58" s="210">
        <v>-53</v>
      </c>
      <c r="D58" s="210">
        <v>-34</v>
      </c>
      <c r="E58" s="210">
        <v>-58</v>
      </c>
      <c r="F58" s="210">
        <v>-68</v>
      </c>
      <c r="G58" s="210">
        <v>-18</v>
      </c>
      <c r="H58" s="210">
        <v>18</v>
      </c>
    </row>
    <row r="59" spans="1:8" x14ac:dyDescent="0.25">
      <c r="A59" s="6">
        <f ca="1">IFERROR(__xludf.DUMMYFUNCTION("""COMPUTED_VALUE"""),43948)</f>
        <v>43948</v>
      </c>
      <c r="C59" s="210">
        <v>-43</v>
      </c>
      <c r="D59" s="210">
        <v>-28</v>
      </c>
      <c r="E59" s="210">
        <v>-38</v>
      </c>
      <c r="F59" s="210">
        <v>-62</v>
      </c>
      <c r="G59" s="210">
        <v>-36</v>
      </c>
      <c r="H59" s="210">
        <v>19</v>
      </c>
    </row>
    <row r="60" spans="1:8" x14ac:dyDescent="0.25">
      <c r="A60" s="6">
        <f ca="1">IFERROR(__xludf.DUMMYFUNCTION("""COMPUTED_VALUE"""),43949)</f>
        <v>43949</v>
      </c>
      <c r="C60" s="210">
        <v>-43</v>
      </c>
      <c r="D60" s="210">
        <v>-26</v>
      </c>
      <c r="E60" s="210">
        <v>-38</v>
      </c>
      <c r="F60" s="210">
        <v>-61</v>
      </c>
      <c r="G60" s="210">
        <v>-38</v>
      </c>
      <c r="H60" s="210">
        <v>18</v>
      </c>
    </row>
    <row r="61" spans="1:8" x14ac:dyDescent="0.25">
      <c r="A61" s="6">
        <f ca="1">IFERROR(__xludf.DUMMYFUNCTION("""COMPUTED_VALUE"""),43950)</f>
        <v>43950</v>
      </c>
      <c r="C61" s="210">
        <v>-42</v>
      </c>
      <c r="D61" s="210">
        <v>-24</v>
      </c>
      <c r="E61" s="210">
        <v>-36</v>
      </c>
      <c r="F61" s="210">
        <v>-60</v>
      </c>
      <c r="G61" s="210">
        <v>-37</v>
      </c>
      <c r="H61" s="210">
        <v>18</v>
      </c>
    </row>
    <row r="62" spans="1:8" x14ac:dyDescent="0.25">
      <c r="A62" s="6">
        <f ca="1">IFERROR(__xludf.DUMMYFUNCTION("""COMPUTED_VALUE"""),43951)</f>
        <v>43951</v>
      </c>
      <c r="C62" s="210">
        <v>-40</v>
      </c>
      <c r="D62" s="210">
        <v>-19</v>
      </c>
      <c r="E62" s="210">
        <v>-35</v>
      </c>
      <c r="F62" s="210">
        <v>-58</v>
      </c>
      <c r="G62" s="210">
        <v>-36</v>
      </c>
      <c r="H62" s="210">
        <v>18</v>
      </c>
    </row>
    <row r="63" spans="1:8" x14ac:dyDescent="0.25">
      <c r="A63" s="6">
        <f ca="1">IFERROR(__xludf.DUMMYFUNCTION("""COMPUTED_VALUE"""),43952)</f>
        <v>43952</v>
      </c>
      <c r="C63" s="210">
        <v>-44</v>
      </c>
      <c r="D63" s="210">
        <v>-23</v>
      </c>
      <c r="E63" s="210">
        <v>-42</v>
      </c>
      <c r="F63" s="210">
        <v>-67</v>
      </c>
      <c r="G63" s="210">
        <v>-59</v>
      </c>
      <c r="H63" s="210">
        <v>25</v>
      </c>
    </row>
    <row r="64" spans="1:8" x14ac:dyDescent="0.25">
      <c r="A64" s="6">
        <f ca="1">IFERROR(__xludf.DUMMYFUNCTION("""COMPUTED_VALUE"""),43953)</f>
        <v>43953</v>
      </c>
      <c r="C64" s="210">
        <v>-46</v>
      </c>
      <c r="D64" s="210">
        <v>-24</v>
      </c>
      <c r="E64" s="210">
        <v>-50</v>
      </c>
      <c r="F64" s="210">
        <v>-62</v>
      </c>
      <c r="G64" s="210">
        <v>-28</v>
      </c>
      <c r="H64" s="210">
        <v>18</v>
      </c>
    </row>
    <row r="65" spans="1:8" x14ac:dyDescent="0.25">
      <c r="A65" s="6">
        <f ca="1">IFERROR(__xludf.DUMMYFUNCTION("""COMPUTED_VALUE"""),43954)</f>
        <v>43954</v>
      </c>
      <c r="C65" s="210">
        <v>-48</v>
      </c>
      <c r="D65" s="210">
        <v>-28</v>
      </c>
      <c r="E65" s="210">
        <v>-55</v>
      </c>
      <c r="F65" s="210">
        <v>-65</v>
      </c>
      <c r="G65" s="210">
        <v>-14</v>
      </c>
      <c r="H65" s="210">
        <v>17</v>
      </c>
    </row>
    <row r="66" spans="1:8" x14ac:dyDescent="0.25">
      <c r="A66" s="6">
        <f ca="1">IFERROR(__xludf.DUMMYFUNCTION("""COMPUTED_VALUE"""),43955)</f>
        <v>43955</v>
      </c>
      <c r="C66" s="210">
        <v>-38</v>
      </c>
      <c r="D66" s="210">
        <v>-21</v>
      </c>
      <c r="E66" s="210">
        <v>-34</v>
      </c>
      <c r="F66" s="210">
        <v>-60</v>
      </c>
      <c r="G66" s="210">
        <v>-35</v>
      </c>
      <c r="H66" s="210">
        <v>18</v>
      </c>
    </row>
    <row r="67" spans="1:8" x14ac:dyDescent="0.25">
      <c r="A67" s="6">
        <f ca="1">IFERROR(__xludf.DUMMYFUNCTION("""COMPUTED_VALUE"""),43956)</f>
        <v>43956</v>
      </c>
      <c r="C67" s="210">
        <v>-39</v>
      </c>
      <c r="D67" s="210">
        <v>-19</v>
      </c>
      <c r="E67" s="210">
        <v>-34</v>
      </c>
      <c r="F67" s="210">
        <v>-58</v>
      </c>
      <c r="G67" s="210">
        <v>-36</v>
      </c>
      <c r="H67" s="210">
        <v>18</v>
      </c>
    </row>
    <row r="68" spans="1:8" x14ac:dyDescent="0.25">
      <c r="A68" s="6">
        <f ca="1">IFERROR(__xludf.DUMMYFUNCTION("""COMPUTED_VALUE"""),43957)</f>
        <v>43957</v>
      </c>
      <c r="C68" s="210">
        <v>-38</v>
      </c>
      <c r="D68" s="210">
        <v>-18</v>
      </c>
      <c r="E68" s="210">
        <v>-33</v>
      </c>
      <c r="F68" s="210">
        <v>-58</v>
      </c>
      <c r="G68" s="210">
        <v>-36</v>
      </c>
      <c r="H68" s="210">
        <v>18</v>
      </c>
    </row>
    <row r="69" spans="1:8" x14ac:dyDescent="0.25">
      <c r="A69" s="6">
        <f ca="1">IFERROR(__xludf.DUMMYFUNCTION("""COMPUTED_VALUE"""),43958)</f>
        <v>43958</v>
      </c>
      <c r="C69" s="210">
        <v>-44</v>
      </c>
      <c r="D69" s="210">
        <v>-18</v>
      </c>
      <c r="E69" s="210">
        <v>-37</v>
      </c>
      <c r="F69" s="210">
        <v>-62</v>
      </c>
      <c r="G69" s="210">
        <v>-58</v>
      </c>
      <c r="H69" s="210">
        <v>24</v>
      </c>
    </row>
    <row r="70" spans="1:8" x14ac:dyDescent="0.25">
      <c r="A70" s="6">
        <f ca="1">IFERROR(__xludf.DUMMYFUNCTION("""COMPUTED_VALUE"""),43959)</f>
        <v>43959</v>
      </c>
      <c r="C70" s="210">
        <v>-44</v>
      </c>
      <c r="D70" s="210">
        <v>-19</v>
      </c>
      <c r="E70" s="210">
        <v>-41</v>
      </c>
      <c r="F70" s="210">
        <v>-59</v>
      </c>
      <c r="G70" s="210">
        <v>-35</v>
      </c>
      <c r="H70" s="210">
        <v>19</v>
      </c>
    </row>
    <row r="71" spans="1:8" x14ac:dyDescent="0.25">
      <c r="A71" s="6">
        <f ca="1">IFERROR(__xludf.DUMMYFUNCTION("""COMPUTED_VALUE"""),43960)</f>
        <v>43960</v>
      </c>
      <c r="C71" s="210">
        <v>-48</v>
      </c>
      <c r="D71" s="210">
        <v>-22</v>
      </c>
      <c r="E71" s="210">
        <v>-52</v>
      </c>
      <c r="F71" s="210">
        <v>-59</v>
      </c>
      <c r="G71" s="210">
        <v>-26</v>
      </c>
      <c r="H71" s="210">
        <v>17</v>
      </c>
    </row>
    <row r="72" spans="1:8" x14ac:dyDescent="0.25">
      <c r="A72" s="6">
        <f ca="1">IFERROR(__xludf.DUMMYFUNCTION("""COMPUTED_VALUE"""),43961)</f>
        <v>43961</v>
      </c>
      <c r="C72" s="210">
        <v>-48</v>
      </c>
      <c r="D72" s="210">
        <v>-23</v>
      </c>
      <c r="E72" s="210">
        <v>-54</v>
      </c>
      <c r="F72" s="210">
        <v>-62</v>
      </c>
      <c r="G72" s="210">
        <v>-12</v>
      </c>
      <c r="H72" s="210">
        <v>16</v>
      </c>
    </row>
    <row r="73" spans="1:8" x14ac:dyDescent="0.25">
      <c r="A73" s="6">
        <f ca="1">IFERROR(__xludf.DUMMYFUNCTION("""COMPUTED_VALUE"""),43962)</f>
        <v>43962</v>
      </c>
      <c r="C73" s="210">
        <v>-39</v>
      </c>
      <c r="D73" s="210">
        <v>-16</v>
      </c>
      <c r="E73" s="210">
        <v>-36</v>
      </c>
      <c r="F73" s="210">
        <v>-56</v>
      </c>
      <c r="G73" s="210">
        <v>-34</v>
      </c>
      <c r="H73" s="210">
        <v>18</v>
      </c>
    </row>
    <row r="74" spans="1:8" x14ac:dyDescent="0.25">
      <c r="A74" s="6">
        <f ca="1">IFERROR(__xludf.DUMMYFUNCTION("""COMPUTED_VALUE"""),43963)</f>
        <v>43963</v>
      </c>
      <c r="C74" s="210">
        <v>-38</v>
      </c>
      <c r="D74" s="210">
        <v>-13</v>
      </c>
      <c r="E74" s="210">
        <v>-33</v>
      </c>
      <c r="F74" s="210">
        <v>-54</v>
      </c>
      <c r="G74" s="210">
        <v>-35</v>
      </c>
      <c r="H74" s="210">
        <v>18</v>
      </c>
    </row>
    <row r="75" spans="1:8" x14ac:dyDescent="0.25">
      <c r="A75" s="6">
        <f ca="1">IFERROR(__xludf.DUMMYFUNCTION("""COMPUTED_VALUE"""),43964)</f>
        <v>43964</v>
      </c>
      <c r="C75" s="210">
        <v>-37</v>
      </c>
      <c r="D75" s="210">
        <v>-12</v>
      </c>
      <c r="E75" s="210">
        <v>-32</v>
      </c>
      <c r="F75" s="210">
        <v>-54</v>
      </c>
      <c r="G75" s="210">
        <v>-34</v>
      </c>
      <c r="H75" s="210">
        <v>17</v>
      </c>
    </row>
    <row r="76" spans="1:8" x14ac:dyDescent="0.25">
      <c r="A76" s="6">
        <f ca="1">IFERROR(__xludf.DUMMYFUNCTION("""COMPUTED_VALUE"""),43965)</f>
        <v>43965</v>
      </c>
      <c r="C76" s="210">
        <v>-36</v>
      </c>
      <c r="D76" s="210">
        <v>-10</v>
      </c>
      <c r="E76" s="210">
        <v>-32</v>
      </c>
      <c r="F76" s="210">
        <v>-53</v>
      </c>
      <c r="G76" s="210">
        <v>-34</v>
      </c>
      <c r="H76" s="210">
        <v>17</v>
      </c>
    </row>
    <row r="77" spans="1:8" x14ac:dyDescent="0.25">
      <c r="A77" s="6">
        <f ca="1">IFERROR(__xludf.DUMMYFUNCTION("""COMPUTED_VALUE"""),43966)</f>
        <v>43966</v>
      </c>
      <c r="C77" s="210">
        <v>-36</v>
      </c>
      <c r="D77" s="210">
        <v>-9</v>
      </c>
      <c r="E77" s="210">
        <v>-34</v>
      </c>
      <c r="F77" s="210">
        <v>-54</v>
      </c>
      <c r="G77" s="210">
        <v>-32</v>
      </c>
      <c r="H77" s="210">
        <v>16</v>
      </c>
    </row>
    <row r="78" spans="1:8" x14ac:dyDescent="0.25">
      <c r="A78" s="6">
        <f ca="1">IFERROR(__xludf.DUMMYFUNCTION("""COMPUTED_VALUE"""),43967)</f>
        <v>43967</v>
      </c>
      <c r="C78" s="210">
        <v>-37</v>
      </c>
      <c r="D78" s="210">
        <v>-8</v>
      </c>
      <c r="E78" s="210">
        <v>-43</v>
      </c>
      <c r="F78" s="210">
        <v>-53</v>
      </c>
      <c r="G78" s="210">
        <v>-22</v>
      </c>
      <c r="H78" s="210">
        <v>15</v>
      </c>
    </row>
    <row r="79" spans="1:8" x14ac:dyDescent="0.25">
      <c r="A79" s="6">
        <f ca="1">IFERROR(__xludf.DUMMYFUNCTION("""COMPUTED_VALUE"""),43968)</f>
        <v>43968</v>
      </c>
      <c r="C79" s="210">
        <v>-40</v>
      </c>
      <c r="D79" s="210">
        <v>-13</v>
      </c>
      <c r="E79" s="210">
        <v>-50</v>
      </c>
      <c r="F79" s="210">
        <v>-57</v>
      </c>
      <c r="G79" s="210">
        <v>-8</v>
      </c>
      <c r="H79" s="210">
        <v>15</v>
      </c>
    </row>
    <row r="80" spans="1:8" x14ac:dyDescent="0.25">
      <c r="A80" s="6">
        <f ca="1">IFERROR(__xludf.DUMMYFUNCTION("""COMPUTED_VALUE"""),43969)</f>
        <v>43969</v>
      </c>
      <c r="C80" s="210">
        <v>-33</v>
      </c>
      <c r="D80" s="210">
        <v>-10</v>
      </c>
      <c r="E80" s="210">
        <v>-32</v>
      </c>
      <c r="F80" s="210">
        <v>-54</v>
      </c>
      <c r="G80" s="210">
        <v>-33</v>
      </c>
      <c r="H80" s="210">
        <v>17</v>
      </c>
    </row>
    <row r="81" spans="1:8" x14ac:dyDescent="0.25">
      <c r="A81" s="6">
        <f ca="1">IFERROR(__xludf.DUMMYFUNCTION("""COMPUTED_VALUE"""),43970)</f>
        <v>43970</v>
      </c>
      <c r="C81" s="210">
        <v>-29</v>
      </c>
      <c r="D81" s="210">
        <v>1</v>
      </c>
      <c r="E81" s="210">
        <v>-27</v>
      </c>
      <c r="F81" s="210">
        <v>-48</v>
      </c>
      <c r="G81" s="210">
        <v>-34</v>
      </c>
      <c r="H81" s="210">
        <v>16</v>
      </c>
    </row>
    <row r="82" spans="1:8" x14ac:dyDescent="0.25">
      <c r="A82" s="6">
        <f ca="1">IFERROR(__xludf.DUMMYFUNCTION("""COMPUTED_VALUE"""),43971)</f>
        <v>43971</v>
      </c>
      <c r="C82" s="210">
        <v>-26</v>
      </c>
      <c r="D82" s="210">
        <v>3</v>
      </c>
      <c r="E82" s="210">
        <v>-24</v>
      </c>
      <c r="F82" s="210">
        <v>-47</v>
      </c>
      <c r="G82" s="210">
        <v>-34</v>
      </c>
      <c r="H82" s="210">
        <v>16</v>
      </c>
    </row>
    <row r="83" spans="1:8" x14ac:dyDescent="0.25">
      <c r="A83" s="6">
        <f ca="1">IFERROR(__xludf.DUMMYFUNCTION("""COMPUTED_VALUE"""),43972)</f>
        <v>43972</v>
      </c>
      <c r="C83" s="210">
        <v>-24</v>
      </c>
      <c r="D83" s="210">
        <v>12</v>
      </c>
      <c r="E83" s="210">
        <v>-21</v>
      </c>
      <c r="F83" s="210">
        <v>-47</v>
      </c>
      <c r="G83" s="210">
        <v>-57</v>
      </c>
      <c r="H83" s="210">
        <v>20</v>
      </c>
    </row>
    <row r="84" spans="1:8" x14ac:dyDescent="0.25">
      <c r="A84" s="6">
        <f ca="1">IFERROR(__xludf.DUMMYFUNCTION("""COMPUTED_VALUE"""),43973)</f>
        <v>43973</v>
      </c>
      <c r="C84" s="210">
        <v>-27</v>
      </c>
      <c r="D84" s="210">
        <v>7</v>
      </c>
      <c r="E84" s="210">
        <v>-26</v>
      </c>
      <c r="F84" s="210">
        <v>-49</v>
      </c>
      <c r="G84" s="210">
        <v>-46</v>
      </c>
      <c r="H84" s="210">
        <v>19</v>
      </c>
    </row>
    <row r="85" spans="1:8" x14ac:dyDescent="0.25">
      <c r="A85" s="6">
        <f ca="1">IFERROR(__xludf.DUMMYFUNCTION("""COMPUTED_VALUE"""),43974)</f>
        <v>43974</v>
      </c>
      <c r="C85" s="210">
        <v>-35</v>
      </c>
      <c r="D85" s="210">
        <v>6</v>
      </c>
      <c r="E85" s="210">
        <v>-36</v>
      </c>
      <c r="F85" s="210">
        <v>-49</v>
      </c>
      <c r="G85" s="210">
        <v>-39</v>
      </c>
      <c r="H85" s="210">
        <v>16</v>
      </c>
    </row>
    <row r="86" spans="1:8" x14ac:dyDescent="0.25">
      <c r="A86" s="6">
        <f ca="1">IFERROR(__xludf.DUMMYFUNCTION("""COMPUTED_VALUE"""),43975)</f>
        <v>43975</v>
      </c>
      <c r="C86" s="210">
        <v>-51</v>
      </c>
      <c r="D86" s="210">
        <v>-30</v>
      </c>
      <c r="E86" s="210">
        <v>-45</v>
      </c>
      <c r="F86" s="210">
        <v>-59</v>
      </c>
      <c r="G86" s="210">
        <v>-24</v>
      </c>
      <c r="H86" s="210">
        <v>8</v>
      </c>
    </row>
    <row r="87" spans="1:8" x14ac:dyDescent="0.25">
      <c r="A87" s="6">
        <f ca="1">IFERROR(__xludf.DUMMYFUNCTION("""COMPUTED_VALUE"""),43976)</f>
        <v>43976</v>
      </c>
      <c r="C87" s="210">
        <v>-40</v>
      </c>
      <c r="D87" s="210">
        <v>-17</v>
      </c>
      <c r="E87" s="210">
        <v>-16</v>
      </c>
      <c r="F87" s="210">
        <v>-59</v>
      </c>
      <c r="G87" s="210">
        <v>-70</v>
      </c>
      <c r="H87" s="210">
        <v>19</v>
      </c>
    </row>
    <row r="88" spans="1:8" x14ac:dyDescent="0.25">
      <c r="A88" s="6">
        <f ca="1">IFERROR(__xludf.DUMMYFUNCTION("""COMPUTED_VALUE"""),43977)</f>
        <v>43977</v>
      </c>
      <c r="C88" s="210">
        <v>-36</v>
      </c>
      <c r="D88" s="210">
        <v>-12</v>
      </c>
      <c r="E88" s="210">
        <v>-20</v>
      </c>
      <c r="F88" s="210">
        <v>-54</v>
      </c>
      <c r="G88" s="210">
        <v>-48</v>
      </c>
      <c r="H88" s="210">
        <v>16</v>
      </c>
    </row>
    <row r="89" spans="1:8" x14ac:dyDescent="0.25">
      <c r="A89" s="6">
        <f ca="1">IFERROR(__xludf.DUMMYFUNCTION("""COMPUTED_VALUE"""),43978)</f>
        <v>43978</v>
      </c>
      <c r="C89" s="210">
        <v>-32</v>
      </c>
      <c r="D89" s="210">
        <v>-8</v>
      </c>
      <c r="E89" s="210">
        <v>-20</v>
      </c>
      <c r="F89" s="210">
        <v>-53</v>
      </c>
      <c r="G89" s="210">
        <v>-42</v>
      </c>
      <c r="H89" s="210">
        <v>16</v>
      </c>
    </row>
    <row r="90" spans="1:8" x14ac:dyDescent="0.25">
      <c r="A90" s="6">
        <f ca="1">IFERROR(__xludf.DUMMYFUNCTION("""COMPUTED_VALUE"""),43979)</f>
        <v>43979</v>
      </c>
      <c r="C90" s="210">
        <v>-32</v>
      </c>
      <c r="D90" s="210">
        <v>-8</v>
      </c>
      <c r="E90" s="210">
        <v>-23</v>
      </c>
      <c r="F90" s="210">
        <v>-52</v>
      </c>
      <c r="G90" s="210">
        <v>-38</v>
      </c>
      <c r="H90" s="210">
        <v>16</v>
      </c>
    </row>
    <row r="91" spans="1:8" x14ac:dyDescent="0.25">
      <c r="A91" s="6">
        <f ca="1">IFERROR(__xludf.DUMMYFUNCTION("""COMPUTED_VALUE"""),43980)</f>
        <v>43980</v>
      </c>
      <c r="C91" s="210">
        <v>-33</v>
      </c>
      <c r="D91" s="210">
        <v>-11</v>
      </c>
      <c r="E91" s="210">
        <v>-30</v>
      </c>
      <c r="F91" s="210">
        <v>-55</v>
      </c>
      <c r="G91" s="210">
        <v>-35</v>
      </c>
      <c r="H91" s="210">
        <v>17</v>
      </c>
    </row>
    <row r="92" spans="1:8" x14ac:dyDescent="0.25">
      <c r="A92" s="6">
        <f ca="1">IFERROR(__xludf.DUMMYFUNCTION("""COMPUTED_VALUE"""),43981)</f>
        <v>43981</v>
      </c>
      <c r="C92" s="210">
        <v>-37</v>
      </c>
      <c r="D92" s="210">
        <v>-11</v>
      </c>
      <c r="E92" s="210">
        <v>-37</v>
      </c>
      <c r="F92" s="210">
        <v>-53</v>
      </c>
      <c r="G92" s="210">
        <v>-23</v>
      </c>
      <c r="H92" s="210">
        <v>14</v>
      </c>
    </row>
    <row r="93" spans="1:8" x14ac:dyDescent="0.25">
      <c r="A93" s="6">
        <f ca="1">IFERROR(__xludf.DUMMYFUNCTION("""COMPUTED_VALUE"""),43982)</f>
        <v>43982</v>
      </c>
      <c r="B93" s="212"/>
      <c r="C93" s="210">
        <v>-37</v>
      </c>
      <c r="D93" s="210">
        <v>-13</v>
      </c>
      <c r="E93" s="210">
        <v>-38</v>
      </c>
      <c r="F93" s="210">
        <v>-54</v>
      </c>
      <c r="G93" s="210">
        <v>-5</v>
      </c>
      <c r="H93" s="210">
        <v>12</v>
      </c>
    </row>
    <row r="94" spans="1:8" x14ac:dyDescent="0.25">
      <c r="A94" s="6">
        <f ca="1">IFERROR(__xludf.DUMMYFUNCTION("""COMPUTED_VALUE"""),43983)</f>
        <v>43983</v>
      </c>
      <c r="B94" s="212">
        <v>0</v>
      </c>
      <c r="C94" s="210">
        <v>-28</v>
      </c>
      <c r="D94" s="210">
        <v>-7</v>
      </c>
      <c r="E94" s="210">
        <v>-17</v>
      </c>
      <c r="F94" s="210">
        <v>-54</v>
      </c>
      <c r="G94" s="210">
        <v>-56</v>
      </c>
      <c r="H94" s="210">
        <v>20</v>
      </c>
    </row>
    <row r="95" spans="1:8" x14ac:dyDescent="0.25">
      <c r="A95" s="6">
        <f ca="1">IFERROR(__xludf.DUMMYFUNCTION("""COMPUTED_VALUE"""),43984)</f>
        <v>43984</v>
      </c>
      <c r="B95" s="212">
        <v>0</v>
      </c>
      <c r="C95" s="210">
        <v>-27</v>
      </c>
      <c r="D95" s="210">
        <v>-4</v>
      </c>
      <c r="E95" s="210">
        <v>-22</v>
      </c>
      <c r="F95" s="210">
        <v>-46</v>
      </c>
      <c r="G95" s="210">
        <v>-28</v>
      </c>
      <c r="H95" s="210">
        <v>13</v>
      </c>
    </row>
    <row r="96" spans="1:8" x14ac:dyDescent="0.25">
      <c r="A96" s="6">
        <f ca="1">IFERROR(__xludf.DUMMYFUNCTION("""COMPUTED_VALUE"""),43985)</f>
        <v>43985</v>
      </c>
      <c r="B96" s="212">
        <v>0.2</v>
      </c>
      <c r="C96" s="210">
        <v>-27</v>
      </c>
      <c r="D96" s="210">
        <v>-4</v>
      </c>
      <c r="E96" s="210">
        <v>-21</v>
      </c>
      <c r="F96" s="210">
        <v>-47</v>
      </c>
      <c r="G96" s="210">
        <v>-29</v>
      </c>
      <c r="H96" s="210">
        <v>14</v>
      </c>
    </row>
    <row r="97" spans="1:8" x14ac:dyDescent="0.25">
      <c r="A97" s="6">
        <f ca="1">IFERROR(__xludf.DUMMYFUNCTION("""COMPUTED_VALUE"""),43986)</f>
        <v>43986</v>
      </c>
      <c r="B97" s="212">
        <v>0</v>
      </c>
      <c r="C97" s="210">
        <v>-27</v>
      </c>
      <c r="D97" s="210">
        <v>-5</v>
      </c>
      <c r="E97" s="210">
        <v>-22</v>
      </c>
      <c r="F97" s="210">
        <v>-47</v>
      </c>
      <c r="G97" s="210">
        <v>-28</v>
      </c>
      <c r="H97" s="210">
        <v>14</v>
      </c>
    </row>
    <row r="98" spans="1:8" x14ac:dyDescent="0.25">
      <c r="A98" s="6">
        <f ca="1">IFERROR(__xludf.DUMMYFUNCTION("""COMPUTED_VALUE"""),43987)</f>
        <v>43987</v>
      </c>
      <c r="B98" s="212">
        <v>0.1111111111111111</v>
      </c>
      <c r="C98" s="210">
        <v>-30</v>
      </c>
      <c r="D98" s="210">
        <v>-9</v>
      </c>
      <c r="E98" s="210">
        <v>-29</v>
      </c>
      <c r="F98" s="210">
        <v>-50</v>
      </c>
      <c r="G98" s="210">
        <v>-26</v>
      </c>
      <c r="H98" s="210">
        <v>15</v>
      </c>
    </row>
    <row r="99" spans="1:8" x14ac:dyDescent="0.25">
      <c r="A99" s="6">
        <f ca="1">IFERROR(__xludf.DUMMYFUNCTION("""COMPUTED_VALUE"""),43988)</f>
        <v>43988</v>
      </c>
      <c r="B99" s="212">
        <v>0</v>
      </c>
      <c r="C99" s="210">
        <v>-31</v>
      </c>
      <c r="D99" s="210">
        <v>-8</v>
      </c>
      <c r="E99" s="210">
        <v>-34</v>
      </c>
      <c r="F99" s="210">
        <v>-48</v>
      </c>
      <c r="G99" s="210">
        <v>-16</v>
      </c>
      <c r="H99" s="210">
        <v>13</v>
      </c>
    </row>
    <row r="100" spans="1:8" x14ac:dyDescent="0.25">
      <c r="A100" s="6">
        <f ca="1">IFERROR(__xludf.DUMMYFUNCTION("""COMPUTED_VALUE"""),43989)</f>
        <v>43989</v>
      </c>
      <c r="B100" s="212">
        <v>0</v>
      </c>
      <c r="C100" s="210">
        <v>-32</v>
      </c>
      <c r="D100" s="210">
        <v>-10</v>
      </c>
      <c r="E100" s="210">
        <v>-33</v>
      </c>
      <c r="F100" s="210">
        <v>-50</v>
      </c>
      <c r="G100" s="210">
        <v>-3</v>
      </c>
      <c r="H100" s="210">
        <v>11</v>
      </c>
    </row>
    <row r="101" spans="1:8" x14ac:dyDescent="0.25">
      <c r="A101" s="6">
        <f ca="1">IFERROR(__xludf.DUMMYFUNCTION("""COMPUTED_VALUE"""),43990)</f>
        <v>43990</v>
      </c>
      <c r="B101" s="212">
        <v>0</v>
      </c>
      <c r="C101" s="210">
        <v>-24</v>
      </c>
      <c r="D101" s="210">
        <v>-6</v>
      </c>
      <c r="E101" s="210">
        <v>-22</v>
      </c>
      <c r="F101" s="210">
        <v>-46</v>
      </c>
      <c r="G101" s="210">
        <v>-24</v>
      </c>
      <c r="H101" s="210">
        <v>13</v>
      </c>
    </row>
    <row r="102" spans="1:8" x14ac:dyDescent="0.25">
      <c r="A102" s="6">
        <f ca="1">IFERROR(__xludf.DUMMYFUNCTION("""COMPUTED_VALUE"""),43991)</f>
        <v>43991</v>
      </c>
      <c r="B102" s="212">
        <v>0.34246575342465752</v>
      </c>
      <c r="C102" s="210">
        <v>-26</v>
      </c>
      <c r="D102" s="210">
        <v>-7</v>
      </c>
      <c r="E102" s="210">
        <v>-22</v>
      </c>
      <c r="F102" s="210">
        <v>-44</v>
      </c>
      <c r="G102" s="210">
        <v>-25</v>
      </c>
      <c r="H102" s="210">
        <v>13</v>
      </c>
    </row>
    <row r="103" spans="1:8" x14ac:dyDescent="0.25">
      <c r="A103" s="6">
        <f ca="1">IFERROR(__xludf.DUMMYFUNCTION("""COMPUTED_VALUE"""),43992)</f>
        <v>43992</v>
      </c>
      <c r="B103" s="212">
        <v>0</v>
      </c>
      <c r="C103" s="210">
        <v>-24</v>
      </c>
      <c r="D103" s="210">
        <v>-4</v>
      </c>
      <c r="E103" s="210">
        <v>-19</v>
      </c>
      <c r="F103" s="210">
        <v>-43</v>
      </c>
      <c r="G103" s="210">
        <v>-25</v>
      </c>
      <c r="H103" s="210">
        <v>13</v>
      </c>
    </row>
    <row r="104" spans="1:8" x14ac:dyDescent="0.25">
      <c r="A104" s="6">
        <f ca="1">IFERROR(__xludf.DUMMYFUNCTION("""COMPUTED_VALUE"""),43993)</f>
        <v>43993</v>
      </c>
      <c r="B104" s="212">
        <v>6.25E-2</v>
      </c>
      <c r="C104" s="210">
        <v>-23</v>
      </c>
      <c r="D104" s="210">
        <v>-5</v>
      </c>
      <c r="E104" s="210">
        <v>-20</v>
      </c>
      <c r="F104" s="210">
        <v>-44</v>
      </c>
      <c r="G104" s="210">
        <v>-25</v>
      </c>
      <c r="H104" s="210">
        <v>14</v>
      </c>
    </row>
    <row r="105" spans="1:8" x14ac:dyDescent="0.25">
      <c r="A105" s="6">
        <f ca="1">IFERROR(__xludf.DUMMYFUNCTION("""COMPUTED_VALUE"""),43994)</f>
        <v>43994</v>
      </c>
      <c r="B105" s="212">
        <v>0.4107142857142857</v>
      </c>
      <c r="C105" s="210">
        <v>-26</v>
      </c>
      <c r="D105" s="210">
        <v>-9</v>
      </c>
      <c r="E105" s="210">
        <v>-26</v>
      </c>
      <c r="F105" s="210">
        <v>-46</v>
      </c>
      <c r="G105" s="210">
        <v>-23</v>
      </c>
      <c r="H105" s="210">
        <v>14</v>
      </c>
    </row>
    <row r="106" spans="1:8" x14ac:dyDescent="0.25">
      <c r="A106" s="6">
        <f ca="1">IFERROR(__xludf.DUMMYFUNCTION("""COMPUTED_VALUE"""),43995)</f>
        <v>43995</v>
      </c>
      <c r="B106" s="212">
        <v>0.33333333333333331</v>
      </c>
      <c r="C106" s="210">
        <v>-28</v>
      </c>
      <c r="D106" s="210">
        <v>-8</v>
      </c>
      <c r="E106" s="210">
        <v>-30</v>
      </c>
      <c r="F106" s="210">
        <v>-44</v>
      </c>
      <c r="G106" s="210">
        <v>-14</v>
      </c>
      <c r="H106" s="210">
        <v>12</v>
      </c>
    </row>
    <row r="107" spans="1:8" x14ac:dyDescent="0.25">
      <c r="A107" s="6">
        <f ca="1">IFERROR(__xludf.DUMMYFUNCTION("""COMPUTED_VALUE"""),43996)</f>
        <v>43996</v>
      </c>
      <c r="B107" s="212">
        <v>6.8181818181818177E-2</v>
      </c>
      <c r="C107" s="210">
        <v>-29</v>
      </c>
      <c r="D107" s="210">
        <v>-10</v>
      </c>
      <c r="E107" s="210">
        <v>-27</v>
      </c>
      <c r="F107" s="210">
        <v>-46</v>
      </c>
      <c r="G107" s="210">
        <v>-1</v>
      </c>
      <c r="H107" s="210">
        <v>10</v>
      </c>
    </row>
    <row r="108" spans="1:8" x14ac:dyDescent="0.25">
      <c r="A108" s="6">
        <f ca="1">IFERROR(__xludf.DUMMYFUNCTION("""COMPUTED_VALUE"""),43997)</f>
        <v>43997</v>
      </c>
      <c r="B108" s="212">
        <v>0.36585365853658536</v>
      </c>
      <c r="C108" s="210">
        <v>-21</v>
      </c>
      <c r="D108" s="210">
        <v>-6</v>
      </c>
      <c r="E108" s="210">
        <v>-21</v>
      </c>
      <c r="F108" s="210">
        <v>-42</v>
      </c>
      <c r="G108" s="210">
        <v>-23</v>
      </c>
      <c r="H108" s="210">
        <v>13</v>
      </c>
    </row>
    <row r="109" spans="1:8" x14ac:dyDescent="0.25">
      <c r="A109" s="6">
        <f ca="1">IFERROR(__xludf.DUMMYFUNCTION("""COMPUTED_VALUE"""),43998)</f>
        <v>43998</v>
      </c>
      <c r="B109" s="212">
        <v>4.2553191489361701E-2</v>
      </c>
      <c r="C109" s="210">
        <v>-22</v>
      </c>
      <c r="D109" s="210">
        <v>-5</v>
      </c>
      <c r="E109" s="210">
        <v>-19</v>
      </c>
      <c r="F109" s="210">
        <v>-40</v>
      </c>
      <c r="G109" s="210">
        <v>-24</v>
      </c>
      <c r="H109" s="210">
        <v>12</v>
      </c>
    </row>
    <row r="110" spans="1:8" x14ac:dyDescent="0.25">
      <c r="A110" s="6">
        <f ca="1">IFERROR(__xludf.DUMMYFUNCTION("""COMPUTED_VALUE"""),43999)</f>
        <v>43999</v>
      </c>
      <c r="B110" s="212">
        <v>0.25</v>
      </c>
      <c r="C110" s="210">
        <v>-22</v>
      </c>
      <c r="D110" s="210">
        <v>-5</v>
      </c>
      <c r="E110" s="210">
        <v>-19</v>
      </c>
      <c r="F110" s="210">
        <v>-40</v>
      </c>
      <c r="G110" s="210">
        <v>-24</v>
      </c>
      <c r="H110" s="210">
        <v>12</v>
      </c>
    </row>
    <row r="111" spans="1:8" x14ac:dyDescent="0.25">
      <c r="A111" s="6">
        <f ca="1">IFERROR(__xludf.DUMMYFUNCTION("""COMPUTED_VALUE"""),44000)</f>
        <v>44000</v>
      </c>
      <c r="B111" s="212">
        <v>0.2878787878787879</v>
      </c>
      <c r="C111" s="210">
        <v>-22</v>
      </c>
      <c r="D111" s="210">
        <v>-7</v>
      </c>
      <c r="E111" s="210">
        <v>-21</v>
      </c>
      <c r="F111" s="210">
        <v>-41</v>
      </c>
      <c r="G111" s="210">
        <v>-24</v>
      </c>
      <c r="H111" s="210">
        <v>12</v>
      </c>
    </row>
    <row r="112" spans="1:8" x14ac:dyDescent="0.25">
      <c r="A112" s="6">
        <f ca="1">IFERROR(__xludf.DUMMYFUNCTION("""COMPUTED_VALUE"""),44001)</f>
        <v>44001</v>
      </c>
      <c r="B112" s="212">
        <v>0.31168831168831168</v>
      </c>
      <c r="C112" s="210">
        <v>-24</v>
      </c>
      <c r="D112" s="210">
        <v>-10</v>
      </c>
      <c r="E112" s="210">
        <v>-26</v>
      </c>
      <c r="F112" s="210">
        <v>-43</v>
      </c>
      <c r="G112" s="210">
        <v>-23</v>
      </c>
      <c r="H112" s="210">
        <v>13</v>
      </c>
    </row>
    <row r="113" spans="1:8" x14ac:dyDescent="0.25">
      <c r="A113" s="6">
        <f ca="1">IFERROR(__xludf.DUMMYFUNCTION("""COMPUTED_VALUE"""),44002)</f>
        <v>44002</v>
      </c>
      <c r="B113" s="212">
        <v>0.10169491525423729</v>
      </c>
      <c r="C113" s="210">
        <v>-25</v>
      </c>
      <c r="D113" s="210">
        <v>-7</v>
      </c>
      <c r="E113" s="210">
        <v>-28</v>
      </c>
      <c r="F113" s="210">
        <v>-41</v>
      </c>
      <c r="G113" s="210">
        <v>-13</v>
      </c>
      <c r="H113" s="210">
        <v>10</v>
      </c>
    </row>
    <row r="114" spans="1:8" x14ac:dyDescent="0.25">
      <c r="A114" s="6">
        <f ca="1">IFERROR(__xludf.DUMMYFUNCTION("""COMPUTED_VALUE"""),44003)</f>
        <v>44003</v>
      </c>
      <c r="B114" s="212">
        <v>0.36722689075630255</v>
      </c>
      <c r="C114" s="210">
        <v>-28</v>
      </c>
      <c r="D114" s="210">
        <v>-11</v>
      </c>
      <c r="E114" s="210">
        <v>-26</v>
      </c>
      <c r="F114" s="210">
        <v>-43</v>
      </c>
      <c r="G114" s="210">
        <v>-1</v>
      </c>
      <c r="H114" s="210">
        <v>10</v>
      </c>
    </row>
    <row r="115" spans="1:8" x14ac:dyDescent="0.25">
      <c r="A115" s="6">
        <f ca="1">IFERROR(__xludf.DUMMYFUNCTION("""COMPUTED_VALUE"""),44004)</f>
        <v>44004</v>
      </c>
      <c r="B115" s="212">
        <v>0.24022346368715083</v>
      </c>
      <c r="C115" s="210">
        <v>-21</v>
      </c>
      <c r="D115" s="210">
        <v>-8</v>
      </c>
      <c r="E115" s="210">
        <v>-20</v>
      </c>
      <c r="F115" s="210">
        <v>-41</v>
      </c>
      <c r="G115" s="210">
        <v>-25</v>
      </c>
      <c r="H115" s="210">
        <v>13</v>
      </c>
    </row>
    <row r="116" spans="1:8" x14ac:dyDescent="0.25">
      <c r="A116" s="6">
        <f ca="1">IFERROR(__xludf.DUMMYFUNCTION("""COMPUTED_VALUE"""),44005)</f>
        <v>44005</v>
      </c>
      <c r="B116" s="212">
        <v>0.42091152815013405</v>
      </c>
      <c r="C116" s="210">
        <v>-22</v>
      </c>
      <c r="D116" s="210">
        <v>-7</v>
      </c>
      <c r="E116" s="210">
        <v>-19</v>
      </c>
      <c r="F116" s="210">
        <v>-39</v>
      </c>
      <c r="G116" s="210">
        <v>-26</v>
      </c>
      <c r="H116" s="210">
        <v>12</v>
      </c>
    </row>
    <row r="117" spans="1:8" x14ac:dyDescent="0.25">
      <c r="A117" s="6">
        <f ca="1">IFERROR(__xludf.DUMMYFUNCTION("""COMPUTED_VALUE"""),44006)</f>
        <v>44006</v>
      </c>
      <c r="B117" s="212">
        <v>0.43639921722113501</v>
      </c>
      <c r="C117" s="210">
        <v>-22</v>
      </c>
      <c r="D117" s="210">
        <v>-7</v>
      </c>
      <c r="E117" s="210">
        <v>-18</v>
      </c>
      <c r="F117" s="210">
        <v>-39</v>
      </c>
      <c r="G117" s="210">
        <v>-25</v>
      </c>
      <c r="H117" s="210">
        <v>12</v>
      </c>
    </row>
    <row r="118" spans="1:8" x14ac:dyDescent="0.25">
      <c r="A118" s="6">
        <f ca="1">IFERROR(__xludf.DUMMYFUNCTION("""COMPUTED_VALUE"""),44007)</f>
        <v>44007</v>
      </c>
      <c r="B118" s="212">
        <v>0.49267192784667418</v>
      </c>
      <c r="C118" s="210">
        <v>-21</v>
      </c>
      <c r="D118" s="210">
        <v>-4</v>
      </c>
      <c r="E118" s="210">
        <v>-18</v>
      </c>
      <c r="F118" s="210">
        <v>-39</v>
      </c>
      <c r="G118" s="210">
        <v>-25</v>
      </c>
      <c r="H118" s="210">
        <v>12</v>
      </c>
    </row>
    <row r="119" spans="1:8" x14ac:dyDescent="0.25">
      <c r="A119" s="6">
        <f ca="1">IFERROR(__xludf.DUMMYFUNCTION("""COMPUTED_VALUE"""),44008)</f>
        <v>44008</v>
      </c>
      <c r="B119" s="212">
        <v>0.46715328467153283</v>
      </c>
      <c r="C119" s="210">
        <v>-23</v>
      </c>
      <c r="D119" s="210">
        <v>-7</v>
      </c>
      <c r="E119" s="210">
        <v>-24</v>
      </c>
      <c r="F119" s="210">
        <v>-40</v>
      </c>
      <c r="G119" s="210">
        <v>-23</v>
      </c>
      <c r="H119" s="210">
        <v>13</v>
      </c>
    </row>
    <row r="120" spans="1:8" x14ac:dyDescent="0.25">
      <c r="A120" s="6">
        <f ca="1">IFERROR(__xludf.DUMMYFUNCTION("""COMPUTED_VALUE"""),44009)</f>
        <v>44009</v>
      </c>
      <c r="B120" s="212">
        <v>0.4904171364148816</v>
      </c>
      <c r="C120" s="210">
        <v>-23</v>
      </c>
      <c r="D120" s="210">
        <v>-5</v>
      </c>
      <c r="E120" s="210">
        <v>-24</v>
      </c>
      <c r="F120" s="210">
        <v>-37</v>
      </c>
      <c r="G120" s="210">
        <v>-14</v>
      </c>
      <c r="H120" s="210">
        <v>10</v>
      </c>
    </row>
    <row r="121" spans="1:8" x14ac:dyDescent="0.25">
      <c r="A121" s="6">
        <f ca="1">IFERROR(__xludf.DUMMYFUNCTION("""COMPUTED_VALUE"""),44010)</f>
        <v>44010</v>
      </c>
      <c r="B121" s="212">
        <v>0.44582593250444047</v>
      </c>
      <c r="C121" s="210">
        <v>-26</v>
      </c>
      <c r="D121" s="210">
        <v>-8</v>
      </c>
      <c r="E121" s="210">
        <v>-21</v>
      </c>
      <c r="F121" s="210">
        <v>-40</v>
      </c>
      <c r="G121" s="210">
        <v>-1</v>
      </c>
      <c r="H121" s="210">
        <v>9</v>
      </c>
    </row>
    <row r="122" spans="1:8" x14ac:dyDescent="0.25">
      <c r="A122" s="6">
        <f ca="1">IFERROR(__xludf.DUMMYFUNCTION("""COMPUTED_VALUE"""),44011)</f>
        <v>44011</v>
      </c>
      <c r="B122" s="212">
        <v>0.56724367509986684</v>
      </c>
      <c r="C122" s="210">
        <v>-19</v>
      </c>
      <c r="D122" s="210">
        <v>-5</v>
      </c>
      <c r="E122" s="210">
        <v>-16</v>
      </c>
      <c r="F122" s="210">
        <v>-39</v>
      </c>
      <c r="G122" s="210">
        <v>-24</v>
      </c>
      <c r="H122" s="210">
        <v>12</v>
      </c>
    </row>
    <row r="123" spans="1:8" x14ac:dyDescent="0.25">
      <c r="A123" s="6">
        <f ca="1">IFERROR(__xludf.DUMMYFUNCTION("""COMPUTED_VALUE"""),44012)</f>
        <v>44012</v>
      </c>
      <c r="B123" s="212">
        <v>0.46746203904555317</v>
      </c>
      <c r="C123" s="210">
        <v>-17</v>
      </c>
      <c r="D123" s="210">
        <v>0</v>
      </c>
      <c r="E123" s="210">
        <v>-16</v>
      </c>
      <c r="F123" s="210">
        <v>-37</v>
      </c>
      <c r="G123" s="210">
        <v>-24</v>
      </c>
      <c r="H123" s="210">
        <v>11</v>
      </c>
    </row>
    <row r="124" spans="1:8" x14ac:dyDescent="0.25">
      <c r="A124" s="6">
        <f ca="1">IFERROR(__xludf.DUMMYFUNCTION("""COMPUTED_VALUE"""),44013)</f>
        <v>44013</v>
      </c>
      <c r="B124" s="212">
        <v>0.45654250238777461</v>
      </c>
      <c r="C124" s="210">
        <v>-16</v>
      </c>
      <c r="D124" s="210">
        <v>2</v>
      </c>
      <c r="E124" s="210">
        <v>-14</v>
      </c>
      <c r="F124" s="210">
        <v>-36</v>
      </c>
      <c r="G124" s="210">
        <v>-24</v>
      </c>
      <c r="H124" s="210">
        <v>11</v>
      </c>
    </row>
    <row r="125" spans="1:8" x14ac:dyDescent="0.25">
      <c r="A125" s="6">
        <f ca="1">IFERROR(__xludf.DUMMYFUNCTION("""COMPUTED_VALUE"""),44014)</f>
        <v>44014</v>
      </c>
      <c r="B125" s="212">
        <v>0.54782608695652169</v>
      </c>
      <c r="C125" s="210">
        <v>-17</v>
      </c>
      <c r="D125" s="210">
        <v>-1</v>
      </c>
      <c r="E125" s="210">
        <v>-16</v>
      </c>
      <c r="F125" s="210">
        <v>-36</v>
      </c>
      <c r="G125" s="210">
        <v>-25</v>
      </c>
      <c r="H125" s="210">
        <v>12</v>
      </c>
    </row>
    <row r="126" spans="1:8" x14ac:dyDescent="0.25">
      <c r="A126" s="6">
        <f ca="1">IFERROR(__xludf.DUMMYFUNCTION("""COMPUTED_VALUE"""),44015)</f>
        <v>44015</v>
      </c>
      <c r="B126" s="212">
        <v>0.39612807148175727</v>
      </c>
      <c r="C126" s="210">
        <v>-18</v>
      </c>
      <c r="D126" s="210">
        <v>-2</v>
      </c>
      <c r="E126" s="210">
        <v>-19</v>
      </c>
      <c r="F126" s="210">
        <v>-37</v>
      </c>
      <c r="G126" s="210">
        <v>-23</v>
      </c>
      <c r="H126" s="210">
        <v>12</v>
      </c>
    </row>
    <row r="127" spans="1:8" x14ac:dyDescent="0.25">
      <c r="A127" s="6">
        <f ca="1">IFERROR(__xludf.DUMMYFUNCTION("""COMPUTED_VALUE"""),44016)</f>
        <v>44016</v>
      </c>
      <c r="B127" s="212">
        <v>0.36309127248501</v>
      </c>
      <c r="C127" s="210">
        <v>-18</v>
      </c>
      <c r="D127" s="210">
        <v>-1</v>
      </c>
      <c r="E127" s="210">
        <v>-18</v>
      </c>
      <c r="F127" s="210">
        <v>-34</v>
      </c>
      <c r="G127" s="210">
        <v>-15</v>
      </c>
      <c r="H127" s="210">
        <v>9</v>
      </c>
    </row>
    <row r="128" spans="1:8" x14ac:dyDescent="0.25">
      <c r="A128" s="6">
        <f ca="1">IFERROR(__xludf.DUMMYFUNCTION("""COMPUTED_VALUE"""),44017)</f>
        <v>44017</v>
      </c>
      <c r="B128" s="212">
        <v>0.25186412593206298</v>
      </c>
      <c r="C128" s="210">
        <v>-20</v>
      </c>
      <c r="D128" s="210">
        <v>-2</v>
      </c>
      <c r="E128" s="210">
        <v>-14</v>
      </c>
      <c r="F128" s="210">
        <v>-35</v>
      </c>
      <c r="G128" s="210">
        <v>-2</v>
      </c>
      <c r="H128" s="210">
        <v>8</v>
      </c>
    </row>
    <row r="129" spans="1:8" x14ac:dyDescent="0.25">
      <c r="A129" s="6">
        <f ca="1">IFERROR(__xludf.DUMMYFUNCTION("""COMPUTED_VALUE"""),44018)</f>
        <v>44018</v>
      </c>
      <c r="B129" s="212">
        <v>0.23932384341637011</v>
      </c>
      <c r="C129" s="210">
        <v>-18</v>
      </c>
      <c r="D129" s="210">
        <v>-4</v>
      </c>
      <c r="E129" s="210">
        <v>-18</v>
      </c>
      <c r="F129" s="210">
        <v>-37</v>
      </c>
      <c r="G129" s="210">
        <v>-25</v>
      </c>
      <c r="H129" s="210">
        <v>12</v>
      </c>
    </row>
    <row r="130" spans="1:8" x14ac:dyDescent="0.25">
      <c r="A130" s="6">
        <f ca="1">IFERROR(__xludf.DUMMYFUNCTION("""COMPUTED_VALUE"""),44019)</f>
        <v>44019</v>
      </c>
      <c r="B130" s="212">
        <v>0.29229963331587216</v>
      </c>
      <c r="C130" s="210">
        <v>-14</v>
      </c>
      <c r="D130" s="210">
        <v>1</v>
      </c>
      <c r="E130" s="210">
        <v>-13</v>
      </c>
      <c r="F130" s="210">
        <v>-33</v>
      </c>
      <c r="G130" s="210">
        <v>-25</v>
      </c>
      <c r="H130" s="210">
        <v>11</v>
      </c>
    </row>
    <row r="131" spans="1:8" x14ac:dyDescent="0.25">
      <c r="A131" s="6">
        <f ca="1">IFERROR(__xludf.DUMMYFUNCTION("""COMPUTED_VALUE"""),44020)</f>
        <v>44020</v>
      </c>
      <c r="B131" s="212">
        <v>0.24814126394052044</v>
      </c>
      <c r="C131" s="210">
        <v>-16</v>
      </c>
      <c r="D131" s="210">
        <v>-2</v>
      </c>
      <c r="E131" s="210">
        <v>-14</v>
      </c>
      <c r="F131" s="210">
        <v>-34</v>
      </c>
      <c r="G131" s="210">
        <v>-24</v>
      </c>
      <c r="H131" s="210">
        <v>11</v>
      </c>
    </row>
    <row r="132" spans="1:8" x14ac:dyDescent="0.25">
      <c r="A132" s="6">
        <f ca="1">IFERROR(__xludf.DUMMYFUNCTION("""COMPUTED_VALUE"""),44021)</f>
        <v>44021</v>
      </c>
      <c r="B132" s="212">
        <v>0.27581459385039009</v>
      </c>
      <c r="C132" s="210">
        <v>-16</v>
      </c>
      <c r="D132" s="210">
        <v>-1</v>
      </c>
      <c r="E132" s="210">
        <v>-15</v>
      </c>
      <c r="F132" s="210">
        <v>-34</v>
      </c>
      <c r="G132" s="210">
        <v>-24</v>
      </c>
      <c r="H132" s="210">
        <v>12</v>
      </c>
    </row>
    <row r="133" spans="1:8" x14ac:dyDescent="0.25">
      <c r="A133" s="6">
        <f ca="1">IFERROR(__xludf.DUMMYFUNCTION("""COMPUTED_VALUE"""),44022)</f>
        <v>44022</v>
      </c>
      <c r="B133" s="212">
        <v>0.26838586437440304</v>
      </c>
      <c r="C133" s="210">
        <v>-18</v>
      </c>
      <c r="D133" s="210">
        <v>-4</v>
      </c>
      <c r="E133" s="210">
        <v>-19</v>
      </c>
      <c r="F133" s="210">
        <v>-36</v>
      </c>
      <c r="G133" s="210">
        <v>-22</v>
      </c>
      <c r="H133" s="210">
        <v>12</v>
      </c>
    </row>
    <row r="134" spans="1:8" x14ac:dyDescent="0.25">
      <c r="A134" s="6">
        <f ca="1">IFERROR(__xludf.DUMMYFUNCTION("""COMPUTED_VALUE"""),44023)</f>
        <v>44023</v>
      </c>
      <c r="B134" s="212">
        <v>0.21866458414681764</v>
      </c>
      <c r="C134" s="210">
        <v>-19</v>
      </c>
      <c r="D134" s="210">
        <v>-2</v>
      </c>
      <c r="E134" s="210">
        <v>-19</v>
      </c>
      <c r="F134" s="210">
        <v>-33</v>
      </c>
      <c r="G134" s="210">
        <v>-12</v>
      </c>
      <c r="H134" s="210">
        <v>9</v>
      </c>
    </row>
    <row r="135" spans="1:8" x14ac:dyDescent="0.25">
      <c r="A135" s="6">
        <f ca="1">IFERROR(__xludf.DUMMYFUNCTION("""COMPUTED_VALUE"""),44024)</f>
        <v>44024</v>
      </c>
      <c r="B135" s="212">
        <v>0.28352300841167738</v>
      </c>
      <c r="C135" s="210">
        <v>-20</v>
      </c>
      <c r="D135" s="210">
        <v>-4</v>
      </c>
      <c r="E135" s="210">
        <v>-16</v>
      </c>
      <c r="F135" s="210">
        <v>-36</v>
      </c>
      <c r="G135" s="210">
        <v>-1</v>
      </c>
      <c r="H135" s="210">
        <v>9</v>
      </c>
    </row>
    <row r="136" spans="1:8" x14ac:dyDescent="0.25">
      <c r="A136" s="6">
        <f ca="1">IFERROR(__xludf.DUMMYFUNCTION("""COMPUTED_VALUE"""),44025)</f>
        <v>44025</v>
      </c>
      <c r="B136" s="212">
        <v>0.28579088471849867</v>
      </c>
      <c r="C136" s="210">
        <v>-16</v>
      </c>
      <c r="D136" s="210">
        <v>-4</v>
      </c>
      <c r="E136" s="210">
        <v>-17</v>
      </c>
      <c r="F136" s="210">
        <v>-37</v>
      </c>
      <c r="G136" s="210">
        <v>-22</v>
      </c>
      <c r="H136" s="210">
        <v>12</v>
      </c>
    </row>
    <row r="137" spans="1:8" x14ac:dyDescent="0.25">
      <c r="A137" s="6">
        <f ca="1">IFERROR(__xludf.DUMMYFUNCTION("""COMPUTED_VALUE"""),44026)</f>
        <v>44026</v>
      </c>
      <c r="B137" s="212">
        <v>0.29060716139076287</v>
      </c>
      <c r="C137" s="210">
        <v>-18</v>
      </c>
      <c r="D137" s="210">
        <v>-5</v>
      </c>
      <c r="E137" s="210">
        <v>-18</v>
      </c>
      <c r="F137" s="210">
        <v>-36</v>
      </c>
      <c r="G137" s="210">
        <v>-23</v>
      </c>
      <c r="H137" s="210">
        <v>12</v>
      </c>
    </row>
    <row r="138" spans="1:8" x14ac:dyDescent="0.25">
      <c r="A138" s="6">
        <f ca="1">IFERROR(__xludf.DUMMYFUNCTION("""COMPUTED_VALUE"""),44027)</f>
        <v>44027</v>
      </c>
      <c r="B138" s="212">
        <v>0.23124722592099423</v>
      </c>
      <c r="C138" s="210">
        <v>-17</v>
      </c>
      <c r="D138" s="210">
        <v>-4</v>
      </c>
      <c r="E138" s="210">
        <v>-17</v>
      </c>
      <c r="F138" s="210">
        <v>-36</v>
      </c>
      <c r="G138" s="210">
        <v>-22</v>
      </c>
      <c r="H138" s="210">
        <v>12</v>
      </c>
    </row>
    <row r="139" spans="1:8" x14ac:dyDescent="0.25">
      <c r="A139" s="6">
        <f ca="1">IFERROR(__xludf.DUMMYFUNCTION("""COMPUTED_VALUE"""),44028)</f>
        <v>44028</v>
      </c>
      <c r="B139" s="212">
        <v>0.26443202979515829</v>
      </c>
      <c r="C139" s="210">
        <v>-17</v>
      </c>
      <c r="D139" s="210">
        <v>-3</v>
      </c>
      <c r="E139" s="210">
        <v>-17</v>
      </c>
      <c r="F139" s="210">
        <v>-35</v>
      </c>
      <c r="G139" s="210">
        <v>-22</v>
      </c>
      <c r="H139" s="210">
        <v>12</v>
      </c>
    </row>
    <row r="140" spans="1:8" x14ac:dyDescent="0.25">
      <c r="A140" s="6">
        <f ca="1">IFERROR(__xludf.DUMMYFUNCTION("""COMPUTED_VALUE"""),44029)</f>
        <v>44029</v>
      </c>
      <c r="B140" s="212">
        <v>0.2748447204968944</v>
      </c>
      <c r="C140" s="210">
        <v>-19</v>
      </c>
      <c r="D140" s="210">
        <v>-6</v>
      </c>
      <c r="E140" s="210">
        <v>-21</v>
      </c>
      <c r="F140" s="210">
        <v>-38</v>
      </c>
      <c r="G140" s="210">
        <v>-21</v>
      </c>
      <c r="H140" s="210">
        <v>13</v>
      </c>
    </row>
    <row r="141" spans="1:8" x14ac:dyDescent="0.25">
      <c r="A141" s="6">
        <f ca="1">IFERROR(__xludf.DUMMYFUNCTION("""COMPUTED_VALUE"""),44030)</f>
        <v>44030</v>
      </c>
      <c r="B141" s="212">
        <v>0.21622734761120263</v>
      </c>
      <c r="C141" s="210">
        <v>-19</v>
      </c>
      <c r="D141" s="210">
        <v>-4</v>
      </c>
      <c r="E141" s="210">
        <v>-21</v>
      </c>
      <c r="F141" s="210">
        <v>-36</v>
      </c>
      <c r="G141" s="210">
        <v>-11</v>
      </c>
      <c r="H141" s="210">
        <v>10</v>
      </c>
    </row>
    <row r="142" spans="1:8" x14ac:dyDescent="0.25">
      <c r="A142" s="6">
        <f ca="1">IFERROR(__xludf.DUMMYFUNCTION("""COMPUTED_VALUE"""),44031)</f>
        <v>44031</v>
      </c>
      <c r="B142" s="212">
        <v>0.20757238307349665</v>
      </c>
      <c r="C142" s="210">
        <v>-21</v>
      </c>
      <c r="D142" s="210">
        <v>-6</v>
      </c>
      <c r="E142" s="210">
        <v>-18</v>
      </c>
      <c r="F142" s="210">
        <v>-38</v>
      </c>
      <c r="G142" s="210">
        <v>0</v>
      </c>
      <c r="H142" s="210">
        <v>9</v>
      </c>
    </row>
    <row r="143" spans="1:8" x14ac:dyDescent="0.25">
      <c r="A143" s="6">
        <f ca="1">IFERROR(__xludf.DUMMYFUNCTION("""COMPUTED_VALUE"""),44032)</f>
        <v>44032</v>
      </c>
      <c r="B143" s="212">
        <v>0.2248270561106841</v>
      </c>
      <c r="C143" s="210">
        <v>-16</v>
      </c>
      <c r="D143" s="210">
        <v>-4</v>
      </c>
      <c r="E143" s="210">
        <v>-17</v>
      </c>
      <c r="F143" s="210">
        <v>-37</v>
      </c>
      <c r="G143" s="210">
        <v>-22</v>
      </c>
      <c r="H143" s="210">
        <v>12</v>
      </c>
    </row>
    <row r="144" spans="1:8" x14ac:dyDescent="0.25">
      <c r="A144" s="6">
        <f ca="1">IFERROR(__xludf.DUMMYFUNCTION("""COMPUTED_VALUE"""),44033)</f>
        <v>44033</v>
      </c>
      <c r="B144" s="212">
        <v>0.18997982515131137</v>
      </c>
      <c r="C144" s="210">
        <v>-18</v>
      </c>
      <c r="D144" s="210">
        <v>-6</v>
      </c>
      <c r="E144" s="210">
        <v>-18</v>
      </c>
      <c r="F144" s="210">
        <v>-36</v>
      </c>
      <c r="G144" s="210">
        <v>-23</v>
      </c>
      <c r="H144" s="210">
        <v>12</v>
      </c>
    </row>
    <row r="145" spans="1:8" x14ac:dyDescent="0.25">
      <c r="A145" s="6">
        <f ca="1">IFERROR(__xludf.DUMMYFUNCTION("""COMPUTED_VALUE"""),44034)</f>
        <v>44034</v>
      </c>
      <c r="B145" s="212">
        <v>0.17496589358799455</v>
      </c>
      <c r="C145" s="210">
        <v>-18</v>
      </c>
      <c r="D145" s="210">
        <v>-6</v>
      </c>
      <c r="E145" s="210">
        <v>-17</v>
      </c>
      <c r="F145" s="210">
        <v>-37</v>
      </c>
      <c r="G145" s="210">
        <v>-22</v>
      </c>
      <c r="H145" s="210">
        <v>12</v>
      </c>
    </row>
    <row r="146" spans="1:8" x14ac:dyDescent="0.25">
      <c r="A146" s="6">
        <f ca="1">IFERROR(__xludf.DUMMYFUNCTION("""COMPUTED_VALUE"""),44035)</f>
        <v>44035</v>
      </c>
      <c r="B146" s="212">
        <v>0.17980211531900375</v>
      </c>
      <c r="C146" s="210">
        <v>-19</v>
      </c>
      <c r="D146" s="210">
        <v>-5</v>
      </c>
      <c r="E146" s="210">
        <v>-18</v>
      </c>
      <c r="F146" s="210">
        <v>-37</v>
      </c>
      <c r="G146" s="210">
        <v>-22</v>
      </c>
      <c r="H146" s="210">
        <v>12</v>
      </c>
    </row>
    <row r="147" spans="1:8" x14ac:dyDescent="0.25">
      <c r="A147" s="6">
        <f ca="1">IFERROR(__xludf.DUMMYFUNCTION("""COMPUTED_VALUE"""),44036)</f>
        <v>44036</v>
      </c>
      <c r="B147" s="212">
        <v>0.16603053435114504</v>
      </c>
      <c r="C147" s="210">
        <v>-19</v>
      </c>
      <c r="D147" s="210">
        <v>-6</v>
      </c>
      <c r="E147" s="210">
        <v>-19</v>
      </c>
      <c r="F147" s="210">
        <v>-37</v>
      </c>
      <c r="G147" s="210">
        <v>-20</v>
      </c>
      <c r="H147" s="210">
        <v>13</v>
      </c>
    </row>
    <row r="148" spans="1:8" x14ac:dyDescent="0.25">
      <c r="A148" s="6">
        <f ca="1">IFERROR(__xludf.DUMMYFUNCTION("""COMPUTED_VALUE"""),44037)</f>
        <v>44037</v>
      </c>
      <c r="B148" s="212">
        <v>0.17768871075484302</v>
      </c>
      <c r="C148" s="210">
        <v>-18</v>
      </c>
      <c r="D148" s="210">
        <v>-2</v>
      </c>
      <c r="E148" s="210">
        <v>-20</v>
      </c>
      <c r="F148" s="210">
        <v>-33</v>
      </c>
      <c r="G148" s="210">
        <v>-12</v>
      </c>
      <c r="H148" s="210">
        <v>10</v>
      </c>
    </row>
    <row r="149" spans="1:8" x14ac:dyDescent="0.25">
      <c r="A149" s="6">
        <f ca="1">IFERROR(__xludf.DUMMYFUNCTION("""COMPUTED_VALUE"""),44038)</f>
        <v>44038</v>
      </c>
      <c r="B149" s="212">
        <v>0.18009868421052633</v>
      </c>
      <c r="C149" s="210">
        <v>-21</v>
      </c>
      <c r="D149" s="210">
        <v>-5</v>
      </c>
      <c r="E149" s="210">
        <v>-18</v>
      </c>
      <c r="F149" s="210">
        <v>-37</v>
      </c>
      <c r="G149" s="210">
        <v>0</v>
      </c>
      <c r="H149" s="210">
        <v>10</v>
      </c>
    </row>
    <row r="150" spans="1:8" x14ac:dyDescent="0.25">
      <c r="A150" s="6">
        <f ca="1">IFERROR(__xludf.DUMMYFUNCTION("""COMPUTED_VALUE"""),44039)</f>
        <v>44039</v>
      </c>
      <c r="B150" s="212">
        <v>0.24328678839957035</v>
      </c>
      <c r="C150" s="210">
        <v>-16</v>
      </c>
      <c r="D150" s="210">
        <v>-3</v>
      </c>
      <c r="E150" s="210">
        <v>-15</v>
      </c>
      <c r="F150" s="210">
        <v>-36</v>
      </c>
      <c r="G150" s="210">
        <v>-22</v>
      </c>
      <c r="H150" s="210">
        <v>12</v>
      </c>
    </row>
    <row r="151" spans="1:8" x14ac:dyDescent="0.25">
      <c r="A151" s="6">
        <f ca="1">IFERROR(__xludf.DUMMYFUNCTION("""COMPUTED_VALUE"""),44040)</f>
        <v>44040</v>
      </c>
      <c r="B151" s="212">
        <v>0.20250086835706843</v>
      </c>
      <c r="C151" s="210">
        <v>-16</v>
      </c>
      <c r="D151" s="210">
        <v>-1</v>
      </c>
      <c r="E151" s="210">
        <v>-15</v>
      </c>
      <c r="F151" s="210">
        <v>-33</v>
      </c>
      <c r="G151" s="210">
        <v>-23</v>
      </c>
      <c r="H151" s="210">
        <v>12</v>
      </c>
    </row>
    <row r="152" spans="1:8" x14ac:dyDescent="0.25">
      <c r="A152" s="6">
        <f ca="1">IFERROR(__xludf.DUMMYFUNCTION("""COMPUTED_VALUE"""),44041)</f>
        <v>44041</v>
      </c>
      <c r="B152" s="212">
        <v>0.15615704937537181</v>
      </c>
      <c r="C152" s="210">
        <v>-14</v>
      </c>
      <c r="D152" s="210">
        <v>3</v>
      </c>
      <c r="E152" s="210">
        <v>-12</v>
      </c>
      <c r="F152" s="210">
        <v>-30</v>
      </c>
      <c r="G152" s="210">
        <v>-24</v>
      </c>
      <c r="H152" s="210">
        <v>12</v>
      </c>
    </row>
    <row r="153" spans="1:8" x14ac:dyDescent="0.25">
      <c r="A153" s="6">
        <f ca="1">IFERROR(__xludf.DUMMYFUNCTION("""COMPUTED_VALUE"""),44042)</f>
        <v>44042</v>
      </c>
      <c r="B153" s="212">
        <v>0.14027603513174405</v>
      </c>
      <c r="C153" s="210">
        <v>-7</v>
      </c>
      <c r="D153" s="210">
        <v>18</v>
      </c>
      <c r="E153" s="210">
        <v>-2</v>
      </c>
      <c r="F153" s="210">
        <v>-20</v>
      </c>
      <c r="G153" s="210">
        <v>-26</v>
      </c>
      <c r="H153" s="210">
        <v>9</v>
      </c>
    </row>
    <row r="154" spans="1:8" x14ac:dyDescent="0.25">
      <c r="A154" s="6">
        <f ca="1">IFERROR(__xludf.DUMMYFUNCTION("""COMPUTED_VALUE"""),44043)</f>
        <v>44043</v>
      </c>
      <c r="B154" s="212">
        <v>0.12881440720360179</v>
      </c>
      <c r="C154" s="210">
        <v>-29</v>
      </c>
      <c r="D154" s="210">
        <v>-13</v>
      </c>
      <c r="E154" s="210">
        <v>-2</v>
      </c>
      <c r="F154" s="210">
        <v>-45</v>
      </c>
      <c r="G154" s="210">
        <v>-62</v>
      </c>
      <c r="H154" s="210">
        <v>18</v>
      </c>
    </row>
    <row r="155" spans="1:8" x14ac:dyDescent="0.25">
      <c r="A155" s="6">
        <f ca="1">IFERROR(__xludf.DUMMYFUNCTION("""COMPUTED_VALUE"""),44044)</f>
        <v>44044</v>
      </c>
      <c r="B155" s="212">
        <v>0.12848513011152415</v>
      </c>
      <c r="C155" s="210">
        <v>-22</v>
      </c>
      <c r="D155" s="210">
        <v>-2</v>
      </c>
      <c r="E155" s="210">
        <v>-8</v>
      </c>
      <c r="F155" s="210">
        <v>-37</v>
      </c>
      <c r="G155" s="210">
        <v>-26</v>
      </c>
      <c r="H155" s="210">
        <v>10</v>
      </c>
    </row>
    <row r="156" spans="1:8" x14ac:dyDescent="0.25">
      <c r="A156" s="6">
        <f ca="1">IFERROR(__xludf.DUMMYFUNCTION("""COMPUTED_VALUE"""),44045)</f>
        <v>44045</v>
      </c>
      <c r="B156" s="212">
        <v>0.14116675839295542</v>
      </c>
      <c r="C156" s="210">
        <v>-20</v>
      </c>
      <c r="D156" s="210">
        <v>-1</v>
      </c>
      <c r="E156" s="210">
        <v>-8</v>
      </c>
      <c r="F156" s="210">
        <v>-29</v>
      </c>
      <c r="G156" s="210">
        <v>-5</v>
      </c>
      <c r="H156" s="210">
        <v>7</v>
      </c>
    </row>
    <row r="157" spans="1:8" x14ac:dyDescent="0.25">
      <c r="A157" s="6">
        <f ca="1">IFERROR(__xludf.DUMMYFUNCTION("""COMPUTED_VALUE"""),44046)</f>
        <v>44046</v>
      </c>
      <c r="B157" s="212">
        <v>0.28883610451306413</v>
      </c>
      <c r="C157" s="210">
        <v>-13</v>
      </c>
      <c r="D157" s="210">
        <v>2</v>
      </c>
      <c r="E157" s="210">
        <v>-6</v>
      </c>
      <c r="F157" s="210">
        <v>-31</v>
      </c>
      <c r="G157" s="210">
        <v>-24</v>
      </c>
      <c r="H157" s="210">
        <v>11</v>
      </c>
    </row>
    <row r="158" spans="1:8" x14ac:dyDescent="0.25">
      <c r="A158" s="6">
        <f ca="1">IFERROR(__xludf.DUMMYFUNCTION("""COMPUTED_VALUE"""),44047)</f>
        <v>44047</v>
      </c>
      <c r="B158" s="212">
        <v>0.16591071854857961</v>
      </c>
      <c r="C158" s="210">
        <v>-14</v>
      </c>
      <c r="D158" s="210">
        <v>2</v>
      </c>
      <c r="E158" s="210">
        <v>-9</v>
      </c>
      <c r="F158" s="210">
        <v>-31</v>
      </c>
      <c r="G158" s="210">
        <v>-24</v>
      </c>
      <c r="H158" s="210">
        <v>11</v>
      </c>
    </row>
    <row r="159" spans="1:8" x14ac:dyDescent="0.25">
      <c r="A159" s="6">
        <f ca="1">IFERROR(__xludf.DUMMYFUNCTION("""COMPUTED_VALUE"""),44048)</f>
        <v>44048</v>
      </c>
      <c r="B159" s="212">
        <v>0.15602655771195098</v>
      </c>
      <c r="C159" s="210">
        <v>-13</v>
      </c>
      <c r="D159" s="210">
        <v>2</v>
      </c>
      <c r="E159" s="210">
        <v>-8</v>
      </c>
      <c r="F159" s="210">
        <v>-32</v>
      </c>
      <c r="G159" s="210">
        <v>-24</v>
      </c>
      <c r="H159" s="210">
        <v>11</v>
      </c>
    </row>
    <row r="160" spans="1:8" x14ac:dyDescent="0.25">
      <c r="A160" s="6">
        <f ca="1">IFERROR(__xludf.DUMMYFUNCTION("""COMPUTED_VALUE"""),44049)</f>
        <v>44049</v>
      </c>
      <c r="B160" s="212">
        <v>0.12348615916955018</v>
      </c>
      <c r="C160" s="210">
        <v>-13</v>
      </c>
      <c r="D160" s="210">
        <v>3</v>
      </c>
      <c r="E160" s="210">
        <v>-8</v>
      </c>
      <c r="F160" s="210">
        <v>-32</v>
      </c>
      <c r="G160" s="210">
        <v>-24</v>
      </c>
      <c r="H160" s="210">
        <v>11</v>
      </c>
    </row>
    <row r="161" spans="1:8" x14ac:dyDescent="0.25">
      <c r="A161" s="6">
        <f ca="1">IFERROR(__xludf.DUMMYFUNCTION("""COMPUTED_VALUE"""),44050)</f>
        <v>44050</v>
      </c>
      <c r="B161" s="212">
        <v>0.24384640630127996</v>
      </c>
      <c r="C161" s="210">
        <v>-15</v>
      </c>
      <c r="D161" s="210">
        <v>-1</v>
      </c>
      <c r="E161" s="210">
        <v>-11</v>
      </c>
      <c r="F161" s="210">
        <v>-33</v>
      </c>
      <c r="G161" s="210">
        <v>-21</v>
      </c>
      <c r="H161" s="210">
        <v>11</v>
      </c>
    </row>
    <row r="162" spans="1:8" x14ac:dyDescent="0.25">
      <c r="A162" s="6">
        <f ca="1">IFERROR(__xludf.DUMMYFUNCTION("""COMPUTED_VALUE"""),44051)</f>
        <v>44051</v>
      </c>
      <c r="B162" s="212">
        <v>0.19416021961567256</v>
      </c>
      <c r="C162" s="210">
        <v>-15</v>
      </c>
      <c r="D162" s="210">
        <v>1</v>
      </c>
      <c r="E162" s="210">
        <v>-12</v>
      </c>
      <c r="F162" s="210">
        <v>-29</v>
      </c>
      <c r="G162" s="210">
        <v>-12</v>
      </c>
      <c r="H162" s="210">
        <v>8</v>
      </c>
    </row>
    <row r="163" spans="1:8" x14ac:dyDescent="0.25">
      <c r="A163" s="6">
        <f ca="1">IFERROR(__xludf.DUMMYFUNCTION("""COMPUTED_VALUE"""),44052)</f>
        <v>44052</v>
      </c>
      <c r="B163" s="212">
        <v>0.16430876147927526</v>
      </c>
      <c r="C163" s="210">
        <v>-17</v>
      </c>
      <c r="D163" s="210">
        <v>-2</v>
      </c>
      <c r="E163" s="210">
        <v>-10</v>
      </c>
      <c r="F163" s="210">
        <v>-32</v>
      </c>
      <c r="G163" s="210">
        <v>-1</v>
      </c>
      <c r="H163" s="210">
        <v>7</v>
      </c>
    </row>
    <row r="164" spans="1:8" x14ac:dyDescent="0.25">
      <c r="A164" s="6">
        <f ca="1">IFERROR(__xludf.DUMMYFUNCTION("""COMPUTED_VALUE"""),44053)</f>
        <v>44053</v>
      </c>
      <c r="B164" s="212">
        <v>0.30786350148367952</v>
      </c>
      <c r="C164" s="210">
        <v>-11</v>
      </c>
      <c r="D164" s="210">
        <v>2</v>
      </c>
      <c r="E164" s="210">
        <v>-6</v>
      </c>
      <c r="F164" s="210">
        <v>-32</v>
      </c>
      <c r="G164" s="210">
        <v>-22</v>
      </c>
      <c r="H164" s="210">
        <v>10</v>
      </c>
    </row>
    <row r="165" spans="1:8" x14ac:dyDescent="0.25">
      <c r="A165" s="6">
        <f ca="1">IFERROR(__xludf.DUMMYFUNCTION("""COMPUTED_VALUE"""),44054)</f>
        <v>44054</v>
      </c>
      <c r="B165" s="212">
        <v>0.19183876586215476</v>
      </c>
      <c r="C165" s="210">
        <v>-15</v>
      </c>
      <c r="D165" s="210">
        <v>-2</v>
      </c>
      <c r="E165" s="210">
        <v>-12</v>
      </c>
      <c r="F165" s="210">
        <v>-32</v>
      </c>
      <c r="G165" s="210">
        <v>-23</v>
      </c>
      <c r="H165" s="210">
        <v>11</v>
      </c>
    </row>
    <row r="166" spans="1:8" x14ac:dyDescent="0.25">
      <c r="A166" s="6">
        <f ca="1">IFERROR(__xludf.DUMMYFUNCTION("""COMPUTED_VALUE"""),44055)</f>
        <v>44055</v>
      </c>
      <c r="B166" s="212">
        <v>0.14126550346857264</v>
      </c>
      <c r="C166" s="210">
        <v>-12</v>
      </c>
      <c r="D166" s="210">
        <v>1</v>
      </c>
      <c r="E166" s="210">
        <v>-7</v>
      </c>
      <c r="F166" s="210">
        <v>-32</v>
      </c>
      <c r="G166" s="210">
        <v>-23</v>
      </c>
      <c r="H166" s="210">
        <v>10</v>
      </c>
    </row>
    <row r="167" spans="1:8" x14ac:dyDescent="0.25">
      <c r="A167" s="6">
        <f ca="1">IFERROR(__xludf.DUMMYFUNCTION("""COMPUTED_VALUE"""),44056)</f>
        <v>44056</v>
      </c>
      <c r="B167" s="212">
        <v>0.15235047994093034</v>
      </c>
      <c r="C167" s="210">
        <v>-15</v>
      </c>
      <c r="D167" s="210">
        <v>-2</v>
      </c>
      <c r="E167" s="210">
        <v>-9</v>
      </c>
      <c r="F167" s="210">
        <v>-33</v>
      </c>
      <c r="G167" s="210">
        <v>-23</v>
      </c>
      <c r="H167" s="210">
        <v>11</v>
      </c>
    </row>
    <row r="168" spans="1:8" x14ac:dyDescent="0.25">
      <c r="A168" s="6">
        <f ca="1">IFERROR(__xludf.DUMMYFUNCTION("""COMPUTED_VALUE"""),44057)</f>
        <v>44057</v>
      </c>
      <c r="B168" s="212">
        <v>0.17879010531471956</v>
      </c>
      <c r="C168" s="210">
        <v>-14</v>
      </c>
      <c r="D168" s="210">
        <v>-1</v>
      </c>
      <c r="E168" s="210">
        <v>-12</v>
      </c>
      <c r="F168" s="210">
        <v>-31</v>
      </c>
      <c r="G168" s="210">
        <v>-21</v>
      </c>
      <c r="H168" s="210">
        <v>11</v>
      </c>
    </row>
    <row r="169" spans="1:8" x14ac:dyDescent="0.25">
      <c r="A169" s="6">
        <f ca="1">IFERROR(__xludf.DUMMYFUNCTION("""COMPUTED_VALUE"""),44058)</f>
        <v>44058</v>
      </c>
      <c r="B169" s="212">
        <v>0.17013980480084409</v>
      </c>
      <c r="C169" s="210">
        <v>-14</v>
      </c>
      <c r="D169" s="210">
        <v>2</v>
      </c>
      <c r="E169" s="210">
        <v>-11</v>
      </c>
      <c r="F169" s="210">
        <v>-24</v>
      </c>
      <c r="G169" s="210">
        <v>-12</v>
      </c>
      <c r="H169" s="210">
        <v>7</v>
      </c>
    </row>
    <row r="170" spans="1:8" x14ac:dyDescent="0.25">
      <c r="A170" s="6">
        <f ca="1">IFERROR(__xludf.DUMMYFUNCTION("""COMPUTED_VALUE"""),44059)</f>
        <v>44059</v>
      </c>
      <c r="B170" s="212">
        <v>0.1824703680598877</v>
      </c>
      <c r="C170" s="210">
        <v>-15</v>
      </c>
      <c r="D170" s="210">
        <v>0</v>
      </c>
      <c r="E170" s="210">
        <v>0</v>
      </c>
      <c r="F170" s="210">
        <v>-30</v>
      </c>
      <c r="G170" s="210">
        <v>-1</v>
      </c>
      <c r="H170" s="210">
        <v>7</v>
      </c>
    </row>
    <row r="171" spans="1:8" x14ac:dyDescent="0.25">
      <c r="A171" s="6">
        <f ca="1">IFERROR(__xludf.DUMMYFUNCTION("""COMPUTED_VALUE"""),44060)</f>
        <v>44060</v>
      </c>
      <c r="B171" s="212">
        <v>0.21863926293408931</v>
      </c>
      <c r="C171" s="210">
        <v>-11</v>
      </c>
      <c r="D171" s="210">
        <v>-2</v>
      </c>
      <c r="E171" s="210">
        <v>32</v>
      </c>
      <c r="F171" s="210">
        <v>-37</v>
      </c>
      <c r="G171" s="210">
        <v>-57</v>
      </c>
      <c r="H171" s="210">
        <v>16</v>
      </c>
    </row>
    <row r="172" spans="1:8" x14ac:dyDescent="0.25">
      <c r="A172" s="6">
        <f ca="1">IFERROR(__xludf.DUMMYFUNCTION("""COMPUTED_VALUE"""),44061)</f>
        <v>44061</v>
      </c>
      <c r="B172" s="212">
        <v>0.17784667418263811</v>
      </c>
      <c r="C172" s="210">
        <v>-14</v>
      </c>
      <c r="D172" s="210">
        <v>0</v>
      </c>
      <c r="E172" s="210">
        <v>-5</v>
      </c>
      <c r="F172" s="210">
        <v>-31</v>
      </c>
      <c r="G172" s="210">
        <v>-22</v>
      </c>
      <c r="H172" s="210">
        <v>10</v>
      </c>
    </row>
    <row r="173" spans="1:8" x14ac:dyDescent="0.25">
      <c r="A173" s="6">
        <f ca="1">IFERROR(__xludf.DUMMYFUNCTION("""COMPUTED_VALUE"""),44062)</f>
        <v>44062</v>
      </c>
      <c r="B173" s="212">
        <v>0.16509900990099011</v>
      </c>
      <c r="C173" s="210">
        <v>-11</v>
      </c>
      <c r="D173" s="210">
        <v>4</v>
      </c>
      <c r="E173" s="210">
        <v>0</v>
      </c>
      <c r="F173" s="210">
        <v>-28</v>
      </c>
      <c r="G173" s="210">
        <v>-22</v>
      </c>
      <c r="H173" s="210">
        <v>9</v>
      </c>
    </row>
    <row r="174" spans="1:8" x14ac:dyDescent="0.25">
      <c r="A174" s="6">
        <f ca="1">IFERROR(__xludf.DUMMYFUNCTION("""COMPUTED_VALUE"""),44063)</f>
        <v>44063</v>
      </c>
      <c r="B174" s="212">
        <v>0.1604970230390888</v>
      </c>
      <c r="C174" s="210">
        <v>-12</v>
      </c>
      <c r="D174" s="210">
        <v>1</v>
      </c>
      <c r="E174" s="210">
        <v>18</v>
      </c>
      <c r="F174" s="210">
        <v>-33</v>
      </c>
      <c r="G174" s="210">
        <v>-53</v>
      </c>
      <c r="H174" s="210">
        <v>16</v>
      </c>
    </row>
    <row r="175" spans="1:8" x14ac:dyDescent="0.25">
      <c r="A175" s="6">
        <f ca="1">IFERROR(__xludf.DUMMYFUNCTION("""COMPUTED_VALUE"""),44064)</f>
        <v>44064</v>
      </c>
      <c r="B175" s="212">
        <v>0.24190130184680594</v>
      </c>
      <c r="C175" s="210">
        <v>-15</v>
      </c>
      <c r="D175" s="210">
        <v>-3</v>
      </c>
      <c r="E175" s="210">
        <v>0</v>
      </c>
      <c r="F175" s="210">
        <v>-38</v>
      </c>
      <c r="G175" s="210">
        <v>-37</v>
      </c>
      <c r="H175" s="210">
        <v>14</v>
      </c>
    </row>
    <row r="176" spans="1:8" x14ac:dyDescent="0.25">
      <c r="A176" s="6">
        <f ca="1">IFERROR(__xludf.DUMMYFUNCTION("""COMPUTED_VALUE"""),44065)</f>
        <v>44065</v>
      </c>
      <c r="B176" s="212">
        <v>0.13296112489660877</v>
      </c>
      <c r="C176" s="210">
        <v>-18</v>
      </c>
      <c r="D176" s="210">
        <v>-5</v>
      </c>
      <c r="E176" s="210">
        <v>-6</v>
      </c>
      <c r="F176" s="210">
        <v>-33</v>
      </c>
      <c r="G176" s="210">
        <v>-13</v>
      </c>
      <c r="H176" s="210">
        <v>9</v>
      </c>
    </row>
    <row r="177" spans="1:8" x14ac:dyDescent="0.25">
      <c r="A177" s="6">
        <f ca="1">IFERROR(__xludf.DUMMYFUNCTION("""COMPUTED_VALUE"""),44066)</f>
        <v>44066</v>
      </c>
      <c r="B177" s="212">
        <v>0.1797550432276657</v>
      </c>
      <c r="C177" s="210">
        <v>-21</v>
      </c>
      <c r="D177" s="210">
        <v>-7</v>
      </c>
      <c r="E177" s="210">
        <v>-9</v>
      </c>
      <c r="F177" s="210">
        <v>-32</v>
      </c>
      <c r="G177" s="210">
        <v>1</v>
      </c>
      <c r="H177" s="210">
        <v>8</v>
      </c>
    </row>
    <row r="178" spans="1:8" x14ac:dyDescent="0.25">
      <c r="A178" s="6">
        <f ca="1">IFERROR(__xludf.DUMMYFUNCTION("""COMPUTED_VALUE"""),44067)</f>
        <v>44067</v>
      </c>
      <c r="B178" s="212">
        <v>0.34005763688760809</v>
      </c>
      <c r="C178" s="210">
        <v>-14</v>
      </c>
      <c r="D178" s="210">
        <v>-3</v>
      </c>
      <c r="E178" s="210">
        <v>-8</v>
      </c>
      <c r="F178" s="210">
        <v>-33</v>
      </c>
      <c r="G178" s="210">
        <v>-20</v>
      </c>
      <c r="H178" s="210">
        <v>11</v>
      </c>
    </row>
    <row r="179" spans="1:8" x14ac:dyDescent="0.25">
      <c r="A179" s="6">
        <f ca="1">IFERROR(__xludf.DUMMYFUNCTION("""COMPUTED_VALUE"""),44068)</f>
        <v>44068</v>
      </c>
      <c r="B179" s="212">
        <v>0.29526578073089699</v>
      </c>
      <c r="C179" s="210">
        <v>-14</v>
      </c>
      <c r="D179" s="210">
        <v>0</v>
      </c>
      <c r="E179" s="210">
        <v>-8</v>
      </c>
      <c r="F179" s="210">
        <v>-32</v>
      </c>
      <c r="G179" s="210">
        <v>-21</v>
      </c>
      <c r="H179" s="210">
        <v>11</v>
      </c>
    </row>
    <row r="180" spans="1:8" x14ac:dyDescent="0.25">
      <c r="A180" s="6">
        <f ca="1">IFERROR(__xludf.DUMMYFUNCTION("""COMPUTED_VALUE"""),44069)</f>
        <v>44069</v>
      </c>
      <c r="B180" s="212">
        <v>0.22486854314877822</v>
      </c>
      <c r="C180" s="210">
        <v>-14</v>
      </c>
      <c r="D180" s="210">
        <v>0</v>
      </c>
      <c r="E180" s="210">
        <v>-7</v>
      </c>
      <c r="F180" s="210">
        <v>-33</v>
      </c>
      <c r="G180" s="210">
        <v>-21</v>
      </c>
      <c r="H180" s="210">
        <v>11</v>
      </c>
    </row>
    <row r="181" spans="1:8" x14ac:dyDescent="0.25">
      <c r="A181" s="6">
        <f ca="1">IFERROR(__xludf.DUMMYFUNCTION("""COMPUTED_VALUE"""),44070)</f>
        <v>44070</v>
      </c>
      <c r="B181" s="212">
        <v>0.19857182092831641</v>
      </c>
      <c r="C181" s="210">
        <v>-13</v>
      </c>
      <c r="D181" s="210">
        <v>2</v>
      </c>
      <c r="E181" s="210">
        <v>-7</v>
      </c>
      <c r="F181" s="210">
        <v>-32</v>
      </c>
      <c r="G181" s="210">
        <v>-21</v>
      </c>
      <c r="H181" s="210">
        <v>11</v>
      </c>
    </row>
    <row r="182" spans="1:8" x14ac:dyDescent="0.25">
      <c r="A182" s="6">
        <f ca="1">IFERROR(__xludf.DUMMYFUNCTION("""COMPUTED_VALUE"""),44071)</f>
        <v>44071</v>
      </c>
      <c r="B182" s="212">
        <v>0.16815578465063002</v>
      </c>
      <c r="C182" s="210">
        <v>-15</v>
      </c>
      <c r="D182" s="210">
        <v>0</v>
      </c>
      <c r="E182" s="210">
        <v>-12</v>
      </c>
      <c r="F182" s="210">
        <v>-33</v>
      </c>
      <c r="G182" s="210">
        <v>-19</v>
      </c>
      <c r="H182" s="210">
        <v>11</v>
      </c>
    </row>
    <row r="183" spans="1:8" x14ac:dyDescent="0.25">
      <c r="A183" s="6">
        <f ca="1">IFERROR(__xludf.DUMMYFUNCTION("""COMPUTED_VALUE"""),44072)</f>
        <v>44072</v>
      </c>
      <c r="B183" s="212">
        <v>0.19922279792746114</v>
      </c>
      <c r="C183" s="210">
        <v>-15</v>
      </c>
      <c r="D183" s="210">
        <v>1</v>
      </c>
      <c r="E183" s="210">
        <v>-12</v>
      </c>
      <c r="F183" s="210">
        <v>-30</v>
      </c>
      <c r="G183" s="210">
        <v>-9</v>
      </c>
      <c r="H183" s="210">
        <v>9</v>
      </c>
    </row>
    <row r="184" spans="1:8" x14ac:dyDescent="0.25">
      <c r="A184" s="6">
        <f ca="1">IFERROR(__xludf.DUMMYFUNCTION("""COMPUTED_VALUE"""),44073)</f>
        <v>44073</v>
      </c>
      <c r="B184" s="212">
        <v>0.15304468626996989</v>
      </c>
      <c r="C184" s="210">
        <v>-15</v>
      </c>
      <c r="D184" s="210">
        <v>1</v>
      </c>
      <c r="E184" s="210">
        <v>-5</v>
      </c>
      <c r="F184" s="210">
        <v>-32</v>
      </c>
      <c r="G184" s="210">
        <v>2</v>
      </c>
      <c r="H184" s="210">
        <v>7</v>
      </c>
    </row>
    <row r="185" spans="1:8" x14ac:dyDescent="0.25">
      <c r="A185" s="6">
        <f ca="1">IFERROR(__xludf.DUMMYFUNCTION("""COMPUTED_VALUE"""),44074)</f>
        <v>44074</v>
      </c>
      <c r="B185" s="212">
        <v>0.20787818603111552</v>
      </c>
      <c r="C185" s="210">
        <v>-12</v>
      </c>
      <c r="D185" s="210">
        <v>2</v>
      </c>
      <c r="E185" s="210">
        <v>-7</v>
      </c>
      <c r="F185" s="210">
        <v>-33</v>
      </c>
      <c r="G185" s="210">
        <v>-20</v>
      </c>
      <c r="H185" s="210">
        <v>11</v>
      </c>
    </row>
    <row r="186" spans="1:8" x14ac:dyDescent="0.25">
      <c r="A186" s="6">
        <f ca="1">IFERROR(__xludf.DUMMYFUNCTION("""COMPUTED_VALUE"""),44075)</f>
        <v>44075</v>
      </c>
      <c r="B186" s="212">
        <v>0.10097847358121331</v>
      </c>
      <c r="C186" s="210">
        <v>-11</v>
      </c>
      <c r="D186" s="210">
        <v>6</v>
      </c>
      <c r="E186" s="210">
        <v>-7</v>
      </c>
      <c r="F186" s="210">
        <v>-31</v>
      </c>
      <c r="G186" s="210">
        <v>-21</v>
      </c>
      <c r="H186" s="210">
        <v>11</v>
      </c>
    </row>
    <row r="187" spans="1:8" x14ac:dyDescent="0.25">
      <c r="A187" s="6">
        <f ca="1">IFERROR(__xludf.DUMMYFUNCTION("""COMPUTED_VALUE"""),44076)</f>
        <v>44076</v>
      </c>
      <c r="B187" s="212">
        <v>5.8684753759952815E-2</v>
      </c>
      <c r="C187" s="210">
        <v>-12</v>
      </c>
      <c r="D187" s="210">
        <v>3</v>
      </c>
      <c r="E187" s="210">
        <v>-7</v>
      </c>
      <c r="F187" s="210">
        <v>-32</v>
      </c>
      <c r="G187" s="210">
        <v>-22</v>
      </c>
      <c r="H187" s="210">
        <v>11</v>
      </c>
    </row>
    <row r="188" spans="1:8" x14ac:dyDescent="0.25">
      <c r="A188" s="6">
        <f ca="1">IFERROR(__xludf.DUMMYFUNCTION("""COMPUTED_VALUE"""),44077)</f>
        <v>44077</v>
      </c>
      <c r="B188" s="212">
        <v>6.142857142857143E-2</v>
      </c>
      <c r="C188" s="210">
        <v>-13</v>
      </c>
      <c r="D188" s="210">
        <v>2</v>
      </c>
      <c r="E188" s="210">
        <v>-10</v>
      </c>
      <c r="F188" s="210">
        <v>-32</v>
      </c>
      <c r="G188" s="210">
        <v>-22</v>
      </c>
      <c r="H188" s="210">
        <v>11</v>
      </c>
    </row>
    <row r="189" spans="1:8" x14ac:dyDescent="0.25">
      <c r="A189" s="6">
        <f ca="1">IFERROR(__xludf.DUMMYFUNCTION("""COMPUTED_VALUE"""),44078)</f>
        <v>44078</v>
      </c>
      <c r="B189" s="212">
        <v>7.554874936191934E-2</v>
      </c>
      <c r="C189" s="210">
        <v>-13</v>
      </c>
      <c r="D189" s="210">
        <v>1</v>
      </c>
      <c r="E189" s="210">
        <v>-11</v>
      </c>
      <c r="F189" s="210">
        <v>-33</v>
      </c>
      <c r="G189" s="210">
        <v>-20</v>
      </c>
      <c r="H189" s="210">
        <v>12</v>
      </c>
    </row>
    <row r="190" spans="1:8" x14ac:dyDescent="0.25">
      <c r="A190" s="6">
        <f ca="1">IFERROR(__xludf.DUMMYFUNCTION("""COMPUTED_VALUE"""),44079)</f>
        <v>44079</v>
      </c>
      <c r="B190" s="212">
        <v>8.3109919571045576E-2</v>
      </c>
      <c r="C190" s="210">
        <v>-13</v>
      </c>
      <c r="D190" s="210">
        <v>3</v>
      </c>
      <c r="E190" s="210">
        <v>-9</v>
      </c>
      <c r="F190" s="210">
        <v>-30</v>
      </c>
      <c r="G190" s="210">
        <v>-12</v>
      </c>
      <c r="H190" s="210">
        <v>9</v>
      </c>
    </row>
    <row r="191" spans="1:8" x14ac:dyDescent="0.25">
      <c r="A191" s="6">
        <f ca="1">IFERROR(__xludf.DUMMYFUNCTION("""COMPUTED_VALUE"""),44080)</f>
        <v>44080</v>
      </c>
      <c r="B191" s="212">
        <v>8.4347461183382294E-2</v>
      </c>
      <c r="C191" s="210">
        <v>-14</v>
      </c>
      <c r="D191" s="210">
        <v>2</v>
      </c>
      <c r="E191" s="210">
        <v>-2</v>
      </c>
      <c r="F191" s="210">
        <v>-32</v>
      </c>
      <c r="G191" s="210">
        <v>-1</v>
      </c>
      <c r="H191" s="210">
        <v>8</v>
      </c>
    </row>
    <row r="192" spans="1:8" x14ac:dyDescent="0.25">
      <c r="A192" s="6">
        <f ca="1">IFERROR(__xludf.DUMMYFUNCTION("""COMPUTED_VALUE"""),44081)</f>
        <v>44081</v>
      </c>
      <c r="B192" s="212">
        <v>6.3344920818848974E-2</v>
      </c>
      <c r="C192" s="210">
        <v>-11</v>
      </c>
      <c r="D192" s="210">
        <v>2</v>
      </c>
      <c r="E192" s="210">
        <v>-6</v>
      </c>
      <c r="F192" s="210">
        <v>-33</v>
      </c>
      <c r="G192" s="210">
        <v>-22</v>
      </c>
      <c r="H192" s="210">
        <v>11</v>
      </c>
    </row>
    <row r="193" spans="1:8" x14ac:dyDescent="0.25">
      <c r="A193" s="6">
        <f ca="1">IFERROR(__xludf.DUMMYFUNCTION("""COMPUTED_VALUE"""),44082)</f>
        <v>44082</v>
      </c>
      <c r="B193" s="212">
        <v>8.1175298804780874E-2</v>
      </c>
      <c r="C193" s="210">
        <v>-12</v>
      </c>
      <c r="D193" s="210">
        <v>2</v>
      </c>
      <c r="E193" s="210">
        <v>-6</v>
      </c>
      <c r="F193" s="210">
        <v>-32</v>
      </c>
      <c r="G193" s="210">
        <v>-23</v>
      </c>
      <c r="H193" s="210">
        <v>11</v>
      </c>
    </row>
    <row r="194" spans="1:8" x14ac:dyDescent="0.25">
      <c r="A194" s="6">
        <f ca="1">IFERROR(__xludf.DUMMYFUNCTION("""COMPUTED_VALUE"""),44083)</f>
        <v>44083</v>
      </c>
      <c r="B194" s="212">
        <v>7.5208373715836399E-2</v>
      </c>
      <c r="C194" s="210">
        <v>-13</v>
      </c>
      <c r="D194" s="210">
        <v>1</v>
      </c>
      <c r="E194" s="210">
        <v>-6</v>
      </c>
      <c r="F194" s="210">
        <v>-33</v>
      </c>
      <c r="G194" s="210">
        <v>-22</v>
      </c>
      <c r="H194" s="210">
        <v>11</v>
      </c>
    </row>
    <row r="195" spans="1:8" x14ac:dyDescent="0.25">
      <c r="A195" s="6">
        <f ca="1">IFERROR(__xludf.DUMMYFUNCTION("""COMPUTED_VALUE"""),44084)</f>
        <v>44084</v>
      </c>
      <c r="B195" s="212">
        <v>6.8115693992811907E-2</v>
      </c>
      <c r="C195" s="210">
        <v>-13</v>
      </c>
      <c r="D195" s="210">
        <v>1</v>
      </c>
      <c r="E195" s="210">
        <v>-7</v>
      </c>
      <c r="F195" s="210">
        <v>-32</v>
      </c>
      <c r="G195" s="210">
        <v>-22</v>
      </c>
      <c r="H195" s="210">
        <v>10</v>
      </c>
    </row>
    <row r="196" spans="1:8" x14ac:dyDescent="0.25">
      <c r="A196" s="6">
        <f ca="1">IFERROR(__xludf.DUMMYFUNCTION("""COMPUTED_VALUE"""),44085)</f>
        <v>44085</v>
      </c>
      <c r="B196" s="212">
        <v>8.0451312239391712E-2</v>
      </c>
      <c r="C196" s="210">
        <v>-14</v>
      </c>
      <c r="D196" s="210">
        <v>-3</v>
      </c>
      <c r="E196" s="210">
        <v>-10</v>
      </c>
      <c r="F196" s="210">
        <v>-33</v>
      </c>
      <c r="G196" s="210">
        <v>-21</v>
      </c>
      <c r="H196" s="210">
        <v>10</v>
      </c>
    </row>
    <row r="197" spans="1:8" x14ac:dyDescent="0.25">
      <c r="A197" s="6">
        <f ca="1">IFERROR(__xludf.DUMMYFUNCTION("""COMPUTED_VALUE"""),44086)</f>
        <v>44086</v>
      </c>
      <c r="B197" s="212">
        <v>9.2301409025934242E-2</v>
      </c>
      <c r="C197" s="210">
        <v>-14</v>
      </c>
      <c r="D197" s="210">
        <v>-1</v>
      </c>
      <c r="E197" s="210">
        <v>-9</v>
      </c>
      <c r="F197" s="210">
        <v>-30</v>
      </c>
      <c r="G197" s="210">
        <v>-12</v>
      </c>
      <c r="H197" s="210">
        <v>8</v>
      </c>
    </row>
    <row r="198" spans="1:8" x14ac:dyDescent="0.25">
      <c r="A198" s="6">
        <f ca="1">IFERROR(__xludf.DUMMYFUNCTION("""COMPUTED_VALUE"""),44087)</f>
        <v>44087</v>
      </c>
      <c r="B198" s="212">
        <v>6.6807610993657507E-2</v>
      </c>
      <c r="C198" s="210">
        <v>-17</v>
      </c>
      <c r="D198" s="210">
        <v>-4</v>
      </c>
      <c r="E198" s="210">
        <v>-7</v>
      </c>
      <c r="F198" s="210">
        <v>-33</v>
      </c>
      <c r="G198" s="210">
        <v>-2</v>
      </c>
      <c r="H198" s="210">
        <v>8</v>
      </c>
    </row>
    <row r="199" spans="1:8" x14ac:dyDescent="0.25">
      <c r="A199" s="6">
        <f ca="1">IFERROR(__xludf.DUMMYFUNCTION("""COMPUTED_VALUE"""),44088)</f>
        <v>44088</v>
      </c>
      <c r="B199" s="212">
        <v>6.3857374392220417E-2</v>
      </c>
      <c r="C199" s="210">
        <v>-16</v>
      </c>
      <c r="D199" s="210">
        <v>-5</v>
      </c>
      <c r="E199" s="210">
        <v>-10</v>
      </c>
      <c r="F199" s="210">
        <v>-41</v>
      </c>
      <c r="G199" s="210">
        <v>-22</v>
      </c>
      <c r="H199" s="210">
        <v>12</v>
      </c>
    </row>
    <row r="200" spans="1:8" x14ac:dyDescent="0.25">
      <c r="A200" s="6">
        <f ca="1">IFERROR(__xludf.DUMMYFUNCTION("""COMPUTED_VALUE"""),44089)</f>
        <v>44089</v>
      </c>
      <c r="B200" s="212">
        <v>5.4833408038248918E-2</v>
      </c>
      <c r="C200" s="210">
        <v>-17</v>
      </c>
      <c r="D200" s="210">
        <v>-5</v>
      </c>
      <c r="E200" s="210">
        <v>-10</v>
      </c>
      <c r="F200" s="210">
        <v>-40</v>
      </c>
      <c r="G200" s="210">
        <v>-23</v>
      </c>
      <c r="H200" s="210">
        <v>13</v>
      </c>
    </row>
    <row r="201" spans="1:8" x14ac:dyDescent="0.25">
      <c r="A201" s="6">
        <f ca="1">IFERROR(__xludf.DUMMYFUNCTION("""COMPUTED_VALUE"""),44090)</f>
        <v>44090</v>
      </c>
      <c r="B201" s="212">
        <v>8.7747854394791353E-2</v>
      </c>
      <c r="C201" s="210">
        <v>-15</v>
      </c>
      <c r="D201" s="210">
        <v>-2</v>
      </c>
      <c r="E201" s="210">
        <v>-5</v>
      </c>
      <c r="F201" s="210">
        <v>-39</v>
      </c>
      <c r="G201" s="210">
        <v>-23</v>
      </c>
      <c r="H201" s="210">
        <v>13</v>
      </c>
    </row>
    <row r="202" spans="1:8" x14ac:dyDescent="0.25">
      <c r="A202" s="6">
        <f ca="1">IFERROR(__xludf.DUMMYFUNCTION("""COMPUTED_VALUE"""),44091)</f>
        <v>44091</v>
      </c>
      <c r="B202" s="212">
        <v>8.4202898550724631E-2</v>
      </c>
      <c r="C202" s="210">
        <v>-16</v>
      </c>
      <c r="D202" s="210">
        <v>-3</v>
      </c>
      <c r="E202" s="210">
        <v>-8</v>
      </c>
      <c r="F202" s="210">
        <v>-39</v>
      </c>
      <c r="G202" s="210">
        <v>-23</v>
      </c>
      <c r="H202" s="210">
        <v>13</v>
      </c>
    </row>
    <row r="203" spans="1:8" x14ac:dyDescent="0.25">
      <c r="A203" s="6">
        <f ca="1">IFERROR(__xludf.DUMMYFUNCTION("""COMPUTED_VALUE"""),44092)</f>
        <v>44092</v>
      </c>
      <c r="B203" s="212">
        <v>7.175815433571997E-2</v>
      </c>
      <c r="C203" s="210">
        <v>-19</v>
      </c>
      <c r="D203" s="210">
        <v>-6</v>
      </c>
      <c r="E203" s="210">
        <v>-14</v>
      </c>
      <c r="F203" s="210">
        <v>-41</v>
      </c>
      <c r="G203" s="210">
        <v>-21</v>
      </c>
      <c r="H203" s="210">
        <v>14</v>
      </c>
    </row>
    <row r="204" spans="1:8" x14ac:dyDescent="0.25">
      <c r="A204" s="6">
        <f ca="1">IFERROR(__xludf.DUMMYFUNCTION("""COMPUTED_VALUE"""),44093)</f>
        <v>44093</v>
      </c>
      <c r="B204" s="212">
        <v>7.0970562518216262E-2</v>
      </c>
      <c r="C204" s="210">
        <v>-19</v>
      </c>
      <c r="D204" s="210">
        <v>-3</v>
      </c>
      <c r="E204" s="210">
        <v>-14</v>
      </c>
      <c r="F204" s="210">
        <v>-39</v>
      </c>
      <c r="G204" s="210">
        <v>-12</v>
      </c>
      <c r="H204" s="210">
        <v>11</v>
      </c>
    </row>
    <row r="205" spans="1:8" x14ac:dyDescent="0.25">
      <c r="A205" s="6">
        <f ca="1">IFERROR(__xludf.DUMMYFUNCTION("""COMPUTED_VALUE"""),44094)</f>
        <v>44094</v>
      </c>
      <c r="B205" s="212">
        <v>8.611111111111111E-2</v>
      </c>
      <c r="C205" s="210">
        <v>-24</v>
      </c>
      <c r="D205" s="210">
        <v>-9</v>
      </c>
      <c r="E205" s="210">
        <v>-15</v>
      </c>
      <c r="F205" s="210">
        <v>-44</v>
      </c>
      <c r="G205" s="210">
        <v>-3</v>
      </c>
      <c r="H205" s="210">
        <v>12</v>
      </c>
    </row>
    <row r="206" spans="1:8" x14ac:dyDescent="0.25">
      <c r="A206" s="6">
        <f ca="1">IFERROR(__xludf.DUMMYFUNCTION("""COMPUTED_VALUE"""),44095)</f>
        <v>44095</v>
      </c>
      <c r="B206" s="212">
        <v>5.9013944223107573E-2</v>
      </c>
      <c r="C206" s="210">
        <v>-19</v>
      </c>
      <c r="D206" s="210">
        <v>-7</v>
      </c>
      <c r="E206" s="210">
        <v>-15</v>
      </c>
      <c r="F206" s="210">
        <v>-41</v>
      </c>
      <c r="G206" s="210">
        <v>-23</v>
      </c>
      <c r="H206" s="210">
        <v>14</v>
      </c>
    </row>
    <row r="207" spans="1:8" x14ac:dyDescent="0.25">
      <c r="A207" s="6">
        <f ca="1">IFERROR(__xludf.DUMMYFUNCTION("""COMPUTED_VALUE"""),44096)</f>
        <v>44096</v>
      </c>
      <c r="B207" s="212">
        <v>6.1471533951201057E-2</v>
      </c>
      <c r="C207" s="210">
        <v>-22</v>
      </c>
      <c r="D207" s="210">
        <v>-8</v>
      </c>
      <c r="E207" s="210">
        <v>-16</v>
      </c>
      <c r="F207" s="210">
        <v>-40</v>
      </c>
      <c r="G207" s="210">
        <v>-25</v>
      </c>
      <c r="H207" s="210">
        <v>14</v>
      </c>
    </row>
    <row r="208" spans="1:8" x14ac:dyDescent="0.25">
      <c r="A208" s="6">
        <f ca="1">IFERROR(__xludf.DUMMYFUNCTION("""COMPUTED_VALUE"""),44097)</f>
        <v>44097</v>
      </c>
      <c r="B208" s="212">
        <v>4.8409565823078711E-2</v>
      </c>
      <c r="C208" s="210">
        <v>-23</v>
      </c>
      <c r="D208" s="210">
        <v>-6</v>
      </c>
      <c r="E208" s="210">
        <v>-12</v>
      </c>
      <c r="F208" s="210">
        <v>-39</v>
      </c>
      <c r="G208" s="210">
        <v>-25</v>
      </c>
      <c r="H208" s="210">
        <v>14</v>
      </c>
    </row>
    <row r="209" spans="1:8" x14ac:dyDescent="0.25">
      <c r="A209" s="6">
        <f ca="1">IFERROR(__xludf.DUMMYFUNCTION("""COMPUTED_VALUE"""),44098)</f>
        <v>44098</v>
      </c>
      <c r="B209" s="212">
        <v>6.8086827558311983E-2</v>
      </c>
      <c r="C209" s="210">
        <v>-23</v>
      </c>
      <c r="D209" s="210">
        <v>-7</v>
      </c>
      <c r="E209" s="210">
        <v>-13</v>
      </c>
      <c r="F209" s="210">
        <v>-38</v>
      </c>
      <c r="G209" s="210">
        <v>-25</v>
      </c>
      <c r="H209" s="210">
        <v>14</v>
      </c>
    </row>
    <row r="210" spans="1:8" x14ac:dyDescent="0.25">
      <c r="A210" s="6">
        <f ca="1">IFERROR(__xludf.DUMMYFUNCTION("""COMPUTED_VALUE"""),44099)</f>
        <v>44099</v>
      </c>
      <c r="B210" s="212">
        <v>5.4921359715880261E-2</v>
      </c>
      <c r="C210" s="210">
        <v>-24</v>
      </c>
      <c r="D210" s="210">
        <v>-6</v>
      </c>
      <c r="E210" s="210">
        <v>-17</v>
      </c>
      <c r="F210" s="210">
        <v>-39</v>
      </c>
      <c r="G210" s="210">
        <v>-24</v>
      </c>
      <c r="H210" s="210">
        <v>15</v>
      </c>
    </row>
    <row r="211" spans="1:8" x14ac:dyDescent="0.25">
      <c r="A211" s="6">
        <f ca="1">IFERROR(__xludf.DUMMYFUNCTION("""COMPUTED_VALUE"""),44100)</f>
        <v>44100</v>
      </c>
      <c r="B211" s="212">
        <v>7.769028871391076E-2</v>
      </c>
      <c r="C211" s="210">
        <v>-24</v>
      </c>
      <c r="D211" s="210">
        <v>-4</v>
      </c>
      <c r="E211" s="210">
        <v>-17</v>
      </c>
      <c r="F211" s="210">
        <v>-36</v>
      </c>
      <c r="G211" s="210">
        <v>-14</v>
      </c>
      <c r="H211" s="210">
        <v>12</v>
      </c>
    </row>
    <row r="212" spans="1:8" x14ac:dyDescent="0.25">
      <c r="A212" s="6">
        <f ca="1">IFERROR(__xludf.DUMMYFUNCTION("""COMPUTED_VALUE"""),44101)</f>
        <v>44101</v>
      </c>
      <c r="B212" s="212">
        <v>7.028804007514089E-2</v>
      </c>
      <c r="C212" s="210">
        <v>-26</v>
      </c>
      <c r="D212" s="210">
        <v>-8</v>
      </c>
      <c r="E212" s="210">
        <v>-13</v>
      </c>
      <c r="F212" s="210">
        <v>-39</v>
      </c>
      <c r="G212" s="210">
        <v>-6</v>
      </c>
      <c r="H212" s="210">
        <v>12</v>
      </c>
    </row>
    <row r="213" spans="1:8" x14ac:dyDescent="0.25">
      <c r="A213" s="6">
        <f ca="1">IFERROR(__xludf.DUMMYFUNCTION("""COMPUTED_VALUE"""),44102)</f>
        <v>44102</v>
      </c>
      <c r="B213" s="212">
        <v>8.8226869091950724E-2</v>
      </c>
      <c r="C213" s="210">
        <v>-21</v>
      </c>
      <c r="D213" s="210">
        <v>-4</v>
      </c>
      <c r="E213" s="210">
        <v>-12</v>
      </c>
      <c r="F213" s="210">
        <v>-38</v>
      </c>
      <c r="G213" s="210">
        <v>-24</v>
      </c>
      <c r="H213" s="210">
        <v>14</v>
      </c>
    </row>
    <row r="214" spans="1:8" x14ac:dyDescent="0.25">
      <c r="A214" s="6">
        <f ca="1">IFERROR(__xludf.DUMMYFUNCTION("""COMPUTED_VALUE"""),44103)</f>
        <v>44103</v>
      </c>
      <c r="B214" s="212">
        <v>4.872193193051829E-2</v>
      </c>
      <c r="C214" s="210">
        <v>-22</v>
      </c>
      <c r="D214" s="210">
        <v>-4</v>
      </c>
      <c r="E214" s="210">
        <v>-13</v>
      </c>
      <c r="F214" s="210">
        <v>-36</v>
      </c>
      <c r="G214" s="210">
        <v>-25</v>
      </c>
      <c r="H214" s="210">
        <v>14</v>
      </c>
    </row>
    <row r="215" spans="1:8" x14ac:dyDescent="0.25">
      <c r="A215" s="6">
        <f ca="1">IFERROR(__xludf.DUMMYFUNCTION("""COMPUTED_VALUE"""),44104)</f>
        <v>44104</v>
      </c>
      <c r="B215" s="212">
        <v>9.8108915114460404E-2</v>
      </c>
      <c r="C215" s="210">
        <v>-20</v>
      </c>
      <c r="D215" s="210">
        <v>2</v>
      </c>
      <c r="E215" s="210">
        <v>-10</v>
      </c>
      <c r="F215" s="210">
        <v>-35</v>
      </c>
      <c r="G215" s="210">
        <v>-26</v>
      </c>
      <c r="H215" s="210">
        <v>11</v>
      </c>
    </row>
    <row r="216" spans="1:8" x14ac:dyDescent="0.25">
      <c r="A216" s="6">
        <f ca="1">IFERROR(__xludf.DUMMYFUNCTION("""COMPUTED_VALUE"""),44105)</f>
        <v>44105</v>
      </c>
      <c r="B216" s="212">
        <v>8.4470730967546259E-2</v>
      </c>
      <c r="C216" s="210">
        <v>-20</v>
      </c>
      <c r="D216" s="210">
        <v>5</v>
      </c>
      <c r="E216" s="210">
        <v>-11</v>
      </c>
      <c r="F216" s="210">
        <v>-34</v>
      </c>
      <c r="G216" s="210">
        <v>-26</v>
      </c>
      <c r="H216" s="210">
        <v>9</v>
      </c>
    </row>
    <row r="217" spans="1:8" x14ac:dyDescent="0.25">
      <c r="A217" s="6">
        <f ca="1">IFERROR(__xludf.DUMMYFUNCTION("""COMPUTED_VALUE"""),44106)</f>
        <v>44106</v>
      </c>
      <c r="B217" s="212">
        <v>7.2727272727272724E-2</v>
      </c>
      <c r="C217" s="210">
        <v>-20</v>
      </c>
      <c r="D217" s="210">
        <v>1</v>
      </c>
      <c r="E217" s="210">
        <v>-13</v>
      </c>
      <c r="F217" s="210">
        <v>-36</v>
      </c>
      <c r="G217" s="210">
        <v>-25</v>
      </c>
      <c r="H217" s="210">
        <v>9</v>
      </c>
    </row>
    <row r="218" spans="1:8" x14ac:dyDescent="0.25">
      <c r="A218" s="6">
        <f ca="1">IFERROR(__xludf.DUMMYFUNCTION("""COMPUTED_VALUE"""),44107)</f>
        <v>44107</v>
      </c>
      <c r="B218" s="212">
        <v>8.8125212657366447E-2</v>
      </c>
      <c r="C218" s="210">
        <v>-19</v>
      </c>
      <c r="D218" s="210">
        <v>3</v>
      </c>
      <c r="E218" s="210">
        <v>-13</v>
      </c>
      <c r="F218" s="210">
        <v>-32</v>
      </c>
      <c r="G218" s="210">
        <v>-18</v>
      </c>
      <c r="H218" s="210">
        <v>7</v>
      </c>
    </row>
    <row r="219" spans="1:8" x14ac:dyDescent="0.25">
      <c r="A219" s="6">
        <f ca="1">IFERROR(__xludf.DUMMYFUNCTION("""COMPUTED_VALUE"""),44108)</f>
        <v>44108</v>
      </c>
      <c r="B219" s="212">
        <v>8.7900409898284501E-2</v>
      </c>
      <c r="C219" s="210">
        <v>-20</v>
      </c>
      <c r="D219" s="210">
        <v>1</v>
      </c>
      <c r="E219" s="210">
        <v>-7</v>
      </c>
      <c r="F219" s="210">
        <v>-33</v>
      </c>
      <c r="G219" s="210">
        <v>-12</v>
      </c>
      <c r="H219" s="210">
        <v>6</v>
      </c>
    </row>
    <row r="220" spans="1:8" x14ac:dyDescent="0.25">
      <c r="A220" s="6">
        <f ca="1">IFERROR(__xludf.DUMMYFUNCTION("""COMPUTED_VALUE"""),44109)</f>
        <v>44109</v>
      </c>
      <c r="B220" s="212">
        <v>7.8039129479006375E-2</v>
      </c>
      <c r="C220" s="210">
        <v>-17</v>
      </c>
      <c r="D220" s="210">
        <v>2</v>
      </c>
      <c r="E220" s="210">
        <v>-9</v>
      </c>
      <c r="F220" s="210">
        <v>-35</v>
      </c>
      <c r="G220" s="210">
        <v>-27</v>
      </c>
      <c r="H220" s="210">
        <v>8</v>
      </c>
    </row>
    <row r="221" spans="1:8" x14ac:dyDescent="0.25">
      <c r="A221" s="6">
        <f ca="1">IFERROR(__xludf.DUMMYFUNCTION("""COMPUTED_VALUE"""),44110)</f>
        <v>44110</v>
      </c>
      <c r="B221" s="212">
        <v>8.3306109114668403E-2</v>
      </c>
      <c r="C221" s="210">
        <v>-19</v>
      </c>
      <c r="D221" s="210">
        <v>0</v>
      </c>
      <c r="E221" s="210">
        <v>-9</v>
      </c>
      <c r="F221" s="210">
        <v>-34</v>
      </c>
      <c r="G221" s="210">
        <v>-28</v>
      </c>
      <c r="H221" s="210">
        <v>8</v>
      </c>
    </row>
    <row r="222" spans="1:8" x14ac:dyDescent="0.25">
      <c r="A222" s="6">
        <f ca="1">IFERROR(__xludf.DUMMYFUNCTION("""COMPUTED_VALUE"""),44111)</f>
        <v>44111</v>
      </c>
      <c r="B222" s="212">
        <v>0.10647382920110193</v>
      </c>
      <c r="C222" s="210">
        <v>-18</v>
      </c>
      <c r="D222" s="210">
        <v>1</v>
      </c>
      <c r="E222" s="210">
        <v>-6</v>
      </c>
      <c r="F222" s="210">
        <v>-35</v>
      </c>
      <c r="G222" s="210">
        <v>-26</v>
      </c>
      <c r="H222" s="210">
        <v>9</v>
      </c>
    </row>
    <row r="223" spans="1:8" x14ac:dyDescent="0.25">
      <c r="A223" s="6">
        <f ca="1">IFERROR(__xludf.DUMMYFUNCTION("""COMPUTED_VALUE"""),44112)</f>
        <v>44112</v>
      </c>
      <c r="B223" s="212">
        <v>7.3720278268092618E-2</v>
      </c>
      <c r="C223" s="210">
        <v>-18</v>
      </c>
      <c r="D223" s="210">
        <v>0</v>
      </c>
      <c r="E223" s="210">
        <v>-3</v>
      </c>
      <c r="F223" s="210">
        <v>-32</v>
      </c>
      <c r="G223" s="210">
        <v>-25</v>
      </c>
      <c r="H223" s="210">
        <v>11</v>
      </c>
    </row>
    <row r="224" spans="1:8" x14ac:dyDescent="0.25">
      <c r="A224" s="6">
        <f ca="1">IFERROR(__xludf.DUMMYFUNCTION("""COMPUTED_VALUE"""),44113)</f>
        <v>44113</v>
      </c>
      <c r="B224" s="212">
        <v>7.8812234873855774E-2</v>
      </c>
      <c r="C224" s="210">
        <v>-20</v>
      </c>
      <c r="D224" s="210">
        <v>-4</v>
      </c>
      <c r="E224" s="210">
        <v>-12</v>
      </c>
      <c r="F224" s="210">
        <v>-38</v>
      </c>
      <c r="G224" s="210">
        <v>-23</v>
      </c>
      <c r="H224" s="210">
        <v>13</v>
      </c>
    </row>
    <row r="225" spans="1:8" x14ac:dyDescent="0.25">
      <c r="A225" s="6">
        <f ca="1">IFERROR(__xludf.DUMMYFUNCTION("""COMPUTED_VALUE"""),44114)</f>
        <v>44114</v>
      </c>
      <c r="B225" s="212">
        <v>9.3930080676142919E-2</v>
      </c>
      <c r="C225" s="210">
        <v>-22</v>
      </c>
      <c r="D225" s="210">
        <v>-4</v>
      </c>
      <c r="E225" s="210">
        <v>-17</v>
      </c>
      <c r="F225" s="210">
        <v>-35</v>
      </c>
      <c r="G225" s="210">
        <v>-14</v>
      </c>
      <c r="H225" s="210">
        <v>11</v>
      </c>
    </row>
    <row r="226" spans="1:8" x14ac:dyDescent="0.25">
      <c r="A226" s="6">
        <f ca="1">IFERROR(__xludf.DUMMYFUNCTION("""COMPUTED_VALUE"""),44115)</f>
        <v>44115</v>
      </c>
      <c r="B226" s="212">
        <v>0.11087840335099175</v>
      </c>
      <c r="C226" s="210">
        <v>-19</v>
      </c>
      <c r="D226" s="210">
        <v>-1</v>
      </c>
      <c r="E226" s="210">
        <v>-5</v>
      </c>
      <c r="F226" s="210">
        <v>-35</v>
      </c>
      <c r="G226" s="210">
        <v>-5</v>
      </c>
      <c r="H226" s="210">
        <v>9</v>
      </c>
    </row>
    <row r="227" spans="1:8" x14ac:dyDescent="0.25">
      <c r="A227" s="6">
        <f ca="1">IFERROR(__xludf.DUMMYFUNCTION("""COMPUTED_VALUE"""),44116)</f>
        <v>44116</v>
      </c>
      <c r="B227" s="212">
        <v>8.8280647648419433E-2</v>
      </c>
      <c r="C227" s="210">
        <v>-17</v>
      </c>
      <c r="D227" s="210">
        <v>-1</v>
      </c>
      <c r="E227" s="210">
        <v>-6</v>
      </c>
      <c r="F227" s="210">
        <v>-35</v>
      </c>
      <c r="G227" s="210">
        <v>-23</v>
      </c>
      <c r="H227" s="210">
        <v>12</v>
      </c>
    </row>
    <row r="228" spans="1:8" x14ac:dyDescent="0.25">
      <c r="A228" s="6">
        <f ca="1">IFERROR(__xludf.DUMMYFUNCTION("""COMPUTED_VALUE"""),44117)</f>
        <v>44117</v>
      </c>
      <c r="B228" s="212">
        <v>0.10712627669452182</v>
      </c>
      <c r="C228" s="210">
        <v>-19</v>
      </c>
      <c r="D228" s="210">
        <v>-2</v>
      </c>
      <c r="E228" s="210">
        <v>-6</v>
      </c>
      <c r="F228" s="210">
        <v>-36</v>
      </c>
      <c r="G228" s="210">
        <v>-25</v>
      </c>
      <c r="H228" s="210">
        <v>13</v>
      </c>
    </row>
    <row r="229" spans="1:8" x14ac:dyDescent="0.25">
      <c r="A229" s="6">
        <f ca="1">IFERROR(__xludf.DUMMYFUNCTION("""COMPUTED_VALUE"""),44118)</f>
        <v>44118</v>
      </c>
      <c r="B229" s="212">
        <v>0.11047994435427777</v>
      </c>
      <c r="C229" s="210">
        <v>-16</v>
      </c>
      <c r="D229" s="210">
        <v>0</v>
      </c>
      <c r="E229" s="210">
        <v>-5</v>
      </c>
      <c r="F229" s="210">
        <v>-35</v>
      </c>
      <c r="G229" s="210">
        <v>-23</v>
      </c>
      <c r="H229" s="210">
        <v>12</v>
      </c>
    </row>
    <row r="230" spans="1:8" x14ac:dyDescent="0.25">
      <c r="A230" s="6">
        <f ca="1">IFERROR(__xludf.DUMMYFUNCTION("""COMPUTED_VALUE"""),44119)</f>
        <v>44119</v>
      </c>
      <c r="B230" s="212">
        <v>8.44743816254417E-2</v>
      </c>
      <c r="C230" s="210">
        <v>-16</v>
      </c>
      <c r="D230" s="210">
        <v>2</v>
      </c>
      <c r="E230" s="210">
        <v>-8</v>
      </c>
      <c r="F230" s="210">
        <v>-32</v>
      </c>
      <c r="G230" s="210">
        <v>-23</v>
      </c>
      <c r="H230" s="210">
        <v>13</v>
      </c>
    </row>
    <row r="231" spans="1:8" x14ac:dyDescent="0.25">
      <c r="A231" s="6">
        <f ca="1">IFERROR(__xludf.DUMMYFUNCTION("""COMPUTED_VALUE"""),44120)</f>
        <v>44120</v>
      </c>
      <c r="B231" s="212">
        <v>0.10933091495364772</v>
      </c>
      <c r="C231" s="210">
        <v>-20</v>
      </c>
      <c r="D231" s="210">
        <v>-3</v>
      </c>
      <c r="E231" s="210">
        <v>-13</v>
      </c>
      <c r="F231" s="210">
        <v>-35</v>
      </c>
      <c r="G231" s="210">
        <v>-22</v>
      </c>
      <c r="H231" s="210">
        <v>14</v>
      </c>
    </row>
    <row r="232" spans="1:8" x14ac:dyDescent="0.25">
      <c r="A232" s="6">
        <f ca="1">IFERROR(__xludf.DUMMYFUNCTION("""COMPUTED_VALUE"""),44121)</f>
        <v>44121</v>
      </c>
      <c r="B232" s="212">
        <v>6.6291949082492974E-2</v>
      </c>
      <c r="C232" s="210">
        <v>-17</v>
      </c>
      <c r="D232" s="210">
        <v>3</v>
      </c>
      <c r="E232" s="210">
        <v>-11</v>
      </c>
      <c r="F232" s="210">
        <v>-29</v>
      </c>
      <c r="G232" s="210">
        <v>-13</v>
      </c>
      <c r="H232" s="210">
        <v>10</v>
      </c>
    </row>
    <row r="233" spans="1:8" x14ac:dyDescent="0.25">
      <c r="A233" s="6">
        <f ca="1">IFERROR(__xludf.DUMMYFUNCTION("""COMPUTED_VALUE"""),44122)</f>
        <v>44122</v>
      </c>
      <c r="B233" s="212">
        <v>9.2867160889601286E-2</v>
      </c>
      <c r="C233" s="210">
        <v>-19</v>
      </c>
      <c r="D233" s="210">
        <v>-1</v>
      </c>
      <c r="E233" s="210">
        <v>-6</v>
      </c>
      <c r="F233" s="210">
        <v>-31</v>
      </c>
      <c r="G233" s="210">
        <v>-5</v>
      </c>
      <c r="H233" s="210">
        <v>10</v>
      </c>
    </row>
    <row r="234" spans="1:8" x14ac:dyDescent="0.25">
      <c r="A234" s="6">
        <f ca="1">IFERROR(__xludf.DUMMYFUNCTION("""COMPUTED_VALUE"""),44123)</f>
        <v>44123</v>
      </c>
      <c r="B234" s="212">
        <v>0.10516717325227963</v>
      </c>
      <c r="C234" s="210">
        <v>-20</v>
      </c>
      <c r="D234" s="210">
        <v>-3</v>
      </c>
      <c r="E234" s="210">
        <v>-12</v>
      </c>
      <c r="F234" s="210">
        <v>-34</v>
      </c>
      <c r="G234" s="210">
        <v>-23</v>
      </c>
      <c r="H234" s="210">
        <v>13</v>
      </c>
    </row>
    <row r="235" spans="1:8" x14ac:dyDescent="0.25">
      <c r="A235" s="6">
        <f ca="1">IFERROR(__xludf.DUMMYFUNCTION("""COMPUTED_VALUE"""),44124)</f>
        <v>44124</v>
      </c>
      <c r="B235" s="212">
        <v>9.9519487453283498E-2</v>
      </c>
      <c r="C235" s="210">
        <v>-19</v>
      </c>
      <c r="D235" s="210">
        <v>-2</v>
      </c>
      <c r="E235" s="210">
        <v>-10</v>
      </c>
      <c r="F235" s="210">
        <v>-32</v>
      </c>
      <c r="G235" s="210">
        <v>-24</v>
      </c>
      <c r="H235" s="210">
        <v>12</v>
      </c>
    </row>
    <row r="236" spans="1:8" x14ac:dyDescent="0.25">
      <c r="A236" s="6">
        <f ca="1">IFERROR(__xludf.DUMMYFUNCTION("""COMPUTED_VALUE"""),44125)</f>
        <v>44125</v>
      </c>
      <c r="B236" s="212">
        <v>0.1113642337685096</v>
      </c>
      <c r="C236" s="210">
        <v>-20</v>
      </c>
      <c r="D236" s="210">
        <v>-4</v>
      </c>
      <c r="E236" s="210">
        <v>-12</v>
      </c>
      <c r="F236" s="210">
        <v>-34</v>
      </c>
      <c r="G236" s="210">
        <v>-24</v>
      </c>
      <c r="H236" s="210">
        <v>11</v>
      </c>
    </row>
    <row r="237" spans="1:8" x14ac:dyDescent="0.25">
      <c r="A237" s="6">
        <f ca="1">IFERROR(__xludf.DUMMYFUNCTION("""COMPUTED_VALUE"""),44126)</f>
        <v>44126</v>
      </c>
      <c r="B237" s="212">
        <v>0.11700307902839549</v>
      </c>
      <c r="C237" s="210">
        <v>-17</v>
      </c>
      <c r="D237" s="210">
        <v>1</v>
      </c>
      <c r="E237" s="210">
        <v>-9</v>
      </c>
      <c r="F237" s="210">
        <v>-31</v>
      </c>
      <c r="G237" s="210">
        <v>-25</v>
      </c>
      <c r="H237" s="210">
        <v>9</v>
      </c>
    </row>
    <row r="238" spans="1:8" x14ac:dyDescent="0.25">
      <c r="A238" s="6">
        <f ca="1">IFERROR(__xludf.DUMMYFUNCTION("""COMPUTED_VALUE"""),44127)</f>
        <v>44127</v>
      </c>
      <c r="B238" s="212">
        <v>0.10373330911072759</v>
      </c>
      <c r="C238" s="210">
        <v>-18</v>
      </c>
      <c r="D238" s="210">
        <v>-1</v>
      </c>
      <c r="E238" s="210">
        <v>-14</v>
      </c>
      <c r="F238" s="210">
        <v>-32</v>
      </c>
      <c r="G238" s="210">
        <v>-23</v>
      </c>
      <c r="H238" s="210">
        <v>9</v>
      </c>
    </row>
    <row r="239" spans="1:8" x14ac:dyDescent="0.25">
      <c r="A239" s="6">
        <f ca="1">IFERROR(__xludf.DUMMYFUNCTION("""COMPUTED_VALUE"""),44128)</f>
        <v>44128</v>
      </c>
      <c r="B239" s="212">
        <v>8.8835877862595419E-2</v>
      </c>
      <c r="C239" s="210">
        <v>-18</v>
      </c>
      <c r="D239" s="210">
        <v>1</v>
      </c>
      <c r="E239" s="210">
        <v>-13</v>
      </c>
      <c r="F239" s="210">
        <v>-28</v>
      </c>
      <c r="G239" s="210">
        <v>-14</v>
      </c>
      <c r="H239" s="210">
        <v>6</v>
      </c>
    </row>
    <row r="240" spans="1:8" x14ac:dyDescent="0.25">
      <c r="A240" s="6">
        <f ca="1">IFERROR(__xludf.DUMMYFUNCTION("""COMPUTED_VALUE"""),44129)</f>
        <v>44129</v>
      </c>
      <c r="B240" s="212">
        <v>0.10902211185999763</v>
      </c>
      <c r="C240" s="210">
        <v>-19</v>
      </c>
      <c r="D240" s="210">
        <v>-1</v>
      </c>
      <c r="E240" s="210">
        <v>-9</v>
      </c>
      <c r="F240" s="210">
        <v>-30</v>
      </c>
      <c r="G240" s="210">
        <v>-8</v>
      </c>
      <c r="H240" s="210">
        <v>6</v>
      </c>
    </row>
    <row r="241" spans="1:8" x14ac:dyDescent="0.25">
      <c r="A241" s="6">
        <f ca="1">IFERROR(__xludf.DUMMYFUNCTION("""COMPUTED_VALUE"""),44130)</f>
        <v>44130</v>
      </c>
      <c r="B241" s="212">
        <v>6.9062437261594056E-2</v>
      </c>
      <c r="C241" s="210">
        <v>-17</v>
      </c>
      <c r="D241" s="210">
        <v>-1</v>
      </c>
      <c r="E241" s="210">
        <v>-11</v>
      </c>
      <c r="F241" s="210">
        <v>-32</v>
      </c>
      <c r="G241" s="210">
        <v>-24</v>
      </c>
      <c r="H241" s="210">
        <v>8</v>
      </c>
    </row>
    <row r="242" spans="1:8" x14ac:dyDescent="0.25">
      <c r="A242" s="6">
        <f ca="1">IFERROR(__xludf.DUMMYFUNCTION("""COMPUTED_VALUE"""),44131)</f>
        <v>44131</v>
      </c>
      <c r="B242" s="212">
        <v>0.10544877446658438</v>
      </c>
      <c r="C242" s="210">
        <v>-16</v>
      </c>
      <c r="D242" s="210">
        <v>4</v>
      </c>
      <c r="E242" s="210">
        <v>-9</v>
      </c>
      <c r="F242" s="210">
        <v>-25</v>
      </c>
      <c r="G242" s="210">
        <v>-25</v>
      </c>
      <c r="H242" s="210">
        <v>7</v>
      </c>
    </row>
    <row r="243" spans="1:8" x14ac:dyDescent="0.25">
      <c r="A243" s="6">
        <f ca="1">IFERROR(__xludf.DUMMYFUNCTION("""COMPUTED_VALUE"""),44132)</f>
        <v>44132</v>
      </c>
      <c r="B243" s="212">
        <v>0.13898815121309008</v>
      </c>
      <c r="C243" s="210">
        <v>-10</v>
      </c>
      <c r="D243" s="210">
        <v>10</v>
      </c>
      <c r="E243" s="210">
        <v>6</v>
      </c>
      <c r="F243" s="210">
        <v>-20</v>
      </c>
      <c r="G243" s="210">
        <v>-39</v>
      </c>
      <c r="H243" s="210">
        <v>8</v>
      </c>
    </row>
    <row r="244" spans="1:8" x14ac:dyDescent="0.25">
      <c r="A244" s="6">
        <f ca="1">IFERROR(__xludf.DUMMYFUNCTION("""COMPUTED_VALUE"""),44133)</f>
        <v>44133</v>
      </c>
      <c r="B244" s="212">
        <v>0.13970887208262178</v>
      </c>
      <c r="C244" s="210">
        <v>-9</v>
      </c>
      <c r="D244" s="210">
        <v>6</v>
      </c>
      <c r="E244" s="210">
        <v>28</v>
      </c>
      <c r="F244" s="210">
        <v>-25</v>
      </c>
      <c r="G244" s="210">
        <v>-58</v>
      </c>
      <c r="H244" s="210">
        <v>12</v>
      </c>
    </row>
    <row r="245" spans="1:8" x14ac:dyDescent="0.25">
      <c r="A245" s="6">
        <f ca="1">IFERROR(__xludf.DUMMYFUNCTION("""COMPUTED_VALUE"""),44134)</f>
        <v>44134</v>
      </c>
      <c r="B245" s="212">
        <v>9.9576271186440676E-2</v>
      </c>
      <c r="C245" s="210">
        <v>-16</v>
      </c>
      <c r="D245" s="210">
        <v>-2</v>
      </c>
      <c r="E245" s="210">
        <v>1</v>
      </c>
      <c r="F245" s="210">
        <v>-34</v>
      </c>
      <c r="G245" s="210">
        <v>-42</v>
      </c>
      <c r="H245" s="210">
        <v>11</v>
      </c>
    </row>
    <row r="246" spans="1:8" x14ac:dyDescent="0.25">
      <c r="A246" s="6">
        <f ca="1">IFERROR(__xludf.DUMMYFUNCTION("""COMPUTED_VALUE"""),44135)</f>
        <v>44135</v>
      </c>
      <c r="B246" s="212">
        <v>8.7662337662337664E-2</v>
      </c>
      <c r="C246" s="210">
        <v>-23</v>
      </c>
      <c r="D246" s="210">
        <v>-8</v>
      </c>
      <c r="E246" s="210">
        <v>-13</v>
      </c>
      <c r="F246" s="210">
        <v>-29</v>
      </c>
      <c r="G246" s="210">
        <v>-21</v>
      </c>
      <c r="H246" s="210">
        <v>7</v>
      </c>
    </row>
    <row r="247" spans="1:8" x14ac:dyDescent="0.25">
      <c r="A247" s="6">
        <f ca="1">IFERROR(__xludf.DUMMYFUNCTION("""COMPUTED_VALUE"""),44136)</f>
        <v>44136</v>
      </c>
      <c r="B247" s="212">
        <v>0.11590356115903561</v>
      </c>
      <c r="C247" s="210">
        <v>-18</v>
      </c>
      <c r="D247" s="210">
        <v>0</v>
      </c>
      <c r="E247" s="210">
        <v>-6</v>
      </c>
      <c r="F247" s="210">
        <v>-21</v>
      </c>
      <c r="G247" s="210">
        <v>-10</v>
      </c>
      <c r="H247" s="210">
        <v>5</v>
      </c>
    </row>
    <row r="248" spans="1:8" x14ac:dyDescent="0.25">
      <c r="A248" s="6">
        <f ca="1">IFERROR(__xludf.DUMMYFUNCTION("""COMPUTED_VALUE"""),44137)</f>
        <v>44137</v>
      </c>
      <c r="B248" s="212">
        <v>0.10468850353243417</v>
      </c>
      <c r="C248" s="210">
        <v>-15</v>
      </c>
      <c r="D248" s="210">
        <v>2</v>
      </c>
      <c r="E248" s="210">
        <v>-12</v>
      </c>
      <c r="F248" s="210">
        <v>-27</v>
      </c>
      <c r="G248" s="210">
        <v>-24</v>
      </c>
      <c r="H248" s="210">
        <v>7</v>
      </c>
    </row>
    <row r="249" spans="1:8" x14ac:dyDescent="0.25">
      <c r="A249" s="6">
        <f ca="1">IFERROR(__xludf.DUMMYFUNCTION("""COMPUTED_VALUE"""),44138)</f>
        <v>44138</v>
      </c>
      <c r="B249" s="212">
        <v>9.2112571745972968E-2</v>
      </c>
      <c r="C249" s="210">
        <v>-15</v>
      </c>
      <c r="D249" s="210">
        <v>2</v>
      </c>
      <c r="E249" s="210">
        <v>-13</v>
      </c>
      <c r="F249" s="210">
        <v>-28</v>
      </c>
      <c r="G249" s="210">
        <v>-25</v>
      </c>
      <c r="H249" s="210">
        <v>7</v>
      </c>
    </row>
    <row r="250" spans="1:8" x14ac:dyDescent="0.25">
      <c r="A250" s="6">
        <f ca="1">IFERROR(__xludf.DUMMYFUNCTION("""COMPUTED_VALUE"""),44139)</f>
        <v>44139</v>
      </c>
      <c r="B250" s="212">
        <v>0.13873511155846335</v>
      </c>
      <c r="C250" s="210">
        <v>-14</v>
      </c>
      <c r="D250" s="210">
        <v>2</v>
      </c>
      <c r="E250" s="210">
        <v>-10</v>
      </c>
      <c r="F250" s="210">
        <v>-30</v>
      </c>
      <c r="G250" s="210">
        <v>-25</v>
      </c>
      <c r="H250" s="210">
        <v>8</v>
      </c>
    </row>
    <row r="251" spans="1:8" x14ac:dyDescent="0.25">
      <c r="A251" s="6">
        <f ca="1">IFERROR(__xludf.DUMMYFUNCTION("""COMPUTED_VALUE"""),44140)</f>
        <v>44140</v>
      </c>
      <c r="B251" s="212">
        <v>0.13428618913079607</v>
      </c>
      <c r="C251" s="210">
        <v>-16</v>
      </c>
      <c r="D251" s="210">
        <v>0</v>
      </c>
      <c r="E251" s="210">
        <v>-14</v>
      </c>
      <c r="F251" s="210">
        <v>-32</v>
      </c>
      <c r="G251" s="210">
        <v>-26</v>
      </c>
      <c r="H251" s="210">
        <v>8</v>
      </c>
    </row>
    <row r="252" spans="1:8" x14ac:dyDescent="0.25">
      <c r="A252" s="6">
        <f ca="1">IFERROR(__xludf.DUMMYFUNCTION("""COMPUTED_VALUE"""),44141)</f>
        <v>44141</v>
      </c>
      <c r="B252" s="212">
        <v>0.11317993332791283</v>
      </c>
      <c r="C252" s="210">
        <v>-16</v>
      </c>
      <c r="D252" s="210">
        <v>0</v>
      </c>
      <c r="E252" s="210">
        <v>-13</v>
      </c>
      <c r="F252" s="210">
        <v>-31</v>
      </c>
      <c r="G252" s="210">
        <v>-24</v>
      </c>
      <c r="H252" s="210">
        <v>8</v>
      </c>
    </row>
    <row r="253" spans="1:8" x14ac:dyDescent="0.25">
      <c r="A253" s="6">
        <f ca="1">IFERROR(__xludf.DUMMYFUNCTION("""COMPUTED_VALUE"""),44142)</f>
        <v>44142</v>
      </c>
      <c r="B253" s="212">
        <v>0.11325011279891713</v>
      </c>
      <c r="C253" s="210">
        <v>-15</v>
      </c>
      <c r="D253" s="210">
        <v>0</v>
      </c>
      <c r="E253" s="210">
        <v>-12</v>
      </c>
      <c r="F253" s="210">
        <v>-27</v>
      </c>
      <c r="G253" s="210">
        <v>-16</v>
      </c>
      <c r="H253" s="210">
        <v>6</v>
      </c>
    </row>
    <row r="254" spans="1:8" x14ac:dyDescent="0.25">
      <c r="A254" s="6">
        <f ca="1">IFERROR(__xludf.DUMMYFUNCTION("""COMPUTED_VALUE"""),44143)</f>
        <v>44143</v>
      </c>
      <c r="B254" s="212">
        <v>0.13112060466644759</v>
      </c>
      <c r="C254" s="210">
        <v>-17</v>
      </c>
      <c r="D254" s="210">
        <v>-1</v>
      </c>
      <c r="E254" s="210">
        <v>-6</v>
      </c>
      <c r="F254" s="210">
        <v>-28</v>
      </c>
      <c r="G254" s="210">
        <v>-10</v>
      </c>
      <c r="H254" s="210">
        <v>6</v>
      </c>
    </row>
    <row r="255" spans="1:8" x14ac:dyDescent="0.25">
      <c r="A255" s="6">
        <f ca="1">IFERROR(__xludf.DUMMYFUNCTION("""COMPUTED_VALUE"""),44144)</f>
        <v>44144</v>
      </c>
      <c r="B255" s="212">
        <v>0.1204730229120473</v>
      </c>
      <c r="C255" s="210">
        <v>-16</v>
      </c>
      <c r="D255" s="210">
        <v>0</v>
      </c>
      <c r="E255" s="210">
        <v>-10</v>
      </c>
      <c r="F255" s="210">
        <v>-31</v>
      </c>
      <c r="G255" s="210">
        <v>-25</v>
      </c>
      <c r="H255" s="210">
        <v>8</v>
      </c>
    </row>
    <row r="256" spans="1:8" x14ac:dyDescent="0.25">
      <c r="A256" s="6">
        <f ca="1">IFERROR(__xludf.DUMMYFUNCTION("""COMPUTED_VALUE"""),44145)</f>
        <v>44145</v>
      </c>
      <c r="B256" s="212">
        <v>0.1307752545027408</v>
      </c>
      <c r="C256" s="210">
        <v>-16</v>
      </c>
      <c r="D256" s="210">
        <v>0</v>
      </c>
      <c r="E256" s="210">
        <v>-10</v>
      </c>
      <c r="F256" s="210">
        <v>-29</v>
      </c>
      <c r="G256" s="210">
        <v>-26</v>
      </c>
      <c r="H256" s="210">
        <v>8</v>
      </c>
    </row>
    <row r="257" spans="1:8" x14ac:dyDescent="0.25">
      <c r="A257" s="6">
        <f ca="1">IFERROR(__xludf.DUMMYFUNCTION("""COMPUTED_VALUE"""),44146)</f>
        <v>44146</v>
      </c>
      <c r="B257" s="212">
        <v>0.11007371007371007</v>
      </c>
      <c r="C257" s="210">
        <v>-14</v>
      </c>
      <c r="D257" s="210">
        <v>2</v>
      </c>
      <c r="E257" s="210">
        <v>-9</v>
      </c>
      <c r="F257" s="210">
        <v>-30</v>
      </c>
      <c r="G257" s="210">
        <v>-25</v>
      </c>
      <c r="H257" s="210">
        <v>8</v>
      </c>
    </row>
    <row r="258" spans="1:8" x14ac:dyDescent="0.25">
      <c r="A258" s="6">
        <f ca="1">IFERROR(__xludf.DUMMYFUNCTION("""COMPUTED_VALUE"""),44147)</f>
        <v>44147</v>
      </c>
      <c r="B258" s="212">
        <v>0.14400072773583189</v>
      </c>
      <c r="C258" s="210">
        <v>-14</v>
      </c>
      <c r="D258" s="210">
        <v>1</v>
      </c>
      <c r="E258" s="210">
        <v>-9</v>
      </c>
      <c r="F258" s="210">
        <v>-30</v>
      </c>
      <c r="G258" s="210">
        <v>-25</v>
      </c>
      <c r="H258" s="210">
        <v>8</v>
      </c>
    </row>
    <row r="259" spans="1:8" x14ac:dyDescent="0.25">
      <c r="A259" s="6">
        <f ca="1">IFERROR(__xludf.DUMMYFUNCTION("""COMPUTED_VALUE"""),44148)</f>
        <v>44148</v>
      </c>
      <c r="B259" s="212">
        <v>0.14895013123359579</v>
      </c>
      <c r="C259" s="210">
        <v>-16</v>
      </c>
      <c r="D259" s="210">
        <v>-2</v>
      </c>
      <c r="E259" s="210">
        <v>-13</v>
      </c>
      <c r="F259" s="210">
        <v>-30</v>
      </c>
      <c r="G259" s="210">
        <v>-23</v>
      </c>
      <c r="H259" s="210">
        <v>9</v>
      </c>
    </row>
    <row r="260" spans="1:8" x14ac:dyDescent="0.25">
      <c r="A260" s="6">
        <f ca="1">IFERROR(__xludf.DUMMYFUNCTION("""COMPUTED_VALUE"""),44149)</f>
        <v>44149</v>
      </c>
      <c r="B260" s="212">
        <v>0.1180645719726478</v>
      </c>
      <c r="C260" s="210">
        <v>-16</v>
      </c>
      <c r="D260" s="210">
        <v>-1</v>
      </c>
      <c r="E260" s="210">
        <v>-14</v>
      </c>
      <c r="F260" s="210">
        <v>-27</v>
      </c>
      <c r="G260" s="210">
        <v>-15</v>
      </c>
      <c r="H260" s="210">
        <v>6</v>
      </c>
    </row>
    <row r="261" spans="1:8" x14ac:dyDescent="0.25">
      <c r="A261" s="6">
        <f ca="1">IFERROR(__xludf.DUMMYFUNCTION("""COMPUTED_VALUE"""),44150)</f>
        <v>44150</v>
      </c>
      <c r="B261" s="212">
        <v>0.14070864134590874</v>
      </c>
      <c r="C261" s="210">
        <v>-17</v>
      </c>
      <c r="D261" s="210">
        <v>-2</v>
      </c>
      <c r="E261" s="210">
        <v>-7</v>
      </c>
      <c r="F261" s="210">
        <v>-28</v>
      </c>
      <c r="G261" s="210">
        <v>-10</v>
      </c>
      <c r="H261" s="210">
        <v>5</v>
      </c>
    </row>
    <row r="262" spans="1:8" x14ac:dyDescent="0.25">
      <c r="A262" s="6">
        <f ca="1">IFERROR(__xludf.DUMMYFUNCTION("""COMPUTED_VALUE"""),44151)</f>
        <v>44151</v>
      </c>
      <c r="B262" s="212">
        <v>0.12291864085555707</v>
      </c>
      <c r="C262" s="210">
        <v>-16</v>
      </c>
      <c r="D262" s="210">
        <v>-1</v>
      </c>
      <c r="E262" s="210">
        <v>-11</v>
      </c>
      <c r="F262" s="210">
        <v>-31</v>
      </c>
      <c r="G262" s="210">
        <v>-24</v>
      </c>
      <c r="H262" s="210">
        <v>8</v>
      </c>
    </row>
    <row r="263" spans="1:8" x14ac:dyDescent="0.25">
      <c r="A263" s="6">
        <f ca="1">IFERROR(__xludf.DUMMYFUNCTION("""COMPUTED_VALUE"""),44152)</f>
        <v>44152</v>
      </c>
      <c r="B263" s="212">
        <v>0.10106382978723404</v>
      </c>
      <c r="C263" s="210">
        <v>-17</v>
      </c>
      <c r="D263" s="210">
        <v>-1</v>
      </c>
      <c r="E263" s="210">
        <v>-11</v>
      </c>
      <c r="F263" s="210">
        <v>-31</v>
      </c>
      <c r="G263" s="210">
        <v>-25</v>
      </c>
      <c r="H263" s="210">
        <v>8</v>
      </c>
    </row>
    <row r="264" spans="1:8" x14ac:dyDescent="0.25">
      <c r="A264" s="6">
        <f ca="1">IFERROR(__xludf.DUMMYFUNCTION("""COMPUTED_VALUE"""),44153)</f>
        <v>44153</v>
      </c>
      <c r="B264" s="212">
        <v>0.13898198575617932</v>
      </c>
      <c r="C264" s="210">
        <v>-16</v>
      </c>
      <c r="D264" s="210">
        <v>0</v>
      </c>
      <c r="E264" s="210">
        <v>-9</v>
      </c>
      <c r="F264" s="210">
        <v>-31</v>
      </c>
      <c r="G264" s="210">
        <v>-25</v>
      </c>
      <c r="H264" s="210">
        <v>8</v>
      </c>
    </row>
    <row r="265" spans="1:8" x14ac:dyDescent="0.25">
      <c r="A265" s="6">
        <f ca="1">IFERROR(__xludf.DUMMYFUNCTION("""COMPUTED_VALUE"""),44154)</f>
        <v>44154</v>
      </c>
      <c r="B265" s="212">
        <v>0.15176596503745987</v>
      </c>
      <c r="C265" s="210">
        <v>-17</v>
      </c>
      <c r="D265" s="210">
        <v>-1</v>
      </c>
      <c r="E265" s="210">
        <v>-15</v>
      </c>
      <c r="F265" s="210">
        <v>-31</v>
      </c>
      <c r="G265" s="210">
        <v>-25</v>
      </c>
      <c r="H265" s="210">
        <v>8</v>
      </c>
    </row>
    <row r="266" spans="1:8" x14ac:dyDescent="0.25">
      <c r="A266" s="6">
        <f ca="1">IFERROR(__xludf.DUMMYFUNCTION("""COMPUTED_VALUE"""),44155)</f>
        <v>44155</v>
      </c>
      <c r="B266" s="212">
        <v>0.15338560228082679</v>
      </c>
      <c r="C266" s="210">
        <v>-17</v>
      </c>
      <c r="D266" s="210">
        <v>-2</v>
      </c>
      <c r="E266" s="210">
        <v>-16</v>
      </c>
      <c r="F266" s="210">
        <v>-31</v>
      </c>
      <c r="G266" s="210">
        <v>-23</v>
      </c>
      <c r="H266" s="210">
        <v>9</v>
      </c>
    </row>
    <row r="267" spans="1:8" x14ac:dyDescent="0.25">
      <c r="A267" s="6">
        <f ca="1">IFERROR(__xludf.DUMMYFUNCTION("""COMPUTED_VALUE"""),44156)</f>
        <v>44156</v>
      </c>
      <c r="B267" s="212">
        <v>0.1650088809946714</v>
      </c>
      <c r="C267" s="210">
        <v>-17</v>
      </c>
      <c r="D267" s="210">
        <v>-1</v>
      </c>
      <c r="E267" s="210">
        <v>-17</v>
      </c>
      <c r="F267" s="210">
        <v>-28</v>
      </c>
      <c r="G267" s="210">
        <v>-16</v>
      </c>
      <c r="H267" s="210">
        <v>6</v>
      </c>
    </row>
    <row r="268" spans="1:8" x14ac:dyDescent="0.25">
      <c r="A268" s="6">
        <f ca="1">IFERROR(__xludf.DUMMYFUNCTION("""COMPUTED_VALUE"""),44157)</f>
        <v>44157</v>
      </c>
      <c r="B268" s="212">
        <v>0.18397157520726412</v>
      </c>
      <c r="C268" s="210">
        <v>-19</v>
      </c>
      <c r="D268" s="210">
        <v>-4</v>
      </c>
      <c r="E268" s="210">
        <v>-14</v>
      </c>
      <c r="F268" s="210">
        <v>-30</v>
      </c>
      <c r="G268" s="210">
        <v>-11</v>
      </c>
      <c r="H268" s="210">
        <v>6</v>
      </c>
    </row>
    <row r="269" spans="1:8" x14ac:dyDescent="0.25">
      <c r="A269" s="6">
        <f ca="1">IFERROR(__xludf.DUMMYFUNCTION("""COMPUTED_VALUE"""),44158)</f>
        <v>44158</v>
      </c>
      <c r="B269" s="212">
        <v>0.1784392350400987</v>
      </c>
      <c r="C269" s="210">
        <v>-19</v>
      </c>
      <c r="D269" s="210">
        <v>-6</v>
      </c>
      <c r="E269" s="210">
        <v>-18</v>
      </c>
      <c r="F269" s="210">
        <v>-33</v>
      </c>
      <c r="G269" s="210">
        <v>-25</v>
      </c>
      <c r="H269" s="210">
        <v>8</v>
      </c>
    </row>
    <row r="270" spans="1:8" x14ac:dyDescent="0.25">
      <c r="A270" s="6">
        <f ca="1">IFERROR(__xludf.DUMMYFUNCTION("""COMPUTED_VALUE"""),44159)</f>
        <v>44159</v>
      </c>
      <c r="B270" s="212">
        <v>0.15265319808869143</v>
      </c>
      <c r="C270" s="210">
        <v>-19</v>
      </c>
      <c r="D270" s="210">
        <v>-4</v>
      </c>
      <c r="E270" s="210">
        <v>-17</v>
      </c>
      <c r="F270" s="210">
        <v>-32</v>
      </c>
      <c r="G270" s="210">
        <v>-26</v>
      </c>
      <c r="H270" s="210">
        <v>8</v>
      </c>
    </row>
    <row r="271" spans="1:8" x14ac:dyDescent="0.25">
      <c r="A271" s="6">
        <f ca="1">IFERROR(__xludf.DUMMYFUNCTION("""COMPUTED_VALUE"""),44160)</f>
        <v>44160</v>
      </c>
      <c r="B271" s="212">
        <v>0.15519243530192436</v>
      </c>
      <c r="C271" s="210">
        <v>-16</v>
      </c>
      <c r="D271" s="210">
        <v>1</v>
      </c>
      <c r="E271" s="210">
        <v>-14</v>
      </c>
      <c r="F271" s="210">
        <v>-30</v>
      </c>
      <c r="G271" s="210">
        <v>-25</v>
      </c>
      <c r="H271" s="210">
        <v>8</v>
      </c>
    </row>
    <row r="272" spans="1:8" x14ac:dyDescent="0.25">
      <c r="A272" s="6">
        <f ca="1">IFERROR(__xludf.DUMMYFUNCTION("""COMPUTED_VALUE"""),44161)</f>
        <v>44161</v>
      </c>
      <c r="B272" s="212">
        <v>0.16739554598667833</v>
      </c>
      <c r="C272" s="210">
        <v>-14</v>
      </c>
      <c r="D272" s="210">
        <v>3</v>
      </c>
      <c r="E272" s="210">
        <v>-13</v>
      </c>
      <c r="F272" s="210">
        <v>-28</v>
      </c>
      <c r="G272" s="210">
        <v>-24</v>
      </c>
      <c r="H272" s="210">
        <v>8</v>
      </c>
    </row>
    <row r="273" spans="1:8" x14ac:dyDescent="0.25">
      <c r="A273" s="6">
        <f ca="1">IFERROR(__xludf.DUMMYFUNCTION("""COMPUTED_VALUE"""),44162)</f>
        <v>44162</v>
      </c>
      <c r="B273" s="212">
        <v>0.15051963451210157</v>
      </c>
      <c r="C273" s="210">
        <v>-17</v>
      </c>
      <c r="D273" s="210">
        <v>-2</v>
      </c>
      <c r="E273" s="210">
        <v>-17</v>
      </c>
      <c r="F273" s="210">
        <v>-30</v>
      </c>
      <c r="G273" s="210">
        <v>-23</v>
      </c>
      <c r="H273" s="210">
        <v>8</v>
      </c>
    </row>
    <row r="274" spans="1:8" x14ac:dyDescent="0.25">
      <c r="A274" s="6">
        <f ca="1">IFERROR(__xludf.DUMMYFUNCTION("""COMPUTED_VALUE"""),44163)</f>
        <v>44163</v>
      </c>
      <c r="B274" s="212">
        <v>0.15197861756626327</v>
      </c>
      <c r="C274" s="210">
        <v>-17</v>
      </c>
      <c r="D274" s="210">
        <v>0</v>
      </c>
      <c r="E274" s="210">
        <v>-20</v>
      </c>
      <c r="F274" s="210">
        <v>-26</v>
      </c>
      <c r="G274" s="210">
        <v>-15</v>
      </c>
      <c r="H274" s="210">
        <v>6</v>
      </c>
    </row>
    <row r="275" spans="1:8" x14ac:dyDescent="0.25">
      <c r="A275" s="6">
        <f ca="1">IFERROR(__xludf.DUMMYFUNCTION("""COMPUTED_VALUE"""),44164)</f>
        <v>44164</v>
      </c>
      <c r="B275" s="212">
        <v>0.16344069371322389</v>
      </c>
      <c r="C275" s="210">
        <v>-19</v>
      </c>
      <c r="D275" s="210">
        <v>-3</v>
      </c>
      <c r="E275" s="210">
        <v>-16</v>
      </c>
      <c r="F275" s="210">
        <v>-28</v>
      </c>
      <c r="G275" s="210">
        <v>-9</v>
      </c>
      <c r="H275" s="210">
        <v>6</v>
      </c>
    </row>
    <row r="276" spans="1:8" x14ac:dyDescent="0.25">
      <c r="A276" s="6">
        <f ca="1">IFERROR(__xludf.DUMMYFUNCTION("""COMPUTED_VALUE"""),44165)</f>
        <v>44165</v>
      </c>
      <c r="B276" s="212">
        <v>0.20678279229348112</v>
      </c>
      <c r="C276" s="210">
        <v>-14</v>
      </c>
      <c r="D276" s="210">
        <v>4</v>
      </c>
      <c r="E276" s="210">
        <v>-14</v>
      </c>
      <c r="F276" s="210">
        <v>-30</v>
      </c>
      <c r="G276" s="210">
        <v>-24</v>
      </c>
      <c r="H276" s="210">
        <v>7</v>
      </c>
    </row>
    <row r="277" spans="1:8" x14ac:dyDescent="0.25">
      <c r="A277" s="6">
        <f ca="1">IFERROR(__xludf.DUMMYFUNCTION("""COMPUTED_VALUE"""),44166)</f>
        <v>44166</v>
      </c>
      <c r="B277" s="212">
        <v>0.19912210694333599</v>
      </c>
      <c r="C277" s="210">
        <v>-14</v>
      </c>
      <c r="D277" s="210">
        <v>7</v>
      </c>
      <c r="E277" s="210">
        <v>-14</v>
      </c>
      <c r="F277" s="210">
        <v>-28</v>
      </c>
      <c r="G277" s="210">
        <v>-25</v>
      </c>
      <c r="H277" s="210">
        <v>7</v>
      </c>
    </row>
    <row r="278" spans="1:8" x14ac:dyDescent="0.25">
      <c r="A278" s="6">
        <f ca="1">IFERROR(__xludf.DUMMYFUNCTION("""COMPUTED_VALUE"""),44167)</f>
        <v>44167</v>
      </c>
      <c r="B278" s="212">
        <v>0.18098491792350638</v>
      </c>
      <c r="C278" s="210">
        <v>-13</v>
      </c>
      <c r="D278" s="210">
        <v>7</v>
      </c>
      <c r="E278" s="210">
        <v>-12</v>
      </c>
      <c r="F278" s="210">
        <v>-29</v>
      </c>
      <c r="G278" s="210">
        <v>-24</v>
      </c>
      <c r="H278" s="210">
        <v>7</v>
      </c>
    </row>
    <row r="279" spans="1:8" x14ac:dyDescent="0.25">
      <c r="A279" s="6">
        <f ca="1">IFERROR(__xludf.DUMMYFUNCTION("""COMPUTED_VALUE"""),44168)</f>
        <v>44168</v>
      </c>
      <c r="B279" s="212">
        <v>0.18502929768094412</v>
      </c>
      <c r="C279" s="210">
        <v>-13</v>
      </c>
      <c r="D279" s="210">
        <v>5</v>
      </c>
      <c r="E279" s="210">
        <v>-13</v>
      </c>
      <c r="F279" s="210">
        <v>-30</v>
      </c>
      <c r="G279" s="210">
        <v>-24</v>
      </c>
      <c r="H279" s="210">
        <v>8</v>
      </c>
    </row>
    <row r="280" spans="1:8" x14ac:dyDescent="0.25">
      <c r="A280" s="6">
        <f ca="1">IFERROR(__xludf.DUMMYFUNCTION("""COMPUTED_VALUE"""),44169)</f>
        <v>44169</v>
      </c>
      <c r="B280" s="212">
        <v>0.16939571150097466</v>
      </c>
      <c r="C280" s="210">
        <v>-15</v>
      </c>
      <c r="D280" s="210">
        <v>2</v>
      </c>
      <c r="E280" s="210">
        <v>-18</v>
      </c>
      <c r="F280" s="210">
        <v>-30</v>
      </c>
      <c r="G280" s="210">
        <v>-23</v>
      </c>
      <c r="H280" s="210">
        <v>8</v>
      </c>
    </row>
    <row r="281" spans="1:8" x14ac:dyDescent="0.25">
      <c r="A281" s="6">
        <f ca="1">IFERROR(__xludf.DUMMYFUNCTION("""COMPUTED_VALUE"""),44170)</f>
        <v>44170</v>
      </c>
      <c r="B281" s="212">
        <v>0.1847045380346066</v>
      </c>
      <c r="C281" s="210">
        <v>-17</v>
      </c>
      <c r="D281" s="210">
        <v>1</v>
      </c>
      <c r="E281" s="210">
        <v>-21</v>
      </c>
      <c r="F281" s="210">
        <v>-26</v>
      </c>
      <c r="G281" s="210">
        <v>-15</v>
      </c>
      <c r="H281" s="210">
        <v>6</v>
      </c>
    </row>
    <row r="282" spans="1:8" x14ac:dyDescent="0.25">
      <c r="A282" s="6">
        <f ca="1">IFERROR(__xludf.DUMMYFUNCTION("""COMPUTED_VALUE"""),44171)</f>
        <v>44171</v>
      </c>
      <c r="B282" s="212">
        <v>0.18757964488998385</v>
      </c>
      <c r="C282" s="210">
        <v>-18</v>
      </c>
      <c r="D282" s="210">
        <v>-2</v>
      </c>
      <c r="E282" s="210">
        <v>-20</v>
      </c>
      <c r="F282" s="210">
        <v>-30</v>
      </c>
      <c r="G282" s="210">
        <v>-11</v>
      </c>
      <c r="H282" s="210">
        <v>7</v>
      </c>
    </row>
    <row r="283" spans="1:8" x14ac:dyDescent="0.25">
      <c r="A283" s="6">
        <f ca="1">IFERROR(__xludf.DUMMYFUNCTION("""COMPUTED_VALUE"""),44172)</f>
        <v>44172</v>
      </c>
      <c r="B283" s="212">
        <v>0.17623074599818786</v>
      </c>
      <c r="C283" s="210">
        <v>-16</v>
      </c>
      <c r="D283" s="210">
        <v>1</v>
      </c>
      <c r="E283" s="210">
        <v>-16</v>
      </c>
      <c r="F283" s="210">
        <v>-31</v>
      </c>
      <c r="G283" s="210">
        <v>-26</v>
      </c>
      <c r="H283" s="210">
        <v>8</v>
      </c>
    </row>
    <row r="284" spans="1:8" x14ac:dyDescent="0.25">
      <c r="A284" s="6">
        <f ca="1">IFERROR(__xludf.DUMMYFUNCTION("""COMPUTED_VALUE"""),44173)</f>
        <v>44173</v>
      </c>
      <c r="B284" s="212">
        <v>0.16389789303079416</v>
      </c>
      <c r="C284" s="210">
        <v>-13</v>
      </c>
      <c r="D284" s="210">
        <v>5</v>
      </c>
      <c r="E284" s="210">
        <v>-11</v>
      </c>
      <c r="F284" s="210">
        <v>-28</v>
      </c>
      <c r="G284" s="210">
        <v>-25</v>
      </c>
      <c r="H284" s="210">
        <v>6</v>
      </c>
    </row>
    <row r="285" spans="1:8" x14ac:dyDescent="0.25">
      <c r="A285" s="6">
        <f ca="1">IFERROR(__xludf.DUMMYFUNCTION("""COMPUTED_VALUE"""),44174)</f>
        <v>44174</v>
      </c>
      <c r="B285" s="212">
        <v>0.18346217559359471</v>
      </c>
      <c r="C285" s="210">
        <v>-14</v>
      </c>
      <c r="D285" s="210">
        <v>1</v>
      </c>
      <c r="E285" s="210">
        <v>-4</v>
      </c>
      <c r="F285" s="210">
        <v>-36</v>
      </c>
      <c r="G285" s="210">
        <v>-56</v>
      </c>
      <c r="H285" s="210">
        <v>15</v>
      </c>
    </row>
    <row r="286" spans="1:8" x14ac:dyDescent="0.25">
      <c r="A286" s="6">
        <f ca="1">IFERROR(__xludf.DUMMYFUNCTION("""COMPUTED_VALUE"""),44175)</f>
        <v>44175</v>
      </c>
      <c r="B286" s="212">
        <v>0.16332504024586567</v>
      </c>
      <c r="C286" s="210">
        <v>-14</v>
      </c>
      <c r="D286" s="210">
        <v>6</v>
      </c>
      <c r="E286" s="210">
        <v>-9</v>
      </c>
      <c r="F286" s="210">
        <v>-26</v>
      </c>
      <c r="G286" s="210">
        <v>-22</v>
      </c>
      <c r="H286" s="210">
        <v>9</v>
      </c>
    </row>
    <row r="287" spans="1:8" x14ac:dyDescent="0.25">
      <c r="A287" s="6">
        <f ca="1">IFERROR(__xludf.DUMMYFUNCTION("""COMPUTED_VALUE"""),44176)</f>
        <v>44176</v>
      </c>
      <c r="B287" s="212">
        <v>0.17642867322217473</v>
      </c>
      <c r="C287" s="210">
        <v>-16</v>
      </c>
      <c r="D287" s="210">
        <v>1</v>
      </c>
      <c r="E287" s="210">
        <v>-14</v>
      </c>
      <c r="F287" s="210">
        <v>-28</v>
      </c>
      <c r="G287" s="210">
        <v>-21</v>
      </c>
      <c r="H287" s="210">
        <v>12</v>
      </c>
    </row>
    <row r="288" spans="1:8" x14ac:dyDescent="0.25">
      <c r="A288" s="6">
        <f ca="1">IFERROR(__xludf.DUMMYFUNCTION("""COMPUTED_VALUE"""),44177)</f>
        <v>44177</v>
      </c>
      <c r="B288" s="212">
        <v>0.18683699387419692</v>
      </c>
      <c r="C288" s="210">
        <v>-19</v>
      </c>
      <c r="D288" s="210">
        <v>1</v>
      </c>
      <c r="E288" s="210">
        <v>-20</v>
      </c>
      <c r="F288" s="210">
        <v>-24</v>
      </c>
      <c r="G288" s="210">
        <v>-13</v>
      </c>
      <c r="H288" s="210">
        <v>9</v>
      </c>
    </row>
    <row r="289" spans="1:8" x14ac:dyDescent="0.25">
      <c r="A289" s="6">
        <f ca="1">IFERROR(__xludf.DUMMYFUNCTION("""COMPUTED_VALUE"""),44178)</f>
        <v>44178</v>
      </c>
      <c r="B289" s="212">
        <v>0.21608808686343478</v>
      </c>
      <c r="C289" s="210">
        <v>-18</v>
      </c>
      <c r="D289" s="210">
        <v>-1</v>
      </c>
      <c r="E289" s="210">
        <v>-12</v>
      </c>
      <c r="F289" s="210">
        <v>-24</v>
      </c>
      <c r="G289" s="210">
        <v>-5</v>
      </c>
      <c r="H289" s="210">
        <v>9</v>
      </c>
    </row>
    <row r="290" spans="1:8" x14ac:dyDescent="0.25">
      <c r="A290" s="6">
        <f ca="1">IFERROR(__xludf.DUMMYFUNCTION("""COMPUTED_VALUE"""),44179)</f>
        <v>44179</v>
      </c>
      <c r="B290" s="212">
        <v>0.20573582873300122</v>
      </c>
      <c r="C290" s="210">
        <v>-15</v>
      </c>
      <c r="D290" s="210">
        <v>2</v>
      </c>
      <c r="E290" s="210">
        <v>-9</v>
      </c>
      <c r="F290" s="210">
        <v>-27</v>
      </c>
      <c r="G290" s="210">
        <v>-22</v>
      </c>
      <c r="H290" s="210">
        <v>11</v>
      </c>
    </row>
    <row r="291" spans="1:8" x14ac:dyDescent="0.25">
      <c r="A291" s="6">
        <f ca="1">IFERROR(__xludf.DUMMYFUNCTION("""COMPUTED_VALUE"""),44180)</f>
        <v>44180</v>
      </c>
      <c r="B291" s="212">
        <v>0.20273807127038454</v>
      </c>
      <c r="C291" s="210">
        <v>-15</v>
      </c>
      <c r="D291" s="210">
        <v>3</v>
      </c>
      <c r="E291" s="210">
        <v>-9</v>
      </c>
      <c r="F291" s="210">
        <v>-25</v>
      </c>
      <c r="G291" s="210">
        <v>-24</v>
      </c>
      <c r="H291" s="210">
        <v>11</v>
      </c>
    </row>
    <row r="292" spans="1:8" x14ac:dyDescent="0.25">
      <c r="A292" s="6">
        <f ca="1">IFERROR(__xludf.DUMMYFUNCTION("""COMPUTED_VALUE"""),44181)</f>
        <v>44181</v>
      </c>
      <c r="B292" s="212">
        <v>0.18078800557880056</v>
      </c>
      <c r="C292" s="210">
        <v>-14</v>
      </c>
      <c r="D292" s="210">
        <v>4</v>
      </c>
      <c r="E292" s="210">
        <v>-7</v>
      </c>
      <c r="F292" s="210">
        <v>-25</v>
      </c>
      <c r="G292" s="210">
        <v>-23</v>
      </c>
      <c r="H292" s="210">
        <v>11</v>
      </c>
    </row>
    <row r="293" spans="1:8" x14ac:dyDescent="0.25">
      <c r="A293" s="6">
        <f ca="1">IFERROR(__xludf.DUMMYFUNCTION("""COMPUTED_VALUE"""),44182)</f>
        <v>44182</v>
      </c>
      <c r="B293" s="212">
        <v>0.20416587286467264</v>
      </c>
      <c r="C293" s="210">
        <v>-15</v>
      </c>
      <c r="D293" s="210">
        <v>3</v>
      </c>
      <c r="E293" s="210">
        <v>-10</v>
      </c>
      <c r="F293" s="210">
        <v>-23</v>
      </c>
      <c r="G293" s="210">
        <v>-23</v>
      </c>
      <c r="H293" s="210">
        <v>11</v>
      </c>
    </row>
    <row r="294" spans="1:8" x14ac:dyDescent="0.25">
      <c r="A294" s="6">
        <f ca="1">IFERROR(__xludf.DUMMYFUNCTION("""COMPUTED_VALUE"""),44183)</f>
        <v>44183</v>
      </c>
      <c r="B294" s="212">
        <v>0.17229492499202043</v>
      </c>
      <c r="C294" s="210">
        <v>-16</v>
      </c>
      <c r="D294" s="210">
        <v>2</v>
      </c>
      <c r="E294" s="210">
        <v>-13</v>
      </c>
      <c r="F294" s="210">
        <v>-25</v>
      </c>
      <c r="G294" s="210">
        <v>-21</v>
      </c>
      <c r="H294" s="210">
        <v>11</v>
      </c>
    </row>
    <row r="295" spans="1:8" x14ac:dyDescent="0.25">
      <c r="A295" s="6">
        <f ca="1">IFERROR(__xludf.DUMMYFUNCTION("""COMPUTED_VALUE"""),44184)</f>
        <v>44184</v>
      </c>
      <c r="B295" s="212">
        <v>0.17343015805211448</v>
      </c>
      <c r="C295" s="210">
        <v>-15</v>
      </c>
      <c r="D295" s="210">
        <v>5</v>
      </c>
      <c r="E295" s="210">
        <v>-13</v>
      </c>
      <c r="F295" s="210">
        <v>-20</v>
      </c>
      <c r="G295" s="210">
        <v>-12</v>
      </c>
      <c r="H295" s="210">
        <v>8</v>
      </c>
    </row>
    <row r="296" spans="1:8" x14ac:dyDescent="0.25">
      <c r="A296" s="6">
        <f ca="1">IFERROR(__xludf.DUMMYFUNCTION("""COMPUTED_VALUE"""),44185)</f>
        <v>44185</v>
      </c>
      <c r="B296" s="212">
        <v>0.20131505316172357</v>
      </c>
      <c r="C296" s="210">
        <v>-15</v>
      </c>
      <c r="D296" s="210">
        <v>3</v>
      </c>
      <c r="E296" s="210">
        <v>-6</v>
      </c>
      <c r="F296" s="210">
        <v>-21</v>
      </c>
      <c r="G296" s="210">
        <v>-5</v>
      </c>
      <c r="H296" s="210">
        <v>8</v>
      </c>
    </row>
    <row r="297" spans="1:8" x14ac:dyDescent="0.25">
      <c r="A297" s="6">
        <f ca="1">IFERROR(__xludf.DUMMYFUNCTION("""COMPUTED_VALUE"""),44186)</f>
        <v>44186</v>
      </c>
      <c r="B297" s="212">
        <v>0.21251310730513806</v>
      </c>
      <c r="C297" s="210">
        <v>-11</v>
      </c>
      <c r="D297" s="210">
        <v>5</v>
      </c>
      <c r="E297" s="210">
        <v>-1</v>
      </c>
      <c r="F297" s="210">
        <v>-24</v>
      </c>
      <c r="G297" s="210">
        <v>-25</v>
      </c>
      <c r="H297" s="210">
        <v>11</v>
      </c>
    </row>
    <row r="298" spans="1:8" x14ac:dyDescent="0.25">
      <c r="A298" s="6">
        <f ca="1">IFERROR(__xludf.DUMMYFUNCTION("""COMPUTED_VALUE"""),44187)</f>
        <v>44187</v>
      </c>
      <c r="B298" s="212">
        <v>0.17553609520601773</v>
      </c>
      <c r="C298" s="210">
        <v>-11</v>
      </c>
      <c r="D298" s="210">
        <v>6</v>
      </c>
      <c r="E298" s="210">
        <v>0</v>
      </c>
      <c r="F298" s="210">
        <v>-21</v>
      </c>
      <c r="G298" s="210">
        <v>-26</v>
      </c>
      <c r="H298" s="210">
        <v>10</v>
      </c>
    </row>
    <row r="299" spans="1:8" x14ac:dyDescent="0.25">
      <c r="A299" s="6">
        <f ca="1">IFERROR(__xludf.DUMMYFUNCTION("""COMPUTED_VALUE"""),44188)</f>
        <v>44188</v>
      </c>
      <c r="B299" s="212">
        <v>0.16161077405160343</v>
      </c>
      <c r="C299" s="210">
        <v>-8</v>
      </c>
      <c r="D299" s="210">
        <v>12</v>
      </c>
      <c r="E299" s="210">
        <v>4</v>
      </c>
      <c r="F299" s="210">
        <v>-16</v>
      </c>
      <c r="G299" s="210">
        <v>-26</v>
      </c>
      <c r="H299" s="210">
        <v>9</v>
      </c>
    </row>
    <row r="300" spans="1:8" x14ac:dyDescent="0.25">
      <c r="A300" s="6">
        <f ca="1">IFERROR(__xludf.DUMMYFUNCTION("""COMPUTED_VALUE"""),44189)</f>
        <v>44189</v>
      </c>
      <c r="B300" s="212">
        <v>0.17701504049363673</v>
      </c>
      <c r="C300" s="210">
        <v>-7</v>
      </c>
      <c r="D300" s="210">
        <v>13</v>
      </c>
      <c r="E300" s="210">
        <v>12</v>
      </c>
      <c r="F300" s="210">
        <v>-17</v>
      </c>
      <c r="G300" s="210">
        <v>-43</v>
      </c>
      <c r="H300" s="210">
        <v>13</v>
      </c>
    </row>
    <row r="301" spans="1:8" x14ac:dyDescent="0.25">
      <c r="A301" s="6">
        <f ca="1">IFERROR(__xludf.DUMMYFUNCTION("""COMPUTED_VALUE"""),44190)</f>
        <v>44190</v>
      </c>
      <c r="B301" s="212">
        <v>0.16076450668656372</v>
      </c>
      <c r="C301" s="210">
        <v>-16</v>
      </c>
      <c r="D301" s="210">
        <v>-1</v>
      </c>
      <c r="E301" s="210">
        <v>10</v>
      </c>
      <c r="F301" s="210">
        <v>-33</v>
      </c>
      <c r="G301" s="210">
        <v>-57</v>
      </c>
      <c r="H301" s="210">
        <v>18</v>
      </c>
    </row>
    <row r="302" spans="1:8" x14ac:dyDescent="0.25">
      <c r="A302" s="6">
        <f ca="1">IFERROR(__xludf.DUMMYFUNCTION("""COMPUTED_VALUE"""),44191)</f>
        <v>44191</v>
      </c>
      <c r="B302" s="212">
        <v>0.17316923076923077</v>
      </c>
      <c r="C302" s="210">
        <v>-19</v>
      </c>
      <c r="D302" s="210">
        <v>0</v>
      </c>
      <c r="E302" s="210">
        <v>-4</v>
      </c>
      <c r="F302" s="210">
        <v>-28</v>
      </c>
      <c r="G302" s="210">
        <v>-25</v>
      </c>
      <c r="H302" s="210">
        <v>10</v>
      </c>
    </row>
    <row r="303" spans="1:8" x14ac:dyDescent="0.25">
      <c r="A303" s="6">
        <f ca="1">IFERROR(__xludf.DUMMYFUNCTION("""COMPUTED_VALUE"""),44192)</f>
        <v>44192</v>
      </c>
      <c r="B303" s="212">
        <v>0.16664572864321608</v>
      </c>
      <c r="C303" s="210">
        <v>-18</v>
      </c>
      <c r="D303" s="210">
        <v>-1</v>
      </c>
      <c r="E303" s="210">
        <v>-1</v>
      </c>
      <c r="F303" s="210">
        <v>-23</v>
      </c>
      <c r="G303" s="210">
        <v>-6</v>
      </c>
      <c r="H303" s="210">
        <v>8</v>
      </c>
    </row>
    <row r="304" spans="1:8" x14ac:dyDescent="0.25">
      <c r="A304" s="6">
        <f ca="1">IFERROR(__xludf.DUMMYFUNCTION("""COMPUTED_VALUE"""),44193)</f>
        <v>44193</v>
      </c>
      <c r="B304" s="212">
        <v>0.19125804304415353</v>
      </c>
      <c r="C304" s="210">
        <v>-12</v>
      </c>
      <c r="D304" s="210">
        <v>6</v>
      </c>
      <c r="E304" s="210">
        <v>4</v>
      </c>
      <c r="F304" s="210">
        <v>-26</v>
      </c>
      <c r="G304" s="210">
        <v>-29</v>
      </c>
      <c r="H304" s="210">
        <v>12</v>
      </c>
    </row>
    <row r="305" spans="1:8" x14ac:dyDescent="0.25">
      <c r="A305" s="6">
        <f ca="1">IFERROR(__xludf.DUMMYFUNCTION("""COMPUTED_VALUE"""),44194)</f>
        <v>44194</v>
      </c>
      <c r="B305" s="212">
        <v>0.16475710357470211</v>
      </c>
      <c r="C305" s="210">
        <v>-15</v>
      </c>
      <c r="D305" s="210">
        <v>3</v>
      </c>
      <c r="E305" s="210">
        <v>1</v>
      </c>
      <c r="F305" s="210">
        <v>-26</v>
      </c>
      <c r="G305" s="210">
        <v>-31</v>
      </c>
      <c r="H305" s="210">
        <v>12</v>
      </c>
    </row>
    <row r="306" spans="1:8" x14ac:dyDescent="0.25">
      <c r="A306" s="6">
        <f ca="1">IFERROR(__xludf.DUMMYFUNCTION("""COMPUTED_VALUE"""),44195)</f>
        <v>44195</v>
      </c>
      <c r="B306" s="212">
        <v>0.15670321896002831</v>
      </c>
      <c r="C306" s="210">
        <v>-12</v>
      </c>
      <c r="D306" s="210">
        <v>9</v>
      </c>
      <c r="E306" s="210">
        <v>4</v>
      </c>
      <c r="F306" s="210">
        <v>-22</v>
      </c>
      <c r="G306" s="210">
        <v>-31</v>
      </c>
      <c r="H306" s="210">
        <v>11</v>
      </c>
    </row>
    <row r="307" spans="1:8" x14ac:dyDescent="0.25">
      <c r="A307" s="6">
        <f ca="1">IFERROR(__xludf.DUMMYFUNCTION("""COMPUTED_VALUE"""),44196)</f>
        <v>44196</v>
      </c>
      <c r="B307" s="212">
        <v>0.17504868058819581</v>
      </c>
      <c r="C307" s="210">
        <v>-7</v>
      </c>
      <c r="D307" s="210">
        <v>23</v>
      </c>
      <c r="E307" s="210">
        <v>19</v>
      </c>
      <c r="F307" s="210">
        <v>-21</v>
      </c>
      <c r="G307" s="210">
        <v>-46</v>
      </c>
      <c r="H307" s="210">
        <v>12</v>
      </c>
    </row>
    <row r="308" spans="1:8" x14ac:dyDescent="0.25">
      <c r="A308" s="6">
        <f ca="1">IFERROR(__xludf.DUMMYFUNCTION("""COMPUTED_VALUE"""),44197)</f>
        <v>44197</v>
      </c>
      <c r="B308" s="212">
        <v>0.18240552926151304</v>
      </c>
      <c r="C308" s="210">
        <v>-25</v>
      </c>
      <c r="D308" s="210">
        <v>-8</v>
      </c>
      <c r="E308" s="210">
        <v>18</v>
      </c>
      <c r="F308" s="210">
        <v>-42</v>
      </c>
      <c r="G308" s="210">
        <v>-66</v>
      </c>
      <c r="H308" s="210">
        <v>19</v>
      </c>
    </row>
    <row r="309" spans="1:8" x14ac:dyDescent="0.25">
      <c r="A309" s="6">
        <f ca="1">IFERROR(__xludf.DUMMYFUNCTION("""COMPUTED_VALUE"""),44198)</f>
        <v>44198</v>
      </c>
      <c r="B309" s="212">
        <v>0.16169491525423729</v>
      </c>
      <c r="C309" s="210">
        <v>-20</v>
      </c>
      <c r="D309" s="210">
        <v>3</v>
      </c>
      <c r="E309" s="210">
        <v>0</v>
      </c>
      <c r="F309" s="210">
        <v>-27</v>
      </c>
      <c r="G309" s="210">
        <v>-32</v>
      </c>
      <c r="H309" s="210">
        <v>11</v>
      </c>
    </row>
    <row r="310" spans="1:8" x14ac:dyDescent="0.25">
      <c r="A310" s="6">
        <f ca="1">IFERROR(__xludf.DUMMYFUNCTION("""COMPUTED_VALUE"""),44199)</f>
        <v>44199</v>
      </c>
      <c r="B310" s="212">
        <v>0.18193438432040904</v>
      </c>
      <c r="C310" s="210">
        <v>-21</v>
      </c>
      <c r="D310" s="210">
        <v>-2</v>
      </c>
      <c r="E310" s="210">
        <v>-6</v>
      </c>
      <c r="F310" s="210">
        <v>-22</v>
      </c>
      <c r="G310" s="210">
        <v>-9</v>
      </c>
      <c r="H310" s="210">
        <v>9</v>
      </c>
    </row>
    <row r="311" spans="1:8" x14ac:dyDescent="0.25">
      <c r="A311" s="6">
        <f ca="1">IFERROR(__xludf.DUMMYFUNCTION("""COMPUTED_VALUE"""),44200)</f>
        <v>44200</v>
      </c>
      <c r="B311" s="212">
        <v>0.2002927867979771</v>
      </c>
      <c r="C311" s="210">
        <v>-15</v>
      </c>
      <c r="D311" s="210">
        <v>5</v>
      </c>
      <c r="E311" s="210">
        <v>-5</v>
      </c>
      <c r="F311" s="210">
        <v>-26</v>
      </c>
      <c r="G311" s="210">
        <v>-24</v>
      </c>
      <c r="H311" s="210">
        <v>11</v>
      </c>
    </row>
    <row r="312" spans="1:8" x14ac:dyDescent="0.25">
      <c r="A312" s="6">
        <f ca="1">IFERROR(__xludf.DUMMYFUNCTION("""COMPUTED_VALUE"""),44201)</f>
        <v>44201</v>
      </c>
      <c r="B312" s="212">
        <v>0.18103384157679434</v>
      </c>
      <c r="C312" s="210">
        <v>-18</v>
      </c>
      <c r="D312" s="210">
        <v>3</v>
      </c>
      <c r="E312" s="210">
        <v>-10</v>
      </c>
      <c r="F312" s="210">
        <v>-27</v>
      </c>
      <c r="G312" s="210">
        <v>-25</v>
      </c>
      <c r="H312" s="210">
        <v>12</v>
      </c>
    </row>
    <row r="313" spans="1:8" x14ac:dyDescent="0.25">
      <c r="A313" s="6">
        <f ca="1">IFERROR(__xludf.DUMMYFUNCTION("""COMPUTED_VALUE"""),44202)</f>
        <v>44202</v>
      </c>
      <c r="B313" s="212">
        <v>0.17268252666119771</v>
      </c>
      <c r="C313" s="210">
        <v>-15</v>
      </c>
      <c r="D313" s="210">
        <v>4</v>
      </c>
      <c r="E313" s="210">
        <v>-8</v>
      </c>
      <c r="F313" s="210">
        <v>-29</v>
      </c>
      <c r="G313" s="210">
        <v>-24</v>
      </c>
      <c r="H313" s="210">
        <v>12</v>
      </c>
    </row>
    <row r="314" spans="1:8" x14ac:dyDescent="0.25">
      <c r="A314" s="6">
        <f ca="1">IFERROR(__xludf.DUMMYFUNCTION("""COMPUTED_VALUE"""),44203)</f>
        <v>44203</v>
      </c>
      <c r="B314" s="212">
        <v>0.16194305726700825</v>
      </c>
      <c r="C314" s="210">
        <v>-16</v>
      </c>
      <c r="D314" s="210">
        <v>4</v>
      </c>
      <c r="E314" s="210">
        <v>-10</v>
      </c>
      <c r="F314" s="210">
        <v>-30</v>
      </c>
      <c r="G314" s="210">
        <v>-24</v>
      </c>
      <c r="H314" s="210">
        <v>12</v>
      </c>
    </row>
    <row r="315" spans="1:8" x14ac:dyDescent="0.25">
      <c r="A315" s="6">
        <f ca="1">IFERROR(__xludf.DUMMYFUNCTION("""COMPUTED_VALUE"""),44204)</f>
        <v>44204</v>
      </c>
      <c r="B315" s="212">
        <v>0.13861003861003862</v>
      </c>
      <c r="C315" s="210">
        <v>-18</v>
      </c>
      <c r="D315" s="210">
        <v>0</v>
      </c>
      <c r="E315" s="210">
        <v>-16</v>
      </c>
      <c r="F315" s="210">
        <v>-33</v>
      </c>
      <c r="G315" s="210">
        <v>-23</v>
      </c>
      <c r="H315" s="210">
        <v>12</v>
      </c>
    </row>
    <row r="316" spans="1:8" x14ac:dyDescent="0.25">
      <c r="A316" s="6">
        <f ca="1">IFERROR(__xludf.DUMMYFUNCTION("""COMPUTED_VALUE"""),44205)</f>
        <v>44205</v>
      </c>
      <c r="B316" s="212">
        <v>0.16279376815421179</v>
      </c>
      <c r="C316" s="210">
        <v>-22</v>
      </c>
      <c r="D316" s="210">
        <v>-4</v>
      </c>
      <c r="E316" s="210">
        <v>-22</v>
      </c>
      <c r="F316" s="210">
        <v>-33</v>
      </c>
      <c r="G316" s="210">
        <v>-16</v>
      </c>
      <c r="H316" s="210">
        <v>10</v>
      </c>
    </row>
    <row r="317" spans="1:8" x14ac:dyDescent="0.25">
      <c r="A317" s="6">
        <f ca="1">IFERROR(__xludf.DUMMYFUNCTION("""COMPUTED_VALUE"""),44206)</f>
        <v>44206</v>
      </c>
      <c r="B317" s="212">
        <v>0.14527720739219713</v>
      </c>
      <c r="C317" s="210">
        <v>-20</v>
      </c>
      <c r="D317" s="210">
        <v>-1</v>
      </c>
      <c r="E317" s="210">
        <v>-16</v>
      </c>
      <c r="F317" s="210">
        <v>-30</v>
      </c>
      <c r="G317" s="210">
        <v>-8</v>
      </c>
      <c r="H317" s="210">
        <v>9</v>
      </c>
    </row>
    <row r="318" spans="1:8" x14ac:dyDescent="0.25">
      <c r="A318" s="6">
        <f ca="1">IFERROR(__xludf.DUMMYFUNCTION("""COMPUTED_VALUE"""),44207)</f>
        <v>44207</v>
      </c>
      <c r="B318" s="212">
        <v>0.16108207808177066</v>
      </c>
      <c r="C318" s="210">
        <v>-18</v>
      </c>
      <c r="D318" s="210">
        <v>-2</v>
      </c>
      <c r="E318" s="210">
        <v>-14</v>
      </c>
      <c r="F318" s="210">
        <v>-35</v>
      </c>
      <c r="G318" s="210">
        <v>-25</v>
      </c>
      <c r="H318" s="210">
        <v>11</v>
      </c>
    </row>
    <row r="319" spans="1:8" x14ac:dyDescent="0.25">
      <c r="A319" s="6">
        <f ca="1">IFERROR(__xludf.DUMMYFUNCTION("""COMPUTED_VALUE"""),44208)</f>
        <v>44208</v>
      </c>
      <c r="B319" s="212">
        <v>0.1658182234170337</v>
      </c>
      <c r="C319" s="210">
        <v>-22</v>
      </c>
      <c r="D319" s="210">
        <v>-6</v>
      </c>
      <c r="E319" s="210">
        <v>-18</v>
      </c>
      <c r="F319" s="210">
        <v>-36</v>
      </c>
      <c r="G319" s="210">
        <v>-28</v>
      </c>
      <c r="H319" s="210">
        <v>12</v>
      </c>
    </row>
    <row r="320" spans="1:8" x14ac:dyDescent="0.25">
      <c r="A320" s="6">
        <f ca="1">IFERROR(__xludf.DUMMYFUNCTION("""COMPUTED_VALUE"""),44209)</f>
        <v>44209</v>
      </c>
      <c r="B320" s="212">
        <v>0.15342925350022582</v>
      </c>
      <c r="C320" s="210">
        <v>-23</v>
      </c>
      <c r="D320" s="210">
        <v>-8</v>
      </c>
      <c r="E320" s="210">
        <v>-19</v>
      </c>
      <c r="F320" s="210">
        <v>-38</v>
      </c>
      <c r="G320" s="210">
        <v>-29</v>
      </c>
      <c r="H320" s="210">
        <v>10</v>
      </c>
    </row>
    <row r="321" spans="1:8" x14ac:dyDescent="0.25">
      <c r="A321" s="6">
        <f ca="1">IFERROR(__xludf.DUMMYFUNCTION("""COMPUTED_VALUE"""),44210)</f>
        <v>44210</v>
      </c>
      <c r="B321" s="212">
        <v>0.15421026407573493</v>
      </c>
      <c r="C321" s="210">
        <v>-25</v>
      </c>
      <c r="D321" s="210">
        <v>-12</v>
      </c>
      <c r="E321" s="210">
        <v>-24</v>
      </c>
      <c r="F321" s="210">
        <v>-41</v>
      </c>
      <c r="G321" s="210">
        <v>-33</v>
      </c>
      <c r="H321" s="210">
        <v>10</v>
      </c>
    </row>
    <row r="322" spans="1:8" x14ac:dyDescent="0.25">
      <c r="A322" s="6">
        <f ca="1">IFERROR(__xludf.DUMMYFUNCTION("""COMPUTED_VALUE"""),44211)</f>
        <v>44211</v>
      </c>
      <c r="B322" s="212">
        <v>0.16375545851528384</v>
      </c>
      <c r="C322" s="210">
        <v>-30</v>
      </c>
      <c r="D322" s="210">
        <v>-18</v>
      </c>
      <c r="E322" s="210">
        <v>-30</v>
      </c>
      <c r="F322" s="210">
        <v>-45</v>
      </c>
      <c r="G322" s="210">
        <v>-34</v>
      </c>
      <c r="H322" s="210">
        <v>10</v>
      </c>
    </row>
    <row r="323" spans="1:8" x14ac:dyDescent="0.25">
      <c r="A323" s="6">
        <f ca="1">IFERROR(__xludf.DUMMYFUNCTION("""COMPUTED_VALUE"""),44212)</f>
        <v>44212</v>
      </c>
      <c r="B323" s="212">
        <v>0.14838505883282002</v>
      </c>
      <c r="C323" s="210">
        <v>-32</v>
      </c>
      <c r="D323" s="210">
        <v>-19</v>
      </c>
      <c r="E323" s="210">
        <v>-36</v>
      </c>
      <c r="F323" s="210">
        <v>-44</v>
      </c>
      <c r="G323" s="210">
        <v>-28</v>
      </c>
      <c r="H323" s="210">
        <v>9</v>
      </c>
    </row>
    <row r="324" spans="1:8" x14ac:dyDescent="0.25">
      <c r="A324" s="6">
        <f ca="1">IFERROR(__xludf.DUMMYFUNCTION("""COMPUTED_VALUE"""),44213)</f>
        <v>44213</v>
      </c>
      <c r="B324" s="212">
        <v>0.17366548042704627</v>
      </c>
      <c r="C324" s="210">
        <v>-32</v>
      </c>
      <c r="D324" s="210">
        <v>-19</v>
      </c>
      <c r="E324" s="210">
        <v>-30</v>
      </c>
      <c r="F324" s="210">
        <v>-44</v>
      </c>
      <c r="G324" s="210">
        <v>-21</v>
      </c>
      <c r="H324" s="210">
        <v>9</v>
      </c>
    </row>
    <row r="325" spans="1:8" x14ac:dyDescent="0.25">
      <c r="A325" s="6">
        <f ca="1">IFERROR(__xludf.DUMMYFUNCTION("""COMPUTED_VALUE"""),44214)</f>
        <v>44214</v>
      </c>
      <c r="B325" s="212">
        <v>0.14060031595576619</v>
      </c>
      <c r="C325" s="210">
        <v>-30</v>
      </c>
      <c r="D325" s="210">
        <v>-19</v>
      </c>
      <c r="E325" s="210">
        <v>-30</v>
      </c>
      <c r="F325" s="210">
        <v>-44</v>
      </c>
      <c r="G325" s="210">
        <v>-35</v>
      </c>
      <c r="H325" s="210">
        <v>12</v>
      </c>
    </row>
    <row r="326" spans="1:8" x14ac:dyDescent="0.25">
      <c r="A326" s="6">
        <f ca="1">IFERROR(__xludf.DUMMYFUNCTION("""COMPUTED_VALUE"""),44215)</f>
        <v>44215</v>
      </c>
      <c r="B326" s="212">
        <v>0.14061010486177311</v>
      </c>
      <c r="C326" s="210">
        <v>-29</v>
      </c>
      <c r="D326" s="210">
        <v>-16</v>
      </c>
      <c r="E326" s="210">
        <v>-27</v>
      </c>
      <c r="F326" s="210">
        <v>-43</v>
      </c>
      <c r="G326" s="210">
        <v>-35</v>
      </c>
      <c r="H326" s="210">
        <v>11</v>
      </c>
    </row>
    <row r="327" spans="1:8" x14ac:dyDescent="0.25">
      <c r="A327" s="6">
        <f ca="1">IFERROR(__xludf.DUMMYFUNCTION("""COMPUTED_VALUE"""),44216)</f>
        <v>44216</v>
      </c>
      <c r="B327" s="212">
        <v>0.15427166564228642</v>
      </c>
      <c r="C327" s="210">
        <v>-28</v>
      </c>
      <c r="D327" s="210">
        <v>-15</v>
      </c>
      <c r="E327" s="210">
        <v>-25</v>
      </c>
      <c r="F327" s="210">
        <v>-43</v>
      </c>
      <c r="G327" s="210">
        <v>-34</v>
      </c>
      <c r="H327" s="210">
        <v>11</v>
      </c>
    </row>
    <row r="328" spans="1:8" x14ac:dyDescent="0.25">
      <c r="A328" s="6">
        <f ca="1">IFERROR(__xludf.DUMMYFUNCTION("""COMPUTED_VALUE"""),44217)</f>
        <v>44217</v>
      </c>
      <c r="B328" s="212">
        <v>0.1321960258130471</v>
      </c>
      <c r="C328" s="210">
        <v>-27</v>
      </c>
      <c r="D328" s="210">
        <v>-15</v>
      </c>
      <c r="E328" s="210">
        <v>-26</v>
      </c>
      <c r="F328" s="210">
        <v>-43</v>
      </c>
      <c r="G328" s="210">
        <v>-33</v>
      </c>
      <c r="H328" s="210">
        <v>12</v>
      </c>
    </row>
    <row r="329" spans="1:8" x14ac:dyDescent="0.25">
      <c r="A329" s="6">
        <f ca="1">IFERROR(__xludf.DUMMYFUNCTION("""COMPUTED_VALUE"""),44218)</f>
        <v>44218</v>
      </c>
      <c r="B329" s="212">
        <v>0.13733162766197607</v>
      </c>
      <c r="C329" s="210">
        <v>-29</v>
      </c>
      <c r="D329" s="210">
        <v>-17</v>
      </c>
      <c r="E329" s="210">
        <v>-30</v>
      </c>
      <c r="F329" s="210">
        <v>-44</v>
      </c>
      <c r="G329" s="210">
        <v>-32</v>
      </c>
      <c r="H329" s="210">
        <v>12</v>
      </c>
    </row>
    <row r="330" spans="1:8" x14ac:dyDescent="0.25">
      <c r="A330" s="6">
        <f ca="1">IFERROR(__xludf.DUMMYFUNCTION("""COMPUTED_VALUE"""),44219)</f>
        <v>44219</v>
      </c>
      <c r="B330" s="212">
        <v>0.15204449318502272</v>
      </c>
      <c r="C330" s="210">
        <v>-27</v>
      </c>
      <c r="D330" s="210">
        <v>-13</v>
      </c>
      <c r="E330" s="210">
        <v>-30</v>
      </c>
      <c r="F330" s="210">
        <v>-41</v>
      </c>
      <c r="G330" s="210">
        <v>-23</v>
      </c>
      <c r="H330" s="210">
        <v>9</v>
      </c>
    </row>
    <row r="331" spans="1:8" x14ac:dyDescent="0.25">
      <c r="A331" s="6">
        <f ca="1">IFERROR(__xludf.DUMMYFUNCTION("""COMPUTED_VALUE"""),44220)</f>
        <v>44220</v>
      </c>
      <c r="B331" s="212">
        <v>0.14940873256519102</v>
      </c>
      <c r="C331" s="210">
        <v>-32</v>
      </c>
      <c r="D331" s="210">
        <v>-20</v>
      </c>
      <c r="E331" s="210">
        <v>-32</v>
      </c>
      <c r="F331" s="210">
        <v>-46</v>
      </c>
      <c r="G331" s="210">
        <v>-18</v>
      </c>
      <c r="H331" s="210">
        <v>11</v>
      </c>
    </row>
    <row r="332" spans="1:8" x14ac:dyDescent="0.25">
      <c r="A332" s="6">
        <f ca="1">IFERROR(__xludf.DUMMYFUNCTION("""COMPUTED_VALUE"""),44221)</f>
        <v>44221</v>
      </c>
      <c r="B332" s="212">
        <v>0.16988756148981027</v>
      </c>
      <c r="C332" s="210">
        <v>-25</v>
      </c>
      <c r="D332" s="210">
        <v>-12</v>
      </c>
      <c r="E332" s="210">
        <v>-24</v>
      </c>
      <c r="F332" s="210">
        <v>-41</v>
      </c>
      <c r="G332" s="210">
        <v>-31</v>
      </c>
      <c r="H332" s="210">
        <v>11</v>
      </c>
    </row>
    <row r="333" spans="1:8" x14ac:dyDescent="0.25">
      <c r="A333" s="6">
        <f ca="1">IFERROR(__xludf.DUMMYFUNCTION("""COMPUTED_VALUE"""),44222)</f>
        <v>44222</v>
      </c>
      <c r="B333" s="212">
        <v>0.13195406043821781</v>
      </c>
      <c r="C333" s="210">
        <v>-27</v>
      </c>
      <c r="D333" s="210">
        <v>-14</v>
      </c>
      <c r="E333" s="210">
        <v>-26</v>
      </c>
      <c r="F333" s="210">
        <v>-40</v>
      </c>
      <c r="G333" s="210">
        <v>-32</v>
      </c>
      <c r="H333" s="210">
        <v>11</v>
      </c>
    </row>
    <row r="334" spans="1:8" x14ac:dyDescent="0.25">
      <c r="A334" s="6">
        <f ca="1">IFERROR(__xludf.DUMMYFUNCTION("""COMPUTED_VALUE"""),44223)</f>
        <v>44223</v>
      </c>
      <c r="B334" s="212">
        <v>0.13373938961964621</v>
      </c>
      <c r="C334" s="210">
        <v>-26</v>
      </c>
      <c r="D334" s="210">
        <v>-12</v>
      </c>
      <c r="E334" s="210">
        <v>-26</v>
      </c>
      <c r="F334" s="210">
        <v>-40</v>
      </c>
      <c r="G334" s="210">
        <v>-31</v>
      </c>
      <c r="H334" s="210">
        <v>12</v>
      </c>
    </row>
    <row r="335" spans="1:8" x14ac:dyDescent="0.25">
      <c r="A335" s="6">
        <f ca="1">IFERROR(__xludf.DUMMYFUNCTION("""COMPUTED_VALUE"""),44224)</f>
        <v>44224</v>
      </c>
      <c r="B335" s="212">
        <v>0.15137389597644749</v>
      </c>
      <c r="C335" s="210">
        <v>-24</v>
      </c>
      <c r="D335" s="210">
        <v>-9</v>
      </c>
      <c r="E335" s="210">
        <v>-25</v>
      </c>
      <c r="F335" s="210">
        <v>-39</v>
      </c>
      <c r="G335" s="210">
        <v>-31</v>
      </c>
      <c r="H335" s="210">
        <v>11</v>
      </c>
    </row>
    <row r="336" spans="1:8" x14ac:dyDescent="0.25">
      <c r="A336" s="6">
        <f ca="1">IFERROR(__xludf.DUMMYFUNCTION("""COMPUTED_VALUE"""),44225)</f>
        <v>44225</v>
      </c>
      <c r="B336" s="212">
        <v>0.17138289368505197</v>
      </c>
      <c r="C336" s="210">
        <v>-27</v>
      </c>
      <c r="D336" s="210">
        <v>-12</v>
      </c>
      <c r="E336" s="210">
        <v>-30</v>
      </c>
      <c r="F336" s="210">
        <v>-40</v>
      </c>
      <c r="G336" s="210">
        <v>-29</v>
      </c>
      <c r="H336" s="210">
        <v>11</v>
      </c>
    </row>
    <row r="337" spans="1:8" x14ac:dyDescent="0.25">
      <c r="A337" s="6">
        <f ca="1">IFERROR(__xludf.DUMMYFUNCTION("""COMPUTED_VALUE"""),44226)</f>
        <v>44226</v>
      </c>
      <c r="B337" s="212">
        <v>0.16190476190476191</v>
      </c>
      <c r="C337" s="210">
        <v>-27</v>
      </c>
      <c r="D337" s="210">
        <v>-8</v>
      </c>
      <c r="E337" s="210">
        <v>-34</v>
      </c>
      <c r="F337" s="210">
        <v>-37</v>
      </c>
      <c r="G337" s="210">
        <v>-21</v>
      </c>
      <c r="H337" s="210">
        <v>7</v>
      </c>
    </row>
    <row r="338" spans="1:8" x14ac:dyDescent="0.25">
      <c r="A338" s="6">
        <f ca="1">IFERROR(__xludf.DUMMYFUNCTION("""COMPUTED_VALUE"""),44227)</f>
        <v>44227</v>
      </c>
      <c r="B338" s="212">
        <v>0.16581686849373273</v>
      </c>
      <c r="C338" s="210">
        <v>-24</v>
      </c>
      <c r="D338" s="210">
        <v>-5</v>
      </c>
      <c r="E338" s="210">
        <v>-28</v>
      </c>
      <c r="F338" s="210">
        <v>-36</v>
      </c>
      <c r="G338" s="210">
        <v>-13</v>
      </c>
      <c r="H338" s="210">
        <v>6</v>
      </c>
    </row>
    <row r="339" spans="1:8" x14ac:dyDescent="0.25">
      <c r="A339" s="6">
        <f ca="1">IFERROR(__xludf.DUMMYFUNCTION("""COMPUTED_VALUE"""),44228)</f>
        <v>44228</v>
      </c>
      <c r="B339" s="212">
        <v>0.1494632535094963</v>
      </c>
      <c r="C339" s="210">
        <v>-23</v>
      </c>
      <c r="D339" s="210">
        <v>-5</v>
      </c>
      <c r="E339" s="210">
        <v>-27</v>
      </c>
      <c r="F339" s="210">
        <v>-38</v>
      </c>
      <c r="G339" s="210">
        <v>-30</v>
      </c>
      <c r="H339" s="210">
        <v>8</v>
      </c>
    </row>
    <row r="340" spans="1:8" x14ac:dyDescent="0.25">
      <c r="A340" s="6">
        <f ca="1">IFERROR(__xludf.DUMMYFUNCTION("""COMPUTED_VALUE"""),44229)</f>
        <v>44229</v>
      </c>
      <c r="B340" s="212">
        <v>0.12586657063113352</v>
      </c>
      <c r="C340" s="210">
        <v>-22</v>
      </c>
      <c r="D340" s="210">
        <v>-3</v>
      </c>
      <c r="E340" s="210">
        <v>-25</v>
      </c>
      <c r="F340" s="210">
        <v>-36</v>
      </c>
      <c r="G340" s="210">
        <v>-31</v>
      </c>
      <c r="H340" s="210">
        <v>7</v>
      </c>
    </row>
    <row r="341" spans="1:8" x14ac:dyDescent="0.25">
      <c r="A341" s="6">
        <f ca="1">IFERROR(__xludf.DUMMYFUNCTION("""COMPUTED_VALUE"""),44230)</f>
        <v>44230</v>
      </c>
      <c r="B341" s="212">
        <v>0.14124137931034483</v>
      </c>
      <c r="C341" s="210">
        <v>-25</v>
      </c>
      <c r="D341" s="210">
        <v>-9</v>
      </c>
      <c r="E341" s="210">
        <v>-28</v>
      </c>
      <c r="F341" s="210">
        <v>-38</v>
      </c>
      <c r="G341" s="210">
        <v>-32</v>
      </c>
      <c r="H341" s="210">
        <v>8</v>
      </c>
    </row>
    <row r="342" spans="1:8" x14ac:dyDescent="0.25">
      <c r="A342" s="6">
        <f ca="1">IFERROR(__xludf.DUMMYFUNCTION("""COMPUTED_VALUE"""),44231)</f>
        <v>44231</v>
      </c>
      <c r="B342" s="212">
        <v>0.136599747297487</v>
      </c>
      <c r="C342" s="210">
        <v>-24</v>
      </c>
      <c r="D342" s="210">
        <v>-8</v>
      </c>
      <c r="E342" s="210">
        <v>-28</v>
      </c>
      <c r="F342" s="210">
        <v>-38</v>
      </c>
      <c r="G342" s="210">
        <v>-32</v>
      </c>
      <c r="H342" s="210">
        <v>8</v>
      </c>
    </row>
    <row r="343" spans="1:8" x14ac:dyDescent="0.25">
      <c r="A343" s="6">
        <f ca="1">IFERROR(__xludf.DUMMYFUNCTION("""COMPUTED_VALUE"""),44232)</f>
        <v>44232</v>
      </c>
      <c r="B343" s="212">
        <v>0.1278851643422233</v>
      </c>
      <c r="C343" s="210">
        <v>-21</v>
      </c>
      <c r="D343" s="210">
        <v>-4</v>
      </c>
      <c r="E343" s="210">
        <v>-27</v>
      </c>
      <c r="F343" s="210">
        <v>-37</v>
      </c>
      <c r="G343" s="210">
        <v>-30</v>
      </c>
      <c r="H343" s="210">
        <v>8</v>
      </c>
    </row>
    <row r="344" spans="1:8" x14ac:dyDescent="0.25">
      <c r="A344" s="6">
        <f ca="1">IFERROR(__xludf.DUMMYFUNCTION("""COMPUTED_VALUE"""),44233)</f>
        <v>44233</v>
      </c>
      <c r="B344" s="212">
        <v>0.12854094621440659</v>
      </c>
      <c r="C344" s="210">
        <v>-26</v>
      </c>
      <c r="D344" s="210">
        <v>-10</v>
      </c>
      <c r="E344" s="210">
        <v>-34</v>
      </c>
      <c r="F344" s="210">
        <v>-36</v>
      </c>
      <c r="G344" s="210">
        <v>-26</v>
      </c>
      <c r="H344" s="210">
        <v>7</v>
      </c>
    </row>
    <row r="345" spans="1:8" x14ac:dyDescent="0.25">
      <c r="A345" s="6">
        <f ca="1">IFERROR(__xludf.DUMMYFUNCTION("""COMPUTED_VALUE"""),44234)</f>
        <v>44234</v>
      </c>
      <c r="B345" s="212">
        <v>0.14358094941148961</v>
      </c>
      <c r="C345" s="210">
        <v>-30</v>
      </c>
      <c r="D345" s="210">
        <v>-16</v>
      </c>
      <c r="E345" s="210">
        <v>-34</v>
      </c>
      <c r="F345" s="210">
        <v>-41</v>
      </c>
      <c r="G345" s="210">
        <v>-20</v>
      </c>
      <c r="H345" s="210">
        <v>7</v>
      </c>
    </row>
    <row r="346" spans="1:8" x14ac:dyDescent="0.25">
      <c r="A346" s="6">
        <f ca="1">IFERROR(__xludf.DUMMYFUNCTION("""COMPUTED_VALUE"""),44235)</f>
        <v>44235</v>
      </c>
      <c r="B346" s="212">
        <v>0.13505824979680303</v>
      </c>
      <c r="C346" s="210">
        <v>-23</v>
      </c>
      <c r="D346" s="210">
        <v>-8</v>
      </c>
      <c r="E346" s="210">
        <v>-27</v>
      </c>
      <c r="F346" s="210">
        <v>-37</v>
      </c>
      <c r="G346" s="210">
        <v>-32</v>
      </c>
      <c r="H346" s="210">
        <v>8</v>
      </c>
    </row>
    <row r="347" spans="1:8" x14ac:dyDescent="0.25">
      <c r="A347" s="6">
        <f ca="1">IFERROR(__xludf.DUMMYFUNCTION("""COMPUTED_VALUE"""),44236)</f>
        <v>44236</v>
      </c>
      <c r="B347" s="212">
        <v>0.13761049849630913</v>
      </c>
      <c r="C347" s="210">
        <v>-21</v>
      </c>
      <c r="D347" s="210">
        <v>-4</v>
      </c>
      <c r="E347" s="210">
        <v>-24</v>
      </c>
      <c r="F347" s="210">
        <v>-34</v>
      </c>
      <c r="G347" s="210">
        <v>-32</v>
      </c>
      <c r="H347" s="210">
        <v>7</v>
      </c>
    </row>
    <row r="348" spans="1:8" x14ac:dyDescent="0.25">
      <c r="A348" s="6">
        <f ca="1">IFERROR(__xludf.DUMMYFUNCTION("""COMPUTED_VALUE"""),44237)</f>
        <v>44237</v>
      </c>
      <c r="B348" s="212">
        <v>0.14029268292682928</v>
      </c>
      <c r="C348" s="210">
        <v>-20</v>
      </c>
      <c r="D348" s="210">
        <v>-3</v>
      </c>
      <c r="E348" s="210">
        <v>-23</v>
      </c>
      <c r="F348" s="210">
        <v>-34</v>
      </c>
      <c r="G348" s="210">
        <v>-31</v>
      </c>
      <c r="H348" s="210">
        <v>7</v>
      </c>
    </row>
    <row r="349" spans="1:8" x14ac:dyDescent="0.25">
      <c r="A349" s="6">
        <f ca="1">IFERROR(__xludf.DUMMYFUNCTION("""COMPUTED_VALUE"""),44238)</f>
        <v>44238</v>
      </c>
      <c r="B349" s="212">
        <v>0.15224454611763147</v>
      </c>
      <c r="C349" s="210">
        <v>-16</v>
      </c>
      <c r="D349" s="210">
        <v>1</v>
      </c>
      <c r="E349" s="210">
        <v>-18</v>
      </c>
      <c r="F349" s="210">
        <v>-28</v>
      </c>
      <c r="G349" s="210">
        <v>-31</v>
      </c>
      <c r="H349" s="210">
        <v>6</v>
      </c>
    </row>
    <row r="350" spans="1:8" x14ac:dyDescent="0.25">
      <c r="A350" s="6">
        <f ca="1">IFERROR(__xludf.DUMMYFUNCTION("""COMPUTED_VALUE"""),44239)</f>
        <v>44239</v>
      </c>
      <c r="B350" s="212">
        <v>0.14461557884105541</v>
      </c>
      <c r="C350" s="210">
        <v>-22</v>
      </c>
      <c r="D350" s="210">
        <v>-8</v>
      </c>
      <c r="E350" s="210">
        <v>-14</v>
      </c>
      <c r="F350" s="210">
        <v>-41</v>
      </c>
      <c r="G350" s="210">
        <v>-61</v>
      </c>
      <c r="H350" s="210">
        <v>14</v>
      </c>
    </row>
    <row r="351" spans="1:8" x14ac:dyDescent="0.25">
      <c r="A351" s="6">
        <f ca="1">IFERROR(__xludf.DUMMYFUNCTION("""COMPUTED_VALUE"""),44240)</f>
        <v>44240</v>
      </c>
      <c r="B351" s="212">
        <v>0.13693009118541033</v>
      </c>
      <c r="C351" s="210">
        <v>-24</v>
      </c>
      <c r="D351" s="210">
        <v>-7</v>
      </c>
      <c r="E351" s="210">
        <v>-24</v>
      </c>
      <c r="F351" s="210">
        <v>-39</v>
      </c>
      <c r="G351" s="210">
        <v>-29</v>
      </c>
      <c r="H351" s="210">
        <v>6</v>
      </c>
    </row>
    <row r="352" spans="1:8" x14ac:dyDescent="0.25">
      <c r="A352" s="6">
        <f ca="1">IFERROR(__xludf.DUMMYFUNCTION("""COMPUTED_VALUE"""),44241)</f>
        <v>44241</v>
      </c>
      <c r="B352" s="212">
        <v>0.17027417027417027</v>
      </c>
      <c r="C352" s="210">
        <v>-26</v>
      </c>
      <c r="D352" s="210">
        <v>-9</v>
      </c>
      <c r="E352" s="210">
        <v>-25</v>
      </c>
      <c r="F352" s="210">
        <v>-35</v>
      </c>
      <c r="G352" s="210">
        <v>-18</v>
      </c>
      <c r="H352" s="210">
        <v>6</v>
      </c>
    </row>
    <row r="353" spans="1:8" x14ac:dyDescent="0.25">
      <c r="A353" s="6">
        <f ca="1">IFERROR(__xludf.DUMMYFUNCTION("""COMPUTED_VALUE"""),44242)</f>
        <v>44242</v>
      </c>
      <c r="B353" s="212">
        <v>0.22051886792452829</v>
      </c>
      <c r="C353" s="210">
        <v>-21</v>
      </c>
      <c r="D353" s="210">
        <v>-5</v>
      </c>
      <c r="E353" s="210">
        <v>-23</v>
      </c>
      <c r="F353" s="210">
        <v>-35</v>
      </c>
      <c r="G353" s="210">
        <v>-30</v>
      </c>
      <c r="H353" s="210">
        <v>7</v>
      </c>
    </row>
    <row r="354" spans="1:8" x14ac:dyDescent="0.25">
      <c r="A354" s="6">
        <f ca="1">IFERROR(__xludf.DUMMYFUNCTION("""COMPUTED_VALUE"""),44243)</f>
        <v>44243</v>
      </c>
      <c r="B354" s="212">
        <v>0.16213457753153021</v>
      </c>
      <c r="C354" s="210">
        <v>-23</v>
      </c>
      <c r="D354" s="210">
        <v>-6</v>
      </c>
      <c r="E354" s="210">
        <v>-23</v>
      </c>
      <c r="F354" s="210">
        <v>-36</v>
      </c>
      <c r="G354" s="210">
        <v>-31</v>
      </c>
      <c r="H354" s="210">
        <v>7</v>
      </c>
    </row>
    <row r="355" spans="1:8" x14ac:dyDescent="0.25">
      <c r="A355" s="6">
        <f ca="1">IFERROR(__xludf.DUMMYFUNCTION("""COMPUTED_VALUE"""),44244)</f>
        <v>44244</v>
      </c>
      <c r="B355" s="212">
        <v>0.16997114971456634</v>
      </c>
      <c r="C355" s="210">
        <v>-21</v>
      </c>
      <c r="D355" s="210">
        <v>-4</v>
      </c>
      <c r="E355" s="210">
        <v>-24</v>
      </c>
      <c r="F355" s="210">
        <v>-35</v>
      </c>
      <c r="G355" s="210">
        <v>-30</v>
      </c>
      <c r="H355" s="210">
        <v>7</v>
      </c>
    </row>
    <row r="356" spans="1:8" x14ac:dyDescent="0.25">
      <c r="A356" s="6">
        <f ca="1">IFERROR(__xludf.DUMMYFUNCTION("""COMPUTED_VALUE"""),44245)</f>
        <v>44245</v>
      </c>
      <c r="B356" s="212">
        <v>0.13241977207578828</v>
      </c>
      <c r="C356" s="210">
        <v>-24</v>
      </c>
      <c r="D356" s="210">
        <v>-8</v>
      </c>
      <c r="E356" s="210">
        <v>-27</v>
      </c>
      <c r="F356" s="210">
        <v>-37</v>
      </c>
      <c r="G356" s="210">
        <v>-30</v>
      </c>
      <c r="H356" s="210">
        <v>8</v>
      </c>
    </row>
    <row r="357" spans="1:8" x14ac:dyDescent="0.25">
      <c r="A357" s="6">
        <f ca="1">IFERROR(__xludf.DUMMYFUNCTION("""COMPUTED_VALUE"""),44246)</f>
        <v>44246</v>
      </c>
      <c r="B357" s="212">
        <v>0.17192315258015867</v>
      </c>
      <c r="C357" s="210">
        <v>-23</v>
      </c>
      <c r="D357" s="210">
        <v>-6</v>
      </c>
      <c r="E357" s="210">
        <v>-28</v>
      </c>
      <c r="F357" s="210">
        <v>-38</v>
      </c>
      <c r="G357" s="210">
        <v>-28</v>
      </c>
      <c r="H357" s="210">
        <v>8</v>
      </c>
    </row>
    <row r="358" spans="1:8" x14ac:dyDescent="0.25">
      <c r="A358" s="6">
        <f ca="1">IFERROR(__xludf.DUMMYFUNCTION("""COMPUTED_VALUE"""),44247)</f>
        <v>44247</v>
      </c>
      <c r="B358" s="212">
        <v>0.1821928071928072</v>
      </c>
      <c r="C358" s="210">
        <v>-25</v>
      </c>
      <c r="D358" s="210">
        <v>-6</v>
      </c>
      <c r="E358" s="210">
        <v>-30</v>
      </c>
      <c r="F358" s="210">
        <v>-37</v>
      </c>
      <c r="G358" s="210">
        <v>-23</v>
      </c>
      <c r="H358" s="210">
        <v>6</v>
      </c>
    </row>
    <row r="359" spans="1:8" x14ac:dyDescent="0.25">
      <c r="A359" s="6">
        <f ca="1">IFERROR(__xludf.DUMMYFUNCTION("""COMPUTED_VALUE"""),44248)</f>
        <v>44248</v>
      </c>
      <c r="B359" s="212">
        <v>0.17779348454668123</v>
      </c>
      <c r="C359" s="210">
        <v>-23</v>
      </c>
      <c r="D359" s="210">
        <v>-5</v>
      </c>
      <c r="E359" s="210">
        <v>-23</v>
      </c>
      <c r="F359" s="210">
        <v>-38</v>
      </c>
      <c r="G359" s="210">
        <v>-15</v>
      </c>
      <c r="H359" s="210">
        <v>5</v>
      </c>
    </row>
    <row r="360" spans="1:8" x14ac:dyDescent="0.25">
      <c r="A360" s="6">
        <f ca="1">IFERROR(__xludf.DUMMYFUNCTION("""COMPUTED_VALUE"""),44249)</f>
        <v>44249</v>
      </c>
      <c r="B360" s="212">
        <v>0.17811178111781117</v>
      </c>
      <c r="C360" s="210">
        <v>-21</v>
      </c>
      <c r="D360" s="210">
        <v>-5</v>
      </c>
      <c r="E360" s="210">
        <v>-23</v>
      </c>
      <c r="F360" s="210">
        <v>-37</v>
      </c>
      <c r="G360" s="210">
        <v>-29</v>
      </c>
      <c r="H360" s="210">
        <v>7</v>
      </c>
    </row>
    <row r="361" spans="1:8" x14ac:dyDescent="0.25">
      <c r="A361" s="6">
        <f ca="1">IFERROR(__xludf.DUMMYFUNCTION("""COMPUTED_VALUE"""),44250)</f>
        <v>44250</v>
      </c>
      <c r="B361" s="212">
        <v>0.15128078208142556</v>
      </c>
      <c r="C361" s="210">
        <v>-23</v>
      </c>
      <c r="D361" s="210">
        <v>-7</v>
      </c>
      <c r="E361" s="210">
        <v>-25</v>
      </c>
      <c r="F361" s="210">
        <v>-36</v>
      </c>
      <c r="G361" s="210">
        <v>-29</v>
      </c>
      <c r="H361" s="210">
        <v>7</v>
      </c>
    </row>
    <row r="362" spans="1:8" x14ac:dyDescent="0.25">
      <c r="A362" s="6">
        <f ca="1">IFERROR(__xludf.DUMMYFUNCTION("""COMPUTED_VALUE"""),44251)</f>
        <v>44251</v>
      </c>
      <c r="B362" s="212">
        <v>0.17533043992898006</v>
      </c>
      <c r="C362" s="210">
        <v>-22</v>
      </c>
      <c r="D362" s="210">
        <v>-6</v>
      </c>
      <c r="E362" s="210">
        <v>-24</v>
      </c>
      <c r="F362" s="210">
        <v>-37</v>
      </c>
      <c r="G362" s="210">
        <v>-28</v>
      </c>
      <c r="H362" s="210">
        <v>7</v>
      </c>
    </row>
    <row r="363" spans="1:8" x14ac:dyDescent="0.25">
      <c r="A363" s="6">
        <f ca="1">IFERROR(__xludf.DUMMYFUNCTION("""COMPUTED_VALUE"""),44252)</f>
        <v>44252</v>
      </c>
      <c r="B363" s="212">
        <v>0.21232339089481947</v>
      </c>
      <c r="C363" s="210">
        <v>-19</v>
      </c>
      <c r="D363" s="210">
        <v>0</v>
      </c>
      <c r="E363" s="210">
        <v>-23</v>
      </c>
      <c r="F363" s="210">
        <v>-34</v>
      </c>
      <c r="G363" s="210">
        <v>-28</v>
      </c>
      <c r="H363" s="210">
        <v>7</v>
      </c>
    </row>
    <row r="364" spans="1:8" x14ac:dyDescent="0.25">
      <c r="A364" s="6">
        <f ca="1">IFERROR(__xludf.DUMMYFUNCTION("""COMPUTED_VALUE"""),44253)</f>
        <v>44253</v>
      </c>
      <c r="B364" s="212">
        <v>0.19045788953552212</v>
      </c>
      <c r="C364" s="210">
        <v>-19</v>
      </c>
      <c r="D364" s="210">
        <v>0</v>
      </c>
      <c r="E364" s="210">
        <v>-25</v>
      </c>
      <c r="F364" s="210">
        <v>-34</v>
      </c>
      <c r="G364" s="210">
        <v>-26</v>
      </c>
      <c r="H364" s="210">
        <v>7</v>
      </c>
    </row>
    <row r="365" spans="1:8" x14ac:dyDescent="0.25">
      <c r="A365" s="6">
        <f ca="1">IFERROR(__xludf.DUMMYFUNCTION("""COMPUTED_VALUE"""),44254)</f>
        <v>44254</v>
      </c>
      <c r="B365" s="212">
        <v>0.20394513093753544</v>
      </c>
      <c r="C365" s="210">
        <v>-18</v>
      </c>
      <c r="D365" s="210">
        <v>4</v>
      </c>
      <c r="E365" s="210">
        <v>-25</v>
      </c>
      <c r="F365" s="210">
        <v>-30</v>
      </c>
      <c r="G365" s="210">
        <v>-19</v>
      </c>
      <c r="H365" s="210">
        <v>4</v>
      </c>
    </row>
    <row r="366" spans="1:8" x14ac:dyDescent="0.25">
      <c r="A366" s="6">
        <f ca="1">IFERROR(__xludf.DUMMYFUNCTION("""COMPUTED_VALUE"""),44255)</f>
        <v>44255</v>
      </c>
      <c r="B366" s="212">
        <v>0.22734171067807929</v>
      </c>
      <c r="C366" s="210">
        <v>-17</v>
      </c>
      <c r="D366" s="210">
        <v>4</v>
      </c>
      <c r="E366" s="210">
        <v>-18</v>
      </c>
      <c r="F366" s="210">
        <v>-30</v>
      </c>
      <c r="G366" s="210">
        <v>-11</v>
      </c>
      <c r="H366" s="210">
        <v>4</v>
      </c>
    </row>
    <row r="367" spans="1:8" x14ac:dyDescent="0.25">
      <c r="A367" s="6">
        <f ca="1">IFERROR(__xludf.DUMMYFUNCTION("""COMPUTED_VALUE"""),44256)</f>
        <v>44256</v>
      </c>
      <c r="B367" s="212">
        <v>0.17095238095238094</v>
      </c>
      <c r="C367" s="210">
        <v>-16</v>
      </c>
      <c r="D367" s="210">
        <v>5</v>
      </c>
      <c r="E367" s="210">
        <v>-19</v>
      </c>
      <c r="F367" s="210">
        <v>-33</v>
      </c>
      <c r="G367" s="210">
        <v>-27</v>
      </c>
      <c r="H367" s="210">
        <v>5</v>
      </c>
    </row>
    <row r="368" spans="1:8" x14ac:dyDescent="0.25">
      <c r="A368" s="6">
        <f ca="1">IFERROR(__xludf.DUMMYFUNCTION("""COMPUTED_VALUE"""),44257)</f>
        <v>44257</v>
      </c>
      <c r="B368" s="212">
        <v>0.15108538350217077</v>
      </c>
      <c r="C368" s="210">
        <v>-18</v>
      </c>
      <c r="D368" s="210">
        <v>2</v>
      </c>
      <c r="E368" s="210">
        <v>-22</v>
      </c>
      <c r="F368" s="210">
        <v>-32</v>
      </c>
      <c r="G368" s="210">
        <v>-28</v>
      </c>
      <c r="H368" s="210">
        <v>6</v>
      </c>
    </row>
    <row r="369" spans="1:8" x14ac:dyDescent="0.25">
      <c r="A369" s="6">
        <f ca="1">IFERROR(__xludf.DUMMYFUNCTION("""COMPUTED_VALUE"""),44258)</f>
        <v>44258</v>
      </c>
      <c r="B369" s="212">
        <v>0.18036598928318673</v>
      </c>
      <c r="C369" s="210">
        <v>-16</v>
      </c>
      <c r="D369" s="210">
        <v>5</v>
      </c>
      <c r="E369" s="210">
        <v>-19</v>
      </c>
      <c r="F369" s="210">
        <v>-32</v>
      </c>
      <c r="G369" s="210">
        <v>-28</v>
      </c>
      <c r="H369" s="210">
        <v>6</v>
      </c>
    </row>
    <row r="370" spans="1:8" x14ac:dyDescent="0.25">
      <c r="A370" s="6">
        <f ca="1">IFERROR(__xludf.DUMMYFUNCTION("""COMPUTED_VALUE"""),44259)</f>
        <v>44259</v>
      </c>
      <c r="B370" s="212">
        <v>0.20224927392943212</v>
      </c>
      <c r="C370" s="210">
        <v>-17</v>
      </c>
      <c r="D370" s="210">
        <v>2</v>
      </c>
      <c r="E370" s="210">
        <v>-21</v>
      </c>
      <c r="F370" s="210">
        <v>-32</v>
      </c>
      <c r="G370" s="210">
        <v>-28</v>
      </c>
      <c r="H370" s="210">
        <v>6</v>
      </c>
    </row>
    <row r="371" spans="1:8" x14ac:dyDescent="0.25">
      <c r="A371" s="6">
        <f ca="1">IFERROR(__xludf.DUMMYFUNCTION("""COMPUTED_VALUE"""),44260)</f>
        <v>44260</v>
      </c>
      <c r="B371" s="212">
        <v>0.18525663509879575</v>
      </c>
      <c r="C371" s="210">
        <v>-17</v>
      </c>
      <c r="D371" s="210">
        <v>1</v>
      </c>
      <c r="E371" s="210">
        <v>-22</v>
      </c>
      <c r="F371" s="210">
        <v>-33</v>
      </c>
      <c r="G371" s="210">
        <v>-26</v>
      </c>
      <c r="H371" s="210">
        <v>6</v>
      </c>
    </row>
    <row r="372" spans="1:8" x14ac:dyDescent="0.25">
      <c r="A372" s="6">
        <f ca="1">IFERROR(__xludf.DUMMYFUNCTION("""COMPUTED_VALUE"""),44261)</f>
        <v>44261</v>
      </c>
      <c r="B372" s="212">
        <v>0.1811296939097507</v>
      </c>
      <c r="C372" s="210">
        <v>-18</v>
      </c>
      <c r="D372" s="210">
        <v>2</v>
      </c>
      <c r="E372" s="210">
        <v>-24</v>
      </c>
      <c r="F372" s="210">
        <v>-28</v>
      </c>
      <c r="G372" s="210">
        <v>-20</v>
      </c>
      <c r="H372" s="210">
        <v>4</v>
      </c>
    </row>
    <row r="373" spans="1:8" x14ac:dyDescent="0.25">
      <c r="A373" s="6">
        <f ca="1">IFERROR(__xludf.DUMMYFUNCTION("""COMPUTED_VALUE"""),44262)</f>
        <v>44262</v>
      </c>
      <c r="B373" s="212">
        <v>0.20886620404886161</v>
      </c>
      <c r="C373" s="210">
        <v>-20</v>
      </c>
      <c r="D373" s="210">
        <v>-1</v>
      </c>
      <c r="E373" s="210">
        <v>-20</v>
      </c>
      <c r="F373" s="210">
        <v>-31</v>
      </c>
      <c r="G373" s="210">
        <v>-15</v>
      </c>
      <c r="H373" s="210">
        <v>5</v>
      </c>
    </row>
    <row r="374" spans="1:8" x14ac:dyDescent="0.25">
      <c r="A374" s="6">
        <f ca="1">IFERROR(__xludf.DUMMYFUNCTION("""COMPUTED_VALUE"""),44263)</f>
        <v>44263</v>
      </c>
      <c r="B374" s="212">
        <v>0.25087775295244175</v>
      </c>
      <c r="C374" s="210">
        <v>-18</v>
      </c>
      <c r="D374" s="210">
        <v>0</v>
      </c>
      <c r="E374" s="210">
        <v>-21</v>
      </c>
      <c r="F374" s="210">
        <v>-33</v>
      </c>
      <c r="G374" s="210">
        <v>-27</v>
      </c>
      <c r="H374" s="210">
        <v>6</v>
      </c>
    </row>
    <row r="375" spans="1:8" x14ac:dyDescent="0.25">
      <c r="A375" s="6">
        <f ca="1">IFERROR(__xludf.DUMMYFUNCTION("""COMPUTED_VALUE"""),44264)</f>
        <v>44264</v>
      </c>
      <c r="B375" s="212">
        <v>0.18842051802945659</v>
      </c>
      <c r="C375" s="210">
        <v>-17</v>
      </c>
      <c r="D375" s="210">
        <v>1</v>
      </c>
      <c r="E375" s="210">
        <v>-20</v>
      </c>
      <c r="F375" s="210">
        <v>-31</v>
      </c>
      <c r="G375" s="210">
        <v>-28</v>
      </c>
      <c r="H375" s="210">
        <v>6</v>
      </c>
    </row>
    <row r="376" spans="1:8" x14ac:dyDescent="0.25">
      <c r="A376" s="6">
        <f ca="1">IFERROR(__xludf.DUMMYFUNCTION("""COMPUTED_VALUE"""),44265)</f>
        <v>44265</v>
      </c>
      <c r="B376" s="212">
        <v>0.20043983663210807</v>
      </c>
      <c r="C376" s="210">
        <v>-14</v>
      </c>
      <c r="D376" s="210">
        <v>6</v>
      </c>
      <c r="E376" s="210">
        <v>-14</v>
      </c>
      <c r="F376" s="210">
        <v>-26</v>
      </c>
      <c r="G376" s="210">
        <v>-27</v>
      </c>
      <c r="H376" s="210">
        <v>5</v>
      </c>
    </row>
    <row r="377" spans="1:8" x14ac:dyDescent="0.25">
      <c r="A377" s="6">
        <f ca="1">IFERROR(__xludf.DUMMYFUNCTION("""COMPUTED_VALUE"""),44266)</f>
        <v>44266</v>
      </c>
      <c r="B377" s="212">
        <v>0.15537342721920813</v>
      </c>
      <c r="C377" s="210">
        <v>-12</v>
      </c>
      <c r="D377" s="210">
        <v>5</v>
      </c>
      <c r="E377" s="210">
        <v>2</v>
      </c>
      <c r="F377" s="210">
        <v>-32</v>
      </c>
      <c r="G377" s="210">
        <v>-60</v>
      </c>
      <c r="H377" s="210">
        <v>12</v>
      </c>
    </row>
    <row r="378" spans="1:8" x14ac:dyDescent="0.25">
      <c r="A378" s="6">
        <f ca="1">IFERROR(__xludf.DUMMYFUNCTION("""COMPUTED_VALUE"""),44267)</f>
        <v>44267</v>
      </c>
      <c r="B378" s="212">
        <v>0.20215298623330918</v>
      </c>
      <c r="C378" s="210">
        <v>-18</v>
      </c>
      <c r="D378" s="210">
        <v>0</v>
      </c>
      <c r="E378" s="210">
        <v>-19</v>
      </c>
      <c r="F378" s="210">
        <v>-34</v>
      </c>
      <c r="G378" s="210">
        <v>-28</v>
      </c>
      <c r="H378" s="210">
        <v>7</v>
      </c>
    </row>
    <row r="379" spans="1:8" x14ac:dyDescent="0.25">
      <c r="A379" s="6">
        <f ca="1">IFERROR(__xludf.DUMMYFUNCTION("""COMPUTED_VALUE"""),44268)</f>
        <v>44268</v>
      </c>
      <c r="B379" s="212">
        <v>0.19194102649373684</v>
      </c>
      <c r="C379" s="210">
        <v>-17</v>
      </c>
      <c r="D379" s="210">
        <v>3</v>
      </c>
      <c r="E379" s="210">
        <v>-16</v>
      </c>
      <c r="F379" s="210">
        <v>-29</v>
      </c>
      <c r="G379" s="210">
        <v>-21</v>
      </c>
      <c r="H379" s="210">
        <v>4</v>
      </c>
    </row>
    <row r="380" spans="1:8" x14ac:dyDescent="0.25">
      <c r="A380" s="6">
        <f ca="1">IFERROR(__xludf.DUMMYFUNCTION("""COMPUTED_VALUE"""),44269)</f>
        <v>44269</v>
      </c>
      <c r="B380" s="212">
        <v>0.22875390086363306</v>
      </c>
      <c r="C380" s="210">
        <v>-20</v>
      </c>
      <c r="D380" s="210">
        <v>-2</v>
      </c>
      <c r="E380" s="210">
        <v>-14</v>
      </c>
      <c r="F380" s="210">
        <v>-28</v>
      </c>
      <c r="G380" s="210">
        <v>-17</v>
      </c>
      <c r="H380" s="210">
        <v>5</v>
      </c>
    </row>
    <row r="381" spans="1:8" x14ac:dyDescent="0.25">
      <c r="A381" s="6">
        <f ca="1">IFERROR(__xludf.DUMMYFUNCTION("""COMPUTED_VALUE"""),44270)</f>
        <v>44270</v>
      </c>
      <c r="B381" s="212">
        <v>0.21872974724562541</v>
      </c>
      <c r="C381" s="210">
        <v>-16</v>
      </c>
      <c r="D381" s="210">
        <v>3</v>
      </c>
      <c r="E381" s="210">
        <v>-14</v>
      </c>
      <c r="F381" s="210">
        <v>-30</v>
      </c>
      <c r="G381" s="210">
        <v>-27</v>
      </c>
      <c r="H381" s="210">
        <v>5</v>
      </c>
    </row>
    <row r="382" spans="1:8" x14ac:dyDescent="0.25">
      <c r="A382" s="6">
        <f ca="1">IFERROR(__xludf.DUMMYFUNCTION("""COMPUTED_VALUE"""),44271)</f>
        <v>44271</v>
      </c>
      <c r="B382" s="212">
        <v>0.21341315916787615</v>
      </c>
      <c r="C382" s="210">
        <v>-18</v>
      </c>
      <c r="D382" s="210">
        <v>0</v>
      </c>
      <c r="E382" s="210">
        <v>-19</v>
      </c>
      <c r="F382" s="210">
        <v>-31</v>
      </c>
      <c r="G382" s="210">
        <v>-27</v>
      </c>
      <c r="H382" s="210">
        <v>6</v>
      </c>
    </row>
    <row r="383" spans="1:8" x14ac:dyDescent="0.25">
      <c r="A383" s="6">
        <f ca="1">IFERROR(__xludf.DUMMYFUNCTION("""COMPUTED_VALUE"""),44272)</f>
        <v>44272</v>
      </c>
      <c r="B383" s="212">
        <v>0.20571628441513015</v>
      </c>
      <c r="C383" s="210">
        <v>-16</v>
      </c>
      <c r="D383" s="210">
        <v>2</v>
      </c>
      <c r="E383" s="210">
        <v>-16</v>
      </c>
      <c r="F383" s="210">
        <v>-31</v>
      </c>
      <c r="G383" s="210">
        <v>-25</v>
      </c>
      <c r="H383" s="210">
        <v>6</v>
      </c>
    </row>
    <row r="384" spans="1:8" x14ac:dyDescent="0.25">
      <c r="A384" s="6">
        <f ca="1">IFERROR(__xludf.DUMMYFUNCTION("""COMPUTED_VALUE"""),44273)</f>
        <v>44273</v>
      </c>
      <c r="B384" s="212">
        <v>0.2275903282155006</v>
      </c>
      <c r="C384" s="210">
        <v>-17</v>
      </c>
      <c r="D384" s="210">
        <v>1</v>
      </c>
      <c r="E384" s="210">
        <v>-20</v>
      </c>
      <c r="F384" s="210">
        <v>-31</v>
      </c>
      <c r="G384" s="210">
        <v>-25</v>
      </c>
      <c r="H384" s="210">
        <v>6</v>
      </c>
    </row>
    <row r="385" spans="1:8" x14ac:dyDescent="0.25">
      <c r="A385" s="6">
        <f ca="1">IFERROR(__xludf.DUMMYFUNCTION("""COMPUTED_VALUE"""),44274)</f>
        <v>44274</v>
      </c>
      <c r="B385" s="212">
        <v>0.20535677607525776</v>
      </c>
      <c r="C385" s="210">
        <v>-17</v>
      </c>
      <c r="D385" s="210">
        <v>1</v>
      </c>
      <c r="E385" s="210">
        <v>-19</v>
      </c>
      <c r="F385" s="210">
        <v>-31</v>
      </c>
      <c r="G385" s="210">
        <v>-24</v>
      </c>
      <c r="H385" s="210">
        <v>6</v>
      </c>
    </row>
    <row r="386" spans="1:8" x14ac:dyDescent="0.25">
      <c r="A386" s="6">
        <f ca="1">IFERROR(__xludf.DUMMYFUNCTION("""COMPUTED_VALUE"""),44275)</f>
        <v>44275</v>
      </c>
      <c r="B386" s="212">
        <v>0.20395362098460368</v>
      </c>
      <c r="C386" s="210">
        <v>-16</v>
      </c>
      <c r="D386" s="210">
        <v>4</v>
      </c>
      <c r="E386" s="210">
        <v>-18</v>
      </c>
      <c r="F386" s="210">
        <v>-28</v>
      </c>
      <c r="G386" s="210">
        <v>-17</v>
      </c>
      <c r="H386" s="210">
        <v>4</v>
      </c>
    </row>
    <row r="387" spans="1:8" x14ac:dyDescent="0.25">
      <c r="A387" s="6">
        <f ca="1">IFERROR(__xludf.DUMMYFUNCTION("""COMPUTED_VALUE"""),44276)</f>
        <v>44276</v>
      </c>
      <c r="B387" s="212">
        <v>0.23716873532371688</v>
      </c>
      <c r="C387" s="210">
        <v>-17</v>
      </c>
      <c r="D387" s="210">
        <v>1</v>
      </c>
      <c r="E387" s="210">
        <v>-12</v>
      </c>
      <c r="F387" s="210">
        <v>-30</v>
      </c>
      <c r="G387" s="210">
        <v>-12</v>
      </c>
      <c r="H387" s="210">
        <v>4</v>
      </c>
    </row>
    <row r="388" spans="1:8" x14ac:dyDescent="0.25">
      <c r="A388" s="6">
        <f ca="1">IFERROR(__xludf.DUMMYFUNCTION("""COMPUTED_VALUE"""),44277)</f>
        <v>44277</v>
      </c>
      <c r="B388" s="212">
        <v>0.21994562050883668</v>
      </c>
      <c r="C388" s="210">
        <v>-17</v>
      </c>
      <c r="D388" s="210">
        <v>1</v>
      </c>
      <c r="E388" s="210">
        <v>-17</v>
      </c>
      <c r="F388" s="210">
        <v>-32</v>
      </c>
      <c r="G388" s="210">
        <v>-25</v>
      </c>
      <c r="H388" s="210">
        <v>6</v>
      </c>
    </row>
    <row r="389" spans="1:8" x14ac:dyDescent="0.25">
      <c r="A389" s="6">
        <f ca="1">IFERROR(__xludf.DUMMYFUNCTION("""COMPUTED_VALUE"""),44278)</f>
        <v>44278</v>
      </c>
      <c r="B389" s="212">
        <v>0.22162463849002995</v>
      </c>
      <c r="C389" s="210">
        <v>-18</v>
      </c>
      <c r="D389" s="210">
        <v>0</v>
      </c>
      <c r="E389" s="210">
        <v>-19</v>
      </c>
      <c r="F389" s="210">
        <v>-31</v>
      </c>
      <c r="G389" s="210">
        <v>-26</v>
      </c>
      <c r="H389" s="210">
        <v>6</v>
      </c>
    </row>
    <row r="390" spans="1:8" x14ac:dyDescent="0.25">
      <c r="A390" s="6">
        <f ca="1">IFERROR(__xludf.DUMMYFUNCTION("""COMPUTED_VALUE"""),44279)</f>
        <v>44279</v>
      </c>
      <c r="B390" s="212">
        <v>0.23328250925724242</v>
      </c>
      <c r="C390" s="210">
        <v>-16</v>
      </c>
      <c r="D390" s="210">
        <v>2</v>
      </c>
      <c r="E390" s="210">
        <v>-16</v>
      </c>
      <c r="F390" s="210">
        <v>-31</v>
      </c>
      <c r="G390" s="210">
        <v>-25</v>
      </c>
      <c r="H390" s="210">
        <v>6</v>
      </c>
    </row>
    <row r="391" spans="1:8" x14ac:dyDescent="0.25">
      <c r="A391" s="6">
        <f ca="1">IFERROR(__xludf.DUMMYFUNCTION("""COMPUTED_VALUE"""),44280)</f>
        <v>44280</v>
      </c>
      <c r="B391" s="212">
        <v>0.23257620766875373</v>
      </c>
      <c r="C391" s="210">
        <v>-15</v>
      </c>
      <c r="D391" s="210">
        <v>4</v>
      </c>
      <c r="E391" s="210">
        <v>-18</v>
      </c>
      <c r="F391" s="210">
        <v>-29</v>
      </c>
      <c r="G391" s="210">
        <v>-25</v>
      </c>
      <c r="H391" s="210">
        <v>6</v>
      </c>
    </row>
    <row r="392" spans="1:8" x14ac:dyDescent="0.25">
      <c r="A392" s="6">
        <f ca="1">IFERROR(__xludf.DUMMYFUNCTION("""COMPUTED_VALUE"""),44281)</f>
        <v>44281</v>
      </c>
      <c r="B392" s="212">
        <v>0.24512761576401859</v>
      </c>
      <c r="C392" s="210">
        <v>-14</v>
      </c>
      <c r="D392" s="210">
        <v>5</v>
      </c>
      <c r="E392" s="210">
        <v>-17</v>
      </c>
      <c r="F392" s="210">
        <v>-29</v>
      </c>
      <c r="G392" s="210">
        <v>-23</v>
      </c>
      <c r="H392" s="210">
        <v>6</v>
      </c>
    </row>
    <row r="393" spans="1:8" x14ac:dyDescent="0.25">
      <c r="A393" s="6">
        <f ca="1">IFERROR(__xludf.DUMMYFUNCTION("""COMPUTED_VALUE"""),44282)</f>
        <v>44282</v>
      </c>
      <c r="B393" s="212">
        <v>0.2978969262768662</v>
      </c>
      <c r="C393" s="210">
        <v>-17</v>
      </c>
      <c r="D393" s="210">
        <v>3</v>
      </c>
      <c r="E393" s="210">
        <v>-20</v>
      </c>
      <c r="F393" s="210">
        <v>-27</v>
      </c>
      <c r="G393" s="210">
        <v>-17</v>
      </c>
      <c r="H393" s="210">
        <v>4</v>
      </c>
    </row>
    <row r="394" spans="1:8" x14ac:dyDescent="0.25">
      <c r="A394" s="6">
        <f ca="1">IFERROR(__xludf.DUMMYFUNCTION("""COMPUTED_VALUE"""),44283)</f>
        <v>44283</v>
      </c>
      <c r="B394" s="212">
        <v>0.26581489560610783</v>
      </c>
      <c r="C394" s="210">
        <v>-16</v>
      </c>
      <c r="D394" s="210">
        <v>5</v>
      </c>
      <c r="E394" s="210">
        <v>-12</v>
      </c>
      <c r="F394" s="210">
        <v>-27</v>
      </c>
      <c r="G394" s="210">
        <v>-11</v>
      </c>
      <c r="H394" s="210">
        <v>4</v>
      </c>
    </row>
    <row r="395" spans="1:8" x14ac:dyDescent="0.25">
      <c r="A395" s="6">
        <f ca="1">IFERROR(__xludf.DUMMYFUNCTION("""COMPUTED_VALUE"""),44284)</f>
        <v>44284</v>
      </c>
      <c r="B395" s="212">
        <v>0.2758808855628313</v>
      </c>
      <c r="C395" s="210">
        <v>-15</v>
      </c>
      <c r="D395" s="210">
        <v>5</v>
      </c>
      <c r="E395" s="210">
        <v>-16</v>
      </c>
      <c r="F395" s="210">
        <v>-30</v>
      </c>
      <c r="G395" s="210">
        <v>-25</v>
      </c>
      <c r="H395" s="210">
        <v>5</v>
      </c>
    </row>
    <row r="396" spans="1:8" x14ac:dyDescent="0.25">
      <c r="A396" s="6">
        <f ca="1">IFERROR(__xludf.DUMMYFUNCTION("""COMPUTED_VALUE"""),44285)</f>
        <v>44285</v>
      </c>
      <c r="B396" s="212">
        <v>0.25723217823961958</v>
      </c>
      <c r="C396" s="210">
        <v>-17</v>
      </c>
      <c r="D396" s="210">
        <v>2</v>
      </c>
      <c r="E396" s="210">
        <v>-20</v>
      </c>
      <c r="F396" s="210">
        <v>-29</v>
      </c>
      <c r="G396" s="210">
        <v>-26</v>
      </c>
      <c r="H396" s="210">
        <v>6</v>
      </c>
    </row>
    <row r="397" spans="1:8" x14ac:dyDescent="0.25">
      <c r="A397" s="6">
        <f ca="1">IFERROR(__xludf.DUMMYFUNCTION("""COMPUTED_VALUE"""),44286)</f>
        <v>44286</v>
      </c>
      <c r="B397" s="212">
        <v>0.2929415855354659</v>
      </c>
      <c r="C397" s="210">
        <v>-13</v>
      </c>
      <c r="D397" s="210">
        <v>7</v>
      </c>
      <c r="E397" s="210">
        <v>-14</v>
      </c>
      <c r="F397" s="210">
        <v>-26</v>
      </c>
      <c r="G397" s="210">
        <v>-25</v>
      </c>
      <c r="H397" s="210">
        <v>5</v>
      </c>
    </row>
    <row r="398" spans="1:8" x14ac:dyDescent="0.25">
      <c r="A398" s="6">
        <f ca="1">IFERROR(__xludf.DUMMYFUNCTION("""COMPUTED_VALUE"""),44287)</f>
        <v>44287</v>
      </c>
      <c r="B398" s="212">
        <v>0.29468315580429683</v>
      </c>
      <c r="C398" s="210">
        <v>-9</v>
      </c>
      <c r="D398" s="210">
        <v>16</v>
      </c>
      <c r="E398" s="210">
        <v>-12</v>
      </c>
      <c r="F398" s="210">
        <v>-15</v>
      </c>
      <c r="G398" s="210">
        <v>-25</v>
      </c>
      <c r="H398" s="210">
        <v>4</v>
      </c>
    </row>
    <row r="399" spans="1:8" x14ac:dyDescent="0.25">
      <c r="A399" s="6">
        <f ca="1">IFERROR(__xludf.DUMMYFUNCTION("""COMPUTED_VALUE"""),44288)</f>
        <v>44288</v>
      </c>
      <c r="B399" s="212">
        <v>0.32043791778514658</v>
      </c>
      <c r="C399" s="210">
        <v>-7</v>
      </c>
      <c r="D399" s="210">
        <v>15</v>
      </c>
      <c r="E399" s="210">
        <v>5</v>
      </c>
      <c r="F399" s="210">
        <v>-23</v>
      </c>
      <c r="G399" s="210">
        <v>-57</v>
      </c>
      <c r="H399" s="210">
        <v>10</v>
      </c>
    </row>
    <row r="400" spans="1:8" x14ac:dyDescent="0.25">
      <c r="A400" s="6">
        <f ca="1">IFERROR(__xludf.DUMMYFUNCTION("""COMPUTED_VALUE"""),44289)</f>
        <v>44289</v>
      </c>
      <c r="B400" s="212">
        <v>0.33731835514789238</v>
      </c>
      <c r="C400" s="210">
        <v>-12</v>
      </c>
      <c r="D400" s="210">
        <v>10</v>
      </c>
      <c r="E400" s="210">
        <v>-7</v>
      </c>
      <c r="F400" s="210">
        <v>-24</v>
      </c>
      <c r="G400" s="210">
        <v>-22</v>
      </c>
      <c r="H400" s="210">
        <v>3</v>
      </c>
    </row>
    <row r="401" spans="1:8" x14ac:dyDescent="0.25">
      <c r="A401" s="6">
        <f ca="1">IFERROR(__xludf.DUMMYFUNCTION("""COMPUTED_VALUE"""),44290)</f>
        <v>44290</v>
      </c>
      <c r="B401" s="212">
        <v>0.33905495366140193</v>
      </c>
      <c r="C401" s="210">
        <v>-12</v>
      </c>
      <c r="D401" s="210">
        <v>10</v>
      </c>
      <c r="E401" s="210">
        <v>-5</v>
      </c>
      <c r="F401" s="210">
        <v>-15</v>
      </c>
      <c r="G401" s="210">
        <v>-12</v>
      </c>
      <c r="H401" s="210">
        <v>1</v>
      </c>
    </row>
    <row r="402" spans="1:8" x14ac:dyDescent="0.25">
      <c r="A402" s="6">
        <f ca="1">IFERROR(__xludf.DUMMYFUNCTION("""COMPUTED_VALUE"""),44291)</f>
        <v>44291</v>
      </c>
      <c r="B402" s="212">
        <v>0.33295919185440553</v>
      </c>
      <c r="C402" s="210">
        <v>-10</v>
      </c>
      <c r="D402" s="210">
        <v>12</v>
      </c>
      <c r="E402" s="210">
        <v>-10</v>
      </c>
      <c r="F402" s="210">
        <v>-22</v>
      </c>
      <c r="G402" s="210">
        <v>-25</v>
      </c>
      <c r="H402" s="210">
        <v>4</v>
      </c>
    </row>
    <row r="403" spans="1:8" x14ac:dyDescent="0.25">
      <c r="A403" s="6">
        <f ca="1">IFERROR(__xludf.DUMMYFUNCTION("""COMPUTED_VALUE"""),44292)</f>
        <v>44292</v>
      </c>
      <c r="B403" s="212">
        <v>0.28834559696178497</v>
      </c>
      <c r="C403" s="210">
        <v>-12</v>
      </c>
      <c r="D403" s="210">
        <v>10</v>
      </c>
      <c r="E403" s="210">
        <v>-12</v>
      </c>
      <c r="F403" s="210">
        <v>-22</v>
      </c>
      <c r="G403" s="210">
        <v>-25</v>
      </c>
      <c r="H403" s="210">
        <v>4</v>
      </c>
    </row>
    <row r="404" spans="1:8" x14ac:dyDescent="0.25">
      <c r="A404" s="6">
        <f ca="1">IFERROR(__xludf.DUMMYFUNCTION("""COMPUTED_VALUE"""),44293)</f>
        <v>44293</v>
      </c>
      <c r="B404" s="212">
        <v>0.30405064452497821</v>
      </c>
      <c r="C404" s="210">
        <v>-10</v>
      </c>
      <c r="D404" s="210">
        <v>11</v>
      </c>
      <c r="E404" s="210">
        <v>-10</v>
      </c>
      <c r="F404" s="210">
        <v>-23</v>
      </c>
      <c r="G404" s="210">
        <v>-26</v>
      </c>
      <c r="H404" s="210">
        <v>4</v>
      </c>
    </row>
    <row r="405" spans="1:8" x14ac:dyDescent="0.25">
      <c r="A405" s="6">
        <f ca="1">IFERROR(__xludf.DUMMYFUNCTION("""COMPUTED_VALUE"""),44294)</f>
        <v>44294</v>
      </c>
      <c r="B405" s="212">
        <v>0.29849413483784554</v>
      </c>
      <c r="C405" s="210">
        <v>-9</v>
      </c>
      <c r="D405" s="210">
        <v>12</v>
      </c>
      <c r="E405" s="210">
        <v>-9</v>
      </c>
      <c r="F405" s="210">
        <v>-21</v>
      </c>
      <c r="G405" s="210">
        <v>-24</v>
      </c>
      <c r="H405" s="210">
        <v>4</v>
      </c>
    </row>
    <row r="406" spans="1:8" x14ac:dyDescent="0.25">
      <c r="A406" s="6">
        <f ca="1">IFERROR(__xludf.DUMMYFUNCTION("""COMPUTED_VALUE"""),44295)</f>
        <v>44295</v>
      </c>
      <c r="B406" s="212">
        <v>0.31663867032092652</v>
      </c>
      <c r="C406" s="210">
        <v>-8</v>
      </c>
      <c r="D406" s="210">
        <v>11</v>
      </c>
      <c r="E406" s="210">
        <v>-11</v>
      </c>
      <c r="F406" s="210">
        <v>-21</v>
      </c>
      <c r="G406" s="210">
        <v>-23</v>
      </c>
      <c r="H406" s="210">
        <v>4</v>
      </c>
    </row>
    <row r="407" spans="1:8" x14ac:dyDescent="0.25">
      <c r="A407" s="6">
        <f ca="1">IFERROR(__xludf.DUMMYFUNCTION("""COMPUTED_VALUE"""),44296)</f>
        <v>44296</v>
      </c>
      <c r="B407" s="212">
        <v>0.31150810857687972</v>
      </c>
      <c r="C407" s="210">
        <v>-8</v>
      </c>
      <c r="D407" s="210">
        <v>15</v>
      </c>
      <c r="E407" s="210">
        <v>-9</v>
      </c>
      <c r="F407" s="210">
        <v>-14</v>
      </c>
      <c r="G407" s="210">
        <v>-16</v>
      </c>
      <c r="H407" s="210">
        <v>1</v>
      </c>
    </row>
    <row r="408" spans="1:8" x14ac:dyDescent="0.25">
      <c r="A408" s="6">
        <f ca="1">IFERROR(__xludf.DUMMYFUNCTION("""COMPUTED_VALUE"""),44297)</f>
        <v>44297</v>
      </c>
      <c r="B408" s="212">
        <v>0.32257415786827554</v>
      </c>
      <c r="C408" s="210">
        <v>-8</v>
      </c>
      <c r="D408" s="210">
        <v>15</v>
      </c>
      <c r="E408" s="210">
        <v>-3</v>
      </c>
      <c r="F408" s="210">
        <v>-15</v>
      </c>
      <c r="G408" s="210">
        <v>-11</v>
      </c>
      <c r="H408" s="210">
        <v>1</v>
      </c>
    </row>
    <row r="409" spans="1:8" x14ac:dyDescent="0.25">
      <c r="A409" s="6">
        <f ca="1">IFERROR(__xludf.DUMMYFUNCTION("""COMPUTED_VALUE"""),44298)</f>
        <v>44298</v>
      </c>
      <c r="B409" s="212">
        <v>0.35351089588377727</v>
      </c>
      <c r="C409" s="210">
        <v>-5</v>
      </c>
      <c r="D409" s="210">
        <v>22</v>
      </c>
      <c r="E409" s="210">
        <v>-2</v>
      </c>
      <c r="F409" s="210">
        <v>-19</v>
      </c>
      <c r="G409" s="210">
        <v>-29</v>
      </c>
      <c r="H409" s="210">
        <v>4</v>
      </c>
    </row>
    <row r="410" spans="1:8" x14ac:dyDescent="0.25">
      <c r="A410" s="6">
        <f ca="1">IFERROR(__xludf.DUMMYFUNCTION("""COMPUTED_VALUE"""),44299)</f>
        <v>44299</v>
      </c>
      <c r="B410" s="212">
        <v>0.31363229702527401</v>
      </c>
      <c r="C410" s="210">
        <v>-30</v>
      </c>
      <c r="D410" s="210">
        <v>-1</v>
      </c>
      <c r="E410" s="210">
        <v>-30</v>
      </c>
      <c r="F410" s="210">
        <v>-37</v>
      </c>
      <c r="G410" s="210">
        <v>-37</v>
      </c>
      <c r="H410" s="210">
        <v>12</v>
      </c>
    </row>
    <row r="411" spans="1:8" x14ac:dyDescent="0.25">
      <c r="A411" s="6">
        <f ca="1">IFERROR(__xludf.DUMMYFUNCTION("""COMPUTED_VALUE"""),44300)</f>
        <v>44300</v>
      </c>
      <c r="B411" s="212">
        <v>0.29432407689960327</v>
      </c>
      <c r="C411" s="210">
        <v>-25</v>
      </c>
      <c r="D411" s="210">
        <v>0</v>
      </c>
      <c r="E411" s="210">
        <v>-25</v>
      </c>
      <c r="F411" s="210">
        <v>-35</v>
      </c>
      <c r="G411" s="210">
        <v>-32</v>
      </c>
      <c r="H411" s="210">
        <v>10</v>
      </c>
    </row>
    <row r="412" spans="1:8" x14ac:dyDescent="0.25">
      <c r="A412" s="6">
        <f ca="1">IFERROR(__xludf.DUMMYFUNCTION("""COMPUTED_VALUE"""),44301)</f>
        <v>44301</v>
      </c>
      <c r="B412" s="212">
        <v>0.30661286707016366</v>
      </c>
      <c r="C412" s="210">
        <v>-22</v>
      </c>
      <c r="D412" s="210">
        <v>2</v>
      </c>
      <c r="E412" s="210">
        <v>-23</v>
      </c>
      <c r="F412" s="210">
        <v>-33</v>
      </c>
      <c r="G412" s="210">
        <v>-27</v>
      </c>
      <c r="H412" s="210">
        <v>9</v>
      </c>
    </row>
    <row r="413" spans="1:8" x14ac:dyDescent="0.25">
      <c r="A413" s="6">
        <f ca="1">IFERROR(__xludf.DUMMYFUNCTION("""COMPUTED_VALUE"""),44302)</f>
        <v>44302</v>
      </c>
      <c r="B413" s="212">
        <v>0.34184207222663932</v>
      </c>
      <c r="C413" s="210">
        <v>-20</v>
      </c>
      <c r="D413" s="210">
        <v>2</v>
      </c>
      <c r="E413" s="210">
        <v>-25</v>
      </c>
      <c r="F413" s="210">
        <v>-34</v>
      </c>
      <c r="G413" s="210">
        <v>-24</v>
      </c>
      <c r="H413" s="210">
        <v>9</v>
      </c>
    </row>
    <row r="414" spans="1:8" x14ac:dyDescent="0.25">
      <c r="A414" s="6">
        <f ca="1">IFERROR(__xludf.DUMMYFUNCTION("""COMPUTED_VALUE"""),44303)</f>
        <v>44303</v>
      </c>
      <c r="B414" s="212">
        <v>0.29993750488243104</v>
      </c>
      <c r="C414" s="210">
        <v>-23</v>
      </c>
      <c r="D414" s="210">
        <v>0</v>
      </c>
      <c r="E414" s="210">
        <v>-33</v>
      </c>
      <c r="F414" s="210">
        <v>-35</v>
      </c>
      <c r="G414" s="210">
        <v>-17</v>
      </c>
      <c r="H414" s="210">
        <v>9</v>
      </c>
    </row>
    <row r="415" spans="1:8" x14ac:dyDescent="0.25">
      <c r="A415" s="6">
        <f ca="1">IFERROR(__xludf.DUMMYFUNCTION("""COMPUTED_VALUE"""),44304)</f>
        <v>44304</v>
      </c>
      <c r="B415" s="212">
        <v>0.33770977295162885</v>
      </c>
      <c r="C415" s="210">
        <v>-23</v>
      </c>
      <c r="D415" s="210">
        <v>-1</v>
      </c>
      <c r="E415" s="210">
        <v>-36</v>
      </c>
      <c r="F415" s="210">
        <v>-36</v>
      </c>
      <c r="G415" s="210">
        <v>-10</v>
      </c>
      <c r="H415" s="210">
        <v>10</v>
      </c>
    </row>
    <row r="416" spans="1:8" x14ac:dyDescent="0.25">
      <c r="A416" s="6">
        <f ca="1">IFERROR(__xludf.DUMMYFUNCTION("""COMPUTED_VALUE"""),44305)</f>
        <v>44305</v>
      </c>
      <c r="B416" s="212">
        <v>0.35047695283836972</v>
      </c>
      <c r="C416" s="210">
        <v>-18</v>
      </c>
      <c r="D416" s="210">
        <v>3</v>
      </c>
      <c r="E416" s="210">
        <v>-21</v>
      </c>
      <c r="F416" s="210">
        <v>-33</v>
      </c>
      <c r="G416" s="210">
        <v>-24</v>
      </c>
      <c r="H416" s="210">
        <v>8</v>
      </c>
    </row>
    <row r="417" spans="1:8" x14ac:dyDescent="0.25">
      <c r="A417" s="6">
        <f ca="1">IFERROR(__xludf.DUMMYFUNCTION("""COMPUTED_VALUE"""),44306)</f>
        <v>44306</v>
      </c>
      <c r="B417" s="212">
        <v>0.33692483204461909</v>
      </c>
      <c r="C417" s="210">
        <v>-17</v>
      </c>
      <c r="D417" s="210">
        <v>6</v>
      </c>
      <c r="E417" s="210">
        <v>-20</v>
      </c>
      <c r="F417" s="210">
        <v>-31</v>
      </c>
      <c r="G417" s="210">
        <v>-25</v>
      </c>
      <c r="H417" s="210">
        <v>8</v>
      </c>
    </row>
    <row r="418" spans="1:8" x14ac:dyDescent="0.25">
      <c r="A418" s="6">
        <f ca="1">IFERROR(__xludf.DUMMYFUNCTION("""COMPUTED_VALUE"""),44307)</f>
        <v>44307</v>
      </c>
      <c r="B418" s="212">
        <v>0.30781276451667511</v>
      </c>
      <c r="C418" s="210">
        <v>-15</v>
      </c>
      <c r="D418" s="210">
        <v>7</v>
      </c>
      <c r="E418" s="210">
        <v>-18</v>
      </c>
      <c r="F418" s="210">
        <v>-31</v>
      </c>
      <c r="G418" s="210">
        <v>-24</v>
      </c>
      <c r="H418" s="210">
        <v>8</v>
      </c>
    </row>
    <row r="419" spans="1:8" x14ac:dyDescent="0.25">
      <c r="A419" s="6">
        <f ca="1">IFERROR(__xludf.DUMMYFUNCTION("""COMPUTED_VALUE"""),44308)</f>
        <v>44308</v>
      </c>
      <c r="B419" s="212">
        <v>0.30925587009851641</v>
      </c>
      <c r="C419" s="210">
        <v>-16</v>
      </c>
      <c r="D419" s="210">
        <v>6</v>
      </c>
      <c r="E419" s="210">
        <v>-20</v>
      </c>
      <c r="F419" s="210">
        <v>-31</v>
      </c>
      <c r="G419" s="210">
        <v>-24</v>
      </c>
      <c r="H419" s="210">
        <v>8</v>
      </c>
    </row>
    <row r="420" spans="1:8" x14ac:dyDescent="0.25">
      <c r="A420" s="6">
        <f ca="1">IFERROR(__xludf.DUMMYFUNCTION("""COMPUTED_VALUE"""),44309)</f>
        <v>44309</v>
      </c>
      <c r="B420" s="212">
        <v>0.32957621148641131</v>
      </c>
      <c r="C420" s="210">
        <v>-16</v>
      </c>
      <c r="D420" s="210">
        <v>4</v>
      </c>
      <c r="E420" s="210">
        <v>-23</v>
      </c>
      <c r="F420" s="210">
        <v>-32</v>
      </c>
      <c r="G420" s="210">
        <v>-22</v>
      </c>
      <c r="H420" s="210">
        <v>9</v>
      </c>
    </row>
    <row r="421" spans="1:8" x14ac:dyDescent="0.25">
      <c r="A421" s="6">
        <f ca="1">IFERROR(__xludf.DUMMYFUNCTION("""COMPUTED_VALUE"""),44310)</f>
        <v>44310</v>
      </c>
      <c r="B421" s="212">
        <v>0.33574953732264035</v>
      </c>
      <c r="C421" s="210">
        <v>-17</v>
      </c>
      <c r="D421" s="210">
        <v>5</v>
      </c>
      <c r="E421" s="210">
        <v>-28</v>
      </c>
      <c r="F421" s="210">
        <v>-31</v>
      </c>
      <c r="G421" s="210">
        <v>-15</v>
      </c>
      <c r="H421" s="210">
        <v>8</v>
      </c>
    </row>
    <row r="422" spans="1:8" x14ac:dyDescent="0.25">
      <c r="A422" s="6">
        <f ca="1">IFERROR(__xludf.DUMMYFUNCTION("""COMPUTED_VALUE"""),44311)</f>
        <v>44311</v>
      </c>
      <c r="B422" s="212">
        <v>0.35527481236306002</v>
      </c>
      <c r="C422" s="210">
        <v>-17</v>
      </c>
      <c r="D422" s="210">
        <v>5</v>
      </c>
      <c r="E422" s="210">
        <v>-31</v>
      </c>
      <c r="F422" s="210">
        <v>-32</v>
      </c>
      <c r="G422" s="210">
        <v>-8</v>
      </c>
      <c r="H422" s="210">
        <v>9</v>
      </c>
    </row>
    <row r="423" spans="1:8" x14ac:dyDescent="0.25">
      <c r="A423" s="6">
        <f ca="1">IFERROR(__xludf.DUMMYFUNCTION("""COMPUTED_VALUE"""),44312)</f>
        <v>44312</v>
      </c>
      <c r="B423" s="212">
        <v>0.31217696919578253</v>
      </c>
      <c r="C423" s="210">
        <v>-14</v>
      </c>
      <c r="D423" s="210">
        <v>7</v>
      </c>
      <c r="E423" s="210">
        <v>-18</v>
      </c>
      <c r="F423" s="210">
        <v>-31</v>
      </c>
      <c r="G423" s="210">
        <v>-23</v>
      </c>
      <c r="H423" s="210">
        <v>8</v>
      </c>
    </row>
    <row r="424" spans="1:8" x14ac:dyDescent="0.25">
      <c r="A424" s="6">
        <f ca="1">IFERROR(__xludf.DUMMYFUNCTION("""COMPUTED_VALUE"""),44313)</f>
        <v>44313</v>
      </c>
      <c r="B424" s="212">
        <v>0.3382185473090063</v>
      </c>
      <c r="C424" s="210">
        <v>-14</v>
      </c>
      <c r="D424" s="210">
        <v>7</v>
      </c>
      <c r="E424" s="210">
        <v>-19</v>
      </c>
      <c r="F424" s="210">
        <v>-29</v>
      </c>
      <c r="G424" s="210">
        <v>-24</v>
      </c>
      <c r="H424" s="210">
        <v>8</v>
      </c>
    </row>
    <row r="425" spans="1:8" x14ac:dyDescent="0.25">
      <c r="A425" s="6">
        <f ca="1">IFERROR(__xludf.DUMMYFUNCTION("""COMPUTED_VALUE"""),44314)</f>
        <v>44314</v>
      </c>
      <c r="B425" s="212">
        <v>0.28511783262200779</v>
      </c>
      <c r="C425" s="210">
        <v>-13</v>
      </c>
      <c r="D425" s="210">
        <v>9</v>
      </c>
      <c r="E425" s="210">
        <v>-18</v>
      </c>
      <c r="F425" s="210">
        <v>-29</v>
      </c>
      <c r="G425" s="210">
        <v>-24</v>
      </c>
      <c r="H425" s="210">
        <v>8</v>
      </c>
    </row>
    <row r="426" spans="1:8" x14ac:dyDescent="0.25">
      <c r="A426" s="6">
        <f ca="1">IFERROR(__xludf.DUMMYFUNCTION("""COMPUTED_VALUE"""),44315)</f>
        <v>44315</v>
      </c>
      <c r="B426" s="212">
        <v>0.29333874898456541</v>
      </c>
      <c r="C426" s="210">
        <v>-9</v>
      </c>
      <c r="D426" s="210">
        <v>14</v>
      </c>
      <c r="E426" s="210">
        <v>-17</v>
      </c>
      <c r="F426" s="210">
        <v>-25</v>
      </c>
      <c r="G426" s="210">
        <v>-23</v>
      </c>
      <c r="H426" s="210">
        <v>8</v>
      </c>
    </row>
    <row r="427" spans="1:8" x14ac:dyDescent="0.25">
      <c r="A427" s="6">
        <f ca="1">IFERROR(__xludf.DUMMYFUNCTION("""COMPUTED_VALUE"""),44316)</f>
        <v>44316</v>
      </c>
      <c r="B427" s="212">
        <v>0.2617296989885039</v>
      </c>
      <c r="C427" s="210">
        <v>-8</v>
      </c>
      <c r="D427" s="210">
        <v>17</v>
      </c>
      <c r="E427" s="210">
        <v>-18</v>
      </c>
      <c r="F427" s="210">
        <v>-23</v>
      </c>
      <c r="G427" s="210">
        <v>-21</v>
      </c>
      <c r="H427" s="210">
        <v>7</v>
      </c>
    </row>
    <row r="428" spans="1:8" x14ac:dyDescent="0.25">
      <c r="A428" s="6">
        <f ca="1">IFERROR(__xludf.DUMMYFUNCTION("""COMPUTED_VALUE"""),44317)</f>
        <v>44317</v>
      </c>
      <c r="B428" s="212">
        <v>0.29040555603189572</v>
      </c>
      <c r="C428" s="210">
        <v>-6</v>
      </c>
      <c r="D428" s="210">
        <v>21</v>
      </c>
      <c r="E428" s="210">
        <v>-19</v>
      </c>
      <c r="F428" s="210">
        <v>-20</v>
      </c>
      <c r="G428" s="210">
        <v>-36</v>
      </c>
      <c r="H428" s="210">
        <v>8</v>
      </c>
    </row>
    <row r="429" spans="1:8" x14ac:dyDescent="0.25">
      <c r="A429" s="6">
        <f ca="1">IFERROR(__xludf.DUMMYFUNCTION("""COMPUTED_VALUE"""),44318)</f>
        <v>44318</v>
      </c>
      <c r="B429" s="212">
        <v>0.2971562619685944</v>
      </c>
      <c r="C429" s="210">
        <v>-7</v>
      </c>
      <c r="D429" s="210">
        <v>19</v>
      </c>
      <c r="E429" s="210">
        <v>-27</v>
      </c>
      <c r="F429" s="210">
        <v>-22</v>
      </c>
      <c r="G429" s="210">
        <v>-7</v>
      </c>
      <c r="H429" s="210">
        <v>6</v>
      </c>
    </row>
    <row r="430" spans="1:8" x14ac:dyDescent="0.25">
      <c r="A430" s="6">
        <f ca="1">IFERROR(__xludf.DUMMYFUNCTION("""COMPUTED_VALUE"""),44319)</f>
        <v>44319</v>
      </c>
      <c r="B430" s="212">
        <v>0.32823755402593247</v>
      </c>
      <c r="C430" s="210">
        <v>-2</v>
      </c>
      <c r="D430" s="210">
        <v>25</v>
      </c>
      <c r="E430" s="210">
        <v>-9</v>
      </c>
      <c r="F430" s="210">
        <v>-21</v>
      </c>
      <c r="G430" s="210">
        <v>-24</v>
      </c>
      <c r="H430" s="210">
        <v>5</v>
      </c>
    </row>
    <row r="431" spans="1:8" x14ac:dyDescent="0.25">
      <c r="A431" s="6">
        <f ca="1">IFERROR(__xludf.DUMMYFUNCTION("""COMPUTED_VALUE"""),44320)</f>
        <v>44320</v>
      </c>
      <c r="B431" s="212">
        <v>0.28585826437513262</v>
      </c>
      <c r="C431" s="210">
        <v>-3</v>
      </c>
      <c r="D431" s="210">
        <v>26</v>
      </c>
      <c r="E431" s="210">
        <v>-9</v>
      </c>
      <c r="F431" s="210">
        <v>-16</v>
      </c>
      <c r="G431" s="210">
        <v>-25</v>
      </c>
      <c r="H431" s="210">
        <v>5</v>
      </c>
    </row>
    <row r="432" spans="1:8" x14ac:dyDescent="0.25">
      <c r="A432" s="6">
        <f ca="1">IFERROR(__xludf.DUMMYFUNCTION("""COMPUTED_VALUE"""),44321)</f>
        <v>44321</v>
      </c>
      <c r="B432" s="212">
        <v>0.30576133629028451</v>
      </c>
      <c r="C432" s="210">
        <v>-1</v>
      </c>
      <c r="D432" s="210">
        <v>27</v>
      </c>
      <c r="E432" s="210">
        <v>-7</v>
      </c>
      <c r="F432" s="210">
        <v>-16</v>
      </c>
      <c r="G432" s="210">
        <v>-26</v>
      </c>
      <c r="H432" s="210">
        <v>5</v>
      </c>
    </row>
    <row r="433" spans="1:8" x14ac:dyDescent="0.25">
      <c r="A433" s="6">
        <f ca="1">IFERROR(__xludf.DUMMYFUNCTION("""COMPUTED_VALUE"""),44322)</f>
        <v>44322</v>
      </c>
      <c r="B433" s="212">
        <v>0.27546362339514979</v>
      </c>
      <c r="C433" s="210">
        <v>-2</v>
      </c>
      <c r="D433" s="210">
        <v>26</v>
      </c>
      <c r="E433" s="210">
        <v>-9</v>
      </c>
      <c r="F433" s="210">
        <v>-31</v>
      </c>
      <c r="G433" s="210">
        <v>-26</v>
      </c>
      <c r="H433" s="210">
        <v>7</v>
      </c>
    </row>
    <row r="434" spans="1:8" x14ac:dyDescent="0.25">
      <c r="A434" s="6">
        <f ca="1">IFERROR(__xludf.DUMMYFUNCTION("""COMPUTED_VALUE"""),44323)</f>
        <v>44323</v>
      </c>
      <c r="B434" s="212">
        <v>0.28168013497913152</v>
      </c>
      <c r="C434" s="210">
        <v>-2</v>
      </c>
      <c r="D434" s="210">
        <v>25</v>
      </c>
      <c r="E434" s="210">
        <v>-12</v>
      </c>
      <c r="F434" s="210">
        <v>-34</v>
      </c>
      <c r="G434" s="210">
        <v>-23</v>
      </c>
      <c r="H434" s="210">
        <v>7</v>
      </c>
    </row>
    <row r="435" spans="1:8" x14ac:dyDescent="0.25">
      <c r="A435" s="6">
        <f ca="1">IFERROR(__xludf.DUMMYFUNCTION("""COMPUTED_VALUE"""),44324)</f>
        <v>44324</v>
      </c>
      <c r="B435" s="212">
        <v>0.26615893376089789</v>
      </c>
      <c r="C435" s="210">
        <v>-4</v>
      </c>
      <c r="D435" s="210">
        <v>25</v>
      </c>
      <c r="E435" s="210">
        <v>-20</v>
      </c>
      <c r="F435" s="210">
        <v>-33</v>
      </c>
      <c r="G435" s="210">
        <v>-17</v>
      </c>
      <c r="H435" s="210">
        <v>6</v>
      </c>
    </row>
    <row r="436" spans="1:8" x14ac:dyDescent="0.25">
      <c r="A436" s="6">
        <f ca="1">IFERROR(__xludf.DUMMYFUNCTION("""COMPUTED_VALUE"""),44325)</f>
        <v>44325</v>
      </c>
      <c r="B436" s="212">
        <v>0.26969429747207524</v>
      </c>
      <c r="C436" s="210">
        <v>-2</v>
      </c>
      <c r="D436" s="210">
        <v>26</v>
      </c>
      <c r="E436" s="210">
        <v>-23</v>
      </c>
      <c r="F436" s="210">
        <v>-35</v>
      </c>
      <c r="G436" s="210">
        <v>-6</v>
      </c>
      <c r="H436" s="210">
        <v>6</v>
      </c>
    </row>
    <row r="437" spans="1:8" x14ac:dyDescent="0.25">
      <c r="A437" s="6">
        <f ca="1">IFERROR(__xludf.DUMMYFUNCTION("""COMPUTED_VALUE"""),44326)</f>
        <v>44326</v>
      </c>
      <c r="B437" s="212">
        <v>0.27150170648464161</v>
      </c>
      <c r="C437" s="210">
        <v>6</v>
      </c>
      <c r="D437" s="210">
        <v>36</v>
      </c>
      <c r="E437" s="210">
        <v>1</v>
      </c>
      <c r="F437" s="210">
        <v>-31</v>
      </c>
      <c r="G437" s="210">
        <v>-32</v>
      </c>
      <c r="H437" s="210">
        <v>7</v>
      </c>
    </row>
    <row r="438" spans="1:8" x14ac:dyDescent="0.25">
      <c r="A438" s="6">
        <f ca="1">IFERROR(__xludf.DUMMYFUNCTION("""COMPUTED_VALUE"""),44327)</f>
        <v>44327</v>
      </c>
      <c r="B438" s="212">
        <v>0.22571908347326797</v>
      </c>
      <c r="C438" s="210">
        <v>8</v>
      </c>
      <c r="D438" s="210">
        <v>46</v>
      </c>
      <c r="E438" s="210">
        <v>5</v>
      </c>
      <c r="F438" s="210">
        <v>-25</v>
      </c>
      <c r="G438" s="210">
        <v>-37</v>
      </c>
      <c r="H438" s="210">
        <v>7</v>
      </c>
    </row>
    <row r="439" spans="1:8" x14ac:dyDescent="0.25">
      <c r="A439" s="6">
        <f ca="1">IFERROR(__xludf.DUMMYFUNCTION("""COMPUTED_VALUE"""),44328)</f>
        <v>44328</v>
      </c>
      <c r="B439" s="212">
        <v>0.26510083265148965</v>
      </c>
      <c r="C439" s="210">
        <v>6</v>
      </c>
      <c r="D439" s="210">
        <v>55</v>
      </c>
      <c r="E439" s="210">
        <v>15</v>
      </c>
      <c r="F439" s="210">
        <v>-31</v>
      </c>
      <c r="G439" s="210">
        <v>-62</v>
      </c>
      <c r="H439" s="210">
        <v>12</v>
      </c>
    </row>
    <row r="440" spans="1:8" x14ac:dyDescent="0.25">
      <c r="A440" s="6">
        <f ca="1">IFERROR(__xludf.DUMMYFUNCTION("""COMPUTED_VALUE"""),44329)</f>
        <v>44329</v>
      </c>
      <c r="B440" s="212">
        <v>0.26623409540224058</v>
      </c>
      <c r="C440" s="210">
        <v>-13</v>
      </c>
      <c r="D440" s="210">
        <v>8</v>
      </c>
      <c r="E440" s="210">
        <v>22</v>
      </c>
      <c r="F440" s="210">
        <v>-45</v>
      </c>
      <c r="G440" s="210">
        <v>-72</v>
      </c>
      <c r="H440" s="210">
        <v>4</v>
      </c>
    </row>
    <row r="441" spans="1:8" x14ac:dyDescent="0.25">
      <c r="A441" s="6">
        <f ca="1">IFERROR(__xludf.DUMMYFUNCTION("""COMPUTED_VALUE"""),44330)</f>
        <v>44330</v>
      </c>
      <c r="B441" s="212">
        <v>0.25247400411915405</v>
      </c>
      <c r="C441" s="210">
        <v>-8</v>
      </c>
      <c r="D441" s="210">
        <v>15</v>
      </c>
      <c r="E441" s="210">
        <v>32</v>
      </c>
      <c r="F441" s="210">
        <v>-43</v>
      </c>
      <c r="G441" s="210">
        <v>-73</v>
      </c>
      <c r="H441" s="210">
        <v>10</v>
      </c>
    </row>
    <row r="442" spans="1:8" x14ac:dyDescent="0.25">
      <c r="A442" s="6">
        <f ca="1">IFERROR(__xludf.DUMMYFUNCTION("""COMPUTED_VALUE"""),44331)</f>
        <v>44331</v>
      </c>
      <c r="B442" s="212">
        <v>0.28687405159332324</v>
      </c>
      <c r="C442" s="210">
        <v>-7</v>
      </c>
      <c r="D442" s="210">
        <v>18</v>
      </c>
      <c r="E442" s="210">
        <v>24</v>
      </c>
      <c r="F442" s="210">
        <v>-35</v>
      </c>
      <c r="G442" s="210">
        <v>-51</v>
      </c>
      <c r="H442" s="210">
        <v>4</v>
      </c>
    </row>
    <row r="443" spans="1:8" x14ac:dyDescent="0.25">
      <c r="A443" s="6">
        <f ca="1">IFERROR(__xludf.DUMMYFUNCTION("""COMPUTED_VALUE"""),44332)</f>
        <v>44332</v>
      </c>
      <c r="B443" s="212">
        <v>0.29426204357164776</v>
      </c>
      <c r="C443" s="210">
        <v>-5</v>
      </c>
      <c r="D443" s="210">
        <v>19</v>
      </c>
      <c r="E443" s="210">
        <v>12</v>
      </c>
      <c r="F443" s="210">
        <v>-34</v>
      </c>
      <c r="G443" s="210">
        <v>-21</v>
      </c>
      <c r="H443" s="210">
        <v>2</v>
      </c>
    </row>
    <row r="444" spans="1:8" x14ac:dyDescent="0.25">
      <c r="A444" s="6">
        <f ca="1">IFERROR(__xludf.DUMMYFUNCTION("""COMPUTED_VALUE"""),44333)</f>
        <v>44333</v>
      </c>
      <c r="B444" s="212">
        <v>0.27473302438041508</v>
      </c>
      <c r="C444" s="210">
        <v>1</v>
      </c>
      <c r="D444" s="210">
        <v>25</v>
      </c>
      <c r="E444" s="210">
        <v>21</v>
      </c>
      <c r="F444" s="210">
        <v>-32</v>
      </c>
      <c r="G444" s="210">
        <v>-36</v>
      </c>
      <c r="H444" s="210">
        <v>6</v>
      </c>
    </row>
    <row r="445" spans="1:8" x14ac:dyDescent="0.25">
      <c r="A445" s="6">
        <f ca="1">IFERROR(__xludf.DUMMYFUNCTION("""COMPUTED_VALUE"""),44334)</f>
        <v>44334</v>
      </c>
      <c r="B445" s="212">
        <v>0.25398106699933953</v>
      </c>
      <c r="C445" s="210">
        <v>-1</v>
      </c>
      <c r="D445" s="210">
        <v>24</v>
      </c>
      <c r="E445" s="210">
        <v>17</v>
      </c>
      <c r="F445" s="210">
        <v>-16</v>
      </c>
      <c r="G445" s="210">
        <v>-34</v>
      </c>
      <c r="H445" s="210">
        <v>5</v>
      </c>
    </row>
    <row r="446" spans="1:8" x14ac:dyDescent="0.25">
      <c r="A446" s="6">
        <f ca="1">IFERROR(__xludf.DUMMYFUNCTION("""COMPUTED_VALUE"""),44335)</f>
        <v>44335</v>
      </c>
      <c r="B446" s="212">
        <v>0.27965955983493812</v>
      </c>
      <c r="C446" s="210">
        <v>-1</v>
      </c>
      <c r="D446" s="210">
        <v>23</v>
      </c>
      <c r="E446" s="210">
        <v>15</v>
      </c>
      <c r="F446" s="210">
        <v>-18</v>
      </c>
      <c r="G446" s="210">
        <v>-30</v>
      </c>
      <c r="H446" s="210">
        <v>5</v>
      </c>
    </row>
    <row r="447" spans="1:8" x14ac:dyDescent="0.25">
      <c r="A447" s="6">
        <f ca="1">IFERROR(__xludf.DUMMYFUNCTION("""COMPUTED_VALUE"""),44336)</f>
        <v>44336</v>
      </c>
      <c r="B447" s="212">
        <v>0.30582026095880371</v>
      </c>
      <c r="C447" s="210">
        <v>-2</v>
      </c>
      <c r="D447" s="210">
        <v>23</v>
      </c>
      <c r="E447" s="210">
        <v>13</v>
      </c>
      <c r="F447" s="210">
        <v>-22</v>
      </c>
      <c r="G447" s="210">
        <v>-27</v>
      </c>
      <c r="H447" s="210">
        <v>6</v>
      </c>
    </row>
    <row r="448" spans="1:8" x14ac:dyDescent="0.25">
      <c r="A448" s="6">
        <f ca="1">IFERROR(__xludf.DUMMYFUNCTION("""COMPUTED_VALUE"""),44337)</f>
        <v>44337</v>
      </c>
      <c r="B448" s="212">
        <v>0.26401437371663244</v>
      </c>
      <c r="C448" s="210">
        <v>-5</v>
      </c>
      <c r="D448" s="210">
        <v>17</v>
      </c>
      <c r="E448" s="210">
        <v>2</v>
      </c>
      <c r="F448" s="210">
        <v>-23</v>
      </c>
      <c r="G448" s="210">
        <v>-23</v>
      </c>
      <c r="H448" s="210">
        <v>7</v>
      </c>
    </row>
    <row r="449" spans="1:8" x14ac:dyDescent="0.25">
      <c r="A449" s="6">
        <f ca="1">IFERROR(__xludf.DUMMYFUNCTION("""COMPUTED_VALUE"""),44338)</f>
        <v>44338</v>
      </c>
      <c r="B449" s="212">
        <v>0.27405023438046594</v>
      </c>
      <c r="C449" s="210">
        <v>-6</v>
      </c>
      <c r="D449" s="210">
        <v>18</v>
      </c>
      <c r="E449" s="210">
        <v>0</v>
      </c>
      <c r="F449" s="210">
        <v>-18</v>
      </c>
      <c r="G449" s="210">
        <v>-16</v>
      </c>
      <c r="H449" s="210">
        <v>5</v>
      </c>
    </row>
    <row r="450" spans="1:8" x14ac:dyDescent="0.25">
      <c r="A450" s="6">
        <f ca="1">IFERROR(__xludf.DUMMYFUNCTION("""COMPUTED_VALUE"""),44339)</f>
        <v>44339</v>
      </c>
      <c r="B450" s="212">
        <v>0.25520137430807405</v>
      </c>
      <c r="C450" s="210">
        <v>-6</v>
      </c>
      <c r="D450" s="210">
        <v>18</v>
      </c>
      <c r="E450" s="210">
        <v>5</v>
      </c>
      <c r="F450" s="210">
        <v>-17</v>
      </c>
      <c r="G450" s="210">
        <v>-6</v>
      </c>
      <c r="H450" s="210">
        <v>5</v>
      </c>
    </row>
    <row r="451" spans="1:8" x14ac:dyDescent="0.25">
      <c r="A451" s="6">
        <f ca="1">IFERROR(__xludf.DUMMYFUNCTION("""COMPUTED_VALUE"""),44340)</f>
        <v>44340</v>
      </c>
      <c r="B451" s="212">
        <v>0.22976659593816309</v>
      </c>
      <c r="C451" s="210">
        <v>-5</v>
      </c>
      <c r="D451" s="210">
        <v>16</v>
      </c>
      <c r="E451" s="210">
        <v>3</v>
      </c>
      <c r="F451" s="210">
        <v>-22</v>
      </c>
      <c r="G451" s="210">
        <v>-22</v>
      </c>
      <c r="H451" s="210">
        <v>6</v>
      </c>
    </row>
    <row r="452" spans="1:8" x14ac:dyDescent="0.25">
      <c r="A452" s="6">
        <f ca="1">IFERROR(__xludf.DUMMYFUNCTION("""COMPUTED_VALUE"""),44341)</f>
        <v>44341</v>
      </c>
      <c r="B452" s="212">
        <v>0.27128806251684184</v>
      </c>
      <c r="C452" s="210">
        <v>-1</v>
      </c>
      <c r="D452" s="210">
        <v>24</v>
      </c>
      <c r="E452" s="210">
        <v>8</v>
      </c>
      <c r="F452" s="210">
        <v>-14</v>
      </c>
      <c r="G452" s="210">
        <v>-23</v>
      </c>
      <c r="H452" s="210">
        <v>5</v>
      </c>
    </row>
    <row r="453" spans="1:8" x14ac:dyDescent="0.25">
      <c r="A453" s="6">
        <f ca="1">IFERROR(__xludf.DUMMYFUNCTION("""COMPUTED_VALUE"""),44342)</f>
        <v>44342</v>
      </c>
      <c r="B453" s="212">
        <v>0.27297222985977454</v>
      </c>
      <c r="C453" s="210">
        <v>4</v>
      </c>
      <c r="D453" s="210">
        <v>24</v>
      </c>
      <c r="E453" s="210">
        <v>34</v>
      </c>
      <c r="F453" s="210">
        <v>-18</v>
      </c>
      <c r="G453" s="210">
        <v>-57</v>
      </c>
      <c r="H453" s="210">
        <v>12</v>
      </c>
    </row>
    <row r="454" spans="1:8" x14ac:dyDescent="0.25">
      <c r="A454" s="6">
        <f ca="1">IFERROR(__xludf.DUMMYFUNCTION("""COMPUTED_VALUE"""),44343)</f>
        <v>44343</v>
      </c>
      <c r="B454" s="212">
        <v>0.257360959651036</v>
      </c>
      <c r="C454" s="210">
        <v>0</v>
      </c>
      <c r="D454" s="210">
        <v>23</v>
      </c>
      <c r="E454" s="210">
        <v>5</v>
      </c>
      <c r="F454" s="210">
        <v>-18</v>
      </c>
      <c r="G454" s="210">
        <v>-21</v>
      </c>
      <c r="H454" s="210">
        <v>6</v>
      </c>
    </row>
    <row r="455" spans="1:8" x14ac:dyDescent="0.25">
      <c r="A455" s="6">
        <f ca="1">IFERROR(__xludf.DUMMYFUNCTION("""COMPUTED_VALUE"""),44344)</f>
        <v>44344</v>
      </c>
      <c r="B455" s="212">
        <v>0.23414213573100134</v>
      </c>
      <c r="C455" s="210">
        <v>-2</v>
      </c>
      <c r="D455" s="210">
        <v>20</v>
      </c>
      <c r="E455" s="210">
        <v>-2</v>
      </c>
      <c r="F455" s="210">
        <v>-19</v>
      </c>
      <c r="G455" s="210">
        <v>-18</v>
      </c>
      <c r="H455" s="210">
        <v>7</v>
      </c>
    </row>
    <row r="456" spans="1:8" x14ac:dyDescent="0.25">
      <c r="A456" s="6">
        <f ca="1">IFERROR(__xludf.DUMMYFUNCTION("""COMPUTED_VALUE"""),44345)</f>
        <v>44345</v>
      </c>
      <c r="B456" s="212">
        <v>0.25926841324765199</v>
      </c>
      <c r="C456" s="210">
        <v>-5</v>
      </c>
      <c r="D456" s="210">
        <v>18</v>
      </c>
      <c r="E456" s="210">
        <v>-5</v>
      </c>
      <c r="F456" s="210">
        <v>-15</v>
      </c>
      <c r="G456" s="210">
        <v>-11</v>
      </c>
      <c r="H456" s="210">
        <v>5</v>
      </c>
    </row>
    <row r="457" spans="1:8" x14ac:dyDescent="0.25">
      <c r="A457" s="6">
        <f ca="1">IFERROR(__xludf.DUMMYFUNCTION("""COMPUTED_VALUE"""),44346)</f>
        <v>44346</v>
      </c>
      <c r="B457" s="212">
        <v>0.27532994923857868</v>
      </c>
      <c r="C457" s="210">
        <v>-1</v>
      </c>
      <c r="D457" s="210">
        <v>23</v>
      </c>
      <c r="E457" s="210">
        <v>8</v>
      </c>
      <c r="F457" s="210">
        <v>-14</v>
      </c>
      <c r="G457" s="210">
        <v>-4</v>
      </c>
      <c r="H457" s="210">
        <v>4</v>
      </c>
    </row>
    <row r="458" spans="1:8" x14ac:dyDescent="0.25">
      <c r="A458" s="6">
        <f ca="1">IFERROR(__xludf.DUMMYFUNCTION("""COMPUTED_VALUE"""),44347)</f>
        <v>44347</v>
      </c>
      <c r="B458" s="212">
        <v>0.25305250305250304</v>
      </c>
      <c r="C458" s="210">
        <v>5</v>
      </c>
      <c r="D458" s="210">
        <v>27</v>
      </c>
      <c r="E458" s="210">
        <v>14</v>
      </c>
      <c r="F458" s="210">
        <v>-16</v>
      </c>
      <c r="G458" s="210">
        <v>-22</v>
      </c>
      <c r="H458" s="210">
        <v>5</v>
      </c>
    </row>
    <row r="459" spans="1:8" x14ac:dyDescent="0.25">
      <c r="A459" s="6">
        <f ca="1">IFERROR(__xludf.DUMMYFUNCTION("""COMPUTED_VALUE"""),44348)</f>
        <v>44348</v>
      </c>
      <c r="B459" s="212">
        <v>0.21310869725855316</v>
      </c>
      <c r="C459" s="210">
        <v>7</v>
      </c>
      <c r="D459" s="210">
        <v>29</v>
      </c>
      <c r="E459" s="210">
        <v>34</v>
      </c>
      <c r="F459" s="210">
        <v>-15</v>
      </c>
      <c r="G459" s="210">
        <v>-58</v>
      </c>
      <c r="H459" s="210">
        <v>12</v>
      </c>
    </row>
    <row r="460" spans="1:8" x14ac:dyDescent="0.25">
      <c r="A460" s="6">
        <f ca="1">IFERROR(__xludf.DUMMYFUNCTION("""COMPUTED_VALUE"""),44349)</f>
        <v>44349</v>
      </c>
      <c r="B460" s="212">
        <v>0.25400225918279906</v>
      </c>
      <c r="C460" s="210">
        <v>3</v>
      </c>
      <c r="D460" s="210">
        <v>28</v>
      </c>
      <c r="E460" s="210">
        <v>8</v>
      </c>
      <c r="F460" s="210">
        <v>-16</v>
      </c>
      <c r="G460" s="210">
        <v>-20</v>
      </c>
      <c r="H460" s="210">
        <v>5</v>
      </c>
    </row>
    <row r="461" spans="1:8" x14ac:dyDescent="0.25">
      <c r="A461" s="6">
        <f ca="1">IFERROR(__xludf.DUMMYFUNCTION("""COMPUTED_VALUE"""),44350)</f>
        <v>44350</v>
      </c>
      <c r="B461" s="212">
        <v>0.22075042637862421</v>
      </c>
      <c r="C461" s="210">
        <v>4</v>
      </c>
      <c r="D461" s="210">
        <v>29</v>
      </c>
      <c r="E461" s="210">
        <v>8</v>
      </c>
      <c r="F461" s="210">
        <v>-17</v>
      </c>
      <c r="G461" s="210">
        <v>-19</v>
      </c>
      <c r="H461" s="210">
        <v>6</v>
      </c>
    </row>
    <row r="462" spans="1:8" x14ac:dyDescent="0.25">
      <c r="A462" s="6">
        <f ca="1">IFERROR(__xludf.DUMMYFUNCTION("""COMPUTED_VALUE"""),44351)</f>
        <v>44351</v>
      </c>
      <c r="B462" s="212">
        <v>0.22060782945244592</v>
      </c>
      <c r="C462" s="210">
        <v>0</v>
      </c>
      <c r="D462" s="210">
        <v>23</v>
      </c>
      <c r="E462" s="210">
        <v>1</v>
      </c>
      <c r="F462" s="210">
        <v>-19</v>
      </c>
      <c r="G462" s="210">
        <v>-17</v>
      </c>
      <c r="H462" s="210">
        <v>6</v>
      </c>
    </row>
    <row r="463" spans="1:8" x14ac:dyDescent="0.25">
      <c r="A463" s="6">
        <f ca="1">IFERROR(__xludf.DUMMYFUNCTION("""COMPUTED_VALUE"""),44352)</f>
        <v>44352</v>
      </c>
      <c r="B463" s="212">
        <v>0.3064421052631579</v>
      </c>
      <c r="C463" s="210">
        <v>1</v>
      </c>
      <c r="D463" s="210">
        <v>27</v>
      </c>
      <c r="E463" s="210">
        <v>2</v>
      </c>
      <c r="F463" s="210">
        <v>-13</v>
      </c>
      <c r="G463" s="210">
        <v>-11</v>
      </c>
      <c r="H463" s="210">
        <v>4</v>
      </c>
    </row>
    <row r="464" spans="1:8" x14ac:dyDescent="0.25">
      <c r="A464" s="6">
        <f ca="1">IFERROR(__xludf.DUMMYFUNCTION("""COMPUTED_VALUE"""),44353)</f>
        <v>44353</v>
      </c>
      <c r="B464" s="212">
        <v>0.30173332042219425</v>
      </c>
      <c r="C464" s="210">
        <v>-1</v>
      </c>
      <c r="D464" s="210">
        <v>23</v>
      </c>
      <c r="E464" s="210">
        <v>6</v>
      </c>
      <c r="F464" s="210">
        <v>-14</v>
      </c>
      <c r="G464" s="210">
        <v>-5</v>
      </c>
      <c r="H464" s="210">
        <v>4</v>
      </c>
    </row>
    <row r="465" spans="1:8" x14ac:dyDescent="0.25">
      <c r="A465" s="6">
        <f ca="1">IFERROR(__xludf.DUMMYFUNCTION("""COMPUTED_VALUE"""),44354)</f>
        <v>44354</v>
      </c>
      <c r="B465" s="212">
        <v>0.24835164835164836</v>
      </c>
      <c r="C465" s="210">
        <v>2</v>
      </c>
      <c r="D465" s="210">
        <v>25</v>
      </c>
      <c r="E465" s="210">
        <v>8</v>
      </c>
      <c r="F465" s="210">
        <v>-19</v>
      </c>
      <c r="G465" s="210">
        <v>-20</v>
      </c>
      <c r="H465" s="210">
        <v>5</v>
      </c>
    </row>
    <row r="466" spans="1:8" x14ac:dyDescent="0.25">
      <c r="A466" s="6">
        <f ca="1">IFERROR(__xludf.DUMMYFUNCTION("""COMPUTED_VALUE"""),44355)</f>
        <v>44355</v>
      </c>
      <c r="B466" s="212">
        <v>0.22063752875451856</v>
      </c>
      <c r="C466" s="210">
        <v>1</v>
      </c>
      <c r="D466" s="210">
        <v>24</v>
      </c>
      <c r="E466" s="210">
        <v>7</v>
      </c>
      <c r="F466" s="210">
        <v>-19</v>
      </c>
      <c r="G466" s="210">
        <v>-20</v>
      </c>
      <c r="H466" s="210">
        <v>6</v>
      </c>
    </row>
    <row r="467" spans="1:8" x14ac:dyDescent="0.25">
      <c r="A467" s="6">
        <f ca="1">IFERROR(__xludf.DUMMYFUNCTION("""COMPUTED_VALUE"""),44356)</f>
        <v>44356</v>
      </c>
      <c r="B467" s="212">
        <v>0.24693658591676548</v>
      </c>
      <c r="C467" s="210">
        <v>2</v>
      </c>
      <c r="D467" s="210">
        <v>25</v>
      </c>
      <c r="E467" s="210">
        <v>8</v>
      </c>
      <c r="F467" s="210">
        <v>-19</v>
      </c>
      <c r="G467" s="210">
        <v>-20</v>
      </c>
      <c r="H467" s="210">
        <v>6</v>
      </c>
    </row>
    <row r="468" spans="1:8" x14ac:dyDescent="0.25">
      <c r="A468" s="6">
        <f ca="1">IFERROR(__xludf.DUMMYFUNCTION("""COMPUTED_VALUE"""),44357)</f>
        <v>44357</v>
      </c>
      <c r="B468" s="212">
        <v>0.23554533508541392</v>
      </c>
      <c r="C468" s="210">
        <v>2</v>
      </c>
      <c r="D468" s="210">
        <v>25</v>
      </c>
      <c r="E468" s="210">
        <v>5</v>
      </c>
      <c r="F468" s="210">
        <v>-19</v>
      </c>
      <c r="G468" s="210">
        <v>-19</v>
      </c>
      <c r="H468" s="210">
        <v>6</v>
      </c>
    </row>
    <row r="469" spans="1:8" x14ac:dyDescent="0.25">
      <c r="A469" s="6">
        <f ca="1">IFERROR(__xludf.DUMMYFUNCTION("""COMPUTED_VALUE"""),44358)</f>
        <v>44358</v>
      </c>
      <c r="B469" s="212">
        <v>0.18651280201947348</v>
      </c>
      <c r="C469" s="210">
        <v>-1</v>
      </c>
      <c r="D469" s="210">
        <v>20</v>
      </c>
      <c r="E469" s="210">
        <v>-2</v>
      </c>
      <c r="F469" s="210">
        <v>-21</v>
      </c>
      <c r="G469" s="210">
        <v>-17</v>
      </c>
      <c r="H469" s="210">
        <v>7</v>
      </c>
    </row>
    <row r="470" spans="1:8" x14ac:dyDescent="0.25">
      <c r="A470" s="6">
        <f ca="1">IFERROR(__xludf.DUMMYFUNCTION("""COMPUTED_VALUE"""),44359)</f>
        <v>44359</v>
      </c>
      <c r="B470" s="212">
        <v>0.22763713080168776</v>
      </c>
      <c r="C470" s="210">
        <v>-2</v>
      </c>
      <c r="D470" s="210">
        <v>22</v>
      </c>
      <c r="E470" s="210">
        <v>-2</v>
      </c>
      <c r="F470" s="210">
        <v>-17</v>
      </c>
      <c r="G470" s="210">
        <v>-10</v>
      </c>
      <c r="H470" s="210">
        <v>5</v>
      </c>
    </row>
    <row r="471" spans="1:8" x14ac:dyDescent="0.25">
      <c r="A471" s="6">
        <f ca="1">IFERROR(__xludf.DUMMYFUNCTION("""COMPUTED_VALUE"""),44360)</f>
        <v>44360</v>
      </c>
      <c r="B471" s="212">
        <v>0.29382165605095539</v>
      </c>
      <c r="C471" s="210">
        <v>-3</v>
      </c>
      <c r="D471" s="210">
        <v>19</v>
      </c>
      <c r="E471" s="210">
        <v>4</v>
      </c>
      <c r="F471" s="210">
        <v>-18</v>
      </c>
      <c r="G471" s="210">
        <v>-4</v>
      </c>
      <c r="H471" s="210">
        <v>5</v>
      </c>
    </row>
    <row r="472" spans="1:8" x14ac:dyDescent="0.25">
      <c r="A472" s="6">
        <f ca="1">IFERROR(__xludf.DUMMYFUNCTION("""COMPUTED_VALUE"""),44361)</f>
        <v>44361</v>
      </c>
      <c r="B472" s="212">
        <v>0.18213986404693175</v>
      </c>
      <c r="C472" s="210">
        <v>-1</v>
      </c>
      <c r="D472" s="210">
        <v>20</v>
      </c>
      <c r="E472" s="210">
        <v>4</v>
      </c>
      <c r="F472" s="210">
        <v>-21</v>
      </c>
      <c r="G472" s="210">
        <v>-20</v>
      </c>
      <c r="H472" s="210">
        <v>6</v>
      </c>
    </row>
    <row r="473" spans="1:8" x14ac:dyDescent="0.25">
      <c r="A473" s="6">
        <f ca="1">IFERROR(__xludf.DUMMYFUNCTION("""COMPUTED_VALUE"""),44362)</f>
        <v>44362</v>
      </c>
      <c r="B473" s="212">
        <v>0.20746495879048768</v>
      </c>
      <c r="C473" s="210">
        <v>-4</v>
      </c>
      <c r="D473" s="210">
        <v>18</v>
      </c>
      <c r="E473" s="210">
        <v>0</v>
      </c>
      <c r="F473" s="210">
        <v>-21</v>
      </c>
      <c r="G473" s="210">
        <v>-21</v>
      </c>
      <c r="H473" s="210">
        <v>7</v>
      </c>
    </row>
    <row r="474" spans="1:8" x14ac:dyDescent="0.25">
      <c r="A474" s="6">
        <f ca="1">IFERROR(__xludf.DUMMYFUNCTION("""COMPUTED_VALUE"""),44363)</f>
        <v>44363</v>
      </c>
      <c r="B474" s="212">
        <v>0.34826479131631249</v>
      </c>
      <c r="C474" s="210">
        <v>-2</v>
      </c>
      <c r="D474" s="210">
        <v>19</v>
      </c>
      <c r="E474" s="210">
        <v>1</v>
      </c>
      <c r="F474" s="210">
        <v>-22</v>
      </c>
      <c r="G474" s="210">
        <v>-22</v>
      </c>
      <c r="H474" s="210">
        <v>7</v>
      </c>
    </row>
    <row r="475" spans="1:8" x14ac:dyDescent="0.25">
      <c r="A475" s="6">
        <f ca="1">IFERROR(__xludf.DUMMYFUNCTION("""COMPUTED_VALUE"""),44364)</f>
        <v>44364</v>
      </c>
      <c r="B475" s="212">
        <v>0.215791145943656</v>
      </c>
      <c r="C475" s="210">
        <v>-3</v>
      </c>
      <c r="D475" s="210">
        <v>19</v>
      </c>
      <c r="E475" s="210">
        <v>0</v>
      </c>
      <c r="F475" s="210">
        <v>-23</v>
      </c>
      <c r="G475" s="210">
        <v>-21</v>
      </c>
      <c r="H475" s="210">
        <v>7</v>
      </c>
    </row>
    <row r="476" spans="1:8" x14ac:dyDescent="0.25">
      <c r="A476" s="6">
        <f ca="1">IFERROR(__xludf.DUMMYFUNCTION("""COMPUTED_VALUE"""),44365)</f>
        <v>44365</v>
      </c>
      <c r="B476" s="212">
        <v>0.21590592819370999</v>
      </c>
      <c r="C476" s="210">
        <v>-7</v>
      </c>
      <c r="D476" s="210">
        <v>14</v>
      </c>
      <c r="E476" s="210">
        <v>-7</v>
      </c>
      <c r="F476" s="210">
        <v>-26</v>
      </c>
      <c r="G476" s="210">
        <v>-19</v>
      </c>
      <c r="H476" s="210">
        <v>8</v>
      </c>
    </row>
    <row r="477" spans="1:8" x14ac:dyDescent="0.25">
      <c r="A477" s="6">
        <f ca="1">IFERROR(__xludf.DUMMYFUNCTION("""COMPUTED_VALUE"""),44366)</f>
        <v>44366</v>
      </c>
      <c r="B477" s="212">
        <v>0.21640615533745305</v>
      </c>
      <c r="C477" s="210">
        <v>-11</v>
      </c>
      <c r="D477" s="210">
        <v>14</v>
      </c>
      <c r="E477" s="210">
        <v>-14</v>
      </c>
      <c r="F477" s="210">
        <v>-26</v>
      </c>
      <c r="G477" s="210">
        <v>-12</v>
      </c>
      <c r="H477" s="210">
        <v>7</v>
      </c>
    </row>
    <row r="478" spans="1:8" x14ac:dyDescent="0.25">
      <c r="A478" s="6">
        <f ca="1">IFERROR(__xludf.DUMMYFUNCTION("""COMPUTED_VALUE"""),44367)</f>
        <v>44367</v>
      </c>
      <c r="B478" s="212">
        <v>0.23693353474320242</v>
      </c>
      <c r="C478" s="210">
        <v>-13</v>
      </c>
      <c r="D478" s="210">
        <v>10</v>
      </c>
      <c r="E478" s="210">
        <v>-10</v>
      </c>
      <c r="F478" s="210">
        <v>-29</v>
      </c>
      <c r="G478" s="210">
        <v>-7</v>
      </c>
      <c r="H478" s="210">
        <v>7</v>
      </c>
    </row>
    <row r="479" spans="1:8" x14ac:dyDescent="0.25">
      <c r="A479" s="6">
        <f ca="1">IFERROR(__xludf.DUMMYFUNCTION("""COMPUTED_VALUE"""),44368)</f>
        <v>44368</v>
      </c>
      <c r="B479" s="212">
        <v>0.19182476399963339</v>
      </c>
      <c r="C479" s="210">
        <v>-8</v>
      </c>
      <c r="D479" s="210">
        <v>15</v>
      </c>
      <c r="E479" s="210">
        <v>-4</v>
      </c>
      <c r="F479" s="210">
        <v>-28</v>
      </c>
      <c r="G479" s="210">
        <v>-25</v>
      </c>
      <c r="H479" s="210">
        <v>8</v>
      </c>
    </row>
    <row r="480" spans="1:8" x14ac:dyDescent="0.25">
      <c r="A480" s="6">
        <f ca="1">IFERROR(__xludf.DUMMYFUNCTION("""COMPUTED_VALUE"""),44369)</f>
        <v>44369</v>
      </c>
      <c r="B480" s="212">
        <v>0.22669814194334451</v>
      </c>
      <c r="C480" s="210">
        <v>-8</v>
      </c>
      <c r="D480" s="210">
        <v>17</v>
      </c>
      <c r="E480" s="210">
        <v>-3</v>
      </c>
      <c r="F480" s="210">
        <v>-27</v>
      </c>
      <c r="G480" s="210">
        <v>-26</v>
      </c>
      <c r="H480" s="210">
        <v>8</v>
      </c>
    </row>
    <row r="481" spans="1:8" x14ac:dyDescent="0.25">
      <c r="A481" s="6">
        <f ca="1">IFERROR(__xludf.DUMMYFUNCTION("""COMPUTED_VALUE"""),44370)</f>
        <v>44370</v>
      </c>
      <c r="B481" s="212">
        <v>0.20541749502982107</v>
      </c>
      <c r="C481" s="210">
        <v>-8</v>
      </c>
      <c r="D481" s="210">
        <v>15</v>
      </c>
      <c r="E481" s="210">
        <v>-3</v>
      </c>
      <c r="F481" s="210">
        <v>-29</v>
      </c>
      <c r="G481" s="210">
        <v>-26</v>
      </c>
      <c r="H481" s="210">
        <v>9</v>
      </c>
    </row>
    <row r="482" spans="1:8" x14ac:dyDescent="0.25">
      <c r="A482" s="6">
        <f ca="1">IFERROR(__xludf.DUMMYFUNCTION("""COMPUTED_VALUE"""),44371)</f>
        <v>44371</v>
      </c>
      <c r="B482" s="212">
        <v>0.20881466599698645</v>
      </c>
      <c r="C482" s="210">
        <v>-10</v>
      </c>
      <c r="D482" s="210">
        <v>14</v>
      </c>
      <c r="E482" s="210">
        <v>-7</v>
      </c>
      <c r="F482" s="210">
        <v>-30</v>
      </c>
      <c r="G482" s="210">
        <v>-26</v>
      </c>
      <c r="H482" s="210">
        <v>10</v>
      </c>
    </row>
    <row r="483" spans="1:8" x14ac:dyDescent="0.25">
      <c r="A483" s="6">
        <f ca="1">IFERROR(__xludf.DUMMYFUNCTION("""COMPUTED_VALUE"""),44372)</f>
        <v>44372</v>
      </c>
      <c r="B483" s="212">
        <v>0.1874006116207951</v>
      </c>
      <c r="C483" s="210">
        <v>-8</v>
      </c>
      <c r="D483" s="210">
        <v>18</v>
      </c>
      <c r="E483" s="210">
        <v>-9</v>
      </c>
      <c r="F483" s="210">
        <v>-32</v>
      </c>
      <c r="G483" s="210">
        <v>-24</v>
      </c>
      <c r="H483" s="210">
        <v>10</v>
      </c>
    </row>
    <row r="484" spans="1:8" x14ac:dyDescent="0.25">
      <c r="A484" s="6">
        <f ca="1">IFERROR(__xludf.DUMMYFUNCTION("""COMPUTED_VALUE"""),44373)</f>
        <v>44373</v>
      </c>
      <c r="B484" s="212">
        <v>0.19498623908100993</v>
      </c>
      <c r="C484" s="210">
        <v>-13</v>
      </c>
      <c r="D484" s="210">
        <v>16</v>
      </c>
      <c r="E484" s="210">
        <v>-16</v>
      </c>
      <c r="F484" s="210">
        <v>-31</v>
      </c>
      <c r="G484" s="210">
        <v>-15</v>
      </c>
      <c r="H484" s="210">
        <v>8</v>
      </c>
    </row>
    <row r="485" spans="1:8" x14ac:dyDescent="0.25">
      <c r="A485" s="6">
        <f ca="1">IFERROR(__xludf.DUMMYFUNCTION("""COMPUTED_VALUE"""),44374)</f>
        <v>44374</v>
      </c>
      <c r="B485" s="212">
        <v>0.16400911161731208</v>
      </c>
      <c r="C485" s="210">
        <v>-15</v>
      </c>
      <c r="D485" s="210">
        <v>11</v>
      </c>
      <c r="E485" s="210">
        <v>-14</v>
      </c>
      <c r="F485" s="210">
        <v>-35</v>
      </c>
      <c r="G485" s="210">
        <v>-7</v>
      </c>
      <c r="H485" s="210">
        <v>9</v>
      </c>
    </row>
    <row r="486" spans="1:8" x14ac:dyDescent="0.25">
      <c r="A486" s="6">
        <f ca="1">IFERROR(__xludf.DUMMYFUNCTION("""COMPUTED_VALUE"""),44375)</f>
        <v>44375</v>
      </c>
      <c r="B486" s="212">
        <v>0.14650021340162186</v>
      </c>
      <c r="C486" s="210">
        <v>-8</v>
      </c>
      <c r="D486" s="210">
        <v>18</v>
      </c>
      <c r="E486" s="210">
        <v>-6</v>
      </c>
      <c r="F486" s="210">
        <v>-33</v>
      </c>
      <c r="G486" s="210">
        <v>-28</v>
      </c>
      <c r="H486" s="210">
        <v>10</v>
      </c>
    </row>
    <row r="487" spans="1:8" x14ac:dyDescent="0.25">
      <c r="A487" s="6">
        <f ca="1">IFERROR(__xludf.DUMMYFUNCTION("""COMPUTED_VALUE"""),44376)</f>
        <v>44376</v>
      </c>
      <c r="B487" s="212">
        <v>0.1860306178239475</v>
      </c>
      <c r="C487" s="210">
        <v>-10</v>
      </c>
      <c r="D487" s="210">
        <v>17</v>
      </c>
      <c r="E487" s="210">
        <v>-7</v>
      </c>
      <c r="F487" s="210">
        <v>-33</v>
      </c>
      <c r="G487" s="210">
        <v>-29</v>
      </c>
      <c r="H487" s="210">
        <v>10</v>
      </c>
    </row>
    <row r="488" spans="1:8" x14ac:dyDescent="0.25">
      <c r="A488" s="6">
        <f ca="1">IFERROR(__xludf.DUMMYFUNCTION("""COMPUTED_VALUE"""),44377)</f>
        <v>44377</v>
      </c>
      <c r="B488" s="212">
        <v>0.19063912990345838</v>
      </c>
      <c r="C488" s="210">
        <v>-10</v>
      </c>
      <c r="D488" s="210">
        <v>20</v>
      </c>
      <c r="E488" s="210">
        <v>-7</v>
      </c>
      <c r="F488" s="210">
        <v>-34</v>
      </c>
      <c r="G488" s="210">
        <v>-30</v>
      </c>
      <c r="H488" s="210">
        <v>9</v>
      </c>
    </row>
    <row r="489" spans="1:8" x14ac:dyDescent="0.25">
      <c r="A489" s="6">
        <f ca="1">IFERROR(__xludf.DUMMYFUNCTION("""COMPUTED_VALUE"""),44378)</f>
        <v>44378</v>
      </c>
      <c r="B489" s="212">
        <v>0.18619688572182633</v>
      </c>
      <c r="C489" s="210">
        <v>-6</v>
      </c>
      <c r="D489" s="210">
        <v>26</v>
      </c>
      <c r="E489" s="210">
        <v>-6</v>
      </c>
      <c r="F489" s="210">
        <v>-33</v>
      </c>
      <c r="G489" s="210">
        <v>-28</v>
      </c>
      <c r="H489" s="210">
        <v>11</v>
      </c>
    </row>
    <row r="490" spans="1:8" x14ac:dyDescent="0.25">
      <c r="A490" s="6">
        <f ca="1">IFERROR(__xludf.DUMMYFUNCTION("""COMPUTED_VALUE"""),44379)</f>
        <v>44379</v>
      </c>
      <c r="B490" s="212">
        <v>0.17843038701802255</v>
      </c>
      <c r="C490" s="210">
        <v>-8</v>
      </c>
      <c r="D490" s="210">
        <v>24</v>
      </c>
      <c r="E490" s="210">
        <v>-11</v>
      </c>
      <c r="F490" s="210">
        <v>-34</v>
      </c>
      <c r="G490" s="210">
        <v>-27</v>
      </c>
      <c r="H490" s="210">
        <v>12</v>
      </c>
    </row>
    <row r="491" spans="1:8" x14ac:dyDescent="0.25">
      <c r="A491" s="6">
        <f ca="1">IFERROR(__xludf.DUMMYFUNCTION("""COMPUTED_VALUE"""),44380)</f>
        <v>44380</v>
      </c>
      <c r="B491" s="212">
        <v>0.15730097914005961</v>
      </c>
      <c r="C491" s="210">
        <v>-18</v>
      </c>
      <c r="D491" s="210">
        <v>17</v>
      </c>
      <c r="E491" s="210">
        <v>-24</v>
      </c>
      <c r="F491" s="210">
        <v>-40</v>
      </c>
      <c r="G491" s="210">
        <v>-20</v>
      </c>
      <c r="H491" s="210">
        <v>11</v>
      </c>
    </row>
    <row r="492" spans="1:8" x14ac:dyDescent="0.25">
      <c r="A492" s="6">
        <f ca="1">IFERROR(__xludf.DUMMYFUNCTION("""COMPUTED_VALUE"""),44381)</f>
        <v>44381</v>
      </c>
      <c r="B492" s="212">
        <v>0.17226392730146187</v>
      </c>
      <c r="C492" s="210">
        <v>-22</v>
      </c>
      <c r="D492" s="210">
        <v>11</v>
      </c>
      <c r="E492" s="210">
        <v>-27</v>
      </c>
      <c r="F492" s="210">
        <v>-45</v>
      </c>
      <c r="G492" s="210">
        <v>-13</v>
      </c>
      <c r="H492" s="210">
        <v>12</v>
      </c>
    </row>
    <row r="493" spans="1:8" x14ac:dyDescent="0.25">
      <c r="A493" s="6">
        <f ca="1">IFERROR(__xludf.DUMMYFUNCTION("""COMPUTED_VALUE"""),44382)</f>
        <v>44382</v>
      </c>
      <c r="B493" s="212">
        <v>0.18255266925751687</v>
      </c>
      <c r="C493" s="210">
        <v>-13</v>
      </c>
      <c r="D493" s="210">
        <v>20</v>
      </c>
      <c r="E493" s="210">
        <v>-12</v>
      </c>
      <c r="F493" s="210">
        <v>-42</v>
      </c>
      <c r="G493" s="210">
        <v>-32</v>
      </c>
      <c r="H493" s="210">
        <v>13</v>
      </c>
    </row>
    <row r="494" spans="1:8" x14ac:dyDescent="0.25">
      <c r="A494" s="6">
        <f ca="1">IFERROR(__xludf.DUMMYFUNCTION("""COMPUTED_VALUE"""),44383)</f>
        <v>44383</v>
      </c>
      <c r="B494" s="212">
        <v>0.17881592292089249</v>
      </c>
      <c r="C494" s="210">
        <v>-15</v>
      </c>
      <c r="D494" s="210">
        <v>19</v>
      </c>
      <c r="E494" s="210">
        <v>-13</v>
      </c>
      <c r="F494" s="210">
        <v>-42</v>
      </c>
      <c r="G494" s="210">
        <v>-33</v>
      </c>
      <c r="H494" s="210">
        <v>13</v>
      </c>
    </row>
    <row r="495" spans="1:8" x14ac:dyDescent="0.25">
      <c r="A495" s="6">
        <f ca="1">IFERROR(__xludf.DUMMYFUNCTION("""COMPUTED_VALUE"""),44384)</f>
        <v>44384</v>
      </c>
      <c r="B495" s="212">
        <v>0.16886543535620052</v>
      </c>
      <c r="C495" s="210">
        <v>-15</v>
      </c>
      <c r="D495" s="210">
        <v>19</v>
      </c>
      <c r="E495" s="210">
        <v>-12</v>
      </c>
      <c r="F495" s="210">
        <v>-43</v>
      </c>
      <c r="G495" s="210">
        <v>-34</v>
      </c>
      <c r="H495" s="210">
        <v>13</v>
      </c>
    </row>
    <row r="496" spans="1:8" x14ac:dyDescent="0.25">
      <c r="A496" s="6">
        <f ca="1">IFERROR(__xludf.DUMMYFUNCTION("""COMPUTED_VALUE"""),44385)</f>
        <v>44385</v>
      </c>
      <c r="B496" s="212">
        <v>0.17351083032490974</v>
      </c>
      <c r="C496" s="210">
        <v>-17</v>
      </c>
      <c r="D496" s="210">
        <v>16</v>
      </c>
      <c r="E496" s="210">
        <v>-16</v>
      </c>
      <c r="F496" s="210">
        <v>-44</v>
      </c>
      <c r="G496" s="210">
        <v>-33</v>
      </c>
      <c r="H496" s="210">
        <v>14</v>
      </c>
    </row>
    <row r="497" spans="1:8" x14ac:dyDescent="0.25">
      <c r="A497" s="6">
        <f ca="1">IFERROR(__xludf.DUMMYFUNCTION("""COMPUTED_VALUE"""),44386)</f>
        <v>44386</v>
      </c>
      <c r="B497" s="212">
        <v>0.14142925544649271</v>
      </c>
      <c r="C497" s="210">
        <v>-20</v>
      </c>
      <c r="D497" s="210">
        <v>11</v>
      </c>
      <c r="E497" s="210">
        <v>-23</v>
      </c>
      <c r="F497" s="210">
        <v>-48</v>
      </c>
      <c r="G497" s="210">
        <v>-32</v>
      </c>
      <c r="H497" s="210">
        <v>15</v>
      </c>
    </row>
    <row r="498" spans="1:8" x14ac:dyDescent="0.25">
      <c r="A498" s="6">
        <f ca="1">IFERROR(__xludf.DUMMYFUNCTION("""COMPUTED_VALUE"""),44387)</f>
        <v>44387</v>
      </c>
      <c r="B498" s="212">
        <v>0.14536031589338599</v>
      </c>
      <c r="C498" s="210">
        <v>-25</v>
      </c>
      <c r="D498" s="210">
        <v>9</v>
      </c>
      <c r="E498" s="210">
        <v>-33</v>
      </c>
      <c r="F498" s="210">
        <v>-47</v>
      </c>
      <c r="G498" s="210">
        <v>-22</v>
      </c>
      <c r="H498" s="210">
        <v>13</v>
      </c>
    </row>
    <row r="499" spans="1:8" x14ac:dyDescent="0.25">
      <c r="A499" s="6">
        <f ca="1">IFERROR(__xludf.DUMMYFUNCTION("""COMPUTED_VALUE"""),44388)</f>
        <v>44388</v>
      </c>
      <c r="B499" s="212">
        <v>0.12762372762372762</v>
      </c>
      <c r="C499" s="210">
        <v>-28</v>
      </c>
      <c r="D499" s="210">
        <v>5</v>
      </c>
      <c r="E499" s="210">
        <v>-35</v>
      </c>
      <c r="F499" s="210">
        <v>-50</v>
      </c>
      <c r="G499" s="210">
        <v>-14</v>
      </c>
      <c r="H499" s="210">
        <v>13</v>
      </c>
    </row>
    <row r="500" spans="1:8" x14ac:dyDescent="0.25">
      <c r="A500" s="6">
        <f ca="1">IFERROR(__xludf.DUMMYFUNCTION("""COMPUTED_VALUE"""),44389)</f>
        <v>44389</v>
      </c>
      <c r="B500" s="212">
        <v>0.13356088967187843</v>
      </c>
      <c r="C500" s="210">
        <v>-19</v>
      </c>
      <c r="D500" s="210">
        <v>12</v>
      </c>
      <c r="E500" s="210">
        <v>-18</v>
      </c>
      <c r="F500" s="210">
        <v>-48</v>
      </c>
      <c r="G500" s="210">
        <v>-34</v>
      </c>
      <c r="H500" s="210">
        <v>14</v>
      </c>
    </row>
    <row r="501" spans="1:8" x14ac:dyDescent="0.25">
      <c r="A501" s="6">
        <f ca="1">IFERROR(__xludf.DUMMYFUNCTION("""COMPUTED_VALUE"""),44390)</f>
        <v>44390</v>
      </c>
      <c r="B501" s="212">
        <v>0.16269759094360461</v>
      </c>
      <c r="C501" s="210">
        <v>-21</v>
      </c>
      <c r="D501" s="210">
        <v>10</v>
      </c>
      <c r="E501" s="210">
        <v>-19</v>
      </c>
      <c r="F501" s="210">
        <v>-47</v>
      </c>
      <c r="G501" s="210">
        <v>-35</v>
      </c>
      <c r="H501" s="210">
        <v>14</v>
      </c>
    </row>
    <row r="502" spans="1:8" x14ac:dyDescent="0.25">
      <c r="A502" s="6">
        <f ca="1">IFERROR(__xludf.DUMMYFUNCTION("""COMPUTED_VALUE"""),44391)</f>
        <v>44391</v>
      </c>
      <c r="B502" s="212">
        <v>0.17201093711160825</v>
      </c>
      <c r="C502" s="210">
        <v>-19</v>
      </c>
      <c r="D502" s="210">
        <v>12</v>
      </c>
      <c r="E502" s="210">
        <v>-18</v>
      </c>
      <c r="F502" s="210">
        <v>-48</v>
      </c>
      <c r="G502" s="210">
        <v>-35</v>
      </c>
      <c r="H502" s="210">
        <v>14</v>
      </c>
    </row>
    <row r="503" spans="1:8" x14ac:dyDescent="0.25">
      <c r="A503" s="6">
        <f ca="1">IFERROR(__xludf.DUMMYFUNCTION("""COMPUTED_VALUE"""),44392)</f>
        <v>44392</v>
      </c>
      <c r="B503" s="212">
        <v>0.16967846460618147</v>
      </c>
      <c r="C503" s="210">
        <v>-18</v>
      </c>
      <c r="D503" s="210">
        <v>13</v>
      </c>
      <c r="E503" s="210">
        <v>-19</v>
      </c>
      <c r="F503" s="210">
        <v>-47</v>
      </c>
      <c r="G503" s="210">
        <v>-33</v>
      </c>
      <c r="H503" s="210">
        <v>14</v>
      </c>
    </row>
    <row r="504" spans="1:8" x14ac:dyDescent="0.25">
      <c r="A504" s="6">
        <f ca="1">IFERROR(__xludf.DUMMYFUNCTION("""COMPUTED_VALUE"""),44393)</f>
        <v>44393</v>
      </c>
      <c r="B504" s="212">
        <v>0.1569870193186666</v>
      </c>
      <c r="C504" s="210">
        <v>-22</v>
      </c>
      <c r="D504" s="210">
        <v>8</v>
      </c>
      <c r="E504" s="210">
        <v>-24</v>
      </c>
      <c r="F504" s="210">
        <v>-50</v>
      </c>
      <c r="G504" s="210">
        <v>-32</v>
      </c>
      <c r="H504" s="210">
        <v>15</v>
      </c>
    </row>
    <row r="505" spans="1:8" x14ac:dyDescent="0.25">
      <c r="A505" s="6">
        <f ca="1">IFERROR(__xludf.DUMMYFUNCTION("""COMPUTED_VALUE"""),44394)</f>
        <v>44394</v>
      </c>
      <c r="B505" s="212">
        <v>0.14635665351878763</v>
      </c>
      <c r="C505" s="210">
        <v>-25</v>
      </c>
      <c r="D505" s="210">
        <v>9</v>
      </c>
      <c r="E505" s="210">
        <v>-33</v>
      </c>
      <c r="F505" s="210">
        <v>-49</v>
      </c>
      <c r="G505" s="210">
        <v>-21</v>
      </c>
      <c r="H505" s="210">
        <v>13</v>
      </c>
    </row>
    <row r="506" spans="1:8" x14ac:dyDescent="0.25">
      <c r="A506" s="6">
        <f ca="1">IFERROR(__xludf.DUMMYFUNCTION("""COMPUTED_VALUE"""),44395)</f>
        <v>44395</v>
      </c>
      <c r="B506" s="212">
        <v>0.16582235731171902</v>
      </c>
      <c r="C506" s="210">
        <v>-28</v>
      </c>
      <c r="D506" s="210">
        <v>5</v>
      </c>
      <c r="E506" s="210">
        <v>-35</v>
      </c>
      <c r="F506" s="210">
        <v>-52</v>
      </c>
      <c r="G506" s="210">
        <v>-12</v>
      </c>
      <c r="H506" s="210">
        <v>13</v>
      </c>
    </row>
    <row r="507" spans="1:8" x14ac:dyDescent="0.25">
      <c r="A507" s="6">
        <f ca="1">IFERROR(__xludf.DUMMYFUNCTION("""COMPUTED_VALUE"""),44396)</f>
        <v>44396</v>
      </c>
      <c r="B507" s="212">
        <v>0.13974231912784935</v>
      </c>
      <c r="C507" s="210">
        <v>-14</v>
      </c>
      <c r="D507" s="210">
        <v>23</v>
      </c>
      <c r="E507" s="210">
        <v>-10</v>
      </c>
      <c r="F507" s="210">
        <v>-46</v>
      </c>
      <c r="G507" s="210">
        <v>-39</v>
      </c>
      <c r="H507" s="210">
        <v>14</v>
      </c>
    </row>
    <row r="508" spans="1:8" x14ac:dyDescent="0.25">
      <c r="A508" s="6">
        <f ca="1">IFERROR(__xludf.DUMMYFUNCTION("""COMPUTED_VALUE"""),44397)</f>
        <v>44397</v>
      </c>
      <c r="B508" s="212">
        <v>0.15215485756026298</v>
      </c>
      <c r="C508" s="210">
        <v>-35</v>
      </c>
      <c r="D508" s="210">
        <v>-10</v>
      </c>
      <c r="E508" s="210">
        <v>-16</v>
      </c>
      <c r="F508" s="210">
        <v>-60</v>
      </c>
      <c r="G508" s="210">
        <v>-73</v>
      </c>
      <c r="H508" s="210">
        <v>21</v>
      </c>
    </row>
    <row r="509" spans="1:8" x14ac:dyDescent="0.25">
      <c r="A509" s="6">
        <f ca="1">IFERROR(__xludf.DUMMYFUNCTION("""COMPUTED_VALUE"""),44398)</f>
        <v>44398</v>
      </c>
      <c r="B509" s="212">
        <v>0.17122203098106711</v>
      </c>
      <c r="C509" s="210">
        <v>-20</v>
      </c>
      <c r="D509" s="210">
        <v>13</v>
      </c>
      <c r="E509" s="210">
        <v>-13</v>
      </c>
      <c r="F509" s="210">
        <v>-46</v>
      </c>
      <c r="G509" s="210">
        <v>-36</v>
      </c>
      <c r="H509" s="210">
        <v>12</v>
      </c>
    </row>
    <row r="510" spans="1:8" x14ac:dyDescent="0.25">
      <c r="A510" s="6">
        <f ca="1">IFERROR(__xludf.DUMMYFUNCTION("""COMPUTED_VALUE"""),44399)</f>
        <v>44399</v>
      </c>
      <c r="B510" s="212">
        <v>0.13761397594054095</v>
      </c>
      <c r="C510" s="210">
        <v>-21</v>
      </c>
      <c r="D510" s="210">
        <v>14</v>
      </c>
      <c r="E510" s="210">
        <v>-15</v>
      </c>
      <c r="F510" s="210">
        <v>-45</v>
      </c>
      <c r="G510" s="210">
        <v>-33</v>
      </c>
      <c r="H510" s="210">
        <v>12</v>
      </c>
    </row>
    <row r="511" spans="1:8" x14ac:dyDescent="0.25">
      <c r="A511" s="6">
        <f ca="1">IFERROR(__xludf.DUMMYFUNCTION("""COMPUTED_VALUE"""),44400)</f>
        <v>44400</v>
      </c>
      <c r="B511" s="212">
        <v>0.1481641780278439</v>
      </c>
      <c r="C511" s="210">
        <v>-24</v>
      </c>
      <c r="D511" s="210">
        <v>9</v>
      </c>
      <c r="E511" s="210">
        <v>-22</v>
      </c>
      <c r="F511" s="210">
        <v>-48</v>
      </c>
      <c r="G511" s="210">
        <v>-31</v>
      </c>
      <c r="H511" s="210">
        <v>14</v>
      </c>
    </row>
    <row r="512" spans="1:8" x14ac:dyDescent="0.25">
      <c r="A512" s="6">
        <f ca="1">IFERROR(__xludf.DUMMYFUNCTION("""COMPUTED_VALUE"""),44401)</f>
        <v>44401</v>
      </c>
      <c r="B512" s="212">
        <v>0.16601616950097575</v>
      </c>
      <c r="C512" s="210">
        <v>-26</v>
      </c>
      <c r="D512" s="210">
        <v>10</v>
      </c>
      <c r="E512" s="210">
        <v>-30</v>
      </c>
      <c r="F512" s="210">
        <v>-46</v>
      </c>
      <c r="G512" s="210">
        <v>-20</v>
      </c>
      <c r="H512" s="210">
        <v>12</v>
      </c>
    </row>
    <row r="513" spans="1:8" x14ac:dyDescent="0.25">
      <c r="A513" s="6">
        <f ca="1">IFERROR(__xludf.DUMMYFUNCTION("""COMPUTED_VALUE"""),44402)</f>
        <v>44402</v>
      </c>
      <c r="B513" s="212">
        <v>0.16058655221745349</v>
      </c>
      <c r="C513" s="210">
        <v>-27</v>
      </c>
      <c r="D513" s="210">
        <v>8</v>
      </c>
      <c r="E513" s="210">
        <v>-30</v>
      </c>
      <c r="F513" s="210">
        <v>-48</v>
      </c>
      <c r="G513" s="210">
        <v>-12</v>
      </c>
      <c r="H513" s="210">
        <v>11</v>
      </c>
    </row>
    <row r="514" spans="1:8" x14ac:dyDescent="0.25">
      <c r="A514" s="6">
        <f ca="1">IFERROR(__xludf.DUMMYFUNCTION("""COMPUTED_VALUE"""),44403)</f>
        <v>44403</v>
      </c>
      <c r="B514" s="212">
        <v>0.17293760224351484</v>
      </c>
      <c r="C514" s="210">
        <v>-18</v>
      </c>
      <c r="D514" s="210">
        <v>14</v>
      </c>
      <c r="E514" s="210">
        <v>-14</v>
      </c>
      <c r="F514" s="210">
        <v>-43</v>
      </c>
      <c r="G514" s="210">
        <v>-30</v>
      </c>
      <c r="H514" s="210">
        <v>12</v>
      </c>
    </row>
    <row r="515" spans="1:8" x14ac:dyDescent="0.25">
      <c r="A515" s="6">
        <f ca="1">IFERROR(__xludf.DUMMYFUNCTION("""COMPUTED_VALUE"""),44404)</f>
        <v>44404</v>
      </c>
      <c r="B515" s="212">
        <v>0.15278719652787195</v>
      </c>
      <c r="C515" s="210">
        <v>-19</v>
      </c>
      <c r="D515" s="210">
        <v>14</v>
      </c>
      <c r="E515" s="210">
        <v>-15</v>
      </c>
      <c r="F515" s="210">
        <v>-42</v>
      </c>
      <c r="G515" s="210">
        <v>-31</v>
      </c>
      <c r="H515" s="210">
        <v>12</v>
      </c>
    </row>
    <row r="516" spans="1:8" x14ac:dyDescent="0.25">
      <c r="A516" s="6">
        <f ca="1">IFERROR(__xludf.DUMMYFUNCTION("""COMPUTED_VALUE"""),44405)</f>
        <v>44405</v>
      </c>
      <c r="B516" s="212">
        <v>0.15508271077908217</v>
      </c>
      <c r="C516" s="210">
        <v>-18</v>
      </c>
      <c r="D516" s="210">
        <v>15</v>
      </c>
      <c r="E516" s="210">
        <v>-13</v>
      </c>
      <c r="F516" s="210">
        <v>-42</v>
      </c>
      <c r="G516" s="210">
        <v>-30</v>
      </c>
      <c r="H516" s="210">
        <v>12</v>
      </c>
    </row>
    <row r="517" spans="1:8" x14ac:dyDescent="0.25">
      <c r="A517" s="6">
        <f ca="1">IFERROR(__xludf.DUMMYFUNCTION("""COMPUTED_VALUE"""),44406)</f>
        <v>44406</v>
      </c>
      <c r="B517" s="212">
        <v>0.15371287128712871</v>
      </c>
      <c r="C517" s="210">
        <v>-17</v>
      </c>
      <c r="D517" s="210">
        <v>15</v>
      </c>
      <c r="E517" s="210">
        <v>-14</v>
      </c>
      <c r="F517" s="210">
        <v>-42</v>
      </c>
      <c r="G517" s="210">
        <v>-29</v>
      </c>
      <c r="H517" s="210">
        <v>12</v>
      </c>
    </row>
    <row r="518" spans="1:8" x14ac:dyDescent="0.25">
      <c r="A518" s="6">
        <f ca="1">IFERROR(__xludf.DUMMYFUNCTION("""COMPUTED_VALUE"""),44407)</f>
        <v>44407</v>
      </c>
      <c r="B518" s="212">
        <v>0.17837541163556531</v>
      </c>
      <c r="C518" s="210">
        <v>-19</v>
      </c>
      <c r="D518" s="210">
        <v>13</v>
      </c>
      <c r="E518" s="210">
        <v>-20</v>
      </c>
      <c r="F518" s="210">
        <v>-44</v>
      </c>
      <c r="G518" s="210">
        <v>-27</v>
      </c>
      <c r="H518" s="210">
        <v>13</v>
      </c>
    </row>
    <row r="519" spans="1:8" x14ac:dyDescent="0.25">
      <c r="A519" s="6">
        <f ca="1">IFERROR(__xludf.DUMMYFUNCTION("""COMPUTED_VALUE"""),44408)</f>
        <v>44408</v>
      </c>
      <c r="B519" s="212">
        <v>0.12687705302674801</v>
      </c>
      <c r="C519" s="210">
        <v>-22</v>
      </c>
      <c r="D519" s="210">
        <v>14</v>
      </c>
      <c r="E519" s="210">
        <v>-29</v>
      </c>
      <c r="F519" s="210">
        <v>-42</v>
      </c>
      <c r="G519" s="210">
        <v>-16</v>
      </c>
      <c r="H519" s="210">
        <v>10</v>
      </c>
    </row>
    <row r="520" spans="1:8" x14ac:dyDescent="0.25">
      <c r="A520" s="6">
        <f ca="1">IFERROR(__xludf.DUMMYFUNCTION("""COMPUTED_VALUE"""),44409)</f>
        <v>44409</v>
      </c>
      <c r="B520" s="212">
        <v>0.18360655737704917</v>
      </c>
      <c r="C520" s="210">
        <v>-22</v>
      </c>
      <c r="D520" s="210">
        <v>14</v>
      </c>
      <c r="E520" s="210">
        <v>-27</v>
      </c>
      <c r="F520" s="210">
        <v>-44</v>
      </c>
      <c r="G520" s="210">
        <v>-11</v>
      </c>
      <c r="H520" s="210">
        <v>10</v>
      </c>
    </row>
    <row r="521" spans="1:8" x14ac:dyDescent="0.25">
      <c r="A521" s="6">
        <f ca="1">IFERROR(__xludf.DUMMYFUNCTION("""COMPUTED_VALUE"""),44410)</f>
        <v>44410</v>
      </c>
      <c r="B521" s="212">
        <v>9.8447893569844791E-2</v>
      </c>
      <c r="C521" s="210">
        <v>-14</v>
      </c>
      <c r="D521" s="210">
        <v>19</v>
      </c>
      <c r="E521" s="210">
        <v>-13</v>
      </c>
      <c r="F521" s="210">
        <v>-41</v>
      </c>
      <c r="G521" s="210">
        <v>-28</v>
      </c>
      <c r="H521" s="210">
        <v>11</v>
      </c>
    </row>
    <row r="522" spans="1:8" x14ac:dyDescent="0.25">
      <c r="A522" s="6">
        <f ca="1">IFERROR(__xludf.DUMMYFUNCTION("""COMPUTED_VALUE"""),44411)</f>
        <v>44411</v>
      </c>
      <c r="B522" s="212">
        <v>0.13318112633181126</v>
      </c>
      <c r="C522" s="210">
        <v>-15</v>
      </c>
      <c r="D522" s="210">
        <v>18</v>
      </c>
      <c r="E522" s="210">
        <v>-15</v>
      </c>
      <c r="F522" s="210">
        <v>-38</v>
      </c>
      <c r="G522" s="210">
        <v>-29</v>
      </c>
      <c r="H522" s="210">
        <v>11</v>
      </c>
    </row>
    <row r="523" spans="1:8" x14ac:dyDescent="0.25">
      <c r="A523" s="6">
        <f ca="1">IFERROR(__xludf.DUMMYFUNCTION("""COMPUTED_VALUE"""),44412)</f>
        <v>44412</v>
      </c>
      <c r="B523" s="212">
        <v>0.14162568701185999</v>
      </c>
      <c r="C523" s="210">
        <v>-13</v>
      </c>
      <c r="D523" s="210">
        <v>19</v>
      </c>
      <c r="E523" s="210">
        <v>-11</v>
      </c>
      <c r="F523" s="210">
        <v>-39</v>
      </c>
      <c r="G523" s="210">
        <v>-28</v>
      </c>
      <c r="H523" s="210">
        <v>11</v>
      </c>
    </row>
    <row r="524" spans="1:8" x14ac:dyDescent="0.25">
      <c r="A524" s="6">
        <f ca="1">IFERROR(__xludf.DUMMYFUNCTION("""COMPUTED_VALUE"""),44413)</f>
        <v>44413</v>
      </c>
      <c r="B524" s="212">
        <v>0.13213644524236984</v>
      </c>
      <c r="C524" s="210">
        <v>-13</v>
      </c>
      <c r="D524" s="210">
        <v>19</v>
      </c>
      <c r="E524" s="210">
        <v>-12</v>
      </c>
      <c r="F524" s="210">
        <v>-39</v>
      </c>
      <c r="G524" s="210">
        <v>-28</v>
      </c>
      <c r="H524" s="210">
        <v>11</v>
      </c>
    </row>
    <row r="525" spans="1:8" x14ac:dyDescent="0.25">
      <c r="A525" s="6">
        <f ca="1">IFERROR(__xludf.DUMMYFUNCTION("""COMPUTED_VALUE"""),44414)</f>
        <v>44414</v>
      </c>
      <c r="B525" s="212">
        <v>0.11911872429142954</v>
      </c>
      <c r="C525" s="210">
        <v>-14</v>
      </c>
      <c r="D525" s="210">
        <v>17</v>
      </c>
      <c r="E525" s="210">
        <v>-15</v>
      </c>
      <c r="F525" s="210">
        <v>-40</v>
      </c>
      <c r="G525" s="210">
        <v>-26</v>
      </c>
      <c r="H525" s="210">
        <v>11</v>
      </c>
    </row>
    <row r="526" spans="1:8" x14ac:dyDescent="0.25">
      <c r="A526" s="6">
        <f ca="1">IFERROR(__xludf.DUMMYFUNCTION("""COMPUTED_VALUE"""),44415)</f>
        <v>44415</v>
      </c>
      <c r="B526" s="212">
        <v>0.1419246429263879</v>
      </c>
      <c r="C526" s="210">
        <v>-16</v>
      </c>
      <c r="D526" s="210">
        <v>18</v>
      </c>
      <c r="E526" s="210">
        <v>-22</v>
      </c>
      <c r="F526" s="210">
        <v>-37</v>
      </c>
      <c r="G526" s="210">
        <v>-16</v>
      </c>
      <c r="H526" s="210">
        <v>9</v>
      </c>
    </row>
    <row r="527" spans="1:8" x14ac:dyDescent="0.25">
      <c r="A527" s="6">
        <f ca="1">IFERROR(__xludf.DUMMYFUNCTION("""COMPUTED_VALUE"""),44416)</f>
        <v>44416</v>
      </c>
      <c r="B527" s="212">
        <v>0.14833798145775232</v>
      </c>
      <c r="C527" s="210">
        <v>-19</v>
      </c>
      <c r="D527" s="210">
        <v>14</v>
      </c>
      <c r="E527" s="210">
        <v>-21</v>
      </c>
      <c r="F527" s="210">
        <v>-41</v>
      </c>
      <c r="G527" s="210">
        <v>-10</v>
      </c>
      <c r="H527" s="210">
        <v>9</v>
      </c>
    </row>
    <row r="528" spans="1:8" x14ac:dyDescent="0.25">
      <c r="A528" s="6">
        <f ca="1">IFERROR(__xludf.DUMMYFUNCTION("""COMPUTED_VALUE"""),44417)</f>
        <v>44417</v>
      </c>
      <c r="B528" s="212">
        <v>0.20299837925445705</v>
      </c>
      <c r="C528" s="210">
        <v>-12</v>
      </c>
      <c r="D528" s="210">
        <v>17</v>
      </c>
      <c r="E528" s="210">
        <v>-9</v>
      </c>
      <c r="F528" s="210">
        <v>-39</v>
      </c>
      <c r="G528" s="210">
        <v>-28</v>
      </c>
      <c r="H528" s="210">
        <v>10</v>
      </c>
    </row>
    <row r="529" spans="1:8" x14ac:dyDescent="0.25">
      <c r="A529" s="6">
        <f ca="1">IFERROR(__xludf.DUMMYFUNCTION("""COMPUTED_VALUE"""),44418)</f>
        <v>44418</v>
      </c>
      <c r="B529" s="212">
        <v>0.17115134540362109</v>
      </c>
      <c r="C529" s="210">
        <v>-13</v>
      </c>
      <c r="D529" s="210">
        <v>16</v>
      </c>
      <c r="E529" s="210">
        <v>-8</v>
      </c>
      <c r="F529" s="210">
        <v>-38</v>
      </c>
      <c r="G529" s="210">
        <v>-31</v>
      </c>
      <c r="H529" s="210">
        <v>10</v>
      </c>
    </row>
    <row r="530" spans="1:8" x14ac:dyDescent="0.25">
      <c r="A530" s="6">
        <f ca="1">IFERROR(__xludf.DUMMYFUNCTION("""COMPUTED_VALUE"""),44419)</f>
        <v>44419</v>
      </c>
      <c r="B530" s="212">
        <v>0.14030284883223543</v>
      </c>
      <c r="C530" s="210">
        <v>-9</v>
      </c>
      <c r="D530" s="210">
        <v>20</v>
      </c>
      <c r="E530" s="210">
        <v>-2</v>
      </c>
      <c r="F530" s="210">
        <v>-42</v>
      </c>
      <c r="G530" s="210">
        <v>-56</v>
      </c>
      <c r="H530" s="210">
        <v>16</v>
      </c>
    </row>
    <row r="531" spans="1:8" x14ac:dyDescent="0.25">
      <c r="A531" s="6">
        <f ca="1">IFERROR(__xludf.DUMMYFUNCTION("""COMPUTED_VALUE"""),44420)</f>
        <v>44420</v>
      </c>
      <c r="B531" s="212">
        <v>0.14714638087947607</v>
      </c>
      <c r="C531" s="210">
        <v>-11</v>
      </c>
      <c r="D531" s="210">
        <v>17</v>
      </c>
      <c r="E531" s="210">
        <v>-15</v>
      </c>
      <c r="F531" s="210">
        <v>-36</v>
      </c>
      <c r="G531" s="210">
        <v>-25</v>
      </c>
      <c r="H531" s="210">
        <v>9</v>
      </c>
    </row>
    <row r="532" spans="1:8" x14ac:dyDescent="0.25">
      <c r="A532" s="6">
        <f ca="1">IFERROR(__xludf.DUMMYFUNCTION("""COMPUTED_VALUE"""),44421)</f>
        <v>44421</v>
      </c>
      <c r="B532" s="212">
        <v>0.15079235419049175</v>
      </c>
      <c r="C532" s="210">
        <v>-14</v>
      </c>
      <c r="D532" s="210">
        <v>12</v>
      </c>
      <c r="E532" s="210">
        <v>-21</v>
      </c>
      <c r="F532" s="210">
        <v>-39</v>
      </c>
      <c r="G532" s="210">
        <v>-23</v>
      </c>
      <c r="H532" s="210">
        <v>11</v>
      </c>
    </row>
    <row r="533" spans="1:8" x14ac:dyDescent="0.25">
      <c r="A533" s="6">
        <f ca="1">IFERROR(__xludf.DUMMYFUNCTION("""COMPUTED_VALUE"""),44422)</f>
        <v>44422</v>
      </c>
      <c r="B533" s="212">
        <v>0.15059445178335534</v>
      </c>
      <c r="C533" s="210">
        <v>-16</v>
      </c>
      <c r="D533" s="210">
        <v>14</v>
      </c>
      <c r="E533" s="210">
        <v>-26</v>
      </c>
      <c r="F533" s="210">
        <v>-36</v>
      </c>
      <c r="G533" s="210">
        <v>-13</v>
      </c>
      <c r="H533" s="210">
        <v>8</v>
      </c>
    </row>
    <row r="534" spans="1:8" x14ac:dyDescent="0.25">
      <c r="A534" s="6">
        <f ca="1">IFERROR(__xludf.DUMMYFUNCTION("""COMPUTED_VALUE"""),44423)</f>
        <v>44423</v>
      </c>
      <c r="B534" s="212">
        <v>0.14334319526627218</v>
      </c>
      <c r="C534" s="210">
        <v>-17</v>
      </c>
      <c r="D534" s="210">
        <v>11</v>
      </c>
      <c r="E534" s="210">
        <v>-22</v>
      </c>
      <c r="F534" s="210">
        <v>-40</v>
      </c>
      <c r="G534" s="210">
        <v>-6</v>
      </c>
      <c r="H534" s="210">
        <v>9</v>
      </c>
    </row>
    <row r="535" spans="1:8" x14ac:dyDescent="0.25">
      <c r="A535" s="6">
        <f ca="1">IFERROR(__xludf.DUMMYFUNCTION("""COMPUTED_VALUE"""),44424)</f>
        <v>44424</v>
      </c>
      <c r="B535" s="212">
        <v>0.1492776886035313</v>
      </c>
      <c r="C535" s="210">
        <v>-8</v>
      </c>
      <c r="D535" s="210">
        <v>19</v>
      </c>
      <c r="E535" s="210">
        <v>-8</v>
      </c>
      <c r="F535" s="210">
        <v>-36</v>
      </c>
      <c r="G535" s="210">
        <v>-28</v>
      </c>
      <c r="H535" s="210">
        <v>9</v>
      </c>
    </row>
    <row r="536" spans="1:8" x14ac:dyDescent="0.25">
      <c r="A536" s="6">
        <f ca="1">IFERROR(__xludf.DUMMYFUNCTION("""COMPUTED_VALUE"""),44425)</f>
        <v>44425</v>
      </c>
      <c r="B536" s="212">
        <v>0.12334801762114538</v>
      </c>
      <c r="C536" s="210">
        <v>-14</v>
      </c>
      <c r="D536" s="210">
        <v>10</v>
      </c>
      <c r="E536" s="210">
        <v>5</v>
      </c>
      <c r="F536" s="210">
        <v>-44</v>
      </c>
      <c r="G536" s="210">
        <v>-64</v>
      </c>
      <c r="H536" s="210">
        <v>17</v>
      </c>
    </row>
    <row r="537" spans="1:8" x14ac:dyDescent="0.25">
      <c r="A537" s="6">
        <f ca="1">IFERROR(__xludf.DUMMYFUNCTION("""COMPUTED_VALUE"""),44426)</f>
        <v>44426</v>
      </c>
      <c r="B537" s="212">
        <v>8.7902849135917796E-2</v>
      </c>
      <c r="C537" s="210">
        <v>-13</v>
      </c>
      <c r="D537" s="210">
        <v>14</v>
      </c>
      <c r="E537" s="210">
        <v>-16</v>
      </c>
      <c r="F537" s="210">
        <v>-37</v>
      </c>
      <c r="G537" s="210">
        <v>-24</v>
      </c>
      <c r="H537" s="210">
        <v>9</v>
      </c>
    </row>
    <row r="538" spans="1:8" x14ac:dyDescent="0.25">
      <c r="A538" s="6">
        <f ca="1">IFERROR(__xludf.DUMMYFUNCTION("""COMPUTED_VALUE"""),44427)</f>
        <v>44427</v>
      </c>
      <c r="B538" s="212">
        <v>0.17791756642568773</v>
      </c>
      <c r="C538" s="210">
        <v>-12</v>
      </c>
      <c r="D538" s="210">
        <v>14</v>
      </c>
      <c r="E538" s="210">
        <v>-16</v>
      </c>
      <c r="F538" s="210">
        <v>-37</v>
      </c>
      <c r="G538" s="210">
        <v>-23</v>
      </c>
      <c r="H538" s="210">
        <v>10</v>
      </c>
    </row>
    <row r="539" spans="1:8" x14ac:dyDescent="0.25">
      <c r="A539" s="6">
        <f ca="1">IFERROR(__xludf.DUMMYFUNCTION("""COMPUTED_VALUE"""),44428)</f>
        <v>44428</v>
      </c>
      <c r="B539" s="212">
        <v>0.15716604602310705</v>
      </c>
      <c r="C539" s="210">
        <v>-13</v>
      </c>
      <c r="D539" s="210">
        <v>13</v>
      </c>
      <c r="E539" s="210">
        <v>-20</v>
      </c>
      <c r="F539" s="210">
        <v>-38</v>
      </c>
      <c r="G539" s="210">
        <v>-21</v>
      </c>
      <c r="H539" s="210">
        <v>10</v>
      </c>
    </row>
    <row r="540" spans="1:8" x14ac:dyDescent="0.25">
      <c r="A540" s="6">
        <f ca="1">IFERROR(__xludf.DUMMYFUNCTION("""COMPUTED_VALUE"""),44429)</f>
        <v>44429</v>
      </c>
      <c r="B540" s="212">
        <v>0.10716914470778743</v>
      </c>
      <c r="C540" s="210">
        <v>-15</v>
      </c>
      <c r="D540" s="210">
        <v>12</v>
      </c>
      <c r="E540" s="210">
        <v>-25</v>
      </c>
      <c r="F540" s="210">
        <v>-36</v>
      </c>
      <c r="G540" s="210">
        <v>-11</v>
      </c>
      <c r="H540" s="210">
        <v>8</v>
      </c>
    </row>
    <row r="541" spans="1:8" x14ac:dyDescent="0.25">
      <c r="A541" s="6">
        <f ca="1">IFERROR(__xludf.DUMMYFUNCTION("""COMPUTED_VALUE"""),44430)</f>
        <v>44430</v>
      </c>
      <c r="B541" s="212">
        <v>0.11114477910429671</v>
      </c>
      <c r="C541" s="210"/>
      <c r="D541" s="210"/>
      <c r="E541" s="210"/>
      <c r="F541" s="210"/>
      <c r="G541" s="210"/>
      <c r="H541" s="210"/>
    </row>
    <row r="542" spans="1:8" x14ac:dyDescent="0.25">
      <c r="A542" s="6">
        <f ca="1">IFERROR(__xludf.DUMMYFUNCTION("""COMPUTED_VALUE"""),44431)</f>
        <v>44431</v>
      </c>
      <c r="B542" s="212">
        <v>8.9398806792106475E-2</v>
      </c>
      <c r="C542" s="210"/>
      <c r="D542" s="210"/>
      <c r="E542" s="210"/>
      <c r="F542" s="210"/>
      <c r="G542" s="210"/>
      <c r="H542" s="210"/>
    </row>
    <row r="543" spans="1:8" x14ac:dyDescent="0.25">
      <c r="A543" s="6">
        <f ca="1">IFERROR(__xludf.DUMMYFUNCTION("""COMPUTED_VALUE"""),44432)</f>
        <v>44432</v>
      </c>
      <c r="B543" s="212">
        <v>0.13780301375846254</v>
      </c>
      <c r="C543" s="210"/>
      <c r="D543" s="210"/>
      <c r="E543" s="210"/>
      <c r="F543" s="210"/>
      <c r="G543" s="210"/>
      <c r="H543" s="210"/>
    </row>
    <row r="544" spans="1:8" x14ac:dyDescent="0.25">
      <c r="A544" s="6">
        <f ca="1">IFERROR(__xludf.DUMMYFUNCTION("""COMPUTED_VALUE"""),44433)</f>
        <v>44433</v>
      </c>
      <c r="B544" s="212">
        <v>0.11261375768976561</v>
      </c>
      <c r="C544" s="210"/>
      <c r="D544" s="210"/>
      <c r="E544" s="210"/>
      <c r="F544" s="210"/>
      <c r="G544" s="210"/>
      <c r="H544" s="210"/>
    </row>
    <row r="545" spans="1:8" x14ac:dyDescent="0.25">
      <c r="A545" s="6">
        <f ca="1">IFERROR(__xludf.DUMMYFUNCTION("""COMPUTED_VALUE"""),44434)</f>
        <v>44434</v>
      </c>
      <c r="B545" s="212">
        <v>0.10232358003442341</v>
      </c>
      <c r="C545" s="210"/>
      <c r="D545" s="210"/>
      <c r="E545" s="210"/>
      <c r="F545" s="210"/>
      <c r="G545" s="210"/>
      <c r="H545" s="210"/>
    </row>
    <row r="546" spans="1:8" x14ac:dyDescent="0.25">
      <c r="A546" s="6">
        <f ca="1">IFERROR(__xludf.DUMMYFUNCTION("""COMPUTED_VALUE"""),44435)</f>
        <v>44435</v>
      </c>
      <c r="B546" s="212">
        <v>0.12045917982025527</v>
      </c>
      <c r="C546" s="210"/>
      <c r="D546" s="210"/>
      <c r="E546" s="210"/>
      <c r="F546" s="210"/>
      <c r="G546" s="210"/>
      <c r="H546" s="210"/>
    </row>
    <row r="547" spans="1:8" x14ac:dyDescent="0.25">
      <c r="A547" s="6">
        <f ca="1">IFERROR(__xludf.DUMMYFUNCTION("""COMPUTED_VALUE"""),44436)</f>
        <v>44436</v>
      </c>
      <c r="B547" s="212">
        <v>0.12887282776212999</v>
      </c>
      <c r="C547" s="210"/>
      <c r="D547" s="210"/>
      <c r="E547" s="210"/>
      <c r="F547" s="210"/>
      <c r="G547" s="210"/>
      <c r="H547" s="210"/>
    </row>
    <row r="548" spans="1:8" x14ac:dyDescent="0.25">
      <c r="A548" s="6">
        <f ca="1">IFERROR(__xludf.DUMMYFUNCTION("""COMPUTED_VALUE"""),44437)</f>
        <v>44437</v>
      </c>
      <c r="B548" s="212">
        <v>0.12439939445797407</v>
      </c>
      <c r="C548" s="210"/>
      <c r="D548" s="210"/>
      <c r="E548" s="210"/>
      <c r="F548" s="210"/>
      <c r="G548" s="210"/>
      <c r="H548" s="210"/>
    </row>
    <row r="549" spans="1:8" x14ac:dyDescent="0.25">
      <c r="A549" s="6">
        <f ca="1">IFERROR(__xludf.DUMMYFUNCTION("""COMPUTED_VALUE"""),44438)</f>
        <v>44438</v>
      </c>
      <c r="B549" s="212">
        <v>0.1027075011096316</v>
      </c>
      <c r="C549" s="210"/>
      <c r="D549" s="210"/>
      <c r="E549" s="210"/>
      <c r="F549" s="210"/>
      <c r="G549" s="210"/>
      <c r="H549" s="210"/>
    </row>
    <row r="550" spans="1:8" x14ac:dyDescent="0.25">
      <c r="B550" s="212">
        <v>0.1381620132715663</v>
      </c>
      <c r="C550" s="210"/>
      <c r="D550" s="210"/>
      <c r="E550" s="210"/>
      <c r="F550" s="210"/>
      <c r="G550" s="210"/>
      <c r="H550" s="210"/>
    </row>
    <row r="551" spans="1:8" x14ac:dyDescent="0.25">
      <c r="B551" s="212">
        <v>0.12619854721549637</v>
      </c>
      <c r="C551" s="210"/>
      <c r="D551" s="210"/>
      <c r="E551" s="210"/>
      <c r="F551" s="210"/>
      <c r="G551" s="210"/>
      <c r="H551" s="210"/>
    </row>
    <row r="552" spans="1:8" x14ac:dyDescent="0.25">
      <c r="B552" s="212">
        <v>0.15330041037768657</v>
      </c>
      <c r="C552" s="210"/>
      <c r="D552" s="210"/>
      <c r="E552" s="210"/>
      <c r="F552" s="210"/>
      <c r="G552" s="210"/>
      <c r="H552" s="210"/>
    </row>
    <row r="553" spans="1:8" x14ac:dyDescent="0.25">
      <c r="B553" s="212">
        <v>0.14789329344303168</v>
      </c>
      <c r="C553" s="210"/>
      <c r="D553" s="210"/>
      <c r="E553" s="210"/>
      <c r="F553" s="210"/>
      <c r="G553" s="210"/>
      <c r="H553" s="210"/>
    </row>
    <row r="554" spans="1:8" x14ac:dyDescent="0.25">
      <c r="B554" s="212">
        <v>0.14120386222009176</v>
      </c>
      <c r="C554" s="210"/>
      <c r="D554" s="210"/>
      <c r="E554" s="210"/>
      <c r="F554" s="210"/>
      <c r="G554" s="210"/>
      <c r="H554" s="210"/>
    </row>
    <row r="555" spans="1:8" x14ac:dyDescent="0.25">
      <c r="B555" s="212">
        <v>0.19688080207946529</v>
      </c>
      <c r="C555" s="210"/>
      <c r="D555" s="210"/>
      <c r="E555" s="210"/>
      <c r="F555" s="210"/>
      <c r="G555" s="210"/>
      <c r="H555" s="210"/>
    </row>
    <row r="556" spans="1:8" x14ac:dyDescent="0.25">
      <c r="B556" s="212">
        <v>0.1502073758547248</v>
      </c>
      <c r="C556" s="210"/>
      <c r="D556" s="210"/>
      <c r="E556" s="210"/>
      <c r="F556" s="210"/>
      <c r="G556" s="210"/>
      <c r="H556" s="210"/>
    </row>
    <row r="557" spans="1:8" x14ac:dyDescent="0.25">
      <c r="B557" s="212">
        <v>0.20280799197716579</v>
      </c>
      <c r="C557" s="210"/>
      <c r="D557" s="210"/>
      <c r="E557" s="210"/>
      <c r="F557" s="210"/>
      <c r="G557" s="210"/>
      <c r="H557" s="210"/>
    </row>
    <row r="558" spans="1:8" x14ac:dyDescent="0.25">
      <c r="B558" s="212">
        <v>0.22345911949685535</v>
      </c>
      <c r="C558" s="210"/>
      <c r="D558" s="210"/>
      <c r="E558" s="210"/>
      <c r="F558" s="210"/>
      <c r="G558" s="210"/>
      <c r="H558" s="210"/>
    </row>
    <row r="559" spans="1:8" x14ac:dyDescent="0.25">
      <c r="B559" s="212">
        <v>0.22342091526013572</v>
      </c>
      <c r="C559" s="210"/>
      <c r="D559" s="210"/>
      <c r="E559" s="210"/>
      <c r="F559" s="210"/>
      <c r="G559" s="210"/>
      <c r="H559" s="210"/>
    </row>
    <row r="560" spans="1:8" x14ac:dyDescent="0.25">
      <c r="B560" s="212">
        <v>0.23719186640917869</v>
      </c>
      <c r="C560" s="210"/>
      <c r="D560" s="210"/>
      <c r="E560" s="210"/>
      <c r="F560" s="210"/>
      <c r="G560" s="210"/>
      <c r="H560" s="210"/>
    </row>
    <row r="561" spans="2:8" x14ac:dyDescent="0.25">
      <c r="B561" s="212">
        <v>0.26297577854671278</v>
      </c>
      <c r="C561" s="210"/>
      <c r="D561" s="210"/>
      <c r="E561" s="210"/>
      <c r="F561" s="210"/>
      <c r="G561" s="210"/>
      <c r="H561" s="210"/>
    </row>
    <row r="562" spans="2:8" x14ac:dyDescent="0.25">
      <c r="B562" s="212">
        <v>0.27469478357380689</v>
      </c>
      <c r="C562" s="210"/>
      <c r="D562" s="210"/>
      <c r="E562" s="210"/>
      <c r="F562" s="210"/>
      <c r="G562" s="210"/>
      <c r="H562" s="210"/>
    </row>
    <row r="563" spans="2:8" x14ac:dyDescent="0.25">
      <c r="B563" s="212">
        <v>0.23527089706898252</v>
      </c>
      <c r="C563" s="210"/>
      <c r="D563" s="210"/>
      <c r="E563" s="210"/>
      <c r="F563" s="210"/>
      <c r="G563" s="210"/>
      <c r="H563" s="210"/>
    </row>
    <row r="564" spans="2:8" x14ac:dyDescent="0.25">
      <c r="B564" s="212">
        <v>0.31248673505482844</v>
      </c>
      <c r="C564" s="210"/>
      <c r="D564" s="210"/>
      <c r="E564" s="210"/>
      <c r="F564" s="210"/>
      <c r="G564" s="210"/>
      <c r="H564" s="210"/>
    </row>
    <row r="565" spans="2:8" x14ac:dyDescent="0.25">
      <c r="B565" s="212">
        <v>0.33825646741907017</v>
      </c>
      <c r="C565" s="210"/>
      <c r="D565" s="210"/>
      <c r="E565" s="210"/>
      <c r="F565" s="210"/>
      <c r="G565" s="210"/>
      <c r="H565" s="210"/>
    </row>
    <row r="566" spans="2:8" x14ac:dyDescent="0.25">
      <c r="B566" s="212">
        <v>0.3216544607190413</v>
      </c>
      <c r="C566" s="210"/>
      <c r="D566" s="210"/>
      <c r="E566" s="210"/>
      <c r="F566" s="210"/>
      <c r="G566" s="210"/>
      <c r="H566" s="210"/>
    </row>
    <row r="567" spans="2:8" x14ac:dyDescent="0.25">
      <c r="B567" s="212">
        <v>0.33999090270024396</v>
      </c>
      <c r="C567" s="210"/>
      <c r="D567" s="210"/>
      <c r="E567" s="210"/>
      <c r="F567" s="210"/>
      <c r="G567" s="210"/>
      <c r="H567" s="210"/>
    </row>
    <row r="568" spans="2:8" x14ac:dyDescent="0.25">
      <c r="B568" s="212">
        <v>0.34733030920970492</v>
      </c>
      <c r="C568" s="210"/>
      <c r="D568" s="210"/>
      <c r="E568" s="210"/>
      <c r="F568" s="210"/>
      <c r="G568" s="210"/>
      <c r="H568" s="210"/>
    </row>
    <row r="569" spans="2:8" x14ac:dyDescent="0.25">
      <c r="B569" s="212">
        <v>0.40794782512573924</v>
      </c>
      <c r="C569" s="210"/>
      <c r="D569" s="210"/>
      <c r="E569" s="210"/>
      <c r="F569" s="210"/>
      <c r="G569" s="210"/>
      <c r="H569" s="210"/>
    </row>
    <row r="570" spans="2:8" x14ac:dyDescent="0.25">
      <c r="B570" s="212">
        <v>0.32705468291729128</v>
      </c>
      <c r="C570" s="210"/>
      <c r="D570" s="210"/>
      <c r="E570" s="210"/>
      <c r="F570" s="210"/>
      <c r="G570" s="210"/>
      <c r="H570" s="210"/>
    </row>
    <row r="571" spans="2:8" x14ac:dyDescent="0.25">
      <c r="B571" s="212">
        <v>0.39319927914255903</v>
      </c>
      <c r="C571" s="210"/>
      <c r="D571" s="210"/>
      <c r="E571" s="210"/>
      <c r="F571" s="210"/>
      <c r="G571" s="210"/>
      <c r="H571" s="210"/>
    </row>
    <row r="572" spans="2:8" x14ac:dyDescent="0.25">
      <c r="B572" s="212">
        <v>0.41989954045099925</v>
      </c>
      <c r="C572" s="210"/>
      <c r="D572" s="210"/>
      <c r="E572" s="210"/>
      <c r="F572" s="210"/>
      <c r="G572" s="210"/>
      <c r="H572" s="210"/>
    </row>
    <row r="573" spans="2:8" x14ac:dyDescent="0.25">
      <c r="B573" s="212">
        <v>0.41129184435973881</v>
      </c>
      <c r="C573" s="210"/>
      <c r="D573" s="210"/>
      <c r="E573" s="210"/>
      <c r="F573" s="210"/>
      <c r="G573" s="210"/>
      <c r="H573" s="210"/>
    </row>
    <row r="574" spans="2:8" x14ac:dyDescent="0.25">
      <c r="B574" s="212">
        <v>0.42348266885874775</v>
      </c>
      <c r="C574" s="210"/>
      <c r="D574" s="210"/>
      <c r="E574" s="210"/>
      <c r="F574" s="210"/>
      <c r="G574" s="210"/>
      <c r="H574" s="210"/>
    </row>
    <row r="575" spans="2:8" x14ac:dyDescent="0.25">
      <c r="B575" s="212">
        <v>0.46782597777638268</v>
      </c>
      <c r="C575" s="210"/>
      <c r="D575" s="210"/>
      <c r="E575" s="210"/>
      <c r="F575" s="210"/>
      <c r="G575" s="210"/>
      <c r="H575" s="210"/>
    </row>
    <row r="576" spans="2:8" x14ac:dyDescent="0.25">
      <c r="B576" s="212">
        <v>0.4536359458408456</v>
      </c>
      <c r="C576" s="210"/>
      <c r="D576" s="210"/>
      <c r="E576" s="210"/>
      <c r="F576" s="210"/>
      <c r="G576" s="210"/>
      <c r="H576" s="210"/>
    </row>
    <row r="577" spans="2:8" x14ac:dyDescent="0.25">
      <c r="B577" s="212">
        <v>0.44014718233811945</v>
      </c>
      <c r="C577" s="210"/>
      <c r="D577" s="210"/>
      <c r="E577" s="210"/>
      <c r="F577" s="210"/>
      <c r="G577" s="210"/>
      <c r="H577" s="210"/>
    </row>
    <row r="578" spans="2:8" x14ac:dyDescent="0.25">
      <c r="B578" s="212">
        <v>0.46068878310026778</v>
      </c>
      <c r="C578" s="210"/>
      <c r="D578" s="210"/>
      <c r="E578" s="210"/>
      <c r="F578" s="210"/>
      <c r="G578" s="210"/>
      <c r="H578" s="210"/>
    </row>
    <row r="579" spans="2:8" x14ac:dyDescent="0.25">
      <c r="B579" s="212">
        <v>0.46834195614683422</v>
      </c>
      <c r="C579" s="210"/>
      <c r="D579" s="210"/>
      <c r="E579" s="210"/>
      <c r="F579" s="210"/>
      <c r="G579" s="210"/>
      <c r="H579" s="210"/>
    </row>
    <row r="580" spans="2:8" x14ac:dyDescent="0.25">
      <c r="B580" s="212">
        <v>0.48584983362435347</v>
      </c>
      <c r="C580" s="210"/>
      <c r="D580" s="210"/>
      <c r="E580" s="210"/>
      <c r="F580" s="210"/>
      <c r="G580" s="210"/>
      <c r="H580" s="210"/>
    </row>
    <row r="581" spans="2:8" x14ac:dyDescent="0.25">
      <c r="B581" s="212">
        <v>0.47243470575686464</v>
      </c>
      <c r="C581" s="210"/>
      <c r="D581" s="210"/>
      <c r="E581" s="210"/>
      <c r="F581" s="210"/>
      <c r="G581" s="210"/>
      <c r="H581" s="210"/>
    </row>
    <row r="582" spans="2:8" x14ac:dyDescent="0.25">
      <c r="B582" s="212">
        <v>0.49213723057391001</v>
      </c>
      <c r="C582" s="210"/>
      <c r="D582" s="210"/>
      <c r="E582" s="210"/>
      <c r="F582" s="210"/>
      <c r="G582" s="210"/>
      <c r="H582" s="210"/>
    </row>
    <row r="583" spans="2:8" x14ac:dyDescent="0.25">
      <c r="B583" s="212">
        <v>0.51653538661238463</v>
      </c>
      <c r="C583" s="210"/>
      <c r="D583" s="210"/>
      <c r="E583" s="210"/>
      <c r="F583" s="210"/>
      <c r="G583" s="210"/>
      <c r="H583" s="210"/>
    </row>
    <row r="584" spans="2:8" x14ac:dyDescent="0.25">
      <c r="B584" s="212">
        <v>0.48449976514795678</v>
      </c>
      <c r="C584" s="210"/>
      <c r="D584" s="210"/>
      <c r="E584" s="210"/>
      <c r="F584" s="210"/>
      <c r="G584" s="210"/>
      <c r="H584" s="210"/>
    </row>
    <row r="585" spans="2:8" x14ac:dyDescent="0.25">
      <c r="B585" s="212">
        <v>0.46421387864565872</v>
      </c>
      <c r="C585" s="210"/>
      <c r="D585" s="210"/>
      <c r="E585" s="210"/>
      <c r="F585" s="210"/>
      <c r="G585" s="210"/>
      <c r="H585" s="210"/>
    </row>
    <row r="586" spans="2:8" x14ac:dyDescent="0.25">
      <c r="B586" s="212">
        <v>0.51640003786444533</v>
      </c>
      <c r="C586" s="210"/>
      <c r="D586" s="210"/>
      <c r="E586" s="210"/>
      <c r="F586" s="210"/>
      <c r="G586" s="210"/>
      <c r="H586" s="210"/>
    </row>
    <row r="587" spans="2:8" x14ac:dyDescent="0.25">
      <c r="B587" s="212">
        <v>0.48981001727115719</v>
      </c>
      <c r="C587" s="210"/>
      <c r="D587" s="210"/>
      <c r="E587" s="210"/>
      <c r="F587" s="210"/>
      <c r="G587" s="210"/>
      <c r="H587" s="210"/>
    </row>
    <row r="588" spans="2:8" x14ac:dyDescent="0.25">
      <c r="B588" s="212">
        <v>0.49313131313131314</v>
      </c>
      <c r="C588" s="210"/>
      <c r="D588" s="210"/>
      <c r="E588" s="210"/>
      <c r="F588" s="210"/>
      <c r="G588" s="210"/>
      <c r="H588" s="210"/>
    </row>
    <row r="589" spans="2:8" x14ac:dyDescent="0.25">
      <c r="B589" s="212">
        <v>0.47087767733891439</v>
      </c>
      <c r="C589" s="210"/>
      <c r="D589" s="210"/>
      <c r="E589" s="210"/>
      <c r="F589" s="210"/>
      <c r="G589" s="210"/>
      <c r="H589" s="210"/>
    </row>
    <row r="590" spans="2:8" x14ac:dyDescent="0.25">
      <c r="B590" s="212">
        <v>0.47204968944099379</v>
      </c>
      <c r="C590" s="210"/>
      <c r="D590" s="210"/>
      <c r="E590" s="210"/>
      <c r="F590" s="210"/>
      <c r="G590" s="210"/>
      <c r="H590" s="210"/>
    </row>
    <row r="591" spans="2:8" x14ac:dyDescent="0.25">
      <c r="B591" s="212">
        <v>0.43676898222940225</v>
      </c>
      <c r="C591" s="210"/>
      <c r="D591" s="210"/>
      <c r="E591" s="210"/>
      <c r="F591" s="210"/>
      <c r="G591" s="210"/>
      <c r="H591" s="210"/>
    </row>
    <row r="592" spans="2:8" x14ac:dyDescent="0.25">
      <c r="B592" s="212">
        <v>0.42528936340051887</v>
      </c>
      <c r="C592" s="210"/>
      <c r="D592" s="210"/>
      <c r="E592" s="210"/>
      <c r="F592" s="210"/>
      <c r="G592" s="210"/>
      <c r="H592" s="210"/>
    </row>
    <row r="593" spans="2:8" x14ac:dyDescent="0.25">
      <c r="B593" s="212">
        <v>0.43569338998397994</v>
      </c>
      <c r="C593" s="210"/>
      <c r="D593" s="210"/>
      <c r="E593" s="210"/>
      <c r="F593" s="210"/>
      <c r="G593" s="210"/>
      <c r="H593" s="210"/>
    </row>
    <row r="594" spans="2:8" x14ac:dyDescent="0.25">
      <c r="B594" s="212">
        <v>0.43773107975552705</v>
      </c>
      <c r="C594" s="210"/>
      <c r="D594" s="210"/>
      <c r="E594" s="210"/>
      <c r="F594" s="210"/>
      <c r="G594" s="210"/>
      <c r="H594" s="210"/>
    </row>
    <row r="595" spans="2:8" x14ac:dyDescent="0.25">
      <c r="B595" s="212">
        <v>0.43646366768832456</v>
      </c>
      <c r="C595" s="210"/>
      <c r="D595" s="210"/>
      <c r="E595" s="210"/>
      <c r="F595" s="210"/>
      <c r="G595" s="210"/>
      <c r="H595" s="210"/>
    </row>
    <row r="596" spans="2:8" x14ac:dyDescent="0.25">
      <c r="B596" s="212">
        <v>0.41217322801998468</v>
      </c>
      <c r="C596" s="210"/>
      <c r="D596" s="210"/>
      <c r="E596" s="210"/>
      <c r="F596" s="210"/>
      <c r="G596" s="210"/>
      <c r="H596" s="210"/>
    </row>
    <row r="597" spans="2:8" x14ac:dyDescent="0.25">
      <c r="B597" s="212">
        <v>0.39926241788636624</v>
      </c>
      <c r="C597" s="210"/>
      <c r="D597" s="210"/>
      <c r="E597" s="210"/>
      <c r="F597" s="210"/>
      <c r="G597" s="210"/>
      <c r="H597" s="210"/>
    </row>
    <row r="598" spans="2:8" x14ac:dyDescent="0.25">
      <c r="B598" s="212">
        <v>0.37674938051861934</v>
      </c>
      <c r="C598" s="210"/>
      <c r="D598" s="210"/>
      <c r="E598" s="210"/>
      <c r="F598" s="210"/>
      <c r="G598" s="210"/>
      <c r="H598" s="210"/>
    </row>
    <row r="599" spans="2:8" x14ac:dyDescent="0.25">
      <c r="B599" s="212">
        <v>0.36421568627450979</v>
      </c>
      <c r="C599" s="210"/>
      <c r="D599" s="210"/>
      <c r="E599" s="210"/>
      <c r="F599" s="210"/>
      <c r="G599" s="210"/>
      <c r="H599" s="210"/>
    </row>
    <row r="600" spans="2:8" x14ac:dyDescent="0.25">
      <c r="B600" s="212">
        <v>0.40911629638823382</v>
      </c>
      <c r="C600" s="210"/>
      <c r="D600" s="210"/>
      <c r="E600" s="210"/>
      <c r="F600" s="210"/>
      <c r="G600" s="210"/>
      <c r="H600" s="210"/>
    </row>
    <row r="601" spans="2:8" x14ac:dyDescent="0.25">
      <c r="B601" s="212">
        <v>0.39449633423722003</v>
      </c>
      <c r="C601" s="210"/>
      <c r="D601" s="210"/>
      <c r="E601" s="210"/>
      <c r="F601" s="210"/>
      <c r="G601" s="210"/>
      <c r="H601" s="210"/>
    </row>
    <row r="602" spans="2:8" x14ac:dyDescent="0.25">
      <c r="B602" s="212">
        <v>0.38201352964584162</v>
      </c>
      <c r="C602" s="210"/>
      <c r="D602" s="210"/>
      <c r="E602" s="210"/>
      <c r="F602" s="210"/>
      <c r="G602" s="210"/>
      <c r="H602" s="210"/>
    </row>
    <row r="603" spans="2:8" x14ac:dyDescent="0.25">
      <c r="B603" s="212">
        <v>0.35513796384395813</v>
      </c>
      <c r="C603" s="210"/>
      <c r="D603" s="210"/>
      <c r="E603" s="210"/>
      <c r="F603" s="210"/>
      <c r="G603" s="210"/>
      <c r="H603" s="210"/>
    </row>
    <row r="604" spans="2:8" x14ac:dyDescent="0.25">
      <c r="B604" s="212">
        <v>0.34885634359058748</v>
      </c>
      <c r="C604" s="210"/>
      <c r="D604" s="210"/>
      <c r="E604" s="210"/>
      <c r="F604" s="210"/>
      <c r="G604" s="210"/>
      <c r="H604" s="210"/>
    </row>
    <row r="605" spans="2:8" x14ac:dyDescent="0.25">
      <c r="B605" s="212">
        <v>0.30675062750451365</v>
      </c>
      <c r="C605" s="210"/>
      <c r="D605" s="210"/>
      <c r="E605" s="210"/>
      <c r="F605" s="210"/>
      <c r="G605" s="210"/>
      <c r="H605" s="210"/>
    </row>
    <row r="606" spans="2:8" x14ac:dyDescent="0.25">
      <c r="B606" s="212">
        <v>0.3097204258282758</v>
      </c>
      <c r="C606" s="210"/>
      <c r="D606" s="210"/>
      <c r="E606" s="210"/>
      <c r="F606" s="210"/>
      <c r="G606" s="210"/>
      <c r="H606" s="210"/>
    </row>
    <row r="607" spans="2:8" x14ac:dyDescent="0.25">
      <c r="B607" s="212">
        <v>0.30204152852905253</v>
      </c>
      <c r="C607" s="210"/>
      <c r="D607" s="210"/>
      <c r="E607" s="210"/>
      <c r="F607" s="210"/>
      <c r="G607" s="210"/>
      <c r="H607" s="210"/>
    </row>
    <row r="608" spans="2:8" x14ac:dyDescent="0.25">
      <c r="B608" s="212">
        <v>0.28850486036105538</v>
      </c>
      <c r="C608" s="210"/>
      <c r="D608" s="210"/>
      <c r="E608" s="210"/>
      <c r="F608" s="210"/>
      <c r="G608" s="210"/>
      <c r="H608" s="210"/>
    </row>
    <row r="609" spans="2:8" x14ac:dyDescent="0.25">
      <c r="B609" s="212">
        <v>0.2806345910521364</v>
      </c>
      <c r="C609" s="210"/>
      <c r="D609" s="210"/>
      <c r="E609" s="210"/>
      <c r="F609" s="210"/>
      <c r="G609" s="210"/>
      <c r="H609" s="210"/>
    </row>
    <row r="610" spans="2:8" x14ac:dyDescent="0.25">
      <c r="B610" s="212">
        <v>0.26543209876543211</v>
      </c>
      <c r="C610" s="210"/>
      <c r="D610" s="210"/>
      <c r="E610" s="210"/>
      <c r="F610" s="210"/>
      <c r="G610" s="210"/>
      <c r="H610" s="210"/>
    </row>
    <row r="611" spans="2:8" x14ac:dyDescent="0.25">
      <c r="B611" s="212">
        <v>0.26673291220100787</v>
      </c>
      <c r="C611" s="210"/>
      <c r="D611" s="210"/>
      <c r="E611" s="210"/>
      <c r="F611" s="210"/>
      <c r="G611" s="210"/>
      <c r="H611" s="210"/>
    </row>
    <row r="612" spans="2:8" x14ac:dyDescent="0.25">
      <c r="B612" s="212">
        <v>0.22186940707811328</v>
      </c>
      <c r="C612" s="210"/>
      <c r="D612" s="210"/>
      <c r="E612" s="210"/>
      <c r="F612" s="210"/>
      <c r="G612" s="210"/>
      <c r="H612" s="210"/>
    </row>
    <row r="613" spans="2:8" x14ac:dyDescent="0.25">
      <c r="B613" s="212">
        <v>0.21294538390215903</v>
      </c>
      <c r="C613" s="210"/>
      <c r="D613" s="210"/>
      <c r="E613" s="210"/>
      <c r="F613" s="210"/>
      <c r="G613" s="210"/>
      <c r="H613" s="210"/>
    </row>
    <row r="614" spans="2:8" x14ac:dyDescent="0.25">
      <c r="B614" s="212">
        <v>0.22019609067632548</v>
      </c>
      <c r="C614" s="210"/>
      <c r="D614" s="210"/>
      <c r="E614" s="210"/>
      <c r="F614" s="210"/>
      <c r="G614" s="210"/>
      <c r="H614" s="210"/>
    </row>
    <row r="615" spans="2:8" x14ac:dyDescent="0.25">
      <c r="B615" s="212">
        <v>0.21734403119376125</v>
      </c>
      <c r="C615" s="210"/>
      <c r="D615" s="210"/>
      <c r="E615" s="210"/>
      <c r="F615" s="210"/>
      <c r="G615" s="210"/>
      <c r="H615" s="210"/>
    </row>
    <row r="616" spans="2:8" x14ac:dyDescent="0.25">
      <c r="B616" s="212">
        <v>0.2026370299553856</v>
      </c>
      <c r="C616" s="210"/>
      <c r="D616" s="210"/>
      <c r="E616" s="210"/>
      <c r="F616" s="210"/>
      <c r="G616" s="210"/>
      <c r="H616" s="210"/>
    </row>
    <row r="617" spans="2:8" x14ac:dyDescent="0.25">
      <c r="B617" s="212">
        <v>0.18458856081567676</v>
      </c>
      <c r="C617" s="210"/>
      <c r="D617" s="210"/>
      <c r="E617" s="210"/>
      <c r="F617" s="210"/>
      <c r="G617" s="210"/>
      <c r="H617" s="210"/>
    </row>
    <row r="618" spans="2:8" x14ac:dyDescent="0.25">
      <c r="B618" s="212">
        <v>0.17422920302501455</v>
      </c>
      <c r="C618" s="210"/>
      <c r="D618" s="210"/>
      <c r="E618" s="210"/>
      <c r="F618" s="210"/>
      <c r="G618" s="210"/>
      <c r="H618" s="210"/>
    </row>
    <row r="619" spans="2:8" x14ac:dyDescent="0.25">
      <c r="B619" s="212">
        <v>0.16060314404876483</v>
      </c>
      <c r="C619" s="210"/>
      <c r="D619" s="210"/>
      <c r="E619" s="210"/>
      <c r="F619" s="210"/>
      <c r="G619" s="210"/>
      <c r="H619" s="210"/>
    </row>
    <row r="620" spans="2:8" x14ac:dyDescent="0.25">
      <c r="B620" s="212">
        <v>0.17383545346389678</v>
      </c>
      <c r="C620" s="210"/>
      <c r="D620" s="210"/>
      <c r="E620" s="210"/>
      <c r="F620" s="210"/>
      <c r="G620" s="210"/>
      <c r="H620" s="210"/>
    </row>
    <row r="621" spans="2:8" x14ac:dyDescent="0.25">
      <c r="B621" s="212">
        <v>0.17197543721047151</v>
      </c>
      <c r="C621" s="210"/>
      <c r="D621" s="210"/>
      <c r="E621" s="210"/>
      <c r="F621" s="210"/>
      <c r="G621" s="210"/>
      <c r="H621" s="210"/>
    </row>
    <row r="622" spans="2:8" x14ac:dyDescent="0.25">
      <c r="B622" s="212">
        <v>0.13194311891582364</v>
      </c>
      <c r="C622" s="210"/>
      <c r="D622" s="210"/>
      <c r="E622" s="210"/>
      <c r="F622" s="210"/>
      <c r="G622" s="210"/>
      <c r="H622" s="210"/>
    </row>
    <row r="623" spans="2:8" x14ac:dyDescent="0.25">
      <c r="B623" s="212">
        <v>0.1357045862718472</v>
      </c>
      <c r="C623" s="210"/>
      <c r="D623" s="210"/>
      <c r="E623" s="210"/>
      <c r="F623" s="210"/>
      <c r="G623" s="210"/>
      <c r="H623" s="210"/>
    </row>
    <row r="624" spans="2:8" x14ac:dyDescent="0.25">
      <c r="B624" s="212">
        <v>0.13845963143541856</v>
      </c>
      <c r="C624" s="210"/>
      <c r="D624" s="210"/>
      <c r="E624" s="210"/>
      <c r="F624" s="210"/>
      <c r="G624" s="210"/>
      <c r="H624" s="210"/>
    </row>
    <row r="625" spans="2:8" x14ac:dyDescent="0.25">
      <c r="B625" s="212">
        <v>0.13540996267215857</v>
      </c>
      <c r="C625" s="210"/>
      <c r="D625" s="210"/>
      <c r="E625" s="210"/>
      <c r="F625" s="210"/>
      <c r="G625" s="210"/>
      <c r="H625" s="210"/>
    </row>
    <row r="626" spans="2:8" x14ac:dyDescent="0.25">
      <c r="B626" s="212">
        <v>0.11290776152980878</v>
      </c>
      <c r="C626" s="210"/>
      <c r="D626" s="210"/>
      <c r="E626" s="210"/>
      <c r="F626" s="210"/>
      <c r="G626" s="210"/>
      <c r="H626" s="210"/>
    </row>
    <row r="627" spans="2:8" x14ac:dyDescent="0.25">
      <c r="B627" s="212">
        <v>0.10568044476673918</v>
      </c>
      <c r="C627" s="210"/>
      <c r="D627" s="210"/>
      <c r="E627" s="210"/>
      <c r="F627" s="210"/>
      <c r="G627" s="210"/>
      <c r="H627" s="210"/>
    </row>
    <row r="628" spans="2:8" x14ac:dyDescent="0.25">
      <c r="B628" s="212">
        <v>0.12590486039296794</v>
      </c>
      <c r="C628" s="210"/>
      <c r="D628" s="210"/>
      <c r="E628" s="210"/>
      <c r="F628" s="210"/>
      <c r="G628" s="210"/>
      <c r="H628" s="210"/>
    </row>
    <row r="629" spans="2:8" x14ac:dyDescent="0.25">
      <c r="B629" s="212">
        <v>0.10733612273361227</v>
      </c>
      <c r="C629" s="210"/>
      <c r="D629" s="210"/>
      <c r="E629" s="210"/>
      <c r="F629" s="210"/>
      <c r="G629" s="210"/>
      <c r="H629" s="210"/>
    </row>
    <row r="630" spans="2:8" x14ac:dyDescent="0.25">
      <c r="B630" s="212">
        <v>0.12039119804400979</v>
      </c>
      <c r="C630" s="210"/>
      <c r="D630" s="210"/>
      <c r="E630" s="210"/>
      <c r="F630" s="210"/>
      <c r="G630" s="210"/>
      <c r="H630" s="210"/>
    </row>
    <row r="631" spans="2:8" x14ac:dyDescent="0.25">
      <c r="B631" s="212">
        <v>0.11841338770322513</v>
      </c>
      <c r="C631" s="210"/>
      <c r="D631" s="210"/>
      <c r="E631" s="210"/>
      <c r="F631" s="210"/>
      <c r="G631" s="210"/>
      <c r="H631" s="210"/>
    </row>
    <row r="632" spans="2:8" x14ac:dyDescent="0.25">
      <c r="B632" s="212">
        <v>9.3939910262963597E-2</v>
      </c>
      <c r="C632" s="210"/>
      <c r="D632" s="210"/>
      <c r="E632" s="210"/>
      <c r="F632" s="210"/>
      <c r="G632" s="210"/>
      <c r="H632" s="210"/>
    </row>
    <row r="633" spans="2:8" x14ac:dyDescent="0.25">
      <c r="B633" s="212">
        <v>8.4896810506566597E-2</v>
      </c>
      <c r="C633" s="210"/>
      <c r="D633" s="210"/>
      <c r="E633" s="210"/>
      <c r="F633" s="210"/>
      <c r="G633" s="210"/>
      <c r="H633" s="210"/>
    </row>
    <row r="634" spans="2:8" x14ac:dyDescent="0.25">
      <c r="B634" s="212">
        <v>8.8742491765161788E-2</v>
      </c>
      <c r="C634" s="210"/>
      <c r="D634" s="210"/>
      <c r="E634" s="210"/>
      <c r="F634" s="210"/>
      <c r="G634" s="210"/>
      <c r="H634" s="210"/>
    </row>
    <row r="635" spans="2:8" x14ac:dyDescent="0.25">
      <c r="B635" s="212">
        <v>8.6482396403614187E-2</v>
      </c>
      <c r="C635" s="210"/>
      <c r="D635" s="210"/>
      <c r="E635" s="210"/>
      <c r="F635" s="210"/>
      <c r="G635" s="210"/>
      <c r="H635" s="210"/>
    </row>
    <row r="636" spans="2:8" x14ac:dyDescent="0.25">
      <c r="B636" s="212">
        <v>7.9773630081079613E-2</v>
      </c>
      <c r="C636" s="210"/>
      <c r="D636" s="210"/>
      <c r="E636" s="210"/>
      <c r="F636" s="210"/>
      <c r="G636" s="210"/>
      <c r="H636" s="210"/>
    </row>
    <row r="637" spans="2:8" x14ac:dyDescent="0.25">
      <c r="B637" s="212">
        <v>7.9996149403157496E-2</v>
      </c>
      <c r="C637" s="210"/>
      <c r="D637" s="210"/>
      <c r="E637" s="210"/>
      <c r="F637" s="210"/>
      <c r="G637" s="210"/>
      <c r="H637" s="210"/>
    </row>
    <row r="638" spans="2:8" x14ac:dyDescent="0.25">
      <c r="B638" s="212">
        <v>7.341656167678387E-2</v>
      </c>
      <c r="C638" s="210"/>
      <c r="D638" s="210"/>
      <c r="E638" s="210"/>
      <c r="F638" s="210"/>
      <c r="G638" s="210"/>
      <c r="H638" s="210"/>
    </row>
    <row r="639" spans="2:8" x14ac:dyDescent="0.25">
      <c r="B639" s="212">
        <v>6.5953463492912548E-2</v>
      </c>
      <c r="C639" s="210"/>
      <c r="D639" s="210"/>
      <c r="E639" s="210"/>
      <c r="F639" s="210"/>
      <c r="G639" s="210"/>
      <c r="H639" s="210"/>
    </row>
    <row r="640" spans="2:8" x14ac:dyDescent="0.25">
      <c r="B640" s="212">
        <v>6.0351413292589765E-2</v>
      </c>
      <c r="C640" s="210"/>
      <c r="D640" s="210"/>
      <c r="E640" s="210"/>
      <c r="F640" s="210"/>
      <c r="G640" s="210"/>
      <c r="H640" s="210"/>
    </row>
    <row r="641" spans="2:8" x14ac:dyDescent="0.25">
      <c r="B641" s="212">
        <v>0.26673291220100787</v>
      </c>
      <c r="C641" s="210"/>
      <c r="D641" s="210"/>
      <c r="E641" s="210"/>
      <c r="F641" s="210"/>
      <c r="G641" s="210"/>
      <c r="H641" s="210"/>
    </row>
    <row r="642" spans="2:8" x14ac:dyDescent="0.25">
      <c r="B642" s="212">
        <v>0.22186940707811328</v>
      </c>
      <c r="C642" s="210"/>
      <c r="D642" s="210"/>
      <c r="E642" s="210"/>
      <c r="F642" s="210"/>
      <c r="G642" s="210"/>
      <c r="H642" s="210"/>
    </row>
    <row r="643" spans="2:8" x14ac:dyDescent="0.25">
      <c r="B643" s="212">
        <v>0.21294538390215903</v>
      </c>
      <c r="C643" s="210"/>
      <c r="D643" s="210"/>
      <c r="E643" s="210"/>
      <c r="F643" s="210"/>
      <c r="G643" s="210"/>
      <c r="H643" s="210"/>
    </row>
    <row r="644" spans="2:8" x14ac:dyDescent="0.25">
      <c r="B644" s="212">
        <v>0.22019609067632548</v>
      </c>
      <c r="C644" s="210"/>
      <c r="D644" s="210"/>
      <c r="E644" s="210"/>
      <c r="F644" s="210"/>
      <c r="G644" s="210"/>
      <c r="H644" s="210"/>
    </row>
    <row r="645" spans="2:8" x14ac:dyDescent="0.25">
      <c r="B645" s="212">
        <v>0.21734403119376125</v>
      </c>
      <c r="C645" s="210"/>
      <c r="D645" s="210"/>
      <c r="E645" s="210"/>
      <c r="F645" s="210"/>
      <c r="G645" s="210"/>
      <c r="H645" s="210"/>
    </row>
    <row r="646" spans="2:8" x14ac:dyDescent="0.25">
      <c r="B646" s="212">
        <v>0.2026370299553856</v>
      </c>
      <c r="C646" s="210"/>
      <c r="D646" s="210"/>
      <c r="E646" s="210"/>
      <c r="F646" s="210"/>
      <c r="G646" s="210"/>
      <c r="H646" s="210"/>
    </row>
    <row r="647" spans="2:8" x14ac:dyDescent="0.25">
      <c r="B647" s="212">
        <v>0.18458856081567676</v>
      </c>
      <c r="C647" s="210"/>
      <c r="D647" s="210"/>
      <c r="E647" s="210"/>
      <c r="F647" s="210"/>
      <c r="G647" s="210"/>
      <c r="H647" s="210"/>
    </row>
    <row r="648" spans="2:8" x14ac:dyDescent="0.25">
      <c r="B648" s="212">
        <v>0.17422920302501455</v>
      </c>
      <c r="C648" s="210"/>
      <c r="D648" s="210"/>
      <c r="E648" s="210"/>
      <c r="F648" s="210"/>
      <c r="G648" s="210"/>
      <c r="H648" s="210"/>
    </row>
    <row r="649" spans="2:8" x14ac:dyDescent="0.25">
      <c r="B649" s="212">
        <v>0.16060314404876483</v>
      </c>
      <c r="C649" s="210"/>
      <c r="D649" s="210"/>
      <c r="E649" s="210"/>
      <c r="F649" s="210"/>
      <c r="G649" s="210"/>
      <c r="H649" s="210"/>
    </row>
    <row r="650" spans="2:8" x14ac:dyDescent="0.25">
      <c r="B650" s="212">
        <v>0.17383545346389678</v>
      </c>
      <c r="C650" s="210"/>
      <c r="D650" s="210"/>
      <c r="E650" s="210"/>
      <c r="F650" s="210"/>
      <c r="G650" s="210"/>
      <c r="H650" s="210"/>
    </row>
    <row r="651" spans="2:8" x14ac:dyDescent="0.25">
      <c r="B651" s="212">
        <v>0.17197543721047151</v>
      </c>
      <c r="C651" s="210"/>
      <c r="D651" s="210"/>
      <c r="E651" s="210"/>
      <c r="F651" s="210"/>
      <c r="G651" s="210"/>
      <c r="H651" s="210"/>
    </row>
    <row r="652" spans="2:8" x14ac:dyDescent="0.25">
      <c r="B652" s="212">
        <v>0.13194311891582364</v>
      </c>
      <c r="C652" s="210"/>
      <c r="D652" s="210"/>
      <c r="E652" s="210"/>
      <c r="F652" s="210"/>
      <c r="G652" s="210"/>
      <c r="H652" s="210"/>
    </row>
    <row r="653" spans="2:8" x14ac:dyDescent="0.25">
      <c r="B653" s="212">
        <v>0.1357045862718472</v>
      </c>
      <c r="C653" s="210"/>
      <c r="D653" s="210"/>
      <c r="E653" s="210"/>
      <c r="F653" s="210"/>
      <c r="G653" s="210"/>
      <c r="H653" s="210"/>
    </row>
    <row r="654" spans="2:8" x14ac:dyDescent="0.25">
      <c r="B654" s="212">
        <v>0.13845963143541856</v>
      </c>
      <c r="C654" s="210"/>
      <c r="D654" s="210"/>
      <c r="E654" s="210"/>
      <c r="F654" s="210"/>
      <c r="G654" s="210"/>
      <c r="H654" s="210"/>
    </row>
    <row r="655" spans="2:8" x14ac:dyDescent="0.25">
      <c r="B655" s="212">
        <v>0.13540996267215857</v>
      </c>
      <c r="C655" s="210"/>
      <c r="D655" s="210"/>
      <c r="E655" s="210"/>
      <c r="F655" s="210"/>
      <c r="G655" s="210"/>
      <c r="H655" s="210"/>
    </row>
    <row r="656" spans="2:8" x14ac:dyDescent="0.25">
      <c r="B656" s="212">
        <v>0.11290776152980878</v>
      </c>
      <c r="C656" s="210"/>
      <c r="D656" s="210"/>
      <c r="E656" s="210"/>
      <c r="F656" s="210"/>
      <c r="G656" s="210"/>
      <c r="H656" s="210"/>
    </row>
    <row r="657" spans="2:8" x14ac:dyDescent="0.25">
      <c r="B657" s="212">
        <v>0.10568044476673918</v>
      </c>
      <c r="C657" s="210"/>
      <c r="D657" s="210"/>
      <c r="E657" s="210"/>
      <c r="F657" s="210"/>
      <c r="G657" s="210"/>
      <c r="H657" s="210"/>
    </row>
    <row r="658" spans="2:8" x14ac:dyDescent="0.25">
      <c r="B658" s="212">
        <v>0.12590486039296794</v>
      </c>
      <c r="C658" s="210"/>
      <c r="D658" s="210"/>
      <c r="E658" s="210"/>
      <c r="F658" s="210"/>
      <c r="G658" s="210"/>
      <c r="H658" s="210"/>
    </row>
    <row r="659" spans="2:8" x14ac:dyDescent="0.25">
      <c r="B659" s="212">
        <v>0.10733612273361227</v>
      </c>
      <c r="C659" s="210"/>
      <c r="D659" s="210"/>
      <c r="E659" s="210"/>
      <c r="F659" s="210"/>
      <c r="G659" s="210"/>
      <c r="H659" s="210"/>
    </row>
    <row r="660" spans="2:8" x14ac:dyDescent="0.25">
      <c r="B660" s="212">
        <v>0.12039119804400979</v>
      </c>
      <c r="C660" s="210"/>
      <c r="D660" s="210"/>
      <c r="E660" s="210"/>
      <c r="F660" s="210"/>
      <c r="G660" s="210"/>
      <c r="H660" s="210"/>
    </row>
    <row r="661" spans="2:8" x14ac:dyDescent="0.25">
      <c r="B661" s="212">
        <v>0.11841338770322513</v>
      </c>
      <c r="C661" s="210"/>
      <c r="D661" s="210"/>
      <c r="E661" s="210"/>
      <c r="F661" s="210"/>
      <c r="G661" s="210"/>
      <c r="H661" s="210"/>
    </row>
    <row r="662" spans="2:8" x14ac:dyDescent="0.25">
      <c r="B662" s="212">
        <v>9.3939910262963597E-2</v>
      </c>
      <c r="C662" s="210"/>
      <c r="D662" s="210"/>
      <c r="E662" s="210"/>
      <c r="F662" s="210"/>
      <c r="G662" s="210"/>
      <c r="H662" s="210"/>
    </row>
    <row r="663" spans="2:8" x14ac:dyDescent="0.25">
      <c r="B663" s="212">
        <v>8.4896810506566597E-2</v>
      </c>
      <c r="C663" s="210"/>
      <c r="D663" s="210"/>
      <c r="E663" s="210"/>
      <c r="F663" s="210"/>
      <c r="G663" s="210"/>
      <c r="H663" s="210"/>
    </row>
    <row r="664" spans="2:8" x14ac:dyDescent="0.25">
      <c r="B664" s="212">
        <v>8.8742491765161788E-2</v>
      </c>
      <c r="C664" s="210"/>
      <c r="D664" s="210"/>
      <c r="E664" s="210"/>
      <c r="F664" s="210"/>
      <c r="G664" s="210"/>
      <c r="H664" s="210"/>
    </row>
    <row r="665" spans="2:8" x14ac:dyDescent="0.25">
      <c r="B665" s="212">
        <v>8.6482396403614187E-2</v>
      </c>
      <c r="C665" s="210"/>
      <c r="D665" s="210"/>
      <c r="E665" s="210"/>
      <c r="F665" s="210"/>
      <c r="G665" s="210"/>
      <c r="H665" s="210"/>
    </row>
    <row r="666" spans="2:8" x14ac:dyDescent="0.25">
      <c r="B666" s="212">
        <v>7.9773630081079613E-2</v>
      </c>
      <c r="C666" s="210"/>
      <c r="D666" s="210"/>
      <c r="E666" s="210"/>
      <c r="F666" s="210"/>
      <c r="G666" s="210"/>
      <c r="H666" s="210"/>
    </row>
    <row r="667" spans="2:8" x14ac:dyDescent="0.25">
      <c r="B667" s="212">
        <v>7.9996149403157496E-2</v>
      </c>
      <c r="C667" s="210"/>
      <c r="D667" s="210"/>
      <c r="E667" s="210"/>
      <c r="F667" s="210"/>
      <c r="G667" s="210"/>
      <c r="H667" s="210"/>
    </row>
    <row r="668" spans="2:8" x14ac:dyDescent="0.25">
      <c r="B668" s="212">
        <v>7.341656167678387E-2</v>
      </c>
      <c r="C668" s="210"/>
      <c r="D668" s="210"/>
      <c r="E668" s="210"/>
      <c r="F668" s="210"/>
      <c r="G668" s="210"/>
      <c r="H668" s="210"/>
    </row>
    <row r="669" spans="2:8" x14ac:dyDescent="0.25">
      <c r="B669" s="212">
        <v>6.5953463492912548E-2</v>
      </c>
      <c r="C669" s="210"/>
      <c r="D669" s="210"/>
      <c r="E669" s="210"/>
      <c r="F669" s="210"/>
      <c r="G669" s="210"/>
      <c r="H669" s="210"/>
    </row>
    <row r="670" spans="2:8" x14ac:dyDescent="0.25">
      <c r="B670" s="212">
        <v>6.0351413292589765E-2</v>
      </c>
      <c r="C670" s="210"/>
      <c r="D670" s="210"/>
      <c r="E670" s="210"/>
      <c r="F670" s="210"/>
      <c r="G670" s="210"/>
      <c r="H670" s="210"/>
    </row>
    <row r="671" spans="2:8" x14ac:dyDescent="0.25">
      <c r="C671" s="210"/>
      <c r="D671" s="210"/>
      <c r="E671" s="210"/>
      <c r="F671" s="210"/>
      <c r="G671" s="210"/>
      <c r="H671" s="210"/>
    </row>
    <row r="672" spans="2:8" x14ac:dyDescent="0.25">
      <c r="C672" s="210"/>
      <c r="D672" s="210"/>
      <c r="E672" s="210"/>
      <c r="F672" s="210"/>
      <c r="G672" s="210"/>
      <c r="H672" s="210"/>
    </row>
    <row r="673" spans="3:8" x14ac:dyDescent="0.25">
      <c r="C673" s="210"/>
      <c r="D673" s="210"/>
      <c r="E673" s="210"/>
      <c r="F673" s="210"/>
      <c r="G673" s="210"/>
      <c r="H673" s="210"/>
    </row>
    <row r="674" spans="3:8" x14ac:dyDescent="0.25">
      <c r="C674" s="210"/>
      <c r="D674" s="210"/>
      <c r="E674" s="210"/>
      <c r="F674" s="210"/>
      <c r="G674" s="210"/>
      <c r="H674" s="210"/>
    </row>
    <row r="675" spans="3:8" x14ac:dyDescent="0.25">
      <c r="C675" s="210"/>
      <c r="D675" s="210"/>
      <c r="E675" s="210"/>
      <c r="F675" s="210"/>
      <c r="G675" s="210"/>
      <c r="H675" s="210"/>
    </row>
    <row r="676" spans="3:8" x14ac:dyDescent="0.25">
      <c r="C676" s="210"/>
      <c r="D676" s="210"/>
      <c r="E676" s="210"/>
      <c r="F676" s="210"/>
      <c r="G676" s="210"/>
      <c r="H676" s="210"/>
    </row>
    <row r="677" spans="3:8" x14ac:dyDescent="0.25">
      <c r="C677" s="210"/>
      <c r="D677" s="210"/>
      <c r="E677" s="210"/>
      <c r="F677" s="210"/>
      <c r="G677" s="210"/>
      <c r="H677" s="210"/>
    </row>
    <row r="678" spans="3:8" x14ac:dyDescent="0.25">
      <c r="C678" s="210"/>
      <c r="D678" s="210"/>
      <c r="E678" s="210"/>
      <c r="F678" s="210"/>
      <c r="G678" s="210"/>
      <c r="H678" s="210"/>
    </row>
    <row r="679" spans="3:8" x14ac:dyDescent="0.25">
      <c r="C679" s="210"/>
      <c r="D679" s="210"/>
      <c r="E679" s="210"/>
      <c r="F679" s="210"/>
      <c r="G679" s="210"/>
      <c r="H679" s="210"/>
    </row>
    <row r="680" spans="3:8" x14ac:dyDescent="0.25">
      <c r="C680" s="210"/>
      <c r="D680" s="210"/>
      <c r="E680" s="210"/>
      <c r="F680" s="210"/>
      <c r="G680" s="210"/>
      <c r="H680" s="210"/>
    </row>
    <row r="681" spans="3:8" x14ac:dyDescent="0.25">
      <c r="C681" s="210"/>
      <c r="D681" s="210"/>
      <c r="E681" s="210"/>
      <c r="F681" s="210"/>
      <c r="G681" s="210"/>
      <c r="H681" s="210"/>
    </row>
    <row r="682" spans="3:8" x14ac:dyDescent="0.25">
      <c r="C682" s="210"/>
      <c r="D682" s="210"/>
      <c r="E682" s="210"/>
      <c r="F682" s="210"/>
      <c r="G682" s="210"/>
      <c r="H682" s="210"/>
    </row>
    <row r="683" spans="3:8" x14ac:dyDescent="0.25">
      <c r="C683" s="210"/>
      <c r="D683" s="210"/>
      <c r="E683" s="210"/>
      <c r="F683" s="210"/>
      <c r="G683" s="210"/>
      <c r="H683" s="210"/>
    </row>
    <row r="684" spans="3:8" x14ac:dyDescent="0.25">
      <c r="C684" s="210"/>
      <c r="D684" s="210"/>
      <c r="E684" s="210"/>
      <c r="F684" s="210"/>
      <c r="G684" s="210"/>
      <c r="H684" s="210"/>
    </row>
    <row r="685" spans="3:8" x14ac:dyDescent="0.25">
      <c r="C685" s="210"/>
      <c r="D685" s="210"/>
      <c r="E685" s="210"/>
      <c r="F685" s="210"/>
      <c r="G685" s="210"/>
      <c r="H685" s="210"/>
    </row>
    <row r="686" spans="3:8" x14ac:dyDescent="0.25">
      <c r="C686" s="210"/>
      <c r="D686" s="210"/>
      <c r="E686" s="210"/>
      <c r="F686" s="210"/>
      <c r="G686" s="210"/>
      <c r="H686" s="210"/>
    </row>
    <row r="687" spans="3:8" x14ac:dyDescent="0.25">
      <c r="C687" s="210"/>
      <c r="D687" s="210"/>
      <c r="E687" s="210"/>
      <c r="F687" s="210"/>
      <c r="G687" s="210"/>
      <c r="H687" s="210"/>
    </row>
    <row r="688" spans="3:8" x14ac:dyDescent="0.25">
      <c r="C688" s="210"/>
      <c r="D688" s="210"/>
      <c r="E688" s="210"/>
      <c r="F688" s="210"/>
      <c r="G688" s="210"/>
      <c r="H688" s="210"/>
    </row>
    <row r="689" spans="3:8" x14ac:dyDescent="0.25">
      <c r="C689" s="210"/>
      <c r="D689" s="210"/>
      <c r="E689" s="210"/>
      <c r="F689" s="210"/>
      <c r="G689" s="210"/>
      <c r="H689" s="210"/>
    </row>
    <row r="690" spans="3:8" x14ac:dyDescent="0.25">
      <c r="C690" s="210"/>
      <c r="D690" s="210"/>
      <c r="E690" s="210"/>
      <c r="F690" s="210"/>
      <c r="G690" s="210"/>
      <c r="H690" s="210"/>
    </row>
    <row r="691" spans="3:8" x14ac:dyDescent="0.25">
      <c r="C691" s="210"/>
      <c r="D691" s="210"/>
      <c r="E691" s="210"/>
      <c r="F691" s="210"/>
      <c r="G691" s="210"/>
      <c r="H691" s="210"/>
    </row>
    <row r="692" spans="3:8" x14ac:dyDescent="0.25">
      <c r="C692" s="210"/>
      <c r="D692" s="210"/>
      <c r="E692" s="210"/>
      <c r="F692" s="210"/>
      <c r="G692" s="210"/>
      <c r="H692" s="210"/>
    </row>
    <row r="693" spans="3:8" x14ac:dyDescent="0.25">
      <c r="C693" s="210"/>
      <c r="D693" s="210"/>
      <c r="E693" s="210"/>
      <c r="F693" s="210"/>
      <c r="G693" s="210"/>
      <c r="H693" s="210"/>
    </row>
    <row r="694" spans="3:8" x14ac:dyDescent="0.25">
      <c r="C694" s="210"/>
      <c r="D694" s="210"/>
      <c r="E694" s="210"/>
      <c r="F694" s="210"/>
      <c r="G694" s="210"/>
      <c r="H694" s="210"/>
    </row>
    <row r="695" spans="3:8" x14ac:dyDescent="0.25">
      <c r="C695" s="210"/>
      <c r="D695" s="210"/>
      <c r="E695" s="210"/>
      <c r="F695" s="210"/>
      <c r="G695" s="210"/>
      <c r="H695" s="210"/>
    </row>
    <row r="696" spans="3:8" x14ac:dyDescent="0.25">
      <c r="C696" s="210"/>
      <c r="D696" s="210"/>
      <c r="E696" s="210"/>
      <c r="F696" s="210"/>
      <c r="G696" s="210"/>
      <c r="H696" s="210"/>
    </row>
    <row r="697" spans="3:8" x14ac:dyDescent="0.25">
      <c r="C697" s="210"/>
      <c r="D697" s="210"/>
      <c r="E697" s="210"/>
      <c r="F697" s="210"/>
      <c r="G697" s="210"/>
      <c r="H697" s="210"/>
    </row>
    <row r="698" spans="3:8" x14ac:dyDescent="0.25">
      <c r="C698" s="210"/>
      <c r="D698" s="210"/>
      <c r="E698" s="210"/>
      <c r="F698" s="210"/>
      <c r="G698" s="210"/>
      <c r="H698" s="210"/>
    </row>
    <row r="699" spans="3:8" x14ac:dyDescent="0.25">
      <c r="C699" s="210"/>
      <c r="D699" s="210"/>
      <c r="E699" s="210"/>
      <c r="F699" s="210"/>
      <c r="G699" s="210"/>
      <c r="H699" s="210"/>
    </row>
    <row r="700" spans="3:8" x14ac:dyDescent="0.25">
      <c r="C700" s="210"/>
      <c r="D700" s="210"/>
      <c r="E700" s="210"/>
      <c r="F700" s="210"/>
      <c r="G700" s="210"/>
      <c r="H700" s="210"/>
    </row>
    <row r="701" spans="3:8" x14ac:dyDescent="0.25">
      <c r="C701" s="210"/>
      <c r="D701" s="210"/>
      <c r="E701" s="210"/>
      <c r="F701" s="210"/>
      <c r="G701" s="210"/>
      <c r="H701" s="210"/>
    </row>
    <row r="702" spans="3:8" x14ac:dyDescent="0.25">
      <c r="C702" s="210"/>
      <c r="D702" s="210"/>
      <c r="E702" s="210"/>
      <c r="F702" s="210"/>
      <c r="G702" s="210"/>
      <c r="H702" s="210"/>
    </row>
    <row r="703" spans="3:8" x14ac:dyDescent="0.25">
      <c r="C703" s="210"/>
      <c r="D703" s="210"/>
      <c r="E703" s="210"/>
      <c r="F703" s="210"/>
      <c r="G703" s="210"/>
      <c r="H703" s="210"/>
    </row>
    <row r="704" spans="3:8" x14ac:dyDescent="0.25">
      <c r="C704" s="210"/>
      <c r="D704" s="210"/>
      <c r="E704" s="210"/>
      <c r="F704" s="210"/>
      <c r="G704" s="210"/>
      <c r="H704" s="210"/>
    </row>
    <row r="705" spans="3:8" x14ac:dyDescent="0.25">
      <c r="C705" s="210"/>
      <c r="D705" s="210"/>
      <c r="E705" s="210"/>
      <c r="F705" s="210"/>
      <c r="G705" s="210"/>
      <c r="H705" s="210"/>
    </row>
    <row r="706" spans="3:8" x14ac:dyDescent="0.25">
      <c r="C706" s="210"/>
      <c r="D706" s="210"/>
      <c r="E706" s="210"/>
      <c r="F706" s="210"/>
      <c r="G706" s="210"/>
      <c r="H706" s="210"/>
    </row>
    <row r="707" spans="3:8" x14ac:dyDescent="0.25">
      <c r="C707" s="210"/>
      <c r="D707" s="210"/>
      <c r="E707" s="210"/>
      <c r="F707" s="210"/>
      <c r="G707" s="210"/>
      <c r="H707" s="210"/>
    </row>
    <row r="708" spans="3:8" x14ac:dyDescent="0.25">
      <c r="C708" s="210"/>
      <c r="D708" s="210"/>
      <c r="E708" s="210"/>
      <c r="F708" s="210"/>
      <c r="G708" s="210"/>
      <c r="H708" s="210"/>
    </row>
    <row r="709" spans="3:8" x14ac:dyDescent="0.25">
      <c r="C709" s="210"/>
      <c r="D709" s="210"/>
      <c r="E709" s="210"/>
      <c r="F709" s="210"/>
      <c r="G709" s="210"/>
      <c r="H709" s="210"/>
    </row>
    <row r="710" spans="3:8" x14ac:dyDescent="0.25">
      <c r="C710" s="210"/>
      <c r="D710" s="210"/>
      <c r="E710" s="210"/>
      <c r="F710" s="210"/>
      <c r="G710" s="210"/>
      <c r="H710" s="210"/>
    </row>
    <row r="711" spans="3:8" x14ac:dyDescent="0.25">
      <c r="C711" s="210"/>
      <c r="D711" s="210"/>
      <c r="E711" s="210"/>
      <c r="F711" s="210"/>
      <c r="G711" s="210"/>
      <c r="H711" s="210"/>
    </row>
    <row r="712" spans="3:8" x14ac:dyDescent="0.25">
      <c r="C712" s="210"/>
      <c r="D712" s="210"/>
      <c r="E712" s="210"/>
      <c r="F712" s="210"/>
      <c r="G712" s="210"/>
      <c r="H712" s="210"/>
    </row>
    <row r="713" spans="3:8" x14ac:dyDescent="0.25">
      <c r="C713" s="210"/>
      <c r="D713" s="210"/>
      <c r="E713" s="210"/>
      <c r="F713" s="210"/>
      <c r="G713" s="210"/>
      <c r="H713" s="210"/>
    </row>
    <row r="714" spans="3:8" x14ac:dyDescent="0.25">
      <c r="C714" s="210"/>
      <c r="D714" s="210"/>
      <c r="E714" s="210"/>
      <c r="F714" s="210"/>
      <c r="G714" s="210"/>
      <c r="H714" s="210"/>
    </row>
    <row r="715" spans="3:8" x14ac:dyDescent="0.25">
      <c r="C715" s="210"/>
      <c r="D715" s="210"/>
      <c r="E715" s="210"/>
      <c r="F715" s="210"/>
      <c r="G715" s="210"/>
      <c r="H715" s="210"/>
    </row>
    <row r="716" spans="3:8" x14ac:dyDescent="0.25">
      <c r="C716" s="210"/>
      <c r="D716" s="210"/>
      <c r="E716" s="210"/>
      <c r="F716" s="210"/>
      <c r="G716" s="210"/>
      <c r="H716" s="210"/>
    </row>
    <row r="717" spans="3:8" x14ac:dyDescent="0.25">
      <c r="C717" s="210"/>
      <c r="D717" s="210"/>
      <c r="E717" s="210"/>
      <c r="F717" s="210"/>
      <c r="G717" s="210"/>
      <c r="H717" s="210"/>
    </row>
    <row r="718" spans="3:8" x14ac:dyDescent="0.25">
      <c r="C718" s="210"/>
      <c r="D718" s="210"/>
      <c r="E718" s="210"/>
      <c r="F718" s="210"/>
      <c r="G718" s="210"/>
      <c r="H718" s="210"/>
    </row>
    <row r="719" spans="3:8" x14ac:dyDescent="0.25">
      <c r="C719" s="210"/>
      <c r="D719" s="210"/>
      <c r="E719" s="210"/>
      <c r="F719" s="210"/>
      <c r="G719" s="210"/>
      <c r="H719" s="210"/>
    </row>
    <row r="720" spans="3:8" x14ac:dyDescent="0.25">
      <c r="C720" s="210"/>
      <c r="D720" s="210"/>
      <c r="E720" s="210"/>
      <c r="F720" s="210"/>
      <c r="G720" s="210"/>
      <c r="H720" s="210"/>
    </row>
    <row r="721" spans="3:8" x14ac:dyDescent="0.25">
      <c r="C721" s="210"/>
      <c r="D721" s="210"/>
      <c r="E721" s="210"/>
      <c r="F721" s="210"/>
      <c r="G721" s="210"/>
      <c r="H721" s="210"/>
    </row>
    <row r="722" spans="3:8" x14ac:dyDescent="0.25">
      <c r="C722" s="210"/>
      <c r="D722" s="210"/>
      <c r="E722" s="210"/>
      <c r="F722" s="210"/>
      <c r="G722" s="210"/>
      <c r="H722" s="210"/>
    </row>
    <row r="723" spans="3:8" x14ac:dyDescent="0.25">
      <c r="C723" s="210"/>
      <c r="D723" s="210"/>
      <c r="E723" s="210"/>
      <c r="F723" s="210"/>
      <c r="G723" s="210"/>
      <c r="H723" s="210"/>
    </row>
    <row r="724" spans="3:8" x14ac:dyDescent="0.25">
      <c r="C724" s="210"/>
      <c r="D724" s="210"/>
      <c r="E724" s="210"/>
      <c r="F724" s="210"/>
      <c r="G724" s="210"/>
      <c r="H724" s="210"/>
    </row>
    <row r="725" spans="3:8" x14ac:dyDescent="0.25">
      <c r="C725" s="210"/>
      <c r="D725" s="210"/>
      <c r="E725" s="210"/>
      <c r="F725" s="210"/>
      <c r="G725" s="210"/>
      <c r="H725" s="210"/>
    </row>
    <row r="726" spans="3:8" x14ac:dyDescent="0.25">
      <c r="C726" s="210"/>
      <c r="D726" s="210"/>
      <c r="E726" s="210"/>
      <c r="F726" s="210"/>
      <c r="G726" s="210"/>
      <c r="H726" s="210"/>
    </row>
    <row r="727" spans="3:8" x14ac:dyDescent="0.25">
      <c r="C727" s="210"/>
      <c r="D727" s="210"/>
      <c r="E727" s="210"/>
      <c r="F727" s="210"/>
      <c r="G727" s="210"/>
      <c r="H727" s="210"/>
    </row>
    <row r="728" spans="3:8" x14ac:dyDescent="0.25">
      <c r="C728" s="210"/>
      <c r="D728" s="210"/>
      <c r="E728" s="210"/>
      <c r="F728" s="210"/>
      <c r="G728" s="210"/>
      <c r="H728" s="210"/>
    </row>
    <row r="729" spans="3:8" x14ac:dyDescent="0.25">
      <c r="C729" s="210"/>
      <c r="D729" s="210"/>
      <c r="E729" s="210"/>
      <c r="F729" s="210"/>
      <c r="G729" s="210"/>
      <c r="H729" s="210"/>
    </row>
    <row r="730" spans="3:8" x14ac:dyDescent="0.25">
      <c r="C730" s="210"/>
      <c r="D730" s="210"/>
      <c r="E730" s="210"/>
      <c r="F730" s="210"/>
      <c r="G730" s="210"/>
      <c r="H730" s="210"/>
    </row>
    <row r="731" spans="3:8" x14ac:dyDescent="0.25">
      <c r="C731" s="210"/>
      <c r="D731" s="210"/>
      <c r="E731" s="210"/>
      <c r="F731" s="210"/>
      <c r="G731" s="210"/>
      <c r="H731" s="210"/>
    </row>
    <row r="732" spans="3:8" x14ac:dyDescent="0.25">
      <c r="C732" s="210"/>
      <c r="D732" s="210"/>
      <c r="E732" s="210"/>
      <c r="F732" s="210"/>
      <c r="G732" s="210"/>
      <c r="H732" s="210"/>
    </row>
    <row r="733" spans="3:8" x14ac:dyDescent="0.25">
      <c r="C733" s="210"/>
      <c r="D733" s="210"/>
      <c r="E733" s="210"/>
      <c r="F733" s="210"/>
      <c r="G733" s="210"/>
      <c r="H733" s="210"/>
    </row>
    <row r="734" spans="3:8" x14ac:dyDescent="0.25">
      <c r="C734" s="210"/>
      <c r="D734" s="210"/>
      <c r="E734" s="210"/>
      <c r="F734" s="210"/>
      <c r="G734" s="210"/>
      <c r="H734" s="210"/>
    </row>
    <row r="735" spans="3:8" x14ac:dyDescent="0.25">
      <c r="C735" s="210"/>
      <c r="D735" s="210"/>
      <c r="E735" s="210"/>
      <c r="F735" s="210"/>
      <c r="G735" s="210"/>
      <c r="H735" s="210"/>
    </row>
    <row r="736" spans="3:8" x14ac:dyDescent="0.25">
      <c r="C736" s="210"/>
      <c r="D736" s="210"/>
      <c r="E736" s="210"/>
      <c r="F736" s="210"/>
      <c r="G736" s="210"/>
      <c r="H736" s="210"/>
    </row>
    <row r="737" spans="3:8" x14ac:dyDescent="0.25">
      <c r="C737" s="210"/>
      <c r="D737" s="210"/>
      <c r="E737" s="210"/>
      <c r="F737" s="210"/>
      <c r="G737" s="210"/>
      <c r="H737" s="210"/>
    </row>
    <row r="738" spans="3:8" x14ac:dyDescent="0.25">
      <c r="C738" s="210"/>
      <c r="D738" s="210"/>
      <c r="E738" s="210"/>
      <c r="F738" s="210"/>
      <c r="G738" s="210"/>
      <c r="H738" s="210"/>
    </row>
    <row r="739" spans="3:8" x14ac:dyDescent="0.25">
      <c r="C739" s="210"/>
      <c r="D739" s="210"/>
      <c r="E739" s="210"/>
      <c r="F739" s="210"/>
      <c r="G739" s="210"/>
      <c r="H739" s="210"/>
    </row>
    <row r="740" spans="3:8" x14ac:dyDescent="0.25">
      <c r="C740" s="210"/>
      <c r="D740" s="210"/>
      <c r="E740" s="210"/>
      <c r="F740" s="210"/>
      <c r="G740" s="210"/>
      <c r="H740" s="210"/>
    </row>
    <row r="741" spans="3:8" x14ac:dyDescent="0.25">
      <c r="C741" s="210"/>
      <c r="D741" s="210"/>
      <c r="E741" s="210"/>
      <c r="F741" s="210"/>
      <c r="G741" s="210"/>
      <c r="H741" s="210"/>
    </row>
    <row r="742" spans="3:8" x14ac:dyDescent="0.25">
      <c r="C742" s="210"/>
      <c r="D742" s="210"/>
      <c r="E742" s="210"/>
      <c r="F742" s="210"/>
      <c r="G742" s="210"/>
      <c r="H742" s="210"/>
    </row>
    <row r="743" spans="3:8" x14ac:dyDescent="0.25">
      <c r="C743" s="210"/>
      <c r="D743" s="210"/>
      <c r="E743" s="210"/>
      <c r="F743" s="210"/>
      <c r="G743" s="210"/>
      <c r="H743" s="210"/>
    </row>
    <row r="744" spans="3:8" x14ac:dyDescent="0.25">
      <c r="C744" s="210"/>
      <c r="D744" s="210"/>
      <c r="E744" s="210"/>
      <c r="F744" s="210"/>
      <c r="G744" s="210"/>
      <c r="H744" s="210"/>
    </row>
    <row r="745" spans="3:8" x14ac:dyDescent="0.25">
      <c r="C745" s="210"/>
      <c r="D745" s="210"/>
      <c r="E745" s="210"/>
      <c r="F745" s="210"/>
      <c r="G745" s="210"/>
      <c r="H745" s="210"/>
    </row>
    <row r="746" spans="3:8" x14ac:dyDescent="0.25">
      <c r="C746" s="210"/>
      <c r="D746" s="210"/>
      <c r="E746" s="210"/>
      <c r="F746" s="210"/>
      <c r="G746" s="210"/>
      <c r="H746" s="210"/>
    </row>
    <row r="747" spans="3:8" x14ac:dyDescent="0.25">
      <c r="C747" s="210"/>
      <c r="D747" s="210"/>
      <c r="E747" s="210"/>
      <c r="F747" s="210"/>
      <c r="G747" s="210"/>
      <c r="H747" s="210"/>
    </row>
    <row r="748" spans="3:8" x14ac:dyDescent="0.25">
      <c r="C748" s="210"/>
      <c r="D748" s="210"/>
      <c r="E748" s="210"/>
      <c r="F748" s="210"/>
      <c r="G748" s="210"/>
      <c r="H748" s="210"/>
    </row>
    <row r="749" spans="3:8" x14ac:dyDescent="0.25">
      <c r="C749" s="210"/>
      <c r="D749" s="210"/>
      <c r="E749" s="210"/>
      <c r="F749" s="210"/>
      <c r="G749" s="210"/>
      <c r="H749" s="210"/>
    </row>
    <row r="750" spans="3:8" x14ac:dyDescent="0.25">
      <c r="C750" s="210"/>
      <c r="D750" s="210"/>
      <c r="E750" s="210"/>
      <c r="F750" s="210"/>
      <c r="G750" s="210"/>
      <c r="H750" s="210"/>
    </row>
    <row r="751" spans="3:8" x14ac:dyDescent="0.25">
      <c r="C751" s="210"/>
      <c r="D751" s="210"/>
      <c r="E751" s="210"/>
      <c r="F751" s="210"/>
      <c r="G751" s="210"/>
      <c r="H751" s="210"/>
    </row>
    <row r="752" spans="3:8" x14ac:dyDescent="0.25">
      <c r="C752" s="210"/>
      <c r="D752" s="210"/>
      <c r="E752" s="210"/>
      <c r="F752" s="210"/>
      <c r="G752" s="210"/>
      <c r="H752" s="210"/>
    </row>
    <row r="753" spans="3:8" x14ac:dyDescent="0.25">
      <c r="C753" s="210"/>
      <c r="D753" s="210"/>
      <c r="E753" s="210"/>
      <c r="F753" s="210"/>
      <c r="G753" s="210"/>
      <c r="H753" s="210"/>
    </row>
    <row r="754" spans="3:8" x14ac:dyDescent="0.25">
      <c r="C754" s="210"/>
      <c r="D754" s="210"/>
      <c r="E754" s="210"/>
      <c r="F754" s="210"/>
      <c r="G754" s="210"/>
      <c r="H754" s="210"/>
    </row>
    <row r="755" spans="3:8" x14ac:dyDescent="0.25">
      <c r="C755" s="210"/>
      <c r="D755" s="210"/>
      <c r="E755" s="210"/>
      <c r="F755" s="210"/>
      <c r="G755" s="210"/>
      <c r="H755" s="210"/>
    </row>
    <row r="756" spans="3:8" x14ac:dyDescent="0.25">
      <c r="C756" s="210"/>
      <c r="D756" s="210"/>
      <c r="E756" s="210"/>
      <c r="F756" s="210"/>
      <c r="G756" s="210"/>
      <c r="H756" s="210"/>
    </row>
    <row r="757" spans="3:8" x14ac:dyDescent="0.25">
      <c r="C757" s="210"/>
      <c r="D757" s="210"/>
      <c r="E757" s="210"/>
      <c r="F757" s="210"/>
      <c r="G757" s="210"/>
      <c r="H757" s="210"/>
    </row>
    <row r="758" spans="3:8" x14ac:dyDescent="0.25">
      <c r="C758" s="210"/>
      <c r="D758" s="210"/>
      <c r="E758" s="210"/>
      <c r="F758" s="210"/>
      <c r="G758" s="210"/>
      <c r="H758" s="210"/>
    </row>
    <row r="759" spans="3:8" x14ac:dyDescent="0.25">
      <c r="C759" s="210"/>
      <c r="D759" s="210"/>
      <c r="E759" s="210"/>
      <c r="F759" s="210"/>
      <c r="G759" s="210"/>
      <c r="H759" s="210"/>
    </row>
    <row r="760" spans="3:8" x14ac:dyDescent="0.25">
      <c r="C760" s="210"/>
      <c r="D760" s="210"/>
      <c r="E760" s="210"/>
      <c r="F760" s="210"/>
      <c r="G760" s="210"/>
      <c r="H760" s="210"/>
    </row>
    <row r="761" spans="3:8" x14ac:dyDescent="0.25">
      <c r="C761" s="210"/>
      <c r="D761" s="210"/>
      <c r="E761" s="210"/>
      <c r="F761" s="210"/>
      <c r="G761" s="210"/>
      <c r="H761" s="210"/>
    </row>
    <row r="762" spans="3:8" x14ac:dyDescent="0.25">
      <c r="C762" s="210"/>
      <c r="D762" s="210"/>
      <c r="E762" s="210"/>
      <c r="F762" s="210"/>
      <c r="G762" s="210"/>
      <c r="H762" s="210"/>
    </row>
    <row r="763" spans="3:8" x14ac:dyDescent="0.25">
      <c r="C763" s="210"/>
      <c r="D763" s="210"/>
      <c r="E763" s="210"/>
      <c r="F763" s="210"/>
      <c r="G763" s="210"/>
      <c r="H763" s="210"/>
    </row>
    <row r="764" spans="3:8" x14ac:dyDescent="0.25">
      <c r="C764" s="210"/>
      <c r="D764" s="210"/>
      <c r="E764" s="210"/>
      <c r="F764" s="210"/>
      <c r="G764" s="210"/>
      <c r="H764" s="210"/>
    </row>
    <row r="765" spans="3:8" x14ac:dyDescent="0.25">
      <c r="C765" s="210"/>
      <c r="D765" s="210"/>
      <c r="E765" s="210"/>
      <c r="F765" s="210"/>
      <c r="G765" s="210"/>
      <c r="H765" s="210"/>
    </row>
    <row r="766" spans="3:8" x14ac:dyDescent="0.25">
      <c r="C766" s="210"/>
      <c r="D766" s="210"/>
      <c r="E766" s="210"/>
      <c r="F766" s="210"/>
      <c r="G766" s="210"/>
      <c r="H766" s="210"/>
    </row>
    <row r="767" spans="3:8" x14ac:dyDescent="0.25">
      <c r="C767" s="210"/>
      <c r="D767" s="210"/>
      <c r="E767" s="210"/>
      <c r="F767" s="210"/>
      <c r="G767" s="210"/>
      <c r="H767" s="210"/>
    </row>
    <row r="768" spans="3:8" x14ac:dyDescent="0.25">
      <c r="C768" s="210"/>
      <c r="D768" s="210"/>
      <c r="E768" s="210"/>
      <c r="F768" s="210"/>
      <c r="G768" s="210"/>
      <c r="H768" s="210"/>
    </row>
    <row r="769" spans="3:8" x14ac:dyDescent="0.25">
      <c r="C769" s="210"/>
      <c r="D769" s="210"/>
      <c r="E769" s="210"/>
      <c r="F769" s="210"/>
      <c r="G769" s="210"/>
      <c r="H769" s="210"/>
    </row>
    <row r="770" spans="3:8" x14ac:dyDescent="0.25">
      <c r="C770" s="210"/>
      <c r="D770" s="210"/>
      <c r="E770" s="210"/>
      <c r="F770" s="210"/>
      <c r="G770" s="210"/>
      <c r="H770" s="210"/>
    </row>
    <row r="771" spans="3:8" x14ac:dyDescent="0.25">
      <c r="C771" s="210"/>
      <c r="D771" s="210"/>
      <c r="E771" s="210"/>
      <c r="F771" s="210"/>
      <c r="G771" s="210"/>
      <c r="H771" s="210"/>
    </row>
    <row r="772" spans="3:8" x14ac:dyDescent="0.25">
      <c r="C772" s="210"/>
      <c r="D772" s="210"/>
      <c r="E772" s="210"/>
      <c r="F772" s="210"/>
      <c r="G772" s="210"/>
      <c r="H772" s="210"/>
    </row>
    <row r="773" spans="3:8" x14ac:dyDescent="0.25">
      <c r="C773" s="210"/>
      <c r="D773" s="210"/>
      <c r="E773" s="210"/>
      <c r="F773" s="210"/>
      <c r="G773" s="210"/>
      <c r="H773" s="210"/>
    </row>
    <row r="774" spans="3:8" x14ac:dyDescent="0.25">
      <c r="C774" s="210"/>
      <c r="D774" s="210"/>
      <c r="E774" s="210"/>
      <c r="F774" s="210"/>
      <c r="G774" s="210"/>
      <c r="H774" s="210"/>
    </row>
    <row r="775" spans="3:8" x14ac:dyDescent="0.25">
      <c r="C775" s="210"/>
      <c r="D775" s="210"/>
      <c r="E775" s="210"/>
      <c r="F775" s="210"/>
      <c r="G775" s="210"/>
      <c r="H775" s="210"/>
    </row>
    <row r="776" spans="3:8" x14ac:dyDescent="0.25">
      <c r="C776" s="210"/>
      <c r="D776" s="210"/>
      <c r="E776" s="210"/>
      <c r="F776" s="210"/>
      <c r="G776" s="210"/>
      <c r="H776" s="210"/>
    </row>
    <row r="777" spans="3:8" x14ac:dyDescent="0.25">
      <c r="C777" s="210"/>
      <c r="D777" s="210"/>
      <c r="E777" s="210"/>
      <c r="F777" s="210"/>
      <c r="G777" s="210"/>
      <c r="H777" s="210"/>
    </row>
    <row r="778" spans="3:8" x14ac:dyDescent="0.25">
      <c r="C778" s="210"/>
      <c r="D778" s="210"/>
      <c r="E778" s="210"/>
      <c r="F778" s="210"/>
      <c r="G778" s="210"/>
      <c r="H778" s="210"/>
    </row>
    <row r="779" spans="3:8" x14ac:dyDescent="0.25">
      <c r="C779" s="210"/>
      <c r="D779" s="210"/>
      <c r="E779" s="210"/>
      <c r="F779" s="210"/>
      <c r="G779" s="210"/>
      <c r="H779" s="210"/>
    </row>
    <row r="780" spans="3:8" x14ac:dyDescent="0.25">
      <c r="C780" s="210"/>
      <c r="D780" s="210"/>
      <c r="E780" s="210"/>
      <c r="F780" s="210"/>
      <c r="G780" s="210"/>
      <c r="H780" s="210"/>
    </row>
    <row r="781" spans="3:8" x14ac:dyDescent="0.25">
      <c r="C781" s="210"/>
      <c r="D781" s="210"/>
      <c r="E781" s="210"/>
      <c r="F781" s="210"/>
      <c r="G781" s="210"/>
      <c r="H781" s="210"/>
    </row>
    <row r="782" spans="3:8" x14ac:dyDescent="0.25">
      <c r="C782" s="210"/>
      <c r="D782" s="210"/>
      <c r="E782" s="210"/>
      <c r="F782" s="210"/>
      <c r="G782" s="210"/>
      <c r="H782" s="210"/>
    </row>
    <row r="783" spans="3:8" x14ac:dyDescent="0.25">
      <c r="C783" s="210"/>
      <c r="D783" s="210"/>
      <c r="E783" s="210"/>
      <c r="F783" s="210"/>
      <c r="G783" s="210"/>
      <c r="H783" s="210"/>
    </row>
    <row r="784" spans="3:8" x14ac:dyDescent="0.25">
      <c r="C784" s="210"/>
      <c r="D784" s="210"/>
      <c r="E784" s="210"/>
      <c r="F784" s="210"/>
      <c r="G784" s="210"/>
      <c r="H784" s="210"/>
    </row>
    <row r="785" spans="3:8" x14ac:dyDescent="0.25">
      <c r="C785" s="210"/>
      <c r="D785" s="210"/>
      <c r="E785" s="210"/>
      <c r="F785" s="210"/>
      <c r="G785" s="210"/>
      <c r="H785" s="210"/>
    </row>
    <row r="786" spans="3:8" x14ac:dyDescent="0.25">
      <c r="C786" s="210"/>
      <c r="D786" s="210"/>
      <c r="E786" s="210"/>
      <c r="F786" s="210"/>
      <c r="G786" s="210"/>
      <c r="H786" s="210"/>
    </row>
    <row r="787" spans="3:8" x14ac:dyDescent="0.25">
      <c r="C787" s="210"/>
      <c r="D787" s="210"/>
      <c r="E787" s="210"/>
      <c r="F787" s="210"/>
      <c r="G787" s="210"/>
      <c r="H787" s="210"/>
    </row>
    <row r="788" spans="3:8" x14ac:dyDescent="0.25">
      <c r="C788" s="210"/>
      <c r="D788" s="210"/>
      <c r="E788" s="210"/>
      <c r="F788" s="210"/>
      <c r="G788" s="210"/>
      <c r="H788" s="210"/>
    </row>
    <row r="789" spans="3:8" x14ac:dyDescent="0.25">
      <c r="C789" s="210"/>
      <c r="D789" s="210"/>
      <c r="E789" s="210"/>
      <c r="F789" s="210"/>
      <c r="G789" s="210"/>
      <c r="H789" s="210"/>
    </row>
    <row r="790" spans="3:8" x14ac:dyDescent="0.25">
      <c r="C790" s="210"/>
      <c r="D790" s="210"/>
      <c r="E790" s="210"/>
      <c r="F790" s="210"/>
      <c r="G790" s="210"/>
      <c r="H790" s="210"/>
    </row>
    <row r="791" spans="3:8" x14ac:dyDescent="0.25">
      <c r="C791" s="210"/>
      <c r="D791" s="210"/>
      <c r="E791" s="210"/>
      <c r="F791" s="210"/>
      <c r="G791" s="210"/>
      <c r="H791" s="210"/>
    </row>
    <row r="792" spans="3:8" x14ac:dyDescent="0.25">
      <c r="C792" s="210"/>
      <c r="D792" s="210"/>
      <c r="E792" s="210"/>
      <c r="F792" s="210"/>
      <c r="G792" s="210"/>
      <c r="H792" s="210"/>
    </row>
    <row r="793" spans="3:8" x14ac:dyDescent="0.25">
      <c r="C793" s="210"/>
      <c r="D793" s="210"/>
      <c r="E793" s="210"/>
      <c r="F793" s="210"/>
      <c r="G793" s="210"/>
      <c r="H793" s="210"/>
    </row>
    <row r="794" spans="3:8" x14ac:dyDescent="0.25">
      <c r="C794" s="210"/>
      <c r="D794" s="210"/>
      <c r="E794" s="210"/>
      <c r="F794" s="210"/>
      <c r="G794" s="210"/>
      <c r="H794" s="210"/>
    </row>
    <row r="795" spans="3:8" x14ac:dyDescent="0.25">
      <c r="C795" s="210"/>
      <c r="D795" s="210"/>
      <c r="E795" s="210"/>
      <c r="F795" s="210"/>
      <c r="G795" s="210"/>
      <c r="H795" s="210"/>
    </row>
    <row r="796" spans="3:8" x14ac:dyDescent="0.25">
      <c r="C796" s="210"/>
      <c r="D796" s="210"/>
      <c r="E796" s="210"/>
      <c r="F796" s="210"/>
      <c r="G796" s="210"/>
      <c r="H796" s="210"/>
    </row>
    <row r="797" spans="3:8" x14ac:dyDescent="0.25">
      <c r="C797" s="210"/>
      <c r="D797" s="210"/>
      <c r="E797" s="210"/>
      <c r="F797" s="210"/>
      <c r="G797" s="210"/>
      <c r="H797" s="210"/>
    </row>
    <row r="798" spans="3:8" x14ac:dyDescent="0.25">
      <c r="C798" s="210"/>
      <c r="D798" s="210"/>
      <c r="E798" s="210"/>
      <c r="F798" s="210"/>
      <c r="G798" s="210"/>
      <c r="H798" s="210"/>
    </row>
    <row r="799" spans="3:8" x14ac:dyDescent="0.25">
      <c r="C799" s="210"/>
      <c r="D799" s="210"/>
      <c r="E799" s="210"/>
      <c r="F799" s="210"/>
      <c r="G799" s="210"/>
      <c r="H799" s="210"/>
    </row>
    <row r="800" spans="3:8" x14ac:dyDescent="0.25">
      <c r="C800" s="210"/>
      <c r="D800" s="210"/>
      <c r="E800" s="210"/>
      <c r="F800" s="210"/>
      <c r="G800" s="210"/>
      <c r="H800" s="210"/>
    </row>
    <row r="801" spans="3:8" x14ac:dyDescent="0.25">
      <c r="C801" s="210"/>
      <c r="D801" s="210"/>
      <c r="E801" s="210"/>
      <c r="F801" s="210"/>
      <c r="G801" s="210"/>
      <c r="H801" s="210"/>
    </row>
    <row r="802" spans="3:8" x14ac:dyDescent="0.25">
      <c r="C802" s="210"/>
      <c r="D802" s="210"/>
      <c r="E802" s="210"/>
      <c r="F802" s="210"/>
      <c r="G802" s="210"/>
      <c r="H802" s="210"/>
    </row>
    <row r="803" spans="3:8" x14ac:dyDescent="0.25">
      <c r="C803" s="210"/>
      <c r="D803" s="210"/>
      <c r="E803" s="210"/>
      <c r="F803" s="210"/>
      <c r="G803" s="210"/>
      <c r="H803" s="210"/>
    </row>
    <row r="804" spans="3:8" x14ac:dyDescent="0.25">
      <c r="C804" s="210"/>
      <c r="D804" s="210"/>
      <c r="E804" s="210"/>
      <c r="F804" s="210"/>
      <c r="G804" s="210"/>
      <c r="H804" s="210"/>
    </row>
    <row r="805" spans="3:8" x14ac:dyDescent="0.25">
      <c r="C805" s="210"/>
      <c r="D805" s="210"/>
      <c r="E805" s="210"/>
      <c r="F805" s="210"/>
      <c r="G805" s="210"/>
      <c r="H805" s="210"/>
    </row>
    <row r="806" spans="3:8" x14ac:dyDescent="0.25">
      <c r="C806" s="210"/>
      <c r="D806" s="210"/>
      <c r="E806" s="210"/>
      <c r="F806" s="210"/>
      <c r="G806" s="210"/>
      <c r="H806" s="210"/>
    </row>
    <row r="807" spans="3:8" x14ac:dyDescent="0.25">
      <c r="C807" s="210"/>
      <c r="D807" s="210"/>
      <c r="E807" s="210"/>
      <c r="F807" s="210"/>
      <c r="G807" s="210"/>
      <c r="H807" s="210"/>
    </row>
    <row r="808" spans="3:8" x14ac:dyDescent="0.25">
      <c r="C808" s="210"/>
      <c r="D808" s="210"/>
      <c r="E808" s="210"/>
      <c r="F808" s="210"/>
      <c r="G808" s="210"/>
      <c r="H808" s="210"/>
    </row>
    <row r="809" spans="3:8" x14ac:dyDescent="0.25">
      <c r="C809" s="210"/>
      <c r="D809" s="210"/>
      <c r="E809" s="210"/>
      <c r="F809" s="210"/>
      <c r="G809" s="210"/>
      <c r="H809" s="210"/>
    </row>
    <row r="810" spans="3:8" x14ac:dyDescent="0.25">
      <c r="C810" s="210"/>
      <c r="D810" s="210"/>
      <c r="E810" s="210"/>
      <c r="F810" s="210"/>
      <c r="G810" s="210"/>
      <c r="H810" s="210"/>
    </row>
    <row r="811" spans="3:8" x14ac:dyDescent="0.25">
      <c r="C811" s="210"/>
      <c r="D811" s="210"/>
      <c r="E811" s="210"/>
      <c r="F811" s="210"/>
      <c r="G811" s="210"/>
      <c r="H811" s="210"/>
    </row>
    <row r="812" spans="3:8" x14ac:dyDescent="0.25">
      <c r="C812" s="210"/>
      <c r="D812" s="210"/>
      <c r="E812" s="210"/>
      <c r="F812" s="210"/>
      <c r="G812" s="210"/>
      <c r="H812" s="210"/>
    </row>
    <row r="813" spans="3:8" x14ac:dyDescent="0.25">
      <c r="C813" s="210"/>
      <c r="D813" s="210"/>
      <c r="E813" s="210"/>
      <c r="F813" s="210"/>
      <c r="G813" s="210"/>
      <c r="H813" s="210"/>
    </row>
    <row r="814" spans="3:8" x14ac:dyDescent="0.25">
      <c r="C814" s="210"/>
      <c r="D814" s="210"/>
      <c r="E814" s="210"/>
      <c r="F814" s="210"/>
      <c r="G814" s="210"/>
      <c r="H814" s="210"/>
    </row>
    <row r="815" spans="3:8" x14ac:dyDescent="0.25">
      <c r="C815" s="210"/>
      <c r="D815" s="210"/>
      <c r="E815" s="210"/>
      <c r="F815" s="210"/>
      <c r="G815" s="210"/>
      <c r="H815" s="210"/>
    </row>
    <row r="816" spans="3:8" x14ac:dyDescent="0.25">
      <c r="C816" s="210"/>
      <c r="D816" s="210"/>
      <c r="E816" s="210"/>
      <c r="F816" s="210"/>
      <c r="G816" s="210"/>
      <c r="H816" s="210"/>
    </row>
    <row r="817" spans="3:8" x14ac:dyDescent="0.25">
      <c r="C817" s="210"/>
      <c r="D817" s="210"/>
      <c r="E817" s="210"/>
      <c r="F817" s="210"/>
      <c r="G817" s="210"/>
      <c r="H817" s="210"/>
    </row>
    <row r="818" spans="3:8" x14ac:dyDescent="0.25">
      <c r="C818" s="210"/>
      <c r="D818" s="210"/>
      <c r="E818" s="210"/>
      <c r="F818" s="210"/>
      <c r="G818" s="210"/>
      <c r="H818" s="210"/>
    </row>
    <row r="819" spans="3:8" x14ac:dyDescent="0.25">
      <c r="C819" s="210"/>
      <c r="D819" s="210"/>
      <c r="E819" s="210"/>
      <c r="F819" s="210"/>
      <c r="G819" s="210"/>
      <c r="H819" s="210"/>
    </row>
    <row r="820" spans="3:8" x14ac:dyDescent="0.25">
      <c r="C820" s="210"/>
      <c r="D820" s="210"/>
      <c r="E820" s="210"/>
      <c r="F820" s="210"/>
      <c r="G820" s="210"/>
      <c r="H820" s="210"/>
    </row>
    <row r="821" spans="3:8" x14ac:dyDescent="0.25">
      <c r="C821" s="210"/>
      <c r="D821" s="210"/>
      <c r="E821" s="210"/>
      <c r="F821" s="210"/>
      <c r="G821" s="210"/>
      <c r="H821" s="210"/>
    </row>
    <row r="822" spans="3:8" x14ac:dyDescent="0.25">
      <c r="C822" s="210"/>
      <c r="D822" s="210"/>
      <c r="E822" s="210"/>
      <c r="F822" s="210"/>
      <c r="G822" s="210"/>
      <c r="H822" s="210"/>
    </row>
    <row r="823" spans="3:8" x14ac:dyDescent="0.25">
      <c r="C823" s="210"/>
      <c r="D823" s="210"/>
      <c r="E823" s="210"/>
      <c r="F823" s="210"/>
      <c r="G823" s="210"/>
      <c r="H823" s="210"/>
    </row>
    <row r="824" spans="3:8" x14ac:dyDescent="0.25">
      <c r="C824" s="210"/>
      <c r="D824" s="210"/>
      <c r="E824" s="210"/>
      <c r="F824" s="210"/>
      <c r="G824" s="210"/>
      <c r="H824" s="210"/>
    </row>
    <row r="825" spans="3:8" x14ac:dyDescent="0.25">
      <c r="C825" s="210"/>
      <c r="D825" s="210"/>
      <c r="E825" s="210"/>
      <c r="F825" s="210"/>
      <c r="G825" s="210"/>
      <c r="H825" s="210"/>
    </row>
    <row r="826" spans="3:8" x14ac:dyDescent="0.25">
      <c r="C826" s="210"/>
      <c r="D826" s="210"/>
      <c r="E826" s="210"/>
      <c r="F826" s="210"/>
      <c r="G826" s="210"/>
      <c r="H826" s="210"/>
    </row>
    <row r="827" spans="3:8" x14ac:dyDescent="0.25">
      <c r="C827" s="210"/>
      <c r="D827" s="210"/>
      <c r="E827" s="210"/>
      <c r="F827" s="210"/>
      <c r="G827" s="210"/>
      <c r="H827" s="210"/>
    </row>
    <row r="828" spans="3:8" x14ac:dyDescent="0.25">
      <c r="C828" s="210"/>
      <c r="D828" s="210"/>
      <c r="E828" s="210"/>
      <c r="F828" s="210"/>
      <c r="G828" s="210"/>
      <c r="H828" s="210"/>
    </row>
    <row r="829" spans="3:8" x14ac:dyDescent="0.25">
      <c r="C829" s="210"/>
      <c r="D829" s="210"/>
      <c r="E829" s="210"/>
      <c r="F829" s="210"/>
      <c r="G829" s="210"/>
      <c r="H829" s="210"/>
    </row>
    <row r="830" spans="3:8" x14ac:dyDescent="0.25">
      <c r="C830" s="210"/>
      <c r="D830" s="210"/>
      <c r="E830" s="210"/>
      <c r="F830" s="210"/>
      <c r="G830" s="210"/>
      <c r="H830" s="210"/>
    </row>
    <row r="831" spans="3:8" x14ac:dyDescent="0.25">
      <c r="C831" s="210"/>
      <c r="D831" s="210"/>
      <c r="E831" s="210"/>
      <c r="F831" s="210"/>
      <c r="G831" s="210"/>
      <c r="H831" s="210"/>
    </row>
    <row r="832" spans="3:8" x14ac:dyDescent="0.25">
      <c r="C832" s="210"/>
      <c r="D832" s="210"/>
      <c r="E832" s="210"/>
      <c r="F832" s="210"/>
      <c r="G832" s="210"/>
      <c r="H832" s="210"/>
    </row>
    <row r="833" spans="3:8" x14ac:dyDescent="0.25">
      <c r="C833" s="210"/>
      <c r="D833" s="210"/>
      <c r="E833" s="210"/>
      <c r="F833" s="210"/>
      <c r="G833" s="210"/>
      <c r="H833" s="210"/>
    </row>
    <row r="834" spans="3:8" x14ac:dyDescent="0.25">
      <c r="C834" s="210"/>
      <c r="D834" s="210"/>
      <c r="E834" s="210"/>
      <c r="F834" s="210"/>
      <c r="G834" s="210"/>
      <c r="H834" s="210"/>
    </row>
    <row r="835" spans="3:8" x14ac:dyDescent="0.25">
      <c r="C835" s="210"/>
      <c r="D835" s="210"/>
      <c r="E835" s="210"/>
      <c r="F835" s="210"/>
      <c r="G835" s="210"/>
      <c r="H835" s="210"/>
    </row>
    <row r="836" spans="3:8" x14ac:dyDescent="0.25">
      <c r="C836" s="210"/>
      <c r="D836" s="210"/>
      <c r="E836" s="210"/>
      <c r="F836" s="210"/>
      <c r="G836" s="210"/>
      <c r="H836" s="210"/>
    </row>
    <row r="837" spans="3:8" x14ac:dyDescent="0.25">
      <c r="C837" s="210"/>
      <c r="D837" s="210"/>
      <c r="E837" s="210"/>
      <c r="F837" s="210"/>
      <c r="G837" s="210"/>
      <c r="H837" s="210"/>
    </row>
    <row r="838" spans="3:8" x14ac:dyDescent="0.25">
      <c r="C838" s="210"/>
      <c r="D838" s="210"/>
      <c r="E838" s="210"/>
      <c r="F838" s="210"/>
      <c r="G838" s="210"/>
      <c r="H838" s="210"/>
    </row>
    <row r="839" spans="3:8" x14ac:dyDescent="0.25">
      <c r="C839" s="210"/>
      <c r="D839" s="210"/>
      <c r="E839" s="210"/>
      <c r="F839" s="210"/>
      <c r="G839" s="210"/>
      <c r="H839" s="210"/>
    </row>
    <row r="840" spans="3:8" x14ac:dyDescent="0.25">
      <c r="C840" s="210"/>
      <c r="D840" s="210"/>
      <c r="E840" s="210"/>
      <c r="F840" s="210"/>
      <c r="G840" s="210"/>
      <c r="H840" s="210"/>
    </row>
    <row r="841" spans="3:8" x14ac:dyDescent="0.25">
      <c r="C841" s="210"/>
      <c r="D841" s="210"/>
      <c r="E841" s="210"/>
      <c r="F841" s="210"/>
      <c r="G841" s="210"/>
      <c r="H841" s="210"/>
    </row>
    <row r="842" spans="3:8" x14ac:dyDescent="0.25">
      <c r="C842" s="210"/>
      <c r="D842" s="210"/>
      <c r="E842" s="210"/>
      <c r="F842" s="210"/>
      <c r="G842" s="210"/>
      <c r="H842" s="210"/>
    </row>
    <row r="843" spans="3:8" x14ac:dyDescent="0.25">
      <c r="C843" s="210"/>
      <c r="D843" s="210"/>
      <c r="E843" s="210"/>
      <c r="F843" s="210"/>
      <c r="G843" s="210"/>
      <c r="H843" s="210"/>
    </row>
    <row r="844" spans="3:8" x14ac:dyDescent="0.25">
      <c r="C844" s="210"/>
      <c r="D844" s="210"/>
      <c r="E844" s="210"/>
      <c r="F844" s="210"/>
      <c r="G844" s="210"/>
      <c r="H844" s="210"/>
    </row>
    <row r="845" spans="3:8" x14ac:dyDescent="0.25">
      <c r="C845" s="210"/>
      <c r="D845" s="210"/>
      <c r="E845" s="210"/>
      <c r="F845" s="210"/>
      <c r="G845" s="210"/>
      <c r="H845" s="210"/>
    </row>
    <row r="846" spans="3:8" x14ac:dyDescent="0.25">
      <c r="C846" s="210"/>
      <c r="D846" s="210"/>
      <c r="E846" s="210"/>
      <c r="F846" s="210"/>
      <c r="G846" s="210"/>
      <c r="H846" s="210"/>
    </row>
    <row r="847" spans="3:8" x14ac:dyDescent="0.25">
      <c r="C847" s="210"/>
      <c r="D847" s="210"/>
      <c r="E847" s="210"/>
      <c r="F847" s="210"/>
      <c r="G847" s="210"/>
      <c r="H847" s="210"/>
    </row>
    <row r="848" spans="3:8" x14ac:dyDescent="0.25">
      <c r="C848" s="210"/>
      <c r="D848" s="210"/>
      <c r="E848" s="210"/>
      <c r="F848" s="210"/>
      <c r="G848" s="210"/>
      <c r="H848" s="210"/>
    </row>
    <row r="849" spans="3:8" x14ac:dyDescent="0.25">
      <c r="C849" s="210"/>
      <c r="D849" s="210"/>
      <c r="E849" s="210"/>
      <c r="F849" s="210"/>
      <c r="G849" s="210"/>
      <c r="H849" s="210"/>
    </row>
    <row r="850" spans="3:8" x14ac:dyDescent="0.25">
      <c r="C850" s="210"/>
      <c r="D850" s="210"/>
      <c r="E850" s="210"/>
      <c r="F850" s="210"/>
      <c r="G850" s="210"/>
      <c r="H850" s="210"/>
    </row>
    <row r="851" spans="3:8" x14ac:dyDescent="0.25">
      <c r="C851" s="210"/>
      <c r="D851" s="210"/>
      <c r="E851" s="210"/>
      <c r="F851" s="210"/>
      <c r="G851" s="210"/>
      <c r="H851" s="210"/>
    </row>
    <row r="852" spans="3:8" x14ac:dyDescent="0.25">
      <c r="C852" s="210"/>
      <c r="D852" s="210"/>
      <c r="E852" s="210"/>
      <c r="F852" s="210"/>
      <c r="G852" s="210"/>
      <c r="H852" s="210"/>
    </row>
    <row r="853" spans="3:8" x14ac:dyDescent="0.25">
      <c r="C853" s="210"/>
      <c r="D853" s="210"/>
      <c r="E853" s="210"/>
      <c r="F853" s="210"/>
      <c r="G853" s="210"/>
      <c r="H853" s="210"/>
    </row>
    <row r="854" spans="3:8" x14ac:dyDescent="0.25">
      <c r="C854" s="210"/>
      <c r="D854" s="210"/>
      <c r="E854" s="210"/>
      <c r="F854" s="210"/>
      <c r="G854" s="210"/>
      <c r="H854" s="210"/>
    </row>
    <row r="855" spans="3:8" x14ac:dyDescent="0.25">
      <c r="C855" s="210"/>
      <c r="D855" s="210"/>
      <c r="E855" s="210"/>
      <c r="F855" s="210"/>
      <c r="G855" s="210"/>
      <c r="H855" s="210"/>
    </row>
    <row r="856" spans="3:8" x14ac:dyDescent="0.25">
      <c r="C856" s="210"/>
      <c r="D856" s="210"/>
      <c r="E856" s="210"/>
      <c r="F856" s="210"/>
      <c r="G856" s="210"/>
      <c r="H856" s="210"/>
    </row>
    <row r="857" spans="3:8" x14ac:dyDescent="0.25">
      <c r="C857" s="210"/>
      <c r="D857" s="210"/>
      <c r="E857" s="210"/>
      <c r="F857" s="210"/>
      <c r="G857" s="210"/>
      <c r="H857" s="210"/>
    </row>
    <row r="858" spans="3:8" x14ac:dyDescent="0.25">
      <c r="C858" s="210"/>
      <c r="D858" s="210"/>
      <c r="E858" s="210"/>
      <c r="F858" s="210"/>
      <c r="G858" s="210"/>
      <c r="H858" s="210"/>
    </row>
    <row r="859" spans="3:8" x14ac:dyDescent="0.25">
      <c r="C859" s="210"/>
      <c r="D859" s="210"/>
      <c r="E859" s="210"/>
      <c r="F859" s="210"/>
      <c r="G859" s="210"/>
      <c r="H859" s="210"/>
    </row>
    <row r="860" spans="3:8" x14ac:dyDescent="0.25">
      <c r="C860" s="210"/>
      <c r="D860" s="210"/>
      <c r="E860" s="210"/>
      <c r="F860" s="210"/>
      <c r="G860" s="210"/>
      <c r="H860" s="210"/>
    </row>
    <row r="861" spans="3:8" x14ac:dyDescent="0.25">
      <c r="C861" s="210"/>
      <c r="D861" s="210"/>
      <c r="E861" s="210"/>
      <c r="F861" s="210"/>
      <c r="G861" s="210"/>
      <c r="H861" s="210"/>
    </row>
    <row r="862" spans="3:8" x14ac:dyDescent="0.25">
      <c r="C862" s="210"/>
      <c r="D862" s="210"/>
      <c r="E862" s="210"/>
      <c r="F862" s="210"/>
      <c r="G862" s="210"/>
      <c r="H862" s="210"/>
    </row>
    <row r="863" spans="3:8" x14ac:dyDescent="0.25">
      <c r="C863" s="210"/>
      <c r="D863" s="210"/>
      <c r="E863" s="210"/>
      <c r="F863" s="210"/>
      <c r="G863" s="210"/>
      <c r="H863" s="210"/>
    </row>
    <row r="864" spans="3:8" x14ac:dyDescent="0.25">
      <c r="C864" s="210"/>
      <c r="D864" s="210"/>
      <c r="E864" s="210"/>
      <c r="F864" s="210"/>
      <c r="G864" s="210"/>
      <c r="H864" s="210"/>
    </row>
    <row r="865" spans="3:8" x14ac:dyDescent="0.25">
      <c r="C865" s="210"/>
      <c r="D865" s="210"/>
      <c r="E865" s="210"/>
      <c r="F865" s="210"/>
      <c r="G865" s="210"/>
      <c r="H865" s="210"/>
    </row>
    <row r="866" spans="3:8" x14ac:dyDescent="0.25">
      <c r="C866" s="210"/>
      <c r="D866" s="210"/>
      <c r="E866" s="210"/>
      <c r="F866" s="210"/>
      <c r="G866" s="210"/>
      <c r="H866" s="210"/>
    </row>
    <row r="867" spans="3:8" x14ac:dyDescent="0.25">
      <c r="C867" s="210"/>
      <c r="D867" s="210"/>
      <c r="E867" s="210"/>
      <c r="F867" s="210"/>
      <c r="G867" s="210"/>
      <c r="H867" s="210"/>
    </row>
    <row r="868" spans="3:8" x14ac:dyDescent="0.25">
      <c r="C868" s="210"/>
      <c r="D868" s="210"/>
      <c r="E868" s="210"/>
      <c r="F868" s="210"/>
      <c r="G868" s="210"/>
      <c r="H868" s="210"/>
    </row>
    <row r="869" spans="3:8" x14ac:dyDescent="0.25">
      <c r="C869" s="210"/>
      <c r="D869" s="210"/>
      <c r="E869" s="210"/>
      <c r="F869" s="210"/>
      <c r="G869" s="210"/>
      <c r="H869" s="210"/>
    </row>
    <row r="870" spans="3:8" x14ac:dyDescent="0.25">
      <c r="C870" s="210"/>
      <c r="D870" s="210"/>
      <c r="E870" s="210"/>
      <c r="F870" s="210"/>
      <c r="G870" s="210"/>
      <c r="H870" s="210"/>
    </row>
    <row r="871" spans="3:8" x14ac:dyDescent="0.25">
      <c r="C871" s="210"/>
      <c r="D871" s="210"/>
      <c r="E871" s="210"/>
      <c r="F871" s="210"/>
      <c r="G871" s="210"/>
      <c r="H871" s="210"/>
    </row>
    <row r="872" spans="3:8" x14ac:dyDescent="0.25">
      <c r="C872" s="210"/>
      <c r="D872" s="210"/>
      <c r="E872" s="210"/>
      <c r="F872" s="210"/>
      <c r="G872" s="210"/>
      <c r="H872" s="210"/>
    </row>
    <row r="873" spans="3:8" x14ac:dyDescent="0.25">
      <c r="C873" s="210"/>
      <c r="D873" s="210"/>
      <c r="E873" s="210"/>
      <c r="F873" s="210"/>
      <c r="G873" s="210"/>
      <c r="H873" s="210"/>
    </row>
    <row r="874" spans="3:8" x14ac:dyDescent="0.25">
      <c r="C874" s="210"/>
      <c r="D874" s="210"/>
      <c r="E874" s="210"/>
      <c r="F874" s="210"/>
      <c r="G874" s="210"/>
      <c r="H874" s="210"/>
    </row>
    <row r="875" spans="3:8" x14ac:dyDescent="0.25">
      <c r="C875" s="210"/>
      <c r="D875" s="210"/>
      <c r="E875" s="210"/>
      <c r="F875" s="210"/>
      <c r="G875" s="210"/>
      <c r="H875" s="210"/>
    </row>
    <row r="876" spans="3:8" x14ac:dyDescent="0.25">
      <c r="C876" s="210"/>
      <c r="D876" s="210"/>
      <c r="E876" s="210"/>
      <c r="F876" s="210"/>
      <c r="G876" s="210"/>
      <c r="H876" s="210"/>
    </row>
    <row r="877" spans="3:8" x14ac:dyDescent="0.25">
      <c r="C877" s="210"/>
      <c r="D877" s="210"/>
      <c r="E877" s="210"/>
      <c r="F877" s="210"/>
      <c r="G877" s="210"/>
      <c r="H877" s="210"/>
    </row>
    <row r="878" spans="3:8" x14ac:dyDescent="0.25">
      <c r="C878" s="210"/>
      <c r="D878" s="210"/>
      <c r="E878" s="210"/>
      <c r="F878" s="210"/>
      <c r="G878" s="210"/>
      <c r="H878" s="210"/>
    </row>
    <row r="879" spans="3:8" x14ac:dyDescent="0.25">
      <c r="C879" s="210"/>
      <c r="D879" s="210"/>
      <c r="E879" s="210"/>
      <c r="F879" s="210"/>
      <c r="G879" s="210"/>
      <c r="H879" s="210"/>
    </row>
    <row r="880" spans="3:8" x14ac:dyDescent="0.25">
      <c r="C880" s="210"/>
      <c r="D880" s="210"/>
      <c r="E880" s="210"/>
      <c r="F880" s="210"/>
      <c r="G880" s="210"/>
      <c r="H880" s="210"/>
    </row>
    <row r="881" spans="3:8" x14ac:dyDescent="0.25">
      <c r="C881" s="210"/>
      <c r="D881" s="210"/>
      <c r="E881" s="210"/>
      <c r="F881" s="210"/>
      <c r="G881" s="210"/>
      <c r="H881" s="210"/>
    </row>
    <row r="882" spans="3:8" x14ac:dyDescent="0.25">
      <c r="C882" s="210"/>
      <c r="D882" s="210"/>
      <c r="E882" s="210"/>
      <c r="F882" s="210"/>
      <c r="G882" s="210"/>
      <c r="H882" s="210"/>
    </row>
    <row r="883" spans="3:8" x14ac:dyDescent="0.25">
      <c r="C883" s="210"/>
      <c r="D883" s="210"/>
      <c r="E883" s="210"/>
      <c r="F883" s="210"/>
      <c r="G883" s="210"/>
      <c r="H883" s="210"/>
    </row>
    <row r="884" spans="3:8" x14ac:dyDescent="0.25">
      <c r="C884" s="210"/>
      <c r="D884" s="210"/>
      <c r="E884" s="210"/>
      <c r="F884" s="210"/>
      <c r="G884" s="210"/>
      <c r="H884" s="210"/>
    </row>
    <row r="885" spans="3:8" x14ac:dyDescent="0.25">
      <c r="C885" s="210"/>
      <c r="D885" s="210"/>
      <c r="E885" s="210"/>
      <c r="F885" s="210"/>
      <c r="G885" s="210"/>
      <c r="H885" s="210"/>
    </row>
    <row r="886" spans="3:8" x14ac:dyDescent="0.25">
      <c r="C886" s="210"/>
      <c r="D886" s="210"/>
      <c r="E886" s="210"/>
      <c r="F886" s="210"/>
      <c r="G886" s="210"/>
      <c r="H886" s="210"/>
    </row>
    <row r="887" spans="3:8" x14ac:dyDescent="0.25">
      <c r="C887" s="210"/>
      <c r="D887" s="210"/>
      <c r="E887" s="210"/>
      <c r="F887" s="210"/>
      <c r="G887" s="210"/>
      <c r="H887" s="210"/>
    </row>
    <row r="888" spans="3:8" x14ac:dyDescent="0.25">
      <c r="C888" s="210"/>
      <c r="D888" s="210"/>
      <c r="E888" s="210"/>
      <c r="F888" s="210"/>
      <c r="G888" s="210"/>
      <c r="H888" s="210"/>
    </row>
    <row r="889" spans="3:8" x14ac:dyDescent="0.25">
      <c r="C889" s="210"/>
      <c r="D889" s="210"/>
      <c r="E889" s="210"/>
      <c r="F889" s="210"/>
      <c r="G889" s="210"/>
      <c r="H889" s="210"/>
    </row>
    <row r="890" spans="3:8" x14ac:dyDescent="0.25">
      <c r="C890" s="210"/>
      <c r="D890" s="210"/>
      <c r="E890" s="210"/>
      <c r="F890" s="210"/>
      <c r="G890" s="210"/>
      <c r="H890" s="210"/>
    </row>
    <row r="891" spans="3:8" x14ac:dyDescent="0.25">
      <c r="C891" s="210"/>
      <c r="D891" s="210"/>
      <c r="E891" s="210"/>
      <c r="F891" s="210"/>
      <c r="G891" s="210"/>
      <c r="H891" s="210"/>
    </row>
    <row r="892" spans="3:8" x14ac:dyDescent="0.25">
      <c r="C892" s="210"/>
      <c r="D892" s="210"/>
      <c r="E892" s="210"/>
      <c r="F892" s="210"/>
      <c r="G892" s="210"/>
      <c r="H892" s="210"/>
    </row>
    <row r="893" spans="3:8" x14ac:dyDescent="0.25">
      <c r="C893" s="210"/>
      <c r="D893" s="210"/>
      <c r="E893" s="210"/>
      <c r="F893" s="210"/>
      <c r="G893" s="210"/>
      <c r="H893" s="210"/>
    </row>
    <row r="894" spans="3:8" x14ac:dyDescent="0.25">
      <c r="C894" s="210"/>
      <c r="D894" s="210"/>
      <c r="E894" s="210"/>
      <c r="F894" s="210"/>
      <c r="G894" s="210"/>
      <c r="H894" s="210"/>
    </row>
    <row r="895" spans="3:8" x14ac:dyDescent="0.25">
      <c r="C895" s="210"/>
      <c r="D895" s="210"/>
      <c r="E895" s="210"/>
      <c r="F895" s="210"/>
      <c r="G895" s="210"/>
      <c r="H895" s="210"/>
    </row>
    <row r="896" spans="3:8" x14ac:dyDescent="0.25">
      <c r="C896" s="210"/>
      <c r="D896" s="210"/>
      <c r="E896" s="210"/>
      <c r="F896" s="210"/>
      <c r="G896" s="210"/>
      <c r="H896" s="210"/>
    </row>
    <row r="897" spans="3:8" x14ac:dyDescent="0.25">
      <c r="C897" s="210"/>
      <c r="D897" s="210"/>
      <c r="E897" s="210"/>
      <c r="F897" s="210"/>
      <c r="G897" s="210"/>
      <c r="H897" s="210"/>
    </row>
    <row r="898" spans="3:8" x14ac:dyDescent="0.25">
      <c r="C898" s="210"/>
      <c r="D898" s="210"/>
      <c r="E898" s="210"/>
      <c r="F898" s="210"/>
      <c r="G898" s="210"/>
      <c r="H898" s="210"/>
    </row>
    <row r="899" spans="3:8" x14ac:dyDescent="0.25">
      <c r="C899" s="210"/>
      <c r="D899" s="210"/>
      <c r="E899" s="210"/>
      <c r="F899" s="210"/>
      <c r="G899" s="210"/>
      <c r="H899" s="210"/>
    </row>
    <row r="900" spans="3:8" x14ac:dyDescent="0.25">
      <c r="C900" s="210"/>
      <c r="D900" s="210"/>
      <c r="E900" s="210"/>
      <c r="F900" s="210"/>
      <c r="G900" s="210"/>
      <c r="H900" s="210"/>
    </row>
    <row r="901" spans="3:8" x14ac:dyDescent="0.25">
      <c r="C901" s="210"/>
      <c r="D901" s="210"/>
      <c r="E901" s="210"/>
      <c r="F901" s="210"/>
      <c r="G901" s="210"/>
      <c r="H901" s="210"/>
    </row>
    <row r="902" spans="3:8" x14ac:dyDescent="0.25">
      <c r="C902" s="210"/>
      <c r="D902" s="210"/>
      <c r="E902" s="210"/>
      <c r="F902" s="210"/>
      <c r="G902" s="210"/>
      <c r="H902" s="210"/>
    </row>
    <row r="903" spans="3:8" x14ac:dyDescent="0.25">
      <c r="C903" s="210"/>
      <c r="D903" s="210"/>
      <c r="E903" s="210"/>
      <c r="F903" s="210"/>
      <c r="G903" s="210"/>
      <c r="H903" s="210"/>
    </row>
    <row r="904" spans="3:8" x14ac:dyDescent="0.25">
      <c r="C904" s="210"/>
      <c r="D904" s="210"/>
      <c r="E904" s="210"/>
      <c r="F904" s="210"/>
      <c r="G904" s="210"/>
      <c r="H904" s="210"/>
    </row>
    <row r="905" spans="3:8" x14ac:dyDescent="0.25">
      <c r="C905" s="210"/>
      <c r="D905" s="210"/>
      <c r="E905" s="210"/>
      <c r="F905" s="210"/>
      <c r="G905" s="210"/>
      <c r="H905" s="210"/>
    </row>
    <row r="906" spans="3:8" x14ac:dyDescent="0.25">
      <c r="C906" s="210"/>
      <c r="D906" s="210"/>
      <c r="E906" s="210"/>
      <c r="F906" s="210"/>
      <c r="G906" s="210"/>
      <c r="H906" s="210"/>
    </row>
    <row r="907" spans="3:8" x14ac:dyDescent="0.25">
      <c r="C907" s="210"/>
      <c r="D907" s="210"/>
      <c r="E907" s="210"/>
      <c r="F907" s="210"/>
      <c r="G907" s="210"/>
      <c r="H907" s="210"/>
    </row>
    <row r="908" spans="3:8" x14ac:dyDescent="0.25">
      <c r="C908" s="210"/>
      <c r="D908" s="210"/>
      <c r="E908" s="210"/>
      <c r="F908" s="210"/>
      <c r="G908" s="210"/>
      <c r="H908" s="210"/>
    </row>
    <row r="909" spans="3:8" x14ac:dyDescent="0.25">
      <c r="C909" s="210"/>
      <c r="D909" s="210"/>
      <c r="E909" s="210"/>
      <c r="F909" s="210"/>
      <c r="G909" s="210"/>
      <c r="H909" s="210"/>
    </row>
    <row r="910" spans="3:8" x14ac:dyDescent="0.25">
      <c r="C910" s="210"/>
      <c r="D910" s="210"/>
      <c r="E910" s="210"/>
      <c r="F910" s="210"/>
      <c r="G910" s="210"/>
      <c r="H910" s="210"/>
    </row>
    <row r="911" spans="3:8" x14ac:dyDescent="0.25">
      <c r="C911" s="210"/>
      <c r="D911" s="210"/>
      <c r="E911" s="210"/>
      <c r="F911" s="210"/>
      <c r="G911" s="210"/>
      <c r="H911" s="210"/>
    </row>
    <row r="912" spans="3:8" x14ac:dyDescent="0.25">
      <c r="C912" s="210"/>
      <c r="D912" s="210"/>
      <c r="E912" s="210"/>
      <c r="F912" s="210"/>
      <c r="G912" s="210"/>
      <c r="H912" s="210"/>
    </row>
    <row r="913" spans="3:8" x14ac:dyDescent="0.25">
      <c r="C913" s="210"/>
      <c r="D913" s="210"/>
      <c r="E913" s="210"/>
      <c r="F913" s="210"/>
      <c r="G913" s="210"/>
      <c r="H913" s="210"/>
    </row>
    <row r="914" spans="3:8" x14ac:dyDescent="0.25">
      <c r="C914" s="210"/>
      <c r="D914" s="210"/>
      <c r="E914" s="210"/>
      <c r="F914" s="210"/>
      <c r="G914" s="210"/>
      <c r="H914" s="210"/>
    </row>
    <row r="915" spans="3:8" x14ac:dyDescent="0.25">
      <c r="C915" s="210"/>
      <c r="D915" s="210"/>
      <c r="E915" s="210"/>
      <c r="F915" s="210"/>
      <c r="G915" s="210"/>
      <c r="H915" s="210"/>
    </row>
    <row r="916" spans="3:8" x14ac:dyDescent="0.25">
      <c r="C916" s="210"/>
      <c r="D916" s="210"/>
      <c r="E916" s="210"/>
      <c r="F916" s="210"/>
      <c r="G916" s="210"/>
      <c r="H916" s="210"/>
    </row>
    <row r="917" spans="3:8" x14ac:dyDescent="0.25">
      <c r="C917" s="210"/>
      <c r="D917" s="210"/>
      <c r="E917" s="210"/>
      <c r="F917" s="210"/>
      <c r="G917" s="210"/>
      <c r="H917" s="210"/>
    </row>
    <row r="918" spans="3:8" x14ac:dyDescent="0.25">
      <c r="C918" s="210"/>
      <c r="D918" s="210"/>
      <c r="E918" s="210"/>
      <c r="F918" s="210"/>
      <c r="G918" s="210"/>
      <c r="H918" s="210"/>
    </row>
    <row r="919" spans="3:8" x14ac:dyDescent="0.25">
      <c r="C919" s="210"/>
      <c r="D919" s="210"/>
      <c r="E919" s="210"/>
      <c r="F919" s="210"/>
      <c r="G919" s="210"/>
      <c r="H919" s="210"/>
    </row>
    <row r="920" spans="3:8" x14ac:dyDescent="0.25">
      <c r="C920" s="210"/>
      <c r="D920" s="210"/>
      <c r="E920" s="210"/>
      <c r="F920" s="210"/>
      <c r="G920" s="210"/>
      <c r="H920" s="210"/>
    </row>
    <row r="921" spans="3:8" x14ac:dyDescent="0.25">
      <c r="C921" s="210"/>
      <c r="D921" s="210"/>
      <c r="E921" s="210"/>
      <c r="F921" s="210"/>
      <c r="G921" s="210"/>
      <c r="H921" s="210"/>
    </row>
    <row r="922" spans="3:8" x14ac:dyDescent="0.25">
      <c r="C922" s="210"/>
      <c r="D922" s="210"/>
      <c r="E922" s="210"/>
      <c r="F922" s="210"/>
      <c r="G922" s="210"/>
      <c r="H922" s="210"/>
    </row>
    <row r="923" spans="3:8" x14ac:dyDescent="0.25">
      <c r="C923" s="210"/>
      <c r="D923" s="210"/>
      <c r="E923" s="210"/>
      <c r="F923" s="210"/>
      <c r="G923" s="210"/>
      <c r="H923" s="210"/>
    </row>
    <row r="924" spans="3:8" x14ac:dyDescent="0.25">
      <c r="C924" s="210"/>
      <c r="D924" s="210"/>
      <c r="E924" s="210"/>
      <c r="F924" s="210"/>
      <c r="G924" s="210"/>
      <c r="H924" s="210"/>
    </row>
    <row r="925" spans="3:8" x14ac:dyDescent="0.25">
      <c r="C925" s="210"/>
      <c r="D925" s="210"/>
      <c r="E925" s="210"/>
      <c r="F925" s="210"/>
      <c r="G925" s="210"/>
      <c r="H925" s="210"/>
    </row>
    <row r="926" spans="3:8" x14ac:dyDescent="0.25">
      <c r="C926" s="210"/>
      <c r="D926" s="210"/>
      <c r="E926" s="210"/>
      <c r="F926" s="210"/>
      <c r="G926" s="210"/>
      <c r="H926" s="210"/>
    </row>
    <row r="927" spans="3:8" x14ac:dyDescent="0.25">
      <c r="C927" s="210"/>
      <c r="D927" s="210"/>
      <c r="E927" s="210"/>
      <c r="F927" s="210"/>
      <c r="G927" s="210"/>
      <c r="H927" s="210"/>
    </row>
    <row r="928" spans="3:8" x14ac:dyDescent="0.25">
      <c r="C928" s="210"/>
      <c r="D928" s="210"/>
      <c r="E928" s="210"/>
      <c r="F928" s="210"/>
      <c r="G928" s="210"/>
      <c r="H928" s="210"/>
    </row>
    <row r="929" spans="3:8" x14ac:dyDescent="0.25">
      <c r="C929" s="210"/>
      <c r="D929" s="210"/>
      <c r="E929" s="210"/>
      <c r="F929" s="210"/>
      <c r="G929" s="210"/>
      <c r="H929" s="210"/>
    </row>
    <row r="930" spans="3:8" x14ac:dyDescent="0.25">
      <c r="C930" s="210"/>
      <c r="D930" s="210"/>
      <c r="E930" s="210"/>
      <c r="F930" s="210"/>
      <c r="G930" s="210"/>
      <c r="H930" s="210"/>
    </row>
    <row r="931" spans="3:8" x14ac:dyDescent="0.25">
      <c r="C931" s="210"/>
      <c r="D931" s="210"/>
      <c r="E931" s="210"/>
      <c r="F931" s="210"/>
      <c r="G931" s="210"/>
      <c r="H931" s="210"/>
    </row>
    <row r="932" spans="3:8" x14ac:dyDescent="0.25">
      <c r="C932" s="210"/>
      <c r="D932" s="210"/>
      <c r="E932" s="210"/>
      <c r="F932" s="210"/>
      <c r="G932" s="210"/>
      <c r="H932" s="210"/>
    </row>
    <row r="933" spans="3:8" x14ac:dyDescent="0.25">
      <c r="C933" s="210"/>
      <c r="D933" s="210"/>
      <c r="E933" s="210"/>
      <c r="F933" s="210"/>
      <c r="G933" s="210"/>
      <c r="H933" s="210"/>
    </row>
    <row r="934" spans="3:8" x14ac:dyDescent="0.25">
      <c r="C934" s="210"/>
      <c r="D934" s="210"/>
      <c r="E934" s="210"/>
      <c r="F934" s="210"/>
      <c r="G934" s="210"/>
      <c r="H934" s="210"/>
    </row>
    <row r="935" spans="3:8" x14ac:dyDescent="0.25">
      <c r="C935" s="210"/>
      <c r="D935" s="210"/>
      <c r="E935" s="210"/>
      <c r="F935" s="210"/>
      <c r="G935" s="210"/>
      <c r="H935" s="210"/>
    </row>
    <row r="936" spans="3:8" x14ac:dyDescent="0.25">
      <c r="C936" s="210"/>
      <c r="D936" s="210"/>
      <c r="E936" s="210"/>
      <c r="F936" s="210"/>
      <c r="G936" s="210"/>
      <c r="H936" s="210"/>
    </row>
    <row r="937" spans="3:8" x14ac:dyDescent="0.25">
      <c r="C937" s="210"/>
      <c r="D937" s="210"/>
      <c r="E937" s="210"/>
      <c r="F937" s="210"/>
      <c r="G937" s="210"/>
      <c r="H937" s="210"/>
    </row>
    <row r="938" spans="3:8" x14ac:dyDescent="0.25">
      <c r="C938" s="210"/>
      <c r="D938" s="210"/>
      <c r="E938" s="210"/>
      <c r="F938" s="210"/>
      <c r="G938" s="210"/>
      <c r="H938" s="210"/>
    </row>
    <row r="939" spans="3:8" x14ac:dyDescent="0.25">
      <c r="C939" s="210"/>
      <c r="D939" s="210"/>
      <c r="E939" s="210"/>
      <c r="F939" s="210"/>
      <c r="G939" s="210"/>
      <c r="H939" s="210"/>
    </row>
    <row r="940" spans="3:8" x14ac:dyDescent="0.25">
      <c r="C940" s="210"/>
      <c r="D940" s="210"/>
      <c r="E940" s="210"/>
      <c r="F940" s="210"/>
      <c r="G940" s="210"/>
      <c r="H940" s="210"/>
    </row>
    <row r="941" spans="3:8" x14ac:dyDescent="0.25">
      <c r="C941" s="210"/>
      <c r="D941" s="210"/>
      <c r="E941" s="210"/>
      <c r="F941" s="210"/>
      <c r="G941" s="210"/>
      <c r="H941" s="210"/>
    </row>
    <row r="942" spans="3:8" x14ac:dyDescent="0.25">
      <c r="C942" s="210"/>
      <c r="D942" s="210"/>
      <c r="E942" s="210"/>
      <c r="F942" s="210"/>
      <c r="G942" s="210"/>
      <c r="H942" s="210"/>
    </row>
    <row r="943" spans="3:8" x14ac:dyDescent="0.25">
      <c r="C943" s="210"/>
      <c r="D943" s="210"/>
      <c r="E943" s="210"/>
      <c r="F943" s="210"/>
      <c r="G943" s="210"/>
      <c r="H943" s="210"/>
    </row>
    <row r="944" spans="3:8" x14ac:dyDescent="0.25">
      <c r="C944" s="210"/>
      <c r="D944" s="210"/>
      <c r="E944" s="210"/>
      <c r="F944" s="210"/>
      <c r="G944" s="210"/>
      <c r="H944" s="210"/>
    </row>
    <row r="945" spans="3:8" x14ac:dyDescent="0.25">
      <c r="C945" s="210"/>
      <c r="D945" s="210"/>
      <c r="E945" s="210"/>
      <c r="F945" s="210"/>
      <c r="G945" s="210"/>
      <c r="H945" s="210"/>
    </row>
    <row r="946" spans="3:8" x14ac:dyDescent="0.25">
      <c r="C946" s="210"/>
      <c r="D946" s="210"/>
      <c r="E946" s="210"/>
      <c r="F946" s="210"/>
      <c r="G946" s="210"/>
      <c r="H946" s="210"/>
    </row>
    <row r="947" spans="3:8" x14ac:dyDescent="0.25">
      <c r="C947" s="210"/>
      <c r="D947" s="210"/>
      <c r="E947" s="210"/>
      <c r="F947" s="210"/>
      <c r="G947" s="210"/>
      <c r="H947" s="210"/>
    </row>
    <row r="948" spans="3:8" x14ac:dyDescent="0.25">
      <c r="C948" s="210"/>
      <c r="D948" s="210"/>
      <c r="E948" s="210"/>
      <c r="F948" s="210"/>
      <c r="G948" s="210"/>
      <c r="H948" s="210"/>
    </row>
    <row r="949" spans="3:8" x14ac:dyDescent="0.25">
      <c r="C949" s="210"/>
      <c r="D949" s="210"/>
      <c r="E949" s="210"/>
      <c r="F949" s="210"/>
      <c r="G949" s="210"/>
      <c r="H949" s="210"/>
    </row>
    <row r="950" spans="3:8" x14ac:dyDescent="0.25">
      <c r="C950" s="210"/>
      <c r="D950" s="210"/>
      <c r="E950" s="210"/>
      <c r="F950" s="210"/>
      <c r="G950" s="210"/>
      <c r="H950" s="210"/>
    </row>
    <row r="951" spans="3:8" x14ac:dyDescent="0.25">
      <c r="C951" s="210"/>
      <c r="D951" s="210"/>
      <c r="E951" s="210"/>
      <c r="F951" s="210"/>
      <c r="G951" s="210"/>
      <c r="H951" s="210"/>
    </row>
    <row r="952" spans="3:8" x14ac:dyDescent="0.25">
      <c r="C952" s="210"/>
      <c r="D952" s="210"/>
      <c r="E952" s="210"/>
      <c r="F952" s="210"/>
      <c r="G952" s="210"/>
      <c r="H952" s="210"/>
    </row>
    <row r="953" spans="3:8" x14ac:dyDescent="0.25">
      <c r="C953" s="210"/>
      <c r="D953" s="210"/>
      <c r="E953" s="210"/>
      <c r="F953" s="210"/>
      <c r="G953" s="210"/>
      <c r="H953" s="210"/>
    </row>
    <row r="954" spans="3:8" x14ac:dyDescent="0.25">
      <c r="C954" s="210"/>
      <c r="D954" s="210"/>
      <c r="E954" s="210"/>
      <c r="F954" s="210"/>
      <c r="G954" s="210"/>
      <c r="H954" s="210"/>
    </row>
    <row r="955" spans="3:8" x14ac:dyDescent="0.25">
      <c r="C955" s="210"/>
      <c r="D955" s="210"/>
      <c r="E955" s="210"/>
      <c r="F955" s="210"/>
      <c r="G955" s="210"/>
      <c r="H955" s="210"/>
    </row>
    <row r="956" spans="3:8" x14ac:dyDescent="0.25">
      <c r="C956" s="210"/>
      <c r="D956" s="210"/>
      <c r="E956" s="210"/>
      <c r="F956" s="210"/>
      <c r="G956" s="210"/>
      <c r="H956" s="210"/>
    </row>
    <row r="957" spans="3:8" x14ac:dyDescent="0.25">
      <c r="C957" s="210"/>
      <c r="D957" s="210"/>
      <c r="E957" s="210"/>
      <c r="F957" s="210"/>
      <c r="G957" s="210"/>
      <c r="H957" s="210"/>
    </row>
    <row r="958" spans="3:8" x14ac:dyDescent="0.25">
      <c r="C958" s="210"/>
      <c r="D958" s="210"/>
      <c r="E958" s="210"/>
      <c r="F958" s="210"/>
      <c r="G958" s="210"/>
      <c r="H958" s="210"/>
    </row>
    <row r="959" spans="3:8" x14ac:dyDescent="0.25">
      <c r="C959" s="210"/>
      <c r="D959" s="210"/>
      <c r="E959" s="210"/>
      <c r="F959" s="210"/>
      <c r="G959" s="210"/>
      <c r="H959" s="210"/>
    </row>
    <row r="960" spans="3:8" x14ac:dyDescent="0.25">
      <c r="C960" s="210"/>
      <c r="D960" s="210"/>
      <c r="E960" s="210"/>
      <c r="F960" s="210"/>
      <c r="G960" s="210"/>
      <c r="H960" s="210"/>
    </row>
    <row r="961" spans="3:8" x14ac:dyDescent="0.25">
      <c r="C961" s="210"/>
      <c r="D961" s="210"/>
      <c r="E961" s="210"/>
      <c r="F961" s="210"/>
      <c r="G961" s="210"/>
      <c r="H961" s="210"/>
    </row>
    <row r="962" spans="3:8" x14ac:dyDescent="0.25">
      <c r="C962" s="210"/>
      <c r="D962" s="210"/>
      <c r="E962" s="210"/>
      <c r="F962" s="210"/>
      <c r="G962" s="210"/>
      <c r="H962" s="210"/>
    </row>
    <row r="963" spans="3:8" x14ac:dyDescent="0.25">
      <c r="C963" s="210"/>
      <c r="D963" s="210"/>
      <c r="E963" s="210"/>
      <c r="F963" s="210"/>
      <c r="G963" s="210"/>
      <c r="H963" s="210"/>
    </row>
    <row r="964" spans="3:8" x14ac:dyDescent="0.25">
      <c r="C964" s="210"/>
      <c r="D964" s="210"/>
      <c r="E964" s="210"/>
      <c r="F964" s="210"/>
      <c r="G964" s="210"/>
      <c r="H964" s="210"/>
    </row>
    <row r="965" spans="3:8" x14ac:dyDescent="0.25">
      <c r="C965" s="210"/>
      <c r="D965" s="210"/>
      <c r="E965" s="210"/>
      <c r="F965" s="210"/>
      <c r="G965" s="210"/>
      <c r="H965" s="210"/>
    </row>
    <row r="966" spans="3:8" x14ac:dyDescent="0.25">
      <c r="C966" s="210"/>
      <c r="D966" s="210"/>
      <c r="E966" s="210"/>
      <c r="F966" s="210"/>
      <c r="G966" s="210"/>
      <c r="H966" s="210"/>
    </row>
    <row r="967" spans="3:8" x14ac:dyDescent="0.25">
      <c r="C967" s="210"/>
      <c r="D967" s="210"/>
      <c r="E967" s="210"/>
      <c r="F967" s="210"/>
      <c r="G967" s="210"/>
      <c r="H967" s="210"/>
    </row>
    <row r="968" spans="3:8" x14ac:dyDescent="0.25">
      <c r="C968" s="210"/>
      <c r="D968" s="210"/>
      <c r="E968" s="210"/>
      <c r="F968" s="210"/>
      <c r="G968" s="210"/>
      <c r="H968" s="210"/>
    </row>
    <row r="969" spans="3:8" x14ac:dyDescent="0.25">
      <c r="C969" s="210"/>
      <c r="D969" s="210"/>
      <c r="E969" s="210"/>
      <c r="F969" s="210"/>
      <c r="G969" s="210"/>
      <c r="H969" s="210"/>
    </row>
    <row r="970" spans="3:8" x14ac:dyDescent="0.25">
      <c r="C970" s="210"/>
      <c r="D970" s="210"/>
      <c r="E970" s="210"/>
      <c r="F970" s="210"/>
      <c r="G970" s="210"/>
      <c r="H970" s="210"/>
    </row>
    <row r="971" spans="3:8" x14ac:dyDescent="0.25">
      <c r="C971" s="210"/>
      <c r="D971" s="210"/>
      <c r="E971" s="210"/>
      <c r="F971" s="210"/>
      <c r="G971" s="210"/>
      <c r="H971" s="210"/>
    </row>
    <row r="972" spans="3:8" x14ac:dyDescent="0.25">
      <c r="C972" s="210"/>
      <c r="D972" s="210"/>
      <c r="E972" s="210"/>
      <c r="F972" s="210"/>
      <c r="G972" s="210"/>
      <c r="H972" s="210"/>
    </row>
    <row r="973" spans="3:8" x14ac:dyDescent="0.25">
      <c r="C973" s="210"/>
      <c r="D973" s="210"/>
      <c r="E973" s="210"/>
      <c r="F973" s="210"/>
      <c r="G973" s="210"/>
      <c r="H973" s="210"/>
    </row>
    <row r="974" spans="3:8" x14ac:dyDescent="0.25">
      <c r="C974" s="210"/>
      <c r="D974" s="210"/>
      <c r="E974" s="210"/>
      <c r="F974" s="210"/>
      <c r="G974" s="210"/>
      <c r="H974" s="210"/>
    </row>
    <row r="975" spans="3:8" x14ac:dyDescent="0.25">
      <c r="C975" s="210"/>
      <c r="D975" s="210"/>
      <c r="E975" s="210"/>
      <c r="F975" s="210"/>
      <c r="G975" s="210"/>
      <c r="H975" s="210"/>
    </row>
    <row r="976" spans="3:8" x14ac:dyDescent="0.25">
      <c r="C976" s="210"/>
      <c r="D976" s="210"/>
      <c r="E976" s="210"/>
      <c r="F976" s="210"/>
      <c r="G976" s="210"/>
      <c r="H976" s="210"/>
    </row>
    <row r="977" spans="3:8" x14ac:dyDescent="0.25">
      <c r="C977" s="210"/>
      <c r="D977" s="210"/>
      <c r="E977" s="210"/>
      <c r="F977" s="210"/>
      <c r="G977" s="210"/>
      <c r="H977" s="210"/>
    </row>
    <row r="978" spans="3:8" x14ac:dyDescent="0.25">
      <c r="C978" s="210"/>
      <c r="D978" s="210"/>
      <c r="E978" s="210"/>
      <c r="F978" s="210"/>
      <c r="G978" s="210"/>
      <c r="H978" s="210"/>
    </row>
    <row r="979" spans="3:8" x14ac:dyDescent="0.25">
      <c r="C979" s="210"/>
      <c r="D979" s="210"/>
      <c r="E979" s="210"/>
      <c r="F979" s="210"/>
      <c r="G979" s="210"/>
      <c r="H979" s="210"/>
    </row>
    <row r="980" spans="3:8" x14ac:dyDescent="0.25">
      <c r="C980" s="210"/>
      <c r="D980" s="210"/>
      <c r="E980" s="210"/>
      <c r="F980" s="210"/>
      <c r="G980" s="210"/>
      <c r="H980" s="210"/>
    </row>
    <row r="981" spans="3:8" x14ac:dyDescent="0.25">
      <c r="C981" s="210"/>
      <c r="D981" s="210"/>
      <c r="E981" s="210"/>
      <c r="F981" s="210"/>
      <c r="G981" s="210"/>
      <c r="H981" s="210"/>
    </row>
    <row r="982" spans="3:8" x14ac:dyDescent="0.25">
      <c r="C982" s="210"/>
      <c r="D982" s="210"/>
      <c r="E982" s="210"/>
      <c r="F982" s="210"/>
      <c r="G982" s="210"/>
      <c r="H982" s="210"/>
    </row>
    <row r="983" spans="3:8" x14ac:dyDescent="0.25">
      <c r="C983" s="210"/>
      <c r="D983" s="210"/>
      <c r="E983" s="210"/>
      <c r="F983" s="210"/>
      <c r="G983" s="210"/>
      <c r="H983" s="210"/>
    </row>
    <row r="984" spans="3:8" x14ac:dyDescent="0.25">
      <c r="C984" s="210"/>
      <c r="D984" s="210"/>
      <c r="E984" s="210"/>
      <c r="F984" s="210"/>
      <c r="G984" s="210"/>
      <c r="H984" s="210"/>
    </row>
    <row r="985" spans="3:8" x14ac:dyDescent="0.25">
      <c r="C985" s="210"/>
      <c r="D985" s="210"/>
      <c r="E985" s="210"/>
      <c r="F985" s="210"/>
      <c r="G985" s="210"/>
      <c r="H985" s="210"/>
    </row>
    <row r="986" spans="3:8" x14ac:dyDescent="0.25">
      <c r="C986" s="210"/>
      <c r="D986" s="210"/>
      <c r="E986" s="210"/>
      <c r="F986" s="210"/>
      <c r="G986" s="210"/>
      <c r="H986" s="210"/>
    </row>
    <row r="987" spans="3:8" x14ac:dyDescent="0.25">
      <c r="C987" s="210"/>
      <c r="D987" s="210"/>
      <c r="E987" s="210"/>
      <c r="F987" s="210"/>
      <c r="G987" s="210"/>
      <c r="H987" s="210"/>
    </row>
    <row r="988" spans="3:8" x14ac:dyDescent="0.25">
      <c r="C988" s="210"/>
      <c r="D988" s="210"/>
      <c r="E988" s="210"/>
      <c r="F988" s="210"/>
      <c r="G988" s="210"/>
      <c r="H988" s="210"/>
    </row>
    <row r="989" spans="3:8" x14ac:dyDescent="0.25">
      <c r="C989" s="210"/>
      <c r="D989" s="210"/>
      <c r="E989" s="210"/>
      <c r="F989" s="210"/>
      <c r="G989" s="210"/>
      <c r="H989" s="210"/>
    </row>
    <row r="990" spans="3:8" x14ac:dyDescent="0.25">
      <c r="C990" s="210"/>
      <c r="D990" s="210"/>
      <c r="E990" s="210"/>
      <c r="F990" s="210"/>
      <c r="G990" s="210"/>
      <c r="H990" s="210"/>
    </row>
    <row r="991" spans="3:8" x14ac:dyDescent="0.25">
      <c r="C991" s="210"/>
      <c r="D991" s="210"/>
      <c r="E991" s="210"/>
      <c r="F991" s="210"/>
      <c r="G991" s="210"/>
      <c r="H991" s="210"/>
    </row>
    <row r="992" spans="3:8" x14ac:dyDescent="0.25">
      <c r="C992" s="210"/>
      <c r="D992" s="210"/>
      <c r="E992" s="210"/>
      <c r="F992" s="210"/>
      <c r="G992" s="210"/>
      <c r="H992" s="210"/>
    </row>
    <row r="993" spans="3:8" x14ac:dyDescent="0.25">
      <c r="C993" s="210"/>
      <c r="D993" s="210"/>
      <c r="E993" s="210"/>
      <c r="F993" s="210"/>
      <c r="G993" s="210"/>
      <c r="H993" s="210"/>
    </row>
    <row r="994" spans="3:8" x14ac:dyDescent="0.25">
      <c r="C994" s="210"/>
      <c r="D994" s="210"/>
      <c r="E994" s="210"/>
      <c r="F994" s="210"/>
      <c r="G994" s="210"/>
      <c r="H994" s="210"/>
    </row>
    <row r="995" spans="3:8" x14ac:dyDescent="0.25">
      <c r="C995" s="210"/>
      <c r="D995" s="210"/>
      <c r="E995" s="210"/>
      <c r="F995" s="210"/>
      <c r="G995" s="210"/>
      <c r="H995" s="210"/>
    </row>
    <row r="996" spans="3:8" x14ac:dyDescent="0.25">
      <c r="C996" s="210"/>
      <c r="D996" s="210"/>
      <c r="E996" s="210"/>
      <c r="F996" s="210"/>
      <c r="G996" s="210"/>
      <c r="H996" s="210"/>
    </row>
    <row r="997" spans="3:8" x14ac:dyDescent="0.25">
      <c r="C997" s="210"/>
      <c r="D997" s="210"/>
      <c r="E997" s="210"/>
      <c r="F997" s="210"/>
      <c r="G997" s="210"/>
      <c r="H997" s="210"/>
    </row>
    <row r="998" spans="3:8" x14ac:dyDescent="0.25">
      <c r="C998" s="210"/>
      <c r="D998" s="210"/>
      <c r="E998" s="210"/>
      <c r="F998" s="210"/>
      <c r="G998" s="210"/>
      <c r="H998" s="210"/>
    </row>
    <row r="999" spans="3:8" x14ac:dyDescent="0.25">
      <c r="C999" s="210"/>
      <c r="D999" s="210"/>
      <c r="E999" s="210"/>
      <c r="F999" s="210"/>
      <c r="G999" s="210"/>
      <c r="H999" s="210"/>
    </row>
    <row r="1000" spans="3:8" x14ac:dyDescent="0.25">
      <c r="C1000" s="210"/>
      <c r="D1000" s="210"/>
      <c r="E1000" s="210"/>
      <c r="F1000" s="210"/>
      <c r="G1000" s="210"/>
      <c r="H1000" s="210"/>
    </row>
    <row r="1001" spans="3:8" x14ac:dyDescent="0.25">
      <c r="C1001" s="210"/>
      <c r="D1001" s="210"/>
      <c r="E1001" s="210"/>
      <c r="F1001" s="210"/>
      <c r="G1001" s="210"/>
      <c r="H1001" s="210"/>
    </row>
    <row r="1002" spans="3:8" x14ac:dyDescent="0.25">
      <c r="C1002" s="210"/>
      <c r="D1002" s="210"/>
      <c r="E1002" s="210"/>
      <c r="F1002" s="210"/>
      <c r="G1002" s="210"/>
      <c r="H1002" s="210"/>
    </row>
    <row r="1003" spans="3:8" x14ac:dyDescent="0.25">
      <c r="C1003" s="210"/>
      <c r="D1003" s="210"/>
      <c r="E1003" s="210"/>
      <c r="F1003" s="210"/>
      <c r="G1003" s="210"/>
      <c r="H1003" s="210"/>
    </row>
    <row r="1004" spans="3:8" x14ac:dyDescent="0.25">
      <c r="C1004" s="210"/>
      <c r="D1004" s="210"/>
      <c r="E1004" s="210"/>
      <c r="F1004" s="210"/>
      <c r="G1004" s="210"/>
      <c r="H1004" s="210"/>
    </row>
    <row r="1005" spans="3:8" x14ac:dyDescent="0.25">
      <c r="C1005" s="210"/>
      <c r="D1005" s="210"/>
      <c r="E1005" s="210"/>
      <c r="F1005" s="210"/>
      <c r="G1005" s="210"/>
      <c r="H1005" s="210"/>
    </row>
    <row r="1006" spans="3:8" x14ac:dyDescent="0.25">
      <c r="C1006" s="210"/>
      <c r="D1006" s="210"/>
      <c r="E1006" s="210"/>
      <c r="F1006" s="210"/>
      <c r="G1006" s="210"/>
      <c r="H1006" s="210"/>
    </row>
    <row r="1007" spans="3:8" x14ac:dyDescent="0.25">
      <c r="C1007" s="210"/>
      <c r="D1007" s="210"/>
      <c r="E1007" s="210"/>
      <c r="F1007" s="210"/>
      <c r="G1007" s="210"/>
      <c r="H1007" s="210"/>
    </row>
    <row r="1008" spans="3:8" x14ac:dyDescent="0.25">
      <c r="C1008" s="210"/>
      <c r="D1008" s="210"/>
      <c r="E1008" s="210"/>
      <c r="F1008" s="210"/>
      <c r="G1008" s="210"/>
      <c r="H1008" s="210"/>
    </row>
    <row r="1009" spans="3:8" x14ac:dyDescent="0.25">
      <c r="C1009" s="210"/>
      <c r="D1009" s="210"/>
      <c r="E1009" s="210"/>
      <c r="F1009" s="210"/>
      <c r="G1009" s="210"/>
      <c r="H1009" s="210"/>
    </row>
    <row r="1010" spans="3:8" x14ac:dyDescent="0.25">
      <c r="C1010" s="210"/>
      <c r="D1010" s="210"/>
      <c r="E1010" s="210"/>
      <c r="F1010" s="210"/>
      <c r="G1010" s="210"/>
      <c r="H1010" s="210"/>
    </row>
    <row r="1011" spans="3:8" x14ac:dyDescent="0.25">
      <c r="C1011" s="210"/>
      <c r="D1011" s="210"/>
      <c r="E1011" s="210"/>
      <c r="F1011" s="210"/>
      <c r="G1011" s="210"/>
      <c r="H1011" s="210"/>
    </row>
    <row r="1012" spans="3:8" x14ac:dyDescent="0.25">
      <c r="C1012" s="210"/>
      <c r="D1012" s="210"/>
      <c r="E1012" s="210"/>
      <c r="F1012" s="210"/>
      <c r="G1012" s="210"/>
      <c r="H1012" s="210"/>
    </row>
    <row r="1013" spans="3:8" x14ac:dyDescent="0.25">
      <c r="C1013" s="210"/>
      <c r="D1013" s="210"/>
      <c r="E1013" s="210"/>
      <c r="F1013" s="210"/>
      <c r="G1013" s="210"/>
      <c r="H1013" s="210"/>
    </row>
    <row r="1014" spans="3:8" x14ac:dyDescent="0.25">
      <c r="C1014" s="210"/>
      <c r="D1014" s="210"/>
      <c r="E1014" s="210"/>
      <c r="F1014" s="210"/>
      <c r="G1014" s="210"/>
      <c r="H1014" s="210"/>
    </row>
    <row r="1015" spans="3:8" x14ac:dyDescent="0.25">
      <c r="C1015" s="210"/>
      <c r="D1015" s="210"/>
      <c r="E1015" s="210"/>
      <c r="F1015" s="210"/>
      <c r="G1015" s="210"/>
      <c r="H1015" s="210"/>
    </row>
    <row r="1016" spans="3:8" x14ac:dyDescent="0.25">
      <c r="C1016" s="210"/>
      <c r="D1016" s="210"/>
      <c r="E1016" s="210"/>
      <c r="F1016" s="210"/>
      <c r="G1016" s="210"/>
      <c r="H1016" s="210"/>
    </row>
    <row r="1017" spans="3:8" x14ac:dyDescent="0.25">
      <c r="C1017" s="210"/>
      <c r="D1017" s="210"/>
      <c r="E1017" s="210"/>
      <c r="F1017" s="210"/>
      <c r="G1017" s="210"/>
      <c r="H1017" s="210"/>
    </row>
    <row r="1018" spans="3:8" x14ac:dyDescent="0.25">
      <c r="C1018" s="210"/>
      <c r="D1018" s="210"/>
      <c r="E1018" s="210"/>
      <c r="F1018" s="210"/>
      <c r="G1018" s="210"/>
      <c r="H1018" s="210"/>
    </row>
    <row r="1019" spans="3:8" x14ac:dyDescent="0.25">
      <c r="C1019" s="210"/>
      <c r="D1019" s="210"/>
      <c r="E1019" s="210"/>
      <c r="F1019" s="210"/>
      <c r="G1019" s="210"/>
      <c r="H1019" s="210"/>
    </row>
    <row r="1020" spans="3:8" x14ac:dyDescent="0.25">
      <c r="C1020" s="210"/>
      <c r="D1020" s="210"/>
      <c r="E1020" s="210"/>
      <c r="F1020" s="210"/>
      <c r="G1020" s="210"/>
      <c r="H1020" s="210"/>
    </row>
    <row r="1021" spans="3:8" x14ac:dyDescent="0.25">
      <c r="C1021" s="210"/>
      <c r="D1021" s="210"/>
      <c r="E1021" s="210"/>
      <c r="F1021" s="210"/>
      <c r="G1021" s="210"/>
      <c r="H1021" s="210"/>
    </row>
    <row r="1022" spans="3:8" x14ac:dyDescent="0.25">
      <c r="C1022" s="210"/>
      <c r="D1022" s="210"/>
      <c r="E1022" s="210"/>
      <c r="F1022" s="210"/>
      <c r="G1022" s="210"/>
      <c r="H1022" s="210"/>
    </row>
    <row r="1023" spans="3:8" x14ac:dyDescent="0.25">
      <c r="C1023" s="210"/>
      <c r="D1023" s="210"/>
      <c r="E1023" s="210"/>
      <c r="F1023" s="210"/>
      <c r="G1023" s="210"/>
      <c r="H1023" s="210"/>
    </row>
    <row r="1024" spans="3:8" x14ac:dyDescent="0.25">
      <c r="C1024" s="210"/>
      <c r="D1024" s="210"/>
      <c r="E1024" s="210"/>
      <c r="F1024" s="210"/>
      <c r="G1024" s="210"/>
      <c r="H1024" s="210"/>
    </row>
    <row r="1025" spans="3:8" x14ac:dyDescent="0.25">
      <c r="C1025" s="210"/>
      <c r="D1025" s="210"/>
      <c r="E1025" s="210"/>
      <c r="F1025" s="210"/>
      <c r="G1025" s="210"/>
      <c r="H1025" s="210"/>
    </row>
    <row r="1026" spans="3:8" x14ac:dyDescent="0.25">
      <c r="C1026" s="210"/>
      <c r="D1026" s="210"/>
      <c r="E1026" s="210"/>
      <c r="F1026" s="210"/>
      <c r="G1026" s="210"/>
      <c r="H1026" s="210"/>
    </row>
    <row r="1027" spans="3:8" x14ac:dyDescent="0.25">
      <c r="C1027" s="210"/>
      <c r="D1027" s="210"/>
      <c r="E1027" s="210"/>
      <c r="F1027" s="210"/>
      <c r="G1027" s="210"/>
      <c r="H1027" s="210"/>
    </row>
    <row r="1028" spans="3:8" x14ac:dyDescent="0.25">
      <c r="C1028" s="210"/>
      <c r="D1028" s="210"/>
      <c r="E1028" s="210"/>
      <c r="F1028" s="210"/>
      <c r="G1028" s="210"/>
      <c r="H1028" s="210"/>
    </row>
    <row r="1029" spans="3:8" x14ac:dyDescent="0.25">
      <c r="C1029" s="210"/>
      <c r="D1029" s="210"/>
      <c r="E1029" s="210"/>
      <c r="F1029" s="210"/>
      <c r="G1029" s="210"/>
      <c r="H1029" s="210"/>
    </row>
    <row r="1030" spans="3:8" x14ac:dyDescent="0.25">
      <c r="C1030" s="210"/>
      <c r="D1030" s="210"/>
      <c r="E1030" s="210"/>
      <c r="F1030" s="210"/>
      <c r="G1030" s="210"/>
      <c r="H1030" s="210"/>
    </row>
    <row r="1031" spans="3:8" x14ac:dyDescent="0.25">
      <c r="C1031" s="210"/>
      <c r="D1031" s="210"/>
      <c r="E1031" s="210"/>
      <c r="F1031" s="210"/>
      <c r="G1031" s="210"/>
      <c r="H1031" s="210"/>
    </row>
    <row r="1032" spans="3:8" x14ac:dyDescent="0.25">
      <c r="C1032" s="210"/>
      <c r="D1032" s="210"/>
      <c r="E1032" s="210"/>
      <c r="F1032" s="210"/>
      <c r="G1032" s="210"/>
      <c r="H1032" s="210"/>
    </row>
    <row r="1033" spans="3:8" x14ac:dyDescent="0.25">
      <c r="C1033" s="210"/>
      <c r="D1033" s="210"/>
      <c r="E1033" s="210"/>
      <c r="F1033" s="210"/>
      <c r="G1033" s="210"/>
      <c r="H1033" s="210"/>
    </row>
    <row r="1034" spans="3:8" x14ac:dyDescent="0.25">
      <c r="C1034" s="210"/>
      <c r="D1034" s="210"/>
      <c r="E1034" s="210"/>
      <c r="F1034" s="210"/>
      <c r="G1034" s="210"/>
      <c r="H1034" s="210"/>
    </row>
    <row r="1035" spans="3:8" x14ac:dyDescent="0.25">
      <c r="C1035" s="210"/>
      <c r="D1035" s="210"/>
      <c r="E1035" s="210"/>
      <c r="F1035" s="210"/>
      <c r="G1035" s="210"/>
      <c r="H1035" s="210"/>
    </row>
    <row r="1036" spans="3:8" x14ac:dyDescent="0.25">
      <c r="C1036" s="210"/>
      <c r="D1036" s="210"/>
      <c r="E1036" s="210"/>
      <c r="F1036" s="210"/>
      <c r="G1036" s="210"/>
      <c r="H1036" s="210"/>
    </row>
    <row r="1037" spans="3:8" x14ac:dyDescent="0.25">
      <c r="C1037" s="210"/>
      <c r="D1037" s="210"/>
      <c r="E1037" s="210"/>
      <c r="F1037" s="210"/>
      <c r="G1037" s="210"/>
      <c r="H1037" s="210"/>
    </row>
    <row r="1038" spans="3:8" x14ac:dyDescent="0.25">
      <c r="C1038" s="210"/>
      <c r="D1038" s="210"/>
      <c r="E1038" s="210"/>
      <c r="F1038" s="210"/>
      <c r="G1038" s="210"/>
      <c r="H1038" s="210"/>
    </row>
    <row r="1039" spans="3:8" x14ac:dyDescent="0.25">
      <c r="C1039" s="210"/>
      <c r="D1039" s="210"/>
      <c r="E1039" s="210"/>
      <c r="F1039" s="210"/>
      <c r="G1039" s="210"/>
      <c r="H1039" s="210"/>
    </row>
    <row r="1040" spans="3:8" x14ac:dyDescent="0.25">
      <c r="C1040" s="210"/>
      <c r="D1040" s="210"/>
      <c r="E1040" s="210"/>
      <c r="F1040" s="210"/>
      <c r="G1040" s="210"/>
      <c r="H1040" s="210"/>
    </row>
    <row r="1041" spans="3:8" x14ac:dyDescent="0.25">
      <c r="C1041" s="210"/>
      <c r="D1041" s="210"/>
      <c r="E1041" s="210"/>
      <c r="F1041" s="210"/>
      <c r="G1041" s="210"/>
      <c r="H1041" s="210"/>
    </row>
    <row r="1042" spans="3:8" x14ac:dyDescent="0.25">
      <c r="C1042" s="210"/>
      <c r="D1042" s="210"/>
      <c r="E1042" s="210"/>
      <c r="F1042" s="210"/>
      <c r="G1042" s="210"/>
      <c r="H1042" s="210"/>
    </row>
    <row r="1043" spans="3:8" x14ac:dyDescent="0.25">
      <c r="C1043" s="210"/>
      <c r="D1043" s="210"/>
      <c r="E1043" s="210"/>
      <c r="F1043" s="210"/>
      <c r="G1043" s="210"/>
      <c r="H1043" s="210"/>
    </row>
    <row r="1044" spans="3:8" x14ac:dyDescent="0.25">
      <c r="C1044" s="210"/>
      <c r="D1044" s="210"/>
      <c r="E1044" s="210"/>
      <c r="F1044" s="210"/>
      <c r="G1044" s="210"/>
      <c r="H1044" s="210"/>
    </row>
    <row r="1045" spans="3:8" x14ac:dyDescent="0.25">
      <c r="C1045" s="210"/>
      <c r="D1045" s="210"/>
      <c r="E1045" s="210"/>
      <c r="F1045" s="210"/>
      <c r="G1045" s="210"/>
      <c r="H1045" s="210"/>
    </row>
    <row r="1046" spans="3:8" x14ac:dyDescent="0.25">
      <c r="C1046" s="210"/>
      <c r="D1046" s="210"/>
      <c r="E1046" s="210"/>
      <c r="F1046" s="210"/>
      <c r="G1046" s="210"/>
      <c r="H1046" s="210"/>
    </row>
    <row r="1047" spans="3:8" x14ac:dyDescent="0.25">
      <c r="C1047" s="210"/>
      <c r="D1047" s="210"/>
      <c r="E1047" s="210"/>
      <c r="F1047" s="210"/>
      <c r="G1047" s="210"/>
      <c r="H1047" s="210"/>
    </row>
    <row r="1048" spans="3:8" x14ac:dyDescent="0.25">
      <c r="C1048" s="210"/>
      <c r="D1048" s="210"/>
      <c r="E1048" s="210"/>
      <c r="F1048" s="210"/>
      <c r="G1048" s="210"/>
      <c r="H1048" s="210"/>
    </row>
    <row r="1049" spans="3:8" x14ac:dyDescent="0.25">
      <c r="C1049" s="210"/>
      <c r="D1049" s="210"/>
      <c r="E1049" s="210"/>
      <c r="F1049" s="210"/>
      <c r="G1049" s="210"/>
      <c r="H1049" s="210"/>
    </row>
    <row r="1050" spans="3:8" x14ac:dyDescent="0.25">
      <c r="C1050" s="210"/>
      <c r="D1050" s="210"/>
      <c r="E1050" s="210"/>
      <c r="F1050" s="210"/>
      <c r="G1050" s="210"/>
      <c r="H1050" s="210"/>
    </row>
    <row r="1051" spans="3:8" x14ac:dyDescent="0.25">
      <c r="C1051" s="210"/>
      <c r="D1051" s="210"/>
      <c r="E1051" s="210"/>
      <c r="F1051" s="210"/>
      <c r="G1051" s="210"/>
      <c r="H1051" s="210"/>
    </row>
    <row r="1052" spans="3:8" x14ac:dyDescent="0.25">
      <c r="C1052" s="210"/>
      <c r="D1052" s="210"/>
      <c r="E1052" s="210"/>
      <c r="F1052" s="210"/>
      <c r="G1052" s="210"/>
      <c r="H1052" s="210"/>
    </row>
    <row r="1053" spans="3:8" x14ac:dyDescent="0.25">
      <c r="C1053" s="210"/>
      <c r="D1053" s="210"/>
      <c r="E1053" s="210"/>
      <c r="F1053" s="210"/>
      <c r="G1053" s="210"/>
      <c r="H1053" s="210"/>
    </row>
    <row r="1054" spans="3:8" x14ac:dyDescent="0.25">
      <c r="C1054" s="210"/>
      <c r="D1054" s="210"/>
      <c r="E1054" s="210"/>
      <c r="F1054" s="210"/>
      <c r="G1054" s="210"/>
      <c r="H1054" s="210"/>
    </row>
    <row r="1055" spans="3:8" x14ac:dyDescent="0.25">
      <c r="C1055" s="210"/>
      <c r="D1055" s="210"/>
      <c r="E1055" s="210"/>
      <c r="F1055" s="210"/>
      <c r="G1055" s="210"/>
      <c r="H1055" s="210"/>
    </row>
    <row r="1056" spans="3:8" x14ac:dyDescent="0.25">
      <c r="C1056" s="210"/>
      <c r="D1056" s="210"/>
      <c r="E1056" s="210"/>
      <c r="F1056" s="210"/>
      <c r="G1056" s="210"/>
      <c r="H1056" s="210"/>
    </row>
    <row r="1057" spans="3:8" x14ac:dyDescent="0.25">
      <c r="C1057" s="210"/>
      <c r="D1057" s="210"/>
      <c r="E1057" s="210"/>
      <c r="F1057" s="210"/>
      <c r="G1057" s="210"/>
      <c r="H1057" s="210"/>
    </row>
    <row r="1058" spans="3:8" x14ac:dyDescent="0.25">
      <c r="C1058" s="210"/>
      <c r="D1058" s="210"/>
      <c r="E1058" s="210"/>
      <c r="F1058" s="210"/>
      <c r="G1058" s="210"/>
      <c r="H1058" s="210"/>
    </row>
    <row r="1059" spans="3:8" x14ac:dyDescent="0.25">
      <c r="C1059" s="210"/>
      <c r="D1059" s="210"/>
      <c r="E1059" s="210"/>
      <c r="F1059" s="210"/>
      <c r="G1059" s="210"/>
      <c r="H1059" s="210"/>
    </row>
    <row r="1060" spans="3:8" x14ac:dyDescent="0.25">
      <c r="C1060" s="210"/>
      <c r="D1060" s="210"/>
      <c r="E1060" s="210"/>
      <c r="F1060" s="210"/>
      <c r="G1060" s="210"/>
      <c r="H1060" s="210"/>
    </row>
    <row r="1061" spans="3:8" x14ac:dyDescent="0.25">
      <c r="C1061" s="210"/>
      <c r="D1061" s="210"/>
      <c r="E1061" s="210"/>
      <c r="F1061" s="210"/>
      <c r="G1061" s="210"/>
      <c r="H1061" s="210"/>
    </row>
    <row r="1062" spans="3:8" x14ac:dyDescent="0.25">
      <c r="C1062" s="210"/>
      <c r="D1062" s="210"/>
      <c r="E1062" s="210"/>
      <c r="F1062" s="210"/>
      <c r="G1062" s="210"/>
      <c r="H1062" s="210"/>
    </row>
    <row r="1063" spans="3:8" x14ac:dyDescent="0.25">
      <c r="C1063" s="210"/>
      <c r="D1063" s="210"/>
      <c r="E1063" s="210"/>
      <c r="F1063" s="210"/>
      <c r="G1063" s="210"/>
      <c r="H1063" s="210"/>
    </row>
    <row r="1064" spans="3:8" x14ac:dyDescent="0.25">
      <c r="C1064" s="210"/>
      <c r="D1064" s="210"/>
      <c r="E1064" s="210"/>
      <c r="F1064" s="210"/>
      <c r="G1064" s="210"/>
      <c r="H1064" s="210"/>
    </row>
    <row r="1065" spans="3:8" x14ac:dyDescent="0.25">
      <c r="C1065" s="210"/>
      <c r="D1065" s="210"/>
      <c r="E1065" s="210"/>
      <c r="F1065" s="210"/>
      <c r="G1065" s="210"/>
      <c r="H1065" s="210"/>
    </row>
    <row r="1066" spans="3:8" x14ac:dyDescent="0.25">
      <c r="C1066" s="210"/>
      <c r="D1066" s="210"/>
      <c r="E1066" s="210"/>
      <c r="F1066" s="210"/>
      <c r="G1066" s="210"/>
      <c r="H1066" s="210"/>
    </row>
    <row r="1067" spans="3:8" x14ac:dyDescent="0.25">
      <c r="C1067" s="210"/>
      <c r="D1067" s="210"/>
      <c r="E1067" s="210"/>
      <c r="F1067" s="210"/>
      <c r="G1067" s="210"/>
      <c r="H1067" s="210"/>
    </row>
    <row r="1068" spans="3:8" x14ac:dyDescent="0.25">
      <c r="C1068" s="210"/>
      <c r="D1068" s="210"/>
      <c r="E1068" s="210"/>
      <c r="F1068" s="210"/>
      <c r="G1068" s="210"/>
      <c r="H1068" s="210"/>
    </row>
    <row r="1069" spans="3:8" x14ac:dyDescent="0.25">
      <c r="C1069" s="210"/>
      <c r="D1069" s="210"/>
      <c r="E1069" s="210"/>
      <c r="F1069" s="210"/>
      <c r="G1069" s="210"/>
      <c r="H1069" s="210"/>
    </row>
    <row r="1070" spans="3:8" x14ac:dyDescent="0.25">
      <c r="C1070" s="210"/>
      <c r="D1070" s="210"/>
      <c r="E1070" s="210"/>
      <c r="F1070" s="210"/>
      <c r="G1070" s="210"/>
      <c r="H1070" s="210"/>
    </row>
    <row r="1071" spans="3:8" x14ac:dyDescent="0.25">
      <c r="C1071" s="210"/>
      <c r="D1071" s="210"/>
      <c r="E1071" s="210"/>
      <c r="F1071" s="210"/>
      <c r="G1071" s="210"/>
      <c r="H1071" s="210"/>
    </row>
    <row r="1072" spans="3:8" x14ac:dyDescent="0.25">
      <c r="C1072" s="210"/>
      <c r="D1072" s="210"/>
      <c r="E1072" s="210"/>
      <c r="F1072" s="210"/>
      <c r="G1072" s="210"/>
      <c r="H1072" s="210"/>
    </row>
    <row r="1073" spans="3:8" x14ac:dyDescent="0.25">
      <c r="C1073" s="210"/>
      <c r="D1073" s="210"/>
      <c r="E1073" s="210"/>
      <c r="F1073" s="210"/>
      <c r="G1073" s="210"/>
      <c r="H1073" s="210"/>
    </row>
    <row r="1074" spans="3:8" x14ac:dyDescent="0.25">
      <c r="C1074" s="210"/>
      <c r="D1074" s="210"/>
      <c r="E1074" s="210"/>
      <c r="F1074" s="210"/>
      <c r="G1074" s="210"/>
      <c r="H1074" s="210"/>
    </row>
    <row r="1075" spans="3:8" x14ac:dyDescent="0.25">
      <c r="C1075" s="210"/>
      <c r="D1075" s="210"/>
      <c r="E1075" s="210"/>
      <c r="F1075" s="210"/>
      <c r="G1075" s="210"/>
      <c r="H1075" s="210"/>
    </row>
    <row r="1076" spans="3:8" x14ac:dyDescent="0.25">
      <c r="C1076" s="210"/>
      <c r="D1076" s="210"/>
      <c r="E1076" s="210"/>
      <c r="F1076" s="210"/>
      <c r="G1076" s="210"/>
      <c r="H1076" s="210"/>
    </row>
    <row r="1077" spans="3:8" x14ac:dyDescent="0.25">
      <c r="C1077" s="210"/>
      <c r="D1077" s="210"/>
      <c r="E1077" s="210"/>
      <c r="F1077" s="210"/>
      <c r="G1077" s="210"/>
      <c r="H1077" s="210"/>
    </row>
    <row r="1078" spans="3:8" x14ac:dyDescent="0.25">
      <c r="C1078" s="210"/>
      <c r="D1078" s="210"/>
      <c r="E1078" s="210"/>
      <c r="F1078" s="210"/>
      <c r="G1078" s="210"/>
      <c r="H1078" s="210"/>
    </row>
    <row r="1079" spans="3:8" x14ac:dyDescent="0.25">
      <c r="C1079" s="210"/>
      <c r="D1079" s="210"/>
      <c r="E1079" s="210"/>
      <c r="F1079" s="210"/>
      <c r="G1079" s="210"/>
      <c r="H1079" s="210"/>
    </row>
    <row r="1080" spans="3:8" x14ac:dyDescent="0.25">
      <c r="C1080" s="210"/>
      <c r="D1080" s="210"/>
      <c r="E1080" s="210"/>
      <c r="F1080" s="210"/>
      <c r="G1080" s="210"/>
      <c r="H1080" s="210"/>
    </row>
    <row r="1081" spans="3:8" x14ac:dyDescent="0.25">
      <c r="C1081" s="210"/>
      <c r="D1081" s="210"/>
      <c r="E1081" s="210"/>
      <c r="F1081" s="210"/>
      <c r="G1081" s="210"/>
      <c r="H1081" s="210"/>
    </row>
    <row r="1082" spans="3:8" x14ac:dyDescent="0.25">
      <c r="C1082" s="210"/>
      <c r="D1082" s="210"/>
      <c r="E1082" s="210"/>
      <c r="F1082" s="210"/>
      <c r="G1082" s="210"/>
      <c r="H1082" s="210"/>
    </row>
    <row r="1083" spans="3:8" x14ac:dyDescent="0.25">
      <c r="C1083" s="210"/>
      <c r="D1083" s="210"/>
      <c r="E1083" s="210"/>
      <c r="F1083" s="210"/>
      <c r="G1083" s="210"/>
      <c r="H1083" s="210"/>
    </row>
    <row r="1084" spans="3:8" x14ac:dyDescent="0.25">
      <c r="C1084" s="210"/>
      <c r="D1084" s="210"/>
      <c r="E1084" s="210"/>
      <c r="F1084" s="210"/>
      <c r="G1084" s="210"/>
      <c r="H1084" s="210"/>
    </row>
    <row r="1085" spans="3:8" x14ac:dyDescent="0.25">
      <c r="C1085" s="210"/>
      <c r="D1085" s="210"/>
      <c r="E1085" s="210"/>
      <c r="F1085" s="210"/>
      <c r="G1085" s="210"/>
      <c r="H1085" s="210"/>
    </row>
    <row r="1086" spans="3:8" x14ac:dyDescent="0.25">
      <c r="C1086" s="210"/>
      <c r="D1086" s="210"/>
      <c r="E1086" s="210"/>
      <c r="F1086" s="210"/>
      <c r="G1086" s="210"/>
      <c r="H1086" s="210"/>
    </row>
    <row r="1087" spans="3:8" x14ac:dyDescent="0.25">
      <c r="C1087" s="210"/>
      <c r="D1087" s="210"/>
      <c r="E1087" s="210"/>
      <c r="F1087" s="210"/>
      <c r="G1087" s="210"/>
      <c r="H1087" s="210"/>
    </row>
    <row r="1088" spans="3:8" x14ac:dyDescent="0.25">
      <c r="C1088" s="210"/>
      <c r="D1088" s="210"/>
      <c r="E1088" s="210"/>
      <c r="F1088" s="210"/>
      <c r="G1088" s="210"/>
      <c r="H1088" s="210"/>
    </row>
    <row r="1089" spans="3:8" x14ac:dyDescent="0.25">
      <c r="C1089" s="210"/>
      <c r="D1089" s="210"/>
      <c r="E1089" s="210"/>
      <c r="F1089" s="210"/>
      <c r="G1089" s="210"/>
      <c r="H1089" s="210"/>
    </row>
    <row r="1090" spans="3:8" x14ac:dyDescent="0.25">
      <c r="C1090" s="210"/>
      <c r="D1090" s="210"/>
      <c r="E1090" s="210"/>
      <c r="F1090" s="210"/>
      <c r="G1090" s="210"/>
      <c r="H1090" s="210"/>
    </row>
    <row r="1091" spans="3:8" x14ac:dyDescent="0.25">
      <c r="C1091" s="210"/>
      <c r="D1091" s="210"/>
      <c r="E1091" s="210"/>
      <c r="F1091" s="210"/>
      <c r="G1091" s="210"/>
      <c r="H1091" s="210"/>
    </row>
    <row r="1092" spans="3:8" x14ac:dyDescent="0.25">
      <c r="C1092" s="210"/>
      <c r="D1092" s="210"/>
      <c r="E1092" s="210"/>
      <c r="F1092" s="210"/>
      <c r="G1092" s="210"/>
      <c r="H1092" s="210"/>
    </row>
    <row r="1093" spans="3:8" x14ac:dyDescent="0.25">
      <c r="C1093" s="210"/>
      <c r="D1093" s="210"/>
      <c r="E1093" s="210"/>
      <c r="F1093" s="210"/>
      <c r="G1093" s="210"/>
      <c r="H1093" s="210"/>
    </row>
    <row r="1094" spans="3:8" x14ac:dyDescent="0.25">
      <c r="C1094" s="210"/>
      <c r="D1094" s="210"/>
      <c r="E1094" s="210"/>
      <c r="F1094" s="210"/>
      <c r="G1094" s="210"/>
      <c r="H1094" s="210"/>
    </row>
    <row r="1095" spans="3:8" x14ac:dyDescent="0.25">
      <c r="C1095" s="210"/>
      <c r="D1095" s="210"/>
      <c r="E1095" s="210"/>
      <c r="F1095" s="210"/>
      <c r="G1095" s="210"/>
      <c r="H1095" s="210"/>
    </row>
    <row r="1096" spans="3:8" x14ac:dyDescent="0.25">
      <c r="C1096" s="210"/>
      <c r="D1096" s="210"/>
      <c r="E1096" s="210"/>
      <c r="F1096" s="210"/>
      <c r="G1096" s="210"/>
      <c r="H1096" s="210"/>
    </row>
    <row r="1097" spans="3:8" x14ac:dyDescent="0.25">
      <c r="C1097" s="210"/>
      <c r="D1097" s="210"/>
      <c r="E1097" s="210"/>
      <c r="F1097" s="210"/>
      <c r="G1097" s="210"/>
      <c r="H1097" s="210"/>
    </row>
    <row r="1098" spans="3:8" x14ac:dyDescent="0.25">
      <c r="C1098" s="210"/>
      <c r="D1098" s="210"/>
      <c r="E1098" s="210"/>
      <c r="F1098" s="210"/>
      <c r="G1098" s="210"/>
      <c r="H1098" s="210"/>
    </row>
    <row r="1099" spans="3:8" x14ac:dyDescent="0.25">
      <c r="C1099" s="210"/>
      <c r="D1099" s="210"/>
      <c r="E1099" s="210"/>
      <c r="F1099" s="210"/>
      <c r="G1099" s="210"/>
      <c r="H1099" s="210"/>
    </row>
    <row r="1100" spans="3:8" x14ac:dyDescent="0.25">
      <c r="C1100" s="210"/>
      <c r="D1100" s="210"/>
      <c r="E1100" s="210"/>
      <c r="F1100" s="210"/>
      <c r="G1100" s="210"/>
      <c r="H1100" s="210"/>
    </row>
    <row r="1101" spans="3:8" x14ac:dyDescent="0.25">
      <c r="C1101" s="210"/>
      <c r="D1101" s="210"/>
      <c r="E1101" s="210"/>
      <c r="F1101" s="210"/>
      <c r="G1101" s="210"/>
      <c r="H1101" s="210"/>
    </row>
    <row r="1102" spans="3:8" x14ac:dyDescent="0.25">
      <c r="C1102" s="210"/>
      <c r="D1102" s="210"/>
      <c r="E1102" s="210"/>
      <c r="F1102" s="210"/>
      <c r="G1102" s="210"/>
      <c r="H1102" s="210"/>
    </row>
    <row r="1103" spans="3:8" x14ac:dyDescent="0.25">
      <c r="C1103" s="210"/>
      <c r="D1103" s="210"/>
      <c r="E1103" s="210"/>
      <c r="F1103" s="210"/>
      <c r="G1103" s="210"/>
      <c r="H1103" s="210"/>
    </row>
    <row r="1104" spans="3:8" x14ac:dyDescent="0.25">
      <c r="C1104" s="210"/>
      <c r="D1104" s="210"/>
      <c r="E1104" s="210"/>
      <c r="F1104" s="210"/>
      <c r="G1104" s="210"/>
      <c r="H1104" s="210"/>
    </row>
    <row r="1105" spans="3:8" x14ac:dyDescent="0.25">
      <c r="C1105" s="210"/>
      <c r="D1105" s="210"/>
      <c r="E1105" s="210"/>
      <c r="F1105" s="210"/>
      <c r="G1105" s="210"/>
      <c r="H1105" s="210"/>
    </row>
    <row r="1106" spans="3:8" x14ac:dyDescent="0.25">
      <c r="C1106" s="210"/>
      <c r="D1106" s="210"/>
      <c r="E1106" s="210"/>
      <c r="F1106" s="210"/>
      <c r="G1106" s="210"/>
      <c r="H1106" s="210"/>
    </row>
    <row r="1107" spans="3:8" x14ac:dyDescent="0.25">
      <c r="C1107" s="210"/>
      <c r="D1107" s="210"/>
      <c r="E1107" s="210"/>
      <c r="F1107" s="210"/>
      <c r="G1107" s="210"/>
      <c r="H1107" s="210"/>
    </row>
    <row r="1108" spans="3:8" x14ac:dyDescent="0.25">
      <c r="C1108" s="210"/>
      <c r="D1108" s="210"/>
      <c r="E1108" s="210"/>
      <c r="F1108" s="210"/>
      <c r="G1108" s="210"/>
      <c r="H1108" s="210"/>
    </row>
    <row r="1109" spans="3:8" x14ac:dyDescent="0.25">
      <c r="C1109" s="210"/>
      <c r="D1109" s="210"/>
      <c r="E1109" s="210"/>
      <c r="F1109" s="210"/>
      <c r="G1109" s="210"/>
      <c r="H1109" s="210"/>
    </row>
    <row r="1110" spans="3:8" x14ac:dyDescent="0.25">
      <c r="C1110" s="210"/>
      <c r="D1110" s="210"/>
      <c r="E1110" s="210"/>
      <c r="F1110" s="210"/>
      <c r="G1110" s="210"/>
      <c r="H1110" s="210"/>
    </row>
    <row r="1111" spans="3:8" x14ac:dyDescent="0.25">
      <c r="C1111" s="210"/>
      <c r="D1111" s="210"/>
      <c r="E1111" s="210"/>
      <c r="F1111" s="210"/>
      <c r="G1111" s="210"/>
      <c r="H1111" s="210"/>
    </row>
    <row r="1112" spans="3:8" x14ac:dyDescent="0.25">
      <c r="C1112" s="210"/>
      <c r="D1112" s="210"/>
      <c r="E1112" s="210"/>
      <c r="F1112" s="210"/>
      <c r="G1112" s="210"/>
      <c r="H1112" s="210"/>
    </row>
    <row r="1113" spans="3:8" x14ac:dyDescent="0.25">
      <c r="C1113" s="210"/>
      <c r="D1113" s="210"/>
      <c r="E1113" s="210"/>
      <c r="F1113" s="210"/>
      <c r="G1113" s="210"/>
      <c r="H1113" s="210"/>
    </row>
    <row r="1114" spans="3:8" x14ac:dyDescent="0.25">
      <c r="C1114" s="210"/>
      <c r="D1114" s="210"/>
      <c r="E1114" s="210"/>
      <c r="F1114" s="210"/>
      <c r="G1114" s="210"/>
      <c r="H1114" s="210"/>
    </row>
    <row r="1115" spans="3:8" x14ac:dyDescent="0.25">
      <c r="C1115" s="210"/>
      <c r="D1115" s="210"/>
      <c r="E1115" s="210"/>
      <c r="F1115" s="210"/>
      <c r="G1115" s="210"/>
      <c r="H1115" s="210"/>
    </row>
    <row r="1116" spans="3:8" x14ac:dyDescent="0.25">
      <c r="C1116" s="210"/>
      <c r="D1116" s="210"/>
      <c r="E1116" s="210"/>
      <c r="F1116" s="210"/>
      <c r="G1116" s="210"/>
      <c r="H1116" s="210"/>
    </row>
    <row r="1117" spans="3:8" x14ac:dyDescent="0.25">
      <c r="C1117" s="210"/>
      <c r="D1117" s="210"/>
      <c r="E1117" s="210"/>
      <c r="F1117" s="210"/>
      <c r="G1117" s="210"/>
      <c r="H1117" s="210"/>
    </row>
    <row r="1118" spans="3:8" x14ac:dyDescent="0.25">
      <c r="C1118" s="210"/>
      <c r="D1118" s="210"/>
      <c r="E1118" s="210"/>
      <c r="F1118" s="210"/>
      <c r="G1118" s="210"/>
      <c r="H1118" s="210"/>
    </row>
    <row r="1119" spans="3:8" x14ac:dyDescent="0.25">
      <c r="C1119" s="210"/>
      <c r="D1119" s="210"/>
      <c r="E1119" s="210"/>
      <c r="F1119" s="210"/>
      <c r="G1119" s="210"/>
      <c r="H1119" s="210"/>
    </row>
    <row r="1120" spans="3:8" x14ac:dyDescent="0.25">
      <c r="C1120" s="210"/>
      <c r="D1120" s="210"/>
      <c r="E1120" s="210"/>
      <c r="F1120" s="210"/>
      <c r="G1120" s="210"/>
      <c r="H1120" s="210"/>
    </row>
    <row r="1121" spans="3:8" x14ac:dyDescent="0.25">
      <c r="C1121" s="210"/>
      <c r="D1121" s="210"/>
      <c r="E1121" s="210"/>
      <c r="F1121" s="210"/>
      <c r="G1121" s="210"/>
      <c r="H1121" s="210"/>
    </row>
    <row r="1122" spans="3:8" x14ac:dyDescent="0.25">
      <c r="C1122" s="210"/>
      <c r="D1122" s="210"/>
      <c r="E1122" s="210"/>
      <c r="F1122" s="210"/>
      <c r="G1122" s="210"/>
      <c r="H1122" s="210"/>
    </row>
    <row r="1123" spans="3:8" x14ac:dyDescent="0.25">
      <c r="C1123" s="210"/>
      <c r="D1123" s="210"/>
      <c r="E1123" s="210"/>
      <c r="F1123" s="210"/>
      <c r="G1123" s="210"/>
      <c r="H1123" s="210"/>
    </row>
    <row r="1124" spans="3:8" x14ac:dyDescent="0.25">
      <c r="C1124" s="210"/>
      <c r="D1124" s="210"/>
      <c r="E1124" s="210"/>
      <c r="F1124" s="210"/>
      <c r="G1124" s="210"/>
      <c r="H1124" s="210"/>
    </row>
    <row r="1125" spans="3:8" x14ac:dyDescent="0.25">
      <c r="C1125" s="210"/>
      <c r="D1125" s="210"/>
      <c r="E1125" s="210"/>
      <c r="F1125" s="210"/>
      <c r="G1125" s="210"/>
      <c r="H1125" s="210"/>
    </row>
    <row r="1126" spans="3:8" x14ac:dyDescent="0.25">
      <c r="C1126" s="210"/>
      <c r="D1126" s="210"/>
      <c r="E1126" s="210"/>
      <c r="F1126" s="210"/>
      <c r="G1126" s="210"/>
      <c r="H1126" s="210"/>
    </row>
    <row r="1127" spans="3:8" x14ac:dyDescent="0.25">
      <c r="C1127" s="210"/>
      <c r="D1127" s="210"/>
      <c r="E1127" s="210"/>
      <c r="F1127" s="210"/>
      <c r="G1127" s="210"/>
      <c r="H1127" s="210"/>
    </row>
    <row r="1128" spans="3:8" x14ac:dyDescent="0.25">
      <c r="C1128" s="210"/>
      <c r="D1128" s="210"/>
      <c r="E1128" s="210"/>
      <c r="F1128" s="210"/>
      <c r="G1128" s="210"/>
      <c r="H1128" s="210"/>
    </row>
    <row r="1129" spans="3:8" x14ac:dyDescent="0.25">
      <c r="C1129" s="210"/>
      <c r="D1129" s="210"/>
      <c r="E1129" s="210"/>
      <c r="F1129" s="210"/>
      <c r="G1129" s="210"/>
      <c r="H1129" s="210"/>
    </row>
    <row r="1130" spans="3:8" x14ac:dyDescent="0.25">
      <c r="C1130" s="210"/>
      <c r="D1130" s="210"/>
      <c r="E1130" s="210"/>
      <c r="F1130" s="210"/>
      <c r="G1130" s="210"/>
      <c r="H1130" s="210"/>
    </row>
    <row r="1131" spans="3:8" x14ac:dyDescent="0.25">
      <c r="C1131" s="210"/>
      <c r="D1131" s="210"/>
      <c r="E1131" s="210"/>
      <c r="F1131" s="210"/>
      <c r="G1131" s="210"/>
      <c r="H1131" s="210"/>
    </row>
    <row r="1132" spans="3:8" x14ac:dyDescent="0.25">
      <c r="C1132" s="210"/>
      <c r="D1132" s="210"/>
      <c r="E1132" s="210"/>
      <c r="F1132" s="210"/>
      <c r="G1132" s="210"/>
      <c r="H1132" s="210"/>
    </row>
    <row r="1133" spans="3:8" x14ac:dyDescent="0.25">
      <c r="C1133" s="210"/>
      <c r="D1133" s="210"/>
      <c r="E1133" s="210"/>
      <c r="F1133" s="210"/>
      <c r="G1133" s="210"/>
      <c r="H1133" s="210"/>
    </row>
    <row r="1134" spans="3:8" x14ac:dyDescent="0.25">
      <c r="C1134" s="210"/>
      <c r="D1134" s="210"/>
      <c r="E1134" s="210"/>
      <c r="F1134" s="210"/>
      <c r="G1134" s="210"/>
      <c r="H1134" s="210"/>
    </row>
    <row r="1135" spans="3:8" x14ac:dyDescent="0.25">
      <c r="C1135" s="210"/>
      <c r="D1135" s="210"/>
      <c r="E1135" s="210"/>
      <c r="F1135" s="210"/>
      <c r="G1135" s="210"/>
      <c r="H1135" s="210"/>
    </row>
    <row r="1136" spans="3:8" x14ac:dyDescent="0.25">
      <c r="C1136" s="210"/>
      <c r="D1136" s="210"/>
      <c r="E1136" s="210"/>
      <c r="F1136" s="210"/>
      <c r="G1136" s="210"/>
      <c r="H1136" s="210"/>
    </row>
    <row r="1137" spans="3:8" x14ac:dyDescent="0.25">
      <c r="C1137" s="210"/>
      <c r="D1137" s="210"/>
      <c r="E1137" s="210"/>
      <c r="F1137" s="210"/>
      <c r="G1137" s="210"/>
      <c r="H1137" s="210"/>
    </row>
    <row r="1138" spans="3:8" x14ac:dyDescent="0.25">
      <c r="C1138" s="210"/>
      <c r="D1138" s="210"/>
      <c r="E1138" s="210"/>
      <c r="F1138" s="210"/>
      <c r="G1138" s="210"/>
      <c r="H1138" s="210"/>
    </row>
    <row r="1139" spans="3:8" x14ac:dyDescent="0.25">
      <c r="C1139" s="210"/>
      <c r="D1139" s="210"/>
      <c r="E1139" s="210"/>
      <c r="F1139" s="210"/>
      <c r="G1139" s="210"/>
      <c r="H1139" s="210"/>
    </row>
    <row r="1140" spans="3:8" x14ac:dyDescent="0.25">
      <c r="C1140" s="210"/>
      <c r="D1140" s="210"/>
      <c r="E1140" s="210"/>
      <c r="F1140" s="210"/>
      <c r="G1140" s="210"/>
      <c r="H1140" s="210"/>
    </row>
    <row r="1141" spans="3:8" x14ac:dyDescent="0.25">
      <c r="C1141" s="210"/>
      <c r="D1141" s="210"/>
      <c r="E1141" s="210"/>
      <c r="F1141" s="210"/>
      <c r="G1141" s="210"/>
      <c r="H1141" s="210"/>
    </row>
    <row r="1142" spans="3:8" x14ac:dyDescent="0.25">
      <c r="C1142" s="210"/>
      <c r="D1142" s="210"/>
      <c r="E1142" s="210"/>
      <c r="F1142" s="210"/>
      <c r="G1142" s="210"/>
      <c r="H1142" s="210"/>
    </row>
    <row r="1143" spans="3:8" x14ac:dyDescent="0.25">
      <c r="C1143" s="210"/>
      <c r="D1143" s="210"/>
      <c r="E1143" s="210"/>
      <c r="F1143" s="210"/>
      <c r="G1143" s="210"/>
      <c r="H1143" s="210"/>
    </row>
    <row r="1144" spans="3:8" x14ac:dyDescent="0.25">
      <c r="C1144" s="210"/>
      <c r="D1144" s="210"/>
      <c r="E1144" s="210"/>
      <c r="F1144" s="210"/>
      <c r="G1144" s="210"/>
      <c r="H1144" s="210"/>
    </row>
    <row r="1145" spans="3:8" x14ac:dyDescent="0.25">
      <c r="C1145" s="210"/>
      <c r="D1145" s="210"/>
      <c r="E1145" s="210"/>
      <c r="F1145" s="210"/>
      <c r="G1145" s="210"/>
      <c r="H1145" s="210"/>
    </row>
    <row r="1146" spans="3:8" x14ac:dyDescent="0.25">
      <c r="C1146" s="210"/>
      <c r="D1146" s="210"/>
      <c r="E1146" s="210"/>
      <c r="F1146" s="210"/>
      <c r="G1146" s="210"/>
      <c r="H1146" s="210"/>
    </row>
    <row r="1147" spans="3:8" x14ac:dyDescent="0.25">
      <c r="C1147" s="210"/>
      <c r="D1147" s="210"/>
      <c r="E1147" s="210"/>
      <c r="F1147" s="210"/>
      <c r="G1147" s="210"/>
      <c r="H1147" s="210"/>
    </row>
    <row r="1148" spans="3:8" x14ac:dyDescent="0.25">
      <c r="C1148" s="210"/>
      <c r="D1148" s="210"/>
      <c r="E1148" s="210"/>
      <c r="F1148" s="210"/>
      <c r="G1148" s="210"/>
      <c r="H1148" s="210"/>
    </row>
    <row r="1149" spans="3:8" x14ac:dyDescent="0.25">
      <c r="C1149" s="210"/>
      <c r="D1149" s="210"/>
      <c r="E1149" s="210"/>
      <c r="F1149" s="210"/>
      <c r="G1149" s="210"/>
      <c r="H1149" s="210"/>
    </row>
    <row r="1150" spans="3:8" x14ac:dyDescent="0.25">
      <c r="C1150" s="210"/>
      <c r="D1150" s="210"/>
      <c r="E1150" s="210"/>
      <c r="F1150" s="210"/>
      <c r="G1150" s="210"/>
      <c r="H1150" s="210"/>
    </row>
    <row r="1151" spans="3:8" x14ac:dyDescent="0.25">
      <c r="C1151" s="210"/>
      <c r="D1151" s="210"/>
      <c r="E1151" s="210"/>
      <c r="F1151" s="210"/>
      <c r="G1151" s="210"/>
      <c r="H1151" s="210"/>
    </row>
    <row r="1152" spans="3:8" x14ac:dyDescent="0.25">
      <c r="C1152" s="210"/>
      <c r="D1152" s="210"/>
      <c r="E1152" s="210"/>
      <c r="F1152" s="210"/>
      <c r="G1152" s="210"/>
      <c r="H1152" s="210"/>
    </row>
    <row r="1153" spans="3:8" x14ac:dyDescent="0.25">
      <c r="C1153" s="210"/>
      <c r="D1153" s="210"/>
      <c r="E1153" s="210"/>
      <c r="F1153" s="210"/>
      <c r="G1153" s="210"/>
      <c r="H1153" s="210"/>
    </row>
    <row r="1154" spans="3:8" x14ac:dyDescent="0.25">
      <c r="C1154" s="210"/>
      <c r="D1154" s="210"/>
      <c r="E1154" s="210"/>
      <c r="F1154" s="210"/>
      <c r="G1154" s="210"/>
      <c r="H1154" s="210"/>
    </row>
    <row r="1155" spans="3:8" x14ac:dyDescent="0.25">
      <c r="C1155" s="210"/>
      <c r="D1155" s="210"/>
      <c r="E1155" s="210"/>
      <c r="F1155" s="210"/>
      <c r="G1155" s="210"/>
      <c r="H1155" s="210"/>
    </row>
    <row r="1156" spans="3:8" x14ac:dyDescent="0.25">
      <c r="C1156" s="210"/>
      <c r="D1156" s="210"/>
      <c r="E1156" s="210"/>
      <c r="F1156" s="210"/>
      <c r="G1156" s="210"/>
      <c r="H1156" s="210"/>
    </row>
    <row r="1157" spans="3:8" x14ac:dyDescent="0.25">
      <c r="C1157" s="210"/>
      <c r="D1157" s="210"/>
      <c r="E1157" s="210"/>
      <c r="F1157" s="210"/>
      <c r="G1157" s="210"/>
      <c r="H1157" s="210"/>
    </row>
    <row r="1158" spans="3:8" x14ac:dyDescent="0.25">
      <c r="C1158" s="210"/>
      <c r="D1158" s="210"/>
      <c r="E1158" s="210"/>
      <c r="F1158" s="210"/>
      <c r="G1158" s="210"/>
      <c r="H1158" s="210"/>
    </row>
    <row r="1159" spans="3:8" x14ac:dyDescent="0.25">
      <c r="C1159" s="210"/>
      <c r="D1159" s="210"/>
      <c r="E1159" s="210"/>
      <c r="F1159" s="210"/>
      <c r="G1159" s="210"/>
      <c r="H1159" s="210"/>
    </row>
    <row r="1160" spans="3:8" x14ac:dyDescent="0.25">
      <c r="C1160" s="210"/>
      <c r="D1160" s="210"/>
      <c r="E1160" s="210"/>
      <c r="F1160" s="210"/>
      <c r="G1160" s="210"/>
      <c r="H1160" s="210"/>
    </row>
    <row r="1161" spans="3:8" x14ac:dyDescent="0.25">
      <c r="C1161" s="210"/>
      <c r="D1161" s="210"/>
      <c r="E1161" s="210"/>
      <c r="F1161" s="210"/>
      <c r="G1161" s="210"/>
      <c r="H1161" s="210"/>
    </row>
    <row r="1162" spans="3:8" x14ac:dyDescent="0.25">
      <c r="C1162" s="210"/>
      <c r="D1162" s="210"/>
      <c r="E1162" s="210"/>
      <c r="F1162" s="210"/>
      <c r="G1162" s="210"/>
      <c r="H1162" s="210"/>
    </row>
    <row r="1163" spans="3:8" x14ac:dyDescent="0.25">
      <c r="C1163" s="210"/>
      <c r="D1163" s="210"/>
      <c r="E1163" s="210"/>
      <c r="F1163" s="210"/>
      <c r="G1163" s="210"/>
      <c r="H1163" s="210"/>
    </row>
    <row r="1164" spans="3:8" x14ac:dyDescent="0.25">
      <c r="C1164" s="210"/>
      <c r="D1164" s="210"/>
      <c r="E1164" s="210"/>
      <c r="F1164" s="210"/>
      <c r="G1164" s="210"/>
      <c r="H1164" s="210"/>
    </row>
    <row r="1165" spans="3:8" x14ac:dyDescent="0.25">
      <c r="C1165" s="210"/>
      <c r="D1165" s="210"/>
      <c r="E1165" s="210"/>
      <c r="F1165" s="210"/>
      <c r="G1165" s="210"/>
      <c r="H1165" s="210"/>
    </row>
    <row r="1166" spans="3:8" x14ac:dyDescent="0.25">
      <c r="C1166" s="210"/>
      <c r="D1166" s="210"/>
      <c r="E1166" s="210"/>
      <c r="F1166" s="210"/>
      <c r="G1166" s="210"/>
      <c r="H1166" s="210"/>
    </row>
    <row r="1167" spans="3:8" x14ac:dyDescent="0.25">
      <c r="C1167" s="210"/>
      <c r="D1167" s="210"/>
      <c r="E1167" s="210"/>
      <c r="F1167" s="210"/>
      <c r="G1167" s="210"/>
      <c r="H1167" s="210"/>
    </row>
    <row r="1168" spans="3:8" x14ac:dyDescent="0.25">
      <c r="C1168" s="210"/>
      <c r="D1168" s="210"/>
      <c r="E1168" s="210"/>
      <c r="F1168" s="210"/>
      <c r="G1168" s="210"/>
      <c r="H1168" s="210"/>
    </row>
    <row r="1169" spans="3:8" x14ac:dyDescent="0.25">
      <c r="C1169" s="210"/>
      <c r="D1169" s="210"/>
      <c r="E1169" s="210"/>
      <c r="F1169" s="210"/>
      <c r="G1169" s="210"/>
      <c r="H1169" s="210"/>
    </row>
    <row r="1170" spans="3:8" x14ac:dyDescent="0.25">
      <c r="C1170" s="210"/>
      <c r="D1170" s="210"/>
      <c r="E1170" s="210"/>
      <c r="F1170" s="210"/>
      <c r="G1170" s="210"/>
      <c r="H1170" s="210"/>
    </row>
    <row r="1171" spans="3:8" x14ac:dyDescent="0.25">
      <c r="C1171" s="210"/>
      <c r="D1171" s="210"/>
      <c r="E1171" s="210"/>
      <c r="F1171" s="210"/>
      <c r="G1171" s="210"/>
      <c r="H1171" s="210"/>
    </row>
    <row r="1172" spans="3:8" x14ac:dyDescent="0.25">
      <c r="C1172" s="210"/>
      <c r="D1172" s="210"/>
      <c r="E1172" s="210"/>
      <c r="F1172" s="210"/>
      <c r="G1172" s="210"/>
      <c r="H1172" s="210"/>
    </row>
    <row r="1173" spans="3:8" x14ac:dyDescent="0.25">
      <c r="C1173" s="210"/>
      <c r="D1173" s="210"/>
      <c r="E1173" s="210"/>
      <c r="F1173" s="210"/>
      <c r="G1173" s="210"/>
      <c r="H1173" s="210"/>
    </row>
    <row r="1174" spans="3:8" x14ac:dyDescent="0.25">
      <c r="C1174" s="210"/>
      <c r="D1174" s="210"/>
      <c r="E1174" s="210"/>
      <c r="F1174" s="210"/>
      <c r="G1174" s="210"/>
      <c r="H1174" s="210"/>
    </row>
    <row r="1175" spans="3:8" x14ac:dyDescent="0.25">
      <c r="C1175" s="210"/>
      <c r="D1175" s="210"/>
      <c r="E1175" s="210"/>
      <c r="F1175" s="210"/>
      <c r="G1175" s="210"/>
      <c r="H1175" s="210"/>
    </row>
    <row r="1176" spans="3:8" x14ac:dyDescent="0.25">
      <c r="C1176" s="210"/>
      <c r="D1176" s="210"/>
      <c r="E1176" s="210"/>
      <c r="F1176" s="210"/>
      <c r="G1176" s="210"/>
      <c r="H1176" s="210"/>
    </row>
    <row r="1177" spans="3:8" x14ac:dyDescent="0.25">
      <c r="C1177" s="210"/>
      <c r="D1177" s="210"/>
      <c r="E1177" s="210"/>
      <c r="F1177" s="210"/>
      <c r="G1177" s="210"/>
      <c r="H1177" s="210"/>
    </row>
    <row r="1178" spans="3:8" x14ac:dyDescent="0.25">
      <c r="C1178" s="210"/>
      <c r="D1178" s="210"/>
      <c r="E1178" s="210"/>
      <c r="F1178" s="210"/>
      <c r="G1178" s="210"/>
      <c r="H1178" s="210"/>
    </row>
    <row r="1179" spans="3:8" x14ac:dyDescent="0.25">
      <c r="C1179" s="210"/>
      <c r="D1179" s="210"/>
      <c r="E1179" s="210"/>
      <c r="F1179" s="210"/>
      <c r="G1179" s="210"/>
      <c r="H1179" s="210"/>
    </row>
    <row r="1180" spans="3:8" x14ac:dyDescent="0.25">
      <c r="C1180" s="210"/>
      <c r="D1180" s="210"/>
      <c r="E1180" s="210"/>
      <c r="F1180" s="210"/>
      <c r="G1180" s="210"/>
      <c r="H1180" s="210"/>
    </row>
    <row r="1181" spans="3:8" x14ac:dyDescent="0.25">
      <c r="C1181" s="210"/>
      <c r="D1181" s="210"/>
      <c r="E1181" s="210"/>
      <c r="F1181" s="210"/>
      <c r="G1181" s="210"/>
      <c r="H1181" s="210"/>
    </row>
    <row r="1182" spans="3:8" x14ac:dyDescent="0.25">
      <c r="C1182" s="210"/>
      <c r="D1182" s="210"/>
      <c r="E1182" s="210"/>
      <c r="F1182" s="210"/>
      <c r="G1182" s="210"/>
      <c r="H1182" s="210"/>
    </row>
    <row r="1183" spans="3:8" x14ac:dyDescent="0.25">
      <c r="C1183" s="210"/>
      <c r="D1183" s="210"/>
      <c r="E1183" s="210"/>
      <c r="F1183" s="210"/>
      <c r="G1183" s="210"/>
      <c r="H1183" s="210"/>
    </row>
    <row r="1184" spans="3:8" x14ac:dyDescent="0.25">
      <c r="C1184" s="210"/>
      <c r="D1184" s="210"/>
      <c r="E1184" s="210"/>
      <c r="F1184" s="210"/>
      <c r="G1184" s="210"/>
      <c r="H1184" s="210"/>
    </row>
    <row r="1185" spans="3:8" x14ac:dyDescent="0.25">
      <c r="C1185" s="210"/>
      <c r="D1185" s="210"/>
      <c r="E1185" s="210"/>
      <c r="F1185" s="210"/>
      <c r="G1185" s="210"/>
      <c r="H1185" s="210"/>
    </row>
    <row r="1186" spans="3:8" x14ac:dyDescent="0.25">
      <c r="C1186" s="210"/>
      <c r="D1186" s="210"/>
      <c r="E1186" s="210"/>
      <c r="F1186" s="210"/>
      <c r="G1186" s="210"/>
      <c r="H1186" s="210"/>
    </row>
    <row r="1187" spans="3:8" x14ac:dyDescent="0.25">
      <c r="C1187" s="210"/>
      <c r="D1187" s="210"/>
      <c r="E1187" s="210"/>
      <c r="F1187" s="210"/>
      <c r="G1187" s="210"/>
      <c r="H1187" s="210"/>
    </row>
    <row r="1188" spans="3:8" x14ac:dyDescent="0.25">
      <c r="C1188" s="210"/>
      <c r="D1188" s="210"/>
      <c r="E1188" s="210"/>
      <c r="F1188" s="210"/>
      <c r="G1188" s="210"/>
      <c r="H1188" s="210"/>
    </row>
    <row r="1189" spans="3:8" x14ac:dyDescent="0.25">
      <c r="C1189" s="210"/>
      <c r="D1189" s="210"/>
      <c r="E1189" s="210"/>
      <c r="F1189" s="210"/>
      <c r="G1189" s="210"/>
      <c r="H1189" s="210"/>
    </row>
    <row r="1190" spans="3:8" x14ac:dyDescent="0.25">
      <c r="C1190" s="210"/>
      <c r="D1190" s="210"/>
      <c r="E1190" s="210"/>
      <c r="F1190" s="210"/>
      <c r="G1190" s="210"/>
      <c r="H1190" s="210"/>
    </row>
    <row r="1191" spans="3:8" x14ac:dyDescent="0.25">
      <c r="C1191" s="210"/>
      <c r="D1191" s="210"/>
      <c r="E1191" s="210"/>
      <c r="F1191" s="210"/>
      <c r="G1191" s="210"/>
      <c r="H1191" s="210"/>
    </row>
    <row r="1192" spans="3:8" x14ac:dyDescent="0.25">
      <c r="C1192" s="210"/>
      <c r="D1192" s="210"/>
      <c r="E1192" s="210"/>
      <c r="F1192" s="210"/>
      <c r="G1192" s="210"/>
      <c r="H1192" s="210"/>
    </row>
    <row r="1193" spans="3:8" x14ac:dyDescent="0.25">
      <c r="C1193" s="210"/>
      <c r="D1193" s="210"/>
      <c r="E1193" s="210"/>
      <c r="F1193" s="210"/>
      <c r="G1193" s="210"/>
      <c r="H1193" s="210"/>
    </row>
    <row r="1194" spans="3:8" x14ac:dyDescent="0.25">
      <c r="C1194" s="210"/>
      <c r="D1194" s="210"/>
      <c r="E1194" s="210"/>
      <c r="F1194" s="210"/>
      <c r="G1194" s="210"/>
      <c r="H1194" s="210"/>
    </row>
    <row r="1195" spans="3:8" x14ac:dyDescent="0.25">
      <c r="C1195" s="210"/>
      <c r="D1195" s="210"/>
      <c r="E1195" s="210"/>
      <c r="F1195" s="210"/>
      <c r="G1195" s="210"/>
      <c r="H1195" s="210"/>
    </row>
    <row r="1196" spans="3:8" x14ac:dyDescent="0.25">
      <c r="C1196" s="210"/>
      <c r="D1196" s="210"/>
      <c r="E1196" s="210"/>
      <c r="F1196" s="210"/>
      <c r="G1196" s="210"/>
      <c r="H1196" s="210"/>
    </row>
    <row r="1197" spans="3:8" x14ac:dyDescent="0.25">
      <c r="C1197" s="210"/>
      <c r="D1197" s="210"/>
      <c r="E1197" s="210"/>
      <c r="F1197" s="210"/>
      <c r="G1197" s="210"/>
      <c r="H1197" s="210"/>
    </row>
    <row r="1198" spans="3:8" x14ac:dyDescent="0.25">
      <c r="C1198" s="210"/>
      <c r="D1198" s="210"/>
      <c r="E1198" s="210"/>
      <c r="F1198" s="210"/>
      <c r="G1198" s="210"/>
      <c r="H1198" s="210"/>
    </row>
    <row r="1199" spans="3:8" x14ac:dyDescent="0.25">
      <c r="C1199" s="210"/>
      <c r="D1199" s="210"/>
      <c r="E1199" s="210"/>
      <c r="F1199" s="210"/>
      <c r="G1199" s="210"/>
      <c r="H1199" s="210"/>
    </row>
    <row r="1200" spans="3:8" x14ac:dyDescent="0.25">
      <c r="C1200" s="210"/>
      <c r="D1200" s="210"/>
      <c r="E1200" s="210"/>
      <c r="F1200" s="210"/>
      <c r="G1200" s="210"/>
      <c r="H1200" s="210"/>
    </row>
    <row r="1201" spans="3:8" x14ac:dyDescent="0.25">
      <c r="C1201" s="210"/>
      <c r="D1201" s="210"/>
      <c r="E1201" s="210"/>
      <c r="F1201" s="210"/>
      <c r="G1201" s="210"/>
      <c r="H1201" s="210"/>
    </row>
    <row r="1202" spans="3:8" x14ac:dyDescent="0.25">
      <c r="C1202" s="210"/>
      <c r="D1202" s="210"/>
      <c r="E1202" s="210"/>
      <c r="F1202" s="210"/>
      <c r="G1202" s="210"/>
      <c r="H1202" s="210"/>
    </row>
    <row r="1203" spans="3:8" x14ac:dyDescent="0.25">
      <c r="C1203" s="210"/>
      <c r="D1203" s="210"/>
      <c r="E1203" s="210"/>
      <c r="F1203" s="210"/>
      <c r="G1203" s="210"/>
      <c r="H1203" s="210"/>
    </row>
    <row r="1204" spans="3:8" x14ac:dyDescent="0.25">
      <c r="C1204" s="210"/>
      <c r="D1204" s="210"/>
      <c r="E1204" s="210"/>
      <c r="F1204" s="210"/>
      <c r="G1204" s="210"/>
      <c r="H1204" s="210"/>
    </row>
    <row r="1205" spans="3:8" x14ac:dyDescent="0.25">
      <c r="C1205" s="210"/>
      <c r="D1205" s="210"/>
      <c r="E1205" s="210"/>
      <c r="F1205" s="210"/>
      <c r="G1205" s="210"/>
      <c r="H1205" s="210"/>
    </row>
    <row r="1206" spans="3:8" x14ac:dyDescent="0.25">
      <c r="C1206" s="210"/>
      <c r="D1206" s="210"/>
      <c r="E1206" s="210"/>
      <c r="F1206" s="210"/>
      <c r="G1206" s="210"/>
      <c r="H1206" s="210"/>
    </row>
    <row r="1207" spans="3:8" x14ac:dyDescent="0.25">
      <c r="C1207" s="210"/>
      <c r="D1207" s="210"/>
      <c r="E1207" s="210"/>
      <c r="F1207" s="210"/>
      <c r="G1207" s="210"/>
      <c r="H1207" s="210"/>
    </row>
    <row r="1208" spans="3:8" x14ac:dyDescent="0.25">
      <c r="C1208" s="210"/>
      <c r="D1208" s="210"/>
      <c r="E1208" s="210"/>
      <c r="F1208" s="210"/>
      <c r="G1208" s="210"/>
      <c r="H1208" s="210"/>
    </row>
    <row r="1209" spans="3:8" x14ac:dyDescent="0.25">
      <c r="C1209" s="210"/>
      <c r="D1209" s="210"/>
      <c r="E1209" s="210"/>
      <c r="F1209" s="210"/>
      <c r="G1209" s="210"/>
      <c r="H1209" s="210"/>
    </row>
    <row r="1210" spans="3:8" x14ac:dyDescent="0.25">
      <c r="C1210" s="210"/>
      <c r="D1210" s="210"/>
      <c r="E1210" s="210"/>
      <c r="F1210" s="210"/>
      <c r="G1210" s="210"/>
      <c r="H1210" s="210"/>
    </row>
    <row r="1211" spans="3:8" x14ac:dyDescent="0.25">
      <c r="C1211" s="210"/>
      <c r="D1211" s="210"/>
      <c r="E1211" s="210"/>
      <c r="F1211" s="210"/>
      <c r="G1211" s="210"/>
      <c r="H1211" s="210"/>
    </row>
    <row r="1212" spans="3:8" x14ac:dyDescent="0.25">
      <c r="C1212" s="210"/>
      <c r="D1212" s="210"/>
      <c r="E1212" s="210"/>
      <c r="F1212" s="210"/>
      <c r="G1212" s="210"/>
      <c r="H1212" s="210"/>
    </row>
    <row r="1213" spans="3:8" x14ac:dyDescent="0.25">
      <c r="C1213" s="210"/>
      <c r="D1213" s="210"/>
      <c r="E1213" s="210"/>
      <c r="F1213" s="210"/>
      <c r="G1213" s="210"/>
      <c r="H1213" s="210"/>
    </row>
    <row r="1214" spans="3:8" x14ac:dyDescent="0.25">
      <c r="C1214" s="210"/>
      <c r="D1214" s="210"/>
      <c r="E1214" s="210"/>
      <c r="F1214" s="210"/>
      <c r="G1214" s="210"/>
      <c r="H1214" s="210"/>
    </row>
    <row r="1215" spans="3:8" x14ac:dyDescent="0.25">
      <c r="C1215" s="210"/>
      <c r="D1215" s="210"/>
      <c r="E1215" s="210"/>
      <c r="F1215" s="210"/>
      <c r="G1215" s="210"/>
      <c r="H1215" s="210"/>
    </row>
    <row r="1216" spans="3:8" x14ac:dyDescent="0.25">
      <c r="C1216" s="210"/>
      <c r="D1216" s="210"/>
      <c r="E1216" s="210"/>
      <c r="F1216" s="210"/>
      <c r="G1216" s="210"/>
      <c r="H1216" s="210"/>
    </row>
    <row r="1217" spans="3:8" x14ac:dyDescent="0.25">
      <c r="C1217" s="210"/>
      <c r="D1217" s="210"/>
      <c r="E1217" s="210"/>
      <c r="F1217" s="210"/>
      <c r="G1217" s="210"/>
      <c r="H1217" s="210"/>
    </row>
    <row r="1218" spans="3:8" x14ac:dyDescent="0.25">
      <c r="C1218" s="210"/>
      <c r="D1218" s="210"/>
      <c r="E1218" s="210"/>
      <c r="F1218" s="210"/>
      <c r="G1218" s="210"/>
      <c r="H1218" s="210"/>
    </row>
    <row r="1219" spans="3:8" x14ac:dyDescent="0.25">
      <c r="C1219" s="210"/>
      <c r="D1219" s="210"/>
      <c r="E1219" s="210"/>
      <c r="F1219" s="210"/>
      <c r="G1219" s="210"/>
      <c r="H1219" s="210"/>
    </row>
    <row r="1220" spans="3:8" x14ac:dyDescent="0.25">
      <c r="C1220" s="210"/>
      <c r="D1220" s="210"/>
      <c r="E1220" s="210"/>
      <c r="F1220" s="210"/>
      <c r="G1220" s="210"/>
      <c r="H1220" s="210"/>
    </row>
    <row r="1221" spans="3:8" x14ac:dyDescent="0.25">
      <c r="C1221" s="210"/>
      <c r="D1221" s="210"/>
      <c r="E1221" s="210"/>
      <c r="F1221" s="210"/>
      <c r="G1221" s="210"/>
      <c r="H1221" s="210"/>
    </row>
    <row r="1222" spans="3:8" x14ac:dyDescent="0.25">
      <c r="C1222" s="210"/>
      <c r="D1222" s="210"/>
      <c r="E1222" s="210"/>
      <c r="F1222" s="210"/>
      <c r="G1222" s="210"/>
      <c r="H1222" s="210"/>
    </row>
    <row r="1223" spans="3:8" x14ac:dyDescent="0.25">
      <c r="C1223" s="210"/>
      <c r="D1223" s="210"/>
      <c r="E1223" s="210"/>
      <c r="F1223" s="210"/>
      <c r="G1223" s="210"/>
      <c r="H1223" s="210"/>
    </row>
    <row r="1224" spans="3:8" x14ac:dyDescent="0.25">
      <c r="C1224" s="210"/>
      <c r="D1224" s="210"/>
      <c r="E1224" s="210"/>
      <c r="F1224" s="210"/>
      <c r="G1224" s="210"/>
      <c r="H1224" s="210"/>
    </row>
    <row r="1225" spans="3:8" x14ac:dyDescent="0.25">
      <c r="C1225" s="210"/>
      <c r="D1225" s="210"/>
      <c r="E1225" s="210"/>
      <c r="F1225" s="210"/>
      <c r="G1225" s="210"/>
      <c r="H1225" s="210"/>
    </row>
    <row r="1226" spans="3:8" x14ac:dyDescent="0.25">
      <c r="C1226" s="210"/>
      <c r="D1226" s="210"/>
      <c r="E1226" s="210"/>
      <c r="F1226" s="210"/>
      <c r="G1226" s="210"/>
      <c r="H1226" s="210"/>
    </row>
    <row r="1227" spans="3:8" x14ac:dyDescent="0.25">
      <c r="C1227" s="210"/>
      <c r="D1227" s="210"/>
      <c r="E1227" s="210"/>
      <c r="F1227" s="210"/>
      <c r="G1227" s="210"/>
      <c r="H1227" s="210"/>
    </row>
    <row r="1228" spans="3:8" x14ac:dyDescent="0.25">
      <c r="C1228" s="210"/>
      <c r="D1228" s="210"/>
      <c r="E1228" s="210"/>
      <c r="F1228" s="210"/>
      <c r="G1228" s="210"/>
      <c r="H1228" s="210"/>
    </row>
    <row r="1229" spans="3:8" x14ac:dyDescent="0.25">
      <c r="C1229" s="210"/>
      <c r="D1229" s="210"/>
      <c r="E1229" s="210"/>
      <c r="F1229" s="210"/>
      <c r="G1229" s="210"/>
      <c r="H1229" s="210"/>
    </row>
    <row r="1230" spans="3:8" x14ac:dyDescent="0.25">
      <c r="C1230" s="210"/>
      <c r="D1230" s="210"/>
      <c r="E1230" s="210"/>
      <c r="F1230" s="210"/>
      <c r="G1230" s="210"/>
      <c r="H1230" s="210"/>
    </row>
    <row r="1231" spans="3:8" x14ac:dyDescent="0.25">
      <c r="C1231" s="210"/>
      <c r="D1231" s="210"/>
      <c r="E1231" s="210"/>
      <c r="F1231" s="210"/>
      <c r="G1231" s="210"/>
      <c r="H1231" s="210"/>
    </row>
    <row r="1232" spans="3:8" x14ac:dyDescent="0.25">
      <c r="C1232" s="210"/>
      <c r="D1232" s="210"/>
      <c r="E1232" s="210"/>
      <c r="F1232" s="210"/>
      <c r="G1232" s="210"/>
      <c r="H1232" s="210"/>
    </row>
    <row r="1233" spans="3:8" x14ac:dyDescent="0.25">
      <c r="C1233" s="210"/>
      <c r="D1233" s="210"/>
      <c r="E1233" s="210"/>
      <c r="F1233" s="210"/>
      <c r="G1233" s="210"/>
      <c r="H1233" s="210"/>
    </row>
    <row r="1234" spans="3:8" x14ac:dyDescent="0.25">
      <c r="C1234" s="210"/>
      <c r="D1234" s="210"/>
      <c r="E1234" s="210"/>
      <c r="F1234" s="210"/>
      <c r="G1234" s="210"/>
      <c r="H1234" s="210"/>
    </row>
    <row r="1235" spans="3:8" x14ac:dyDescent="0.25">
      <c r="C1235" s="210"/>
      <c r="D1235" s="210"/>
      <c r="E1235" s="210"/>
      <c r="F1235" s="210"/>
      <c r="G1235" s="210"/>
      <c r="H1235" s="210"/>
    </row>
    <row r="1236" spans="3:8" x14ac:dyDescent="0.25">
      <c r="C1236" s="210"/>
      <c r="D1236" s="210"/>
      <c r="E1236" s="210"/>
      <c r="F1236" s="210"/>
      <c r="G1236" s="210"/>
      <c r="H1236" s="210"/>
    </row>
    <row r="1237" spans="3:8" x14ac:dyDescent="0.25">
      <c r="C1237" s="210"/>
      <c r="D1237" s="210"/>
      <c r="E1237" s="210"/>
      <c r="F1237" s="210"/>
      <c r="G1237" s="210"/>
      <c r="H1237" s="210"/>
    </row>
    <row r="1238" spans="3:8" x14ac:dyDescent="0.25">
      <c r="C1238" s="210"/>
      <c r="D1238" s="210"/>
      <c r="E1238" s="210"/>
      <c r="F1238" s="210"/>
      <c r="G1238" s="210"/>
      <c r="H1238" s="210"/>
    </row>
    <row r="1239" spans="3:8" x14ac:dyDescent="0.25">
      <c r="C1239" s="210"/>
      <c r="D1239" s="210"/>
      <c r="E1239" s="210"/>
      <c r="F1239" s="210"/>
      <c r="G1239" s="210"/>
      <c r="H1239" s="210"/>
    </row>
    <row r="1240" spans="3:8" x14ac:dyDescent="0.25">
      <c r="C1240" s="210"/>
      <c r="D1240" s="210"/>
      <c r="E1240" s="210"/>
      <c r="F1240" s="210"/>
      <c r="G1240" s="210"/>
      <c r="H1240" s="210"/>
    </row>
    <row r="1241" spans="3:8" x14ac:dyDescent="0.25">
      <c r="C1241" s="210"/>
      <c r="D1241" s="210"/>
      <c r="E1241" s="210"/>
      <c r="F1241" s="210"/>
      <c r="G1241" s="210"/>
      <c r="H1241" s="210"/>
    </row>
    <row r="1242" spans="3:8" x14ac:dyDescent="0.25">
      <c r="C1242" s="210"/>
      <c r="D1242" s="210"/>
      <c r="E1242" s="210"/>
      <c r="F1242" s="210"/>
      <c r="G1242" s="210"/>
      <c r="H1242" s="210"/>
    </row>
    <row r="1243" spans="3:8" x14ac:dyDescent="0.25">
      <c r="C1243" s="210"/>
      <c r="D1243" s="210"/>
      <c r="E1243" s="210"/>
      <c r="F1243" s="210"/>
      <c r="G1243" s="210"/>
      <c r="H1243" s="210"/>
    </row>
    <row r="1244" spans="3:8" x14ac:dyDescent="0.25">
      <c r="C1244" s="210"/>
      <c r="D1244" s="210"/>
      <c r="E1244" s="210"/>
      <c r="F1244" s="210"/>
      <c r="G1244" s="210"/>
      <c r="H1244" s="210"/>
    </row>
    <row r="1245" spans="3:8" x14ac:dyDescent="0.25">
      <c r="C1245" s="210"/>
      <c r="D1245" s="210"/>
      <c r="E1245" s="210"/>
      <c r="F1245" s="210"/>
      <c r="G1245" s="210"/>
      <c r="H1245" s="210"/>
    </row>
    <row r="1246" spans="3:8" x14ac:dyDescent="0.25">
      <c r="C1246" s="210"/>
      <c r="D1246" s="210"/>
      <c r="E1246" s="210"/>
      <c r="F1246" s="210"/>
      <c r="G1246" s="210"/>
      <c r="H1246" s="210"/>
    </row>
    <row r="1247" spans="3:8" x14ac:dyDescent="0.25">
      <c r="C1247" s="210"/>
      <c r="D1247" s="210"/>
      <c r="E1247" s="210"/>
      <c r="F1247" s="210"/>
      <c r="G1247" s="210"/>
      <c r="H1247" s="210"/>
    </row>
    <row r="1248" spans="3:8" x14ac:dyDescent="0.25">
      <c r="C1248" s="210"/>
      <c r="D1248" s="210"/>
      <c r="E1248" s="210"/>
      <c r="F1248" s="210"/>
      <c r="G1248" s="210"/>
      <c r="H1248" s="210"/>
    </row>
    <row r="1249" spans="3:8" x14ac:dyDescent="0.25">
      <c r="C1249" s="210"/>
      <c r="D1249" s="210"/>
      <c r="E1249" s="210"/>
      <c r="F1249" s="210"/>
      <c r="G1249" s="210"/>
      <c r="H1249" s="210"/>
    </row>
    <row r="1250" spans="3:8" x14ac:dyDescent="0.25">
      <c r="C1250" s="210"/>
      <c r="D1250" s="210"/>
      <c r="E1250" s="210"/>
      <c r="F1250" s="210"/>
      <c r="G1250" s="210"/>
      <c r="H1250" s="210"/>
    </row>
    <row r="1251" spans="3:8" x14ac:dyDescent="0.25">
      <c r="C1251" s="210"/>
      <c r="D1251" s="210"/>
      <c r="E1251" s="210"/>
      <c r="F1251" s="210"/>
      <c r="G1251" s="210"/>
      <c r="H1251" s="210"/>
    </row>
    <row r="1252" spans="3:8" x14ac:dyDescent="0.25">
      <c r="C1252" s="210"/>
      <c r="D1252" s="210"/>
      <c r="E1252" s="210"/>
      <c r="F1252" s="210"/>
      <c r="G1252" s="210"/>
      <c r="H1252" s="210"/>
    </row>
    <row r="1253" spans="3:8" x14ac:dyDescent="0.25">
      <c r="C1253" s="210"/>
      <c r="D1253" s="210"/>
      <c r="E1253" s="210"/>
      <c r="F1253" s="210"/>
      <c r="G1253" s="210"/>
      <c r="H1253" s="210"/>
    </row>
    <row r="1254" spans="3:8" x14ac:dyDescent="0.25">
      <c r="C1254" s="210"/>
      <c r="D1254" s="210"/>
      <c r="E1254" s="210"/>
      <c r="F1254" s="210"/>
      <c r="G1254" s="210"/>
      <c r="H1254" s="210"/>
    </row>
    <row r="1255" spans="3:8" x14ac:dyDescent="0.25">
      <c r="C1255" s="210"/>
      <c r="D1255" s="210"/>
      <c r="E1255" s="210"/>
      <c r="F1255" s="210"/>
      <c r="G1255" s="210"/>
      <c r="H1255" s="210"/>
    </row>
    <row r="1256" spans="3:8" x14ac:dyDescent="0.25">
      <c r="C1256" s="210"/>
      <c r="D1256" s="210"/>
      <c r="E1256" s="210"/>
      <c r="F1256" s="210"/>
      <c r="G1256" s="210"/>
      <c r="H1256" s="210"/>
    </row>
    <row r="1257" spans="3:8" x14ac:dyDescent="0.25">
      <c r="C1257" s="210"/>
      <c r="D1257" s="210"/>
      <c r="E1257" s="210"/>
      <c r="F1257" s="210"/>
      <c r="G1257" s="210"/>
      <c r="H1257" s="210"/>
    </row>
    <row r="1258" spans="3:8" x14ac:dyDescent="0.25">
      <c r="C1258" s="210"/>
      <c r="D1258" s="210"/>
      <c r="E1258" s="210"/>
      <c r="F1258" s="210"/>
      <c r="G1258" s="210"/>
      <c r="H1258" s="210"/>
    </row>
    <row r="1259" spans="3:8" x14ac:dyDescent="0.25">
      <c r="C1259" s="210"/>
      <c r="D1259" s="210"/>
      <c r="E1259" s="210"/>
      <c r="F1259" s="210"/>
      <c r="G1259" s="210"/>
      <c r="H1259" s="210"/>
    </row>
    <row r="1260" spans="3:8" x14ac:dyDescent="0.25">
      <c r="C1260" s="210"/>
      <c r="D1260" s="210"/>
      <c r="E1260" s="210"/>
      <c r="F1260" s="210"/>
      <c r="G1260" s="210"/>
      <c r="H1260" s="210"/>
    </row>
    <row r="1261" spans="3:8" x14ac:dyDescent="0.25">
      <c r="C1261" s="210"/>
      <c r="D1261" s="210"/>
      <c r="E1261" s="210"/>
      <c r="F1261" s="210"/>
      <c r="G1261" s="210"/>
      <c r="H1261" s="210"/>
    </row>
    <row r="1262" spans="3:8" x14ac:dyDescent="0.25">
      <c r="C1262" s="210"/>
      <c r="D1262" s="210"/>
      <c r="E1262" s="210"/>
      <c r="F1262" s="210"/>
      <c r="G1262" s="210"/>
      <c r="H1262" s="210"/>
    </row>
    <row r="1263" spans="3:8" x14ac:dyDescent="0.25">
      <c r="C1263" s="210"/>
      <c r="D1263" s="210"/>
      <c r="E1263" s="210"/>
      <c r="F1263" s="210"/>
      <c r="G1263" s="210"/>
      <c r="H1263" s="210"/>
    </row>
    <row r="1264" spans="3:8" x14ac:dyDescent="0.25">
      <c r="C1264" s="210"/>
      <c r="D1264" s="210"/>
      <c r="E1264" s="210"/>
      <c r="F1264" s="210"/>
      <c r="G1264" s="210"/>
      <c r="H1264" s="210"/>
    </row>
    <row r="1265" spans="3:8" x14ac:dyDescent="0.25">
      <c r="C1265" s="210"/>
      <c r="D1265" s="210"/>
      <c r="E1265" s="210"/>
      <c r="F1265" s="210"/>
      <c r="G1265" s="210"/>
      <c r="H1265" s="210"/>
    </row>
    <row r="1266" spans="3:8" x14ac:dyDescent="0.25">
      <c r="C1266" s="210"/>
      <c r="D1266" s="210"/>
      <c r="E1266" s="210"/>
      <c r="F1266" s="210"/>
      <c r="G1266" s="210"/>
      <c r="H1266" s="210"/>
    </row>
    <row r="1267" spans="3:8" x14ac:dyDescent="0.25">
      <c r="C1267" s="210"/>
      <c r="D1267" s="210"/>
      <c r="E1267" s="210"/>
      <c r="F1267" s="210"/>
      <c r="G1267" s="210"/>
      <c r="H1267" s="210"/>
    </row>
    <row r="1268" spans="3:8" x14ac:dyDescent="0.25">
      <c r="C1268" s="210"/>
      <c r="D1268" s="210"/>
      <c r="E1268" s="210"/>
      <c r="F1268" s="210"/>
      <c r="G1268" s="210"/>
      <c r="H1268" s="210"/>
    </row>
    <row r="1269" spans="3:8" x14ac:dyDescent="0.25">
      <c r="C1269" s="210"/>
      <c r="D1269" s="210"/>
      <c r="E1269" s="210"/>
      <c r="F1269" s="210"/>
      <c r="G1269" s="210"/>
      <c r="H1269" s="210"/>
    </row>
    <row r="1270" spans="3:8" x14ac:dyDescent="0.25">
      <c r="C1270" s="210"/>
      <c r="D1270" s="210"/>
      <c r="E1270" s="210"/>
      <c r="F1270" s="210"/>
      <c r="G1270" s="210"/>
      <c r="H1270" s="210"/>
    </row>
    <row r="1271" spans="3:8" x14ac:dyDescent="0.25">
      <c r="C1271" s="210"/>
      <c r="D1271" s="210"/>
      <c r="E1271" s="210"/>
      <c r="F1271" s="210"/>
      <c r="G1271" s="210"/>
      <c r="H1271" s="210"/>
    </row>
    <row r="1272" spans="3:8" x14ac:dyDescent="0.25">
      <c r="C1272" s="210"/>
      <c r="D1272" s="210"/>
      <c r="E1272" s="210"/>
      <c r="F1272" s="210"/>
      <c r="G1272" s="210"/>
      <c r="H1272" s="210"/>
    </row>
    <row r="1273" spans="3:8" x14ac:dyDescent="0.25">
      <c r="C1273" s="210"/>
      <c r="D1273" s="210"/>
      <c r="E1273" s="210"/>
      <c r="F1273" s="210"/>
      <c r="G1273" s="210"/>
      <c r="H1273" s="210"/>
    </row>
    <row r="1274" spans="3:8" x14ac:dyDescent="0.25">
      <c r="C1274" s="210"/>
      <c r="D1274" s="210"/>
      <c r="E1274" s="210"/>
      <c r="F1274" s="210"/>
      <c r="G1274" s="210"/>
      <c r="H1274" s="210"/>
    </row>
    <row r="1275" spans="3:8" x14ac:dyDescent="0.25">
      <c r="C1275" s="210"/>
      <c r="D1275" s="210"/>
      <c r="E1275" s="210"/>
      <c r="F1275" s="210"/>
      <c r="G1275" s="210"/>
      <c r="H1275" s="210"/>
    </row>
    <row r="1276" spans="3:8" x14ac:dyDescent="0.25">
      <c r="C1276" s="210"/>
      <c r="D1276" s="210"/>
      <c r="E1276" s="210"/>
      <c r="F1276" s="210"/>
      <c r="G1276" s="210"/>
      <c r="H1276" s="210"/>
    </row>
    <row r="1277" spans="3:8" x14ac:dyDescent="0.25">
      <c r="C1277" s="210"/>
      <c r="D1277" s="210"/>
      <c r="E1277" s="210"/>
      <c r="F1277" s="210"/>
      <c r="G1277" s="210"/>
      <c r="H1277" s="210"/>
    </row>
    <row r="1278" spans="3:8" x14ac:dyDescent="0.25">
      <c r="C1278" s="210"/>
      <c r="D1278" s="210"/>
      <c r="E1278" s="210"/>
      <c r="F1278" s="210"/>
      <c r="G1278" s="210"/>
      <c r="H1278" s="210"/>
    </row>
    <row r="1279" spans="3:8" x14ac:dyDescent="0.25">
      <c r="C1279" s="210"/>
      <c r="D1279" s="210"/>
      <c r="E1279" s="210"/>
      <c r="F1279" s="210"/>
      <c r="G1279" s="210"/>
      <c r="H1279" s="210"/>
    </row>
    <row r="1280" spans="3:8" x14ac:dyDescent="0.25">
      <c r="C1280" s="210"/>
      <c r="D1280" s="210"/>
      <c r="E1280" s="210"/>
      <c r="F1280" s="210"/>
      <c r="G1280" s="210"/>
      <c r="H1280" s="210"/>
    </row>
    <row r="1281" spans="3:8" x14ac:dyDescent="0.25">
      <c r="C1281" s="210"/>
      <c r="D1281" s="210"/>
      <c r="E1281" s="210"/>
      <c r="F1281" s="210"/>
      <c r="G1281" s="210"/>
      <c r="H1281" s="210"/>
    </row>
    <row r="1282" spans="3:8" x14ac:dyDescent="0.25">
      <c r="C1282" s="210"/>
      <c r="D1282" s="210"/>
      <c r="E1282" s="210"/>
      <c r="F1282" s="210"/>
      <c r="G1282" s="210"/>
      <c r="H1282" s="210"/>
    </row>
    <row r="1283" spans="3:8" x14ac:dyDescent="0.25">
      <c r="C1283" s="210"/>
      <c r="D1283" s="210"/>
      <c r="E1283" s="210"/>
      <c r="F1283" s="210"/>
      <c r="G1283" s="210"/>
      <c r="H1283" s="210"/>
    </row>
    <row r="1284" spans="3:8" x14ac:dyDescent="0.25">
      <c r="C1284" s="210"/>
      <c r="D1284" s="210"/>
      <c r="E1284" s="210"/>
      <c r="F1284" s="210"/>
      <c r="G1284" s="210"/>
      <c r="H1284" s="210"/>
    </row>
    <row r="1285" spans="3:8" x14ac:dyDescent="0.25">
      <c r="C1285" s="210"/>
      <c r="D1285" s="210"/>
      <c r="E1285" s="210"/>
      <c r="F1285" s="210"/>
      <c r="G1285" s="210"/>
      <c r="H1285" s="210"/>
    </row>
    <row r="1286" spans="3:8" x14ac:dyDescent="0.25">
      <c r="C1286" s="210"/>
      <c r="D1286" s="210"/>
      <c r="E1286" s="210"/>
      <c r="F1286" s="210"/>
      <c r="G1286" s="210"/>
      <c r="H1286" s="210"/>
    </row>
    <row r="1287" spans="3:8" x14ac:dyDescent="0.25">
      <c r="C1287" s="210"/>
      <c r="D1287" s="210"/>
      <c r="E1287" s="210"/>
      <c r="F1287" s="210"/>
      <c r="G1287" s="210"/>
      <c r="H1287" s="210"/>
    </row>
    <row r="1288" spans="3:8" x14ac:dyDescent="0.25">
      <c r="C1288" s="210"/>
      <c r="D1288" s="210"/>
      <c r="E1288" s="210"/>
      <c r="F1288" s="210"/>
      <c r="G1288" s="210"/>
      <c r="H1288" s="210"/>
    </row>
    <row r="1289" spans="3:8" x14ac:dyDescent="0.25">
      <c r="C1289" s="210"/>
      <c r="D1289" s="210"/>
      <c r="E1289" s="210"/>
      <c r="F1289" s="210"/>
      <c r="G1289" s="210"/>
      <c r="H1289" s="210"/>
    </row>
    <row r="1290" spans="3:8" x14ac:dyDescent="0.25">
      <c r="C1290" s="210"/>
      <c r="D1290" s="210"/>
      <c r="E1290" s="210"/>
      <c r="F1290" s="210"/>
      <c r="G1290" s="210"/>
      <c r="H1290" s="210"/>
    </row>
    <row r="1291" spans="3:8" x14ac:dyDescent="0.25">
      <c r="C1291" s="210"/>
      <c r="D1291" s="210"/>
      <c r="E1291" s="210"/>
      <c r="F1291" s="210"/>
      <c r="G1291" s="210"/>
      <c r="H1291" s="210"/>
    </row>
    <row r="1292" spans="3:8" x14ac:dyDescent="0.25">
      <c r="C1292" s="210"/>
      <c r="D1292" s="210"/>
      <c r="E1292" s="210"/>
      <c r="F1292" s="210"/>
      <c r="G1292" s="210"/>
      <c r="H1292" s="210"/>
    </row>
    <row r="1293" spans="3:8" x14ac:dyDescent="0.25">
      <c r="C1293" s="210"/>
      <c r="D1293" s="210"/>
      <c r="E1293" s="210"/>
      <c r="F1293" s="210"/>
      <c r="G1293" s="210"/>
      <c r="H1293" s="210"/>
    </row>
    <row r="1294" spans="3:8" x14ac:dyDescent="0.25">
      <c r="C1294" s="210"/>
      <c r="D1294" s="210"/>
      <c r="E1294" s="210"/>
      <c r="F1294" s="210"/>
      <c r="G1294" s="210"/>
      <c r="H1294" s="210"/>
    </row>
    <row r="1295" spans="3:8" x14ac:dyDescent="0.25">
      <c r="C1295" s="210"/>
      <c r="D1295" s="210"/>
      <c r="E1295" s="210"/>
      <c r="F1295" s="210"/>
      <c r="G1295" s="210"/>
      <c r="H1295" s="210"/>
    </row>
    <row r="1296" spans="3:8" x14ac:dyDescent="0.25">
      <c r="C1296" s="210"/>
      <c r="D1296" s="210"/>
      <c r="E1296" s="210"/>
      <c r="F1296" s="210"/>
      <c r="G1296" s="210"/>
      <c r="H1296" s="210"/>
    </row>
    <row r="1297" spans="3:8" x14ac:dyDescent="0.25">
      <c r="C1297" s="210"/>
      <c r="D1297" s="210"/>
      <c r="E1297" s="210"/>
      <c r="F1297" s="210"/>
      <c r="G1297" s="210"/>
      <c r="H1297" s="210"/>
    </row>
    <row r="1298" spans="3:8" x14ac:dyDescent="0.25">
      <c r="C1298" s="210"/>
      <c r="D1298" s="210"/>
      <c r="E1298" s="210"/>
      <c r="F1298" s="210"/>
      <c r="G1298" s="210"/>
      <c r="H1298" s="210"/>
    </row>
    <row r="1299" spans="3:8" x14ac:dyDescent="0.25">
      <c r="C1299" s="210"/>
      <c r="D1299" s="210"/>
      <c r="E1299" s="210"/>
      <c r="F1299" s="210"/>
      <c r="G1299" s="210"/>
      <c r="H1299" s="210"/>
    </row>
    <row r="1300" spans="3:8" x14ac:dyDescent="0.25">
      <c r="C1300" s="210"/>
      <c r="D1300" s="210"/>
      <c r="E1300" s="210"/>
      <c r="F1300" s="210"/>
      <c r="G1300" s="210"/>
      <c r="H1300" s="210"/>
    </row>
    <row r="1301" spans="3:8" x14ac:dyDescent="0.25">
      <c r="C1301" s="210"/>
      <c r="D1301" s="210"/>
      <c r="E1301" s="210"/>
      <c r="F1301" s="210"/>
      <c r="G1301" s="210"/>
      <c r="H1301" s="210"/>
    </row>
    <row r="1302" spans="3:8" x14ac:dyDescent="0.25">
      <c r="C1302" s="210"/>
      <c r="D1302" s="210"/>
      <c r="E1302" s="210"/>
      <c r="F1302" s="210"/>
      <c r="G1302" s="210"/>
      <c r="H1302" s="210"/>
    </row>
    <row r="1303" spans="3:8" x14ac:dyDescent="0.25">
      <c r="C1303" s="210"/>
      <c r="D1303" s="210"/>
      <c r="E1303" s="210"/>
      <c r="F1303" s="210"/>
      <c r="G1303" s="210"/>
      <c r="H1303" s="210"/>
    </row>
    <row r="1304" spans="3:8" x14ac:dyDescent="0.25">
      <c r="C1304" s="210"/>
      <c r="D1304" s="210"/>
      <c r="E1304" s="210"/>
      <c r="F1304" s="210"/>
      <c r="G1304" s="210"/>
      <c r="H1304" s="210"/>
    </row>
    <row r="1305" spans="3:8" x14ac:dyDescent="0.25">
      <c r="C1305" s="210"/>
      <c r="D1305" s="210"/>
      <c r="E1305" s="210"/>
      <c r="F1305" s="210"/>
      <c r="G1305" s="210"/>
      <c r="H1305" s="210"/>
    </row>
    <row r="1306" spans="3:8" x14ac:dyDescent="0.25">
      <c r="C1306" s="210"/>
      <c r="D1306" s="210"/>
      <c r="E1306" s="210"/>
      <c r="F1306" s="210"/>
      <c r="G1306" s="210"/>
      <c r="H1306" s="210"/>
    </row>
    <row r="1307" spans="3:8" x14ac:dyDescent="0.25">
      <c r="C1307" s="210"/>
      <c r="D1307" s="210"/>
      <c r="E1307" s="210"/>
      <c r="F1307" s="210"/>
      <c r="G1307" s="210"/>
      <c r="H1307" s="210"/>
    </row>
    <row r="1308" spans="3:8" x14ac:dyDescent="0.25">
      <c r="C1308" s="210"/>
      <c r="D1308" s="210"/>
      <c r="E1308" s="210"/>
      <c r="F1308" s="210"/>
      <c r="G1308" s="210"/>
      <c r="H1308" s="210"/>
    </row>
    <row r="1309" spans="3:8" x14ac:dyDescent="0.25">
      <c r="C1309" s="210"/>
      <c r="D1309" s="210"/>
      <c r="E1309" s="210"/>
      <c r="F1309" s="210"/>
      <c r="G1309" s="210"/>
      <c r="H1309" s="210"/>
    </row>
    <row r="1310" spans="3:8" x14ac:dyDescent="0.25">
      <c r="C1310" s="210"/>
      <c r="D1310" s="210"/>
      <c r="E1310" s="210"/>
      <c r="F1310" s="210"/>
      <c r="G1310" s="210"/>
      <c r="H1310" s="210"/>
    </row>
    <row r="1311" spans="3:8" x14ac:dyDescent="0.25">
      <c r="C1311" s="210"/>
      <c r="D1311" s="210"/>
      <c r="E1311" s="210"/>
      <c r="F1311" s="210"/>
      <c r="G1311" s="210"/>
      <c r="H1311" s="210"/>
    </row>
    <row r="1312" spans="3:8" x14ac:dyDescent="0.25">
      <c r="C1312" s="210"/>
      <c r="D1312" s="210"/>
      <c r="E1312" s="210"/>
      <c r="F1312" s="210"/>
      <c r="G1312" s="210"/>
      <c r="H1312" s="210"/>
    </row>
    <row r="1313" spans="3:8" x14ac:dyDescent="0.25">
      <c r="C1313" s="210"/>
      <c r="D1313" s="210"/>
      <c r="E1313" s="210"/>
      <c r="F1313" s="210"/>
      <c r="G1313" s="210"/>
      <c r="H1313" s="210"/>
    </row>
    <row r="1314" spans="3:8" x14ac:dyDescent="0.25">
      <c r="C1314" s="210"/>
      <c r="D1314" s="210"/>
      <c r="E1314" s="210"/>
      <c r="F1314" s="210"/>
      <c r="G1314" s="210"/>
      <c r="H1314" s="210"/>
    </row>
    <row r="1315" spans="3:8" x14ac:dyDescent="0.25">
      <c r="C1315" s="210"/>
      <c r="D1315" s="210"/>
      <c r="E1315" s="210"/>
      <c r="F1315" s="210"/>
      <c r="G1315" s="210"/>
      <c r="H1315" s="210"/>
    </row>
    <row r="1316" spans="3:8" x14ac:dyDescent="0.25">
      <c r="C1316" s="210"/>
      <c r="D1316" s="210"/>
      <c r="E1316" s="210"/>
      <c r="F1316" s="210"/>
      <c r="G1316" s="210"/>
      <c r="H1316" s="210"/>
    </row>
    <row r="1317" spans="3:8" x14ac:dyDescent="0.25">
      <c r="C1317" s="210"/>
      <c r="D1317" s="210"/>
      <c r="E1317" s="210"/>
      <c r="F1317" s="210"/>
      <c r="G1317" s="210"/>
      <c r="H1317" s="210"/>
    </row>
    <row r="1318" spans="3:8" x14ac:dyDescent="0.25">
      <c r="C1318" s="210"/>
      <c r="D1318" s="210"/>
      <c r="E1318" s="210"/>
      <c r="F1318" s="210"/>
      <c r="G1318" s="210"/>
      <c r="H1318" s="210"/>
    </row>
    <row r="1319" spans="3:8" x14ac:dyDescent="0.25">
      <c r="C1319" s="210"/>
      <c r="D1319" s="210"/>
      <c r="E1319" s="210"/>
      <c r="F1319" s="210"/>
      <c r="G1319" s="210"/>
      <c r="H1319" s="210"/>
    </row>
    <row r="1320" spans="3:8" x14ac:dyDescent="0.25">
      <c r="C1320" s="210"/>
      <c r="D1320" s="210"/>
      <c r="E1320" s="210"/>
      <c r="F1320" s="210"/>
      <c r="G1320" s="210"/>
      <c r="H1320" s="210"/>
    </row>
    <row r="1321" spans="3:8" x14ac:dyDescent="0.25">
      <c r="C1321" s="210"/>
      <c r="D1321" s="210"/>
      <c r="E1321" s="210"/>
      <c r="F1321" s="210"/>
      <c r="G1321" s="210"/>
      <c r="H1321" s="210"/>
    </row>
    <row r="1322" spans="3:8" x14ac:dyDescent="0.25">
      <c r="C1322" s="210"/>
      <c r="D1322" s="210"/>
      <c r="E1322" s="210"/>
      <c r="F1322" s="210"/>
      <c r="G1322" s="210"/>
      <c r="H1322" s="210"/>
    </row>
    <row r="1323" spans="3:8" x14ac:dyDescent="0.25">
      <c r="C1323" s="210"/>
      <c r="D1323" s="210"/>
      <c r="E1323" s="210"/>
      <c r="F1323" s="210"/>
      <c r="G1323" s="210"/>
      <c r="H1323" s="210"/>
    </row>
    <row r="1324" spans="3:8" x14ac:dyDescent="0.25">
      <c r="C1324" s="210"/>
      <c r="D1324" s="210"/>
      <c r="E1324" s="210"/>
      <c r="F1324" s="210"/>
      <c r="G1324" s="210"/>
      <c r="H1324" s="210"/>
    </row>
    <row r="1325" spans="3:8" x14ac:dyDescent="0.25">
      <c r="C1325" s="210"/>
      <c r="D1325" s="210"/>
      <c r="E1325" s="210"/>
      <c r="F1325" s="210"/>
      <c r="G1325" s="210"/>
      <c r="H1325" s="210"/>
    </row>
    <row r="1326" spans="3:8" x14ac:dyDescent="0.25">
      <c r="C1326" s="210"/>
      <c r="D1326" s="210"/>
      <c r="E1326" s="210"/>
      <c r="F1326" s="210"/>
      <c r="G1326" s="210"/>
      <c r="H1326" s="210"/>
    </row>
    <row r="1327" spans="3:8" x14ac:dyDescent="0.25">
      <c r="C1327" s="210"/>
      <c r="D1327" s="210"/>
      <c r="E1327" s="210"/>
      <c r="F1327" s="210"/>
      <c r="G1327" s="210"/>
      <c r="H1327" s="210"/>
    </row>
    <row r="1328" spans="3:8" x14ac:dyDescent="0.25">
      <c r="C1328" s="210"/>
      <c r="D1328" s="210"/>
      <c r="E1328" s="210"/>
      <c r="F1328" s="210"/>
      <c r="G1328" s="210"/>
      <c r="H1328" s="210"/>
    </row>
    <row r="1329" spans="3:8" x14ac:dyDescent="0.25">
      <c r="C1329" s="210"/>
      <c r="D1329" s="210"/>
      <c r="E1329" s="210"/>
      <c r="F1329" s="210"/>
      <c r="G1329" s="210"/>
      <c r="H1329" s="210"/>
    </row>
    <row r="1330" spans="3:8" x14ac:dyDescent="0.25">
      <c r="C1330" s="210"/>
      <c r="D1330" s="210"/>
      <c r="E1330" s="210"/>
      <c r="F1330" s="210"/>
      <c r="G1330" s="210"/>
      <c r="H1330" s="210"/>
    </row>
    <row r="1331" spans="3:8" x14ac:dyDescent="0.25">
      <c r="C1331" s="210"/>
      <c r="D1331" s="210"/>
      <c r="E1331" s="210"/>
      <c r="F1331" s="210"/>
      <c r="G1331" s="210"/>
      <c r="H1331" s="210"/>
    </row>
    <row r="1332" spans="3:8" x14ac:dyDescent="0.25">
      <c r="C1332" s="210"/>
      <c r="D1332" s="210"/>
      <c r="E1332" s="210"/>
      <c r="F1332" s="210"/>
      <c r="G1332" s="210"/>
      <c r="H1332" s="210"/>
    </row>
    <row r="1333" spans="3:8" x14ac:dyDescent="0.25">
      <c r="C1333" s="210"/>
      <c r="D1333" s="210"/>
      <c r="E1333" s="210"/>
      <c r="F1333" s="210"/>
      <c r="G1333" s="210"/>
      <c r="H1333" s="210"/>
    </row>
    <row r="1334" spans="3:8" x14ac:dyDescent="0.25">
      <c r="C1334" s="210"/>
      <c r="D1334" s="210"/>
      <c r="E1334" s="210"/>
      <c r="F1334" s="210"/>
      <c r="G1334" s="210"/>
      <c r="H1334" s="210"/>
    </row>
    <row r="1335" spans="3:8" x14ac:dyDescent="0.25">
      <c r="C1335" s="210"/>
      <c r="D1335" s="210"/>
      <c r="E1335" s="210"/>
      <c r="F1335" s="210"/>
      <c r="G1335" s="210"/>
      <c r="H1335" s="210"/>
    </row>
    <row r="1336" spans="3:8" x14ac:dyDescent="0.25">
      <c r="C1336" s="210"/>
      <c r="D1336" s="210"/>
      <c r="E1336" s="210"/>
      <c r="F1336" s="210"/>
      <c r="G1336" s="210"/>
      <c r="H1336" s="210"/>
    </row>
    <row r="1337" spans="3:8" x14ac:dyDescent="0.25">
      <c r="C1337" s="210"/>
      <c r="D1337" s="210"/>
      <c r="E1337" s="210"/>
      <c r="F1337" s="210"/>
      <c r="G1337" s="210"/>
      <c r="H1337" s="210"/>
    </row>
    <row r="1338" spans="3:8" x14ac:dyDescent="0.25">
      <c r="C1338" s="210"/>
      <c r="D1338" s="210"/>
      <c r="E1338" s="210"/>
      <c r="F1338" s="210"/>
      <c r="G1338" s="210"/>
      <c r="H1338" s="210"/>
    </row>
    <row r="1339" spans="3:8" x14ac:dyDescent="0.25">
      <c r="C1339" s="210"/>
      <c r="D1339" s="210"/>
      <c r="E1339" s="210"/>
      <c r="F1339" s="210"/>
      <c r="G1339" s="210"/>
      <c r="H1339" s="210"/>
    </row>
    <row r="1340" spans="3:8" x14ac:dyDescent="0.25">
      <c r="C1340" s="210"/>
      <c r="D1340" s="210"/>
      <c r="E1340" s="210"/>
      <c r="F1340" s="210"/>
      <c r="G1340" s="210"/>
      <c r="H1340" s="210"/>
    </row>
    <row r="1341" spans="3:8" x14ac:dyDescent="0.25">
      <c r="C1341" s="210"/>
      <c r="D1341" s="210"/>
      <c r="E1341" s="210"/>
      <c r="F1341" s="210"/>
      <c r="G1341" s="210"/>
      <c r="H1341" s="210"/>
    </row>
    <row r="1342" spans="3:8" x14ac:dyDescent="0.25">
      <c r="C1342" s="210"/>
      <c r="D1342" s="210"/>
      <c r="E1342" s="210"/>
      <c r="F1342" s="210"/>
      <c r="G1342" s="210"/>
      <c r="H1342" s="210"/>
    </row>
    <row r="1343" spans="3:8" x14ac:dyDescent="0.25">
      <c r="C1343" s="210"/>
      <c r="D1343" s="210"/>
      <c r="E1343" s="210"/>
      <c r="F1343" s="210"/>
      <c r="G1343" s="210"/>
      <c r="H1343" s="210"/>
    </row>
    <row r="1344" spans="3:8" x14ac:dyDescent="0.25">
      <c r="C1344" s="210"/>
      <c r="D1344" s="210"/>
      <c r="E1344" s="210"/>
      <c r="F1344" s="210"/>
      <c r="G1344" s="210"/>
      <c r="H1344" s="210"/>
    </row>
    <row r="1345" spans="3:8" x14ac:dyDescent="0.25">
      <c r="C1345" s="210"/>
      <c r="D1345" s="210"/>
      <c r="E1345" s="210"/>
      <c r="F1345" s="210"/>
      <c r="G1345" s="210"/>
      <c r="H1345" s="210"/>
    </row>
    <row r="1346" spans="3:8" x14ac:dyDescent="0.25">
      <c r="C1346" s="210"/>
      <c r="D1346" s="210"/>
      <c r="E1346" s="210"/>
      <c r="F1346" s="210"/>
      <c r="G1346" s="210"/>
      <c r="H1346" s="210"/>
    </row>
    <row r="1347" spans="3:8" x14ac:dyDescent="0.25">
      <c r="C1347" s="210"/>
      <c r="D1347" s="210"/>
      <c r="E1347" s="210"/>
      <c r="F1347" s="210"/>
      <c r="G1347" s="210"/>
      <c r="H1347" s="210"/>
    </row>
    <row r="1348" spans="3:8" x14ac:dyDescent="0.25">
      <c r="C1348" s="210"/>
      <c r="D1348" s="210"/>
      <c r="E1348" s="210"/>
      <c r="F1348" s="210"/>
      <c r="G1348" s="210"/>
      <c r="H1348" s="210"/>
    </row>
    <row r="1349" spans="3:8" x14ac:dyDescent="0.25">
      <c r="C1349" s="210"/>
      <c r="D1349" s="210"/>
      <c r="E1349" s="210"/>
      <c r="F1349" s="210"/>
      <c r="G1349" s="210"/>
      <c r="H1349" s="210"/>
    </row>
    <row r="1350" spans="3:8" x14ac:dyDescent="0.25">
      <c r="C1350" s="210"/>
      <c r="D1350" s="210"/>
      <c r="E1350" s="210"/>
      <c r="F1350" s="210"/>
      <c r="G1350" s="210"/>
      <c r="H1350" s="210"/>
    </row>
    <row r="1351" spans="3:8" x14ac:dyDescent="0.25">
      <c r="C1351" s="210"/>
      <c r="D1351" s="210"/>
      <c r="E1351" s="210"/>
      <c r="F1351" s="210"/>
      <c r="G1351" s="210"/>
      <c r="H1351" s="210"/>
    </row>
    <row r="1352" spans="3:8" x14ac:dyDescent="0.25">
      <c r="C1352" s="210"/>
      <c r="D1352" s="210"/>
      <c r="E1352" s="210"/>
      <c r="F1352" s="210"/>
      <c r="G1352" s="210"/>
      <c r="H1352" s="210"/>
    </row>
    <row r="1353" spans="3:8" x14ac:dyDescent="0.25">
      <c r="C1353" s="210"/>
      <c r="D1353" s="210"/>
      <c r="E1353" s="210"/>
      <c r="F1353" s="210"/>
      <c r="G1353" s="210"/>
      <c r="H1353" s="210"/>
    </row>
    <row r="1354" spans="3:8" x14ac:dyDescent="0.25">
      <c r="C1354" s="210"/>
      <c r="D1354" s="210"/>
      <c r="E1354" s="210"/>
      <c r="F1354" s="210"/>
      <c r="G1354" s="210"/>
      <c r="H1354" s="210"/>
    </row>
    <row r="1355" spans="3:8" x14ac:dyDescent="0.25">
      <c r="C1355" s="210"/>
      <c r="D1355" s="210"/>
      <c r="E1355" s="210"/>
      <c r="F1355" s="210"/>
      <c r="G1355" s="210"/>
      <c r="H1355" s="210"/>
    </row>
    <row r="1356" spans="3:8" x14ac:dyDescent="0.25">
      <c r="C1356" s="210"/>
      <c r="D1356" s="210"/>
      <c r="E1356" s="210"/>
      <c r="F1356" s="210"/>
      <c r="G1356" s="210"/>
      <c r="H1356" s="210"/>
    </row>
    <row r="1357" spans="3:8" x14ac:dyDescent="0.25">
      <c r="C1357" s="210"/>
      <c r="D1357" s="210"/>
      <c r="E1357" s="210"/>
      <c r="F1357" s="210"/>
      <c r="G1357" s="210"/>
      <c r="H1357" s="210"/>
    </row>
    <row r="1358" spans="3:8" x14ac:dyDescent="0.25">
      <c r="C1358" s="210"/>
      <c r="D1358" s="210"/>
      <c r="E1358" s="210"/>
      <c r="F1358" s="210"/>
      <c r="G1358" s="210"/>
      <c r="H1358" s="210"/>
    </row>
    <row r="1359" spans="3:8" x14ac:dyDescent="0.25">
      <c r="C1359" s="210"/>
      <c r="D1359" s="210"/>
      <c r="E1359" s="210"/>
      <c r="F1359" s="210"/>
      <c r="G1359" s="210"/>
      <c r="H1359" s="210"/>
    </row>
    <row r="1360" spans="3:8" x14ac:dyDescent="0.25">
      <c r="C1360" s="210"/>
      <c r="D1360" s="210"/>
      <c r="E1360" s="210"/>
      <c r="F1360" s="210"/>
      <c r="G1360" s="210"/>
      <c r="H1360" s="210"/>
    </row>
    <row r="1361" spans="3:8" x14ac:dyDescent="0.25">
      <c r="C1361" s="210"/>
      <c r="D1361" s="210"/>
      <c r="E1361" s="210"/>
      <c r="F1361" s="210"/>
      <c r="G1361" s="210"/>
      <c r="H1361" s="210"/>
    </row>
    <row r="1362" spans="3:8" x14ac:dyDescent="0.25">
      <c r="C1362" s="210"/>
      <c r="D1362" s="210"/>
      <c r="E1362" s="210"/>
      <c r="F1362" s="210"/>
      <c r="G1362" s="210"/>
      <c r="H1362" s="210"/>
    </row>
    <row r="1363" spans="3:8" x14ac:dyDescent="0.25">
      <c r="C1363" s="210"/>
      <c r="D1363" s="210"/>
      <c r="E1363" s="210"/>
      <c r="F1363" s="210"/>
      <c r="G1363" s="210"/>
      <c r="H1363" s="210"/>
    </row>
    <row r="1364" spans="3:8" x14ac:dyDescent="0.25">
      <c r="C1364" s="210"/>
      <c r="D1364" s="210"/>
      <c r="E1364" s="210"/>
      <c r="F1364" s="210"/>
      <c r="G1364" s="210"/>
      <c r="H1364" s="210"/>
    </row>
    <row r="1365" spans="3:8" x14ac:dyDescent="0.25">
      <c r="C1365" s="210"/>
      <c r="D1365" s="210"/>
      <c r="E1365" s="210"/>
      <c r="F1365" s="210"/>
      <c r="G1365" s="210"/>
      <c r="H1365" s="210"/>
    </row>
    <row r="1366" spans="3:8" x14ac:dyDescent="0.25">
      <c r="C1366" s="210"/>
      <c r="D1366" s="210"/>
      <c r="E1366" s="210"/>
      <c r="F1366" s="210"/>
      <c r="G1366" s="210"/>
      <c r="H1366" s="210"/>
    </row>
    <row r="1367" spans="3:8" x14ac:dyDescent="0.25">
      <c r="C1367" s="210"/>
      <c r="D1367" s="210"/>
      <c r="E1367" s="210"/>
      <c r="F1367" s="210"/>
      <c r="G1367" s="210"/>
      <c r="H1367" s="210"/>
    </row>
    <row r="1368" spans="3:8" x14ac:dyDescent="0.25">
      <c r="C1368" s="210"/>
      <c r="D1368" s="210"/>
      <c r="E1368" s="210"/>
      <c r="F1368" s="210"/>
      <c r="G1368" s="210"/>
      <c r="H1368" s="210"/>
    </row>
    <row r="1369" spans="3:8" x14ac:dyDescent="0.25">
      <c r="C1369" s="210"/>
      <c r="D1369" s="210"/>
      <c r="E1369" s="210"/>
      <c r="F1369" s="210"/>
      <c r="G1369" s="210"/>
      <c r="H1369" s="210"/>
    </row>
    <row r="1370" spans="3:8" x14ac:dyDescent="0.25">
      <c r="C1370" s="210"/>
      <c r="D1370" s="210"/>
      <c r="E1370" s="210"/>
      <c r="F1370" s="210"/>
      <c r="G1370" s="210"/>
      <c r="H1370" s="210"/>
    </row>
    <row r="1371" spans="3:8" x14ac:dyDescent="0.25">
      <c r="C1371" s="210"/>
      <c r="D1371" s="210"/>
      <c r="E1371" s="210"/>
      <c r="F1371" s="210"/>
      <c r="G1371" s="210"/>
      <c r="H1371" s="210"/>
    </row>
    <row r="1372" spans="3:8" x14ac:dyDescent="0.25">
      <c r="C1372" s="210"/>
      <c r="D1372" s="210"/>
      <c r="E1372" s="210"/>
      <c r="F1372" s="210"/>
      <c r="G1372" s="210"/>
      <c r="H1372" s="210"/>
    </row>
    <row r="1373" spans="3:8" x14ac:dyDescent="0.25">
      <c r="C1373" s="210"/>
      <c r="D1373" s="210"/>
      <c r="E1373" s="210"/>
      <c r="F1373" s="210"/>
      <c r="G1373" s="210"/>
      <c r="H1373" s="210"/>
    </row>
    <row r="1374" spans="3:8" x14ac:dyDescent="0.25">
      <c r="C1374" s="210"/>
      <c r="D1374" s="210"/>
      <c r="E1374" s="210"/>
      <c r="F1374" s="210"/>
      <c r="G1374" s="210"/>
      <c r="H1374" s="210"/>
    </row>
    <row r="1375" spans="3:8" x14ac:dyDescent="0.25">
      <c r="C1375" s="210"/>
      <c r="D1375" s="210"/>
      <c r="E1375" s="210"/>
      <c r="F1375" s="210"/>
      <c r="G1375" s="210"/>
      <c r="H1375" s="210"/>
    </row>
    <row r="1376" spans="3:8" x14ac:dyDescent="0.25">
      <c r="C1376" s="210"/>
      <c r="D1376" s="210"/>
      <c r="E1376" s="210"/>
      <c r="F1376" s="210"/>
      <c r="G1376" s="210"/>
      <c r="H1376" s="210"/>
    </row>
    <row r="1377" spans="3:8" x14ac:dyDescent="0.25">
      <c r="C1377" s="210"/>
      <c r="D1377" s="210"/>
      <c r="E1377" s="210"/>
      <c r="F1377" s="210"/>
      <c r="G1377" s="210"/>
      <c r="H1377" s="210"/>
    </row>
    <row r="1378" spans="3:8" x14ac:dyDescent="0.25">
      <c r="C1378" s="210"/>
      <c r="D1378" s="210"/>
      <c r="E1378" s="210"/>
      <c r="F1378" s="210"/>
      <c r="G1378" s="210"/>
      <c r="H1378" s="210"/>
    </row>
    <row r="1379" spans="3:8" x14ac:dyDescent="0.25">
      <c r="C1379" s="210"/>
      <c r="D1379" s="210"/>
      <c r="E1379" s="210"/>
      <c r="F1379" s="210"/>
      <c r="G1379" s="210"/>
      <c r="H1379" s="210"/>
    </row>
    <row r="1380" spans="3:8" x14ac:dyDescent="0.25">
      <c r="C1380" s="210"/>
      <c r="D1380" s="210"/>
      <c r="E1380" s="210"/>
      <c r="F1380" s="210"/>
      <c r="G1380" s="210"/>
      <c r="H1380" s="210"/>
    </row>
    <row r="1381" spans="3:8" x14ac:dyDescent="0.25">
      <c r="C1381" s="210"/>
      <c r="D1381" s="210"/>
      <c r="E1381" s="210"/>
      <c r="F1381" s="210"/>
      <c r="G1381" s="210"/>
      <c r="H1381" s="210"/>
    </row>
    <row r="1382" spans="3:8" x14ac:dyDescent="0.25">
      <c r="C1382" s="210"/>
      <c r="D1382" s="210"/>
      <c r="E1382" s="210"/>
      <c r="F1382" s="210"/>
      <c r="G1382" s="210"/>
      <c r="H1382" s="210"/>
    </row>
    <row r="1383" spans="3:8" x14ac:dyDescent="0.25">
      <c r="C1383" s="210"/>
      <c r="D1383" s="210"/>
      <c r="E1383" s="210"/>
      <c r="F1383" s="210"/>
      <c r="G1383" s="210"/>
      <c r="H1383" s="210"/>
    </row>
    <row r="1384" spans="3:8" x14ac:dyDescent="0.25">
      <c r="C1384" s="210"/>
      <c r="D1384" s="210"/>
      <c r="E1384" s="210"/>
      <c r="F1384" s="210"/>
      <c r="G1384" s="210"/>
      <c r="H1384" s="210"/>
    </row>
    <row r="1385" spans="3:8" x14ac:dyDescent="0.25">
      <c r="C1385" s="210"/>
      <c r="D1385" s="210"/>
      <c r="E1385" s="210"/>
      <c r="F1385" s="210"/>
      <c r="G1385" s="210"/>
      <c r="H1385" s="210"/>
    </row>
    <row r="1386" spans="3:8" x14ac:dyDescent="0.25">
      <c r="C1386" s="210"/>
      <c r="D1386" s="210"/>
      <c r="E1386" s="210"/>
      <c r="F1386" s="210"/>
      <c r="G1386" s="210"/>
      <c r="H1386" s="210"/>
    </row>
    <row r="1387" spans="3:8" x14ac:dyDescent="0.25">
      <c r="C1387" s="210"/>
      <c r="D1387" s="210"/>
      <c r="E1387" s="210"/>
      <c r="F1387" s="210"/>
      <c r="G1387" s="210"/>
      <c r="H1387" s="210"/>
    </row>
    <row r="1388" spans="3:8" x14ac:dyDescent="0.25">
      <c r="C1388" s="210"/>
      <c r="D1388" s="210"/>
      <c r="E1388" s="210"/>
      <c r="F1388" s="210"/>
      <c r="G1388" s="210"/>
      <c r="H1388" s="210"/>
    </row>
    <row r="1389" spans="3:8" x14ac:dyDescent="0.25">
      <c r="C1389" s="210"/>
      <c r="D1389" s="210"/>
      <c r="E1389" s="210"/>
      <c r="F1389" s="210"/>
      <c r="G1389" s="210"/>
      <c r="H1389" s="210"/>
    </row>
    <row r="1390" spans="3:8" x14ac:dyDescent="0.25">
      <c r="C1390" s="210"/>
      <c r="D1390" s="210"/>
      <c r="E1390" s="210"/>
      <c r="F1390" s="210"/>
      <c r="G1390" s="210"/>
      <c r="H1390" s="210"/>
    </row>
    <row r="1391" spans="3:8" x14ac:dyDescent="0.25">
      <c r="C1391" s="210"/>
      <c r="D1391" s="210"/>
      <c r="E1391" s="210"/>
      <c r="F1391" s="210"/>
      <c r="G1391" s="210"/>
      <c r="H1391" s="210"/>
    </row>
    <row r="1392" spans="3:8" x14ac:dyDescent="0.25">
      <c r="C1392" s="210"/>
      <c r="D1392" s="210"/>
      <c r="E1392" s="210"/>
      <c r="F1392" s="210"/>
      <c r="G1392" s="210"/>
      <c r="H1392" s="210"/>
    </row>
    <row r="1393" spans="3:8" x14ac:dyDescent="0.25">
      <c r="C1393" s="210"/>
      <c r="D1393" s="210"/>
      <c r="E1393" s="210"/>
      <c r="F1393" s="210"/>
      <c r="G1393" s="210"/>
      <c r="H1393" s="210"/>
    </row>
    <row r="1394" spans="3:8" x14ac:dyDescent="0.25">
      <c r="C1394" s="210"/>
      <c r="D1394" s="210"/>
      <c r="E1394" s="210"/>
      <c r="F1394" s="210"/>
      <c r="G1394" s="210"/>
      <c r="H1394" s="210"/>
    </row>
    <row r="1395" spans="3:8" x14ac:dyDescent="0.25">
      <c r="C1395" s="210"/>
      <c r="D1395" s="210"/>
      <c r="E1395" s="210"/>
      <c r="F1395" s="210"/>
      <c r="G1395" s="210"/>
      <c r="H1395" s="210"/>
    </row>
    <row r="1396" spans="3:8" x14ac:dyDescent="0.25">
      <c r="C1396" s="210"/>
      <c r="D1396" s="210"/>
      <c r="E1396" s="210"/>
      <c r="F1396" s="210"/>
      <c r="G1396" s="210"/>
      <c r="H1396" s="210"/>
    </row>
    <row r="1397" spans="3:8" x14ac:dyDescent="0.25">
      <c r="C1397" s="210"/>
      <c r="D1397" s="210"/>
      <c r="E1397" s="210"/>
      <c r="F1397" s="210"/>
      <c r="G1397" s="210"/>
      <c r="H1397" s="210"/>
    </row>
    <row r="1398" spans="3:8" x14ac:dyDescent="0.25">
      <c r="C1398" s="210"/>
      <c r="D1398" s="210"/>
      <c r="E1398" s="210"/>
      <c r="F1398" s="210"/>
      <c r="G1398" s="210"/>
      <c r="H1398" s="210"/>
    </row>
    <row r="1399" spans="3:8" x14ac:dyDescent="0.25">
      <c r="C1399" s="210"/>
      <c r="D1399" s="210"/>
      <c r="E1399" s="210"/>
      <c r="F1399" s="210"/>
      <c r="G1399" s="210"/>
      <c r="H1399" s="210"/>
    </row>
    <row r="1400" spans="3:8" x14ac:dyDescent="0.25">
      <c r="C1400" s="210"/>
      <c r="D1400" s="210"/>
      <c r="E1400" s="210"/>
      <c r="F1400" s="210"/>
      <c r="G1400" s="210"/>
      <c r="H1400" s="210"/>
    </row>
    <row r="1401" spans="3:8" x14ac:dyDescent="0.25">
      <c r="C1401" s="210"/>
      <c r="D1401" s="210"/>
      <c r="E1401" s="210"/>
      <c r="F1401" s="210"/>
      <c r="G1401" s="210"/>
      <c r="H1401" s="210"/>
    </row>
    <row r="1402" spans="3:8" x14ac:dyDescent="0.25">
      <c r="C1402" s="210"/>
      <c r="D1402" s="210"/>
      <c r="E1402" s="210"/>
      <c r="F1402" s="210"/>
      <c r="G1402" s="210"/>
      <c r="H1402" s="210"/>
    </row>
    <row r="1403" spans="3:8" x14ac:dyDescent="0.25">
      <c r="C1403" s="210"/>
      <c r="D1403" s="210"/>
      <c r="E1403" s="210"/>
      <c r="F1403" s="210"/>
      <c r="G1403" s="210"/>
      <c r="H1403" s="210"/>
    </row>
    <row r="1404" spans="3:8" x14ac:dyDescent="0.25">
      <c r="C1404" s="210"/>
      <c r="D1404" s="210"/>
      <c r="E1404" s="210"/>
      <c r="F1404" s="210"/>
      <c r="G1404" s="210"/>
      <c r="H1404" s="210"/>
    </row>
    <row r="1405" spans="3:8" x14ac:dyDescent="0.25">
      <c r="C1405" s="210"/>
      <c r="D1405" s="210"/>
      <c r="E1405" s="210"/>
      <c r="F1405" s="210"/>
      <c r="G1405" s="210"/>
      <c r="H1405" s="210"/>
    </row>
    <row r="1406" spans="3:8" x14ac:dyDescent="0.25">
      <c r="C1406" s="210"/>
      <c r="D1406" s="210"/>
      <c r="E1406" s="210"/>
      <c r="F1406" s="210"/>
      <c r="G1406" s="210"/>
      <c r="H1406" s="210"/>
    </row>
    <row r="1407" spans="3:8" x14ac:dyDescent="0.25">
      <c r="C1407" s="210"/>
      <c r="D1407" s="210"/>
      <c r="E1407" s="210"/>
      <c r="F1407" s="210"/>
      <c r="G1407" s="210"/>
      <c r="H1407" s="210"/>
    </row>
    <row r="1408" spans="3:8" x14ac:dyDescent="0.25">
      <c r="C1408" s="210"/>
      <c r="D1408" s="210"/>
      <c r="E1408" s="210"/>
      <c r="F1408" s="210"/>
      <c r="G1408" s="210"/>
      <c r="H1408" s="210"/>
    </row>
    <row r="1409" spans="3:8" x14ac:dyDescent="0.25">
      <c r="C1409" s="210"/>
      <c r="D1409" s="210"/>
      <c r="E1409" s="210"/>
      <c r="F1409" s="210"/>
      <c r="G1409" s="210"/>
      <c r="H1409" s="210"/>
    </row>
    <row r="1410" spans="3:8" x14ac:dyDescent="0.25">
      <c r="C1410" s="210"/>
      <c r="D1410" s="210"/>
      <c r="E1410" s="210"/>
      <c r="F1410" s="210"/>
      <c r="G1410" s="210"/>
      <c r="H1410" s="210"/>
    </row>
    <row r="1411" spans="3:8" x14ac:dyDescent="0.25">
      <c r="C1411" s="210"/>
      <c r="D1411" s="210"/>
      <c r="E1411" s="210"/>
      <c r="F1411" s="210"/>
      <c r="G1411" s="210"/>
      <c r="H1411" s="210"/>
    </row>
    <row r="1412" spans="3:8" x14ac:dyDescent="0.25">
      <c r="C1412" s="210"/>
      <c r="D1412" s="210"/>
      <c r="E1412" s="210"/>
      <c r="F1412" s="210"/>
      <c r="G1412" s="210"/>
      <c r="H1412" s="210"/>
    </row>
    <row r="1413" spans="3:8" x14ac:dyDescent="0.25">
      <c r="C1413" s="210"/>
      <c r="D1413" s="210"/>
      <c r="E1413" s="210"/>
      <c r="F1413" s="210"/>
      <c r="G1413" s="210"/>
      <c r="H1413" s="210"/>
    </row>
    <row r="1414" spans="3:8" x14ac:dyDescent="0.25">
      <c r="C1414" s="210"/>
      <c r="D1414" s="210"/>
      <c r="E1414" s="210"/>
      <c r="F1414" s="210"/>
      <c r="G1414" s="210"/>
      <c r="H1414" s="210"/>
    </row>
    <row r="1415" spans="3:8" x14ac:dyDescent="0.25">
      <c r="C1415" s="210"/>
      <c r="D1415" s="210"/>
      <c r="E1415" s="210"/>
      <c r="F1415" s="210"/>
      <c r="G1415" s="210"/>
      <c r="H1415" s="210"/>
    </row>
    <row r="1416" spans="3:8" x14ac:dyDescent="0.25">
      <c r="C1416" s="210"/>
      <c r="D1416" s="210"/>
      <c r="E1416" s="210"/>
      <c r="F1416" s="210"/>
      <c r="G1416" s="210"/>
      <c r="H1416" s="210"/>
    </row>
    <row r="1417" spans="3:8" x14ac:dyDescent="0.25">
      <c r="C1417" s="210"/>
      <c r="D1417" s="210"/>
      <c r="E1417" s="210"/>
      <c r="F1417" s="210"/>
      <c r="G1417" s="210"/>
      <c r="H1417" s="210"/>
    </row>
    <row r="1418" spans="3:8" x14ac:dyDescent="0.25">
      <c r="C1418" s="210"/>
      <c r="D1418" s="210"/>
      <c r="E1418" s="210"/>
      <c r="F1418" s="210"/>
      <c r="G1418" s="210"/>
      <c r="H1418" s="210"/>
    </row>
    <row r="1419" spans="3:8" x14ac:dyDescent="0.25">
      <c r="C1419" s="210"/>
      <c r="D1419" s="210"/>
      <c r="E1419" s="210"/>
      <c r="F1419" s="210"/>
      <c r="G1419" s="210"/>
      <c r="H1419" s="210"/>
    </row>
    <row r="1420" spans="3:8" x14ac:dyDescent="0.25">
      <c r="C1420" s="210"/>
      <c r="D1420" s="210"/>
      <c r="E1420" s="210"/>
      <c r="F1420" s="210"/>
      <c r="G1420" s="210"/>
      <c r="H1420" s="210"/>
    </row>
    <row r="1421" spans="3:8" x14ac:dyDescent="0.25">
      <c r="C1421" s="210"/>
      <c r="D1421" s="210"/>
      <c r="E1421" s="210"/>
      <c r="F1421" s="210"/>
      <c r="G1421" s="210"/>
      <c r="H1421" s="210"/>
    </row>
    <row r="1422" spans="3:8" x14ac:dyDescent="0.25">
      <c r="C1422" s="210"/>
      <c r="D1422" s="210"/>
      <c r="E1422" s="210"/>
      <c r="F1422" s="210"/>
      <c r="G1422" s="210"/>
      <c r="H1422" s="210"/>
    </row>
    <row r="1423" spans="3:8" x14ac:dyDescent="0.25">
      <c r="C1423" s="210"/>
      <c r="D1423" s="210"/>
      <c r="E1423" s="210"/>
      <c r="F1423" s="210"/>
      <c r="G1423" s="210"/>
      <c r="H1423" s="210"/>
    </row>
    <row r="1424" spans="3:8" x14ac:dyDescent="0.25">
      <c r="C1424" s="210"/>
      <c r="D1424" s="210"/>
      <c r="E1424" s="210"/>
      <c r="F1424" s="210"/>
      <c r="G1424" s="210"/>
      <c r="H1424" s="210"/>
    </row>
    <row r="1425" spans="3:8" x14ac:dyDescent="0.25">
      <c r="C1425" s="210"/>
      <c r="D1425" s="210"/>
      <c r="E1425" s="210"/>
      <c r="F1425" s="210"/>
      <c r="G1425" s="210"/>
      <c r="H1425" s="210"/>
    </row>
    <row r="1426" spans="3:8" x14ac:dyDescent="0.25">
      <c r="C1426" s="210"/>
      <c r="D1426" s="210"/>
      <c r="E1426" s="210"/>
      <c r="F1426" s="210"/>
      <c r="G1426" s="210"/>
      <c r="H1426" s="210"/>
    </row>
    <row r="1427" spans="3:8" x14ac:dyDescent="0.25">
      <c r="C1427" s="210"/>
      <c r="D1427" s="210"/>
      <c r="E1427" s="210"/>
      <c r="F1427" s="210"/>
      <c r="G1427" s="210"/>
      <c r="H1427" s="210"/>
    </row>
    <row r="1428" spans="3:8" x14ac:dyDescent="0.25">
      <c r="C1428" s="210"/>
      <c r="D1428" s="210"/>
      <c r="E1428" s="210"/>
      <c r="F1428" s="210"/>
      <c r="G1428" s="210"/>
      <c r="H1428" s="210"/>
    </row>
    <row r="1429" spans="3:8" x14ac:dyDescent="0.25">
      <c r="C1429" s="210"/>
      <c r="D1429" s="210"/>
      <c r="E1429" s="210"/>
      <c r="F1429" s="210"/>
      <c r="G1429" s="210"/>
      <c r="H1429" s="210"/>
    </row>
    <row r="1430" spans="3:8" x14ac:dyDescent="0.25">
      <c r="C1430" s="210"/>
      <c r="D1430" s="210"/>
      <c r="E1430" s="210"/>
      <c r="F1430" s="210"/>
      <c r="G1430" s="210"/>
      <c r="H1430" s="210"/>
    </row>
    <row r="1431" spans="3:8" x14ac:dyDescent="0.25">
      <c r="C1431" s="210"/>
      <c r="D1431" s="210"/>
      <c r="E1431" s="210"/>
      <c r="F1431" s="210"/>
      <c r="G1431" s="210"/>
      <c r="H1431" s="210"/>
    </row>
    <row r="1432" spans="3:8" x14ac:dyDescent="0.25">
      <c r="C1432" s="210"/>
      <c r="D1432" s="210"/>
      <c r="E1432" s="210"/>
      <c r="F1432" s="210"/>
      <c r="G1432" s="210"/>
      <c r="H1432" s="210"/>
    </row>
    <row r="1433" spans="3:8" x14ac:dyDescent="0.25">
      <c r="C1433" s="210"/>
      <c r="D1433" s="210"/>
      <c r="E1433" s="210"/>
      <c r="F1433" s="210"/>
      <c r="G1433" s="210"/>
      <c r="H1433" s="210"/>
    </row>
    <row r="1434" spans="3:8" x14ac:dyDescent="0.25">
      <c r="C1434" s="210"/>
      <c r="D1434" s="210"/>
      <c r="E1434" s="210"/>
      <c r="F1434" s="210"/>
      <c r="G1434" s="210"/>
      <c r="H1434" s="210"/>
    </row>
    <row r="1435" spans="3:8" x14ac:dyDescent="0.25">
      <c r="C1435" s="210"/>
      <c r="D1435" s="210"/>
      <c r="E1435" s="210"/>
      <c r="F1435" s="210"/>
      <c r="G1435" s="210"/>
      <c r="H1435" s="210"/>
    </row>
    <row r="1436" spans="3:8" x14ac:dyDescent="0.25">
      <c r="C1436" s="210"/>
      <c r="D1436" s="210"/>
      <c r="E1436" s="210"/>
      <c r="F1436" s="210"/>
      <c r="G1436" s="210"/>
      <c r="H1436" s="210"/>
    </row>
    <row r="1437" spans="3:8" x14ac:dyDescent="0.25">
      <c r="C1437" s="210"/>
      <c r="D1437" s="210"/>
      <c r="E1437" s="210"/>
      <c r="F1437" s="210"/>
      <c r="G1437" s="210"/>
      <c r="H1437" s="210"/>
    </row>
    <row r="1438" spans="3:8" x14ac:dyDescent="0.25">
      <c r="C1438" s="210"/>
      <c r="D1438" s="210"/>
      <c r="E1438" s="210"/>
      <c r="F1438" s="210"/>
      <c r="G1438" s="210"/>
      <c r="H1438" s="210"/>
    </row>
    <row r="1439" spans="3:8" x14ac:dyDescent="0.25">
      <c r="C1439" s="210"/>
      <c r="D1439" s="210"/>
      <c r="E1439" s="210"/>
      <c r="F1439" s="210"/>
      <c r="G1439" s="210"/>
      <c r="H1439" s="210"/>
    </row>
    <row r="1440" spans="3:8" x14ac:dyDescent="0.25">
      <c r="C1440" s="210"/>
      <c r="D1440" s="210"/>
      <c r="E1440" s="210"/>
      <c r="F1440" s="210"/>
      <c r="G1440" s="210"/>
      <c r="H1440" s="210"/>
    </row>
    <row r="1441" spans="3:8" x14ac:dyDescent="0.25">
      <c r="C1441" s="210"/>
      <c r="D1441" s="210"/>
      <c r="E1441" s="210"/>
      <c r="F1441" s="210"/>
      <c r="G1441" s="210"/>
      <c r="H1441" s="210"/>
    </row>
    <row r="1442" spans="3:8" x14ac:dyDescent="0.25">
      <c r="C1442" s="210"/>
      <c r="D1442" s="210"/>
      <c r="E1442" s="210"/>
      <c r="F1442" s="210"/>
      <c r="G1442" s="210"/>
      <c r="H1442" s="210"/>
    </row>
    <row r="1443" spans="3:8" x14ac:dyDescent="0.25">
      <c r="C1443" s="210"/>
      <c r="D1443" s="210"/>
      <c r="E1443" s="210"/>
      <c r="F1443" s="210"/>
      <c r="G1443" s="210"/>
      <c r="H1443" s="210"/>
    </row>
    <row r="1444" spans="3:8" x14ac:dyDescent="0.25">
      <c r="C1444" s="210"/>
      <c r="D1444" s="210"/>
      <c r="E1444" s="210"/>
      <c r="F1444" s="210"/>
      <c r="G1444" s="210"/>
      <c r="H1444" s="210"/>
    </row>
    <row r="1445" spans="3:8" x14ac:dyDescent="0.25">
      <c r="C1445" s="210"/>
      <c r="D1445" s="210"/>
      <c r="E1445" s="210"/>
      <c r="F1445" s="210"/>
      <c r="G1445" s="210"/>
      <c r="H1445" s="210"/>
    </row>
    <row r="1446" spans="3:8" x14ac:dyDescent="0.25">
      <c r="C1446" s="210"/>
      <c r="D1446" s="210"/>
      <c r="E1446" s="210"/>
      <c r="F1446" s="210"/>
      <c r="G1446" s="210"/>
      <c r="H1446" s="210"/>
    </row>
    <row r="1447" spans="3:8" x14ac:dyDescent="0.25">
      <c r="C1447" s="210"/>
      <c r="D1447" s="210"/>
      <c r="E1447" s="210"/>
      <c r="F1447" s="210"/>
      <c r="G1447" s="210"/>
      <c r="H1447" s="210"/>
    </row>
    <row r="1448" spans="3:8" x14ac:dyDescent="0.25">
      <c r="C1448" s="210"/>
      <c r="D1448" s="210"/>
      <c r="E1448" s="210"/>
      <c r="F1448" s="210"/>
      <c r="G1448" s="210"/>
      <c r="H1448" s="210"/>
    </row>
    <row r="1449" spans="3:8" x14ac:dyDescent="0.25">
      <c r="C1449" s="210"/>
      <c r="D1449" s="210"/>
      <c r="E1449" s="210"/>
      <c r="F1449" s="210"/>
      <c r="G1449" s="210"/>
      <c r="H1449" s="210"/>
    </row>
    <row r="1450" spans="3:8" x14ac:dyDescent="0.25">
      <c r="C1450" s="210"/>
      <c r="D1450" s="210"/>
      <c r="E1450" s="210"/>
      <c r="F1450" s="210"/>
      <c r="G1450" s="210"/>
      <c r="H1450" s="210"/>
    </row>
    <row r="1451" spans="3:8" x14ac:dyDescent="0.25">
      <c r="C1451" s="210"/>
      <c r="D1451" s="210"/>
      <c r="E1451" s="210"/>
      <c r="F1451" s="210"/>
      <c r="G1451" s="210"/>
      <c r="H1451" s="210"/>
    </row>
    <row r="1452" spans="3:8" x14ac:dyDescent="0.25">
      <c r="C1452" s="210"/>
      <c r="D1452" s="210"/>
      <c r="E1452" s="210"/>
      <c r="F1452" s="210"/>
      <c r="G1452" s="210"/>
      <c r="H1452" s="210"/>
    </row>
    <row r="1453" spans="3:8" x14ac:dyDescent="0.25">
      <c r="C1453" s="210"/>
      <c r="D1453" s="210"/>
      <c r="E1453" s="210"/>
      <c r="F1453" s="210"/>
      <c r="G1453" s="210"/>
      <c r="H1453" s="210"/>
    </row>
    <row r="1454" spans="3:8" x14ac:dyDescent="0.25">
      <c r="C1454" s="210"/>
      <c r="D1454" s="210"/>
      <c r="E1454" s="210"/>
      <c r="F1454" s="210"/>
      <c r="G1454" s="210"/>
      <c r="H1454" s="210"/>
    </row>
    <row r="1455" spans="3:8" x14ac:dyDescent="0.25">
      <c r="C1455" s="210"/>
      <c r="D1455" s="210"/>
      <c r="E1455" s="210"/>
      <c r="F1455" s="210"/>
      <c r="G1455" s="210"/>
      <c r="H1455" s="210"/>
    </row>
    <row r="1456" spans="3:8" x14ac:dyDescent="0.25">
      <c r="C1456" s="210"/>
      <c r="D1456" s="210"/>
      <c r="E1456" s="210"/>
      <c r="F1456" s="210"/>
      <c r="G1456" s="210"/>
      <c r="H1456" s="210"/>
    </row>
    <row r="1457" spans="3:8" x14ac:dyDescent="0.25">
      <c r="C1457" s="210"/>
      <c r="D1457" s="210"/>
      <c r="E1457" s="210"/>
      <c r="F1457" s="210"/>
      <c r="G1457" s="210"/>
      <c r="H1457" s="210"/>
    </row>
    <row r="1458" spans="3:8" x14ac:dyDescent="0.25">
      <c r="C1458" s="210"/>
      <c r="D1458" s="210"/>
      <c r="E1458" s="210"/>
      <c r="F1458" s="210"/>
      <c r="G1458" s="210"/>
      <c r="H1458" s="210"/>
    </row>
    <row r="1459" spans="3:8" x14ac:dyDescent="0.25">
      <c r="C1459" s="210"/>
      <c r="D1459" s="210"/>
      <c r="E1459" s="210"/>
      <c r="F1459" s="210"/>
      <c r="G1459" s="210"/>
      <c r="H1459" s="210"/>
    </row>
    <row r="1460" spans="3:8" x14ac:dyDescent="0.25">
      <c r="C1460" s="210"/>
      <c r="D1460" s="210"/>
      <c r="E1460" s="210"/>
      <c r="F1460" s="210"/>
      <c r="G1460" s="210"/>
      <c r="H1460" s="210"/>
    </row>
    <row r="1461" spans="3:8" x14ac:dyDescent="0.25">
      <c r="C1461" s="210"/>
      <c r="D1461" s="210"/>
      <c r="E1461" s="210"/>
      <c r="F1461" s="210"/>
      <c r="G1461" s="210"/>
      <c r="H1461" s="210"/>
    </row>
    <row r="1462" spans="3:8" x14ac:dyDescent="0.25">
      <c r="C1462" s="210"/>
      <c r="D1462" s="210"/>
      <c r="E1462" s="210"/>
      <c r="F1462" s="210"/>
      <c r="G1462" s="210"/>
      <c r="H1462" s="210"/>
    </row>
    <row r="1463" spans="3:8" x14ac:dyDescent="0.25">
      <c r="C1463" s="210"/>
      <c r="D1463" s="210"/>
      <c r="E1463" s="210"/>
      <c r="F1463" s="210"/>
      <c r="G1463" s="210"/>
      <c r="H1463" s="210"/>
    </row>
    <row r="1464" spans="3:8" x14ac:dyDescent="0.25">
      <c r="C1464" s="210"/>
      <c r="D1464" s="210"/>
      <c r="E1464" s="210"/>
      <c r="F1464" s="210"/>
      <c r="G1464" s="210"/>
      <c r="H1464" s="210"/>
    </row>
    <row r="1465" spans="3:8" x14ac:dyDescent="0.25">
      <c r="C1465" s="210"/>
      <c r="D1465" s="210"/>
      <c r="E1465" s="210"/>
      <c r="F1465" s="210"/>
      <c r="G1465" s="210"/>
      <c r="H1465" s="210"/>
    </row>
    <row r="1466" spans="3:8" x14ac:dyDescent="0.25">
      <c r="C1466" s="210"/>
      <c r="D1466" s="210"/>
      <c r="E1466" s="210"/>
      <c r="F1466" s="210"/>
      <c r="G1466" s="210"/>
      <c r="H1466" s="210"/>
    </row>
    <row r="1467" spans="3:8" x14ac:dyDescent="0.25">
      <c r="C1467" s="210"/>
      <c r="D1467" s="210"/>
      <c r="E1467" s="210"/>
      <c r="F1467" s="210"/>
      <c r="G1467" s="210"/>
      <c r="H1467" s="210"/>
    </row>
    <row r="1468" spans="3:8" x14ac:dyDescent="0.25">
      <c r="C1468" s="210"/>
      <c r="D1468" s="210"/>
      <c r="E1468" s="210"/>
      <c r="F1468" s="210"/>
      <c r="G1468" s="210"/>
      <c r="H1468" s="210"/>
    </row>
    <row r="1469" spans="3:8" x14ac:dyDescent="0.25">
      <c r="C1469" s="210"/>
      <c r="D1469" s="210"/>
      <c r="E1469" s="210"/>
      <c r="F1469" s="210"/>
      <c r="G1469" s="210"/>
      <c r="H1469" s="210"/>
    </row>
    <row r="1470" spans="3:8" x14ac:dyDescent="0.25">
      <c r="C1470" s="210"/>
      <c r="D1470" s="210"/>
      <c r="E1470" s="210"/>
      <c r="F1470" s="210"/>
      <c r="G1470" s="210"/>
      <c r="H1470" s="210"/>
    </row>
    <row r="1471" spans="3:8" x14ac:dyDescent="0.25">
      <c r="C1471" s="210"/>
      <c r="D1471" s="210"/>
      <c r="E1471" s="210"/>
      <c r="F1471" s="210"/>
      <c r="G1471" s="210"/>
      <c r="H1471" s="210"/>
    </row>
    <row r="1472" spans="3:8" x14ac:dyDescent="0.25">
      <c r="C1472" s="210"/>
      <c r="D1472" s="210"/>
      <c r="E1472" s="210"/>
      <c r="F1472" s="210"/>
      <c r="G1472" s="210"/>
      <c r="H1472" s="210"/>
    </row>
    <row r="1473" spans="3:8" x14ac:dyDescent="0.25">
      <c r="C1473" s="210"/>
      <c r="D1473" s="210"/>
      <c r="E1473" s="210"/>
      <c r="F1473" s="210"/>
      <c r="G1473" s="210"/>
      <c r="H1473" s="210"/>
    </row>
    <row r="1474" spans="3:8" x14ac:dyDescent="0.25">
      <c r="C1474" s="210"/>
      <c r="D1474" s="210"/>
      <c r="E1474" s="210"/>
      <c r="F1474" s="210"/>
      <c r="G1474" s="210"/>
      <c r="H1474" s="210"/>
    </row>
    <row r="1475" spans="3:8" x14ac:dyDescent="0.25">
      <c r="C1475" s="210"/>
      <c r="D1475" s="210"/>
      <c r="E1475" s="210"/>
      <c r="F1475" s="210"/>
      <c r="G1475" s="210"/>
      <c r="H1475" s="210"/>
    </row>
    <row r="1476" spans="3:8" x14ac:dyDescent="0.25">
      <c r="C1476" s="210"/>
      <c r="D1476" s="210"/>
      <c r="E1476" s="210"/>
      <c r="F1476" s="210"/>
      <c r="G1476" s="210"/>
      <c r="H1476" s="210"/>
    </row>
    <row r="1477" spans="3:8" x14ac:dyDescent="0.25">
      <c r="C1477" s="210"/>
      <c r="D1477" s="210"/>
      <c r="E1477" s="210"/>
      <c r="F1477" s="210"/>
      <c r="G1477" s="210"/>
      <c r="H1477" s="210"/>
    </row>
    <row r="1478" spans="3:8" x14ac:dyDescent="0.25">
      <c r="C1478" s="210"/>
      <c r="D1478" s="210"/>
      <c r="E1478" s="210"/>
      <c r="F1478" s="210"/>
      <c r="G1478" s="210"/>
      <c r="H1478" s="210"/>
    </row>
    <row r="1479" spans="3:8" x14ac:dyDescent="0.25">
      <c r="C1479" s="210"/>
      <c r="D1479" s="210"/>
      <c r="E1479" s="210"/>
      <c r="F1479" s="210"/>
      <c r="G1479" s="210"/>
      <c r="H1479" s="210"/>
    </row>
    <row r="1480" spans="3:8" x14ac:dyDescent="0.25">
      <c r="C1480" s="210"/>
      <c r="D1480" s="210"/>
      <c r="E1480" s="210"/>
      <c r="F1480" s="210"/>
      <c r="G1480" s="210"/>
      <c r="H1480" s="210"/>
    </row>
    <row r="1481" spans="3:8" x14ac:dyDescent="0.25">
      <c r="C1481" s="210"/>
      <c r="D1481" s="210"/>
      <c r="E1481" s="210"/>
      <c r="F1481" s="210"/>
      <c r="G1481" s="210"/>
      <c r="H1481" s="210"/>
    </row>
    <row r="1482" spans="3:8" x14ac:dyDescent="0.25">
      <c r="C1482" s="210"/>
      <c r="D1482" s="210"/>
      <c r="E1482" s="210"/>
      <c r="F1482" s="210"/>
      <c r="G1482" s="210"/>
      <c r="H1482" s="210"/>
    </row>
    <row r="1483" spans="3:8" x14ac:dyDescent="0.25">
      <c r="C1483" s="210"/>
      <c r="D1483" s="210"/>
      <c r="E1483" s="210"/>
      <c r="F1483" s="210"/>
      <c r="G1483" s="210"/>
      <c r="H1483" s="210"/>
    </row>
    <row r="1484" spans="3:8" x14ac:dyDescent="0.25">
      <c r="C1484" s="210"/>
      <c r="D1484" s="210"/>
      <c r="E1484" s="210"/>
      <c r="F1484" s="210"/>
      <c r="G1484" s="210"/>
      <c r="H1484" s="210"/>
    </row>
    <row r="1485" spans="3:8" x14ac:dyDescent="0.25">
      <c r="C1485" s="210"/>
      <c r="D1485" s="210"/>
      <c r="E1485" s="210"/>
      <c r="F1485" s="210"/>
      <c r="G1485" s="210"/>
      <c r="H1485" s="210"/>
    </row>
    <row r="1486" spans="3:8" x14ac:dyDescent="0.25">
      <c r="C1486" s="210"/>
      <c r="D1486" s="210"/>
      <c r="E1486" s="210"/>
      <c r="F1486" s="210"/>
      <c r="G1486" s="210"/>
      <c r="H1486" s="210"/>
    </row>
    <row r="1487" spans="3:8" x14ac:dyDescent="0.25">
      <c r="C1487" s="210"/>
      <c r="D1487" s="210"/>
      <c r="E1487" s="210"/>
      <c r="F1487" s="210"/>
      <c r="G1487" s="210"/>
      <c r="H1487" s="210"/>
    </row>
    <row r="1488" spans="3:8" x14ac:dyDescent="0.25">
      <c r="C1488" s="210"/>
      <c r="D1488" s="210"/>
      <c r="E1488" s="210"/>
      <c r="F1488" s="210"/>
      <c r="G1488" s="210"/>
      <c r="H1488" s="210"/>
    </row>
    <row r="1489" spans="3:8" x14ac:dyDescent="0.25">
      <c r="C1489" s="210"/>
      <c r="D1489" s="210"/>
      <c r="E1489" s="210"/>
      <c r="F1489" s="210"/>
      <c r="G1489" s="210"/>
      <c r="H1489" s="210"/>
    </row>
    <row r="1490" spans="3:8" x14ac:dyDescent="0.25">
      <c r="C1490" s="210"/>
      <c r="D1490" s="210"/>
      <c r="E1490" s="210"/>
      <c r="F1490" s="210"/>
      <c r="G1490" s="210"/>
      <c r="H1490" s="210"/>
    </row>
    <row r="1491" spans="3:8" x14ac:dyDescent="0.25">
      <c r="C1491" s="210"/>
      <c r="D1491" s="210"/>
      <c r="E1491" s="210"/>
      <c r="F1491" s="210"/>
      <c r="G1491" s="210"/>
      <c r="H1491" s="210"/>
    </row>
    <row r="1492" spans="3:8" x14ac:dyDescent="0.25">
      <c r="C1492" s="210"/>
      <c r="D1492" s="210"/>
      <c r="E1492" s="210"/>
      <c r="F1492" s="210"/>
      <c r="G1492" s="210"/>
      <c r="H1492" s="210"/>
    </row>
    <row r="1493" spans="3:8" x14ac:dyDescent="0.25">
      <c r="C1493" s="210"/>
      <c r="D1493" s="210"/>
      <c r="E1493" s="210"/>
      <c r="F1493" s="210"/>
      <c r="G1493" s="210"/>
      <c r="H1493" s="210"/>
    </row>
    <row r="1494" spans="3:8" x14ac:dyDescent="0.25">
      <c r="C1494" s="210"/>
      <c r="D1494" s="210"/>
      <c r="E1494" s="210"/>
      <c r="F1494" s="210"/>
      <c r="G1494" s="210"/>
      <c r="H1494" s="210"/>
    </row>
    <row r="1495" spans="3:8" x14ac:dyDescent="0.25">
      <c r="C1495" s="210"/>
      <c r="D1495" s="210"/>
      <c r="E1495" s="210"/>
      <c r="F1495" s="210"/>
      <c r="G1495" s="210"/>
      <c r="H1495" s="210"/>
    </row>
    <row r="1496" spans="3:8" x14ac:dyDescent="0.25">
      <c r="C1496" s="210"/>
      <c r="D1496" s="210"/>
      <c r="E1496" s="210"/>
      <c r="F1496" s="210"/>
      <c r="G1496" s="210"/>
      <c r="H1496" s="210"/>
    </row>
    <row r="1497" spans="3:8" x14ac:dyDescent="0.25">
      <c r="C1497" s="210"/>
      <c r="D1497" s="210"/>
      <c r="E1497" s="210"/>
      <c r="F1497" s="210"/>
      <c r="G1497" s="210"/>
      <c r="H1497" s="210"/>
    </row>
    <row r="1498" spans="3:8" x14ac:dyDescent="0.25">
      <c r="C1498" s="210"/>
      <c r="D1498" s="210"/>
      <c r="E1498" s="210"/>
      <c r="F1498" s="210"/>
      <c r="G1498" s="210"/>
      <c r="H1498" s="210"/>
    </row>
    <row r="1499" spans="3:8" x14ac:dyDescent="0.25">
      <c r="C1499" s="210"/>
      <c r="D1499" s="210"/>
      <c r="E1499" s="210"/>
      <c r="F1499" s="210"/>
      <c r="G1499" s="210"/>
      <c r="H1499" s="210"/>
    </row>
    <row r="1500" spans="3:8" x14ac:dyDescent="0.25">
      <c r="C1500" s="210"/>
      <c r="D1500" s="210"/>
      <c r="E1500" s="210"/>
      <c r="F1500" s="210"/>
      <c r="G1500" s="210"/>
      <c r="H1500" s="210"/>
    </row>
    <row r="1501" spans="3:8" x14ac:dyDescent="0.25">
      <c r="C1501" s="210"/>
      <c r="D1501" s="210"/>
      <c r="E1501" s="210"/>
      <c r="F1501" s="210"/>
      <c r="G1501" s="210"/>
      <c r="H1501" s="210"/>
    </row>
    <row r="1502" spans="3:8" x14ac:dyDescent="0.25">
      <c r="C1502" s="210"/>
      <c r="D1502" s="210"/>
      <c r="E1502" s="210"/>
      <c r="F1502" s="210"/>
      <c r="G1502" s="210"/>
      <c r="H1502" s="210"/>
    </row>
    <row r="1503" spans="3:8" x14ac:dyDescent="0.25">
      <c r="C1503" s="210"/>
      <c r="D1503" s="210"/>
      <c r="E1503" s="210"/>
      <c r="F1503" s="210"/>
      <c r="G1503" s="210"/>
      <c r="H1503" s="210"/>
    </row>
    <row r="1504" spans="3:8" x14ac:dyDescent="0.25">
      <c r="C1504" s="210"/>
      <c r="D1504" s="210"/>
      <c r="E1504" s="210"/>
      <c r="F1504" s="210"/>
      <c r="G1504" s="210"/>
      <c r="H1504" s="210"/>
    </row>
    <row r="1505" spans="3:8" x14ac:dyDescent="0.25">
      <c r="C1505" s="210"/>
      <c r="D1505" s="210"/>
      <c r="E1505" s="210"/>
      <c r="F1505" s="210"/>
      <c r="G1505" s="210"/>
      <c r="H1505" s="210"/>
    </row>
    <row r="1506" spans="3:8" x14ac:dyDescent="0.25">
      <c r="C1506" s="210"/>
      <c r="D1506" s="210"/>
      <c r="E1506" s="210"/>
      <c r="F1506" s="210"/>
      <c r="G1506" s="210"/>
      <c r="H1506" s="210"/>
    </row>
    <row r="1507" spans="3:8" x14ac:dyDescent="0.25">
      <c r="C1507" s="210"/>
      <c r="D1507" s="210"/>
      <c r="E1507" s="210"/>
      <c r="F1507" s="210"/>
      <c r="G1507" s="210"/>
      <c r="H1507" s="210"/>
    </row>
    <row r="1508" spans="3:8" x14ac:dyDescent="0.25">
      <c r="C1508" s="210"/>
      <c r="D1508" s="210"/>
      <c r="E1508" s="210"/>
      <c r="F1508" s="210"/>
      <c r="G1508" s="210"/>
      <c r="H1508" s="210"/>
    </row>
    <row r="1509" spans="3:8" x14ac:dyDescent="0.25">
      <c r="C1509" s="210"/>
      <c r="D1509" s="210"/>
      <c r="E1509" s="210"/>
      <c r="F1509" s="210"/>
      <c r="G1509" s="210"/>
      <c r="H1509" s="210"/>
    </row>
    <row r="1510" spans="3:8" x14ac:dyDescent="0.25">
      <c r="C1510" s="210"/>
      <c r="D1510" s="210"/>
      <c r="E1510" s="210"/>
      <c r="F1510" s="210"/>
      <c r="G1510" s="210"/>
      <c r="H1510" s="210"/>
    </row>
    <row r="1511" spans="3:8" x14ac:dyDescent="0.25">
      <c r="C1511" s="210"/>
      <c r="D1511" s="210"/>
      <c r="E1511" s="210"/>
      <c r="F1511" s="210"/>
      <c r="G1511" s="210"/>
      <c r="H1511" s="210"/>
    </row>
    <row r="1512" spans="3:8" x14ac:dyDescent="0.25">
      <c r="C1512" s="210"/>
      <c r="D1512" s="210"/>
      <c r="E1512" s="210"/>
      <c r="F1512" s="210"/>
      <c r="G1512" s="210"/>
      <c r="H1512" s="210"/>
    </row>
    <row r="1513" spans="3:8" x14ac:dyDescent="0.25">
      <c r="C1513" s="210"/>
      <c r="D1513" s="210"/>
      <c r="E1513" s="210"/>
      <c r="F1513" s="210"/>
      <c r="G1513" s="210"/>
      <c r="H1513" s="210"/>
    </row>
    <row r="1514" spans="3:8" x14ac:dyDescent="0.25">
      <c r="C1514" s="210"/>
      <c r="D1514" s="210"/>
      <c r="E1514" s="210"/>
      <c r="F1514" s="210"/>
      <c r="G1514" s="210"/>
      <c r="H1514" s="210"/>
    </row>
    <row r="1515" spans="3:8" x14ac:dyDescent="0.25">
      <c r="C1515" s="210"/>
      <c r="D1515" s="210"/>
      <c r="E1515" s="210"/>
      <c r="F1515" s="210"/>
      <c r="G1515" s="210"/>
      <c r="H1515" s="210"/>
    </row>
    <row r="1516" spans="3:8" x14ac:dyDescent="0.25">
      <c r="C1516" s="210"/>
      <c r="D1516" s="210"/>
      <c r="E1516" s="210"/>
      <c r="F1516" s="210"/>
      <c r="G1516" s="210"/>
      <c r="H1516" s="210"/>
    </row>
    <row r="1517" spans="3:8" x14ac:dyDescent="0.25">
      <c r="C1517" s="210"/>
      <c r="D1517" s="210"/>
      <c r="E1517" s="210"/>
      <c r="F1517" s="210"/>
      <c r="G1517" s="210"/>
      <c r="H1517" s="210"/>
    </row>
    <row r="1518" spans="3:8" x14ac:dyDescent="0.25">
      <c r="C1518" s="210"/>
      <c r="D1518" s="210"/>
      <c r="E1518" s="210"/>
      <c r="F1518" s="210"/>
      <c r="G1518" s="210"/>
      <c r="H1518" s="210"/>
    </row>
    <row r="1519" spans="3:8" x14ac:dyDescent="0.25">
      <c r="C1519" s="210"/>
      <c r="D1519" s="210"/>
      <c r="E1519" s="210"/>
      <c r="F1519" s="210"/>
      <c r="G1519" s="210"/>
      <c r="H1519" s="210"/>
    </row>
    <row r="1520" spans="3:8" x14ac:dyDescent="0.25">
      <c r="C1520" s="210"/>
      <c r="D1520" s="210"/>
      <c r="E1520" s="210"/>
      <c r="F1520" s="210"/>
      <c r="G1520" s="210"/>
      <c r="H1520" s="210"/>
    </row>
    <row r="1521" spans="3:8" x14ac:dyDescent="0.25">
      <c r="C1521" s="210"/>
      <c r="D1521" s="210"/>
      <c r="E1521" s="210"/>
      <c r="F1521" s="210"/>
      <c r="G1521" s="210"/>
      <c r="H1521" s="210"/>
    </row>
    <row r="1522" spans="3:8" x14ac:dyDescent="0.25">
      <c r="C1522" s="210"/>
      <c r="D1522" s="210"/>
      <c r="E1522" s="210"/>
      <c r="F1522" s="210"/>
      <c r="G1522" s="210"/>
      <c r="H1522" s="210"/>
    </row>
    <row r="1523" spans="3:8" x14ac:dyDescent="0.25">
      <c r="C1523" s="210"/>
      <c r="D1523" s="210"/>
      <c r="E1523" s="210"/>
      <c r="F1523" s="210"/>
      <c r="G1523" s="210"/>
      <c r="H1523" s="210"/>
    </row>
    <row r="1524" spans="3:8" x14ac:dyDescent="0.25">
      <c r="C1524" s="210"/>
      <c r="D1524" s="210"/>
      <c r="E1524" s="210"/>
      <c r="F1524" s="210"/>
      <c r="G1524" s="210"/>
      <c r="H1524" s="210"/>
    </row>
    <row r="1525" spans="3:8" x14ac:dyDescent="0.25">
      <c r="C1525" s="210"/>
      <c r="D1525" s="210"/>
      <c r="E1525" s="210"/>
      <c r="F1525" s="210"/>
      <c r="G1525" s="210"/>
      <c r="H1525" s="210"/>
    </row>
    <row r="1526" spans="3:8" x14ac:dyDescent="0.25">
      <c r="C1526" s="210"/>
      <c r="D1526" s="210"/>
      <c r="E1526" s="210"/>
      <c r="F1526" s="210"/>
      <c r="G1526" s="210"/>
      <c r="H1526" s="210"/>
    </row>
    <row r="1527" spans="3:8" x14ac:dyDescent="0.25">
      <c r="C1527" s="210"/>
      <c r="D1527" s="210"/>
      <c r="E1527" s="210"/>
      <c r="F1527" s="210"/>
      <c r="G1527" s="210"/>
      <c r="H1527" s="210"/>
    </row>
    <row r="1528" spans="3:8" x14ac:dyDescent="0.25">
      <c r="C1528" s="210"/>
      <c r="D1528" s="210"/>
      <c r="E1528" s="210"/>
      <c r="F1528" s="210"/>
      <c r="G1528" s="210"/>
      <c r="H1528" s="210"/>
    </row>
    <row r="1529" spans="3:8" x14ac:dyDescent="0.25">
      <c r="C1529" s="210"/>
      <c r="D1529" s="210"/>
      <c r="E1529" s="210"/>
      <c r="F1529" s="210"/>
      <c r="G1529" s="210"/>
      <c r="H1529" s="210"/>
    </row>
    <row r="1530" spans="3:8" x14ac:dyDescent="0.25">
      <c r="C1530" s="210"/>
      <c r="D1530" s="210"/>
      <c r="E1530" s="210"/>
      <c r="F1530" s="210"/>
      <c r="G1530" s="210"/>
      <c r="H1530" s="210"/>
    </row>
    <row r="1531" spans="3:8" x14ac:dyDescent="0.25">
      <c r="C1531" s="210"/>
      <c r="D1531" s="210"/>
      <c r="E1531" s="210"/>
      <c r="F1531" s="210"/>
      <c r="G1531" s="210"/>
      <c r="H1531" s="210"/>
    </row>
    <row r="1532" spans="3:8" x14ac:dyDescent="0.25">
      <c r="C1532" s="210"/>
      <c r="D1532" s="210"/>
      <c r="E1532" s="210"/>
      <c r="F1532" s="210"/>
      <c r="G1532" s="210"/>
      <c r="H1532" s="210"/>
    </row>
    <row r="1533" spans="3:8" x14ac:dyDescent="0.25">
      <c r="C1533" s="210"/>
      <c r="D1533" s="210"/>
      <c r="E1533" s="210"/>
      <c r="F1533" s="210"/>
      <c r="G1533" s="210"/>
      <c r="H1533" s="210"/>
    </row>
    <row r="1534" spans="3:8" x14ac:dyDescent="0.25">
      <c r="C1534" s="210"/>
      <c r="D1534" s="210"/>
      <c r="E1534" s="210"/>
      <c r="F1534" s="210"/>
      <c r="G1534" s="210"/>
      <c r="H1534" s="210"/>
    </row>
    <row r="1535" spans="3:8" x14ac:dyDescent="0.25">
      <c r="C1535" s="210"/>
      <c r="D1535" s="210"/>
      <c r="E1535" s="210"/>
      <c r="F1535" s="210"/>
      <c r="G1535" s="210"/>
      <c r="H1535" s="210"/>
    </row>
    <row r="1536" spans="3:8" x14ac:dyDescent="0.25">
      <c r="C1536" s="210"/>
      <c r="D1536" s="210"/>
      <c r="E1536" s="210"/>
      <c r="F1536" s="210"/>
      <c r="G1536" s="210"/>
      <c r="H1536" s="210"/>
    </row>
    <row r="1537" spans="3:8" x14ac:dyDescent="0.25">
      <c r="C1537" s="210"/>
      <c r="D1537" s="210"/>
      <c r="E1537" s="210"/>
      <c r="F1537" s="210"/>
      <c r="G1537" s="210"/>
      <c r="H1537" s="210"/>
    </row>
    <row r="1538" spans="3:8" x14ac:dyDescent="0.25">
      <c r="C1538" s="210"/>
      <c r="D1538" s="210"/>
      <c r="E1538" s="210"/>
      <c r="F1538" s="210"/>
      <c r="G1538" s="210"/>
      <c r="H1538" s="210"/>
    </row>
    <row r="1539" spans="3:8" x14ac:dyDescent="0.25">
      <c r="C1539" s="210"/>
      <c r="D1539" s="210"/>
      <c r="E1539" s="210"/>
      <c r="F1539" s="210"/>
      <c r="G1539" s="210"/>
      <c r="H1539" s="210"/>
    </row>
    <row r="1540" spans="3:8" x14ac:dyDescent="0.25">
      <c r="C1540" s="210"/>
      <c r="D1540" s="210"/>
      <c r="E1540" s="210"/>
      <c r="F1540" s="210"/>
      <c r="G1540" s="210"/>
      <c r="H1540" s="210"/>
    </row>
    <row r="1541" spans="3:8" x14ac:dyDescent="0.25">
      <c r="C1541" s="210"/>
      <c r="D1541" s="210"/>
      <c r="E1541" s="210"/>
      <c r="F1541" s="210"/>
      <c r="G1541" s="210"/>
      <c r="H1541" s="210"/>
    </row>
    <row r="1542" spans="3:8" x14ac:dyDescent="0.25">
      <c r="C1542" s="210"/>
      <c r="D1542" s="210"/>
      <c r="E1542" s="210"/>
      <c r="F1542" s="210"/>
      <c r="G1542" s="210"/>
      <c r="H1542" s="210"/>
    </row>
    <row r="1543" spans="3:8" x14ac:dyDescent="0.25">
      <c r="C1543" s="210"/>
      <c r="D1543" s="210"/>
      <c r="E1543" s="210"/>
      <c r="F1543" s="210"/>
      <c r="G1543" s="210"/>
      <c r="H1543" s="210"/>
    </row>
    <row r="1544" spans="3:8" x14ac:dyDescent="0.25">
      <c r="C1544" s="210"/>
      <c r="D1544" s="210"/>
      <c r="E1544" s="210"/>
      <c r="F1544" s="210"/>
      <c r="G1544" s="210"/>
      <c r="H1544" s="210"/>
    </row>
    <row r="1545" spans="3:8" x14ac:dyDescent="0.25">
      <c r="C1545" s="210"/>
      <c r="D1545" s="210"/>
      <c r="E1545" s="210"/>
      <c r="F1545" s="210"/>
      <c r="G1545" s="210"/>
      <c r="H1545" s="210"/>
    </row>
    <row r="1546" spans="3:8" x14ac:dyDescent="0.25">
      <c r="C1546" s="210"/>
      <c r="D1546" s="210"/>
      <c r="E1546" s="210"/>
      <c r="F1546" s="210"/>
      <c r="G1546" s="210"/>
      <c r="H1546" s="210"/>
    </row>
    <row r="1547" spans="3:8" x14ac:dyDescent="0.25">
      <c r="C1547" s="210"/>
      <c r="D1547" s="210"/>
      <c r="E1547" s="210"/>
      <c r="F1547" s="210"/>
      <c r="G1547" s="210"/>
      <c r="H1547" s="210"/>
    </row>
    <row r="1548" spans="3:8" x14ac:dyDescent="0.25">
      <c r="C1548" s="210"/>
      <c r="D1548" s="210"/>
      <c r="E1548" s="210"/>
      <c r="F1548" s="210"/>
      <c r="G1548" s="210"/>
      <c r="H1548" s="210"/>
    </row>
    <row r="1549" spans="3:8" x14ac:dyDescent="0.25">
      <c r="C1549" s="210"/>
      <c r="D1549" s="210"/>
      <c r="E1549" s="210"/>
      <c r="F1549" s="210"/>
      <c r="G1549" s="210"/>
      <c r="H1549" s="210"/>
    </row>
    <row r="1550" spans="3:8" x14ac:dyDescent="0.25">
      <c r="C1550" s="210"/>
      <c r="D1550" s="210"/>
      <c r="E1550" s="210"/>
      <c r="F1550" s="210"/>
      <c r="G1550" s="210"/>
      <c r="H1550" s="210"/>
    </row>
    <row r="1551" spans="3:8" x14ac:dyDescent="0.25">
      <c r="C1551" s="210"/>
      <c r="D1551" s="210"/>
      <c r="E1551" s="210"/>
      <c r="F1551" s="210"/>
      <c r="G1551" s="210"/>
      <c r="H1551" s="210"/>
    </row>
    <row r="1552" spans="3:8" x14ac:dyDescent="0.25">
      <c r="C1552" s="210"/>
      <c r="D1552" s="210"/>
      <c r="E1552" s="210"/>
      <c r="F1552" s="210"/>
      <c r="G1552" s="210"/>
      <c r="H1552" s="210"/>
    </row>
    <row r="1553" spans="3:8" x14ac:dyDescent="0.25">
      <c r="C1553" s="210"/>
      <c r="D1553" s="210"/>
      <c r="E1553" s="210"/>
      <c r="F1553" s="210"/>
      <c r="G1553" s="210"/>
      <c r="H1553" s="210"/>
    </row>
    <row r="1554" spans="3:8" x14ac:dyDescent="0.25">
      <c r="C1554" s="210"/>
      <c r="D1554" s="210"/>
      <c r="E1554" s="210"/>
      <c r="F1554" s="210"/>
      <c r="G1554" s="210"/>
      <c r="H1554" s="210"/>
    </row>
    <row r="1555" spans="3:8" x14ac:dyDescent="0.25">
      <c r="C1555" s="210"/>
      <c r="D1555" s="210"/>
      <c r="E1555" s="210"/>
      <c r="F1555" s="210"/>
      <c r="G1555" s="210"/>
      <c r="H1555" s="210"/>
    </row>
    <row r="1556" spans="3:8" x14ac:dyDescent="0.25">
      <c r="C1556" s="210"/>
      <c r="D1556" s="210"/>
      <c r="E1556" s="210"/>
      <c r="F1556" s="210"/>
      <c r="G1556" s="210"/>
      <c r="H1556" s="210"/>
    </row>
    <row r="1557" spans="3:8" x14ac:dyDescent="0.25">
      <c r="C1557" s="210"/>
      <c r="D1557" s="210"/>
      <c r="E1557" s="210"/>
      <c r="F1557" s="210"/>
      <c r="G1557" s="210"/>
      <c r="H1557" s="210"/>
    </row>
    <row r="1558" spans="3:8" x14ac:dyDescent="0.25">
      <c r="C1558" s="210"/>
      <c r="D1558" s="210"/>
      <c r="E1558" s="210"/>
      <c r="F1558" s="210"/>
      <c r="G1558" s="210"/>
      <c r="H1558" s="210"/>
    </row>
    <row r="1559" spans="3:8" x14ac:dyDescent="0.25">
      <c r="C1559" s="210"/>
      <c r="D1559" s="210"/>
      <c r="E1559" s="210"/>
      <c r="F1559" s="210"/>
      <c r="G1559" s="210"/>
      <c r="H1559" s="210"/>
    </row>
    <row r="1560" spans="3:8" x14ac:dyDescent="0.25">
      <c r="C1560" s="210"/>
      <c r="D1560" s="210"/>
      <c r="E1560" s="210"/>
      <c r="F1560" s="210"/>
      <c r="G1560" s="210"/>
      <c r="H1560" s="210"/>
    </row>
    <row r="1561" spans="3:8" x14ac:dyDescent="0.25">
      <c r="C1561" s="210"/>
      <c r="D1561" s="210"/>
      <c r="E1561" s="210"/>
      <c r="F1561" s="210"/>
      <c r="G1561" s="210"/>
      <c r="H1561" s="210"/>
    </row>
    <row r="1562" spans="3:8" x14ac:dyDescent="0.25">
      <c r="C1562" s="210"/>
      <c r="D1562" s="210"/>
      <c r="E1562" s="210"/>
      <c r="F1562" s="210"/>
      <c r="G1562" s="210"/>
      <c r="H1562" s="210"/>
    </row>
    <row r="1563" spans="3:8" x14ac:dyDescent="0.25">
      <c r="C1563" s="210"/>
      <c r="D1563" s="210"/>
      <c r="E1563" s="210"/>
      <c r="F1563" s="210"/>
      <c r="G1563" s="210"/>
      <c r="H1563" s="210"/>
    </row>
    <row r="1564" spans="3:8" x14ac:dyDescent="0.25">
      <c r="C1564" s="210"/>
      <c r="D1564" s="210"/>
      <c r="E1564" s="210"/>
      <c r="F1564" s="210"/>
      <c r="G1564" s="210"/>
      <c r="H1564" s="210"/>
    </row>
    <row r="1565" spans="3:8" x14ac:dyDescent="0.25">
      <c r="C1565" s="210"/>
      <c r="D1565" s="210"/>
      <c r="E1565" s="210"/>
      <c r="F1565" s="210"/>
      <c r="G1565" s="210"/>
      <c r="H1565" s="210"/>
    </row>
    <row r="1566" spans="3:8" x14ac:dyDescent="0.25">
      <c r="C1566" s="210"/>
      <c r="D1566" s="210"/>
      <c r="E1566" s="210"/>
      <c r="F1566" s="210"/>
      <c r="G1566" s="210"/>
      <c r="H1566" s="210"/>
    </row>
    <row r="1567" spans="3:8" x14ac:dyDescent="0.25">
      <c r="C1567" s="210"/>
      <c r="D1567" s="210"/>
      <c r="E1567" s="210"/>
      <c r="F1567" s="210"/>
      <c r="G1567" s="210"/>
      <c r="H1567" s="210"/>
    </row>
    <row r="1568" spans="3:8" x14ac:dyDescent="0.25">
      <c r="C1568" s="210"/>
      <c r="D1568" s="210"/>
      <c r="E1568" s="210"/>
      <c r="F1568" s="210"/>
      <c r="G1568" s="210"/>
      <c r="H1568" s="210"/>
    </row>
    <row r="1569" spans="3:8" x14ac:dyDescent="0.25">
      <c r="C1569" s="210"/>
      <c r="D1569" s="210"/>
      <c r="E1569" s="210"/>
      <c r="F1569" s="210"/>
      <c r="G1569" s="210"/>
      <c r="H1569" s="210"/>
    </row>
    <row r="1570" spans="3:8" x14ac:dyDescent="0.25">
      <c r="C1570" s="210"/>
      <c r="D1570" s="210"/>
      <c r="E1570" s="210"/>
      <c r="F1570" s="210"/>
      <c r="G1570" s="210"/>
      <c r="H1570" s="210"/>
    </row>
    <row r="1571" spans="3:8" x14ac:dyDescent="0.25">
      <c r="C1571" s="210"/>
      <c r="D1571" s="210"/>
      <c r="E1571" s="210"/>
      <c r="F1571" s="210"/>
      <c r="G1571" s="210"/>
      <c r="H1571" s="210"/>
    </row>
    <row r="1572" spans="3:8" x14ac:dyDescent="0.25">
      <c r="C1572" s="210"/>
      <c r="D1572" s="210"/>
      <c r="E1572" s="210"/>
      <c r="F1572" s="210"/>
      <c r="G1572" s="210"/>
      <c r="H1572" s="210"/>
    </row>
    <row r="1573" spans="3:8" x14ac:dyDescent="0.25">
      <c r="C1573" s="210"/>
      <c r="D1573" s="210"/>
      <c r="E1573" s="210"/>
      <c r="F1573" s="210"/>
      <c r="G1573" s="210"/>
      <c r="H1573" s="210"/>
    </row>
    <row r="1574" spans="3:8" x14ac:dyDescent="0.25">
      <c r="C1574" s="210"/>
      <c r="D1574" s="210"/>
      <c r="E1574" s="210"/>
      <c r="F1574" s="210"/>
      <c r="G1574" s="210"/>
      <c r="H1574" s="210"/>
    </row>
    <row r="1575" spans="3:8" x14ac:dyDescent="0.25">
      <c r="C1575" s="210"/>
      <c r="D1575" s="210"/>
      <c r="E1575" s="210"/>
      <c r="F1575" s="210"/>
      <c r="G1575" s="210"/>
      <c r="H1575" s="210"/>
    </row>
    <row r="1576" spans="3:8" x14ac:dyDescent="0.25">
      <c r="C1576" s="210"/>
      <c r="D1576" s="210"/>
      <c r="E1576" s="210"/>
      <c r="F1576" s="210"/>
      <c r="G1576" s="210"/>
      <c r="H1576" s="210"/>
    </row>
    <row r="1577" spans="3:8" x14ac:dyDescent="0.25">
      <c r="C1577" s="210"/>
      <c r="D1577" s="210"/>
      <c r="E1577" s="210"/>
      <c r="F1577" s="210"/>
      <c r="G1577" s="210"/>
      <c r="H1577" s="210"/>
    </row>
    <row r="1578" spans="3:8" x14ac:dyDescent="0.25">
      <c r="C1578" s="210"/>
      <c r="D1578" s="210"/>
      <c r="E1578" s="210"/>
      <c r="F1578" s="210"/>
      <c r="G1578" s="210"/>
      <c r="H1578" s="210"/>
    </row>
    <row r="1579" spans="3:8" x14ac:dyDescent="0.25">
      <c r="C1579" s="210"/>
      <c r="D1579" s="210"/>
      <c r="E1579" s="210"/>
      <c r="F1579" s="210"/>
      <c r="G1579" s="210"/>
      <c r="H1579" s="210"/>
    </row>
    <row r="1580" spans="3:8" x14ac:dyDescent="0.25">
      <c r="C1580" s="210"/>
      <c r="D1580" s="210"/>
      <c r="E1580" s="210"/>
      <c r="F1580" s="210"/>
      <c r="G1580" s="210"/>
      <c r="H1580" s="210"/>
    </row>
    <row r="1581" spans="3:8" x14ac:dyDescent="0.25">
      <c r="C1581" s="210"/>
      <c r="D1581" s="210"/>
      <c r="E1581" s="210"/>
      <c r="F1581" s="210"/>
      <c r="G1581" s="210"/>
      <c r="H1581" s="210"/>
    </row>
    <row r="1582" spans="3:8" x14ac:dyDescent="0.25">
      <c r="C1582" s="210"/>
      <c r="D1582" s="210"/>
      <c r="E1582" s="210"/>
      <c r="F1582" s="210"/>
      <c r="G1582" s="210"/>
      <c r="H1582" s="210"/>
    </row>
    <row r="1583" spans="3:8" x14ac:dyDescent="0.25">
      <c r="C1583" s="210"/>
      <c r="D1583" s="210"/>
      <c r="E1583" s="210"/>
      <c r="F1583" s="210"/>
      <c r="G1583" s="210"/>
      <c r="H1583" s="210"/>
    </row>
    <row r="1584" spans="3:8" x14ac:dyDescent="0.25">
      <c r="C1584" s="210"/>
      <c r="D1584" s="210"/>
      <c r="E1584" s="210"/>
      <c r="F1584" s="210"/>
      <c r="G1584" s="210"/>
      <c r="H1584" s="210"/>
    </row>
    <row r="1585" spans="3:8" x14ac:dyDescent="0.25">
      <c r="C1585" s="210"/>
      <c r="D1585" s="210"/>
      <c r="E1585" s="210"/>
      <c r="F1585" s="210"/>
      <c r="G1585" s="210"/>
      <c r="H1585" s="210"/>
    </row>
    <row r="1586" spans="3:8" x14ac:dyDescent="0.25">
      <c r="C1586" s="210"/>
      <c r="D1586" s="210"/>
      <c r="E1586" s="210"/>
      <c r="F1586" s="210"/>
      <c r="G1586" s="210"/>
      <c r="H1586" s="210"/>
    </row>
    <row r="1587" spans="3:8" x14ac:dyDescent="0.25">
      <c r="C1587" s="210"/>
      <c r="D1587" s="210"/>
      <c r="E1587" s="210"/>
      <c r="F1587" s="210"/>
      <c r="G1587" s="210"/>
      <c r="H1587" s="210"/>
    </row>
    <row r="1588" spans="3:8" x14ac:dyDescent="0.25">
      <c r="C1588" s="210"/>
      <c r="D1588" s="210"/>
      <c r="E1588" s="210"/>
      <c r="F1588" s="210"/>
      <c r="G1588" s="210"/>
      <c r="H1588" s="210"/>
    </row>
    <row r="1589" spans="3:8" x14ac:dyDescent="0.25">
      <c r="C1589" s="210"/>
      <c r="D1589" s="210"/>
      <c r="E1589" s="210"/>
      <c r="F1589" s="210"/>
      <c r="G1589" s="210"/>
      <c r="H1589" s="210"/>
    </row>
    <row r="1590" spans="3:8" x14ac:dyDescent="0.25">
      <c r="C1590" s="210"/>
      <c r="D1590" s="210"/>
      <c r="E1590" s="210"/>
      <c r="F1590" s="210"/>
      <c r="G1590" s="210"/>
      <c r="H1590" s="210"/>
    </row>
    <row r="1591" spans="3:8" x14ac:dyDescent="0.25">
      <c r="C1591" s="210"/>
      <c r="D1591" s="210"/>
      <c r="E1591" s="210"/>
      <c r="F1591" s="210"/>
      <c r="G1591" s="210"/>
      <c r="H1591" s="210"/>
    </row>
    <row r="1592" spans="3:8" x14ac:dyDescent="0.25">
      <c r="C1592" s="210"/>
      <c r="D1592" s="210"/>
      <c r="E1592" s="210"/>
      <c r="F1592" s="210"/>
      <c r="G1592" s="210"/>
      <c r="H1592" s="210"/>
    </row>
    <row r="1593" spans="3:8" x14ac:dyDescent="0.25">
      <c r="C1593" s="210"/>
      <c r="D1593" s="210"/>
      <c r="E1593" s="210"/>
      <c r="F1593" s="210"/>
      <c r="G1593" s="210"/>
      <c r="H1593" s="210"/>
    </row>
    <row r="1594" spans="3:8" x14ac:dyDescent="0.25">
      <c r="C1594" s="210"/>
      <c r="D1594" s="210"/>
      <c r="E1594" s="210"/>
      <c r="F1594" s="210"/>
      <c r="G1594" s="210"/>
      <c r="H1594" s="210"/>
    </row>
    <row r="1595" spans="3:8" x14ac:dyDescent="0.25">
      <c r="C1595" s="210"/>
      <c r="D1595" s="210"/>
      <c r="E1595" s="210"/>
      <c r="F1595" s="210"/>
      <c r="G1595" s="210"/>
      <c r="H1595" s="210"/>
    </row>
    <row r="1596" spans="3:8" x14ac:dyDescent="0.25">
      <c r="C1596" s="210"/>
      <c r="D1596" s="210"/>
      <c r="E1596" s="210"/>
      <c r="F1596" s="210"/>
      <c r="G1596" s="210"/>
      <c r="H1596" s="210"/>
    </row>
    <row r="1597" spans="3:8" x14ac:dyDescent="0.25">
      <c r="C1597" s="210"/>
      <c r="D1597" s="210"/>
      <c r="E1597" s="210"/>
      <c r="F1597" s="210"/>
      <c r="G1597" s="210"/>
      <c r="H1597" s="210"/>
    </row>
    <row r="1598" spans="3:8" x14ac:dyDescent="0.25">
      <c r="C1598" s="210"/>
      <c r="D1598" s="210"/>
      <c r="E1598" s="210"/>
      <c r="F1598" s="210"/>
      <c r="G1598" s="210"/>
      <c r="H1598" s="210"/>
    </row>
    <row r="1599" spans="3:8" x14ac:dyDescent="0.25">
      <c r="C1599" s="210"/>
      <c r="D1599" s="210"/>
      <c r="E1599" s="210"/>
      <c r="F1599" s="210"/>
      <c r="G1599" s="210"/>
      <c r="H1599" s="210"/>
    </row>
    <row r="1600" spans="3:8" x14ac:dyDescent="0.25">
      <c r="C1600" s="210"/>
      <c r="D1600" s="210"/>
      <c r="E1600" s="210"/>
      <c r="F1600" s="210"/>
      <c r="G1600" s="210"/>
      <c r="H1600" s="210"/>
    </row>
    <row r="1601" spans="3:8" x14ac:dyDescent="0.25">
      <c r="C1601" s="210"/>
      <c r="D1601" s="210"/>
      <c r="E1601" s="210"/>
      <c r="F1601" s="210"/>
      <c r="G1601" s="210"/>
      <c r="H1601" s="210"/>
    </row>
    <row r="1602" spans="3:8" x14ac:dyDescent="0.25">
      <c r="C1602" s="210"/>
      <c r="D1602" s="210"/>
      <c r="E1602" s="210"/>
      <c r="F1602" s="210"/>
      <c r="G1602" s="210"/>
      <c r="H1602" s="210"/>
    </row>
    <row r="1603" spans="3:8" x14ac:dyDescent="0.25">
      <c r="C1603" s="210"/>
      <c r="D1603" s="210"/>
      <c r="E1603" s="210"/>
      <c r="F1603" s="210"/>
      <c r="G1603" s="210"/>
      <c r="H1603" s="210"/>
    </row>
    <row r="1604" spans="3:8" x14ac:dyDescent="0.25">
      <c r="C1604" s="210"/>
      <c r="D1604" s="210"/>
      <c r="E1604" s="210"/>
      <c r="F1604" s="210"/>
      <c r="G1604" s="210"/>
      <c r="H1604" s="210"/>
    </row>
    <row r="1605" spans="3:8" x14ac:dyDescent="0.25">
      <c r="C1605" s="210"/>
      <c r="D1605" s="210"/>
      <c r="E1605" s="210"/>
      <c r="F1605" s="210"/>
      <c r="G1605" s="210"/>
      <c r="H1605" s="210"/>
    </row>
    <row r="1606" spans="3:8" x14ac:dyDescent="0.25">
      <c r="C1606" s="210"/>
      <c r="D1606" s="210"/>
      <c r="E1606" s="210"/>
      <c r="F1606" s="210"/>
      <c r="G1606" s="210"/>
      <c r="H1606" s="210"/>
    </row>
    <row r="1607" spans="3:8" x14ac:dyDescent="0.25">
      <c r="C1607" s="210"/>
      <c r="D1607" s="210"/>
      <c r="E1607" s="210"/>
      <c r="F1607" s="210"/>
      <c r="G1607" s="210"/>
      <c r="H1607" s="210"/>
    </row>
    <row r="1608" spans="3:8" x14ac:dyDescent="0.25">
      <c r="C1608" s="210"/>
      <c r="D1608" s="210"/>
      <c r="E1608" s="210"/>
      <c r="F1608" s="210"/>
      <c r="G1608" s="210"/>
      <c r="H1608" s="210"/>
    </row>
    <row r="1609" spans="3:8" x14ac:dyDescent="0.25">
      <c r="C1609" s="210"/>
      <c r="D1609" s="210"/>
      <c r="E1609" s="210"/>
      <c r="F1609" s="210"/>
      <c r="G1609" s="210"/>
      <c r="H1609" s="210"/>
    </row>
    <row r="1610" spans="3:8" x14ac:dyDescent="0.25">
      <c r="C1610" s="210"/>
      <c r="D1610" s="210"/>
      <c r="E1610" s="210"/>
      <c r="F1610" s="210"/>
      <c r="G1610" s="210"/>
      <c r="H1610" s="210"/>
    </row>
    <row r="1611" spans="3:8" x14ac:dyDescent="0.25">
      <c r="C1611" s="210"/>
      <c r="D1611" s="210"/>
      <c r="E1611" s="210"/>
      <c r="F1611" s="210"/>
      <c r="G1611" s="210"/>
      <c r="H1611" s="210"/>
    </row>
    <row r="1612" spans="3:8" x14ac:dyDescent="0.25">
      <c r="C1612" s="210"/>
      <c r="D1612" s="210"/>
      <c r="E1612" s="210"/>
      <c r="F1612" s="210"/>
      <c r="G1612" s="210"/>
      <c r="H1612" s="210"/>
    </row>
    <row r="1613" spans="3:8" x14ac:dyDescent="0.25">
      <c r="C1613" s="210"/>
      <c r="D1613" s="210"/>
      <c r="E1613" s="210"/>
      <c r="F1613" s="210"/>
      <c r="G1613" s="210"/>
      <c r="H1613" s="210"/>
    </row>
    <row r="1614" spans="3:8" x14ac:dyDescent="0.25">
      <c r="C1614" s="210"/>
      <c r="D1614" s="210"/>
      <c r="E1614" s="210"/>
      <c r="F1614" s="210"/>
      <c r="G1614" s="210"/>
      <c r="H1614" s="210"/>
    </row>
    <row r="1615" spans="3:8" x14ac:dyDescent="0.25">
      <c r="C1615" s="210"/>
      <c r="D1615" s="210"/>
      <c r="E1615" s="210"/>
      <c r="F1615" s="210"/>
      <c r="G1615" s="210"/>
      <c r="H1615" s="210"/>
    </row>
    <row r="1616" spans="3:8" x14ac:dyDescent="0.25">
      <c r="C1616" s="210"/>
      <c r="D1616" s="210"/>
      <c r="E1616" s="210"/>
      <c r="F1616" s="210"/>
      <c r="G1616" s="210"/>
      <c r="H1616" s="210"/>
    </row>
    <row r="1617" spans="3:8" x14ac:dyDescent="0.25">
      <c r="C1617" s="210"/>
      <c r="D1617" s="210"/>
      <c r="E1617" s="210"/>
      <c r="F1617" s="210"/>
      <c r="G1617" s="210"/>
      <c r="H1617" s="210"/>
    </row>
    <row r="1618" spans="3:8" x14ac:dyDescent="0.25">
      <c r="C1618" s="210"/>
      <c r="D1618" s="210"/>
      <c r="E1618" s="210"/>
      <c r="F1618" s="210"/>
      <c r="G1618" s="210"/>
      <c r="H1618" s="210"/>
    </row>
    <row r="1619" spans="3:8" x14ac:dyDescent="0.25">
      <c r="C1619" s="210"/>
      <c r="D1619" s="210"/>
      <c r="E1619" s="210"/>
      <c r="F1619" s="210"/>
      <c r="G1619" s="210"/>
      <c r="H1619" s="210"/>
    </row>
    <row r="1620" spans="3:8" x14ac:dyDescent="0.25">
      <c r="C1620" s="210"/>
      <c r="D1620" s="210"/>
      <c r="E1620" s="210"/>
      <c r="F1620" s="210"/>
      <c r="G1620" s="210"/>
      <c r="H1620" s="210"/>
    </row>
    <row r="1621" spans="3:8" x14ac:dyDescent="0.25">
      <c r="C1621" s="210"/>
      <c r="D1621" s="210"/>
      <c r="E1621" s="210"/>
      <c r="F1621" s="210"/>
      <c r="G1621" s="210"/>
      <c r="H1621" s="210"/>
    </row>
    <row r="1622" spans="3:8" x14ac:dyDescent="0.25">
      <c r="C1622" s="210"/>
      <c r="D1622" s="210"/>
      <c r="E1622" s="210"/>
      <c r="F1622" s="210"/>
      <c r="G1622" s="210"/>
      <c r="H1622" s="210"/>
    </row>
    <row r="1623" spans="3:8" x14ac:dyDescent="0.25">
      <c r="C1623" s="210"/>
      <c r="D1623" s="210"/>
      <c r="E1623" s="210"/>
      <c r="F1623" s="210"/>
      <c r="G1623" s="210"/>
      <c r="H1623" s="210"/>
    </row>
    <row r="1624" spans="3:8" x14ac:dyDescent="0.25">
      <c r="C1624" s="210"/>
      <c r="D1624" s="210"/>
      <c r="E1624" s="210"/>
      <c r="F1624" s="210"/>
      <c r="G1624" s="210"/>
      <c r="H1624" s="210"/>
    </row>
    <row r="1625" spans="3:8" x14ac:dyDescent="0.25">
      <c r="C1625" s="210"/>
      <c r="D1625" s="210"/>
      <c r="E1625" s="210"/>
      <c r="F1625" s="210"/>
      <c r="G1625" s="210"/>
      <c r="H1625" s="210"/>
    </row>
    <row r="1626" spans="3:8" x14ac:dyDescent="0.25">
      <c r="C1626" s="210"/>
      <c r="D1626" s="210"/>
      <c r="E1626" s="210"/>
      <c r="F1626" s="210"/>
      <c r="G1626" s="210"/>
      <c r="H1626" s="210"/>
    </row>
    <row r="1627" spans="3:8" x14ac:dyDescent="0.25">
      <c r="C1627" s="210"/>
      <c r="D1627" s="210"/>
      <c r="E1627" s="210"/>
      <c r="F1627" s="210"/>
      <c r="G1627" s="210"/>
      <c r="H1627" s="210"/>
    </row>
    <row r="1628" spans="3:8" x14ac:dyDescent="0.25">
      <c r="C1628" s="210"/>
      <c r="D1628" s="210"/>
      <c r="E1628" s="210"/>
      <c r="F1628" s="210"/>
      <c r="G1628" s="210"/>
      <c r="H1628" s="210"/>
    </row>
    <row r="1629" spans="3:8" x14ac:dyDescent="0.25">
      <c r="C1629" s="210"/>
      <c r="D1629" s="210"/>
      <c r="E1629" s="210"/>
      <c r="F1629" s="210"/>
      <c r="G1629" s="210"/>
      <c r="H1629" s="210"/>
    </row>
    <row r="1630" spans="3:8" x14ac:dyDescent="0.25">
      <c r="C1630" s="210"/>
      <c r="D1630" s="210"/>
      <c r="E1630" s="210"/>
      <c r="F1630" s="210"/>
      <c r="G1630" s="210"/>
      <c r="H1630" s="210"/>
    </row>
    <row r="1631" spans="3:8" x14ac:dyDescent="0.25">
      <c r="C1631" s="210"/>
      <c r="D1631" s="210"/>
      <c r="E1631" s="210"/>
      <c r="F1631" s="210"/>
      <c r="G1631" s="210"/>
      <c r="H1631" s="210"/>
    </row>
    <row r="1632" spans="3:8" x14ac:dyDescent="0.25">
      <c r="C1632" s="210"/>
      <c r="D1632" s="210"/>
      <c r="E1632" s="210"/>
      <c r="F1632" s="210"/>
      <c r="G1632" s="210"/>
      <c r="H1632" s="210"/>
    </row>
    <row r="1633" spans="3:8" x14ac:dyDescent="0.25">
      <c r="C1633" s="210"/>
      <c r="D1633" s="210"/>
      <c r="E1633" s="210"/>
      <c r="F1633" s="210"/>
      <c r="G1633" s="210"/>
      <c r="H1633" s="210"/>
    </row>
    <row r="1634" spans="3:8" x14ac:dyDescent="0.25">
      <c r="C1634" s="210"/>
      <c r="D1634" s="210"/>
      <c r="E1634" s="210"/>
      <c r="F1634" s="210"/>
      <c r="G1634" s="210"/>
      <c r="H1634" s="210"/>
    </row>
    <row r="1635" spans="3:8" x14ac:dyDescent="0.25">
      <c r="C1635" s="210"/>
      <c r="D1635" s="210"/>
      <c r="E1635" s="210"/>
      <c r="F1635" s="210"/>
      <c r="G1635" s="210"/>
      <c r="H1635" s="210"/>
    </row>
    <row r="1636" spans="3:8" x14ac:dyDescent="0.25">
      <c r="C1636" s="210"/>
      <c r="D1636" s="210"/>
      <c r="E1636" s="210"/>
      <c r="F1636" s="210"/>
      <c r="G1636" s="210"/>
      <c r="H1636" s="210"/>
    </row>
    <row r="1637" spans="3:8" x14ac:dyDescent="0.25">
      <c r="C1637" s="210"/>
      <c r="D1637" s="210"/>
      <c r="E1637" s="210"/>
      <c r="F1637" s="210"/>
      <c r="G1637" s="210"/>
      <c r="H1637" s="210"/>
    </row>
    <row r="1638" spans="3:8" x14ac:dyDescent="0.25">
      <c r="C1638" s="210"/>
      <c r="D1638" s="210"/>
      <c r="E1638" s="210"/>
      <c r="F1638" s="210"/>
      <c r="G1638" s="210"/>
      <c r="H1638" s="210"/>
    </row>
    <row r="1639" spans="3:8" x14ac:dyDescent="0.25">
      <c r="C1639" s="210"/>
      <c r="D1639" s="210"/>
      <c r="E1639" s="210"/>
      <c r="F1639" s="210"/>
      <c r="G1639" s="210"/>
      <c r="H1639" s="210"/>
    </row>
    <row r="1640" spans="3:8" x14ac:dyDescent="0.25">
      <c r="C1640" s="210"/>
      <c r="D1640" s="210"/>
      <c r="E1640" s="210"/>
      <c r="F1640" s="210"/>
      <c r="G1640" s="210"/>
      <c r="H1640" s="210"/>
    </row>
    <row r="1641" spans="3:8" x14ac:dyDescent="0.25">
      <c r="C1641" s="210"/>
      <c r="D1641" s="210"/>
      <c r="E1641" s="210"/>
      <c r="F1641" s="210"/>
      <c r="G1641" s="210"/>
      <c r="H1641" s="210"/>
    </row>
    <row r="1642" spans="3:8" x14ac:dyDescent="0.25">
      <c r="C1642" s="210"/>
      <c r="D1642" s="210"/>
      <c r="E1642" s="210"/>
      <c r="F1642" s="210"/>
      <c r="G1642" s="210"/>
      <c r="H1642" s="210"/>
    </row>
    <row r="1643" spans="3:8" x14ac:dyDescent="0.25">
      <c r="C1643" s="210"/>
      <c r="D1643" s="210"/>
      <c r="E1643" s="210"/>
      <c r="F1643" s="210"/>
      <c r="G1643" s="210"/>
      <c r="H1643" s="210"/>
    </row>
    <row r="1644" spans="3:8" x14ac:dyDescent="0.25">
      <c r="C1644" s="210"/>
      <c r="D1644" s="210"/>
      <c r="E1644" s="210"/>
      <c r="F1644" s="210"/>
      <c r="G1644" s="210"/>
      <c r="H1644" s="210"/>
    </row>
    <row r="1645" spans="3:8" x14ac:dyDescent="0.25">
      <c r="C1645" s="210"/>
      <c r="D1645" s="210"/>
      <c r="E1645" s="210"/>
      <c r="F1645" s="210"/>
      <c r="G1645" s="210"/>
      <c r="H1645" s="210"/>
    </row>
    <row r="1646" spans="3:8" x14ac:dyDescent="0.25">
      <c r="C1646" s="210"/>
      <c r="D1646" s="210"/>
      <c r="E1646" s="210"/>
      <c r="F1646" s="210"/>
      <c r="G1646" s="210"/>
      <c r="H1646" s="210"/>
    </row>
    <row r="1647" spans="3:8" x14ac:dyDescent="0.25">
      <c r="C1647" s="210"/>
      <c r="D1647" s="210"/>
      <c r="E1647" s="210"/>
      <c r="F1647" s="210"/>
      <c r="G1647" s="210"/>
      <c r="H1647" s="210"/>
    </row>
    <row r="1648" spans="3:8" x14ac:dyDescent="0.25">
      <c r="C1648" s="210"/>
      <c r="D1648" s="210"/>
      <c r="E1648" s="210"/>
      <c r="F1648" s="210"/>
      <c r="G1648" s="210"/>
      <c r="H1648" s="210"/>
    </row>
    <row r="1649" spans="3:8" x14ac:dyDescent="0.25">
      <c r="C1649" s="210"/>
      <c r="D1649" s="210"/>
      <c r="E1649" s="210"/>
      <c r="F1649" s="210"/>
      <c r="G1649" s="210"/>
      <c r="H1649" s="210"/>
    </row>
    <row r="1650" spans="3:8" x14ac:dyDescent="0.25">
      <c r="C1650" s="210"/>
      <c r="D1650" s="210"/>
      <c r="E1650" s="210"/>
      <c r="F1650" s="210"/>
      <c r="G1650" s="210"/>
      <c r="H1650" s="210"/>
    </row>
    <row r="1651" spans="3:8" x14ac:dyDescent="0.25">
      <c r="C1651" s="210"/>
      <c r="D1651" s="210"/>
      <c r="E1651" s="210"/>
      <c r="F1651" s="210"/>
      <c r="G1651" s="210"/>
      <c r="H1651" s="210"/>
    </row>
    <row r="1652" spans="3:8" x14ac:dyDescent="0.25">
      <c r="C1652" s="210"/>
      <c r="D1652" s="210"/>
      <c r="E1652" s="210"/>
      <c r="F1652" s="210"/>
      <c r="G1652" s="210"/>
      <c r="H1652" s="210"/>
    </row>
    <row r="1653" spans="3:8" x14ac:dyDescent="0.25">
      <c r="C1653" s="210"/>
      <c r="D1653" s="210"/>
      <c r="E1653" s="210"/>
      <c r="F1653" s="210"/>
      <c r="G1653" s="210"/>
      <c r="H1653" s="210"/>
    </row>
    <row r="1654" spans="3:8" x14ac:dyDescent="0.25">
      <c r="C1654" s="210"/>
      <c r="D1654" s="210"/>
      <c r="E1654" s="210"/>
      <c r="F1654" s="210"/>
      <c r="G1654" s="210"/>
      <c r="H1654" s="210"/>
    </row>
    <row r="1655" spans="3:8" x14ac:dyDescent="0.25">
      <c r="C1655" s="210"/>
      <c r="D1655" s="210"/>
      <c r="E1655" s="210"/>
      <c r="F1655" s="210"/>
      <c r="G1655" s="210"/>
      <c r="H1655" s="210"/>
    </row>
    <row r="1656" spans="3:8" x14ac:dyDescent="0.25">
      <c r="C1656" s="210"/>
      <c r="D1656" s="210"/>
      <c r="E1656" s="210"/>
      <c r="F1656" s="210"/>
      <c r="G1656" s="210"/>
      <c r="H1656" s="210"/>
    </row>
    <row r="1657" spans="3:8" x14ac:dyDescent="0.25">
      <c r="C1657" s="210"/>
      <c r="D1657" s="210"/>
      <c r="E1657" s="210"/>
      <c r="F1657" s="210"/>
      <c r="G1657" s="210"/>
      <c r="H1657" s="210"/>
    </row>
    <row r="1658" spans="3:8" x14ac:dyDescent="0.25">
      <c r="C1658" s="210"/>
      <c r="D1658" s="210"/>
      <c r="E1658" s="210"/>
      <c r="F1658" s="210"/>
      <c r="G1658" s="210"/>
      <c r="H1658" s="210"/>
    </row>
    <row r="1659" spans="3:8" x14ac:dyDescent="0.25">
      <c r="C1659" s="210"/>
      <c r="D1659" s="210"/>
      <c r="E1659" s="210"/>
      <c r="F1659" s="210"/>
      <c r="G1659" s="210"/>
      <c r="H1659" s="210"/>
    </row>
    <row r="1660" spans="3:8" x14ac:dyDescent="0.25">
      <c r="C1660" s="210"/>
      <c r="D1660" s="210"/>
      <c r="E1660" s="210"/>
      <c r="F1660" s="210"/>
      <c r="G1660" s="210"/>
      <c r="H1660" s="210"/>
    </row>
    <row r="1661" spans="3:8" x14ac:dyDescent="0.25">
      <c r="C1661" s="210"/>
      <c r="D1661" s="210"/>
      <c r="E1661" s="210"/>
      <c r="F1661" s="210"/>
      <c r="G1661" s="210"/>
      <c r="H1661" s="210"/>
    </row>
    <row r="1662" spans="3:8" x14ac:dyDescent="0.25">
      <c r="C1662" s="210"/>
      <c r="D1662" s="210"/>
      <c r="E1662" s="210"/>
      <c r="F1662" s="210"/>
      <c r="G1662" s="210"/>
      <c r="H1662" s="210"/>
    </row>
    <row r="1663" spans="3:8" x14ac:dyDescent="0.25">
      <c r="C1663" s="210"/>
      <c r="D1663" s="210"/>
      <c r="E1663" s="210"/>
      <c r="F1663" s="210"/>
      <c r="G1663" s="210"/>
      <c r="H1663" s="210"/>
    </row>
    <row r="1664" spans="3:8" x14ac:dyDescent="0.25">
      <c r="C1664" s="210"/>
      <c r="D1664" s="210"/>
      <c r="E1664" s="210"/>
      <c r="F1664" s="210"/>
      <c r="G1664" s="210"/>
      <c r="H1664" s="210"/>
    </row>
    <row r="1665" spans="3:8" x14ac:dyDescent="0.25">
      <c r="C1665" s="210"/>
      <c r="D1665" s="210"/>
      <c r="E1665" s="210"/>
      <c r="F1665" s="210"/>
      <c r="G1665" s="210"/>
      <c r="H1665" s="210"/>
    </row>
    <row r="1666" spans="3:8" x14ac:dyDescent="0.25">
      <c r="C1666" s="210"/>
      <c r="D1666" s="210"/>
      <c r="E1666" s="210"/>
      <c r="F1666" s="210"/>
      <c r="G1666" s="210"/>
      <c r="H1666" s="210"/>
    </row>
    <row r="1667" spans="3:8" x14ac:dyDescent="0.25">
      <c r="C1667" s="210"/>
      <c r="D1667" s="210"/>
      <c r="E1667" s="210"/>
      <c r="F1667" s="210"/>
      <c r="G1667" s="210"/>
      <c r="H1667" s="210"/>
    </row>
    <row r="1668" spans="3:8" x14ac:dyDescent="0.25">
      <c r="C1668" s="210"/>
      <c r="D1668" s="210"/>
      <c r="E1668" s="210"/>
      <c r="F1668" s="210"/>
      <c r="G1668" s="210"/>
      <c r="H1668" s="210"/>
    </row>
    <row r="1669" spans="3:8" x14ac:dyDescent="0.25">
      <c r="C1669" s="210"/>
      <c r="D1669" s="210"/>
      <c r="E1669" s="210"/>
      <c r="F1669" s="210"/>
      <c r="G1669" s="210"/>
      <c r="H1669" s="210"/>
    </row>
    <row r="1670" spans="3:8" x14ac:dyDescent="0.25">
      <c r="C1670" s="210"/>
      <c r="D1670" s="210"/>
      <c r="E1670" s="210"/>
      <c r="F1670" s="210"/>
      <c r="G1670" s="210"/>
      <c r="H1670" s="210"/>
    </row>
    <row r="1671" spans="3:8" x14ac:dyDescent="0.25">
      <c r="C1671" s="210"/>
      <c r="D1671" s="210"/>
      <c r="E1671" s="210"/>
      <c r="F1671" s="210"/>
      <c r="G1671" s="210"/>
      <c r="H1671" s="210"/>
    </row>
    <row r="1672" spans="3:8" x14ac:dyDescent="0.25">
      <c r="C1672" s="210"/>
      <c r="D1672" s="210"/>
      <c r="E1672" s="210"/>
      <c r="F1672" s="210"/>
      <c r="G1672" s="210"/>
      <c r="H1672" s="210"/>
    </row>
    <row r="1673" spans="3:8" x14ac:dyDescent="0.25">
      <c r="C1673" s="210"/>
      <c r="D1673" s="210"/>
      <c r="E1673" s="210"/>
      <c r="F1673" s="210"/>
      <c r="G1673" s="210"/>
      <c r="H1673" s="210"/>
    </row>
    <row r="1674" spans="3:8" x14ac:dyDescent="0.25">
      <c r="C1674" s="210"/>
      <c r="D1674" s="210"/>
      <c r="E1674" s="210"/>
      <c r="F1674" s="210"/>
      <c r="G1674" s="210"/>
      <c r="H1674" s="210"/>
    </row>
    <row r="1675" spans="3:8" x14ac:dyDescent="0.25">
      <c r="C1675" s="210"/>
      <c r="D1675" s="210"/>
      <c r="E1675" s="210"/>
      <c r="F1675" s="210"/>
      <c r="G1675" s="210"/>
      <c r="H1675" s="210"/>
    </row>
    <row r="1676" spans="3:8" x14ac:dyDescent="0.25">
      <c r="C1676" s="210"/>
      <c r="D1676" s="210"/>
      <c r="E1676" s="210"/>
      <c r="F1676" s="210"/>
      <c r="G1676" s="210"/>
      <c r="H1676" s="210"/>
    </row>
    <row r="1677" spans="3:8" x14ac:dyDescent="0.25">
      <c r="C1677" s="210"/>
      <c r="D1677" s="210"/>
      <c r="E1677" s="210"/>
      <c r="F1677" s="210"/>
      <c r="G1677" s="210"/>
      <c r="H1677" s="210"/>
    </row>
    <row r="1678" spans="3:8" x14ac:dyDescent="0.25">
      <c r="C1678" s="210"/>
      <c r="D1678" s="210"/>
      <c r="E1678" s="210"/>
      <c r="F1678" s="210"/>
      <c r="G1678" s="210"/>
      <c r="H1678" s="210"/>
    </row>
    <row r="1679" spans="3:8" x14ac:dyDescent="0.25">
      <c r="C1679" s="210"/>
      <c r="D1679" s="210"/>
      <c r="E1679" s="210"/>
      <c r="F1679" s="210"/>
      <c r="G1679" s="210"/>
      <c r="H1679" s="210"/>
    </row>
    <row r="1680" spans="3:8" x14ac:dyDescent="0.25">
      <c r="C1680" s="210"/>
      <c r="D1680" s="210"/>
      <c r="E1680" s="210"/>
      <c r="F1680" s="210"/>
      <c r="G1680" s="210"/>
      <c r="H1680" s="210"/>
    </row>
    <row r="1681" spans="3:8" x14ac:dyDescent="0.25">
      <c r="C1681" s="210"/>
      <c r="D1681" s="210"/>
      <c r="E1681" s="210"/>
      <c r="F1681" s="210"/>
      <c r="G1681" s="210"/>
      <c r="H1681" s="210"/>
    </row>
    <row r="1682" spans="3:8" x14ac:dyDescent="0.25">
      <c r="C1682" s="210"/>
      <c r="D1682" s="210"/>
      <c r="E1682" s="210"/>
      <c r="F1682" s="210"/>
      <c r="G1682" s="210"/>
      <c r="H1682" s="210"/>
    </row>
    <row r="1683" spans="3:8" x14ac:dyDescent="0.25">
      <c r="C1683" s="210"/>
      <c r="D1683" s="210"/>
      <c r="E1683" s="210"/>
      <c r="F1683" s="210"/>
      <c r="G1683" s="210"/>
      <c r="H1683" s="210"/>
    </row>
    <row r="1684" spans="3:8" x14ac:dyDescent="0.25">
      <c r="C1684" s="210"/>
      <c r="D1684" s="210"/>
      <c r="E1684" s="210"/>
      <c r="F1684" s="210"/>
      <c r="G1684" s="210"/>
      <c r="H1684" s="210"/>
    </row>
    <row r="1685" spans="3:8" x14ac:dyDescent="0.25">
      <c r="C1685" s="210"/>
      <c r="D1685" s="210"/>
      <c r="E1685" s="210"/>
      <c r="F1685" s="210"/>
      <c r="G1685" s="210"/>
      <c r="H1685" s="210"/>
    </row>
    <row r="1686" spans="3:8" x14ac:dyDescent="0.25">
      <c r="C1686" s="210"/>
      <c r="D1686" s="210"/>
      <c r="E1686" s="210"/>
      <c r="F1686" s="210"/>
      <c r="G1686" s="210"/>
      <c r="H1686" s="210"/>
    </row>
    <row r="1687" spans="3:8" x14ac:dyDescent="0.25">
      <c r="C1687" s="210"/>
      <c r="D1687" s="210"/>
      <c r="E1687" s="210"/>
      <c r="F1687" s="210"/>
      <c r="G1687" s="210"/>
      <c r="H1687" s="210"/>
    </row>
    <row r="1688" spans="3:8" x14ac:dyDescent="0.25">
      <c r="C1688" s="210"/>
      <c r="D1688" s="210"/>
      <c r="E1688" s="210"/>
      <c r="F1688" s="210"/>
      <c r="G1688" s="210"/>
      <c r="H1688" s="210"/>
    </row>
    <row r="1689" spans="3:8" x14ac:dyDescent="0.25">
      <c r="C1689" s="210"/>
      <c r="D1689" s="210"/>
      <c r="E1689" s="210"/>
      <c r="F1689" s="210"/>
      <c r="G1689" s="210"/>
      <c r="H1689" s="210"/>
    </row>
    <row r="1690" spans="3:8" x14ac:dyDescent="0.25">
      <c r="C1690" s="210"/>
      <c r="D1690" s="210"/>
      <c r="E1690" s="210"/>
      <c r="F1690" s="210"/>
      <c r="G1690" s="210"/>
      <c r="H1690" s="210"/>
    </row>
    <row r="1691" spans="3:8" x14ac:dyDescent="0.25">
      <c r="C1691" s="210"/>
      <c r="D1691" s="210"/>
      <c r="E1691" s="210"/>
      <c r="F1691" s="210"/>
      <c r="G1691" s="210"/>
      <c r="H1691" s="210"/>
    </row>
    <row r="1692" spans="3:8" x14ac:dyDescent="0.25">
      <c r="C1692" s="210"/>
      <c r="D1692" s="210"/>
      <c r="E1692" s="210"/>
      <c r="F1692" s="210"/>
      <c r="G1692" s="210"/>
      <c r="H1692" s="210"/>
    </row>
    <row r="1693" spans="3:8" x14ac:dyDescent="0.25">
      <c r="C1693" s="210"/>
      <c r="D1693" s="210"/>
      <c r="E1693" s="210"/>
      <c r="F1693" s="210"/>
      <c r="G1693" s="210"/>
      <c r="H1693" s="210"/>
    </row>
    <row r="1694" spans="3:8" x14ac:dyDescent="0.25">
      <c r="C1694" s="210"/>
      <c r="D1694" s="210"/>
      <c r="E1694" s="210"/>
      <c r="F1694" s="210"/>
      <c r="G1694" s="210"/>
      <c r="H1694" s="210"/>
    </row>
    <row r="1695" spans="3:8" x14ac:dyDescent="0.25">
      <c r="C1695" s="210"/>
      <c r="D1695" s="210"/>
      <c r="E1695" s="210"/>
      <c r="F1695" s="210"/>
      <c r="G1695" s="210"/>
      <c r="H1695" s="210"/>
    </row>
    <row r="1696" spans="3:8" x14ac:dyDescent="0.25">
      <c r="C1696" s="210"/>
      <c r="D1696" s="210"/>
      <c r="E1696" s="210"/>
      <c r="F1696" s="210"/>
      <c r="G1696" s="210"/>
      <c r="H1696" s="210"/>
    </row>
    <row r="1697" spans="3:8" x14ac:dyDescent="0.25">
      <c r="C1697" s="210"/>
      <c r="D1697" s="210"/>
      <c r="E1697" s="210"/>
      <c r="F1697" s="210"/>
      <c r="G1697" s="210"/>
      <c r="H1697" s="210"/>
    </row>
    <row r="1698" spans="3:8" x14ac:dyDescent="0.25">
      <c r="C1698" s="210"/>
      <c r="D1698" s="210"/>
      <c r="E1698" s="210"/>
      <c r="F1698" s="210"/>
      <c r="G1698" s="210"/>
      <c r="H1698" s="210"/>
    </row>
    <row r="1699" spans="3:8" x14ac:dyDescent="0.25">
      <c r="C1699" s="210"/>
      <c r="D1699" s="210"/>
      <c r="E1699" s="210"/>
      <c r="F1699" s="210"/>
      <c r="G1699" s="210"/>
      <c r="H1699" s="210"/>
    </row>
    <row r="1700" spans="3:8" x14ac:dyDescent="0.25">
      <c r="C1700" s="210"/>
      <c r="D1700" s="210"/>
      <c r="E1700" s="210"/>
      <c r="F1700" s="210"/>
      <c r="G1700" s="210"/>
      <c r="H1700" s="210"/>
    </row>
    <row r="1701" spans="3:8" x14ac:dyDescent="0.25">
      <c r="C1701" s="210"/>
      <c r="D1701" s="210"/>
      <c r="E1701" s="210"/>
      <c r="F1701" s="210"/>
      <c r="G1701" s="210"/>
      <c r="H1701" s="210"/>
    </row>
    <row r="1702" spans="3:8" x14ac:dyDescent="0.25">
      <c r="C1702" s="210"/>
      <c r="D1702" s="210"/>
      <c r="E1702" s="210"/>
      <c r="F1702" s="210"/>
      <c r="G1702" s="210"/>
      <c r="H1702" s="210"/>
    </row>
    <row r="1703" spans="3:8" x14ac:dyDescent="0.25">
      <c r="C1703" s="210"/>
      <c r="D1703" s="210"/>
      <c r="E1703" s="210"/>
      <c r="F1703" s="210"/>
      <c r="G1703" s="210"/>
      <c r="H1703" s="210"/>
    </row>
    <row r="1704" spans="3:8" x14ac:dyDescent="0.25">
      <c r="C1704" s="210"/>
      <c r="D1704" s="210"/>
      <c r="E1704" s="210"/>
      <c r="F1704" s="210"/>
      <c r="G1704" s="210"/>
      <c r="H1704" s="210"/>
    </row>
    <row r="1705" spans="3:8" x14ac:dyDescent="0.25">
      <c r="C1705" s="210"/>
      <c r="D1705" s="210"/>
      <c r="E1705" s="210"/>
      <c r="F1705" s="210"/>
      <c r="G1705" s="210"/>
      <c r="H1705" s="210"/>
    </row>
    <row r="1706" spans="3:8" x14ac:dyDescent="0.25">
      <c r="C1706" s="210"/>
      <c r="D1706" s="210"/>
      <c r="E1706" s="210"/>
      <c r="F1706" s="210"/>
      <c r="G1706" s="210"/>
      <c r="H1706" s="210"/>
    </row>
    <row r="1707" spans="3:8" x14ac:dyDescent="0.25">
      <c r="C1707" s="210"/>
      <c r="D1707" s="210"/>
      <c r="E1707" s="210"/>
      <c r="F1707" s="210"/>
      <c r="G1707" s="210"/>
      <c r="H1707" s="210"/>
    </row>
    <row r="1708" spans="3:8" x14ac:dyDescent="0.25">
      <c r="C1708" s="210"/>
      <c r="D1708" s="210"/>
      <c r="E1708" s="210"/>
      <c r="F1708" s="210"/>
      <c r="G1708" s="210"/>
      <c r="H1708" s="210"/>
    </row>
    <row r="1709" spans="3:8" x14ac:dyDescent="0.25">
      <c r="C1709" s="210"/>
      <c r="D1709" s="210"/>
      <c r="E1709" s="210"/>
      <c r="F1709" s="210"/>
      <c r="G1709" s="210"/>
      <c r="H1709" s="210"/>
    </row>
    <row r="1710" spans="3:8" x14ac:dyDescent="0.25">
      <c r="C1710" s="210"/>
      <c r="D1710" s="210"/>
      <c r="E1710" s="210"/>
      <c r="F1710" s="210"/>
      <c r="G1710" s="210"/>
      <c r="H1710" s="210"/>
    </row>
    <row r="1711" spans="3:8" x14ac:dyDescent="0.25">
      <c r="C1711" s="210"/>
      <c r="D1711" s="210"/>
      <c r="E1711" s="210"/>
      <c r="F1711" s="210"/>
      <c r="G1711" s="210"/>
      <c r="H1711" s="210"/>
    </row>
    <row r="1712" spans="3:8" x14ac:dyDescent="0.25">
      <c r="C1712" s="210"/>
      <c r="D1712" s="210"/>
      <c r="E1712" s="210"/>
      <c r="F1712" s="210"/>
      <c r="G1712" s="210"/>
      <c r="H1712" s="210"/>
    </row>
    <row r="1713" spans="3:8" x14ac:dyDescent="0.25">
      <c r="C1713" s="210"/>
      <c r="D1713" s="210"/>
      <c r="E1713" s="210"/>
      <c r="F1713" s="210"/>
      <c r="G1713" s="210"/>
      <c r="H1713" s="210"/>
    </row>
    <row r="1714" spans="3:8" x14ac:dyDescent="0.25">
      <c r="C1714" s="210"/>
      <c r="D1714" s="210"/>
      <c r="E1714" s="210"/>
      <c r="F1714" s="210"/>
      <c r="G1714" s="210"/>
      <c r="H1714" s="210"/>
    </row>
    <row r="1715" spans="3:8" x14ac:dyDescent="0.25">
      <c r="C1715" s="210"/>
      <c r="D1715" s="210"/>
      <c r="E1715" s="210"/>
      <c r="F1715" s="210"/>
      <c r="G1715" s="210"/>
      <c r="H1715" s="210"/>
    </row>
    <row r="1716" spans="3:8" x14ac:dyDescent="0.25">
      <c r="C1716" s="210"/>
      <c r="D1716" s="210"/>
      <c r="E1716" s="210"/>
      <c r="F1716" s="210"/>
      <c r="G1716" s="210"/>
      <c r="H1716" s="210"/>
    </row>
    <row r="1717" spans="3:8" x14ac:dyDescent="0.25">
      <c r="C1717" s="210"/>
      <c r="D1717" s="210"/>
      <c r="E1717" s="210"/>
      <c r="F1717" s="210"/>
      <c r="G1717" s="210"/>
      <c r="H1717" s="210"/>
    </row>
    <row r="1718" spans="3:8" x14ac:dyDescent="0.25">
      <c r="C1718" s="210"/>
      <c r="D1718" s="210"/>
      <c r="E1718" s="210"/>
      <c r="F1718" s="210"/>
      <c r="G1718" s="210"/>
      <c r="H1718" s="210"/>
    </row>
    <row r="1719" spans="3:8" x14ac:dyDescent="0.25">
      <c r="C1719" s="210"/>
      <c r="D1719" s="210"/>
      <c r="E1719" s="210"/>
      <c r="F1719" s="210"/>
      <c r="G1719" s="210"/>
      <c r="H1719" s="210"/>
    </row>
    <row r="1720" spans="3:8" x14ac:dyDescent="0.25">
      <c r="C1720" s="210"/>
      <c r="D1720" s="210"/>
      <c r="E1720" s="210"/>
      <c r="F1720" s="210"/>
      <c r="G1720" s="210"/>
      <c r="H1720" s="210"/>
    </row>
    <row r="1721" spans="3:8" x14ac:dyDescent="0.25">
      <c r="C1721" s="210"/>
      <c r="D1721" s="210"/>
      <c r="E1721" s="210"/>
      <c r="F1721" s="210"/>
      <c r="G1721" s="210"/>
      <c r="H1721" s="210"/>
    </row>
    <row r="1722" spans="3:8" x14ac:dyDescent="0.25">
      <c r="C1722" s="210"/>
      <c r="D1722" s="210"/>
      <c r="E1722" s="210"/>
      <c r="F1722" s="210"/>
      <c r="G1722" s="210"/>
      <c r="H1722" s="210"/>
    </row>
    <row r="1723" spans="3:8" x14ac:dyDescent="0.25">
      <c r="C1723" s="210"/>
      <c r="D1723" s="210"/>
      <c r="E1723" s="210"/>
      <c r="F1723" s="210"/>
      <c r="G1723" s="210"/>
      <c r="H1723" s="210"/>
    </row>
    <row r="1724" spans="3:8" x14ac:dyDescent="0.25">
      <c r="C1724" s="210"/>
      <c r="D1724" s="210"/>
      <c r="E1724" s="210"/>
      <c r="F1724" s="210"/>
      <c r="G1724" s="210"/>
      <c r="H1724" s="210"/>
    </row>
    <row r="1725" spans="3:8" x14ac:dyDescent="0.25">
      <c r="C1725" s="210"/>
      <c r="D1725" s="210"/>
      <c r="E1725" s="210"/>
      <c r="F1725" s="210"/>
      <c r="G1725" s="210"/>
      <c r="H1725" s="210"/>
    </row>
    <row r="1726" spans="3:8" x14ac:dyDescent="0.25">
      <c r="C1726" s="210"/>
      <c r="D1726" s="210"/>
      <c r="E1726" s="210"/>
      <c r="F1726" s="210"/>
      <c r="G1726" s="210"/>
      <c r="H1726" s="210"/>
    </row>
    <row r="1727" spans="3:8" x14ac:dyDescent="0.25">
      <c r="C1727" s="210"/>
      <c r="D1727" s="210"/>
      <c r="E1727" s="210"/>
      <c r="F1727" s="210"/>
      <c r="G1727" s="210"/>
      <c r="H1727" s="210"/>
    </row>
    <row r="1728" spans="3:8" x14ac:dyDescent="0.25">
      <c r="C1728" s="210"/>
      <c r="D1728" s="210"/>
      <c r="E1728" s="210"/>
      <c r="F1728" s="210"/>
      <c r="G1728" s="210"/>
      <c r="H1728" s="210"/>
    </row>
    <row r="1729" spans="3:8" x14ac:dyDescent="0.25">
      <c r="C1729" s="210"/>
      <c r="D1729" s="210"/>
      <c r="E1729" s="210"/>
      <c r="F1729" s="210"/>
      <c r="G1729" s="210"/>
      <c r="H1729" s="210"/>
    </row>
    <row r="1730" spans="3:8" x14ac:dyDescent="0.25">
      <c r="C1730" s="210"/>
      <c r="D1730" s="210"/>
      <c r="E1730" s="210"/>
      <c r="F1730" s="210"/>
      <c r="G1730" s="210"/>
      <c r="H1730" s="210"/>
    </row>
    <row r="1731" spans="3:8" x14ac:dyDescent="0.25">
      <c r="C1731" s="210"/>
      <c r="D1731" s="210"/>
      <c r="E1731" s="210"/>
      <c r="F1731" s="210"/>
      <c r="G1731" s="210"/>
      <c r="H1731" s="210"/>
    </row>
    <row r="1732" spans="3:8" x14ac:dyDescent="0.25">
      <c r="C1732" s="210"/>
      <c r="D1732" s="210"/>
      <c r="E1732" s="210"/>
      <c r="F1732" s="210"/>
      <c r="G1732" s="210"/>
      <c r="H1732" s="210"/>
    </row>
    <row r="1733" spans="3:8" x14ac:dyDescent="0.25">
      <c r="C1733" s="210"/>
      <c r="D1733" s="210"/>
      <c r="E1733" s="210"/>
      <c r="F1733" s="210"/>
      <c r="G1733" s="210"/>
      <c r="H1733" s="210"/>
    </row>
    <row r="1734" spans="3:8" x14ac:dyDescent="0.25">
      <c r="C1734" s="210"/>
      <c r="D1734" s="210"/>
      <c r="E1734" s="210"/>
      <c r="F1734" s="210"/>
      <c r="G1734" s="210"/>
      <c r="H1734" s="210"/>
    </row>
    <row r="1735" spans="3:8" x14ac:dyDescent="0.25">
      <c r="C1735" s="210"/>
      <c r="D1735" s="210"/>
      <c r="E1735" s="210"/>
      <c r="F1735" s="210"/>
      <c r="G1735" s="210"/>
      <c r="H1735" s="210"/>
    </row>
    <row r="1736" spans="3:8" x14ac:dyDescent="0.25">
      <c r="C1736" s="210"/>
      <c r="D1736" s="210"/>
      <c r="E1736" s="210"/>
      <c r="F1736" s="210"/>
      <c r="G1736" s="210"/>
      <c r="H1736" s="210"/>
    </row>
    <row r="1737" spans="3:8" x14ac:dyDescent="0.25">
      <c r="C1737" s="210"/>
      <c r="D1737" s="210"/>
      <c r="E1737" s="210"/>
      <c r="F1737" s="210"/>
      <c r="G1737" s="210"/>
      <c r="H1737" s="210"/>
    </row>
    <row r="1738" spans="3:8" x14ac:dyDescent="0.25">
      <c r="C1738" s="210"/>
      <c r="D1738" s="210"/>
      <c r="E1738" s="210"/>
      <c r="F1738" s="210"/>
      <c r="G1738" s="210"/>
      <c r="H1738" s="210"/>
    </row>
    <row r="1739" spans="3:8" x14ac:dyDescent="0.25">
      <c r="C1739" s="210"/>
      <c r="D1739" s="210"/>
      <c r="E1739" s="210"/>
      <c r="F1739" s="210"/>
      <c r="G1739" s="210"/>
      <c r="H1739" s="210"/>
    </row>
    <row r="1740" spans="3:8" x14ac:dyDescent="0.25">
      <c r="C1740" s="210"/>
      <c r="D1740" s="210"/>
      <c r="E1740" s="210"/>
      <c r="F1740" s="210"/>
      <c r="G1740" s="210"/>
      <c r="H1740" s="210"/>
    </row>
    <row r="1741" spans="3:8" x14ac:dyDescent="0.25">
      <c r="C1741" s="210"/>
      <c r="D1741" s="210"/>
      <c r="E1741" s="210"/>
      <c r="F1741" s="210"/>
      <c r="G1741" s="210"/>
      <c r="H1741" s="210"/>
    </row>
    <row r="1742" spans="3:8" x14ac:dyDescent="0.25">
      <c r="C1742" s="210"/>
      <c r="D1742" s="210"/>
      <c r="E1742" s="210"/>
      <c r="F1742" s="210"/>
      <c r="G1742" s="210"/>
      <c r="H1742" s="210"/>
    </row>
    <row r="1743" spans="3:8" x14ac:dyDescent="0.25">
      <c r="C1743" s="210"/>
      <c r="D1743" s="210"/>
      <c r="E1743" s="210"/>
      <c r="F1743" s="210"/>
      <c r="G1743" s="210"/>
      <c r="H1743" s="210"/>
    </row>
    <row r="1744" spans="3:8" x14ac:dyDescent="0.25">
      <c r="C1744" s="210"/>
      <c r="D1744" s="210"/>
      <c r="E1744" s="210"/>
      <c r="F1744" s="210"/>
      <c r="G1744" s="210"/>
      <c r="H1744" s="210"/>
    </row>
    <row r="1745" spans="3:8" x14ac:dyDescent="0.25">
      <c r="C1745" s="210"/>
      <c r="D1745" s="210"/>
      <c r="E1745" s="210"/>
      <c r="F1745" s="210"/>
      <c r="G1745" s="210"/>
      <c r="H1745" s="210"/>
    </row>
    <row r="1746" spans="3:8" x14ac:dyDescent="0.25">
      <c r="C1746" s="210"/>
      <c r="D1746" s="210"/>
      <c r="E1746" s="210"/>
      <c r="F1746" s="210"/>
      <c r="G1746" s="210"/>
      <c r="H1746" s="210"/>
    </row>
    <row r="1747" spans="3:8" x14ac:dyDescent="0.25">
      <c r="C1747" s="210"/>
      <c r="D1747" s="210"/>
      <c r="E1747" s="210"/>
      <c r="F1747" s="210"/>
      <c r="G1747" s="210"/>
      <c r="H1747" s="210"/>
    </row>
    <row r="1748" spans="3:8" x14ac:dyDescent="0.25">
      <c r="C1748" s="210"/>
      <c r="D1748" s="210"/>
      <c r="E1748" s="210"/>
      <c r="F1748" s="210"/>
      <c r="G1748" s="210"/>
      <c r="H1748" s="210"/>
    </row>
    <row r="1749" spans="3:8" x14ac:dyDescent="0.25">
      <c r="C1749" s="210"/>
      <c r="D1749" s="210"/>
      <c r="E1749" s="210"/>
      <c r="F1749" s="210"/>
      <c r="G1749" s="210"/>
      <c r="H1749" s="210"/>
    </row>
    <row r="1750" spans="3:8" x14ac:dyDescent="0.25">
      <c r="C1750" s="210"/>
      <c r="D1750" s="210"/>
      <c r="E1750" s="210"/>
      <c r="F1750" s="210"/>
      <c r="G1750" s="210"/>
      <c r="H1750" s="210"/>
    </row>
    <row r="1751" spans="3:8" x14ac:dyDescent="0.25">
      <c r="C1751" s="210"/>
      <c r="D1751" s="210"/>
      <c r="E1751" s="210"/>
      <c r="F1751" s="210"/>
      <c r="G1751" s="210"/>
      <c r="H1751" s="210"/>
    </row>
    <row r="1752" spans="3:8" x14ac:dyDescent="0.25">
      <c r="C1752" s="210"/>
      <c r="D1752" s="210"/>
      <c r="E1752" s="210"/>
      <c r="F1752" s="210"/>
      <c r="G1752" s="210"/>
      <c r="H1752" s="210"/>
    </row>
    <row r="1753" spans="3:8" x14ac:dyDescent="0.25">
      <c r="C1753" s="210"/>
      <c r="D1753" s="210"/>
      <c r="E1753" s="210"/>
      <c r="F1753" s="210"/>
      <c r="G1753" s="210"/>
      <c r="H1753" s="210"/>
    </row>
    <row r="1754" spans="3:8" x14ac:dyDescent="0.25">
      <c r="C1754" s="210"/>
      <c r="D1754" s="210"/>
      <c r="E1754" s="210"/>
      <c r="F1754" s="210"/>
      <c r="G1754" s="210"/>
      <c r="H1754" s="210"/>
    </row>
    <row r="1755" spans="3:8" x14ac:dyDescent="0.25">
      <c r="C1755" s="210"/>
      <c r="D1755" s="210"/>
      <c r="E1755" s="210"/>
      <c r="F1755" s="210"/>
      <c r="G1755" s="210"/>
      <c r="H1755" s="210"/>
    </row>
    <row r="1756" spans="3:8" x14ac:dyDescent="0.25">
      <c r="C1756" s="210"/>
      <c r="D1756" s="210"/>
      <c r="E1756" s="210"/>
      <c r="F1756" s="210"/>
      <c r="G1756" s="210"/>
      <c r="H1756" s="210"/>
    </row>
    <row r="1757" spans="3:8" x14ac:dyDescent="0.25">
      <c r="C1757" s="210"/>
      <c r="D1757" s="210"/>
      <c r="E1757" s="210"/>
      <c r="F1757" s="210"/>
      <c r="G1757" s="210"/>
      <c r="H1757" s="210"/>
    </row>
    <row r="1758" spans="3:8" x14ac:dyDescent="0.25">
      <c r="C1758" s="210"/>
      <c r="D1758" s="210"/>
      <c r="E1758" s="210"/>
      <c r="F1758" s="210"/>
      <c r="G1758" s="210"/>
      <c r="H1758" s="210"/>
    </row>
    <row r="1759" spans="3:8" x14ac:dyDescent="0.25">
      <c r="C1759" s="210"/>
      <c r="D1759" s="210"/>
      <c r="E1759" s="210"/>
      <c r="F1759" s="210"/>
      <c r="G1759" s="210"/>
      <c r="H1759" s="210"/>
    </row>
    <row r="1760" spans="3:8" x14ac:dyDescent="0.25">
      <c r="C1760" s="210"/>
      <c r="D1760" s="210"/>
      <c r="E1760" s="210"/>
      <c r="F1760" s="210"/>
      <c r="G1760" s="210"/>
      <c r="H1760" s="210"/>
    </row>
    <row r="1761" spans="3:8" x14ac:dyDescent="0.25">
      <c r="C1761" s="210"/>
      <c r="D1761" s="210"/>
      <c r="E1761" s="210"/>
      <c r="F1761" s="210"/>
      <c r="G1761" s="210"/>
      <c r="H1761" s="210"/>
    </row>
    <row r="1762" spans="3:8" x14ac:dyDescent="0.25">
      <c r="C1762" s="210"/>
      <c r="D1762" s="210"/>
      <c r="E1762" s="210"/>
      <c r="F1762" s="210"/>
      <c r="G1762" s="210"/>
      <c r="H1762" s="210"/>
    </row>
    <row r="1763" spans="3:8" x14ac:dyDescent="0.25">
      <c r="C1763" s="210"/>
      <c r="D1763" s="210"/>
      <c r="E1763" s="210"/>
      <c r="F1763" s="210"/>
      <c r="G1763" s="210"/>
      <c r="H1763" s="210"/>
    </row>
    <row r="1764" spans="3:8" x14ac:dyDescent="0.25">
      <c r="C1764" s="210"/>
      <c r="D1764" s="210"/>
      <c r="E1764" s="210"/>
      <c r="F1764" s="210"/>
      <c r="G1764" s="210"/>
      <c r="H1764" s="210"/>
    </row>
    <row r="1765" spans="3:8" x14ac:dyDescent="0.25">
      <c r="C1765" s="210"/>
      <c r="D1765" s="210"/>
      <c r="E1765" s="210"/>
      <c r="F1765" s="210"/>
      <c r="G1765" s="210"/>
      <c r="H1765" s="210"/>
    </row>
    <row r="1766" spans="3:8" x14ac:dyDescent="0.25">
      <c r="C1766" s="210"/>
      <c r="D1766" s="210"/>
      <c r="E1766" s="210"/>
      <c r="F1766" s="210"/>
      <c r="G1766" s="210"/>
      <c r="H1766" s="210"/>
    </row>
    <row r="1767" spans="3:8" x14ac:dyDescent="0.25">
      <c r="C1767" s="210"/>
      <c r="D1767" s="210"/>
      <c r="E1767" s="210"/>
      <c r="F1767" s="210"/>
      <c r="G1767" s="210"/>
      <c r="H1767" s="210"/>
    </row>
    <row r="1768" spans="3:8" x14ac:dyDescent="0.25">
      <c r="C1768" s="210"/>
      <c r="D1768" s="210"/>
      <c r="E1768" s="210"/>
      <c r="F1768" s="210"/>
      <c r="G1768" s="210"/>
      <c r="H1768" s="210"/>
    </row>
    <row r="1769" spans="3:8" x14ac:dyDescent="0.25">
      <c r="C1769" s="210"/>
      <c r="D1769" s="210"/>
      <c r="E1769" s="210"/>
      <c r="F1769" s="210"/>
      <c r="G1769" s="210"/>
      <c r="H1769" s="210"/>
    </row>
    <row r="1770" spans="3:8" x14ac:dyDescent="0.25">
      <c r="C1770" s="210"/>
      <c r="D1770" s="210"/>
      <c r="E1770" s="210"/>
      <c r="F1770" s="210"/>
      <c r="G1770" s="210"/>
      <c r="H1770" s="210"/>
    </row>
    <row r="1771" spans="3:8" x14ac:dyDescent="0.25">
      <c r="C1771" s="210"/>
      <c r="D1771" s="210"/>
      <c r="E1771" s="210"/>
      <c r="F1771" s="210"/>
      <c r="G1771" s="210"/>
      <c r="H1771" s="210"/>
    </row>
    <row r="1772" spans="3:8" x14ac:dyDescent="0.25">
      <c r="C1772" s="210"/>
      <c r="D1772" s="210"/>
      <c r="E1772" s="210"/>
      <c r="F1772" s="210"/>
      <c r="G1772" s="210"/>
      <c r="H1772" s="210"/>
    </row>
    <row r="1773" spans="3:8" x14ac:dyDescent="0.25">
      <c r="C1773" s="210"/>
      <c r="D1773" s="210"/>
      <c r="E1773" s="210"/>
      <c r="F1773" s="210"/>
      <c r="G1773" s="210"/>
      <c r="H1773" s="210"/>
    </row>
    <row r="1774" spans="3:8" x14ac:dyDescent="0.25">
      <c r="C1774" s="210"/>
      <c r="D1774" s="210"/>
      <c r="E1774" s="210"/>
      <c r="F1774" s="210"/>
      <c r="G1774" s="210"/>
      <c r="H1774" s="210"/>
    </row>
    <row r="1775" spans="3:8" x14ac:dyDescent="0.25">
      <c r="C1775" s="210"/>
      <c r="D1775" s="210"/>
      <c r="E1775" s="210"/>
      <c r="F1775" s="210"/>
      <c r="G1775" s="210"/>
      <c r="H1775" s="210"/>
    </row>
    <row r="1776" spans="3:8" x14ac:dyDescent="0.25">
      <c r="C1776" s="210"/>
      <c r="D1776" s="210"/>
      <c r="E1776" s="210"/>
      <c r="F1776" s="210"/>
      <c r="G1776" s="210"/>
      <c r="H1776" s="210"/>
    </row>
    <row r="1777" spans="3:8" x14ac:dyDescent="0.25">
      <c r="C1777" s="210"/>
      <c r="D1777" s="210"/>
      <c r="E1777" s="210"/>
      <c r="F1777" s="210"/>
      <c r="G1777" s="210"/>
      <c r="H1777" s="210"/>
    </row>
    <row r="1778" spans="3:8" x14ac:dyDescent="0.25">
      <c r="C1778" s="210"/>
      <c r="D1778" s="210"/>
      <c r="E1778" s="210"/>
      <c r="F1778" s="210"/>
      <c r="G1778" s="210"/>
      <c r="H1778" s="210"/>
    </row>
    <row r="1779" spans="3:8" x14ac:dyDescent="0.25">
      <c r="C1779" s="210"/>
      <c r="D1779" s="210"/>
      <c r="E1779" s="210"/>
      <c r="F1779" s="210"/>
      <c r="G1779" s="210"/>
      <c r="H1779" s="210"/>
    </row>
    <row r="1780" spans="3:8" x14ac:dyDescent="0.25">
      <c r="C1780" s="210"/>
      <c r="D1780" s="210"/>
      <c r="E1780" s="210"/>
      <c r="F1780" s="210"/>
      <c r="G1780" s="210"/>
      <c r="H1780" s="210"/>
    </row>
    <row r="1781" spans="3:8" x14ac:dyDescent="0.25">
      <c r="C1781" s="210"/>
      <c r="D1781" s="210"/>
      <c r="E1781" s="210"/>
      <c r="F1781" s="210"/>
      <c r="G1781" s="210"/>
      <c r="H1781" s="210"/>
    </row>
    <row r="1782" spans="3:8" x14ac:dyDescent="0.25">
      <c r="C1782" s="210"/>
      <c r="D1782" s="210"/>
      <c r="E1782" s="210"/>
      <c r="F1782" s="210"/>
      <c r="G1782" s="210"/>
      <c r="H1782" s="210"/>
    </row>
    <row r="1783" spans="3:8" x14ac:dyDescent="0.25">
      <c r="C1783" s="210"/>
      <c r="D1783" s="210"/>
      <c r="E1783" s="210"/>
      <c r="F1783" s="210"/>
      <c r="G1783" s="210"/>
      <c r="H1783" s="210"/>
    </row>
    <row r="1784" spans="3:8" x14ac:dyDescent="0.25">
      <c r="C1784" s="210"/>
      <c r="D1784" s="210"/>
      <c r="E1784" s="210"/>
      <c r="F1784" s="210"/>
      <c r="G1784" s="210"/>
      <c r="H1784" s="210"/>
    </row>
    <row r="1785" spans="3:8" x14ac:dyDescent="0.25">
      <c r="C1785" s="210"/>
      <c r="D1785" s="210"/>
      <c r="E1785" s="210"/>
      <c r="F1785" s="210"/>
      <c r="G1785" s="210"/>
      <c r="H1785" s="210"/>
    </row>
    <row r="1786" spans="3:8" x14ac:dyDescent="0.25">
      <c r="C1786" s="210"/>
      <c r="D1786" s="210"/>
      <c r="E1786" s="210"/>
      <c r="F1786" s="210"/>
      <c r="G1786" s="210"/>
      <c r="H1786" s="210"/>
    </row>
    <row r="1787" spans="3:8" x14ac:dyDescent="0.25">
      <c r="C1787" s="210"/>
      <c r="D1787" s="210"/>
      <c r="E1787" s="210"/>
      <c r="F1787" s="210"/>
      <c r="G1787" s="210"/>
      <c r="H1787" s="210"/>
    </row>
    <row r="1788" spans="3:8" x14ac:dyDescent="0.25">
      <c r="C1788" s="210"/>
      <c r="D1788" s="210"/>
      <c r="E1788" s="210"/>
      <c r="F1788" s="210"/>
      <c r="G1788" s="210"/>
      <c r="H1788" s="210"/>
    </row>
    <row r="1789" spans="3:8" x14ac:dyDescent="0.25">
      <c r="C1789" s="210"/>
      <c r="D1789" s="210"/>
      <c r="E1789" s="210"/>
      <c r="F1789" s="210"/>
      <c r="G1789" s="210"/>
      <c r="H1789" s="210"/>
    </row>
    <row r="1790" spans="3:8" x14ac:dyDescent="0.25">
      <c r="C1790" s="210"/>
      <c r="D1790" s="210"/>
      <c r="E1790" s="210"/>
      <c r="F1790" s="210"/>
      <c r="G1790" s="210"/>
      <c r="H1790" s="210"/>
    </row>
    <row r="1791" spans="3:8" x14ac:dyDescent="0.25">
      <c r="C1791" s="210"/>
      <c r="D1791" s="210"/>
      <c r="E1791" s="210"/>
      <c r="F1791" s="210"/>
      <c r="G1791" s="210"/>
      <c r="H1791" s="210"/>
    </row>
    <row r="1792" spans="3:8" x14ac:dyDescent="0.25">
      <c r="C1792" s="210"/>
      <c r="D1792" s="210"/>
      <c r="E1792" s="210"/>
      <c r="F1792" s="210"/>
      <c r="G1792" s="210"/>
      <c r="H1792" s="210"/>
    </row>
    <row r="1793" spans="3:8" x14ac:dyDescent="0.25">
      <c r="C1793" s="210"/>
      <c r="D1793" s="210"/>
      <c r="E1793" s="210"/>
      <c r="F1793" s="210"/>
      <c r="G1793" s="210"/>
      <c r="H1793" s="210"/>
    </row>
    <row r="1794" spans="3:8" x14ac:dyDescent="0.25">
      <c r="C1794" s="210"/>
      <c r="D1794" s="210"/>
      <c r="E1794" s="210"/>
      <c r="F1794" s="210"/>
      <c r="G1794" s="210"/>
      <c r="H1794" s="210"/>
    </row>
    <row r="1795" spans="3:8" x14ac:dyDescent="0.25">
      <c r="C1795" s="210"/>
      <c r="D1795" s="210"/>
      <c r="E1795" s="210"/>
      <c r="F1795" s="210"/>
      <c r="G1795" s="210"/>
      <c r="H1795" s="210"/>
    </row>
    <row r="1796" spans="3:8" x14ac:dyDescent="0.25">
      <c r="C1796" s="210"/>
      <c r="D1796" s="210"/>
      <c r="E1796" s="210"/>
      <c r="F1796" s="210"/>
      <c r="G1796" s="210"/>
      <c r="H1796" s="210"/>
    </row>
    <row r="1797" spans="3:8" x14ac:dyDescent="0.25">
      <c r="C1797" s="210"/>
      <c r="D1797" s="210"/>
      <c r="E1797" s="210"/>
      <c r="F1797" s="210"/>
      <c r="G1797" s="210"/>
      <c r="H1797" s="210"/>
    </row>
    <row r="1798" spans="3:8" x14ac:dyDescent="0.25">
      <c r="C1798" s="210"/>
      <c r="D1798" s="210"/>
      <c r="E1798" s="210"/>
      <c r="F1798" s="210"/>
      <c r="G1798" s="210"/>
      <c r="H1798" s="210"/>
    </row>
    <row r="1799" spans="3:8" x14ac:dyDescent="0.25">
      <c r="C1799" s="210"/>
      <c r="D1799" s="210"/>
      <c r="E1799" s="210"/>
      <c r="F1799" s="210"/>
      <c r="G1799" s="210"/>
      <c r="H1799" s="210"/>
    </row>
    <row r="1800" spans="3:8" x14ac:dyDescent="0.25">
      <c r="C1800" s="210"/>
      <c r="D1800" s="210"/>
      <c r="E1800" s="210"/>
      <c r="F1800" s="210"/>
      <c r="G1800" s="210"/>
      <c r="H1800" s="210"/>
    </row>
    <row r="1801" spans="3:8" x14ac:dyDescent="0.25">
      <c r="C1801" s="210"/>
      <c r="D1801" s="210"/>
      <c r="E1801" s="210"/>
      <c r="F1801" s="210"/>
      <c r="G1801" s="210"/>
      <c r="H1801" s="210"/>
    </row>
    <row r="1802" spans="3:8" x14ac:dyDescent="0.25">
      <c r="C1802" s="210"/>
      <c r="D1802" s="210"/>
      <c r="E1802" s="210"/>
      <c r="F1802" s="210"/>
      <c r="G1802" s="210"/>
      <c r="H1802" s="210"/>
    </row>
    <row r="1803" spans="3:8" x14ac:dyDescent="0.25">
      <c r="C1803" s="210"/>
      <c r="D1803" s="210"/>
      <c r="E1803" s="210"/>
      <c r="F1803" s="210"/>
      <c r="G1803" s="210"/>
      <c r="H1803" s="210"/>
    </row>
    <row r="1804" spans="3:8" x14ac:dyDescent="0.25">
      <c r="C1804" s="210"/>
      <c r="D1804" s="210"/>
      <c r="E1804" s="210"/>
      <c r="F1804" s="210"/>
      <c r="G1804" s="210"/>
      <c r="H1804" s="210"/>
    </row>
    <row r="1805" spans="3:8" x14ac:dyDescent="0.25">
      <c r="C1805" s="210"/>
      <c r="D1805" s="210"/>
      <c r="E1805" s="210"/>
      <c r="F1805" s="210"/>
      <c r="G1805" s="210"/>
      <c r="H1805" s="210"/>
    </row>
    <row r="1806" spans="3:8" x14ac:dyDescent="0.25">
      <c r="C1806" s="210"/>
      <c r="D1806" s="210"/>
      <c r="E1806" s="210"/>
      <c r="F1806" s="210"/>
      <c r="G1806" s="210"/>
      <c r="H1806" s="210"/>
    </row>
    <row r="1807" spans="3:8" x14ac:dyDescent="0.25">
      <c r="C1807" s="210"/>
      <c r="D1807" s="210"/>
      <c r="E1807" s="210"/>
      <c r="F1807" s="210"/>
      <c r="G1807" s="210"/>
      <c r="H1807" s="210"/>
    </row>
    <row r="1808" spans="3:8" x14ac:dyDescent="0.25">
      <c r="C1808" s="210"/>
      <c r="D1808" s="210"/>
      <c r="E1808" s="210"/>
      <c r="F1808" s="210"/>
      <c r="G1808" s="210"/>
      <c r="H1808" s="210"/>
    </row>
    <row r="1809" spans="3:8" x14ac:dyDescent="0.25">
      <c r="C1809" s="210"/>
      <c r="D1809" s="210"/>
      <c r="E1809" s="210"/>
      <c r="F1809" s="210"/>
      <c r="G1809" s="210"/>
      <c r="H1809" s="210"/>
    </row>
    <row r="1810" spans="3:8" x14ac:dyDescent="0.25">
      <c r="C1810" s="210"/>
      <c r="D1810" s="210"/>
      <c r="E1810" s="210"/>
      <c r="F1810" s="210"/>
      <c r="G1810" s="210"/>
      <c r="H1810" s="210"/>
    </row>
    <row r="1811" spans="3:8" x14ac:dyDescent="0.25">
      <c r="C1811" s="210"/>
      <c r="D1811" s="210"/>
      <c r="E1811" s="210"/>
      <c r="F1811" s="210"/>
      <c r="G1811" s="210"/>
      <c r="H1811" s="210"/>
    </row>
    <row r="1812" spans="3:8" x14ac:dyDescent="0.25">
      <c r="C1812" s="210"/>
      <c r="D1812" s="210"/>
      <c r="E1812" s="210"/>
      <c r="F1812" s="210"/>
      <c r="G1812" s="210"/>
      <c r="H1812" s="210"/>
    </row>
    <row r="1813" spans="3:8" x14ac:dyDescent="0.25">
      <c r="C1813" s="210"/>
      <c r="D1813" s="210"/>
      <c r="E1813" s="210"/>
      <c r="F1813" s="210"/>
      <c r="G1813" s="210"/>
      <c r="H1813" s="210"/>
    </row>
    <row r="1814" spans="3:8" x14ac:dyDescent="0.25">
      <c r="C1814" s="210"/>
      <c r="D1814" s="210"/>
      <c r="E1814" s="210"/>
      <c r="F1814" s="210"/>
      <c r="G1814" s="210"/>
      <c r="H1814" s="210"/>
    </row>
    <row r="1815" spans="3:8" x14ac:dyDescent="0.25">
      <c r="C1815" s="210"/>
      <c r="D1815" s="210"/>
      <c r="E1815" s="210"/>
      <c r="F1815" s="210"/>
      <c r="G1815" s="210"/>
      <c r="H1815" s="210"/>
    </row>
    <row r="1816" spans="3:8" x14ac:dyDescent="0.25">
      <c r="C1816" s="210"/>
      <c r="D1816" s="210"/>
      <c r="E1816" s="210"/>
      <c r="F1816" s="210"/>
      <c r="G1816" s="210"/>
      <c r="H1816" s="210"/>
    </row>
    <row r="1817" spans="3:8" x14ac:dyDescent="0.25">
      <c r="C1817" s="210"/>
      <c r="D1817" s="210"/>
      <c r="E1817" s="210"/>
      <c r="F1817" s="210"/>
      <c r="G1817" s="210"/>
      <c r="H1817" s="210"/>
    </row>
    <row r="1818" spans="3:8" x14ac:dyDescent="0.25">
      <c r="C1818" s="210"/>
      <c r="D1818" s="210"/>
      <c r="E1818" s="210"/>
      <c r="F1818" s="210"/>
      <c r="G1818" s="210"/>
      <c r="H1818" s="210"/>
    </row>
    <row r="1819" spans="3:8" x14ac:dyDescent="0.25">
      <c r="C1819" s="210"/>
      <c r="D1819" s="210"/>
      <c r="E1819" s="210"/>
      <c r="F1819" s="210"/>
      <c r="G1819" s="210"/>
      <c r="H1819" s="210"/>
    </row>
    <row r="1820" spans="3:8" x14ac:dyDescent="0.25">
      <c r="C1820" s="210"/>
      <c r="D1820" s="210"/>
      <c r="E1820" s="210"/>
      <c r="F1820" s="210"/>
      <c r="G1820" s="210"/>
      <c r="H1820" s="210"/>
    </row>
    <row r="1821" spans="3:8" x14ac:dyDescent="0.25">
      <c r="C1821" s="210"/>
      <c r="D1821" s="210"/>
      <c r="E1821" s="210"/>
      <c r="F1821" s="210"/>
      <c r="G1821" s="210"/>
      <c r="H1821" s="210"/>
    </row>
    <row r="1822" spans="3:8" x14ac:dyDescent="0.25">
      <c r="C1822" s="210"/>
      <c r="D1822" s="210"/>
      <c r="E1822" s="210"/>
      <c r="F1822" s="210"/>
      <c r="G1822" s="210"/>
      <c r="H1822" s="210"/>
    </row>
    <row r="1823" spans="3:8" x14ac:dyDescent="0.25">
      <c r="C1823" s="210"/>
      <c r="D1823" s="210"/>
      <c r="E1823" s="210"/>
      <c r="F1823" s="210"/>
      <c r="G1823" s="210"/>
      <c r="H1823" s="210"/>
    </row>
    <row r="1824" spans="3:8" x14ac:dyDescent="0.25">
      <c r="C1824" s="210"/>
      <c r="D1824" s="210"/>
      <c r="E1824" s="210"/>
      <c r="F1824" s="210"/>
      <c r="G1824" s="210"/>
      <c r="H1824" s="210"/>
    </row>
    <row r="1825" spans="3:8" x14ac:dyDescent="0.25">
      <c r="C1825" s="210"/>
      <c r="D1825" s="210"/>
      <c r="E1825" s="210"/>
      <c r="F1825" s="210"/>
      <c r="G1825" s="210"/>
      <c r="H1825" s="210"/>
    </row>
    <row r="1826" spans="3:8" x14ac:dyDescent="0.25">
      <c r="C1826" s="210"/>
      <c r="D1826" s="210"/>
      <c r="E1826" s="210"/>
      <c r="F1826" s="210"/>
      <c r="G1826" s="210"/>
      <c r="H1826" s="210"/>
    </row>
    <row r="1827" spans="3:8" x14ac:dyDescent="0.25">
      <c r="C1827" s="210"/>
      <c r="D1827" s="210"/>
      <c r="E1827" s="210"/>
      <c r="F1827" s="210"/>
      <c r="G1827" s="210"/>
      <c r="H1827" s="210"/>
    </row>
    <row r="1828" spans="3:8" x14ac:dyDescent="0.25">
      <c r="C1828" s="210"/>
      <c r="D1828" s="210"/>
      <c r="E1828" s="210"/>
      <c r="F1828" s="210"/>
      <c r="G1828" s="210"/>
      <c r="H1828" s="210"/>
    </row>
    <row r="1829" spans="3:8" x14ac:dyDescent="0.25">
      <c r="C1829" s="210"/>
      <c r="D1829" s="210"/>
      <c r="E1829" s="210"/>
      <c r="F1829" s="210"/>
      <c r="G1829" s="210"/>
      <c r="H1829" s="210"/>
    </row>
    <row r="1830" spans="3:8" x14ac:dyDescent="0.25">
      <c r="C1830" s="210"/>
      <c r="D1830" s="210"/>
      <c r="E1830" s="210"/>
      <c r="F1830" s="210"/>
      <c r="G1830" s="210"/>
      <c r="H1830" s="210"/>
    </row>
    <row r="1831" spans="3:8" x14ac:dyDescent="0.25">
      <c r="C1831" s="210"/>
      <c r="D1831" s="210"/>
      <c r="E1831" s="210"/>
      <c r="F1831" s="210"/>
      <c r="G1831" s="210"/>
      <c r="H1831" s="210"/>
    </row>
    <row r="1832" spans="3:8" x14ac:dyDescent="0.25">
      <c r="C1832" s="210"/>
      <c r="D1832" s="210"/>
      <c r="E1832" s="210"/>
      <c r="F1832" s="210"/>
      <c r="G1832" s="210"/>
      <c r="H1832" s="210"/>
    </row>
    <row r="1833" spans="3:8" x14ac:dyDescent="0.25">
      <c r="C1833" s="210"/>
      <c r="D1833" s="210"/>
      <c r="E1833" s="210"/>
      <c r="F1833" s="210"/>
      <c r="G1833" s="210"/>
      <c r="H1833" s="210"/>
    </row>
    <row r="1834" spans="3:8" x14ac:dyDescent="0.25">
      <c r="C1834" s="210"/>
      <c r="D1834" s="210"/>
      <c r="E1834" s="210"/>
      <c r="F1834" s="210"/>
      <c r="G1834" s="210"/>
      <c r="H1834" s="210"/>
    </row>
    <row r="1835" spans="3:8" x14ac:dyDescent="0.25">
      <c r="C1835" s="210"/>
      <c r="D1835" s="210"/>
      <c r="E1835" s="210"/>
      <c r="F1835" s="210"/>
      <c r="G1835" s="210"/>
      <c r="H1835" s="210"/>
    </row>
    <row r="1836" spans="3:8" x14ac:dyDescent="0.25">
      <c r="C1836" s="210"/>
      <c r="D1836" s="210"/>
      <c r="E1836" s="210"/>
      <c r="F1836" s="210"/>
      <c r="G1836" s="210"/>
      <c r="H1836" s="210"/>
    </row>
    <row r="1837" spans="3:8" x14ac:dyDescent="0.25">
      <c r="C1837" s="210"/>
      <c r="D1837" s="210"/>
      <c r="E1837" s="210"/>
      <c r="F1837" s="210"/>
      <c r="G1837" s="210"/>
      <c r="H1837" s="210"/>
    </row>
    <row r="1838" spans="3:8" x14ac:dyDescent="0.25">
      <c r="C1838" s="210"/>
      <c r="D1838" s="210"/>
      <c r="E1838" s="210"/>
      <c r="F1838" s="210"/>
      <c r="G1838" s="210"/>
      <c r="H1838" s="210"/>
    </row>
    <row r="1839" spans="3:8" x14ac:dyDescent="0.25">
      <c r="C1839" s="210"/>
      <c r="D1839" s="210"/>
      <c r="E1839" s="210"/>
      <c r="F1839" s="210"/>
      <c r="G1839" s="210"/>
      <c r="H1839" s="210"/>
    </row>
    <row r="1840" spans="3:8" x14ac:dyDescent="0.25">
      <c r="C1840" s="210"/>
      <c r="D1840" s="210"/>
      <c r="E1840" s="210"/>
      <c r="F1840" s="210"/>
      <c r="G1840" s="210"/>
      <c r="H1840" s="210"/>
    </row>
    <row r="1841" spans="3:8" x14ac:dyDescent="0.25">
      <c r="C1841" s="210"/>
      <c r="D1841" s="210"/>
      <c r="E1841" s="210"/>
      <c r="F1841" s="210"/>
      <c r="G1841" s="210"/>
      <c r="H1841" s="210"/>
    </row>
    <row r="1842" spans="3:8" x14ac:dyDescent="0.25">
      <c r="C1842" s="210"/>
      <c r="D1842" s="210"/>
      <c r="E1842" s="210"/>
      <c r="F1842" s="210"/>
      <c r="G1842" s="210"/>
      <c r="H1842" s="210"/>
    </row>
    <row r="1843" spans="3:8" x14ac:dyDescent="0.25">
      <c r="C1843" s="210"/>
      <c r="D1843" s="210"/>
      <c r="E1843" s="210"/>
      <c r="F1843" s="210"/>
      <c r="G1843" s="210"/>
      <c r="H1843" s="210"/>
    </row>
    <row r="1844" spans="3:8" x14ac:dyDescent="0.25">
      <c r="C1844" s="210"/>
      <c r="D1844" s="210"/>
      <c r="E1844" s="210"/>
      <c r="F1844" s="210"/>
      <c r="G1844" s="210"/>
      <c r="H1844" s="210"/>
    </row>
    <row r="1845" spans="3:8" x14ac:dyDescent="0.25">
      <c r="C1845" s="210"/>
      <c r="D1845" s="210"/>
      <c r="E1845" s="210"/>
      <c r="F1845" s="210"/>
      <c r="G1845" s="210"/>
      <c r="H1845" s="210"/>
    </row>
    <row r="1846" spans="3:8" x14ac:dyDescent="0.25">
      <c r="C1846" s="210"/>
      <c r="D1846" s="210"/>
      <c r="E1846" s="210"/>
      <c r="F1846" s="210"/>
      <c r="G1846" s="210"/>
      <c r="H1846" s="210"/>
    </row>
    <row r="1847" spans="3:8" x14ac:dyDescent="0.25">
      <c r="C1847" s="210"/>
      <c r="D1847" s="210"/>
      <c r="E1847" s="210"/>
      <c r="F1847" s="210"/>
      <c r="G1847" s="210"/>
      <c r="H1847" s="210"/>
    </row>
    <row r="1848" spans="3:8" x14ac:dyDescent="0.25">
      <c r="C1848" s="210"/>
      <c r="D1848" s="210"/>
      <c r="E1848" s="210"/>
      <c r="F1848" s="210"/>
      <c r="G1848" s="210"/>
      <c r="H1848" s="210"/>
    </row>
    <row r="1849" spans="3:8" x14ac:dyDescent="0.25">
      <c r="C1849" s="210"/>
      <c r="D1849" s="210"/>
      <c r="E1849" s="210"/>
      <c r="F1849" s="210"/>
      <c r="G1849" s="210"/>
      <c r="H1849" s="210"/>
    </row>
    <row r="1850" spans="3:8" x14ac:dyDescent="0.25">
      <c r="C1850" s="210"/>
      <c r="D1850" s="210"/>
      <c r="E1850" s="210"/>
      <c r="F1850" s="210"/>
      <c r="G1850" s="210"/>
      <c r="H1850" s="210"/>
    </row>
    <row r="1851" spans="3:8" x14ac:dyDescent="0.25">
      <c r="C1851" s="210"/>
      <c r="D1851" s="210"/>
      <c r="E1851" s="210"/>
      <c r="F1851" s="210"/>
      <c r="G1851" s="210"/>
      <c r="H1851" s="210"/>
    </row>
    <row r="1852" spans="3:8" x14ac:dyDescent="0.25">
      <c r="C1852" s="210"/>
      <c r="D1852" s="210"/>
      <c r="E1852" s="210"/>
      <c r="F1852" s="210"/>
      <c r="G1852" s="210"/>
      <c r="H1852" s="210"/>
    </row>
    <row r="1853" spans="3:8" x14ac:dyDescent="0.25">
      <c r="C1853" s="210"/>
      <c r="D1853" s="210"/>
      <c r="E1853" s="210"/>
      <c r="F1853" s="210"/>
      <c r="G1853" s="210"/>
      <c r="H1853" s="210"/>
    </row>
    <row r="1854" spans="3:8" x14ac:dyDescent="0.25">
      <c r="C1854" s="210"/>
      <c r="D1854" s="210"/>
      <c r="E1854" s="210"/>
      <c r="F1854" s="210"/>
      <c r="G1854" s="210"/>
      <c r="H1854" s="210"/>
    </row>
    <row r="1855" spans="3:8" x14ac:dyDescent="0.25">
      <c r="C1855" s="210"/>
      <c r="D1855" s="210"/>
      <c r="E1855" s="210"/>
      <c r="F1855" s="210"/>
      <c r="G1855" s="210"/>
      <c r="H1855" s="210"/>
    </row>
    <row r="1856" spans="3:8" x14ac:dyDescent="0.25">
      <c r="C1856" s="210"/>
      <c r="D1856" s="210"/>
      <c r="E1856" s="210"/>
      <c r="F1856" s="210"/>
      <c r="G1856" s="210"/>
      <c r="H1856" s="210"/>
    </row>
    <row r="1857" spans="3:8" x14ac:dyDescent="0.25">
      <c r="C1857" s="210"/>
      <c r="D1857" s="210"/>
      <c r="E1857" s="210"/>
      <c r="F1857" s="210"/>
      <c r="G1857" s="210"/>
      <c r="H1857" s="210"/>
    </row>
    <row r="1858" spans="3:8" x14ac:dyDescent="0.25">
      <c r="C1858" s="210"/>
      <c r="D1858" s="210"/>
      <c r="E1858" s="210"/>
      <c r="F1858" s="210"/>
      <c r="G1858" s="210"/>
      <c r="H1858" s="210"/>
    </row>
    <row r="1859" spans="3:8" x14ac:dyDescent="0.25">
      <c r="C1859" s="210"/>
      <c r="D1859" s="210"/>
      <c r="E1859" s="210"/>
      <c r="F1859" s="210"/>
      <c r="G1859" s="210"/>
      <c r="H1859" s="210"/>
    </row>
    <row r="1860" spans="3:8" x14ac:dyDescent="0.25">
      <c r="C1860" s="210"/>
      <c r="D1860" s="210"/>
      <c r="E1860" s="210"/>
      <c r="F1860" s="210"/>
      <c r="G1860" s="210"/>
      <c r="H1860" s="210"/>
    </row>
    <row r="1861" spans="3:8" x14ac:dyDescent="0.25">
      <c r="C1861" s="210"/>
      <c r="D1861" s="210"/>
      <c r="E1861" s="210"/>
      <c r="F1861" s="210"/>
      <c r="G1861" s="210"/>
      <c r="H1861" s="210"/>
    </row>
    <row r="1862" spans="3:8" x14ac:dyDescent="0.25">
      <c r="C1862" s="210"/>
      <c r="D1862" s="210"/>
      <c r="E1862" s="210"/>
      <c r="F1862" s="210"/>
      <c r="G1862" s="210"/>
      <c r="H1862" s="210"/>
    </row>
    <row r="1863" spans="3:8" x14ac:dyDescent="0.25">
      <c r="C1863" s="210"/>
      <c r="D1863" s="210"/>
      <c r="E1863" s="210"/>
      <c r="F1863" s="210"/>
      <c r="G1863" s="210"/>
      <c r="H1863" s="210"/>
    </row>
    <row r="1864" spans="3:8" x14ac:dyDescent="0.25">
      <c r="C1864" s="210"/>
      <c r="D1864" s="210"/>
      <c r="E1864" s="210"/>
      <c r="F1864" s="210"/>
      <c r="G1864" s="210"/>
      <c r="H1864" s="210"/>
    </row>
    <row r="1865" spans="3:8" x14ac:dyDescent="0.25">
      <c r="C1865" s="210"/>
      <c r="D1865" s="210"/>
      <c r="E1865" s="210"/>
      <c r="F1865" s="210"/>
      <c r="G1865" s="210"/>
      <c r="H1865" s="210"/>
    </row>
    <row r="1866" spans="3:8" x14ac:dyDescent="0.25">
      <c r="C1866" s="210"/>
      <c r="D1866" s="210"/>
      <c r="E1866" s="210"/>
      <c r="F1866" s="210"/>
      <c r="G1866" s="210"/>
      <c r="H1866" s="210"/>
    </row>
    <row r="1867" spans="3:8" x14ac:dyDescent="0.25">
      <c r="C1867" s="210"/>
      <c r="D1867" s="210"/>
      <c r="E1867" s="210"/>
      <c r="F1867" s="210"/>
      <c r="G1867" s="210"/>
      <c r="H1867" s="210"/>
    </row>
    <row r="1868" spans="3:8" x14ac:dyDescent="0.25">
      <c r="C1868" s="210"/>
      <c r="D1868" s="210"/>
      <c r="E1868" s="210"/>
      <c r="F1868" s="210"/>
      <c r="G1868" s="210"/>
      <c r="H1868" s="210"/>
    </row>
    <row r="1869" spans="3:8" x14ac:dyDescent="0.25">
      <c r="C1869" s="210"/>
      <c r="D1869" s="210"/>
      <c r="E1869" s="210"/>
      <c r="F1869" s="210"/>
      <c r="G1869" s="210"/>
      <c r="H1869" s="210"/>
    </row>
    <row r="1870" spans="3:8" x14ac:dyDescent="0.25">
      <c r="C1870" s="210"/>
      <c r="D1870" s="210"/>
      <c r="E1870" s="210"/>
      <c r="F1870" s="210"/>
      <c r="G1870" s="210"/>
      <c r="H1870" s="210"/>
    </row>
    <row r="1871" spans="3:8" x14ac:dyDescent="0.25">
      <c r="C1871" s="210"/>
      <c r="D1871" s="210"/>
      <c r="E1871" s="210"/>
      <c r="F1871" s="210"/>
      <c r="G1871" s="210"/>
      <c r="H1871" s="210"/>
    </row>
    <row r="1872" spans="3:8" x14ac:dyDescent="0.25">
      <c r="C1872" s="210"/>
      <c r="D1872" s="210"/>
      <c r="E1872" s="210"/>
      <c r="F1872" s="210"/>
      <c r="G1872" s="210"/>
      <c r="H1872" s="210"/>
    </row>
    <row r="1873" spans="3:8" x14ac:dyDescent="0.25">
      <c r="C1873" s="210"/>
      <c r="D1873" s="210"/>
      <c r="E1873" s="210"/>
      <c r="F1873" s="210"/>
      <c r="G1873" s="210"/>
      <c r="H1873" s="210"/>
    </row>
    <row r="1874" spans="3:8" x14ac:dyDescent="0.25">
      <c r="C1874" s="210"/>
      <c r="D1874" s="210"/>
      <c r="E1874" s="210"/>
      <c r="F1874" s="210"/>
      <c r="G1874" s="210"/>
      <c r="H1874" s="210"/>
    </row>
    <row r="1875" spans="3:8" x14ac:dyDescent="0.25">
      <c r="C1875" s="210"/>
      <c r="D1875" s="210"/>
      <c r="E1875" s="210"/>
      <c r="F1875" s="210"/>
      <c r="G1875" s="210"/>
      <c r="H1875" s="210"/>
    </row>
    <row r="1876" spans="3:8" x14ac:dyDescent="0.25">
      <c r="C1876" s="210"/>
      <c r="D1876" s="210"/>
      <c r="E1876" s="210"/>
      <c r="F1876" s="210"/>
      <c r="G1876" s="210"/>
      <c r="H1876" s="210"/>
    </row>
    <row r="1877" spans="3:8" x14ac:dyDescent="0.25">
      <c r="C1877" s="210"/>
      <c r="D1877" s="210"/>
      <c r="E1877" s="210"/>
      <c r="F1877" s="210"/>
      <c r="G1877" s="210"/>
      <c r="H1877" s="210"/>
    </row>
    <row r="1878" spans="3:8" x14ac:dyDescent="0.25">
      <c r="C1878" s="210"/>
      <c r="D1878" s="210"/>
      <c r="E1878" s="210"/>
      <c r="F1878" s="210"/>
      <c r="G1878" s="210"/>
      <c r="H1878" s="210"/>
    </row>
    <row r="1879" spans="3:8" x14ac:dyDescent="0.25">
      <c r="C1879" s="210"/>
      <c r="D1879" s="210"/>
      <c r="E1879" s="210"/>
      <c r="F1879" s="210"/>
      <c r="G1879" s="210"/>
      <c r="H1879" s="210"/>
    </row>
    <row r="1880" spans="3:8" x14ac:dyDescent="0.25">
      <c r="C1880" s="210"/>
      <c r="D1880" s="210"/>
      <c r="E1880" s="210"/>
      <c r="F1880" s="210"/>
      <c r="G1880" s="210"/>
      <c r="H1880" s="210"/>
    </row>
    <row r="1881" spans="3:8" x14ac:dyDescent="0.25">
      <c r="C1881" s="210"/>
      <c r="D1881" s="210"/>
      <c r="E1881" s="210"/>
      <c r="F1881" s="210"/>
      <c r="G1881" s="210"/>
      <c r="H1881" s="210"/>
    </row>
    <row r="1882" spans="3:8" x14ac:dyDescent="0.25">
      <c r="C1882" s="210"/>
      <c r="D1882" s="210"/>
      <c r="E1882" s="210"/>
      <c r="F1882" s="210"/>
      <c r="G1882" s="210"/>
      <c r="H1882" s="210"/>
    </row>
    <row r="1883" spans="3:8" x14ac:dyDescent="0.25">
      <c r="C1883" s="210"/>
      <c r="D1883" s="210"/>
      <c r="E1883" s="210"/>
      <c r="F1883" s="210"/>
      <c r="G1883" s="210"/>
      <c r="H1883" s="210"/>
    </row>
    <row r="1884" spans="3:8" x14ac:dyDescent="0.25">
      <c r="C1884" s="210"/>
      <c r="D1884" s="210"/>
      <c r="E1884" s="210"/>
      <c r="F1884" s="210"/>
      <c r="G1884" s="210"/>
      <c r="H1884" s="210"/>
    </row>
    <row r="1885" spans="3:8" x14ac:dyDescent="0.25">
      <c r="C1885" s="210"/>
      <c r="D1885" s="210"/>
      <c r="E1885" s="210"/>
      <c r="F1885" s="210"/>
      <c r="G1885" s="210"/>
      <c r="H1885" s="210"/>
    </row>
    <row r="1886" spans="3:8" x14ac:dyDescent="0.25">
      <c r="C1886" s="210"/>
      <c r="D1886" s="210"/>
      <c r="E1886" s="210"/>
      <c r="F1886" s="210"/>
      <c r="G1886" s="210"/>
      <c r="H1886" s="210"/>
    </row>
    <row r="1887" spans="3:8" x14ac:dyDescent="0.25">
      <c r="C1887" s="210"/>
      <c r="D1887" s="210"/>
      <c r="E1887" s="210"/>
      <c r="F1887" s="210"/>
      <c r="G1887" s="210"/>
      <c r="H1887" s="210"/>
    </row>
    <row r="1888" spans="3:8" x14ac:dyDescent="0.25">
      <c r="C1888" s="210"/>
      <c r="D1888" s="210"/>
      <c r="E1888" s="210"/>
      <c r="F1888" s="210"/>
      <c r="G1888" s="210"/>
      <c r="H1888" s="210"/>
    </row>
    <row r="1889" spans="3:8" x14ac:dyDescent="0.25">
      <c r="C1889" s="210"/>
      <c r="D1889" s="210"/>
      <c r="E1889" s="210"/>
      <c r="F1889" s="210"/>
      <c r="G1889" s="210"/>
      <c r="H1889" s="210"/>
    </row>
    <row r="1890" spans="3:8" x14ac:dyDescent="0.25">
      <c r="C1890" s="210"/>
      <c r="D1890" s="210"/>
      <c r="E1890" s="210"/>
      <c r="F1890" s="210"/>
      <c r="G1890" s="210"/>
      <c r="H1890" s="210"/>
    </row>
    <row r="1891" spans="3:8" x14ac:dyDescent="0.25">
      <c r="C1891" s="210"/>
      <c r="D1891" s="210"/>
      <c r="E1891" s="210"/>
      <c r="F1891" s="210"/>
      <c r="G1891" s="210"/>
      <c r="H1891" s="210"/>
    </row>
    <row r="1892" spans="3:8" x14ac:dyDescent="0.25">
      <c r="C1892" s="210"/>
      <c r="D1892" s="210"/>
      <c r="E1892" s="210"/>
      <c r="F1892" s="210"/>
      <c r="G1892" s="210"/>
      <c r="H1892" s="210"/>
    </row>
    <row r="1893" spans="3:8" x14ac:dyDescent="0.25">
      <c r="C1893" s="210"/>
      <c r="D1893" s="210"/>
      <c r="E1893" s="210"/>
      <c r="F1893" s="210"/>
      <c r="G1893" s="210"/>
      <c r="H1893" s="210"/>
    </row>
    <row r="1894" spans="3:8" x14ac:dyDescent="0.25">
      <c r="C1894" s="210"/>
      <c r="D1894" s="210"/>
      <c r="E1894" s="210"/>
      <c r="F1894" s="210"/>
      <c r="G1894" s="210"/>
      <c r="H1894" s="210"/>
    </row>
    <row r="1895" spans="3:8" x14ac:dyDescent="0.25">
      <c r="C1895" s="210"/>
      <c r="D1895" s="210"/>
      <c r="E1895" s="210"/>
      <c r="F1895" s="210"/>
      <c r="G1895" s="210"/>
      <c r="H1895" s="210"/>
    </row>
    <row r="1896" spans="3:8" x14ac:dyDescent="0.25">
      <c r="C1896" s="210"/>
      <c r="D1896" s="210"/>
      <c r="E1896" s="210"/>
      <c r="F1896" s="210"/>
      <c r="G1896" s="210"/>
      <c r="H1896" s="210"/>
    </row>
    <row r="1897" spans="3:8" x14ac:dyDescent="0.25">
      <c r="C1897" s="210"/>
      <c r="D1897" s="210"/>
      <c r="E1897" s="210"/>
      <c r="F1897" s="210"/>
      <c r="G1897" s="210"/>
      <c r="H1897" s="210"/>
    </row>
    <row r="1898" spans="3:8" x14ac:dyDescent="0.25">
      <c r="C1898" s="210"/>
      <c r="D1898" s="210"/>
      <c r="E1898" s="210"/>
      <c r="F1898" s="210"/>
      <c r="G1898" s="210"/>
      <c r="H1898" s="210"/>
    </row>
    <row r="1899" spans="3:8" x14ac:dyDescent="0.25">
      <c r="C1899" s="210"/>
      <c r="D1899" s="210"/>
      <c r="E1899" s="210"/>
      <c r="F1899" s="210"/>
      <c r="G1899" s="210"/>
      <c r="H1899" s="210"/>
    </row>
    <row r="1900" spans="3:8" x14ac:dyDescent="0.25">
      <c r="C1900" s="210"/>
      <c r="D1900" s="210"/>
      <c r="E1900" s="210"/>
      <c r="F1900" s="210"/>
      <c r="G1900" s="210"/>
      <c r="H1900" s="210"/>
    </row>
    <row r="1901" spans="3:8" x14ac:dyDescent="0.25">
      <c r="C1901" s="210"/>
      <c r="D1901" s="210"/>
      <c r="E1901" s="210"/>
      <c r="F1901" s="210"/>
      <c r="G1901" s="210"/>
      <c r="H1901" s="210"/>
    </row>
    <row r="1902" spans="3:8" x14ac:dyDescent="0.25">
      <c r="C1902" s="210"/>
      <c r="D1902" s="210"/>
      <c r="E1902" s="210"/>
      <c r="F1902" s="210"/>
      <c r="G1902" s="210"/>
      <c r="H1902" s="210"/>
    </row>
    <row r="1903" spans="3:8" x14ac:dyDescent="0.25">
      <c r="C1903" s="210"/>
      <c r="D1903" s="210"/>
      <c r="E1903" s="210"/>
      <c r="F1903" s="210"/>
      <c r="G1903" s="210"/>
      <c r="H1903" s="210"/>
    </row>
    <row r="1904" spans="3:8" x14ac:dyDescent="0.25">
      <c r="C1904" s="210"/>
      <c r="D1904" s="210"/>
      <c r="E1904" s="210"/>
      <c r="F1904" s="210"/>
      <c r="G1904" s="210"/>
      <c r="H1904" s="210"/>
    </row>
    <row r="1905" spans="3:8" x14ac:dyDescent="0.25">
      <c r="C1905" s="210"/>
      <c r="D1905" s="210"/>
      <c r="E1905" s="210"/>
      <c r="F1905" s="210"/>
      <c r="G1905" s="210"/>
      <c r="H1905" s="210"/>
    </row>
    <row r="1906" spans="3:8" x14ac:dyDescent="0.25">
      <c r="C1906" s="210"/>
      <c r="D1906" s="210"/>
      <c r="E1906" s="210"/>
      <c r="F1906" s="210"/>
      <c r="G1906" s="210"/>
      <c r="H1906" s="210"/>
    </row>
    <row r="1907" spans="3:8" x14ac:dyDescent="0.25">
      <c r="C1907" s="210"/>
      <c r="D1907" s="210"/>
      <c r="E1907" s="210"/>
      <c r="F1907" s="210"/>
      <c r="G1907" s="210"/>
      <c r="H1907" s="210"/>
    </row>
    <row r="1908" spans="3:8" x14ac:dyDescent="0.25">
      <c r="C1908" s="210"/>
      <c r="D1908" s="210"/>
      <c r="E1908" s="210"/>
      <c r="F1908" s="210"/>
      <c r="G1908" s="210"/>
      <c r="H1908" s="210"/>
    </row>
    <row r="1909" spans="3:8" x14ac:dyDescent="0.25">
      <c r="C1909" s="210"/>
      <c r="D1909" s="210"/>
      <c r="E1909" s="210"/>
      <c r="F1909" s="210"/>
      <c r="G1909" s="210"/>
      <c r="H1909" s="210"/>
    </row>
    <row r="1910" spans="3:8" x14ac:dyDescent="0.25">
      <c r="C1910" s="210"/>
      <c r="D1910" s="210"/>
      <c r="E1910" s="210"/>
      <c r="F1910" s="210"/>
      <c r="G1910" s="210"/>
      <c r="H1910" s="210"/>
    </row>
    <row r="1911" spans="3:8" x14ac:dyDescent="0.25">
      <c r="C1911" s="210"/>
      <c r="D1911" s="210"/>
      <c r="E1911" s="210"/>
      <c r="F1911" s="210"/>
      <c r="G1911" s="210"/>
      <c r="H1911" s="210"/>
    </row>
    <row r="1912" spans="3:8" x14ac:dyDescent="0.25">
      <c r="C1912" s="210"/>
      <c r="D1912" s="210"/>
      <c r="E1912" s="210"/>
      <c r="F1912" s="210"/>
      <c r="G1912" s="210"/>
      <c r="H1912" s="210"/>
    </row>
    <row r="1913" spans="3:8" x14ac:dyDescent="0.25">
      <c r="C1913" s="210"/>
      <c r="D1913" s="210"/>
      <c r="E1913" s="210"/>
      <c r="F1913" s="210"/>
      <c r="G1913" s="210"/>
      <c r="H1913" s="210"/>
    </row>
    <row r="1914" spans="3:8" x14ac:dyDescent="0.25">
      <c r="C1914" s="210"/>
      <c r="D1914" s="210"/>
      <c r="E1914" s="210"/>
      <c r="F1914" s="210"/>
      <c r="G1914" s="210"/>
      <c r="H1914" s="210"/>
    </row>
    <row r="1915" spans="3:8" x14ac:dyDescent="0.25">
      <c r="C1915" s="210"/>
      <c r="D1915" s="210"/>
      <c r="E1915" s="210"/>
      <c r="F1915" s="210"/>
      <c r="G1915" s="210"/>
      <c r="H1915" s="210"/>
    </row>
    <row r="1916" spans="3:8" x14ac:dyDescent="0.25">
      <c r="C1916" s="210"/>
      <c r="D1916" s="210"/>
      <c r="E1916" s="210"/>
      <c r="F1916" s="210"/>
      <c r="G1916" s="210"/>
      <c r="H1916" s="210"/>
    </row>
    <row r="1917" spans="3:8" x14ac:dyDescent="0.25">
      <c r="C1917" s="210"/>
      <c r="D1917" s="210"/>
      <c r="E1917" s="210"/>
      <c r="F1917" s="210"/>
      <c r="G1917" s="210"/>
      <c r="H1917" s="210"/>
    </row>
    <row r="1918" spans="3:8" x14ac:dyDescent="0.25">
      <c r="C1918" s="210"/>
      <c r="D1918" s="210"/>
      <c r="E1918" s="210"/>
      <c r="F1918" s="210"/>
      <c r="G1918" s="210"/>
      <c r="H1918" s="210"/>
    </row>
    <row r="1919" spans="3:8" x14ac:dyDescent="0.25">
      <c r="C1919" s="210"/>
      <c r="D1919" s="210"/>
      <c r="E1919" s="210"/>
      <c r="F1919" s="210"/>
      <c r="G1919" s="210"/>
      <c r="H1919" s="210"/>
    </row>
    <row r="1920" spans="3:8" x14ac:dyDescent="0.25">
      <c r="C1920" s="210"/>
      <c r="D1920" s="210"/>
      <c r="E1920" s="210"/>
      <c r="F1920" s="210"/>
      <c r="G1920" s="210"/>
      <c r="H1920" s="210"/>
    </row>
    <row r="1921" spans="3:8" x14ac:dyDescent="0.25">
      <c r="C1921" s="210"/>
      <c r="D1921" s="210"/>
      <c r="E1921" s="210"/>
      <c r="F1921" s="210"/>
      <c r="G1921" s="210"/>
      <c r="H1921" s="210"/>
    </row>
    <row r="1922" spans="3:8" x14ac:dyDescent="0.25">
      <c r="C1922" s="210"/>
      <c r="D1922" s="210"/>
      <c r="E1922" s="210"/>
      <c r="F1922" s="210"/>
      <c r="G1922" s="210"/>
      <c r="H1922" s="210"/>
    </row>
    <row r="1923" spans="3:8" x14ac:dyDescent="0.25">
      <c r="C1923" s="210"/>
      <c r="D1923" s="210"/>
      <c r="E1923" s="210"/>
      <c r="F1923" s="210"/>
      <c r="G1923" s="210"/>
      <c r="H1923" s="210"/>
    </row>
    <row r="1924" spans="3:8" x14ac:dyDescent="0.25">
      <c r="C1924" s="210"/>
      <c r="D1924" s="210"/>
      <c r="E1924" s="210"/>
      <c r="F1924" s="210"/>
      <c r="G1924" s="210"/>
      <c r="H1924" s="210"/>
    </row>
    <row r="1925" spans="3:8" x14ac:dyDescent="0.25">
      <c r="C1925" s="210"/>
      <c r="D1925" s="210"/>
      <c r="E1925" s="210"/>
      <c r="F1925" s="210"/>
      <c r="G1925" s="210"/>
      <c r="H1925" s="210"/>
    </row>
    <row r="1926" spans="3:8" x14ac:dyDescent="0.25">
      <c r="C1926" s="210"/>
      <c r="D1926" s="210"/>
      <c r="E1926" s="210"/>
      <c r="F1926" s="210"/>
      <c r="G1926" s="210"/>
      <c r="H1926" s="210"/>
    </row>
    <row r="1927" spans="3:8" x14ac:dyDescent="0.25">
      <c r="C1927" s="210"/>
      <c r="D1927" s="210"/>
      <c r="E1927" s="210"/>
      <c r="F1927" s="210"/>
      <c r="G1927" s="210"/>
      <c r="H1927" s="210"/>
    </row>
    <row r="1928" spans="3:8" x14ac:dyDescent="0.25">
      <c r="C1928" s="210"/>
      <c r="D1928" s="210"/>
      <c r="E1928" s="210"/>
      <c r="F1928" s="210"/>
      <c r="G1928" s="210"/>
      <c r="H1928" s="210"/>
    </row>
    <row r="1929" spans="3:8" x14ac:dyDescent="0.25">
      <c r="C1929" s="210"/>
      <c r="D1929" s="210"/>
      <c r="E1929" s="210"/>
      <c r="F1929" s="210"/>
      <c r="G1929" s="210"/>
      <c r="H1929" s="210"/>
    </row>
    <row r="1930" spans="3:8" x14ac:dyDescent="0.25">
      <c r="C1930" s="210"/>
      <c r="D1930" s="210"/>
      <c r="E1930" s="210"/>
      <c r="F1930" s="210"/>
      <c r="G1930" s="210"/>
      <c r="H1930" s="210"/>
    </row>
    <row r="1931" spans="3:8" x14ac:dyDescent="0.25">
      <c r="C1931" s="210"/>
      <c r="D1931" s="210"/>
      <c r="E1931" s="210"/>
      <c r="F1931" s="210"/>
      <c r="G1931" s="210"/>
      <c r="H1931" s="210"/>
    </row>
    <row r="1932" spans="3:8" x14ac:dyDescent="0.25">
      <c r="C1932" s="210"/>
      <c r="D1932" s="210"/>
      <c r="E1932" s="210"/>
      <c r="F1932" s="210"/>
      <c r="G1932" s="210"/>
      <c r="H1932" s="210"/>
    </row>
    <row r="1933" spans="3:8" x14ac:dyDescent="0.25">
      <c r="C1933" s="210"/>
      <c r="D1933" s="210"/>
      <c r="E1933" s="210"/>
      <c r="F1933" s="210"/>
      <c r="G1933" s="210"/>
      <c r="H1933" s="210"/>
    </row>
    <row r="1934" spans="3:8" x14ac:dyDescent="0.25">
      <c r="C1934" s="210"/>
      <c r="D1934" s="210"/>
      <c r="E1934" s="210"/>
      <c r="F1934" s="210"/>
      <c r="G1934" s="210"/>
      <c r="H1934" s="210"/>
    </row>
    <row r="1935" spans="3:8" x14ac:dyDescent="0.25">
      <c r="C1935" s="210"/>
      <c r="D1935" s="210"/>
      <c r="E1935" s="210"/>
      <c r="F1935" s="210"/>
      <c r="G1935" s="210"/>
      <c r="H1935" s="210"/>
    </row>
    <row r="1936" spans="3:8" x14ac:dyDescent="0.25">
      <c r="C1936" s="210"/>
      <c r="D1936" s="210"/>
      <c r="E1936" s="210"/>
      <c r="F1936" s="210"/>
      <c r="G1936" s="210"/>
      <c r="H1936" s="210"/>
    </row>
    <row r="1937" spans="3:8" x14ac:dyDescent="0.25">
      <c r="C1937" s="210"/>
      <c r="D1937" s="210"/>
      <c r="E1937" s="210"/>
      <c r="F1937" s="210"/>
      <c r="G1937" s="210"/>
      <c r="H1937" s="210"/>
    </row>
    <row r="1938" spans="3:8" x14ac:dyDescent="0.25">
      <c r="C1938" s="210"/>
      <c r="D1938" s="210"/>
      <c r="E1938" s="210"/>
      <c r="F1938" s="210"/>
      <c r="G1938" s="210"/>
      <c r="H1938" s="210"/>
    </row>
    <row r="1939" spans="3:8" x14ac:dyDescent="0.25">
      <c r="C1939" s="210"/>
      <c r="D1939" s="210"/>
      <c r="E1939" s="210"/>
      <c r="F1939" s="210"/>
      <c r="G1939" s="210"/>
      <c r="H1939" s="210"/>
    </row>
    <row r="1940" spans="3:8" x14ac:dyDescent="0.25">
      <c r="C1940" s="210"/>
      <c r="D1940" s="210"/>
      <c r="E1940" s="210"/>
      <c r="F1940" s="210"/>
      <c r="G1940" s="210"/>
      <c r="H1940" s="210"/>
    </row>
    <row r="1941" spans="3:8" x14ac:dyDescent="0.25">
      <c r="C1941" s="210"/>
      <c r="D1941" s="210"/>
      <c r="E1941" s="210"/>
      <c r="F1941" s="210"/>
      <c r="G1941" s="210"/>
      <c r="H1941" s="210"/>
    </row>
    <row r="1942" spans="3:8" x14ac:dyDescent="0.25">
      <c r="C1942" s="210"/>
      <c r="D1942" s="210"/>
      <c r="E1942" s="210"/>
      <c r="F1942" s="210"/>
      <c r="G1942" s="210"/>
      <c r="H1942" s="210"/>
    </row>
    <row r="1943" spans="3:8" x14ac:dyDescent="0.25">
      <c r="C1943" s="210"/>
      <c r="D1943" s="210"/>
      <c r="E1943" s="210"/>
      <c r="F1943" s="210"/>
      <c r="G1943" s="210"/>
      <c r="H1943" s="210"/>
    </row>
    <row r="1944" spans="3:8" x14ac:dyDescent="0.25">
      <c r="C1944" s="210"/>
      <c r="D1944" s="210"/>
      <c r="E1944" s="210"/>
      <c r="F1944" s="210"/>
      <c r="G1944" s="210"/>
      <c r="H1944" s="210"/>
    </row>
    <row r="1945" spans="3:8" x14ac:dyDescent="0.25">
      <c r="C1945" s="210"/>
      <c r="D1945" s="210"/>
      <c r="E1945" s="210"/>
      <c r="F1945" s="210"/>
      <c r="G1945" s="210"/>
      <c r="H1945" s="210"/>
    </row>
    <row r="1946" spans="3:8" x14ac:dyDescent="0.25">
      <c r="C1946" s="210"/>
      <c r="D1946" s="210"/>
      <c r="E1946" s="210"/>
      <c r="F1946" s="210"/>
      <c r="G1946" s="210"/>
      <c r="H1946" s="210"/>
    </row>
    <row r="1947" spans="3:8" x14ac:dyDescent="0.25">
      <c r="C1947" s="210"/>
      <c r="D1947" s="210"/>
      <c r="E1947" s="210"/>
      <c r="F1947" s="210"/>
      <c r="G1947" s="210"/>
      <c r="H1947" s="210"/>
    </row>
    <row r="1948" spans="3:8" x14ac:dyDescent="0.25">
      <c r="C1948" s="210"/>
      <c r="D1948" s="210"/>
      <c r="E1948" s="210"/>
      <c r="F1948" s="210"/>
      <c r="G1948" s="210"/>
      <c r="H1948" s="210"/>
    </row>
    <row r="1949" spans="3:8" x14ac:dyDescent="0.25">
      <c r="C1949" s="210"/>
      <c r="D1949" s="210"/>
      <c r="E1949" s="210"/>
      <c r="F1949" s="210"/>
      <c r="G1949" s="210"/>
      <c r="H1949" s="210"/>
    </row>
    <row r="1950" spans="3:8" x14ac:dyDescent="0.25">
      <c r="C1950" s="210"/>
      <c r="D1950" s="210"/>
      <c r="E1950" s="210"/>
      <c r="F1950" s="210"/>
      <c r="G1950" s="210"/>
      <c r="H1950" s="210"/>
    </row>
    <row r="1951" spans="3:8" x14ac:dyDescent="0.25">
      <c r="C1951" s="210"/>
      <c r="D1951" s="210"/>
      <c r="E1951" s="210"/>
      <c r="F1951" s="210"/>
      <c r="G1951" s="210"/>
      <c r="H1951" s="210"/>
    </row>
    <row r="1952" spans="3:8" x14ac:dyDescent="0.25">
      <c r="C1952" s="210"/>
      <c r="D1952" s="210"/>
      <c r="E1952" s="210"/>
      <c r="F1952" s="210"/>
      <c r="G1952" s="210"/>
      <c r="H1952" s="210"/>
    </row>
    <row r="1953" spans="3:8" x14ac:dyDescent="0.25">
      <c r="C1953" s="210"/>
      <c r="D1953" s="210"/>
      <c r="E1953" s="210"/>
      <c r="F1953" s="210"/>
      <c r="G1953" s="210"/>
      <c r="H1953" s="210"/>
    </row>
    <row r="1954" spans="3:8" x14ac:dyDescent="0.25">
      <c r="C1954" s="210"/>
      <c r="D1954" s="210"/>
      <c r="E1954" s="210"/>
      <c r="F1954" s="210"/>
      <c r="G1954" s="210"/>
      <c r="H1954" s="210"/>
    </row>
    <row r="1955" spans="3:8" x14ac:dyDescent="0.25">
      <c r="C1955" s="210"/>
      <c r="D1955" s="210"/>
      <c r="E1955" s="210"/>
      <c r="F1955" s="210"/>
      <c r="G1955" s="210"/>
      <c r="H1955" s="210"/>
    </row>
    <row r="1956" spans="3:8" x14ac:dyDescent="0.25">
      <c r="C1956" s="210"/>
      <c r="D1956" s="210"/>
      <c r="E1956" s="210"/>
      <c r="F1956" s="210"/>
      <c r="G1956" s="210"/>
      <c r="H1956" s="210"/>
    </row>
    <row r="1957" spans="3:8" x14ac:dyDescent="0.25">
      <c r="C1957" s="210"/>
      <c r="D1957" s="210"/>
      <c r="E1957" s="210"/>
      <c r="F1957" s="210"/>
      <c r="G1957" s="210"/>
      <c r="H1957" s="210"/>
    </row>
    <row r="1958" spans="3:8" x14ac:dyDescent="0.25">
      <c r="C1958" s="210"/>
      <c r="D1958" s="210"/>
      <c r="E1958" s="210"/>
      <c r="F1958" s="210"/>
      <c r="G1958" s="210"/>
      <c r="H1958" s="210"/>
    </row>
    <row r="1959" spans="3:8" x14ac:dyDescent="0.25">
      <c r="C1959" s="210"/>
      <c r="D1959" s="210"/>
      <c r="E1959" s="210"/>
      <c r="F1959" s="210"/>
      <c r="G1959" s="210"/>
      <c r="H1959" s="210"/>
    </row>
    <row r="1960" spans="3:8" x14ac:dyDescent="0.25">
      <c r="C1960" s="210"/>
      <c r="D1960" s="210"/>
      <c r="E1960" s="210"/>
      <c r="F1960" s="210"/>
      <c r="G1960" s="210"/>
      <c r="H1960" s="210"/>
    </row>
    <row r="1961" spans="3:8" x14ac:dyDescent="0.25">
      <c r="C1961" s="210"/>
      <c r="D1961" s="210"/>
      <c r="E1961" s="210"/>
      <c r="F1961" s="210"/>
      <c r="G1961" s="210"/>
      <c r="H1961" s="210"/>
    </row>
    <row r="1962" spans="3:8" x14ac:dyDescent="0.25">
      <c r="C1962" s="210"/>
      <c r="D1962" s="210"/>
      <c r="E1962" s="210"/>
      <c r="F1962" s="210"/>
      <c r="G1962" s="210"/>
      <c r="H1962" s="210"/>
    </row>
    <row r="1963" spans="3:8" x14ac:dyDescent="0.25">
      <c r="C1963" s="210"/>
      <c r="D1963" s="210"/>
      <c r="E1963" s="210"/>
      <c r="F1963" s="210"/>
      <c r="G1963" s="210"/>
      <c r="H1963" s="210"/>
    </row>
    <row r="1964" spans="3:8" x14ac:dyDescent="0.25">
      <c r="C1964" s="210"/>
      <c r="D1964" s="210"/>
      <c r="E1964" s="210"/>
      <c r="F1964" s="210"/>
      <c r="G1964" s="210"/>
      <c r="H1964" s="210"/>
    </row>
    <row r="1965" spans="3:8" x14ac:dyDescent="0.25">
      <c r="C1965" s="210"/>
      <c r="D1965" s="210"/>
      <c r="E1965" s="210"/>
      <c r="F1965" s="210"/>
      <c r="G1965" s="210"/>
      <c r="H1965" s="210"/>
    </row>
    <row r="1966" spans="3:8" x14ac:dyDescent="0.25">
      <c r="C1966" s="210"/>
      <c r="D1966" s="210"/>
      <c r="E1966" s="210"/>
      <c r="F1966" s="210"/>
      <c r="G1966" s="210"/>
      <c r="H1966" s="210"/>
    </row>
    <row r="1967" spans="3:8" x14ac:dyDescent="0.25">
      <c r="C1967" s="210"/>
      <c r="D1967" s="210"/>
      <c r="E1967" s="210"/>
      <c r="F1967" s="210"/>
      <c r="G1967" s="210"/>
      <c r="H1967" s="210"/>
    </row>
    <row r="1968" spans="3:8" x14ac:dyDescent="0.25">
      <c r="C1968" s="210"/>
      <c r="D1968" s="210"/>
      <c r="E1968" s="210"/>
      <c r="F1968" s="210"/>
      <c r="G1968" s="210"/>
      <c r="H1968" s="210"/>
    </row>
    <row r="1969" spans="3:8" x14ac:dyDescent="0.25">
      <c r="C1969" s="210"/>
      <c r="D1969" s="210"/>
      <c r="E1969" s="210"/>
      <c r="F1969" s="210"/>
      <c r="G1969" s="210"/>
      <c r="H1969" s="210"/>
    </row>
    <row r="1970" spans="3:8" x14ac:dyDescent="0.25">
      <c r="C1970" s="210"/>
      <c r="D1970" s="210"/>
      <c r="E1970" s="210"/>
      <c r="F1970" s="210"/>
      <c r="G1970" s="210"/>
      <c r="H1970" s="210"/>
    </row>
    <row r="1971" spans="3:8" x14ac:dyDescent="0.25">
      <c r="C1971" s="210"/>
      <c r="D1971" s="210"/>
      <c r="E1971" s="210"/>
      <c r="F1971" s="210"/>
      <c r="G1971" s="210"/>
      <c r="H1971" s="210"/>
    </row>
    <row r="1972" spans="3:8" x14ac:dyDescent="0.25">
      <c r="C1972" s="210"/>
      <c r="D1972" s="210"/>
      <c r="E1972" s="210"/>
      <c r="F1972" s="210"/>
      <c r="G1972" s="210"/>
      <c r="H1972" s="210"/>
    </row>
    <row r="1973" spans="3:8" x14ac:dyDescent="0.25">
      <c r="C1973" s="210"/>
      <c r="D1973" s="210"/>
      <c r="E1973" s="210"/>
      <c r="F1973" s="210"/>
      <c r="G1973" s="210"/>
      <c r="H1973" s="210"/>
    </row>
    <row r="1974" spans="3:8" x14ac:dyDescent="0.25">
      <c r="C1974" s="210"/>
      <c r="D1974" s="210"/>
      <c r="E1974" s="210"/>
      <c r="F1974" s="210"/>
      <c r="G1974" s="210"/>
      <c r="H1974" s="210"/>
    </row>
    <row r="1975" spans="3:8" x14ac:dyDescent="0.25">
      <c r="C1975" s="210"/>
      <c r="D1975" s="210"/>
      <c r="E1975" s="210"/>
      <c r="F1975" s="210"/>
      <c r="G1975" s="210"/>
      <c r="H1975" s="210"/>
    </row>
    <row r="1976" spans="3:8" x14ac:dyDescent="0.25">
      <c r="C1976" s="210"/>
      <c r="D1976" s="210"/>
      <c r="E1976" s="210"/>
      <c r="F1976" s="210"/>
      <c r="G1976" s="210"/>
      <c r="H1976" s="210"/>
    </row>
    <row r="1977" spans="3:8" x14ac:dyDescent="0.25">
      <c r="C1977" s="210"/>
      <c r="D1977" s="210"/>
      <c r="E1977" s="210"/>
      <c r="F1977" s="210"/>
      <c r="G1977" s="210"/>
      <c r="H1977" s="210"/>
    </row>
    <row r="1978" spans="3:8" x14ac:dyDescent="0.25">
      <c r="C1978" s="210"/>
      <c r="D1978" s="210"/>
      <c r="E1978" s="210"/>
      <c r="F1978" s="210"/>
      <c r="G1978" s="210"/>
      <c r="H1978" s="210"/>
    </row>
    <row r="1979" spans="3:8" x14ac:dyDescent="0.25">
      <c r="C1979" s="210"/>
      <c r="D1979" s="210"/>
      <c r="E1979" s="210"/>
      <c r="F1979" s="210"/>
      <c r="G1979" s="210"/>
      <c r="H1979" s="210"/>
    </row>
    <row r="1980" spans="3:8" x14ac:dyDescent="0.25">
      <c r="C1980" s="210"/>
      <c r="D1980" s="210"/>
      <c r="E1980" s="210"/>
      <c r="F1980" s="210"/>
      <c r="G1980" s="210"/>
      <c r="H1980" s="210"/>
    </row>
    <row r="1981" spans="3:8" x14ac:dyDescent="0.25">
      <c r="C1981" s="210"/>
      <c r="D1981" s="210"/>
      <c r="E1981" s="210"/>
      <c r="F1981" s="210"/>
      <c r="G1981" s="210"/>
      <c r="H1981" s="210"/>
    </row>
    <row r="1982" spans="3:8" x14ac:dyDescent="0.25">
      <c r="C1982" s="210"/>
      <c r="D1982" s="210"/>
      <c r="E1982" s="210"/>
      <c r="F1982" s="210"/>
      <c r="G1982" s="210"/>
      <c r="H1982" s="210"/>
    </row>
    <row r="1983" spans="3:8" x14ac:dyDescent="0.25">
      <c r="C1983" s="210"/>
      <c r="D1983" s="210"/>
      <c r="E1983" s="210"/>
      <c r="F1983" s="210"/>
      <c r="G1983" s="210"/>
      <c r="H1983" s="210"/>
    </row>
    <row r="1984" spans="3:8" x14ac:dyDescent="0.25">
      <c r="C1984" s="210"/>
      <c r="D1984" s="210"/>
      <c r="E1984" s="210"/>
      <c r="F1984" s="210"/>
      <c r="G1984" s="210"/>
      <c r="H1984" s="210"/>
    </row>
    <row r="1985" spans="3:8" x14ac:dyDescent="0.25">
      <c r="C1985" s="210"/>
      <c r="D1985" s="210"/>
      <c r="E1985" s="210"/>
      <c r="F1985" s="210"/>
      <c r="G1985" s="210"/>
      <c r="H1985" s="210"/>
    </row>
    <row r="1986" spans="3:8" x14ac:dyDescent="0.25">
      <c r="C1986" s="210"/>
      <c r="D1986" s="210"/>
      <c r="E1986" s="210"/>
      <c r="F1986" s="210"/>
      <c r="G1986" s="210"/>
      <c r="H1986" s="210"/>
    </row>
    <row r="1987" spans="3:8" x14ac:dyDescent="0.25">
      <c r="C1987" s="210"/>
      <c r="D1987" s="210"/>
      <c r="E1987" s="210"/>
      <c r="F1987" s="210"/>
      <c r="G1987" s="210"/>
      <c r="H1987" s="210"/>
    </row>
    <row r="1988" spans="3:8" x14ac:dyDescent="0.25">
      <c r="C1988" s="210"/>
      <c r="D1988" s="210"/>
      <c r="E1988" s="210"/>
      <c r="F1988" s="210"/>
      <c r="G1988" s="210"/>
      <c r="H1988" s="210"/>
    </row>
    <row r="1989" spans="3:8" x14ac:dyDescent="0.25">
      <c r="C1989" s="210"/>
      <c r="D1989" s="210"/>
      <c r="E1989" s="210"/>
      <c r="F1989" s="210"/>
      <c r="G1989" s="210"/>
      <c r="H1989" s="210"/>
    </row>
    <row r="1990" spans="3:8" x14ac:dyDescent="0.25">
      <c r="C1990" s="210"/>
      <c r="D1990" s="210"/>
      <c r="E1990" s="210"/>
      <c r="F1990" s="210"/>
      <c r="G1990" s="210"/>
      <c r="H1990" s="210"/>
    </row>
    <row r="1991" spans="3:8" x14ac:dyDescent="0.25">
      <c r="C1991" s="210"/>
      <c r="D1991" s="210"/>
      <c r="E1991" s="210"/>
      <c r="F1991" s="210"/>
      <c r="G1991" s="210"/>
      <c r="H1991" s="210"/>
    </row>
    <row r="1992" spans="3:8" x14ac:dyDescent="0.25">
      <c r="C1992" s="210"/>
      <c r="D1992" s="210"/>
      <c r="E1992" s="210"/>
      <c r="F1992" s="210"/>
      <c r="G1992" s="210"/>
      <c r="H1992" s="210"/>
    </row>
    <row r="1993" spans="3:8" x14ac:dyDescent="0.25">
      <c r="C1993" s="210"/>
      <c r="D1993" s="210"/>
      <c r="E1993" s="210"/>
      <c r="F1993" s="210"/>
      <c r="G1993" s="210"/>
      <c r="H1993" s="210"/>
    </row>
    <row r="1994" spans="3:8" x14ac:dyDescent="0.25">
      <c r="C1994" s="210"/>
      <c r="D1994" s="210"/>
      <c r="E1994" s="210"/>
      <c r="F1994" s="210"/>
      <c r="G1994" s="210"/>
      <c r="H1994" s="210"/>
    </row>
    <row r="1995" spans="3:8" x14ac:dyDescent="0.25">
      <c r="C1995" s="210"/>
      <c r="D1995" s="210"/>
      <c r="E1995" s="210"/>
      <c r="F1995" s="210"/>
      <c r="G1995" s="210"/>
      <c r="H1995" s="210"/>
    </row>
    <row r="1996" spans="3:8" x14ac:dyDescent="0.25">
      <c r="C1996" s="210"/>
      <c r="D1996" s="210"/>
      <c r="E1996" s="210"/>
      <c r="F1996" s="210"/>
      <c r="G1996" s="210"/>
      <c r="H1996" s="210"/>
    </row>
    <row r="1997" spans="3:8" x14ac:dyDescent="0.25">
      <c r="C1997" s="210"/>
      <c r="D1997" s="210"/>
      <c r="E1997" s="210"/>
      <c r="F1997" s="210"/>
      <c r="G1997" s="210"/>
      <c r="H1997" s="210"/>
    </row>
    <row r="1998" spans="3:8" x14ac:dyDescent="0.25">
      <c r="C1998" s="210"/>
      <c r="D1998" s="210"/>
      <c r="E1998" s="210"/>
      <c r="F1998" s="210"/>
      <c r="G1998" s="210"/>
      <c r="H1998" s="210"/>
    </row>
    <row r="1999" spans="3:8" x14ac:dyDescent="0.25">
      <c r="C1999" s="210"/>
      <c r="D1999" s="210"/>
      <c r="E1999" s="210"/>
      <c r="F1999" s="210"/>
      <c r="G1999" s="210"/>
      <c r="H1999" s="210"/>
    </row>
    <row r="2000" spans="3:8" x14ac:dyDescent="0.25">
      <c r="C2000" s="210"/>
      <c r="D2000" s="210"/>
      <c r="E2000" s="210"/>
      <c r="F2000" s="210"/>
      <c r="G2000" s="210"/>
      <c r="H2000" s="210"/>
    </row>
    <row r="2001" spans="3:8" x14ac:dyDescent="0.25">
      <c r="C2001" s="210"/>
      <c r="D2001" s="210"/>
      <c r="E2001" s="210"/>
      <c r="F2001" s="210"/>
      <c r="G2001" s="210"/>
      <c r="H2001" s="210"/>
    </row>
    <row r="2002" spans="3:8" x14ac:dyDescent="0.25">
      <c r="C2002" s="210"/>
      <c r="D2002" s="210"/>
      <c r="E2002" s="210"/>
      <c r="F2002" s="210"/>
      <c r="G2002" s="210"/>
      <c r="H2002" s="210"/>
    </row>
    <row r="2003" spans="3:8" x14ac:dyDescent="0.25">
      <c r="C2003" s="210"/>
      <c r="D2003" s="210"/>
      <c r="E2003" s="210"/>
      <c r="F2003" s="210"/>
      <c r="G2003" s="210"/>
      <c r="H2003" s="210"/>
    </row>
    <row r="2004" spans="3:8" x14ac:dyDescent="0.25">
      <c r="C2004" s="210"/>
      <c r="D2004" s="210"/>
      <c r="E2004" s="210"/>
      <c r="F2004" s="210"/>
      <c r="G2004" s="210"/>
      <c r="H2004" s="210"/>
    </row>
    <row r="2005" spans="3:8" x14ac:dyDescent="0.25">
      <c r="C2005" s="210"/>
      <c r="D2005" s="210"/>
      <c r="E2005" s="210"/>
      <c r="F2005" s="210"/>
      <c r="G2005" s="210"/>
      <c r="H2005" s="210"/>
    </row>
    <row r="2006" spans="3:8" x14ac:dyDescent="0.25">
      <c r="C2006" s="210"/>
      <c r="D2006" s="210"/>
      <c r="E2006" s="210"/>
      <c r="F2006" s="210"/>
      <c r="G2006" s="210"/>
      <c r="H2006" s="210"/>
    </row>
    <row r="2007" spans="3:8" x14ac:dyDescent="0.25">
      <c r="C2007" s="210"/>
      <c r="D2007" s="210"/>
      <c r="E2007" s="210"/>
      <c r="F2007" s="210"/>
      <c r="G2007" s="210"/>
      <c r="H2007" s="210"/>
    </row>
    <row r="2008" spans="3:8" x14ac:dyDescent="0.25">
      <c r="C2008" s="210"/>
      <c r="D2008" s="210"/>
      <c r="E2008" s="210"/>
      <c r="F2008" s="210"/>
      <c r="G2008" s="210"/>
      <c r="H2008" s="210"/>
    </row>
    <row r="2009" spans="3:8" x14ac:dyDescent="0.25">
      <c r="C2009" s="210"/>
      <c r="D2009" s="210"/>
      <c r="E2009" s="210"/>
      <c r="F2009" s="210"/>
      <c r="G2009" s="210"/>
      <c r="H2009" s="210"/>
    </row>
    <row r="2010" spans="3:8" x14ac:dyDescent="0.25">
      <c r="C2010" s="210"/>
      <c r="D2010" s="210"/>
      <c r="E2010" s="210"/>
      <c r="F2010" s="210"/>
      <c r="G2010" s="210"/>
      <c r="H2010" s="210"/>
    </row>
    <row r="2011" spans="3:8" x14ac:dyDescent="0.25">
      <c r="C2011" s="210"/>
      <c r="D2011" s="210"/>
      <c r="E2011" s="210"/>
      <c r="F2011" s="210"/>
      <c r="G2011" s="210"/>
      <c r="H2011" s="210"/>
    </row>
    <row r="2012" spans="3:8" x14ac:dyDescent="0.25">
      <c r="C2012" s="210"/>
      <c r="D2012" s="210"/>
      <c r="E2012" s="210"/>
      <c r="F2012" s="210"/>
      <c r="G2012" s="210"/>
      <c r="H2012" s="210"/>
    </row>
    <row r="2013" spans="3:8" x14ac:dyDescent="0.25">
      <c r="C2013" s="210"/>
      <c r="D2013" s="210"/>
      <c r="E2013" s="210"/>
      <c r="F2013" s="210"/>
      <c r="G2013" s="210"/>
      <c r="H2013" s="210"/>
    </row>
    <row r="2014" spans="3:8" x14ac:dyDescent="0.25">
      <c r="C2014" s="210"/>
      <c r="D2014" s="210"/>
      <c r="E2014" s="210"/>
      <c r="F2014" s="210"/>
      <c r="G2014" s="210"/>
      <c r="H2014" s="210"/>
    </row>
    <row r="2015" spans="3:8" x14ac:dyDescent="0.25">
      <c r="C2015" s="210"/>
      <c r="D2015" s="210"/>
      <c r="E2015" s="210"/>
      <c r="F2015" s="210"/>
      <c r="G2015" s="210"/>
      <c r="H2015" s="210"/>
    </row>
    <row r="2016" spans="3:8" x14ac:dyDescent="0.25">
      <c r="C2016" s="210"/>
      <c r="D2016" s="210"/>
      <c r="E2016" s="210"/>
      <c r="F2016" s="210"/>
      <c r="G2016" s="210"/>
      <c r="H2016" s="210"/>
    </row>
    <row r="2017" spans="3:8" x14ac:dyDescent="0.25">
      <c r="C2017" s="210"/>
      <c r="D2017" s="210"/>
      <c r="E2017" s="210"/>
      <c r="F2017" s="210"/>
      <c r="G2017" s="210"/>
      <c r="H2017" s="210"/>
    </row>
    <row r="2018" spans="3:8" x14ac:dyDescent="0.25">
      <c r="C2018" s="210"/>
      <c r="D2018" s="210"/>
      <c r="E2018" s="210"/>
      <c r="F2018" s="210"/>
      <c r="G2018" s="210"/>
      <c r="H2018" s="210"/>
    </row>
    <row r="2019" spans="3:8" x14ac:dyDescent="0.25">
      <c r="C2019" s="210"/>
      <c r="D2019" s="210"/>
      <c r="E2019" s="210"/>
      <c r="F2019" s="210"/>
      <c r="G2019" s="210"/>
      <c r="H2019" s="210"/>
    </row>
    <row r="2020" spans="3:8" x14ac:dyDescent="0.25">
      <c r="C2020" s="210"/>
      <c r="D2020" s="210"/>
      <c r="E2020" s="210"/>
      <c r="F2020" s="210"/>
      <c r="G2020" s="210"/>
      <c r="H2020" s="210"/>
    </row>
    <row r="2021" spans="3:8" x14ac:dyDescent="0.25">
      <c r="C2021" s="210"/>
      <c r="D2021" s="210"/>
      <c r="E2021" s="210"/>
      <c r="F2021" s="210"/>
      <c r="G2021" s="210"/>
      <c r="H2021" s="210"/>
    </row>
    <row r="2022" spans="3:8" x14ac:dyDescent="0.25">
      <c r="C2022" s="210"/>
      <c r="D2022" s="210"/>
      <c r="E2022" s="210"/>
      <c r="F2022" s="210"/>
      <c r="G2022" s="210"/>
      <c r="H2022" s="210"/>
    </row>
    <row r="2023" spans="3:8" x14ac:dyDescent="0.25">
      <c r="C2023" s="210"/>
      <c r="D2023" s="210"/>
      <c r="E2023" s="210"/>
      <c r="F2023" s="210"/>
      <c r="G2023" s="210"/>
      <c r="H2023" s="210"/>
    </row>
    <row r="2024" spans="3:8" x14ac:dyDescent="0.25">
      <c r="C2024" s="210"/>
      <c r="D2024" s="210"/>
      <c r="E2024" s="210"/>
      <c r="F2024" s="210"/>
      <c r="G2024" s="210"/>
      <c r="H2024" s="210"/>
    </row>
    <row r="2025" spans="3:8" x14ac:dyDescent="0.25">
      <c r="C2025" s="210"/>
      <c r="D2025" s="210"/>
      <c r="E2025" s="210"/>
      <c r="F2025" s="210"/>
      <c r="G2025" s="210"/>
      <c r="H2025" s="210"/>
    </row>
    <row r="2026" spans="3:8" x14ac:dyDescent="0.25">
      <c r="C2026" s="210"/>
      <c r="D2026" s="210"/>
      <c r="E2026" s="210"/>
      <c r="F2026" s="210"/>
      <c r="G2026" s="210"/>
      <c r="H2026" s="210"/>
    </row>
    <row r="2027" spans="3:8" x14ac:dyDescent="0.25">
      <c r="C2027" s="210"/>
      <c r="D2027" s="210"/>
      <c r="E2027" s="210"/>
      <c r="F2027" s="210"/>
      <c r="G2027" s="210"/>
      <c r="H2027" s="210"/>
    </row>
    <row r="2028" spans="3:8" x14ac:dyDescent="0.25">
      <c r="C2028" s="210"/>
      <c r="D2028" s="210"/>
      <c r="E2028" s="210"/>
      <c r="F2028" s="210"/>
      <c r="G2028" s="210"/>
      <c r="H2028" s="210"/>
    </row>
    <row r="2029" spans="3:8" x14ac:dyDescent="0.25">
      <c r="C2029" s="210"/>
      <c r="D2029" s="210"/>
      <c r="E2029" s="210"/>
      <c r="F2029" s="210"/>
      <c r="G2029" s="210"/>
      <c r="H2029" s="210"/>
    </row>
    <row r="2030" spans="3:8" x14ac:dyDescent="0.25">
      <c r="C2030" s="210"/>
      <c r="D2030" s="210"/>
      <c r="E2030" s="210"/>
      <c r="F2030" s="210"/>
      <c r="G2030" s="210"/>
      <c r="H2030" s="210"/>
    </row>
    <row r="2031" spans="3:8" x14ac:dyDescent="0.25">
      <c r="C2031" s="210"/>
      <c r="D2031" s="210"/>
      <c r="E2031" s="210"/>
      <c r="F2031" s="210"/>
      <c r="G2031" s="210"/>
      <c r="H2031" s="210"/>
    </row>
    <row r="2032" spans="3:8" x14ac:dyDescent="0.25">
      <c r="C2032" s="210"/>
      <c r="D2032" s="210"/>
      <c r="E2032" s="210"/>
      <c r="F2032" s="210"/>
      <c r="G2032" s="210"/>
      <c r="H2032" s="210"/>
    </row>
    <row r="2033" spans="3:8" x14ac:dyDescent="0.25">
      <c r="C2033" s="210"/>
      <c r="D2033" s="210"/>
      <c r="E2033" s="210"/>
      <c r="F2033" s="210"/>
      <c r="G2033" s="210"/>
      <c r="H2033" s="210"/>
    </row>
    <row r="2034" spans="3:8" x14ac:dyDescent="0.25">
      <c r="C2034" s="210"/>
      <c r="D2034" s="210"/>
      <c r="E2034" s="210"/>
      <c r="F2034" s="210"/>
      <c r="G2034" s="210"/>
      <c r="H2034" s="210"/>
    </row>
    <row r="2035" spans="3:8" x14ac:dyDescent="0.25">
      <c r="C2035" s="210"/>
      <c r="D2035" s="210"/>
      <c r="E2035" s="210"/>
      <c r="F2035" s="210"/>
      <c r="G2035" s="210"/>
      <c r="H2035" s="210"/>
    </row>
    <row r="2036" spans="3:8" x14ac:dyDescent="0.25">
      <c r="C2036" s="210"/>
      <c r="D2036" s="210"/>
      <c r="E2036" s="210"/>
      <c r="F2036" s="210"/>
      <c r="G2036" s="210"/>
      <c r="H2036" s="210"/>
    </row>
    <row r="2037" spans="3:8" x14ac:dyDescent="0.25">
      <c r="C2037" s="210"/>
      <c r="D2037" s="210"/>
      <c r="E2037" s="210"/>
      <c r="F2037" s="210"/>
      <c r="G2037" s="210"/>
      <c r="H2037" s="210"/>
    </row>
    <row r="2038" spans="3:8" x14ac:dyDescent="0.25">
      <c r="C2038" s="210"/>
      <c r="D2038" s="210"/>
      <c r="E2038" s="210"/>
      <c r="F2038" s="210"/>
      <c r="G2038" s="210"/>
      <c r="H2038" s="210"/>
    </row>
    <row r="2039" spans="3:8" x14ac:dyDescent="0.25">
      <c r="C2039" s="210"/>
      <c r="D2039" s="210"/>
      <c r="E2039" s="210"/>
      <c r="F2039" s="210"/>
      <c r="G2039" s="210"/>
      <c r="H2039" s="210"/>
    </row>
    <row r="2040" spans="3:8" x14ac:dyDescent="0.25">
      <c r="C2040" s="210"/>
      <c r="D2040" s="210"/>
      <c r="E2040" s="210"/>
      <c r="F2040" s="210"/>
      <c r="G2040" s="210"/>
      <c r="H2040" s="210"/>
    </row>
    <row r="2041" spans="3:8" x14ac:dyDescent="0.25">
      <c r="C2041" s="210"/>
      <c r="D2041" s="210"/>
      <c r="E2041" s="210"/>
      <c r="F2041" s="210"/>
      <c r="G2041" s="210"/>
      <c r="H2041" s="210"/>
    </row>
    <row r="2042" spans="3:8" x14ac:dyDescent="0.25">
      <c r="C2042" s="210"/>
      <c r="D2042" s="210"/>
      <c r="E2042" s="210"/>
      <c r="F2042" s="210"/>
      <c r="G2042" s="210"/>
      <c r="H2042" s="210"/>
    </row>
    <row r="2043" spans="3:8" x14ac:dyDescent="0.25">
      <c r="C2043" s="210"/>
      <c r="D2043" s="210"/>
      <c r="E2043" s="210"/>
      <c r="F2043" s="210"/>
      <c r="G2043" s="210"/>
      <c r="H2043" s="210"/>
    </row>
    <row r="2044" spans="3:8" x14ac:dyDescent="0.25">
      <c r="C2044" s="210"/>
      <c r="D2044" s="210"/>
      <c r="E2044" s="210"/>
      <c r="F2044" s="210"/>
      <c r="G2044" s="210"/>
      <c r="H2044" s="210"/>
    </row>
    <row r="2045" spans="3:8" x14ac:dyDescent="0.25">
      <c r="C2045" s="210"/>
      <c r="D2045" s="210"/>
      <c r="E2045" s="210"/>
      <c r="F2045" s="210"/>
      <c r="G2045" s="210"/>
      <c r="H2045" s="210"/>
    </row>
    <row r="2046" spans="3:8" x14ac:dyDescent="0.25">
      <c r="C2046" s="210"/>
      <c r="D2046" s="210"/>
      <c r="E2046" s="210"/>
      <c r="F2046" s="210"/>
      <c r="G2046" s="210"/>
      <c r="H2046" s="210"/>
    </row>
    <row r="2047" spans="3:8" x14ac:dyDescent="0.25">
      <c r="C2047" s="210"/>
      <c r="D2047" s="210"/>
      <c r="E2047" s="210"/>
      <c r="F2047" s="210"/>
      <c r="G2047" s="210"/>
      <c r="H2047" s="210"/>
    </row>
    <row r="2048" spans="3:8" x14ac:dyDescent="0.25">
      <c r="C2048" s="210"/>
      <c r="D2048" s="210"/>
      <c r="E2048" s="210"/>
      <c r="F2048" s="210"/>
      <c r="G2048" s="210"/>
      <c r="H2048" s="210"/>
    </row>
    <row r="2049" spans="3:8" x14ac:dyDescent="0.25">
      <c r="C2049" s="210"/>
      <c r="D2049" s="210"/>
      <c r="E2049" s="210"/>
      <c r="F2049" s="210"/>
      <c r="G2049" s="210"/>
      <c r="H2049" s="210"/>
    </row>
    <row r="2050" spans="3:8" x14ac:dyDescent="0.25">
      <c r="C2050" s="210"/>
      <c r="D2050" s="210"/>
      <c r="E2050" s="210"/>
      <c r="F2050" s="210"/>
      <c r="G2050" s="210"/>
      <c r="H2050" s="210"/>
    </row>
    <row r="2051" spans="3:8" x14ac:dyDescent="0.25">
      <c r="C2051" s="210"/>
      <c r="D2051" s="210"/>
      <c r="E2051" s="210"/>
      <c r="F2051" s="210"/>
      <c r="G2051" s="210"/>
      <c r="H2051" s="210"/>
    </row>
    <row r="2052" spans="3:8" x14ac:dyDescent="0.25">
      <c r="C2052" s="210"/>
      <c r="D2052" s="210"/>
      <c r="E2052" s="210"/>
      <c r="F2052" s="210"/>
      <c r="G2052" s="210"/>
      <c r="H2052" s="210"/>
    </row>
    <row r="2053" spans="3:8" x14ac:dyDescent="0.25">
      <c r="C2053" s="210"/>
      <c r="D2053" s="210"/>
      <c r="E2053" s="210"/>
      <c r="F2053" s="210"/>
      <c r="G2053" s="210"/>
      <c r="H2053" s="210"/>
    </row>
    <row r="2054" spans="3:8" x14ac:dyDescent="0.25">
      <c r="C2054" s="210"/>
      <c r="D2054" s="210"/>
      <c r="E2054" s="210"/>
      <c r="F2054" s="210"/>
      <c r="G2054" s="210"/>
      <c r="H2054" s="210"/>
    </row>
    <row r="2055" spans="3:8" x14ac:dyDescent="0.25">
      <c r="C2055" s="210"/>
      <c r="D2055" s="210"/>
      <c r="E2055" s="210"/>
      <c r="F2055" s="210"/>
      <c r="G2055" s="210"/>
      <c r="H2055" s="210"/>
    </row>
    <row r="2056" spans="3:8" x14ac:dyDescent="0.25">
      <c r="C2056" s="210"/>
      <c r="D2056" s="210"/>
      <c r="E2056" s="210"/>
      <c r="F2056" s="210"/>
      <c r="G2056" s="210"/>
      <c r="H2056" s="210"/>
    </row>
    <row r="2057" spans="3:8" x14ac:dyDescent="0.25">
      <c r="C2057" s="210"/>
      <c r="D2057" s="210"/>
      <c r="E2057" s="210"/>
      <c r="F2057" s="210"/>
      <c r="G2057" s="210"/>
      <c r="H2057" s="210"/>
    </row>
    <row r="2058" spans="3:8" x14ac:dyDescent="0.25">
      <c r="C2058" s="210"/>
      <c r="D2058" s="210"/>
      <c r="E2058" s="210"/>
      <c r="F2058" s="210"/>
      <c r="G2058" s="210"/>
      <c r="H2058" s="210"/>
    </row>
    <row r="2059" spans="3:8" x14ac:dyDescent="0.25">
      <c r="C2059" s="210"/>
      <c r="D2059" s="210"/>
      <c r="E2059" s="210"/>
      <c r="F2059" s="210"/>
      <c r="G2059" s="210"/>
      <c r="H2059" s="210"/>
    </row>
    <row r="2060" spans="3:8" x14ac:dyDescent="0.25">
      <c r="C2060" s="210"/>
      <c r="D2060" s="210"/>
      <c r="E2060" s="210"/>
      <c r="F2060" s="210"/>
      <c r="G2060" s="210"/>
      <c r="H2060" s="210"/>
    </row>
    <row r="2061" spans="3:8" x14ac:dyDescent="0.25">
      <c r="C2061" s="210"/>
      <c r="D2061" s="210"/>
      <c r="E2061" s="210"/>
      <c r="F2061" s="210"/>
      <c r="G2061" s="210"/>
      <c r="H2061" s="210"/>
    </row>
    <row r="2062" spans="3:8" x14ac:dyDescent="0.25">
      <c r="C2062" s="210"/>
      <c r="D2062" s="210"/>
      <c r="E2062" s="210"/>
      <c r="F2062" s="210"/>
      <c r="G2062" s="210"/>
      <c r="H2062" s="210"/>
    </row>
    <row r="2063" spans="3:8" x14ac:dyDescent="0.25">
      <c r="C2063" s="210"/>
      <c r="D2063" s="210"/>
      <c r="E2063" s="210"/>
      <c r="F2063" s="210"/>
      <c r="G2063" s="210"/>
      <c r="H2063" s="210"/>
    </row>
    <row r="2064" spans="3:8" x14ac:dyDescent="0.25">
      <c r="C2064" s="210"/>
      <c r="D2064" s="210"/>
      <c r="E2064" s="210"/>
      <c r="F2064" s="210"/>
      <c r="G2064" s="210"/>
      <c r="H2064" s="210"/>
    </row>
    <row r="2065" spans="3:8" x14ac:dyDescent="0.25">
      <c r="C2065" s="210"/>
      <c r="D2065" s="210"/>
      <c r="E2065" s="210"/>
      <c r="F2065" s="210"/>
      <c r="G2065" s="210"/>
      <c r="H2065" s="210"/>
    </row>
    <row r="2066" spans="3:8" x14ac:dyDescent="0.25">
      <c r="C2066" s="210"/>
      <c r="D2066" s="210"/>
      <c r="E2066" s="210"/>
      <c r="F2066" s="210"/>
      <c r="G2066" s="210"/>
      <c r="H2066" s="210"/>
    </row>
    <row r="2067" spans="3:8" x14ac:dyDescent="0.25">
      <c r="C2067" s="210"/>
      <c r="D2067" s="210"/>
      <c r="E2067" s="210"/>
      <c r="F2067" s="210"/>
      <c r="G2067" s="210"/>
      <c r="H2067" s="210"/>
    </row>
    <row r="2068" spans="3:8" x14ac:dyDescent="0.25">
      <c r="C2068" s="210"/>
      <c r="D2068" s="210"/>
      <c r="E2068" s="210"/>
      <c r="F2068" s="210"/>
      <c r="G2068" s="210"/>
      <c r="H2068" s="210"/>
    </row>
    <row r="2069" spans="3:8" x14ac:dyDescent="0.25">
      <c r="C2069" s="210"/>
      <c r="D2069" s="210"/>
      <c r="E2069" s="210"/>
      <c r="F2069" s="210"/>
      <c r="G2069" s="210"/>
      <c r="H2069" s="210"/>
    </row>
    <row r="2070" spans="3:8" x14ac:dyDescent="0.25">
      <c r="C2070" s="210"/>
      <c r="D2070" s="210"/>
      <c r="E2070" s="210"/>
      <c r="F2070" s="210"/>
      <c r="G2070" s="210"/>
      <c r="H2070" s="210"/>
    </row>
    <row r="2071" spans="3:8" x14ac:dyDescent="0.25">
      <c r="C2071" s="210"/>
      <c r="D2071" s="210"/>
      <c r="E2071" s="210"/>
      <c r="F2071" s="210"/>
      <c r="G2071" s="210"/>
      <c r="H2071" s="210"/>
    </row>
    <row r="2072" spans="3:8" x14ac:dyDescent="0.25">
      <c r="C2072" s="210"/>
      <c r="D2072" s="210"/>
      <c r="E2072" s="210"/>
      <c r="F2072" s="210"/>
      <c r="G2072" s="210"/>
      <c r="H2072" s="210"/>
    </row>
    <row r="2073" spans="3:8" x14ac:dyDescent="0.25">
      <c r="C2073" s="210"/>
      <c r="D2073" s="210"/>
      <c r="E2073" s="210"/>
      <c r="F2073" s="210"/>
      <c r="G2073" s="210"/>
      <c r="H2073" s="210"/>
    </row>
    <row r="2074" spans="3:8" x14ac:dyDescent="0.25">
      <c r="C2074" s="210"/>
      <c r="D2074" s="210"/>
      <c r="E2074" s="210"/>
      <c r="F2074" s="210"/>
      <c r="G2074" s="210"/>
      <c r="H2074" s="210"/>
    </row>
    <row r="2075" spans="3:8" x14ac:dyDescent="0.25">
      <c r="C2075" s="210"/>
      <c r="D2075" s="210"/>
      <c r="E2075" s="210"/>
      <c r="F2075" s="210"/>
      <c r="G2075" s="210"/>
      <c r="H2075" s="210"/>
    </row>
    <row r="2076" spans="3:8" x14ac:dyDescent="0.25">
      <c r="C2076" s="210"/>
      <c r="D2076" s="210"/>
      <c r="E2076" s="210"/>
      <c r="F2076" s="210"/>
      <c r="G2076" s="210"/>
      <c r="H2076" s="210"/>
    </row>
    <row r="2077" spans="3:8" x14ac:dyDescent="0.25">
      <c r="C2077" s="210"/>
      <c r="D2077" s="210"/>
      <c r="E2077" s="210"/>
      <c r="F2077" s="210"/>
      <c r="G2077" s="210"/>
      <c r="H2077" s="210"/>
    </row>
    <row r="2078" spans="3:8" x14ac:dyDescent="0.25">
      <c r="C2078" s="210"/>
      <c r="D2078" s="210"/>
      <c r="E2078" s="210"/>
      <c r="F2078" s="210"/>
      <c r="G2078" s="210"/>
      <c r="H2078" s="210"/>
    </row>
    <row r="2079" spans="3:8" x14ac:dyDescent="0.25">
      <c r="C2079" s="210"/>
      <c r="D2079" s="210"/>
      <c r="E2079" s="210"/>
      <c r="F2079" s="210"/>
      <c r="G2079" s="210"/>
      <c r="H2079" s="210"/>
    </row>
    <row r="2080" spans="3:8" x14ac:dyDescent="0.25">
      <c r="C2080" s="210"/>
      <c r="D2080" s="210"/>
      <c r="E2080" s="210"/>
      <c r="F2080" s="210"/>
      <c r="G2080" s="210"/>
      <c r="H2080" s="210"/>
    </row>
    <row r="2081" spans="3:8" x14ac:dyDescent="0.25">
      <c r="C2081" s="210"/>
      <c r="D2081" s="210"/>
      <c r="E2081" s="210"/>
      <c r="F2081" s="210"/>
      <c r="G2081" s="210"/>
      <c r="H2081" s="210"/>
    </row>
    <row r="2082" spans="3:8" x14ac:dyDescent="0.25">
      <c r="C2082" s="210"/>
      <c r="D2082" s="210"/>
      <c r="E2082" s="210"/>
      <c r="F2082" s="210"/>
      <c r="G2082" s="210"/>
      <c r="H2082" s="210"/>
    </row>
    <row r="2083" spans="3:8" x14ac:dyDescent="0.25">
      <c r="C2083" s="210"/>
      <c r="D2083" s="210"/>
      <c r="E2083" s="210"/>
      <c r="F2083" s="210"/>
      <c r="G2083" s="210"/>
      <c r="H2083" s="210"/>
    </row>
    <row r="2084" spans="3:8" x14ac:dyDescent="0.25">
      <c r="C2084" s="210"/>
      <c r="D2084" s="210"/>
      <c r="E2084" s="210"/>
      <c r="F2084" s="210"/>
      <c r="G2084" s="210"/>
      <c r="H2084" s="210"/>
    </row>
    <row r="2085" spans="3:8" x14ac:dyDescent="0.25">
      <c r="C2085" s="210"/>
      <c r="D2085" s="210"/>
      <c r="E2085" s="210"/>
      <c r="F2085" s="210"/>
      <c r="G2085" s="210"/>
      <c r="H2085" s="210"/>
    </row>
    <row r="2086" spans="3:8" x14ac:dyDescent="0.25">
      <c r="C2086" s="210"/>
      <c r="D2086" s="210"/>
      <c r="E2086" s="210"/>
      <c r="F2086" s="210"/>
      <c r="G2086" s="210"/>
      <c r="H2086" s="210"/>
    </row>
    <row r="2087" spans="3:8" x14ac:dyDescent="0.25">
      <c r="C2087" s="210"/>
      <c r="D2087" s="210"/>
      <c r="E2087" s="210"/>
      <c r="F2087" s="210"/>
      <c r="G2087" s="210"/>
      <c r="H2087" s="210"/>
    </row>
    <row r="2088" spans="3:8" x14ac:dyDescent="0.25">
      <c r="C2088" s="210"/>
      <c r="D2088" s="210"/>
      <c r="E2088" s="210"/>
      <c r="F2088" s="210"/>
      <c r="G2088" s="210"/>
      <c r="H2088" s="210"/>
    </row>
    <row r="2089" spans="3:8" x14ac:dyDescent="0.25">
      <c r="C2089" s="210"/>
      <c r="D2089" s="210"/>
      <c r="E2089" s="210"/>
      <c r="F2089" s="210"/>
      <c r="G2089" s="210"/>
      <c r="H2089" s="210"/>
    </row>
    <row r="2090" spans="3:8" x14ac:dyDescent="0.25">
      <c r="C2090" s="210"/>
      <c r="D2090" s="210"/>
      <c r="E2090" s="210"/>
      <c r="F2090" s="210"/>
      <c r="G2090" s="210"/>
      <c r="H2090" s="210"/>
    </row>
    <row r="2091" spans="3:8" x14ac:dyDescent="0.25">
      <c r="C2091" s="210"/>
      <c r="D2091" s="210"/>
      <c r="E2091" s="210"/>
      <c r="F2091" s="210"/>
      <c r="G2091" s="210"/>
      <c r="H2091" s="210"/>
    </row>
    <row r="2092" spans="3:8" x14ac:dyDescent="0.25">
      <c r="C2092" s="210"/>
      <c r="D2092" s="210"/>
      <c r="E2092" s="210"/>
      <c r="F2092" s="210"/>
      <c r="G2092" s="210"/>
      <c r="H2092" s="210"/>
    </row>
    <row r="2093" spans="3:8" x14ac:dyDescent="0.25">
      <c r="C2093" s="210"/>
      <c r="D2093" s="210"/>
      <c r="E2093" s="210"/>
      <c r="F2093" s="210"/>
      <c r="G2093" s="210"/>
      <c r="H2093" s="210"/>
    </row>
    <row r="2094" spans="3:8" x14ac:dyDescent="0.25">
      <c r="C2094" s="210"/>
      <c r="D2094" s="210"/>
      <c r="E2094" s="210"/>
      <c r="F2094" s="210"/>
      <c r="G2094" s="210"/>
      <c r="H2094" s="210"/>
    </row>
    <row r="2095" spans="3:8" x14ac:dyDescent="0.25">
      <c r="C2095" s="210"/>
      <c r="D2095" s="210"/>
      <c r="E2095" s="210"/>
      <c r="F2095" s="210"/>
      <c r="G2095" s="210"/>
      <c r="H2095" s="210"/>
    </row>
    <row r="2096" spans="3:8" x14ac:dyDescent="0.25">
      <c r="C2096" s="210"/>
      <c r="D2096" s="210"/>
      <c r="E2096" s="210"/>
      <c r="F2096" s="210"/>
      <c r="G2096" s="210"/>
      <c r="H2096" s="210"/>
    </row>
    <row r="2097" spans="3:8" x14ac:dyDescent="0.25">
      <c r="C2097" s="210"/>
      <c r="D2097" s="210"/>
      <c r="E2097" s="210"/>
      <c r="F2097" s="210"/>
      <c r="G2097" s="210"/>
      <c r="H2097" s="210"/>
    </row>
    <row r="2098" spans="3:8" x14ac:dyDescent="0.25">
      <c r="C2098" s="210"/>
      <c r="D2098" s="210"/>
      <c r="E2098" s="210"/>
      <c r="F2098" s="210"/>
      <c r="G2098" s="210"/>
      <c r="H2098" s="210"/>
    </row>
    <row r="2099" spans="3:8" x14ac:dyDescent="0.25">
      <c r="C2099" s="210"/>
      <c r="D2099" s="210"/>
      <c r="E2099" s="210"/>
      <c r="F2099" s="210"/>
      <c r="G2099" s="210"/>
      <c r="H2099" s="210"/>
    </row>
    <row r="2100" spans="3:8" x14ac:dyDescent="0.25">
      <c r="C2100" s="210"/>
      <c r="D2100" s="210"/>
      <c r="E2100" s="210"/>
      <c r="F2100" s="210"/>
      <c r="G2100" s="210"/>
      <c r="H2100" s="210"/>
    </row>
    <row r="2101" spans="3:8" x14ac:dyDescent="0.25">
      <c r="C2101" s="210"/>
      <c r="D2101" s="210"/>
      <c r="E2101" s="210"/>
      <c r="F2101" s="210"/>
      <c r="G2101" s="210"/>
      <c r="H2101" s="210"/>
    </row>
    <row r="2102" spans="3:8" x14ac:dyDescent="0.25">
      <c r="C2102" s="210"/>
      <c r="D2102" s="210"/>
      <c r="E2102" s="210"/>
      <c r="F2102" s="210"/>
      <c r="G2102" s="210"/>
      <c r="H2102" s="210"/>
    </row>
    <row r="2103" spans="3:8" x14ac:dyDescent="0.25">
      <c r="C2103" s="210"/>
      <c r="D2103" s="210"/>
      <c r="E2103" s="210"/>
      <c r="F2103" s="210"/>
      <c r="G2103" s="210"/>
      <c r="H2103" s="210"/>
    </row>
    <row r="2104" spans="3:8" x14ac:dyDescent="0.25">
      <c r="C2104" s="210"/>
      <c r="D2104" s="210"/>
      <c r="E2104" s="210"/>
      <c r="F2104" s="210"/>
      <c r="G2104" s="210"/>
      <c r="H2104" s="210"/>
    </row>
    <row r="2105" spans="3:8" x14ac:dyDescent="0.25">
      <c r="C2105" s="210"/>
      <c r="D2105" s="210"/>
      <c r="E2105" s="210"/>
      <c r="F2105" s="210"/>
      <c r="G2105" s="210"/>
      <c r="H2105" s="210"/>
    </row>
    <row r="2106" spans="3:8" x14ac:dyDescent="0.25">
      <c r="C2106" s="210"/>
      <c r="D2106" s="210"/>
      <c r="E2106" s="210"/>
      <c r="F2106" s="210"/>
      <c r="G2106" s="210"/>
      <c r="H2106" s="210"/>
    </row>
    <row r="2107" spans="3:8" x14ac:dyDescent="0.25">
      <c r="C2107" s="210"/>
      <c r="D2107" s="210"/>
      <c r="E2107" s="210"/>
      <c r="F2107" s="210"/>
      <c r="G2107" s="210"/>
      <c r="H2107" s="210"/>
    </row>
    <row r="2108" spans="3:8" x14ac:dyDescent="0.25">
      <c r="C2108" s="210"/>
      <c r="D2108" s="210"/>
      <c r="E2108" s="210"/>
      <c r="F2108" s="210"/>
      <c r="G2108" s="210"/>
      <c r="H2108" s="210"/>
    </row>
    <row r="2109" spans="3:8" x14ac:dyDescent="0.25">
      <c r="C2109" s="210"/>
      <c r="D2109" s="210"/>
      <c r="E2109" s="210"/>
      <c r="F2109" s="210"/>
      <c r="G2109" s="210"/>
      <c r="H2109" s="210"/>
    </row>
    <row r="2110" spans="3:8" x14ac:dyDescent="0.25">
      <c r="C2110" s="210"/>
      <c r="D2110" s="210"/>
      <c r="E2110" s="210"/>
      <c r="F2110" s="210"/>
      <c r="G2110" s="210"/>
      <c r="H2110" s="210"/>
    </row>
    <row r="2111" spans="3:8" x14ac:dyDescent="0.25">
      <c r="C2111" s="210"/>
      <c r="D2111" s="210"/>
      <c r="E2111" s="210"/>
      <c r="F2111" s="210"/>
      <c r="G2111" s="210"/>
      <c r="H2111" s="210"/>
    </row>
    <row r="2112" spans="3:8" x14ac:dyDescent="0.25">
      <c r="C2112" s="210"/>
      <c r="D2112" s="210"/>
      <c r="E2112" s="210"/>
      <c r="F2112" s="210"/>
      <c r="G2112" s="210"/>
      <c r="H2112" s="210"/>
    </row>
    <row r="2113" spans="3:8" x14ac:dyDescent="0.25">
      <c r="C2113" s="210"/>
      <c r="D2113" s="210"/>
      <c r="E2113" s="210"/>
      <c r="F2113" s="210"/>
      <c r="G2113" s="210"/>
      <c r="H2113" s="210"/>
    </row>
    <row r="2114" spans="3:8" x14ac:dyDescent="0.25">
      <c r="C2114" s="210"/>
      <c r="D2114" s="210"/>
      <c r="E2114" s="210"/>
      <c r="F2114" s="210"/>
      <c r="G2114" s="210"/>
      <c r="H2114" s="210"/>
    </row>
    <row r="2115" spans="3:8" x14ac:dyDescent="0.25">
      <c r="C2115" s="210"/>
      <c r="D2115" s="210"/>
      <c r="E2115" s="210"/>
      <c r="F2115" s="210"/>
      <c r="G2115" s="210"/>
      <c r="H2115" s="210"/>
    </row>
    <row r="2116" spans="3:8" x14ac:dyDescent="0.25">
      <c r="C2116" s="210"/>
      <c r="D2116" s="210"/>
      <c r="E2116" s="210"/>
      <c r="F2116" s="210"/>
      <c r="G2116" s="210"/>
      <c r="H2116" s="210"/>
    </row>
    <row r="2117" spans="3:8" x14ac:dyDescent="0.25">
      <c r="C2117" s="210"/>
      <c r="D2117" s="210"/>
      <c r="E2117" s="210"/>
      <c r="F2117" s="210"/>
      <c r="G2117" s="210"/>
      <c r="H2117" s="210"/>
    </row>
    <row r="2118" spans="3:8" x14ac:dyDescent="0.25">
      <c r="C2118" s="210"/>
      <c r="D2118" s="210"/>
      <c r="E2118" s="210"/>
      <c r="F2118" s="210"/>
      <c r="G2118" s="210"/>
      <c r="H2118" s="210"/>
    </row>
    <row r="2119" spans="3:8" x14ac:dyDescent="0.25">
      <c r="C2119" s="210"/>
      <c r="D2119" s="210"/>
      <c r="E2119" s="210"/>
      <c r="F2119" s="210"/>
      <c r="G2119" s="210"/>
      <c r="H2119" s="210"/>
    </row>
    <row r="2120" spans="3:8" x14ac:dyDescent="0.25">
      <c r="C2120" s="210"/>
      <c r="D2120" s="210"/>
      <c r="E2120" s="210"/>
      <c r="F2120" s="210"/>
      <c r="G2120" s="210"/>
      <c r="H2120" s="210"/>
    </row>
    <row r="2121" spans="3:8" x14ac:dyDescent="0.25">
      <c r="C2121" s="210"/>
      <c r="D2121" s="210"/>
      <c r="E2121" s="210"/>
      <c r="F2121" s="210"/>
      <c r="G2121" s="210"/>
      <c r="H2121" s="210"/>
    </row>
    <row r="2122" spans="3:8" x14ac:dyDescent="0.25">
      <c r="C2122" s="210"/>
      <c r="D2122" s="210"/>
      <c r="E2122" s="210"/>
      <c r="F2122" s="210"/>
      <c r="G2122" s="210"/>
      <c r="H2122" s="210"/>
    </row>
    <row r="2123" spans="3:8" x14ac:dyDescent="0.25">
      <c r="C2123" s="210"/>
      <c r="D2123" s="210"/>
      <c r="E2123" s="210"/>
      <c r="F2123" s="210"/>
      <c r="G2123" s="210"/>
      <c r="H2123" s="210"/>
    </row>
    <row r="2124" spans="3:8" x14ac:dyDescent="0.25">
      <c r="C2124" s="210"/>
      <c r="D2124" s="210"/>
      <c r="E2124" s="210"/>
      <c r="F2124" s="210"/>
      <c r="G2124" s="210"/>
      <c r="H2124" s="210"/>
    </row>
    <row r="2125" spans="3:8" x14ac:dyDescent="0.25">
      <c r="C2125" s="210"/>
      <c r="D2125" s="210"/>
      <c r="E2125" s="210"/>
      <c r="F2125" s="210"/>
      <c r="G2125" s="210"/>
      <c r="H2125" s="210"/>
    </row>
    <row r="2126" spans="3:8" x14ac:dyDescent="0.25">
      <c r="C2126" s="210"/>
      <c r="D2126" s="210"/>
      <c r="E2126" s="210"/>
      <c r="F2126" s="210"/>
      <c r="G2126" s="210"/>
      <c r="H2126" s="210"/>
    </row>
    <row r="2127" spans="3:8" x14ac:dyDescent="0.25">
      <c r="C2127" s="210"/>
      <c r="D2127" s="210"/>
      <c r="E2127" s="210"/>
      <c r="F2127" s="210"/>
      <c r="G2127" s="210"/>
      <c r="H2127" s="210"/>
    </row>
    <row r="2128" spans="3:8" x14ac:dyDescent="0.25">
      <c r="C2128" s="210"/>
      <c r="D2128" s="210"/>
      <c r="E2128" s="210"/>
      <c r="F2128" s="210"/>
      <c r="G2128" s="210"/>
      <c r="H2128" s="210"/>
    </row>
    <row r="2129" spans="3:8" x14ac:dyDescent="0.25">
      <c r="C2129" s="210"/>
      <c r="D2129" s="210"/>
      <c r="E2129" s="210"/>
      <c r="F2129" s="210"/>
      <c r="G2129" s="210"/>
      <c r="H2129" s="210"/>
    </row>
    <row r="2130" spans="3:8" x14ac:dyDescent="0.25">
      <c r="C2130" s="210"/>
      <c r="D2130" s="210"/>
      <c r="E2130" s="210"/>
      <c r="F2130" s="210"/>
      <c r="G2130" s="210"/>
      <c r="H2130" s="210"/>
    </row>
    <row r="2131" spans="3:8" x14ac:dyDescent="0.25">
      <c r="C2131" s="210"/>
      <c r="D2131" s="210"/>
      <c r="E2131" s="210"/>
      <c r="F2131" s="210"/>
      <c r="G2131" s="210"/>
      <c r="H2131" s="210"/>
    </row>
    <row r="2132" spans="3:8" x14ac:dyDescent="0.25">
      <c r="C2132" s="210"/>
      <c r="D2132" s="210"/>
      <c r="E2132" s="210"/>
      <c r="F2132" s="210"/>
      <c r="G2132" s="210"/>
      <c r="H2132" s="210"/>
    </row>
    <row r="2133" spans="3:8" x14ac:dyDescent="0.25">
      <c r="C2133" s="210"/>
      <c r="D2133" s="210"/>
      <c r="E2133" s="210"/>
      <c r="F2133" s="210"/>
      <c r="G2133" s="210"/>
      <c r="H2133" s="210"/>
    </row>
    <row r="2134" spans="3:8" x14ac:dyDescent="0.25">
      <c r="C2134" s="210"/>
      <c r="D2134" s="210"/>
      <c r="E2134" s="210"/>
      <c r="F2134" s="210"/>
      <c r="G2134" s="210"/>
      <c r="H2134" s="210"/>
    </row>
    <row r="2135" spans="3:8" x14ac:dyDescent="0.25">
      <c r="C2135" s="210"/>
      <c r="D2135" s="210"/>
      <c r="E2135" s="210"/>
      <c r="F2135" s="210"/>
      <c r="G2135" s="210"/>
      <c r="H2135" s="210"/>
    </row>
    <row r="2136" spans="3:8" x14ac:dyDescent="0.25">
      <c r="C2136" s="210"/>
      <c r="D2136" s="210"/>
      <c r="E2136" s="210"/>
      <c r="F2136" s="210"/>
      <c r="G2136" s="210"/>
      <c r="H2136" s="210"/>
    </row>
    <row r="2137" spans="3:8" x14ac:dyDescent="0.25">
      <c r="C2137" s="210"/>
      <c r="D2137" s="210"/>
      <c r="E2137" s="210"/>
      <c r="F2137" s="210"/>
      <c r="G2137" s="210"/>
      <c r="H2137" s="210"/>
    </row>
    <row r="2138" spans="3:8" x14ac:dyDescent="0.25">
      <c r="C2138" s="210"/>
      <c r="D2138" s="210"/>
      <c r="E2138" s="210"/>
      <c r="F2138" s="210"/>
      <c r="G2138" s="210"/>
      <c r="H2138" s="210"/>
    </row>
    <row r="2139" spans="3:8" x14ac:dyDescent="0.25">
      <c r="C2139" s="210"/>
      <c r="D2139" s="210"/>
      <c r="E2139" s="210"/>
      <c r="F2139" s="210"/>
      <c r="G2139" s="210"/>
      <c r="H2139" s="210"/>
    </row>
    <row r="2140" spans="3:8" x14ac:dyDescent="0.25">
      <c r="C2140" s="210"/>
      <c r="D2140" s="210"/>
      <c r="E2140" s="210"/>
      <c r="F2140" s="210"/>
      <c r="G2140" s="210"/>
      <c r="H2140" s="210"/>
    </row>
    <row r="2141" spans="3:8" x14ac:dyDescent="0.25">
      <c r="C2141" s="210"/>
      <c r="D2141" s="210"/>
      <c r="E2141" s="210"/>
      <c r="F2141" s="210"/>
      <c r="G2141" s="210"/>
      <c r="H2141" s="210"/>
    </row>
    <row r="2142" spans="3:8" x14ac:dyDescent="0.25">
      <c r="C2142" s="210"/>
      <c r="D2142" s="210"/>
      <c r="E2142" s="210"/>
      <c r="F2142" s="210"/>
      <c r="G2142" s="210"/>
      <c r="H2142" s="210"/>
    </row>
    <row r="2143" spans="3:8" x14ac:dyDescent="0.25">
      <c r="C2143" s="210"/>
      <c r="D2143" s="210"/>
      <c r="E2143" s="210"/>
      <c r="F2143" s="210"/>
      <c r="G2143" s="210"/>
      <c r="H2143" s="210"/>
    </row>
    <row r="2144" spans="3:8" x14ac:dyDescent="0.25">
      <c r="C2144" s="210"/>
      <c r="D2144" s="210"/>
      <c r="E2144" s="210"/>
      <c r="F2144" s="210"/>
      <c r="G2144" s="210"/>
      <c r="H2144" s="210"/>
    </row>
    <row r="2145" spans="3:8" x14ac:dyDescent="0.25">
      <c r="C2145" s="210"/>
      <c r="D2145" s="210"/>
      <c r="E2145" s="210"/>
      <c r="F2145" s="210"/>
      <c r="G2145" s="210"/>
      <c r="H2145" s="210"/>
    </row>
    <row r="2146" spans="3:8" x14ac:dyDescent="0.25">
      <c r="C2146" s="210"/>
      <c r="D2146" s="210"/>
      <c r="E2146" s="210"/>
      <c r="F2146" s="210"/>
      <c r="G2146" s="210"/>
      <c r="H2146" s="210"/>
    </row>
    <row r="2147" spans="3:8" x14ac:dyDescent="0.25">
      <c r="C2147" s="210"/>
      <c r="D2147" s="210"/>
      <c r="E2147" s="210"/>
      <c r="F2147" s="210"/>
      <c r="G2147" s="210"/>
      <c r="H2147" s="210"/>
    </row>
    <row r="2148" spans="3:8" x14ac:dyDescent="0.25">
      <c r="C2148" s="210"/>
      <c r="D2148" s="210"/>
      <c r="E2148" s="210"/>
      <c r="F2148" s="210"/>
      <c r="G2148" s="210"/>
      <c r="H2148" s="210"/>
    </row>
    <row r="2149" spans="3:8" x14ac:dyDescent="0.25">
      <c r="C2149" s="210"/>
      <c r="D2149" s="210"/>
      <c r="E2149" s="210"/>
      <c r="F2149" s="210"/>
      <c r="G2149" s="210"/>
      <c r="H2149" s="210"/>
    </row>
    <row r="2150" spans="3:8" x14ac:dyDescent="0.25">
      <c r="C2150" s="210"/>
      <c r="D2150" s="210"/>
      <c r="E2150" s="210"/>
      <c r="F2150" s="210"/>
      <c r="G2150" s="210"/>
      <c r="H2150" s="210"/>
    </row>
    <row r="2151" spans="3:8" x14ac:dyDescent="0.25">
      <c r="C2151" s="210"/>
      <c r="D2151" s="210"/>
      <c r="E2151" s="210"/>
      <c r="F2151" s="210"/>
      <c r="G2151" s="210"/>
      <c r="H2151" s="210"/>
    </row>
    <row r="2152" spans="3:8" x14ac:dyDescent="0.25">
      <c r="C2152" s="210"/>
      <c r="D2152" s="210"/>
      <c r="E2152" s="210"/>
      <c r="F2152" s="210"/>
      <c r="G2152" s="210"/>
      <c r="H2152" s="210"/>
    </row>
    <row r="2153" spans="3:8" x14ac:dyDescent="0.25">
      <c r="C2153" s="210"/>
      <c r="D2153" s="210"/>
      <c r="E2153" s="210"/>
      <c r="F2153" s="210"/>
      <c r="G2153" s="210"/>
      <c r="H2153" s="210"/>
    </row>
    <row r="2154" spans="3:8" x14ac:dyDescent="0.25">
      <c r="C2154" s="210"/>
      <c r="D2154" s="210"/>
      <c r="E2154" s="210"/>
      <c r="F2154" s="210"/>
      <c r="G2154" s="210"/>
      <c r="H2154" s="210"/>
    </row>
    <row r="2155" spans="3:8" x14ac:dyDescent="0.25">
      <c r="C2155" s="210"/>
      <c r="D2155" s="210"/>
      <c r="E2155" s="210"/>
      <c r="F2155" s="210"/>
      <c r="G2155" s="210"/>
      <c r="H2155" s="210"/>
    </row>
    <row r="2156" spans="3:8" x14ac:dyDescent="0.25">
      <c r="C2156" s="210"/>
      <c r="D2156" s="210"/>
      <c r="E2156" s="210"/>
      <c r="F2156" s="210"/>
      <c r="G2156" s="210"/>
      <c r="H2156" s="210"/>
    </row>
    <row r="2157" spans="3:8" x14ac:dyDescent="0.25">
      <c r="C2157" s="210"/>
      <c r="D2157" s="210"/>
      <c r="E2157" s="210"/>
      <c r="F2157" s="210"/>
      <c r="G2157" s="210"/>
      <c r="H2157" s="210"/>
    </row>
    <row r="2158" spans="3:8" x14ac:dyDescent="0.25">
      <c r="C2158" s="210"/>
      <c r="D2158" s="210"/>
      <c r="E2158" s="210"/>
      <c r="F2158" s="210"/>
      <c r="G2158" s="210"/>
      <c r="H2158" s="210"/>
    </row>
    <row r="2159" spans="3:8" x14ac:dyDescent="0.25">
      <c r="C2159" s="210"/>
      <c r="D2159" s="210"/>
      <c r="E2159" s="210"/>
      <c r="F2159" s="210"/>
      <c r="G2159" s="210"/>
      <c r="H2159" s="210"/>
    </row>
    <row r="2160" spans="3:8" x14ac:dyDescent="0.25">
      <c r="C2160" s="210"/>
      <c r="D2160" s="210"/>
      <c r="E2160" s="210"/>
      <c r="F2160" s="210"/>
      <c r="G2160" s="210"/>
      <c r="H2160" s="210"/>
    </row>
    <row r="2161" spans="3:8" x14ac:dyDescent="0.25">
      <c r="C2161" s="210"/>
      <c r="D2161" s="210"/>
      <c r="E2161" s="210"/>
      <c r="F2161" s="210"/>
      <c r="G2161" s="210"/>
      <c r="H2161" s="210"/>
    </row>
    <row r="2162" spans="3:8" x14ac:dyDescent="0.25">
      <c r="C2162" s="210"/>
      <c r="D2162" s="210"/>
      <c r="E2162" s="210"/>
      <c r="F2162" s="210"/>
      <c r="G2162" s="210"/>
      <c r="H2162" s="210"/>
    </row>
    <row r="2163" spans="3:8" x14ac:dyDescent="0.25">
      <c r="C2163" s="210"/>
      <c r="D2163" s="210"/>
      <c r="E2163" s="210"/>
      <c r="F2163" s="210"/>
      <c r="G2163" s="210"/>
      <c r="H2163" s="210"/>
    </row>
    <row r="2164" spans="3:8" x14ac:dyDescent="0.25">
      <c r="C2164" s="210"/>
      <c r="D2164" s="210"/>
      <c r="E2164" s="210"/>
      <c r="F2164" s="210"/>
      <c r="G2164" s="210"/>
      <c r="H2164" s="210"/>
    </row>
    <row r="2165" spans="3:8" x14ac:dyDescent="0.25">
      <c r="C2165" s="210"/>
      <c r="D2165" s="210"/>
      <c r="E2165" s="210"/>
      <c r="F2165" s="210"/>
      <c r="G2165" s="210"/>
      <c r="H2165" s="210"/>
    </row>
    <row r="2166" spans="3:8" x14ac:dyDescent="0.25">
      <c r="C2166" s="210"/>
      <c r="D2166" s="210"/>
      <c r="E2166" s="210"/>
      <c r="F2166" s="210"/>
      <c r="G2166" s="210"/>
      <c r="H2166" s="210"/>
    </row>
    <row r="2167" spans="3:8" x14ac:dyDescent="0.25">
      <c r="C2167" s="210"/>
      <c r="D2167" s="210"/>
      <c r="E2167" s="210"/>
      <c r="F2167" s="210"/>
      <c r="G2167" s="210"/>
      <c r="H2167" s="210"/>
    </row>
    <row r="2168" spans="3:8" x14ac:dyDescent="0.25">
      <c r="C2168" s="210"/>
      <c r="D2168" s="210"/>
      <c r="E2168" s="210"/>
      <c r="F2168" s="210"/>
      <c r="G2168" s="210"/>
      <c r="H2168" s="210"/>
    </row>
    <row r="2169" spans="3:8" x14ac:dyDescent="0.25">
      <c r="C2169" s="210"/>
      <c r="D2169" s="210"/>
      <c r="E2169" s="210"/>
      <c r="F2169" s="210"/>
      <c r="G2169" s="210"/>
      <c r="H2169" s="210"/>
    </row>
    <row r="2170" spans="3:8" x14ac:dyDescent="0.25">
      <c r="C2170" s="210"/>
      <c r="D2170" s="210"/>
      <c r="E2170" s="210"/>
      <c r="F2170" s="210"/>
      <c r="G2170" s="210"/>
      <c r="H2170" s="210"/>
    </row>
    <row r="2171" spans="3:8" x14ac:dyDescent="0.25">
      <c r="C2171" s="210"/>
      <c r="D2171" s="210"/>
      <c r="E2171" s="210"/>
      <c r="F2171" s="210"/>
      <c r="G2171" s="210"/>
      <c r="H2171" s="210"/>
    </row>
    <row r="2172" spans="3:8" x14ac:dyDescent="0.25">
      <c r="C2172" s="210"/>
      <c r="D2172" s="210"/>
      <c r="E2172" s="210"/>
      <c r="F2172" s="210"/>
      <c r="G2172" s="210"/>
      <c r="H2172" s="210"/>
    </row>
    <row r="2173" spans="3:8" x14ac:dyDescent="0.25">
      <c r="C2173" s="210"/>
      <c r="D2173" s="210"/>
      <c r="E2173" s="210"/>
      <c r="F2173" s="210"/>
      <c r="G2173" s="210"/>
      <c r="H2173" s="210"/>
    </row>
    <row r="2174" spans="3:8" x14ac:dyDescent="0.25">
      <c r="C2174" s="210"/>
      <c r="D2174" s="210"/>
      <c r="E2174" s="210"/>
      <c r="F2174" s="210"/>
      <c r="G2174" s="210"/>
      <c r="H2174" s="210"/>
    </row>
    <row r="2175" spans="3:8" x14ac:dyDescent="0.25">
      <c r="C2175" s="210"/>
      <c r="D2175" s="210"/>
      <c r="E2175" s="210"/>
      <c r="F2175" s="210"/>
      <c r="G2175" s="210"/>
      <c r="H2175" s="210"/>
    </row>
    <row r="2176" spans="3:8" x14ac:dyDescent="0.25">
      <c r="C2176" s="210"/>
      <c r="D2176" s="210"/>
      <c r="E2176" s="210"/>
      <c r="F2176" s="210"/>
      <c r="G2176" s="210"/>
      <c r="H2176" s="210"/>
    </row>
    <row r="2177" spans="3:8" x14ac:dyDescent="0.25">
      <c r="C2177" s="210"/>
      <c r="D2177" s="210"/>
      <c r="E2177" s="210"/>
      <c r="F2177" s="210"/>
      <c r="G2177" s="210"/>
      <c r="H2177" s="210"/>
    </row>
    <row r="2178" spans="3:8" x14ac:dyDescent="0.25">
      <c r="C2178" s="210"/>
      <c r="D2178" s="210"/>
      <c r="E2178" s="210"/>
      <c r="F2178" s="210"/>
      <c r="G2178" s="210"/>
      <c r="H2178" s="210"/>
    </row>
    <row r="2179" spans="3:8" x14ac:dyDescent="0.25">
      <c r="C2179" s="210"/>
      <c r="D2179" s="210"/>
      <c r="E2179" s="210"/>
      <c r="F2179" s="210"/>
      <c r="G2179" s="210"/>
      <c r="H2179" s="210"/>
    </row>
    <row r="2180" spans="3:8" x14ac:dyDescent="0.25">
      <c r="C2180" s="210"/>
      <c r="D2180" s="210"/>
      <c r="E2180" s="210"/>
      <c r="F2180" s="210"/>
      <c r="G2180" s="210"/>
      <c r="H2180" s="210"/>
    </row>
    <row r="2181" spans="3:8" x14ac:dyDescent="0.25">
      <c r="C2181" s="210"/>
      <c r="D2181" s="210"/>
      <c r="E2181" s="210"/>
      <c r="F2181" s="210"/>
      <c r="G2181" s="210"/>
      <c r="H2181" s="210"/>
    </row>
    <row r="2182" spans="3:8" x14ac:dyDescent="0.25">
      <c r="C2182" s="210"/>
      <c r="D2182" s="210"/>
      <c r="E2182" s="210"/>
      <c r="F2182" s="210"/>
      <c r="G2182" s="210"/>
      <c r="H2182" s="210"/>
    </row>
    <row r="2183" spans="3:8" x14ac:dyDescent="0.25">
      <c r="C2183" s="210"/>
      <c r="D2183" s="210"/>
      <c r="E2183" s="210"/>
      <c r="F2183" s="210"/>
      <c r="G2183" s="210"/>
      <c r="H2183" s="210"/>
    </row>
    <row r="2184" spans="3:8" x14ac:dyDescent="0.25">
      <c r="C2184" s="210"/>
      <c r="D2184" s="210"/>
      <c r="E2184" s="210"/>
      <c r="F2184" s="210"/>
      <c r="G2184" s="210"/>
      <c r="H2184" s="210"/>
    </row>
    <row r="2185" spans="3:8" x14ac:dyDescent="0.25">
      <c r="C2185" s="210"/>
      <c r="D2185" s="210"/>
      <c r="E2185" s="210"/>
      <c r="F2185" s="210"/>
      <c r="G2185" s="210"/>
      <c r="H2185" s="210"/>
    </row>
    <row r="2186" spans="3:8" x14ac:dyDescent="0.25">
      <c r="C2186" s="210"/>
      <c r="D2186" s="210"/>
      <c r="E2186" s="210"/>
      <c r="F2186" s="210"/>
      <c r="G2186" s="210"/>
      <c r="H2186" s="210"/>
    </row>
    <row r="2187" spans="3:8" x14ac:dyDescent="0.25">
      <c r="C2187" s="210"/>
      <c r="D2187" s="210"/>
      <c r="E2187" s="210"/>
      <c r="F2187" s="210"/>
      <c r="G2187" s="210"/>
      <c r="H2187" s="210"/>
    </row>
    <row r="2188" spans="3:8" x14ac:dyDescent="0.25">
      <c r="C2188" s="210"/>
      <c r="D2188" s="210"/>
      <c r="E2188" s="210"/>
      <c r="F2188" s="210"/>
      <c r="G2188" s="210"/>
      <c r="H2188" s="210"/>
    </row>
    <row r="2189" spans="3:8" x14ac:dyDescent="0.25">
      <c r="C2189" s="210"/>
      <c r="D2189" s="210"/>
      <c r="E2189" s="210"/>
      <c r="F2189" s="210"/>
      <c r="G2189" s="210"/>
      <c r="H2189" s="210"/>
    </row>
    <row r="2190" spans="3:8" x14ac:dyDescent="0.25">
      <c r="C2190" s="210"/>
      <c r="D2190" s="210"/>
      <c r="E2190" s="210"/>
      <c r="F2190" s="210"/>
      <c r="G2190" s="210"/>
      <c r="H2190" s="210"/>
    </row>
    <row r="2191" spans="3:8" x14ac:dyDescent="0.25">
      <c r="C2191" s="210"/>
      <c r="D2191" s="210"/>
      <c r="E2191" s="210"/>
      <c r="F2191" s="210"/>
      <c r="G2191" s="210"/>
      <c r="H2191" s="210"/>
    </row>
    <row r="2192" spans="3:8" x14ac:dyDescent="0.25">
      <c r="C2192" s="210"/>
      <c r="D2192" s="210"/>
      <c r="E2192" s="210"/>
      <c r="F2192" s="210"/>
      <c r="G2192" s="210"/>
      <c r="H2192" s="210"/>
    </row>
    <row r="2193" spans="3:8" x14ac:dyDescent="0.25">
      <c r="C2193" s="210"/>
      <c r="D2193" s="210"/>
      <c r="E2193" s="210"/>
      <c r="F2193" s="210"/>
      <c r="G2193" s="210"/>
      <c r="H2193" s="210"/>
    </row>
    <row r="2194" spans="3:8" x14ac:dyDescent="0.25">
      <c r="C2194" s="210"/>
      <c r="D2194" s="210"/>
      <c r="E2194" s="210"/>
      <c r="F2194" s="210"/>
      <c r="G2194" s="210"/>
      <c r="H2194" s="210"/>
    </row>
    <row r="2195" spans="3:8" x14ac:dyDescent="0.25">
      <c r="C2195" s="210"/>
      <c r="D2195" s="210"/>
      <c r="E2195" s="210"/>
      <c r="F2195" s="210"/>
      <c r="G2195" s="210"/>
      <c r="H2195" s="210"/>
    </row>
    <row r="2196" spans="3:8" x14ac:dyDescent="0.25">
      <c r="C2196" s="210"/>
      <c r="D2196" s="210"/>
      <c r="E2196" s="210"/>
      <c r="F2196" s="210"/>
      <c r="G2196" s="210"/>
      <c r="H2196" s="210"/>
    </row>
    <row r="2197" spans="3:8" x14ac:dyDescent="0.25">
      <c r="C2197" s="210"/>
      <c r="D2197" s="210"/>
      <c r="E2197" s="210"/>
      <c r="F2197" s="210"/>
      <c r="G2197" s="210"/>
      <c r="H2197" s="210"/>
    </row>
    <row r="2198" spans="3:8" x14ac:dyDescent="0.25">
      <c r="C2198" s="210"/>
      <c r="D2198" s="210"/>
      <c r="E2198" s="210"/>
      <c r="F2198" s="210"/>
      <c r="G2198" s="210"/>
      <c r="H2198" s="210"/>
    </row>
    <row r="2199" spans="3:8" x14ac:dyDescent="0.25">
      <c r="C2199" s="210"/>
      <c r="D2199" s="210"/>
      <c r="E2199" s="210"/>
      <c r="F2199" s="210"/>
      <c r="G2199" s="210"/>
      <c r="H2199" s="210"/>
    </row>
    <row r="2200" spans="3:8" x14ac:dyDescent="0.25">
      <c r="C2200" s="210"/>
      <c r="D2200" s="210"/>
      <c r="E2200" s="210"/>
      <c r="F2200" s="210"/>
      <c r="G2200" s="210"/>
      <c r="H2200" s="210"/>
    </row>
    <row r="2201" spans="3:8" x14ac:dyDescent="0.25">
      <c r="C2201" s="210"/>
      <c r="D2201" s="210"/>
      <c r="E2201" s="210"/>
      <c r="F2201" s="210"/>
      <c r="G2201" s="210"/>
      <c r="H2201" s="210"/>
    </row>
    <row r="2202" spans="3:8" x14ac:dyDescent="0.25">
      <c r="C2202" s="210"/>
      <c r="D2202" s="210"/>
      <c r="E2202" s="210"/>
      <c r="F2202" s="210"/>
      <c r="G2202" s="210"/>
      <c r="H2202" s="210"/>
    </row>
    <row r="2203" spans="3:8" x14ac:dyDescent="0.25">
      <c r="C2203" s="210"/>
      <c r="D2203" s="210"/>
      <c r="E2203" s="210"/>
      <c r="F2203" s="210"/>
      <c r="G2203" s="210"/>
      <c r="H2203" s="210"/>
    </row>
    <row r="2204" spans="3:8" x14ac:dyDescent="0.25">
      <c r="C2204" s="210"/>
      <c r="D2204" s="210"/>
      <c r="E2204" s="210"/>
      <c r="F2204" s="210"/>
      <c r="G2204" s="210"/>
      <c r="H2204" s="210"/>
    </row>
    <row r="2205" spans="3:8" x14ac:dyDescent="0.25">
      <c r="C2205" s="210"/>
      <c r="D2205" s="210"/>
      <c r="E2205" s="210"/>
      <c r="F2205" s="210"/>
      <c r="G2205" s="210"/>
      <c r="H2205" s="210"/>
    </row>
    <row r="2206" spans="3:8" x14ac:dyDescent="0.25">
      <c r="C2206" s="210"/>
      <c r="D2206" s="210"/>
      <c r="E2206" s="210"/>
      <c r="F2206" s="210"/>
      <c r="G2206" s="210"/>
      <c r="H2206" s="210"/>
    </row>
    <row r="2207" spans="3:8" x14ac:dyDescent="0.25">
      <c r="C2207" s="210"/>
      <c r="D2207" s="210"/>
      <c r="E2207" s="210"/>
      <c r="F2207" s="210"/>
      <c r="G2207" s="210"/>
      <c r="H2207" s="210"/>
    </row>
    <row r="2208" spans="3:8" x14ac:dyDescent="0.25">
      <c r="C2208" s="210"/>
      <c r="D2208" s="210"/>
      <c r="E2208" s="210"/>
      <c r="F2208" s="210"/>
      <c r="G2208" s="210"/>
      <c r="H2208" s="210"/>
    </row>
    <row r="2209" spans="3:8" x14ac:dyDescent="0.25">
      <c r="C2209" s="210"/>
      <c r="D2209" s="210"/>
      <c r="E2209" s="210"/>
      <c r="F2209" s="210"/>
      <c r="G2209" s="210"/>
      <c r="H2209" s="210"/>
    </row>
    <row r="2210" spans="3:8" x14ac:dyDescent="0.25">
      <c r="C2210" s="210"/>
      <c r="D2210" s="210"/>
      <c r="E2210" s="210"/>
      <c r="F2210" s="210"/>
      <c r="G2210" s="210"/>
      <c r="H2210" s="210"/>
    </row>
    <row r="2211" spans="3:8" x14ac:dyDescent="0.25">
      <c r="C2211" s="210"/>
      <c r="D2211" s="210"/>
      <c r="E2211" s="210"/>
      <c r="F2211" s="210"/>
      <c r="G2211" s="210"/>
      <c r="H2211" s="210"/>
    </row>
    <row r="2212" spans="3:8" x14ac:dyDescent="0.25">
      <c r="C2212" s="210"/>
      <c r="D2212" s="210"/>
      <c r="E2212" s="210"/>
      <c r="F2212" s="210"/>
      <c r="G2212" s="210"/>
      <c r="H2212" s="210"/>
    </row>
    <row r="2213" spans="3:8" x14ac:dyDescent="0.25">
      <c r="C2213" s="210"/>
      <c r="D2213" s="210"/>
      <c r="E2213" s="210"/>
      <c r="F2213" s="210"/>
      <c r="G2213" s="210"/>
      <c r="H2213" s="210"/>
    </row>
    <row r="2214" spans="3:8" x14ac:dyDescent="0.25">
      <c r="C2214" s="210"/>
      <c r="D2214" s="210"/>
      <c r="E2214" s="210"/>
      <c r="F2214" s="210"/>
      <c r="G2214" s="210"/>
      <c r="H2214" s="210"/>
    </row>
    <row r="2215" spans="3:8" x14ac:dyDescent="0.25">
      <c r="C2215" s="210"/>
      <c r="D2215" s="210"/>
      <c r="E2215" s="210"/>
      <c r="F2215" s="210"/>
      <c r="G2215" s="210"/>
      <c r="H2215" s="210"/>
    </row>
    <row r="2216" spans="3:8" x14ac:dyDescent="0.25">
      <c r="C2216" s="210"/>
      <c r="D2216" s="210"/>
      <c r="E2216" s="210"/>
      <c r="F2216" s="210"/>
      <c r="G2216" s="210"/>
      <c r="H2216" s="210"/>
    </row>
    <row r="2217" spans="3:8" x14ac:dyDescent="0.25">
      <c r="C2217" s="210"/>
      <c r="D2217" s="210"/>
      <c r="E2217" s="210"/>
      <c r="F2217" s="210"/>
      <c r="G2217" s="210"/>
      <c r="H2217" s="210"/>
    </row>
    <row r="2218" spans="3:8" x14ac:dyDescent="0.25">
      <c r="C2218" s="210"/>
      <c r="D2218" s="210"/>
      <c r="E2218" s="210"/>
      <c r="F2218" s="210"/>
      <c r="G2218" s="210"/>
      <c r="H2218" s="210"/>
    </row>
    <row r="2219" spans="3:8" x14ac:dyDescent="0.25">
      <c r="C2219" s="210"/>
      <c r="D2219" s="210"/>
      <c r="E2219" s="210"/>
      <c r="F2219" s="210"/>
      <c r="G2219" s="210"/>
      <c r="H2219" s="210"/>
    </row>
    <row r="2220" spans="3:8" x14ac:dyDescent="0.25">
      <c r="C2220" s="210"/>
      <c r="D2220" s="210"/>
      <c r="E2220" s="210"/>
      <c r="F2220" s="210"/>
      <c r="G2220" s="210"/>
      <c r="H2220" s="210"/>
    </row>
    <row r="2221" spans="3:8" x14ac:dyDescent="0.25">
      <c r="C2221" s="210"/>
      <c r="D2221" s="210"/>
      <c r="E2221" s="210"/>
      <c r="F2221" s="210"/>
      <c r="G2221" s="210"/>
      <c r="H2221" s="210"/>
    </row>
    <row r="2222" spans="3:8" x14ac:dyDescent="0.25">
      <c r="C2222" s="210"/>
      <c r="D2222" s="210"/>
      <c r="E2222" s="210"/>
      <c r="F2222" s="210"/>
      <c r="G2222" s="210"/>
      <c r="H2222" s="210"/>
    </row>
    <row r="2223" spans="3:8" x14ac:dyDescent="0.25">
      <c r="C2223" s="210"/>
      <c r="D2223" s="210"/>
      <c r="E2223" s="210"/>
      <c r="F2223" s="210"/>
      <c r="G2223" s="210"/>
      <c r="H2223" s="210"/>
    </row>
    <row r="2224" spans="3:8" x14ac:dyDescent="0.25">
      <c r="C2224" s="210"/>
      <c r="D2224" s="210"/>
      <c r="E2224" s="210"/>
      <c r="F2224" s="210"/>
      <c r="G2224" s="210"/>
      <c r="H2224" s="210"/>
    </row>
    <row r="2225" spans="3:8" x14ac:dyDescent="0.25">
      <c r="C2225" s="210"/>
      <c r="D2225" s="210"/>
      <c r="E2225" s="210"/>
      <c r="F2225" s="210"/>
      <c r="G2225" s="210"/>
      <c r="H2225" s="210"/>
    </row>
    <row r="2226" spans="3:8" x14ac:dyDescent="0.25">
      <c r="C2226" s="210"/>
      <c r="D2226" s="210"/>
      <c r="E2226" s="210"/>
      <c r="F2226" s="210"/>
      <c r="G2226" s="210"/>
      <c r="H2226" s="210"/>
    </row>
    <row r="2227" spans="3:8" x14ac:dyDescent="0.25">
      <c r="C2227" s="210"/>
      <c r="D2227" s="210"/>
      <c r="E2227" s="210"/>
      <c r="F2227" s="210"/>
      <c r="G2227" s="210"/>
      <c r="H2227" s="210"/>
    </row>
    <row r="2228" spans="3:8" x14ac:dyDescent="0.25">
      <c r="C2228" s="210"/>
      <c r="D2228" s="210"/>
      <c r="E2228" s="210"/>
      <c r="F2228" s="210"/>
      <c r="G2228" s="210"/>
      <c r="H2228" s="210"/>
    </row>
    <row r="2229" spans="3:8" x14ac:dyDescent="0.25">
      <c r="C2229" s="210"/>
      <c r="D2229" s="210"/>
      <c r="E2229" s="210"/>
      <c r="F2229" s="210"/>
      <c r="G2229" s="210"/>
      <c r="H2229" s="210"/>
    </row>
    <row r="2230" spans="3:8" x14ac:dyDescent="0.25">
      <c r="C2230" s="210"/>
      <c r="D2230" s="210"/>
      <c r="E2230" s="210"/>
      <c r="F2230" s="210"/>
      <c r="G2230" s="210"/>
      <c r="H2230" s="210"/>
    </row>
    <row r="2231" spans="3:8" x14ac:dyDescent="0.25">
      <c r="C2231" s="210"/>
      <c r="D2231" s="210"/>
      <c r="E2231" s="210"/>
      <c r="F2231" s="210"/>
      <c r="G2231" s="210"/>
      <c r="H2231" s="210"/>
    </row>
    <row r="2232" spans="3:8" x14ac:dyDescent="0.25">
      <c r="C2232" s="210"/>
      <c r="D2232" s="210"/>
      <c r="E2232" s="210"/>
      <c r="F2232" s="210"/>
      <c r="G2232" s="210"/>
      <c r="H2232" s="210"/>
    </row>
    <row r="2233" spans="3:8" x14ac:dyDescent="0.25">
      <c r="C2233" s="210"/>
      <c r="D2233" s="210"/>
      <c r="E2233" s="210"/>
      <c r="F2233" s="210"/>
      <c r="G2233" s="210"/>
      <c r="H2233" s="210"/>
    </row>
    <row r="2234" spans="3:8" x14ac:dyDescent="0.25">
      <c r="C2234" s="210"/>
      <c r="D2234" s="210"/>
      <c r="E2234" s="210"/>
      <c r="F2234" s="210"/>
      <c r="G2234" s="210"/>
      <c r="H2234" s="210"/>
    </row>
    <row r="2235" spans="3:8" x14ac:dyDescent="0.25">
      <c r="C2235" s="210"/>
      <c r="D2235" s="210"/>
      <c r="E2235" s="210"/>
      <c r="F2235" s="210"/>
      <c r="G2235" s="210"/>
      <c r="H2235" s="210"/>
    </row>
    <row r="2236" spans="3:8" x14ac:dyDescent="0.25">
      <c r="C2236" s="210"/>
      <c r="D2236" s="210"/>
      <c r="E2236" s="210"/>
      <c r="F2236" s="210"/>
      <c r="G2236" s="210"/>
      <c r="H2236" s="210"/>
    </row>
    <row r="2237" spans="3:8" x14ac:dyDescent="0.25">
      <c r="C2237" s="210"/>
      <c r="D2237" s="210"/>
      <c r="E2237" s="210"/>
      <c r="F2237" s="210"/>
      <c r="G2237" s="210"/>
      <c r="H2237" s="210"/>
    </row>
    <row r="2238" spans="3:8" x14ac:dyDescent="0.25">
      <c r="C2238" s="210"/>
      <c r="D2238" s="210"/>
      <c r="E2238" s="210"/>
      <c r="F2238" s="210"/>
      <c r="G2238" s="210"/>
      <c r="H2238" s="210"/>
    </row>
    <row r="2239" spans="3:8" x14ac:dyDescent="0.25">
      <c r="C2239" s="210"/>
      <c r="D2239" s="210"/>
      <c r="E2239" s="210"/>
      <c r="F2239" s="210"/>
      <c r="G2239" s="210"/>
      <c r="H2239" s="210"/>
    </row>
    <row r="2240" spans="3:8" x14ac:dyDescent="0.25">
      <c r="C2240" s="210"/>
      <c r="D2240" s="210"/>
      <c r="E2240" s="210"/>
      <c r="F2240" s="210"/>
      <c r="G2240" s="210"/>
      <c r="H2240" s="210"/>
    </row>
    <row r="2241" spans="3:8" x14ac:dyDescent="0.25">
      <c r="C2241" s="210"/>
      <c r="D2241" s="210"/>
      <c r="E2241" s="210"/>
      <c r="F2241" s="210"/>
      <c r="G2241" s="210"/>
      <c r="H2241" s="210"/>
    </row>
    <row r="2242" spans="3:8" x14ac:dyDescent="0.25">
      <c r="C2242" s="210"/>
      <c r="D2242" s="210"/>
      <c r="E2242" s="210"/>
      <c r="F2242" s="210"/>
      <c r="G2242" s="210"/>
      <c r="H2242" s="210"/>
    </row>
    <row r="2243" spans="3:8" x14ac:dyDescent="0.25">
      <c r="C2243" s="210"/>
      <c r="D2243" s="210"/>
      <c r="E2243" s="210"/>
      <c r="F2243" s="210"/>
      <c r="G2243" s="210"/>
      <c r="H2243" s="210"/>
    </row>
    <row r="2244" spans="3:8" x14ac:dyDescent="0.25">
      <c r="C2244" s="210"/>
      <c r="D2244" s="210"/>
      <c r="E2244" s="210"/>
      <c r="F2244" s="210"/>
      <c r="G2244" s="210"/>
      <c r="H2244" s="210"/>
    </row>
    <row r="2245" spans="3:8" x14ac:dyDescent="0.25">
      <c r="C2245" s="210"/>
      <c r="D2245" s="210"/>
      <c r="E2245" s="210"/>
      <c r="F2245" s="210"/>
      <c r="G2245" s="210"/>
      <c r="H2245" s="210"/>
    </row>
    <row r="2246" spans="3:8" x14ac:dyDescent="0.25">
      <c r="C2246" s="210"/>
      <c r="D2246" s="210"/>
      <c r="E2246" s="210"/>
      <c r="F2246" s="210"/>
      <c r="G2246" s="210"/>
      <c r="H2246" s="210"/>
    </row>
    <row r="2247" spans="3:8" x14ac:dyDescent="0.25">
      <c r="C2247" s="210"/>
      <c r="D2247" s="210"/>
      <c r="E2247" s="210"/>
      <c r="F2247" s="210"/>
      <c r="G2247" s="210"/>
      <c r="H2247" s="210"/>
    </row>
    <row r="2248" spans="3:8" x14ac:dyDescent="0.25">
      <c r="C2248" s="210"/>
      <c r="D2248" s="210"/>
      <c r="E2248" s="210"/>
      <c r="F2248" s="210"/>
      <c r="G2248" s="210"/>
      <c r="H2248" s="210"/>
    </row>
    <row r="2249" spans="3:8" x14ac:dyDescent="0.25">
      <c r="C2249" s="210"/>
      <c r="D2249" s="210"/>
      <c r="E2249" s="210"/>
      <c r="F2249" s="210"/>
      <c r="G2249" s="210"/>
      <c r="H2249" s="210"/>
    </row>
    <row r="2250" spans="3:8" x14ac:dyDescent="0.25">
      <c r="C2250" s="210"/>
      <c r="D2250" s="210"/>
      <c r="E2250" s="210"/>
      <c r="F2250" s="210"/>
      <c r="G2250" s="210"/>
      <c r="H2250" s="210"/>
    </row>
    <row r="2251" spans="3:8" x14ac:dyDescent="0.25">
      <c r="C2251" s="210"/>
      <c r="D2251" s="210"/>
      <c r="E2251" s="210"/>
      <c r="F2251" s="210"/>
      <c r="G2251" s="210"/>
      <c r="H2251" s="210"/>
    </row>
    <row r="2252" spans="3:8" x14ac:dyDescent="0.25">
      <c r="C2252" s="210"/>
      <c r="D2252" s="210"/>
      <c r="E2252" s="210"/>
      <c r="F2252" s="210"/>
      <c r="G2252" s="210"/>
      <c r="H2252" s="210"/>
    </row>
    <row r="2253" spans="3:8" x14ac:dyDescent="0.25">
      <c r="C2253" s="210"/>
      <c r="D2253" s="210"/>
      <c r="E2253" s="210"/>
      <c r="F2253" s="210"/>
      <c r="G2253" s="210"/>
      <c r="H2253" s="210"/>
    </row>
    <row r="2254" spans="3:8" x14ac:dyDescent="0.25">
      <c r="C2254" s="210"/>
      <c r="D2254" s="210"/>
      <c r="E2254" s="210"/>
      <c r="F2254" s="210"/>
      <c r="G2254" s="210"/>
      <c r="H2254" s="210"/>
    </row>
    <row r="2255" spans="3:8" x14ac:dyDescent="0.25">
      <c r="C2255" s="210"/>
      <c r="D2255" s="210"/>
      <c r="E2255" s="210"/>
      <c r="F2255" s="210"/>
      <c r="G2255" s="210"/>
      <c r="H2255" s="210"/>
    </row>
    <row r="2256" spans="3:8" x14ac:dyDescent="0.25">
      <c r="C2256" s="210"/>
      <c r="D2256" s="210"/>
      <c r="E2256" s="210"/>
      <c r="F2256" s="210"/>
      <c r="G2256" s="210"/>
      <c r="H2256" s="210"/>
    </row>
    <row r="2257" spans="3:8" x14ac:dyDescent="0.25">
      <c r="C2257" s="210"/>
      <c r="D2257" s="210"/>
      <c r="E2257" s="210"/>
      <c r="F2257" s="210"/>
      <c r="G2257" s="210"/>
      <c r="H2257" s="210"/>
    </row>
    <row r="2258" spans="3:8" x14ac:dyDescent="0.25">
      <c r="C2258" s="210"/>
      <c r="D2258" s="210"/>
      <c r="E2258" s="210"/>
      <c r="F2258" s="210"/>
      <c r="G2258" s="210"/>
      <c r="H2258" s="210"/>
    </row>
    <row r="2259" spans="3:8" x14ac:dyDescent="0.25">
      <c r="C2259" s="210"/>
      <c r="D2259" s="210"/>
      <c r="E2259" s="210"/>
      <c r="F2259" s="210"/>
      <c r="G2259" s="210"/>
      <c r="H2259" s="210"/>
    </row>
    <row r="2260" spans="3:8" x14ac:dyDescent="0.25">
      <c r="C2260" s="210"/>
      <c r="D2260" s="210"/>
      <c r="E2260" s="210"/>
      <c r="F2260" s="210"/>
      <c r="G2260" s="210"/>
      <c r="H2260" s="210"/>
    </row>
    <row r="2261" spans="3:8" x14ac:dyDescent="0.25">
      <c r="C2261" s="210"/>
      <c r="D2261" s="210"/>
      <c r="E2261" s="210"/>
      <c r="F2261" s="210"/>
      <c r="G2261" s="210"/>
      <c r="H2261" s="210"/>
    </row>
    <row r="2262" spans="3:8" x14ac:dyDescent="0.25">
      <c r="C2262" s="210"/>
      <c r="D2262" s="210"/>
      <c r="E2262" s="210"/>
      <c r="F2262" s="210"/>
      <c r="G2262" s="210"/>
      <c r="H2262" s="210"/>
    </row>
    <row r="2263" spans="3:8" x14ac:dyDescent="0.25">
      <c r="C2263" s="210"/>
      <c r="D2263" s="210"/>
      <c r="E2263" s="210"/>
      <c r="F2263" s="210"/>
      <c r="G2263" s="210"/>
      <c r="H2263" s="210"/>
    </row>
    <row r="2264" spans="3:8" x14ac:dyDescent="0.25">
      <c r="C2264" s="210"/>
      <c r="D2264" s="210"/>
      <c r="E2264" s="210"/>
      <c r="F2264" s="210"/>
      <c r="G2264" s="210"/>
      <c r="H2264" s="210"/>
    </row>
    <row r="2265" spans="3:8" x14ac:dyDescent="0.25">
      <c r="C2265" s="210"/>
      <c r="D2265" s="210"/>
      <c r="E2265" s="210"/>
      <c r="F2265" s="210"/>
      <c r="G2265" s="210"/>
      <c r="H2265" s="210"/>
    </row>
    <row r="2266" spans="3:8" x14ac:dyDescent="0.25">
      <c r="C2266" s="210"/>
      <c r="D2266" s="210"/>
      <c r="E2266" s="210"/>
      <c r="F2266" s="210"/>
      <c r="G2266" s="210"/>
      <c r="H2266" s="210"/>
    </row>
    <row r="2267" spans="3:8" x14ac:dyDescent="0.25">
      <c r="C2267" s="210"/>
      <c r="D2267" s="210"/>
      <c r="E2267" s="210"/>
      <c r="F2267" s="210"/>
      <c r="G2267" s="210"/>
      <c r="H2267" s="210"/>
    </row>
    <row r="2268" spans="3:8" x14ac:dyDescent="0.25">
      <c r="C2268" s="210"/>
      <c r="D2268" s="210"/>
      <c r="E2268" s="210"/>
      <c r="F2268" s="210"/>
      <c r="G2268" s="210"/>
      <c r="H2268" s="210"/>
    </row>
    <row r="2269" spans="3:8" x14ac:dyDescent="0.25">
      <c r="C2269" s="210"/>
      <c r="D2269" s="210"/>
      <c r="E2269" s="210"/>
      <c r="F2269" s="210"/>
      <c r="G2269" s="210"/>
      <c r="H2269" s="210"/>
    </row>
    <row r="2270" spans="3:8" x14ac:dyDescent="0.25">
      <c r="C2270" s="210"/>
      <c r="D2270" s="210"/>
      <c r="E2270" s="210"/>
      <c r="F2270" s="210"/>
      <c r="G2270" s="210"/>
      <c r="H2270" s="210"/>
    </row>
    <row r="2271" spans="3:8" x14ac:dyDescent="0.25">
      <c r="C2271" s="210"/>
      <c r="D2271" s="210"/>
      <c r="E2271" s="210"/>
      <c r="F2271" s="210"/>
      <c r="G2271" s="210"/>
      <c r="H2271" s="210"/>
    </row>
    <row r="2272" spans="3:8" x14ac:dyDescent="0.25">
      <c r="C2272" s="210"/>
      <c r="D2272" s="210"/>
      <c r="E2272" s="210"/>
      <c r="F2272" s="210"/>
      <c r="G2272" s="210"/>
      <c r="H2272" s="210"/>
    </row>
    <row r="2273" spans="3:8" x14ac:dyDescent="0.25">
      <c r="C2273" s="210"/>
      <c r="D2273" s="210"/>
      <c r="E2273" s="210"/>
      <c r="F2273" s="210"/>
      <c r="G2273" s="210"/>
      <c r="H2273" s="210"/>
    </row>
    <row r="2274" spans="3:8" x14ac:dyDescent="0.25">
      <c r="C2274" s="210"/>
      <c r="D2274" s="210"/>
      <c r="E2274" s="210"/>
      <c r="F2274" s="210"/>
      <c r="G2274" s="210"/>
      <c r="H2274" s="210"/>
    </row>
    <row r="2275" spans="3:8" x14ac:dyDescent="0.25">
      <c r="C2275" s="210"/>
      <c r="D2275" s="210"/>
      <c r="E2275" s="210"/>
      <c r="F2275" s="210"/>
      <c r="G2275" s="210"/>
      <c r="H2275" s="210"/>
    </row>
    <row r="2276" spans="3:8" x14ac:dyDescent="0.25">
      <c r="C2276" s="210"/>
      <c r="D2276" s="210"/>
      <c r="E2276" s="210"/>
      <c r="F2276" s="210"/>
      <c r="G2276" s="210"/>
      <c r="H2276" s="210"/>
    </row>
    <row r="2277" spans="3:8" x14ac:dyDescent="0.25">
      <c r="C2277" s="210"/>
      <c r="D2277" s="210"/>
      <c r="E2277" s="210"/>
      <c r="F2277" s="210"/>
      <c r="G2277" s="210"/>
      <c r="H2277" s="210"/>
    </row>
    <row r="2278" spans="3:8" x14ac:dyDescent="0.25">
      <c r="C2278" s="210"/>
      <c r="D2278" s="210"/>
      <c r="E2278" s="210"/>
      <c r="F2278" s="210"/>
      <c r="G2278" s="210"/>
      <c r="H2278" s="210"/>
    </row>
    <row r="2279" spans="3:8" x14ac:dyDescent="0.25">
      <c r="C2279" s="210"/>
      <c r="D2279" s="210"/>
      <c r="E2279" s="210"/>
      <c r="F2279" s="210"/>
      <c r="G2279" s="210"/>
      <c r="H2279" s="210"/>
    </row>
    <row r="2280" spans="3:8" x14ac:dyDescent="0.25">
      <c r="C2280" s="210"/>
      <c r="D2280" s="210"/>
      <c r="E2280" s="210"/>
      <c r="F2280" s="210"/>
      <c r="G2280" s="210"/>
      <c r="H2280" s="210"/>
    </row>
    <row r="2281" spans="3:8" x14ac:dyDescent="0.25">
      <c r="C2281" s="210"/>
      <c r="D2281" s="210"/>
      <c r="E2281" s="210"/>
      <c r="F2281" s="210"/>
      <c r="G2281" s="210"/>
      <c r="H2281" s="210"/>
    </row>
    <row r="2282" spans="3:8" x14ac:dyDescent="0.25">
      <c r="C2282" s="210"/>
      <c r="D2282" s="210"/>
      <c r="E2282" s="210"/>
      <c r="F2282" s="210"/>
      <c r="G2282" s="210"/>
      <c r="H2282" s="210"/>
    </row>
    <row r="2283" spans="3:8" x14ac:dyDescent="0.25">
      <c r="C2283" s="210"/>
      <c r="D2283" s="210"/>
      <c r="E2283" s="210"/>
      <c r="F2283" s="210"/>
      <c r="G2283" s="210"/>
      <c r="H2283" s="210"/>
    </row>
    <row r="2284" spans="3:8" x14ac:dyDescent="0.25">
      <c r="C2284" s="210"/>
      <c r="D2284" s="210"/>
      <c r="E2284" s="210"/>
      <c r="F2284" s="210"/>
      <c r="G2284" s="210"/>
      <c r="H2284" s="210"/>
    </row>
    <row r="2285" spans="3:8" x14ac:dyDescent="0.25">
      <c r="C2285" s="210"/>
      <c r="D2285" s="210"/>
      <c r="E2285" s="210"/>
      <c r="F2285" s="210"/>
      <c r="G2285" s="210"/>
      <c r="H2285" s="210"/>
    </row>
    <row r="2286" spans="3:8" x14ac:dyDescent="0.25">
      <c r="C2286" s="210"/>
      <c r="D2286" s="210"/>
      <c r="E2286" s="210"/>
      <c r="F2286" s="210"/>
      <c r="G2286" s="210"/>
      <c r="H2286" s="210"/>
    </row>
    <row r="2287" spans="3:8" x14ac:dyDescent="0.25">
      <c r="C2287" s="210"/>
      <c r="D2287" s="210"/>
      <c r="E2287" s="210"/>
      <c r="F2287" s="210"/>
      <c r="G2287" s="210"/>
      <c r="H2287" s="210"/>
    </row>
    <row r="2288" spans="3:8" x14ac:dyDescent="0.25">
      <c r="C2288" s="210"/>
      <c r="D2288" s="210"/>
      <c r="E2288" s="210"/>
      <c r="F2288" s="210"/>
      <c r="G2288" s="210"/>
      <c r="H2288" s="210"/>
    </row>
    <row r="2289" spans="3:8" x14ac:dyDescent="0.25">
      <c r="C2289" s="210"/>
      <c r="D2289" s="210"/>
      <c r="E2289" s="210"/>
      <c r="F2289" s="210"/>
      <c r="G2289" s="210"/>
      <c r="H2289" s="210"/>
    </row>
    <row r="2290" spans="3:8" x14ac:dyDescent="0.25">
      <c r="C2290" s="210"/>
      <c r="D2290" s="210"/>
      <c r="E2290" s="210"/>
      <c r="F2290" s="210"/>
      <c r="G2290" s="210"/>
      <c r="H2290" s="210"/>
    </row>
    <row r="2291" spans="3:8" x14ac:dyDescent="0.25">
      <c r="C2291" s="210"/>
      <c r="D2291" s="210"/>
      <c r="E2291" s="210"/>
      <c r="F2291" s="210"/>
      <c r="G2291" s="210"/>
      <c r="H2291" s="210"/>
    </row>
    <row r="2292" spans="3:8" x14ac:dyDescent="0.25">
      <c r="C2292" s="210"/>
      <c r="D2292" s="210"/>
      <c r="E2292" s="210"/>
      <c r="F2292" s="210"/>
      <c r="G2292" s="210"/>
      <c r="H2292" s="210"/>
    </row>
    <row r="2293" spans="3:8" x14ac:dyDescent="0.25">
      <c r="C2293" s="210"/>
      <c r="D2293" s="210"/>
      <c r="E2293" s="210"/>
      <c r="F2293" s="210"/>
      <c r="G2293" s="210"/>
      <c r="H2293" s="210"/>
    </row>
    <row r="2294" spans="3:8" x14ac:dyDescent="0.25">
      <c r="C2294" s="210"/>
      <c r="D2294" s="210"/>
      <c r="E2294" s="210"/>
      <c r="F2294" s="210"/>
      <c r="G2294" s="210"/>
      <c r="H2294" s="210"/>
    </row>
    <row r="2295" spans="3:8" x14ac:dyDescent="0.25">
      <c r="C2295" s="210"/>
      <c r="D2295" s="210"/>
      <c r="E2295" s="210"/>
      <c r="F2295" s="210"/>
      <c r="G2295" s="210"/>
      <c r="H2295" s="210"/>
    </row>
    <row r="2296" spans="3:8" x14ac:dyDescent="0.25">
      <c r="C2296" s="210"/>
      <c r="D2296" s="210"/>
      <c r="E2296" s="210"/>
      <c r="F2296" s="210"/>
      <c r="G2296" s="210"/>
      <c r="H2296" s="210"/>
    </row>
    <row r="2297" spans="3:8" x14ac:dyDescent="0.25">
      <c r="C2297" s="210"/>
      <c r="D2297" s="210"/>
      <c r="E2297" s="210"/>
      <c r="F2297" s="210"/>
      <c r="G2297" s="210"/>
      <c r="H2297" s="210"/>
    </row>
    <row r="2298" spans="3:8" x14ac:dyDescent="0.25">
      <c r="C2298" s="210"/>
      <c r="D2298" s="210"/>
      <c r="E2298" s="210"/>
      <c r="F2298" s="210"/>
      <c r="G2298" s="210"/>
      <c r="H2298" s="210"/>
    </row>
    <row r="2299" spans="3:8" x14ac:dyDescent="0.25">
      <c r="C2299" s="210"/>
      <c r="D2299" s="210"/>
      <c r="E2299" s="210"/>
      <c r="F2299" s="210"/>
      <c r="G2299" s="210"/>
      <c r="H2299" s="210"/>
    </row>
    <row r="2300" spans="3:8" x14ac:dyDescent="0.25">
      <c r="C2300" s="210"/>
      <c r="D2300" s="210"/>
      <c r="E2300" s="210"/>
      <c r="F2300" s="210"/>
      <c r="G2300" s="210"/>
      <c r="H2300" s="210"/>
    </row>
    <row r="2301" spans="3:8" x14ac:dyDescent="0.25">
      <c r="C2301" s="210"/>
      <c r="D2301" s="210"/>
      <c r="E2301" s="210"/>
      <c r="F2301" s="210"/>
      <c r="G2301" s="210"/>
      <c r="H2301" s="210"/>
    </row>
    <row r="2302" spans="3:8" x14ac:dyDescent="0.25">
      <c r="C2302" s="210"/>
      <c r="D2302" s="210"/>
      <c r="E2302" s="210"/>
      <c r="F2302" s="210"/>
      <c r="G2302" s="210"/>
      <c r="H2302" s="210"/>
    </row>
    <row r="2303" spans="3:8" x14ac:dyDescent="0.25">
      <c r="C2303" s="210"/>
      <c r="D2303" s="210"/>
      <c r="E2303" s="210"/>
      <c r="F2303" s="210"/>
      <c r="G2303" s="210"/>
      <c r="H2303" s="210"/>
    </row>
    <row r="2304" spans="3:8" x14ac:dyDescent="0.25">
      <c r="C2304" s="210"/>
      <c r="D2304" s="210"/>
      <c r="E2304" s="210"/>
      <c r="F2304" s="210"/>
      <c r="G2304" s="210"/>
      <c r="H2304" s="210"/>
    </row>
    <row r="2305" spans="3:8" x14ac:dyDescent="0.25">
      <c r="C2305" s="210"/>
      <c r="D2305" s="210"/>
      <c r="E2305" s="210"/>
      <c r="F2305" s="210"/>
      <c r="G2305" s="210"/>
      <c r="H2305" s="210"/>
    </row>
    <row r="2306" spans="3:8" x14ac:dyDescent="0.25">
      <c r="C2306" s="210"/>
      <c r="D2306" s="210"/>
      <c r="E2306" s="210"/>
      <c r="F2306" s="210"/>
      <c r="G2306" s="210"/>
      <c r="H2306" s="210"/>
    </row>
    <row r="2307" spans="3:8" x14ac:dyDescent="0.25">
      <c r="C2307" s="210"/>
      <c r="D2307" s="210"/>
      <c r="E2307" s="210"/>
      <c r="F2307" s="210"/>
      <c r="G2307" s="210"/>
      <c r="H2307" s="210"/>
    </row>
    <row r="2308" spans="3:8" x14ac:dyDescent="0.25">
      <c r="C2308" s="210"/>
      <c r="D2308" s="210"/>
      <c r="E2308" s="210"/>
      <c r="F2308" s="210"/>
      <c r="G2308" s="210"/>
      <c r="H2308" s="210"/>
    </row>
    <row r="2309" spans="3:8" x14ac:dyDescent="0.25">
      <c r="C2309" s="210"/>
      <c r="D2309" s="210"/>
      <c r="E2309" s="210"/>
      <c r="F2309" s="210"/>
      <c r="G2309" s="210"/>
      <c r="H2309" s="210"/>
    </row>
    <row r="2310" spans="3:8" x14ac:dyDescent="0.25">
      <c r="C2310" s="210"/>
      <c r="D2310" s="210"/>
      <c r="E2310" s="210"/>
      <c r="F2310" s="210"/>
      <c r="G2310" s="210"/>
      <c r="H2310" s="210"/>
    </row>
    <row r="2311" spans="3:8" x14ac:dyDescent="0.25">
      <c r="C2311" s="210"/>
      <c r="D2311" s="210"/>
      <c r="E2311" s="210"/>
      <c r="F2311" s="210"/>
      <c r="G2311" s="210"/>
      <c r="H2311" s="210"/>
    </row>
    <row r="2312" spans="3:8" x14ac:dyDescent="0.25">
      <c r="C2312" s="210"/>
      <c r="D2312" s="210"/>
      <c r="E2312" s="210"/>
      <c r="F2312" s="210"/>
      <c r="G2312" s="210"/>
      <c r="H2312" s="210"/>
    </row>
    <row r="2313" spans="3:8" x14ac:dyDescent="0.25">
      <c r="C2313" s="210"/>
      <c r="D2313" s="210"/>
      <c r="E2313" s="210"/>
      <c r="F2313" s="210"/>
      <c r="G2313" s="210"/>
      <c r="H2313" s="210"/>
    </row>
    <row r="2314" spans="3:8" x14ac:dyDescent="0.25">
      <c r="C2314" s="210"/>
      <c r="D2314" s="210"/>
      <c r="E2314" s="210"/>
      <c r="F2314" s="210"/>
      <c r="G2314" s="210"/>
      <c r="H2314" s="210"/>
    </row>
    <row r="2315" spans="3:8" x14ac:dyDescent="0.25">
      <c r="C2315" s="210"/>
      <c r="D2315" s="210"/>
      <c r="E2315" s="210"/>
      <c r="F2315" s="210"/>
      <c r="G2315" s="210"/>
      <c r="H2315" s="210"/>
    </row>
    <row r="2316" spans="3:8" x14ac:dyDescent="0.25">
      <c r="C2316" s="210"/>
      <c r="D2316" s="210"/>
      <c r="E2316" s="210"/>
      <c r="F2316" s="210"/>
      <c r="G2316" s="210"/>
      <c r="H2316" s="210"/>
    </row>
    <row r="2317" spans="3:8" x14ac:dyDescent="0.25">
      <c r="C2317" s="210"/>
      <c r="D2317" s="210"/>
      <c r="E2317" s="210"/>
      <c r="F2317" s="210"/>
      <c r="G2317" s="210"/>
      <c r="H2317" s="210"/>
    </row>
    <row r="2318" spans="3:8" x14ac:dyDescent="0.25">
      <c r="C2318" s="210"/>
      <c r="D2318" s="210"/>
      <c r="E2318" s="210"/>
      <c r="F2318" s="210"/>
      <c r="G2318" s="210"/>
      <c r="H2318" s="210"/>
    </row>
    <row r="2319" spans="3:8" x14ac:dyDescent="0.25">
      <c r="C2319" s="210"/>
      <c r="D2319" s="210"/>
      <c r="E2319" s="210"/>
      <c r="F2319" s="210"/>
      <c r="G2319" s="210"/>
      <c r="H2319" s="210"/>
    </row>
    <row r="2320" spans="3:8" x14ac:dyDescent="0.25">
      <c r="C2320" s="210"/>
      <c r="D2320" s="210"/>
      <c r="E2320" s="210"/>
      <c r="F2320" s="210"/>
      <c r="G2320" s="210"/>
      <c r="H2320" s="210"/>
    </row>
    <row r="2321" spans="3:8" x14ac:dyDescent="0.25">
      <c r="C2321" s="210"/>
      <c r="D2321" s="210"/>
      <c r="E2321" s="210"/>
      <c r="F2321" s="210"/>
      <c r="G2321" s="210"/>
      <c r="H2321" s="210"/>
    </row>
    <row r="2322" spans="3:8" x14ac:dyDescent="0.25">
      <c r="C2322" s="210"/>
      <c r="D2322" s="210"/>
      <c r="E2322" s="210"/>
      <c r="F2322" s="210"/>
      <c r="G2322" s="210"/>
      <c r="H2322" s="210"/>
    </row>
    <row r="2323" spans="3:8" x14ac:dyDescent="0.25">
      <c r="C2323" s="210"/>
      <c r="D2323" s="210"/>
      <c r="E2323" s="210"/>
      <c r="F2323" s="210"/>
      <c r="G2323" s="210"/>
      <c r="H2323" s="210"/>
    </row>
    <row r="2324" spans="3:8" x14ac:dyDescent="0.25">
      <c r="C2324" s="210"/>
      <c r="D2324" s="210"/>
      <c r="E2324" s="210"/>
      <c r="F2324" s="210"/>
      <c r="G2324" s="210"/>
      <c r="H2324" s="210"/>
    </row>
    <row r="2325" spans="3:8" x14ac:dyDescent="0.25">
      <c r="C2325" s="210"/>
      <c r="D2325" s="210"/>
      <c r="E2325" s="210"/>
      <c r="F2325" s="210"/>
      <c r="G2325" s="210"/>
      <c r="H2325" s="210"/>
    </row>
    <row r="2326" spans="3:8" x14ac:dyDescent="0.25">
      <c r="C2326" s="210"/>
      <c r="D2326" s="210"/>
      <c r="E2326" s="210"/>
      <c r="F2326" s="210"/>
      <c r="G2326" s="210"/>
      <c r="H2326" s="210"/>
    </row>
    <row r="2327" spans="3:8" x14ac:dyDescent="0.25">
      <c r="C2327" s="210"/>
      <c r="D2327" s="210"/>
      <c r="E2327" s="210"/>
      <c r="F2327" s="210"/>
      <c r="G2327" s="210"/>
      <c r="H2327" s="210"/>
    </row>
    <row r="2328" spans="3:8" x14ac:dyDescent="0.25">
      <c r="C2328" s="210"/>
      <c r="D2328" s="210"/>
      <c r="E2328" s="210"/>
      <c r="F2328" s="210"/>
      <c r="G2328" s="210"/>
      <c r="H2328" s="210"/>
    </row>
    <row r="2329" spans="3:8" x14ac:dyDescent="0.25">
      <c r="C2329" s="210"/>
      <c r="D2329" s="210"/>
      <c r="E2329" s="210"/>
      <c r="F2329" s="210"/>
      <c r="G2329" s="210"/>
      <c r="H2329" s="210"/>
    </row>
    <row r="2330" spans="3:8" x14ac:dyDescent="0.25">
      <c r="C2330" s="210"/>
      <c r="D2330" s="210"/>
      <c r="E2330" s="210"/>
      <c r="F2330" s="210"/>
      <c r="G2330" s="210"/>
      <c r="H2330" s="210"/>
    </row>
    <row r="2331" spans="3:8" x14ac:dyDescent="0.25">
      <c r="C2331" s="210"/>
      <c r="D2331" s="210"/>
      <c r="E2331" s="210"/>
      <c r="F2331" s="210"/>
      <c r="G2331" s="210"/>
      <c r="H2331" s="210"/>
    </row>
    <row r="2332" spans="3:8" x14ac:dyDescent="0.25">
      <c r="C2332" s="210"/>
      <c r="D2332" s="210"/>
      <c r="E2332" s="210"/>
      <c r="F2332" s="210"/>
      <c r="G2332" s="210"/>
      <c r="H2332" s="210"/>
    </row>
    <row r="2333" spans="3:8" x14ac:dyDescent="0.25">
      <c r="C2333" s="210"/>
      <c r="D2333" s="210"/>
      <c r="E2333" s="210"/>
      <c r="F2333" s="210"/>
      <c r="G2333" s="210"/>
      <c r="H2333" s="210"/>
    </row>
    <row r="2334" spans="3:8" x14ac:dyDescent="0.25">
      <c r="C2334" s="210"/>
      <c r="D2334" s="210"/>
      <c r="E2334" s="210"/>
      <c r="F2334" s="210"/>
      <c r="G2334" s="210"/>
      <c r="H2334" s="210"/>
    </row>
    <row r="2335" spans="3:8" x14ac:dyDescent="0.25">
      <c r="C2335" s="210"/>
      <c r="D2335" s="210"/>
      <c r="E2335" s="210"/>
      <c r="F2335" s="210"/>
      <c r="G2335" s="210"/>
      <c r="H2335" s="210"/>
    </row>
    <row r="2336" spans="3:8" x14ac:dyDescent="0.25">
      <c r="C2336" s="210"/>
      <c r="D2336" s="210"/>
      <c r="E2336" s="210"/>
      <c r="F2336" s="210"/>
      <c r="G2336" s="210"/>
      <c r="H2336" s="210"/>
    </row>
    <row r="2337" spans="3:8" x14ac:dyDescent="0.25">
      <c r="C2337" s="210"/>
      <c r="D2337" s="210"/>
      <c r="E2337" s="210"/>
      <c r="F2337" s="210"/>
      <c r="G2337" s="210"/>
      <c r="H2337" s="210"/>
    </row>
    <row r="2338" spans="3:8" x14ac:dyDescent="0.25">
      <c r="C2338" s="210"/>
      <c r="D2338" s="210"/>
      <c r="E2338" s="210"/>
      <c r="F2338" s="210"/>
      <c r="G2338" s="210"/>
      <c r="H2338" s="210"/>
    </row>
    <row r="2339" spans="3:8" x14ac:dyDescent="0.25">
      <c r="C2339" s="210"/>
      <c r="D2339" s="210"/>
      <c r="E2339" s="210"/>
      <c r="F2339" s="210"/>
      <c r="G2339" s="210"/>
      <c r="H2339" s="210"/>
    </row>
    <row r="2340" spans="3:8" x14ac:dyDescent="0.25">
      <c r="C2340" s="210"/>
      <c r="D2340" s="210"/>
      <c r="E2340" s="210"/>
      <c r="F2340" s="210"/>
      <c r="G2340" s="210"/>
      <c r="H2340" s="210"/>
    </row>
    <row r="2341" spans="3:8" x14ac:dyDescent="0.25">
      <c r="C2341" s="210"/>
      <c r="D2341" s="210"/>
      <c r="E2341" s="210"/>
      <c r="F2341" s="210"/>
      <c r="G2341" s="210"/>
      <c r="H2341" s="210"/>
    </row>
    <row r="2342" spans="3:8" x14ac:dyDescent="0.25">
      <c r="C2342" s="210"/>
      <c r="D2342" s="210"/>
      <c r="E2342" s="210"/>
      <c r="F2342" s="210"/>
      <c r="G2342" s="210"/>
      <c r="H2342" s="210"/>
    </row>
    <row r="2343" spans="3:8" x14ac:dyDescent="0.25">
      <c r="C2343" s="210"/>
      <c r="D2343" s="210"/>
      <c r="E2343" s="210"/>
      <c r="F2343" s="210"/>
      <c r="G2343" s="210"/>
      <c r="H2343" s="210"/>
    </row>
    <row r="2344" spans="3:8" x14ac:dyDescent="0.25">
      <c r="C2344" s="210"/>
      <c r="D2344" s="210"/>
      <c r="E2344" s="210"/>
      <c r="F2344" s="210"/>
      <c r="G2344" s="210"/>
      <c r="H2344" s="210"/>
    </row>
    <row r="2345" spans="3:8" x14ac:dyDescent="0.25">
      <c r="C2345" s="210"/>
      <c r="D2345" s="210"/>
      <c r="E2345" s="210"/>
      <c r="F2345" s="210"/>
      <c r="G2345" s="210"/>
      <c r="H2345" s="210"/>
    </row>
    <row r="2346" spans="3:8" x14ac:dyDescent="0.25">
      <c r="C2346" s="210"/>
      <c r="D2346" s="210"/>
      <c r="E2346" s="210"/>
      <c r="F2346" s="210"/>
      <c r="G2346" s="210"/>
      <c r="H2346" s="210"/>
    </row>
    <row r="2347" spans="3:8" x14ac:dyDescent="0.25">
      <c r="C2347" s="210"/>
      <c r="D2347" s="210"/>
      <c r="E2347" s="210"/>
      <c r="F2347" s="210"/>
      <c r="G2347" s="210"/>
      <c r="H2347" s="210"/>
    </row>
    <row r="2348" spans="3:8" x14ac:dyDescent="0.25">
      <c r="C2348" s="210"/>
      <c r="D2348" s="210"/>
      <c r="E2348" s="210"/>
      <c r="F2348" s="210"/>
      <c r="G2348" s="210"/>
      <c r="H2348" s="210"/>
    </row>
    <row r="2349" spans="3:8" x14ac:dyDescent="0.25">
      <c r="C2349" s="210"/>
      <c r="D2349" s="210"/>
      <c r="E2349" s="210"/>
      <c r="F2349" s="210"/>
      <c r="G2349" s="210"/>
      <c r="H2349" s="210"/>
    </row>
    <row r="2350" spans="3:8" x14ac:dyDescent="0.25">
      <c r="C2350" s="210"/>
      <c r="D2350" s="210"/>
      <c r="E2350" s="210"/>
      <c r="F2350" s="210"/>
      <c r="G2350" s="210"/>
      <c r="H2350" s="210"/>
    </row>
    <row r="2351" spans="3:8" x14ac:dyDescent="0.25">
      <c r="C2351" s="210"/>
      <c r="D2351" s="210"/>
      <c r="E2351" s="210"/>
      <c r="F2351" s="210"/>
      <c r="G2351" s="210"/>
      <c r="H2351" s="210"/>
    </row>
    <row r="2352" spans="3:8" x14ac:dyDescent="0.25">
      <c r="C2352" s="210"/>
      <c r="D2352" s="210"/>
      <c r="E2352" s="210"/>
      <c r="F2352" s="210"/>
      <c r="G2352" s="210"/>
      <c r="H2352" s="210"/>
    </row>
    <row r="2353" spans="3:8" x14ac:dyDescent="0.25">
      <c r="C2353" s="210"/>
      <c r="D2353" s="210"/>
      <c r="E2353" s="210"/>
      <c r="F2353" s="210"/>
      <c r="G2353" s="210"/>
      <c r="H2353" s="210"/>
    </row>
    <row r="2354" spans="3:8" x14ac:dyDescent="0.25">
      <c r="C2354" s="210"/>
      <c r="D2354" s="210"/>
      <c r="E2354" s="210"/>
      <c r="F2354" s="210"/>
      <c r="G2354" s="210"/>
      <c r="H2354" s="210"/>
    </row>
    <row r="2355" spans="3:8" x14ac:dyDescent="0.25">
      <c r="C2355" s="210"/>
      <c r="D2355" s="210"/>
      <c r="E2355" s="210"/>
      <c r="F2355" s="210"/>
      <c r="G2355" s="210"/>
      <c r="H2355" s="210"/>
    </row>
    <row r="2356" spans="3:8" x14ac:dyDescent="0.25">
      <c r="C2356" s="210"/>
      <c r="D2356" s="210"/>
      <c r="E2356" s="210"/>
      <c r="F2356" s="210"/>
      <c r="G2356" s="210"/>
      <c r="H2356" s="210"/>
    </row>
    <row r="2357" spans="3:8" x14ac:dyDescent="0.25">
      <c r="C2357" s="210"/>
      <c r="D2357" s="210"/>
      <c r="E2357" s="210"/>
      <c r="F2357" s="210"/>
      <c r="G2357" s="210"/>
      <c r="H2357" s="210"/>
    </row>
    <row r="2358" spans="3:8" x14ac:dyDescent="0.25">
      <c r="C2358" s="210"/>
      <c r="D2358" s="210"/>
      <c r="E2358" s="210"/>
      <c r="F2358" s="210"/>
      <c r="G2358" s="210"/>
      <c r="H2358" s="210"/>
    </row>
    <row r="2359" spans="3:8" x14ac:dyDescent="0.25">
      <c r="C2359" s="210"/>
      <c r="D2359" s="210"/>
      <c r="E2359" s="210"/>
      <c r="F2359" s="210"/>
      <c r="G2359" s="210"/>
      <c r="H2359" s="210"/>
    </row>
    <row r="2360" spans="3:8" x14ac:dyDescent="0.25">
      <c r="C2360" s="210"/>
      <c r="D2360" s="210"/>
      <c r="E2360" s="210"/>
      <c r="F2360" s="210"/>
      <c r="G2360" s="210"/>
      <c r="H2360" s="210"/>
    </row>
    <row r="2361" spans="3:8" x14ac:dyDescent="0.25">
      <c r="C2361" s="210"/>
      <c r="D2361" s="210"/>
      <c r="E2361" s="210"/>
      <c r="F2361" s="210"/>
      <c r="G2361" s="210"/>
      <c r="H2361" s="210"/>
    </row>
    <row r="2362" spans="3:8" x14ac:dyDescent="0.25">
      <c r="C2362" s="210"/>
      <c r="D2362" s="210"/>
      <c r="E2362" s="210"/>
      <c r="F2362" s="210"/>
      <c r="G2362" s="210"/>
      <c r="H2362" s="210"/>
    </row>
    <row r="2363" spans="3:8" x14ac:dyDescent="0.25">
      <c r="C2363" s="210"/>
      <c r="D2363" s="210"/>
      <c r="E2363" s="210"/>
      <c r="F2363" s="210"/>
      <c r="G2363" s="210"/>
      <c r="H2363" s="210"/>
    </row>
    <row r="2364" spans="3:8" x14ac:dyDescent="0.25">
      <c r="C2364" s="210"/>
      <c r="D2364" s="210"/>
      <c r="E2364" s="210"/>
      <c r="F2364" s="210"/>
      <c r="G2364" s="210"/>
      <c r="H2364" s="210"/>
    </row>
    <row r="2365" spans="3:8" x14ac:dyDescent="0.25">
      <c r="C2365" s="210"/>
      <c r="D2365" s="210"/>
      <c r="E2365" s="210"/>
      <c r="F2365" s="210"/>
      <c r="G2365" s="210"/>
      <c r="H2365" s="210"/>
    </row>
    <row r="2366" spans="3:8" x14ac:dyDescent="0.25">
      <c r="C2366" s="210"/>
      <c r="D2366" s="210"/>
      <c r="E2366" s="210"/>
      <c r="F2366" s="210"/>
      <c r="G2366" s="210"/>
      <c r="H2366" s="210"/>
    </row>
    <row r="2367" spans="3:8" x14ac:dyDescent="0.25">
      <c r="C2367" s="210"/>
      <c r="D2367" s="210"/>
      <c r="E2367" s="210"/>
      <c r="F2367" s="210"/>
      <c r="G2367" s="210"/>
      <c r="H2367" s="210"/>
    </row>
    <row r="2368" spans="3:8" x14ac:dyDescent="0.25">
      <c r="C2368" s="210"/>
      <c r="D2368" s="210"/>
      <c r="E2368" s="210"/>
      <c r="F2368" s="210"/>
      <c r="G2368" s="210"/>
      <c r="H2368" s="210"/>
    </row>
    <row r="2369" spans="3:8" x14ac:dyDescent="0.25">
      <c r="C2369" s="210"/>
      <c r="D2369" s="210"/>
      <c r="E2369" s="210"/>
      <c r="F2369" s="210"/>
      <c r="G2369" s="210"/>
      <c r="H2369" s="210"/>
    </row>
    <row r="2370" spans="3:8" x14ac:dyDescent="0.25">
      <c r="C2370" s="210"/>
      <c r="D2370" s="210"/>
      <c r="E2370" s="210"/>
      <c r="F2370" s="210"/>
      <c r="G2370" s="210"/>
      <c r="H2370" s="210"/>
    </row>
    <row r="2371" spans="3:8" x14ac:dyDescent="0.25">
      <c r="C2371" s="210"/>
      <c r="D2371" s="210"/>
      <c r="E2371" s="210"/>
      <c r="F2371" s="210"/>
      <c r="G2371" s="210"/>
      <c r="H2371" s="210"/>
    </row>
    <row r="2372" spans="3:8" x14ac:dyDescent="0.25">
      <c r="C2372" s="210"/>
      <c r="D2372" s="210"/>
      <c r="E2372" s="210"/>
      <c r="F2372" s="210"/>
      <c r="G2372" s="210"/>
      <c r="H2372" s="210"/>
    </row>
    <row r="2373" spans="3:8" x14ac:dyDescent="0.25">
      <c r="C2373" s="210"/>
      <c r="D2373" s="210"/>
      <c r="E2373" s="210"/>
      <c r="F2373" s="210"/>
      <c r="G2373" s="210"/>
      <c r="H2373" s="210"/>
    </row>
    <row r="2374" spans="3:8" x14ac:dyDescent="0.25">
      <c r="C2374" s="210"/>
      <c r="D2374" s="210"/>
      <c r="E2374" s="210"/>
      <c r="F2374" s="210"/>
      <c r="G2374" s="210"/>
      <c r="H2374" s="210"/>
    </row>
    <row r="2375" spans="3:8" x14ac:dyDescent="0.25">
      <c r="C2375" s="210"/>
      <c r="D2375" s="210"/>
      <c r="E2375" s="210"/>
      <c r="F2375" s="210"/>
      <c r="G2375" s="210"/>
      <c r="H2375" s="210"/>
    </row>
    <row r="2376" spans="3:8" x14ac:dyDescent="0.25">
      <c r="C2376" s="210"/>
      <c r="D2376" s="210"/>
      <c r="E2376" s="210"/>
      <c r="F2376" s="210"/>
      <c r="G2376" s="210"/>
      <c r="H2376" s="210"/>
    </row>
    <row r="2377" spans="3:8" x14ac:dyDescent="0.25">
      <c r="C2377" s="210"/>
      <c r="D2377" s="210"/>
      <c r="E2377" s="210"/>
      <c r="F2377" s="210"/>
      <c r="G2377" s="210"/>
      <c r="H2377" s="210"/>
    </row>
    <row r="2378" spans="3:8" x14ac:dyDescent="0.25">
      <c r="C2378" s="210"/>
      <c r="D2378" s="210"/>
      <c r="E2378" s="210"/>
      <c r="F2378" s="210"/>
      <c r="G2378" s="210"/>
      <c r="H2378" s="210"/>
    </row>
    <row r="2379" spans="3:8" x14ac:dyDescent="0.25">
      <c r="C2379" s="210"/>
      <c r="D2379" s="210"/>
      <c r="E2379" s="210"/>
      <c r="F2379" s="210"/>
      <c r="G2379" s="210"/>
      <c r="H2379" s="210"/>
    </row>
    <row r="2380" spans="3:8" x14ac:dyDescent="0.25">
      <c r="C2380" s="210"/>
      <c r="D2380" s="210"/>
      <c r="E2380" s="210"/>
      <c r="F2380" s="210"/>
      <c r="G2380" s="210"/>
      <c r="H2380" s="210"/>
    </row>
    <row r="2381" spans="3:8" x14ac:dyDescent="0.25">
      <c r="C2381" s="210"/>
      <c r="D2381" s="210"/>
      <c r="E2381" s="210"/>
      <c r="F2381" s="210"/>
      <c r="G2381" s="210"/>
      <c r="H2381" s="210"/>
    </row>
    <row r="2382" spans="3:8" x14ac:dyDescent="0.25">
      <c r="C2382" s="210"/>
      <c r="D2382" s="210"/>
      <c r="E2382" s="210"/>
      <c r="F2382" s="210"/>
      <c r="G2382" s="210"/>
      <c r="H2382" s="210"/>
    </row>
    <row r="2383" spans="3:8" x14ac:dyDescent="0.25">
      <c r="C2383" s="210"/>
      <c r="D2383" s="210"/>
      <c r="E2383" s="210"/>
      <c r="F2383" s="210"/>
      <c r="G2383" s="210"/>
      <c r="H2383" s="210"/>
    </row>
    <row r="2384" spans="3:8" x14ac:dyDescent="0.25">
      <c r="C2384" s="210"/>
      <c r="D2384" s="210"/>
      <c r="E2384" s="210"/>
      <c r="F2384" s="210"/>
      <c r="G2384" s="210"/>
      <c r="H2384" s="210"/>
    </row>
    <row r="2385" spans="3:8" x14ac:dyDescent="0.25">
      <c r="C2385" s="210"/>
      <c r="D2385" s="210"/>
      <c r="E2385" s="210"/>
      <c r="F2385" s="210"/>
      <c r="G2385" s="210"/>
      <c r="H2385" s="210"/>
    </row>
    <row r="2386" spans="3:8" x14ac:dyDescent="0.25">
      <c r="C2386" s="210"/>
      <c r="D2386" s="210"/>
      <c r="E2386" s="210"/>
      <c r="F2386" s="210"/>
      <c r="G2386" s="210"/>
      <c r="H2386" s="210"/>
    </row>
    <row r="2387" spans="3:8" x14ac:dyDescent="0.25">
      <c r="C2387" s="210"/>
      <c r="D2387" s="210"/>
      <c r="E2387" s="210"/>
      <c r="F2387" s="210"/>
      <c r="G2387" s="210"/>
      <c r="H2387" s="210"/>
    </row>
    <row r="2388" spans="3:8" x14ac:dyDescent="0.25">
      <c r="C2388" s="210"/>
      <c r="D2388" s="210"/>
      <c r="E2388" s="210"/>
      <c r="F2388" s="210"/>
      <c r="G2388" s="210"/>
      <c r="H2388" s="210"/>
    </row>
    <row r="2389" spans="3:8" x14ac:dyDescent="0.25">
      <c r="C2389" s="210"/>
      <c r="D2389" s="210"/>
      <c r="E2389" s="210"/>
      <c r="F2389" s="210"/>
      <c r="G2389" s="210"/>
      <c r="H2389" s="210"/>
    </row>
    <row r="2390" spans="3:8" x14ac:dyDescent="0.25">
      <c r="C2390" s="210"/>
      <c r="D2390" s="210"/>
      <c r="E2390" s="210"/>
      <c r="F2390" s="210"/>
      <c r="G2390" s="210"/>
      <c r="H2390" s="210"/>
    </row>
    <row r="2391" spans="3:8" x14ac:dyDescent="0.25">
      <c r="C2391" s="210"/>
      <c r="D2391" s="210"/>
      <c r="E2391" s="210"/>
      <c r="F2391" s="210"/>
      <c r="G2391" s="210"/>
      <c r="H2391" s="210"/>
    </row>
    <row r="2392" spans="3:8" x14ac:dyDescent="0.25">
      <c r="C2392" s="210"/>
      <c r="D2392" s="210"/>
      <c r="E2392" s="210"/>
      <c r="F2392" s="210"/>
      <c r="G2392" s="210"/>
      <c r="H2392" s="210"/>
    </row>
    <row r="2393" spans="3:8" x14ac:dyDescent="0.25">
      <c r="C2393" s="210"/>
      <c r="D2393" s="210"/>
      <c r="E2393" s="210"/>
      <c r="F2393" s="210"/>
      <c r="G2393" s="210"/>
      <c r="H2393" s="210"/>
    </row>
    <row r="2394" spans="3:8" x14ac:dyDescent="0.25">
      <c r="C2394" s="210"/>
      <c r="D2394" s="210"/>
      <c r="E2394" s="210"/>
      <c r="F2394" s="210"/>
      <c r="G2394" s="210"/>
      <c r="H2394" s="210"/>
    </row>
    <row r="2395" spans="3:8" x14ac:dyDescent="0.25">
      <c r="C2395" s="210"/>
      <c r="D2395" s="210"/>
      <c r="E2395" s="210"/>
      <c r="F2395" s="210"/>
      <c r="G2395" s="210"/>
      <c r="H2395" s="210"/>
    </row>
    <row r="2396" spans="3:8" x14ac:dyDescent="0.25">
      <c r="C2396" s="210"/>
      <c r="D2396" s="210"/>
      <c r="E2396" s="210"/>
      <c r="F2396" s="210"/>
      <c r="G2396" s="210"/>
      <c r="H2396" s="210"/>
    </row>
    <row r="2397" spans="3:8" x14ac:dyDescent="0.25">
      <c r="C2397" s="210"/>
      <c r="D2397" s="210"/>
      <c r="E2397" s="210"/>
      <c r="F2397" s="210"/>
      <c r="G2397" s="210"/>
      <c r="H2397" s="210"/>
    </row>
    <row r="2398" spans="3:8" x14ac:dyDescent="0.25">
      <c r="C2398" s="210"/>
      <c r="D2398" s="210"/>
      <c r="E2398" s="210"/>
      <c r="F2398" s="210"/>
      <c r="G2398" s="210"/>
      <c r="H2398" s="210"/>
    </row>
    <row r="2399" spans="3:8" x14ac:dyDescent="0.25">
      <c r="C2399" s="210"/>
      <c r="D2399" s="210"/>
      <c r="E2399" s="210"/>
      <c r="F2399" s="210"/>
      <c r="G2399" s="210"/>
      <c r="H2399" s="210"/>
    </row>
    <row r="2400" spans="3:8" x14ac:dyDescent="0.25">
      <c r="C2400" s="210"/>
      <c r="D2400" s="210"/>
      <c r="E2400" s="210"/>
      <c r="F2400" s="210"/>
      <c r="G2400" s="210"/>
      <c r="H2400" s="210"/>
    </row>
    <row r="2401" spans="3:8" x14ac:dyDescent="0.25">
      <c r="C2401" s="210"/>
      <c r="D2401" s="210"/>
      <c r="E2401" s="210"/>
      <c r="F2401" s="210"/>
      <c r="G2401" s="210"/>
      <c r="H2401" s="210"/>
    </row>
    <row r="2402" spans="3:8" x14ac:dyDescent="0.25">
      <c r="C2402" s="210"/>
      <c r="D2402" s="210"/>
      <c r="E2402" s="210"/>
      <c r="F2402" s="210"/>
      <c r="G2402" s="210"/>
      <c r="H2402" s="210"/>
    </row>
    <row r="2403" spans="3:8" x14ac:dyDescent="0.25">
      <c r="C2403" s="210"/>
      <c r="D2403" s="210"/>
      <c r="E2403" s="210"/>
      <c r="F2403" s="210"/>
      <c r="G2403" s="210"/>
      <c r="H2403" s="210"/>
    </row>
    <row r="2404" spans="3:8" x14ac:dyDescent="0.25">
      <c r="C2404" s="210"/>
      <c r="D2404" s="210"/>
      <c r="E2404" s="210"/>
      <c r="F2404" s="210"/>
      <c r="G2404" s="210"/>
      <c r="H2404" s="210"/>
    </row>
    <row r="2405" spans="3:8" x14ac:dyDescent="0.25">
      <c r="C2405" s="210"/>
      <c r="D2405" s="210"/>
      <c r="E2405" s="210"/>
      <c r="F2405" s="210"/>
      <c r="G2405" s="210"/>
      <c r="H2405" s="210"/>
    </row>
    <row r="2406" spans="3:8" x14ac:dyDescent="0.25">
      <c r="C2406" s="210"/>
      <c r="D2406" s="210"/>
      <c r="E2406" s="210"/>
      <c r="F2406" s="210"/>
      <c r="G2406" s="210"/>
      <c r="H2406" s="210"/>
    </row>
    <row r="2407" spans="3:8" x14ac:dyDescent="0.25">
      <c r="C2407" s="210"/>
      <c r="D2407" s="210"/>
      <c r="E2407" s="210"/>
      <c r="F2407" s="210"/>
      <c r="G2407" s="210"/>
      <c r="H2407" s="210"/>
    </row>
    <row r="2408" spans="3:8" x14ac:dyDescent="0.25">
      <c r="C2408" s="210"/>
      <c r="D2408" s="210"/>
      <c r="E2408" s="210"/>
      <c r="F2408" s="210"/>
      <c r="G2408" s="210"/>
      <c r="H2408" s="210"/>
    </row>
    <row r="2409" spans="3:8" x14ac:dyDescent="0.25">
      <c r="C2409" s="210"/>
      <c r="D2409" s="210"/>
      <c r="E2409" s="210"/>
      <c r="F2409" s="210"/>
      <c r="G2409" s="210"/>
      <c r="H2409" s="210"/>
    </row>
    <row r="2410" spans="3:8" x14ac:dyDescent="0.25">
      <c r="C2410" s="210"/>
      <c r="D2410" s="210"/>
      <c r="E2410" s="210"/>
      <c r="F2410" s="210"/>
      <c r="G2410" s="210"/>
      <c r="H2410" s="210"/>
    </row>
    <row r="2411" spans="3:8" x14ac:dyDescent="0.25">
      <c r="C2411" s="210"/>
      <c r="D2411" s="210"/>
      <c r="E2411" s="210"/>
      <c r="F2411" s="210"/>
      <c r="G2411" s="210"/>
      <c r="H2411" s="210"/>
    </row>
    <row r="2412" spans="3:8" x14ac:dyDescent="0.25">
      <c r="C2412" s="210"/>
      <c r="D2412" s="210"/>
      <c r="E2412" s="210"/>
      <c r="F2412" s="210"/>
      <c r="G2412" s="210"/>
      <c r="H2412" s="210"/>
    </row>
    <row r="2413" spans="3:8" x14ac:dyDescent="0.25">
      <c r="C2413" s="210"/>
      <c r="D2413" s="210"/>
      <c r="E2413" s="210"/>
      <c r="F2413" s="210"/>
      <c r="G2413" s="210"/>
      <c r="H2413" s="210"/>
    </row>
    <row r="2414" spans="3:8" x14ac:dyDescent="0.25">
      <c r="C2414" s="210"/>
      <c r="D2414" s="210"/>
      <c r="E2414" s="210"/>
      <c r="F2414" s="210"/>
      <c r="G2414" s="210"/>
      <c r="H2414" s="210"/>
    </row>
    <row r="2415" spans="3:8" x14ac:dyDescent="0.25">
      <c r="C2415" s="210"/>
      <c r="D2415" s="210"/>
      <c r="E2415" s="210"/>
      <c r="F2415" s="210"/>
      <c r="G2415" s="210"/>
      <c r="H2415" s="210"/>
    </row>
    <row r="2416" spans="3:8" x14ac:dyDescent="0.25">
      <c r="C2416" s="210"/>
      <c r="D2416" s="210"/>
      <c r="E2416" s="210"/>
      <c r="F2416" s="210"/>
      <c r="G2416" s="210"/>
      <c r="H2416" s="210"/>
    </row>
    <row r="2417" spans="3:8" x14ac:dyDescent="0.25">
      <c r="C2417" s="210"/>
      <c r="D2417" s="210"/>
      <c r="E2417" s="210"/>
      <c r="F2417" s="210"/>
      <c r="G2417" s="210"/>
      <c r="H2417" s="210"/>
    </row>
    <row r="2418" spans="3:8" x14ac:dyDescent="0.25">
      <c r="C2418" s="210"/>
      <c r="D2418" s="210"/>
      <c r="E2418" s="210"/>
      <c r="F2418" s="210"/>
      <c r="G2418" s="210"/>
      <c r="H2418" s="210"/>
    </row>
    <row r="2419" spans="3:8" x14ac:dyDescent="0.25">
      <c r="C2419" s="210"/>
      <c r="D2419" s="210"/>
      <c r="E2419" s="210"/>
      <c r="F2419" s="210"/>
      <c r="G2419" s="210"/>
      <c r="H2419" s="210"/>
    </row>
    <row r="2420" spans="3:8" x14ac:dyDescent="0.25">
      <c r="C2420" s="210"/>
      <c r="D2420" s="210"/>
      <c r="E2420" s="210"/>
      <c r="F2420" s="210"/>
      <c r="G2420" s="210"/>
      <c r="H2420" s="210"/>
    </row>
    <row r="2421" spans="3:8" x14ac:dyDescent="0.25">
      <c r="C2421" s="210"/>
      <c r="D2421" s="210"/>
      <c r="E2421" s="210"/>
      <c r="F2421" s="210"/>
      <c r="G2421" s="210"/>
      <c r="H2421" s="210"/>
    </row>
    <row r="2422" spans="3:8" x14ac:dyDescent="0.25">
      <c r="C2422" s="210"/>
      <c r="D2422" s="210"/>
      <c r="E2422" s="210"/>
      <c r="F2422" s="210"/>
      <c r="G2422" s="210"/>
      <c r="H2422" s="210"/>
    </row>
    <row r="2423" spans="3:8" x14ac:dyDescent="0.25">
      <c r="C2423" s="210"/>
      <c r="D2423" s="210"/>
      <c r="E2423" s="210"/>
      <c r="F2423" s="210"/>
      <c r="G2423" s="210"/>
      <c r="H2423" s="210"/>
    </row>
    <row r="2424" spans="3:8" x14ac:dyDescent="0.25">
      <c r="C2424" s="210"/>
      <c r="D2424" s="210"/>
      <c r="E2424" s="210"/>
      <c r="F2424" s="210"/>
      <c r="G2424" s="210"/>
      <c r="H2424" s="210"/>
    </row>
    <row r="2425" spans="3:8" x14ac:dyDescent="0.25">
      <c r="C2425" s="210"/>
      <c r="D2425" s="210"/>
      <c r="E2425" s="210"/>
      <c r="F2425" s="210"/>
      <c r="G2425" s="210"/>
      <c r="H2425" s="210"/>
    </row>
    <row r="2426" spans="3:8" x14ac:dyDescent="0.25">
      <c r="C2426" s="210"/>
      <c r="D2426" s="210"/>
      <c r="E2426" s="210"/>
      <c r="F2426" s="210"/>
      <c r="G2426" s="210"/>
      <c r="H2426" s="210"/>
    </row>
    <row r="2427" spans="3:8" x14ac:dyDescent="0.25">
      <c r="C2427" s="210"/>
      <c r="D2427" s="210"/>
      <c r="E2427" s="210"/>
      <c r="F2427" s="210"/>
      <c r="G2427" s="210"/>
      <c r="H2427" s="210"/>
    </row>
    <row r="2428" spans="3:8" x14ac:dyDescent="0.25">
      <c r="C2428" s="210"/>
      <c r="D2428" s="210"/>
      <c r="E2428" s="210"/>
      <c r="F2428" s="210"/>
      <c r="G2428" s="210"/>
      <c r="H2428" s="210"/>
    </row>
    <row r="2429" spans="3:8" x14ac:dyDescent="0.25">
      <c r="C2429" s="210"/>
      <c r="D2429" s="210"/>
      <c r="E2429" s="210"/>
      <c r="F2429" s="210"/>
      <c r="G2429" s="210"/>
      <c r="H2429" s="210"/>
    </row>
    <row r="2430" spans="3:8" x14ac:dyDescent="0.25">
      <c r="C2430" s="210"/>
      <c r="D2430" s="210"/>
      <c r="E2430" s="210"/>
      <c r="F2430" s="210"/>
      <c r="G2430" s="210"/>
      <c r="H2430" s="210"/>
    </row>
    <row r="2431" spans="3:8" x14ac:dyDescent="0.25">
      <c r="C2431" s="210"/>
      <c r="D2431" s="210"/>
      <c r="E2431" s="210"/>
      <c r="F2431" s="210"/>
      <c r="G2431" s="210"/>
      <c r="H2431" s="210"/>
    </row>
    <row r="2432" spans="3:8" x14ac:dyDescent="0.25">
      <c r="C2432" s="210"/>
      <c r="D2432" s="210"/>
      <c r="E2432" s="210"/>
      <c r="F2432" s="210"/>
      <c r="G2432" s="210"/>
      <c r="H2432" s="210"/>
    </row>
    <row r="2433" spans="3:8" x14ac:dyDescent="0.25">
      <c r="C2433" s="210"/>
      <c r="D2433" s="210"/>
      <c r="E2433" s="210"/>
      <c r="F2433" s="210"/>
      <c r="G2433" s="210"/>
      <c r="H2433" s="210"/>
    </row>
    <row r="2434" spans="3:8" x14ac:dyDescent="0.25">
      <c r="C2434" s="210"/>
      <c r="D2434" s="210"/>
      <c r="E2434" s="210"/>
      <c r="F2434" s="210"/>
      <c r="G2434" s="210"/>
      <c r="H2434" s="210"/>
    </row>
    <row r="2435" spans="3:8" x14ac:dyDescent="0.25">
      <c r="C2435" s="210"/>
      <c r="D2435" s="210"/>
      <c r="E2435" s="210"/>
      <c r="F2435" s="210"/>
      <c r="G2435" s="210"/>
      <c r="H2435" s="210"/>
    </row>
    <row r="2436" spans="3:8" x14ac:dyDescent="0.25">
      <c r="C2436" s="210"/>
      <c r="D2436" s="210"/>
      <c r="E2436" s="210"/>
      <c r="F2436" s="210"/>
      <c r="G2436" s="210"/>
      <c r="H2436" s="210"/>
    </row>
    <row r="2437" spans="3:8" x14ac:dyDescent="0.25">
      <c r="C2437" s="210"/>
      <c r="D2437" s="210"/>
      <c r="E2437" s="210"/>
      <c r="F2437" s="210"/>
      <c r="G2437" s="210"/>
      <c r="H2437" s="210"/>
    </row>
    <row r="2438" spans="3:8" x14ac:dyDescent="0.25">
      <c r="C2438" s="210"/>
      <c r="D2438" s="210"/>
      <c r="E2438" s="210"/>
      <c r="F2438" s="210"/>
      <c r="G2438" s="210"/>
      <c r="H2438" s="210"/>
    </row>
    <row r="2439" spans="3:8" x14ac:dyDescent="0.25">
      <c r="C2439" s="210"/>
      <c r="D2439" s="210"/>
      <c r="E2439" s="210"/>
      <c r="F2439" s="210"/>
      <c r="G2439" s="210"/>
      <c r="H2439" s="210"/>
    </row>
    <row r="2440" spans="3:8" x14ac:dyDescent="0.25">
      <c r="C2440" s="210"/>
      <c r="D2440" s="210"/>
      <c r="E2440" s="210"/>
      <c r="F2440" s="210"/>
      <c r="G2440" s="210"/>
      <c r="H2440" s="210"/>
    </row>
    <row r="2441" spans="3:8" x14ac:dyDescent="0.25">
      <c r="C2441" s="210"/>
      <c r="D2441" s="210"/>
      <c r="E2441" s="210"/>
      <c r="F2441" s="210"/>
      <c r="G2441" s="210"/>
      <c r="H2441" s="210"/>
    </row>
    <row r="2442" spans="3:8" x14ac:dyDescent="0.25">
      <c r="C2442" s="210"/>
      <c r="D2442" s="210"/>
      <c r="E2442" s="210"/>
      <c r="F2442" s="210"/>
      <c r="G2442" s="210"/>
      <c r="H2442" s="210"/>
    </row>
    <row r="2443" spans="3:8" x14ac:dyDescent="0.25">
      <c r="C2443" s="210"/>
      <c r="D2443" s="210"/>
      <c r="E2443" s="210"/>
      <c r="F2443" s="210"/>
      <c r="G2443" s="210"/>
      <c r="H2443" s="210"/>
    </row>
    <row r="2444" spans="3:8" x14ac:dyDescent="0.25">
      <c r="C2444" s="210"/>
      <c r="D2444" s="210"/>
      <c r="E2444" s="210"/>
      <c r="F2444" s="210"/>
      <c r="G2444" s="210"/>
      <c r="H2444" s="210"/>
    </row>
    <row r="2445" spans="3:8" x14ac:dyDescent="0.25">
      <c r="C2445" s="210"/>
      <c r="D2445" s="210"/>
      <c r="E2445" s="210"/>
      <c r="F2445" s="210"/>
      <c r="G2445" s="210"/>
      <c r="H2445" s="210"/>
    </row>
    <row r="2446" spans="3:8" x14ac:dyDescent="0.25">
      <c r="C2446" s="210"/>
      <c r="D2446" s="210"/>
      <c r="E2446" s="210"/>
      <c r="F2446" s="210"/>
      <c r="G2446" s="210"/>
      <c r="H2446" s="210"/>
    </row>
    <row r="2447" spans="3:8" x14ac:dyDescent="0.25">
      <c r="C2447" s="210"/>
      <c r="D2447" s="210"/>
      <c r="E2447" s="210"/>
      <c r="F2447" s="210"/>
      <c r="G2447" s="210"/>
      <c r="H2447" s="210"/>
    </row>
    <row r="2448" spans="3:8" x14ac:dyDescent="0.25">
      <c r="C2448" s="210"/>
      <c r="D2448" s="210"/>
      <c r="E2448" s="210"/>
      <c r="F2448" s="210"/>
      <c r="G2448" s="210"/>
      <c r="H2448" s="210"/>
    </row>
    <row r="2449" spans="3:8" x14ac:dyDescent="0.25">
      <c r="C2449" s="210"/>
      <c r="D2449" s="210"/>
      <c r="E2449" s="210"/>
      <c r="F2449" s="210"/>
      <c r="G2449" s="210"/>
      <c r="H2449" s="210"/>
    </row>
    <row r="2450" spans="3:8" x14ac:dyDescent="0.25">
      <c r="C2450" s="210"/>
      <c r="D2450" s="210"/>
      <c r="E2450" s="210"/>
      <c r="F2450" s="210"/>
      <c r="G2450" s="210"/>
      <c r="H2450" s="210"/>
    </row>
    <row r="2451" spans="3:8" x14ac:dyDescent="0.25">
      <c r="C2451" s="210"/>
      <c r="D2451" s="210"/>
      <c r="E2451" s="210"/>
      <c r="F2451" s="210"/>
      <c r="G2451" s="210"/>
      <c r="H2451" s="210"/>
    </row>
    <row r="2452" spans="3:8" x14ac:dyDescent="0.25">
      <c r="C2452" s="210"/>
      <c r="D2452" s="210"/>
      <c r="E2452" s="210"/>
      <c r="F2452" s="210"/>
      <c r="G2452" s="210"/>
      <c r="H2452" s="210"/>
    </row>
    <row r="2453" spans="3:8" x14ac:dyDescent="0.25">
      <c r="C2453" s="210"/>
      <c r="D2453" s="210"/>
      <c r="E2453" s="210"/>
      <c r="F2453" s="210"/>
      <c r="G2453" s="210"/>
      <c r="H2453" s="210"/>
    </row>
    <row r="2454" spans="3:8" x14ac:dyDescent="0.25">
      <c r="C2454" s="210"/>
      <c r="D2454" s="210"/>
      <c r="E2454" s="210"/>
      <c r="F2454" s="210"/>
      <c r="G2454" s="210"/>
      <c r="H2454" s="210"/>
    </row>
    <row r="2455" spans="3:8" x14ac:dyDescent="0.25">
      <c r="C2455" s="210"/>
      <c r="D2455" s="210"/>
      <c r="E2455" s="210"/>
      <c r="F2455" s="210"/>
      <c r="G2455" s="210"/>
      <c r="H2455" s="210"/>
    </row>
    <row r="2456" spans="3:8" x14ac:dyDescent="0.25">
      <c r="C2456" s="210"/>
      <c r="D2456" s="210"/>
      <c r="E2456" s="210"/>
      <c r="F2456" s="210"/>
      <c r="G2456" s="210"/>
      <c r="H2456" s="210"/>
    </row>
    <row r="2457" spans="3:8" x14ac:dyDescent="0.25">
      <c r="C2457" s="210"/>
      <c r="D2457" s="210"/>
      <c r="E2457" s="210"/>
      <c r="F2457" s="210"/>
      <c r="G2457" s="210"/>
      <c r="H2457" s="210"/>
    </row>
    <row r="2458" spans="3:8" x14ac:dyDescent="0.25">
      <c r="C2458" s="210"/>
      <c r="D2458" s="210"/>
      <c r="E2458" s="210"/>
      <c r="F2458" s="210"/>
      <c r="G2458" s="210"/>
      <c r="H2458" s="210"/>
    </row>
    <row r="2459" spans="3:8" x14ac:dyDescent="0.25">
      <c r="C2459" s="210"/>
      <c r="D2459" s="210"/>
      <c r="E2459" s="210"/>
      <c r="F2459" s="210"/>
      <c r="G2459" s="210"/>
      <c r="H2459" s="210"/>
    </row>
    <row r="2460" spans="3:8" x14ac:dyDescent="0.25">
      <c r="C2460" s="210"/>
      <c r="D2460" s="210"/>
      <c r="E2460" s="210"/>
      <c r="F2460" s="210"/>
      <c r="G2460" s="210"/>
      <c r="H2460" s="210"/>
    </row>
    <row r="2461" spans="3:8" x14ac:dyDescent="0.25">
      <c r="C2461" s="210"/>
      <c r="D2461" s="210"/>
      <c r="E2461" s="210"/>
      <c r="F2461" s="210"/>
      <c r="G2461" s="210"/>
      <c r="H2461" s="210"/>
    </row>
    <row r="2462" spans="3:8" x14ac:dyDescent="0.25">
      <c r="C2462" s="210"/>
      <c r="D2462" s="210"/>
      <c r="E2462" s="210"/>
      <c r="F2462" s="210"/>
      <c r="G2462" s="210"/>
      <c r="H2462" s="210"/>
    </row>
    <row r="2463" spans="3:8" x14ac:dyDescent="0.25">
      <c r="C2463" s="210"/>
      <c r="D2463" s="210"/>
      <c r="E2463" s="210"/>
      <c r="F2463" s="210"/>
      <c r="G2463" s="210"/>
      <c r="H2463" s="210"/>
    </row>
    <row r="2464" spans="3:8" x14ac:dyDescent="0.25">
      <c r="C2464" s="210"/>
      <c r="D2464" s="210"/>
      <c r="E2464" s="210"/>
      <c r="F2464" s="210"/>
      <c r="G2464" s="210"/>
      <c r="H2464" s="210"/>
    </row>
    <row r="2465" spans="3:8" x14ac:dyDescent="0.25">
      <c r="C2465" s="210"/>
      <c r="D2465" s="210"/>
      <c r="E2465" s="210"/>
      <c r="F2465" s="210"/>
      <c r="G2465" s="210"/>
      <c r="H2465" s="210"/>
    </row>
    <row r="2466" spans="3:8" x14ac:dyDescent="0.25">
      <c r="C2466" s="210"/>
      <c r="D2466" s="210"/>
      <c r="E2466" s="210"/>
      <c r="F2466" s="210"/>
      <c r="G2466" s="210"/>
      <c r="H2466" s="210"/>
    </row>
    <row r="2467" spans="3:8" x14ac:dyDescent="0.25">
      <c r="C2467" s="210"/>
      <c r="D2467" s="210"/>
      <c r="E2467" s="210"/>
      <c r="F2467" s="210"/>
      <c r="G2467" s="210"/>
      <c r="H2467" s="210"/>
    </row>
    <row r="2468" spans="3:8" x14ac:dyDescent="0.25">
      <c r="C2468" s="210"/>
      <c r="D2468" s="210"/>
      <c r="E2468" s="210"/>
      <c r="F2468" s="210"/>
      <c r="G2468" s="210"/>
      <c r="H2468" s="210"/>
    </row>
    <row r="2469" spans="3:8" x14ac:dyDescent="0.25">
      <c r="C2469" s="210"/>
      <c r="D2469" s="210"/>
      <c r="E2469" s="210"/>
      <c r="F2469" s="210"/>
      <c r="G2469" s="210"/>
      <c r="H2469" s="210"/>
    </row>
    <row r="2470" spans="3:8" x14ac:dyDescent="0.25">
      <c r="C2470" s="210"/>
      <c r="D2470" s="210"/>
      <c r="E2470" s="210"/>
      <c r="F2470" s="210"/>
      <c r="G2470" s="210"/>
      <c r="H2470" s="210"/>
    </row>
    <row r="2471" spans="3:8" x14ac:dyDescent="0.25">
      <c r="C2471" s="210"/>
      <c r="D2471" s="210"/>
      <c r="E2471" s="210"/>
      <c r="F2471" s="210"/>
      <c r="G2471" s="210"/>
      <c r="H2471" s="210"/>
    </row>
    <row r="2472" spans="3:8" x14ac:dyDescent="0.25">
      <c r="C2472" s="210"/>
      <c r="D2472" s="210"/>
      <c r="E2472" s="210"/>
      <c r="F2472" s="210"/>
      <c r="G2472" s="210"/>
      <c r="H2472" s="210"/>
    </row>
    <row r="2473" spans="3:8" x14ac:dyDescent="0.25">
      <c r="C2473" s="210"/>
      <c r="D2473" s="210"/>
      <c r="E2473" s="210"/>
      <c r="F2473" s="210"/>
      <c r="G2473" s="210"/>
      <c r="H2473" s="210"/>
    </row>
    <row r="2474" spans="3:8" x14ac:dyDescent="0.25">
      <c r="C2474" s="210"/>
      <c r="D2474" s="210"/>
      <c r="E2474" s="210"/>
      <c r="F2474" s="210"/>
      <c r="G2474" s="210"/>
      <c r="H2474" s="210"/>
    </row>
    <row r="2475" spans="3:8" x14ac:dyDescent="0.25">
      <c r="C2475" s="210"/>
      <c r="D2475" s="210"/>
      <c r="E2475" s="210"/>
      <c r="F2475" s="210"/>
      <c r="G2475" s="210"/>
      <c r="H2475" s="210"/>
    </row>
    <row r="2476" spans="3:8" x14ac:dyDescent="0.25">
      <c r="C2476" s="210"/>
      <c r="D2476" s="210"/>
      <c r="E2476" s="210"/>
      <c r="F2476" s="210"/>
      <c r="G2476" s="210"/>
      <c r="H2476" s="210"/>
    </row>
    <row r="2477" spans="3:8" x14ac:dyDescent="0.25">
      <c r="C2477" s="210"/>
      <c r="D2477" s="210"/>
      <c r="E2477" s="210"/>
      <c r="F2477" s="210"/>
      <c r="G2477" s="210"/>
      <c r="H2477" s="210"/>
    </row>
    <row r="2478" spans="3:8" x14ac:dyDescent="0.25">
      <c r="C2478" s="210"/>
      <c r="D2478" s="210"/>
      <c r="E2478" s="210"/>
      <c r="F2478" s="210"/>
      <c r="G2478" s="210"/>
      <c r="H2478" s="210"/>
    </row>
    <row r="2479" spans="3:8" x14ac:dyDescent="0.25">
      <c r="C2479" s="210"/>
      <c r="D2479" s="210"/>
      <c r="E2479" s="210"/>
      <c r="F2479" s="210"/>
      <c r="G2479" s="210"/>
      <c r="H2479" s="210"/>
    </row>
    <row r="2480" spans="3:8" x14ac:dyDescent="0.25">
      <c r="C2480" s="210"/>
      <c r="D2480" s="210"/>
      <c r="E2480" s="210"/>
      <c r="F2480" s="210"/>
      <c r="G2480" s="210"/>
      <c r="H2480" s="210"/>
    </row>
    <row r="2481" spans="3:8" x14ac:dyDescent="0.25">
      <c r="C2481" s="210"/>
      <c r="D2481" s="210"/>
      <c r="E2481" s="210"/>
      <c r="F2481" s="210"/>
      <c r="G2481" s="210"/>
      <c r="H2481" s="210"/>
    </row>
    <row r="2482" spans="3:8" x14ac:dyDescent="0.25">
      <c r="C2482" s="210"/>
      <c r="D2482" s="210"/>
      <c r="E2482" s="210"/>
      <c r="F2482" s="210"/>
      <c r="G2482" s="210"/>
      <c r="H2482" s="210"/>
    </row>
    <row r="2483" spans="3:8" x14ac:dyDescent="0.25">
      <c r="C2483" s="210"/>
      <c r="D2483" s="210"/>
      <c r="E2483" s="210"/>
      <c r="F2483" s="210"/>
      <c r="G2483" s="210"/>
      <c r="H2483" s="210"/>
    </row>
    <row r="2484" spans="3:8" x14ac:dyDescent="0.25">
      <c r="C2484" s="210"/>
      <c r="D2484" s="210"/>
      <c r="E2484" s="210"/>
      <c r="F2484" s="210"/>
      <c r="G2484" s="210"/>
      <c r="H2484" s="210"/>
    </row>
    <row r="2485" spans="3:8" x14ac:dyDescent="0.25">
      <c r="C2485" s="210"/>
      <c r="D2485" s="210"/>
      <c r="E2485" s="210"/>
      <c r="F2485" s="210"/>
      <c r="G2485" s="210"/>
      <c r="H2485" s="210"/>
    </row>
    <row r="2486" spans="3:8" x14ac:dyDescent="0.25">
      <c r="C2486" s="210"/>
      <c r="D2486" s="210"/>
      <c r="E2486" s="210"/>
      <c r="F2486" s="210"/>
      <c r="G2486" s="210"/>
      <c r="H2486" s="210"/>
    </row>
    <row r="2487" spans="3:8" x14ac:dyDescent="0.25">
      <c r="C2487" s="210"/>
      <c r="D2487" s="210"/>
      <c r="E2487" s="210"/>
      <c r="F2487" s="210"/>
      <c r="G2487" s="210"/>
      <c r="H2487" s="210"/>
    </row>
    <row r="2488" spans="3:8" x14ac:dyDescent="0.25">
      <c r="C2488" s="210"/>
      <c r="D2488" s="210"/>
      <c r="E2488" s="210"/>
      <c r="F2488" s="210"/>
      <c r="G2488" s="210"/>
      <c r="H2488" s="210"/>
    </row>
    <row r="2489" spans="3:8" x14ac:dyDescent="0.25">
      <c r="C2489" s="210"/>
      <c r="D2489" s="210"/>
      <c r="E2489" s="210"/>
      <c r="F2489" s="210"/>
      <c r="G2489" s="210"/>
      <c r="H2489" s="210"/>
    </row>
    <row r="2490" spans="3:8" x14ac:dyDescent="0.25">
      <c r="C2490" s="210"/>
      <c r="D2490" s="210"/>
      <c r="E2490" s="210"/>
      <c r="F2490" s="210"/>
      <c r="G2490" s="210"/>
      <c r="H2490" s="210"/>
    </row>
    <row r="2491" spans="3:8" x14ac:dyDescent="0.25">
      <c r="C2491" s="210"/>
      <c r="D2491" s="210"/>
      <c r="E2491" s="210"/>
      <c r="F2491" s="210"/>
      <c r="G2491" s="210"/>
      <c r="H2491" s="210"/>
    </row>
    <row r="2492" spans="3:8" x14ac:dyDescent="0.25">
      <c r="C2492" s="210"/>
      <c r="D2492" s="210"/>
      <c r="E2492" s="210"/>
      <c r="F2492" s="210"/>
      <c r="G2492" s="210"/>
      <c r="H2492" s="210"/>
    </row>
    <row r="2493" spans="3:8" x14ac:dyDescent="0.25">
      <c r="C2493" s="210"/>
      <c r="D2493" s="210"/>
      <c r="E2493" s="210"/>
      <c r="F2493" s="210"/>
      <c r="G2493" s="210"/>
      <c r="H2493" s="210"/>
    </row>
    <row r="2494" spans="3:8" x14ac:dyDescent="0.25">
      <c r="C2494" s="210"/>
      <c r="D2494" s="210"/>
      <c r="E2494" s="210"/>
      <c r="F2494" s="210"/>
      <c r="G2494" s="210"/>
      <c r="H2494" s="210"/>
    </row>
    <row r="2495" spans="3:8" x14ac:dyDescent="0.25">
      <c r="C2495" s="210"/>
      <c r="D2495" s="210"/>
      <c r="E2495" s="210"/>
      <c r="F2495" s="210"/>
      <c r="G2495" s="210"/>
      <c r="H2495" s="210"/>
    </row>
    <row r="2496" spans="3:8" x14ac:dyDescent="0.25">
      <c r="C2496" s="210"/>
      <c r="D2496" s="210"/>
      <c r="E2496" s="210"/>
      <c r="F2496" s="210"/>
      <c r="G2496" s="210"/>
      <c r="H2496" s="210"/>
    </row>
    <row r="2497" spans="3:8" x14ac:dyDescent="0.25">
      <c r="C2497" s="210"/>
      <c r="D2497" s="210"/>
      <c r="E2497" s="210"/>
      <c r="F2497" s="210"/>
      <c r="G2497" s="210"/>
      <c r="H2497" s="210"/>
    </row>
    <row r="2498" spans="3:8" x14ac:dyDescent="0.25">
      <c r="C2498" s="210"/>
      <c r="D2498" s="210"/>
      <c r="E2498" s="210"/>
      <c r="F2498" s="210"/>
      <c r="G2498" s="210"/>
      <c r="H2498" s="210"/>
    </row>
    <row r="2499" spans="3:8" x14ac:dyDescent="0.25">
      <c r="C2499" s="210"/>
      <c r="D2499" s="210"/>
      <c r="E2499" s="210"/>
      <c r="F2499" s="210"/>
      <c r="G2499" s="210"/>
      <c r="H2499" s="210"/>
    </row>
    <row r="2500" spans="3:8" x14ac:dyDescent="0.25">
      <c r="C2500" s="210"/>
      <c r="D2500" s="210"/>
      <c r="E2500" s="210"/>
      <c r="F2500" s="210"/>
      <c r="G2500" s="210"/>
      <c r="H2500" s="210"/>
    </row>
    <row r="2501" spans="3:8" x14ac:dyDescent="0.25">
      <c r="C2501" s="210"/>
      <c r="D2501" s="210"/>
      <c r="E2501" s="210"/>
      <c r="F2501" s="210"/>
      <c r="G2501" s="210"/>
      <c r="H2501" s="210"/>
    </row>
    <row r="2502" spans="3:8" x14ac:dyDescent="0.25">
      <c r="C2502" s="210"/>
      <c r="D2502" s="210"/>
      <c r="E2502" s="210"/>
      <c r="F2502" s="210"/>
      <c r="G2502" s="210"/>
      <c r="H2502" s="210"/>
    </row>
    <row r="2503" spans="3:8" x14ac:dyDescent="0.25">
      <c r="C2503" s="210"/>
      <c r="D2503" s="210"/>
      <c r="E2503" s="210"/>
      <c r="F2503" s="210"/>
      <c r="G2503" s="210"/>
      <c r="H2503" s="210"/>
    </row>
    <row r="2504" spans="3:8" x14ac:dyDescent="0.25">
      <c r="C2504" s="210"/>
      <c r="D2504" s="210"/>
      <c r="E2504" s="210"/>
      <c r="F2504" s="210"/>
      <c r="G2504" s="210"/>
      <c r="H2504" s="210"/>
    </row>
    <row r="2505" spans="3:8" x14ac:dyDescent="0.25">
      <c r="C2505" s="210"/>
      <c r="D2505" s="210"/>
      <c r="E2505" s="210"/>
      <c r="F2505" s="210"/>
      <c r="G2505" s="210"/>
      <c r="H2505" s="210"/>
    </row>
    <row r="2506" spans="3:8" x14ac:dyDescent="0.25">
      <c r="C2506" s="210"/>
      <c r="D2506" s="210"/>
      <c r="E2506" s="210"/>
      <c r="F2506" s="210"/>
      <c r="G2506" s="210"/>
      <c r="H2506" s="210"/>
    </row>
    <row r="2507" spans="3:8" x14ac:dyDescent="0.25">
      <c r="C2507" s="210"/>
      <c r="D2507" s="210"/>
      <c r="E2507" s="210"/>
      <c r="F2507" s="210"/>
      <c r="G2507" s="210"/>
      <c r="H2507" s="210"/>
    </row>
    <row r="2508" spans="3:8" x14ac:dyDescent="0.25">
      <c r="C2508" s="210"/>
      <c r="D2508" s="210"/>
      <c r="E2508" s="210"/>
      <c r="F2508" s="210"/>
      <c r="G2508" s="210"/>
      <c r="H2508" s="210"/>
    </row>
    <row r="2509" spans="3:8" x14ac:dyDescent="0.25">
      <c r="C2509" s="210"/>
      <c r="D2509" s="210"/>
      <c r="E2509" s="210"/>
      <c r="F2509" s="210"/>
      <c r="G2509" s="210"/>
      <c r="H2509" s="210"/>
    </row>
    <row r="2510" spans="3:8" x14ac:dyDescent="0.25">
      <c r="C2510" s="210"/>
      <c r="D2510" s="210"/>
      <c r="E2510" s="210"/>
      <c r="F2510" s="210"/>
      <c r="G2510" s="210"/>
      <c r="H2510" s="210"/>
    </row>
    <row r="2511" spans="3:8" x14ac:dyDescent="0.25">
      <c r="C2511" s="210"/>
      <c r="D2511" s="210"/>
      <c r="E2511" s="210"/>
      <c r="F2511" s="210"/>
      <c r="G2511" s="210"/>
      <c r="H2511" s="210"/>
    </row>
    <row r="2512" spans="3:8" x14ac:dyDescent="0.25">
      <c r="C2512" s="210"/>
      <c r="D2512" s="210"/>
      <c r="E2512" s="210"/>
      <c r="F2512" s="210"/>
      <c r="G2512" s="210"/>
      <c r="H2512" s="210"/>
    </row>
    <row r="2513" spans="3:8" x14ac:dyDescent="0.25">
      <c r="C2513" s="210"/>
      <c r="D2513" s="210"/>
      <c r="E2513" s="210"/>
      <c r="F2513" s="210"/>
      <c r="G2513" s="210"/>
      <c r="H2513" s="210"/>
    </row>
    <row r="2514" spans="3:8" x14ac:dyDescent="0.25">
      <c r="C2514" s="210"/>
      <c r="D2514" s="210"/>
      <c r="E2514" s="210"/>
      <c r="F2514" s="210"/>
      <c r="G2514" s="210"/>
      <c r="H2514" s="210"/>
    </row>
    <row r="2515" spans="3:8" x14ac:dyDescent="0.25">
      <c r="C2515" s="210"/>
      <c r="D2515" s="210"/>
      <c r="E2515" s="210"/>
      <c r="F2515" s="210"/>
      <c r="G2515" s="210"/>
      <c r="H2515" s="210"/>
    </row>
    <row r="2516" spans="3:8" x14ac:dyDescent="0.25">
      <c r="C2516" s="210"/>
      <c r="D2516" s="210"/>
      <c r="E2516" s="210"/>
      <c r="F2516" s="210"/>
      <c r="G2516" s="210"/>
      <c r="H2516" s="210"/>
    </row>
    <row r="2517" spans="3:8" x14ac:dyDescent="0.25">
      <c r="C2517" s="210"/>
      <c r="D2517" s="210"/>
      <c r="E2517" s="210"/>
      <c r="F2517" s="210"/>
      <c r="G2517" s="210"/>
      <c r="H2517" s="210"/>
    </row>
    <row r="2518" spans="3:8" x14ac:dyDescent="0.25">
      <c r="C2518" s="210"/>
      <c r="D2518" s="210"/>
      <c r="E2518" s="210"/>
      <c r="F2518" s="210"/>
      <c r="G2518" s="210"/>
      <c r="H2518" s="210"/>
    </row>
    <row r="2519" spans="3:8" x14ac:dyDescent="0.25">
      <c r="C2519" s="210"/>
      <c r="D2519" s="210"/>
      <c r="E2519" s="210"/>
      <c r="F2519" s="210"/>
      <c r="G2519" s="210"/>
      <c r="H2519" s="210"/>
    </row>
    <row r="2520" spans="3:8" x14ac:dyDescent="0.25">
      <c r="C2520" s="210"/>
      <c r="D2520" s="210"/>
      <c r="E2520" s="210"/>
      <c r="F2520" s="210"/>
      <c r="G2520" s="210"/>
      <c r="H2520" s="210"/>
    </row>
    <row r="2521" spans="3:8" x14ac:dyDescent="0.25">
      <c r="C2521" s="210"/>
      <c r="D2521" s="210"/>
      <c r="E2521" s="210"/>
      <c r="F2521" s="210"/>
      <c r="G2521" s="210"/>
      <c r="H2521" s="210"/>
    </row>
    <row r="2522" spans="3:8" x14ac:dyDescent="0.25">
      <c r="C2522" s="210"/>
      <c r="D2522" s="210"/>
      <c r="E2522" s="210"/>
      <c r="F2522" s="210"/>
      <c r="G2522" s="210"/>
      <c r="H2522" s="210"/>
    </row>
    <row r="2523" spans="3:8" x14ac:dyDescent="0.25">
      <c r="C2523" s="210"/>
      <c r="D2523" s="210"/>
      <c r="E2523" s="210"/>
      <c r="F2523" s="210"/>
      <c r="G2523" s="210"/>
      <c r="H2523" s="210"/>
    </row>
    <row r="2524" spans="3:8" x14ac:dyDescent="0.25">
      <c r="C2524" s="210"/>
      <c r="D2524" s="210"/>
      <c r="E2524" s="210"/>
      <c r="F2524" s="210"/>
      <c r="G2524" s="210"/>
      <c r="H2524" s="210"/>
    </row>
    <row r="2525" spans="3:8" x14ac:dyDescent="0.25">
      <c r="C2525" s="210"/>
      <c r="D2525" s="210"/>
      <c r="E2525" s="210"/>
      <c r="F2525" s="210"/>
      <c r="G2525" s="210"/>
      <c r="H2525" s="210"/>
    </row>
    <row r="2526" spans="3:8" x14ac:dyDescent="0.25">
      <c r="C2526" s="210"/>
      <c r="D2526" s="210"/>
      <c r="E2526" s="210"/>
      <c r="F2526" s="210"/>
      <c r="G2526" s="210"/>
      <c r="H2526" s="210"/>
    </row>
    <row r="2527" spans="3:8" x14ac:dyDescent="0.25">
      <c r="C2527" s="210"/>
      <c r="D2527" s="210"/>
      <c r="E2527" s="210"/>
      <c r="F2527" s="210"/>
      <c r="G2527" s="210"/>
      <c r="H2527" s="210"/>
    </row>
    <row r="2528" spans="3:8" x14ac:dyDescent="0.25">
      <c r="C2528" s="210"/>
      <c r="D2528" s="210"/>
      <c r="E2528" s="210"/>
      <c r="F2528" s="210"/>
      <c r="G2528" s="210"/>
      <c r="H2528" s="210"/>
    </row>
    <row r="2529" spans="3:8" x14ac:dyDescent="0.25">
      <c r="C2529" s="210"/>
      <c r="D2529" s="210"/>
      <c r="E2529" s="210"/>
      <c r="F2529" s="210"/>
      <c r="G2529" s="210"/>
      <c r="H2529" s="210"/>
    </row>
    <row r="2530" spans="3:8" x14ac:dyDescent="0.25">
      <c r="C2530" s="210"/>
      <c r="D2530" s="210"/>
      <c r="E2530" s="210"/>
      <c r="F2530" s="210"/>
      <c r="G2530" s="210"/>
      <c r="H2530" s="210"/>
    </row>
    <row r="2531" spans="3:8" x14ac:dyDescent="0.25">
      <c r="C2531" s="210"/>
      <c r="D2531" s="210"/>
      <c r="E2531" s="210"/>
      <c r="F2531" s="210"/>
      <c r="G2531" s="210"/>
      <c r="H2531" s="210"/>
    </row>
    <row r="2532" spans="3:8" x14ac:dyDescent="0.25">
      <c r="C2532" s="210"/>
      <c r="D2532" s="210"/>
      <c r="E2532" s="210"/>
      <c r="F2532" s="210"/>
      <c r="G2532" s="210"/>
      <c r="H2532" s="210"/>
    </row>
    <row r="2533" spans="3:8" x14ac:dyDescent="0.25">
      <c r="C2533" s="210"/>
      <c r="D2533" s="210"/>
      <c r="E2533" s="210"/>
      <c r="F2533" s="210"/>
      <c r="G2533" s="210"/>
      <c r="H2533" s="210"/>
    </row>
    <row r="2534" spans="3:8" x14ac:dyDescent="0.25">
      <c r="C2534" s="210"/>
      <c r="D2534" s="210"/>
      <c r="E2534" s="210"/>
      <c r="F2534" s="210"/>
      <c r="G2534" s="210"/>
      <c r="H2534" s="210"/>
    </row>
    <row r="2535" spans="3:8" x14ac:dyDescent="0.25">
      <c r="C2535" s="210"/>
      <c r="D2535" s="210"/>
      <c r="E2535" s="210"/>
      <c r="F2535" s="210"/>
      <c r="G2535" s="210"/>
      <c r="H2535" s="210"/>
    </row>
    <row r="2536" spans="3:8" x14ac:dyDescent="0.25">
      <c r="C2536" s="210"/>
      <c r="D2536" s="210"/>
      <c r="E2536" s="210"/>
      <c r="F2536" s="210"/>
      <c r="G2536" s="210"/>
      <c r="H2536" s="210"/>
    </row>
    <row r="2537" spans="3:8" x14ac:dyDescent="0.25">
      <c r="C2537" s="210"/>
      <c r="D2537" s="210"/>
      <c r="E2537" s="210"/>
      <c r="F2537" s="210"/>
      <c r="G2537" s="210"/>
      <c r="H2537" s="210"/>
    </row>
    <row r="2538" spans="3:8" x14ac:dyDescent="0.25">
      <c r="C2538" s="210"/>
      <c r="D2538" s="210"/>
      <c r="E2538" s="210"/>
      <c r="F2538" s="210"/>
      <c r="G2538" s="210"/>
      <c r="H2538" s="210"/>
    </row>
    <row r="2539" spans="3:8" x14ac:dyDescent="0.25">
      <c r="C2539" s="210"/>
      <c r="D2539" s="210"/>
      <c r="E2539" s="210"/>
      <c r="F2539" s="210"/>
      <c r="G2539" s="210"/>
      <c r="H2539" s="210"/>
    </row>
    <row r="2540" spans="3:8" x14ac:dyDescent="0.25">
      <c r="C2540" s="210"/>
      <c r="D2540" s="210"/>
      <c r="E2540" s="210"/>
      <c r="F2540" s="210"/>
      <c r="G2540" s="210"/>
      <c r="H2540" s="210"/>
    </row>
    <row r="2541" spans="3:8" x14ac:dyDescent="0.25">
      <c r="C2541" s="210"/>
      <c r="D2541" s="210"/>
      <c r="E2541" s="210"/>
      <c r="F2541" s="210"/>
      <c r="G2541" s="210"/>
      <c r="H2541" s="210"/>
    </row>
    <row r="2542" spans="3:8" x14ac:dyDescent="0.25">
      <c r="C2542" s="210"/>
      <c r="D2542" s="210"/>
      <c r="E2542" s="210"/>
      <c r="F2542" s="210"/>
      <c r="G2542" s="210"/>
      <c r="H2542" s="210"/>
    </row>
    <row r="2543" spans="3:8" x14ac:dyDescent="0.25">
      <c r="C2543" s="210"/>
      <c r="D2543" s="210"/>
      <c r="E2543" s="210"/>
      <c r="F2543" s="210"/>
      <c r="G2543" s="210"/>
      <c r="H2543" s="210"/>
    </row>
    <row r="2544" spans="3:8" x14ac:dyDescent="0.25">
      <c r="C2544" s="210"/>
      <c r="D2544" s="210"/>
      <c r="E2544" s="210"/>
      <c r="F2544" s="210"/>
      <c r="G2544" s="210"/>
      <c r="H2544" s="210"/>
    </row>
    <row r="2545" spans="3:8" x14ac:dyDescent="0.25">
      <c r="C2545" s="210"/>
      <c r="D2545" s="210"/>
      <c r="E2545" s="210"/>
      <c r="F2545" s="210"/>
      <c r="G2545" s="210"/>
      <c r="H2545" s="210"/>
    </row>
    <row r="2546" spans="3:8" x14ac:dyDescent="0.25">
      <c r="C2546" s="210"/>
      <c r="D2546" s="210"/>
      <c r="E2546" s="210"/>
      <c r="F2546" s="210"/>
      <c r="G2546" s="210"/>
      <c r="H2546" s="210"/>
    </row>
    <row r="2547" spans="3:8" x14ac:dyDescent="0.25">
      <c r="C2547" s="210"/>
      <c r="D2547" s="210"/>
      <c r="E2547" s="210"/>
      <c r="F2547" s="210"/>
      <c r="G2547" s="210"/>
      <c r="H2547" s="210"/>
    </row>
    <row r="2548" spans="3:8" x14ac:dyDescent="0.25">
      <c r="C2548" s="210"/>
      <c r="D2548" s="210"/>
      <c r="E2548" s="210"/>
      <c r="F2548" s="210"/>
      <c r="G2548" s="210"/>
      <c r="H2548" s="210"/>
    </row>
    <row r="2549" spans="3:8" x14ac:dyDescent="0.25">
      <c r="C2549" s="210"/>
      <c r="D2549" s="210"/>
      <c r="E2549" s="210"/>
      <c r="F2549" s="210"/>
      <c r="G2549" s="210"/>
      <c r="H2549" s="210"/>
    </row>
    <row r="2550" spans="3:8" x14ac:dyDescent="0.25">
      <c r="C2550" s="210"/>
      <c r="D2550" s="210"/>
      <c r="E2550" s="210"/>
      <c r="F2550" s="210"/>
      <c r="G2550" s="210"/>
      <c r="H2550" s="210"/>
    </row>
    <row r="2551" spans="3:8" x14ac:dyDescent="0.25">
      <c r="C2551" s="210"/>
      <c r="D2551" s="210"/>
      <c r="E2551" s="210"/>
      <c r="F2551" s="210"/>
      <c r="G2551" s="210"/>
      <c r="H2551" s="210"/>
    </row>
    <row r="2552" spans="3:8" x14ac:dyDescent="0.25">
      <c r="C2552" s="210"/>
      <c r="D2552" s="210"/>
      <c r="E2552" s="210"/>
      <c r="F2552" s="210"/>
      <c r="G2552" s="210"/>
      <c r="H2552" s="210"/>
    </row>
    <row r="2553" spans="3:8" x14ac:dyDescent="0.25">
      <c r="C2553" s="210"/>
      <c r="D2553" s="210"/>
      <c r="E2553" s="210"/>
      <c r="F2553" s="210"/>
      <c r="G2553" s="210"/>
      <c r="H2553" s="210"/>
    </row>
    <row r="2554" spans="3:8" x14ac:dyDescent="0.25">
      <c r="C2554" s="210"/>
      <c r="D2554" s="210"/>
      <c r="E2554" s="210"/>
      <c r="F2554" s="210"/>
      <c r="G2554" s="210"/>
      <c r="H2554" s="210"/>
    </row>
    <row r="2555" spans="3:8" x14ac:dyDescent="0.25">
      <c r="C2555" s="210"/>
      <c r="D2555" s="210"/>
      <c r="E2555" s="210"/>
      <c r="F2555" s="210"/>
      <c r="G2555" s="210"/>
      <c r="H2555" s="210"/>
    </row>
    <row r="2556" spans="3:8" x14ac:dyDescent="0.25">
      <c r="C2556" s="210"/>
      <c r="D2556" s="210"/>
      <c r="E2556" s="210"/>
      <c r="F2556" s="210"/>
      <c r="G2556" s="210"/>
      <c r="H2556" s="210"/>
    </row>
    <row r="2557" spans="3:8" x14ac:dyDescent="0.25">
      <c r="C2557" s="210"/>
      <c r="D2557" s="210"/>
      <c r="E2557" s="210"/>
      <c r="F2557" s="210"/>
      <c r="G2557" s="210"/>
      <c r="H2557" s="210"/>
    </row>
    <row r="2558" spans="3:8" x14ac:dyDescent="0.25">
      <c r="C2558" s="210"/>
      <c r="D2558" s="210"/>
      <c r="E2558" s="210"/>
      <c r="F2558" s="210"/>
      <c r="G2558" s="210"/>
      <c r="H2558" s="210"/>
    </row>
    <row r="2559" spans="3:8" x14ac:dyDescent="0.25">
      <c r="C2559" s="210"/>
      <c r="D2559" s="210"/>
      <c r="E2559" s="210"/>
      <c r="F2559" s="210"/>
      <c r="G2559" s="210"/>
      <c r="H2559" s="210"/>
    </row>
    <row r="2560" spans="3:8" x14ac:dyDescent="0.25">
      <c r="C2560" s="210"/>
      <c r="D2560" s="210"/>
      <c r="E2560" s="210"/>
      <c r="F2560" s="210"/>
      <c r="G2560" s="210"/>
      <c r="H2560" s="210"/>
    </row>
    <row r="2561" spans="3:8" x14ac:dyDescent="0.25">
      <c r="C2561" s="210"/>
      <c r="D2561" s="210"/>
      <c r="E2561" s="210"/>
      <c r="F2561" s="210"/>
      <c r="G2561" s="210"/>
      <c r="H2561" s="210"/>
    </row>
    <row r="2562" spans="3:8" x14ac:dyDescent="0.25">
      <c r="C2562" s="210"/>
      <c r="D2562" s="210"/>
      <c r="E2562" s="210"/>
      <c r="F2562" s="210"/>
      <c r="G2562" s="210"/>
      <c r="H2562" s="210"/>
    </row>
    <row r="2563" spans="3:8" x14ac:dyDescent="0.25">
      <c r="C2563" s="210"/>
      <c r="D2563" s="210"/>
      <c r="E2563" s="210"/>
      <c r="F2563" s="210"/>
      <c r="G2563" s="210"/>
      <c r="H2563" s="210"/>
    </row>
    <row r="2564" spans="3:8" x14ac:dyDescent="0.25">
      <c r="C2564" s="210"/>
      <c r="D2564" s="210"/>
      <c r="E2564" s="210"/>
      <c r="F2564" s="210"/>
      <c r="G2564" s="210"/>
      <c r="H2564" s="210"/>
    </row>
    <row r="2565" spans="3:8" x14ac:dyDescent="0.25">
      <c r="C2565" s="210"/>
      <c r="D2565" s="210"/>
      <c r="E2565" s="210"/>
      <c r="F2565" s="210"/>
      <c r="G2565" s="210"/>
      <c r="H2565" s="210"/>
    </row>
    <row r="2566" spans="3:8" x14ac:dyDescent="0.25">
      <c r="C2566" s="210"/>
      <c r="D2566" s="210"/>
      <c r="E2566" s="210"/>
      <c r="F2566" s="210"/>
      <c r="G2566" s="210"/>
      <c r="H2566" s="210"/>
    </row>
    <row r="2567" spans="3:8" x14ac:dyDescent="0.25">
      <c r="C2567" s="210"/>
      <c r="D2567" s="210"/>
      <c r="E2567" s="210"/>
      <c r="F2567" s="210"/>
      <c r="G2567" s="210"/>
      <c r="H2567" s="210"/>
    </row>
    <row r="2568" spans="3:8" x14ac:dyDescent="0.25">
      <c r="C2568" s="210"/>
      <c r="D2568" s="210"/>
      <c r="E2568" s="210"/>
      <c r="F2568" s="210"/>
      <c r="G2568" s="210"/>
      <c r="H2568" s="210"/>
    </row>
    <row r="2569" spans="3:8" x14ac:dyDescent="0.25">
      <c r="C2569" s="210"/>
      <c r="D2569" s="210"/>
      <c r="E2569" s="210"/>
      <c r="F2569" s="210"/>
      <c r="G2569" s="210"/>
      <c r="H2569" s="210"/>
    </row>
    <row r="2570" spans="3:8" x14ac:dyDescent="0.25">
      <c r="C2570" s="210"/>
      <c r="D2570" s="210"/>
      <c r="E2570" s="210"/>
      <c r="F2570" s="210"/>
      <c r="G2570" s="210"/>
      <c r="H2570" s="210"/>
    </row>
    <row r="2571" spans="3:8" x14ac:dyDescent="0.25">
      <c r="C2571" s="210"/>
      <c r="D2571" s="210"/>
      <c r="E2571" s="210"/>
      <c r="F2571" s="210"/>
      <c r="G2571" s="210"/>
      <c r="H2571" s="210"/>
    </row>
    <row r="2572" spans="3:8" x14ac:dyDescent="0.25">
      <c r="C2572" s="210"/>
      <c r="D2572" s="210"/>
      <c r="E2572" s="210"/>
      <c r="F2572" s="210"/>
      <c r="G2572" s="210"/>
      <c r="H2572" s="210"/>
    </row>
    <row r="2573" spans="3:8" x14ac:dyDescent="0.25">
      <c r="C2573" s="210"/>
      <c r="D2573" s="210"/>
      <c r="E2573" s="210"/>
      <c r="F2573" s="210"/>
      <c r="G2573" s="210"/>
      <c r="H2573" s="210"/>
    </row>
    <row r="2574" spans="3:8" x14ac:dyDescent="0.25">
      <c r="C2574" s="210"/>
      <c r="D2574" s="210"/>
      <c r="E2574" s="210"/>
      <c r="F2574" s="210"/>
      <c r="G2574" s="210"/>
      <c r="H2574" s="210"/>
    </row>
    <row r="2575" spans="3:8" x14ac:dyDescent="0.25">
      <c r="C2575" s="210"/>
      <c r="D2575" s="210"/>
      <c r="E2575" s="210"/>
      <c r="F2575" s="210"/>
      <c r="G2575" s="210"/>
      <c r="H2575" s="210"/>
    </row>
    <row r="2576" spans="3:8" x14ac:dyDescent="0.25">
      <c r="C2576" s="210"/>
      <c r="D2576" s="210"/>
      <c r="E2576" s="210"/>
      <c r="F2576" s="210"/>
      <c r="G2576" s="210"/>
      <c r="H2576" s="210"/>
    </row>
    <row r="2577" spans="3:8" x14ac:dyDescent="0.25">
      <c r="C2577" s="210"/>
      <c r="D2577" s="210"/>
      <c r="E2577" s="210"/>
      <c r="F2577" s="210"/>
      <c r="G2577" s="210"/>
      <c r="H2577" s="210"/>
    </row>
    <row r="2578" spans="3:8" x14ac:dyDescent="0.25">
      <c r="C2578" s="210"/>
      <c r="D2578" s="210"/>
      <c r="E2578" s="210"/>
      <c r="F2578" s="210"/>
      <c r="G2578" s="210"/>
      <c r="H2578" s="210"/>
    </row>
    <row r="2579" spans="3:8" x14ac:dyDescent="0.25">
      <c r="C2579" s="210"/>
      <c r="D2579" s="210"/>
      <c r="E2579" s="210"/>
      <c r="F2579" s="210"/>
      <c r="G2579" s="210"/>
      <c r="H2579" s="210"/>
    </row>
    <row r="2580" spans="3:8" x14ac:dyDescent="0.25">
      <c r="C2580" s="210"/>
      <c r="D2580" s="210"/>
      <c r="E2580" s="210"/>
      <c r="F2580" s="210"/>
      <c r="G2580" s="210"/>
      <c r="H2580" s="210"/>
    </row>
    <row r="2581" spans="3:8" x14ac:dyDescent="0.25">
      <c r="C2581" s="210"/>
      <c r="D2581" s="210"/>
      <c r="E2581" s="210"/>
      <c r="F2581" s="210"/>
      <c r="G2581" s="210"/>
      <c r="H2581" s="210"/>
    </row>
    <row r="2582" spans="3:8" x14ac:dyDescent="0.25">
      <c r="C2582" s="210"/>
      <c r="D2582" s="210"/>
      <c r="E2582" s="210"/>
      <c r="F2582" s="210"/>
      <c r="G2582" s="210"/>
      <c r="H2582" s="210"/>
    </row>
    <row r="2583" spans="3:8" x14ac:dyDescent="0.25">
      <c r="C2583" s="210"/>
      <c r="D2583" s="210"/>
      <c r="E2583" s="210"/>
      <c r="F2583" s="210"/>
      <c r="G2583" s="210"/>
      <c r="H2583" s="210"/>
    </row>
    <row r="2584" spans="3:8" x14ac:dyDescent="0.25">
      <c r="C2584" s="210"/>
      <c r="D2584" s="210"/>
      <c r="E2584" s="210"/>
      <c r="F2584" s="210"/>
      <c r="G2584" s="210"/>
      <c r="H2584" s="210"/>
    </row>
    <row r="2585" spans="3:8" x14ac:dyDescent="0.25">
      <c r="C2585" s="210"/>
      <c r="D2585" s="210"/>
      <c r="E2585" s="210"/>
      <c r="F2585" s="210"/>
      <c r="G2585" s="210"/>
      <c r="H2585" s="210"/>
    </row>
    <row r="2586" spans="3:8" x14ac:dyDescent="0.25">
      <c r="C2586" s="210"/>
      <c r="D2586" s="210"/>
      <c r="E2586" s="210"/>
      <c r="F2586" s="210"/>
      <c r="G2586" s="210"/>
      <c r="H2586" s="210"/>
    </row>
    <row r="2587" spans="3:8" x14ac:dyDescent="0.25">
      <c r="C2587" s="210"/>
      <c r="D2587" s="210"/>
      <c r="E2587" s="210"/>
      <c r="F2587" s="210"/>
      <c r="G2587" s="210"/>
      <c r="H2587" s="210"/>
    </row>
    <row r="2588" spans="3:8" x14ac:dyDescent="0.25">
      <c r="C2588" s="210"/>
      <c r="D2588" s="210"/>
      <c r="E2588" s="210"/>
      <c r="F2588" s="210"/>
      <c r="G2588" s="210"/>
      <c r="H2588" s="210"/>
    </row>
    <row r="2589" spans="3:8" x14ac:dyDescent="0.25">
      <c r="C2589" s="210"/>
      <c r="D2589" s="210"/>
      <c r="E2589" s="210"/>
      <c r="F2589" s="210"/>
      <c r="G2589" s="210"/>
      <c r="H2589" s="210"/>
    </row>
    <row r="2590" spans="3:8" x14ac:dyDescent="0.25">
      <c r="C2590" s="210"/>
      <c r="D2590" s="210"/>
      <c r="E2590" s="210"/>
      <c r="F2590" s="210"/>
      <c r="G2590" s="210"/>
      <c r="H2590" s="210"/>
    </row>
    <row r="2591" spans="3:8" x14ac:dyDescent="0.25">
      <c r="C2591" s="210"/>
      <c r="D2591" s="210"/>
      <c r="E2591" s="210"/>
      <c r="F2591" s="210"/>
      <c r="G2591" s="210"/>
      <c r="H2591" s="210"/>
    </row>
    <row r="2592" spans="3:8" x14ac:dyDescent="0.25">
      <c r="C2592" s="210"/>
      <c r="D2592" s="210"/>
      <c r="E2592" s="210"/>
      <c r="F2592" s="210"/>
      <c r="G2592" s="210"/>
      <c r="H2592" s="210"/>
    </row>
    <row r="2593" spans="3:8" x14ac:dyDescent="0.25">
      <c r="C2593" s="210"/>
      <c r="D2593" s="210"/>
      <c r="E2593" s="210"/>
      <c r="F2593" s="210"/>
      <c r="G2593" s="210"/>
      <c r="H2593" s="210"/>
    </row>
    <row r="2594" spans="3:8" x14ac:dyDescent="0.25">
      <c r="C2594" s="210"/>
      <c r="D2594" s="210"/>
      <c r="E2594" s="210"/>
      <c r="F2594" s="210"/>
      <c r="G2594" s="210"/>
      <c r="H2594" s="210"/>
    </row>
    <row r="2595" spans="3:8" x14ac:dyDescent="0.25">
      <c r="C2595" s="210"/>
      <c r="D2595" s="210"/>
      <c r="E2595" s="210"/>
      <c r="F2595" s="210"/>
      <c r="G2595" s="210"/>
      <c r="H2595" s="210"/>
    </row>
    <row r="2596" spans="3:8" x14ac:dyDescent="0.25">
      <c r="C2596" s="210"/>
      <c r="D2596" s="210"/>
      <c r="E2596" s="210"/>
      <c r="F2596" s="210"/>
      <c r="G2596" s="210"/>
      <c r="H2596" s="210"/>
    </row>
    <row r="2597" spans="3:8" x14ac:dyDescent="0.25">
      <c r="C2597" s="210"/>
      <c r="D2597" s="210"/>
      <c r="E2597" s="210"/>
      <c r="F2597" s="210"/>
      <c r="G2597" s="210"/>
      <c r="H2597" s="210"/>
    </row>
    <row r="2598" spans="3:8" x14ac:dyDescent="0.25">
      <c r="C2598" s="210"/>
      <c r="D2598" s="210"/>
      <c r="E2598" s="210"/>
      <c r="F2598" s="210"/>
      <c r="G2598" s="210"/>
      <c r="H2598" s="210"/>
    </row>
    <row r="2599" spans="3:8" x14ac:dyDescent="0.25">
      <c r="C2599" s="210"/>
      <c r="D2599" s="210"/>
      <c r="E2599" s="210"/>
      <c r="F2599" s="210"/>
      <c r="G2599" s="210"/>
      <c r="H2599" s="210"/>
    </row>
    <row r="2600" spans="3:8" x14ac:dyDescent="0.25">
      <c r="C2600" s="210"/>
      <c r="D2600" s="210"/>
      <c r="E2600" s="210"/>
      <c r="F2600" s="210"/>
      <c r="G2600" s="210"/>
      <c r="H2600" s="210"/>
    </row>
    <row r="2601" spans="3:8" x14ac:dyDescent="0.25">
      <c r="C2601" s="210"/>
      <c r="D2601" s="210"/>
      <c r="E2601" s="210"/>
      <c r="F2601" s="210"/>
      <c r="G2601" s="210"/>
      <c r="H2601" s="210"/>
    </row>
    <row r="2602" spans="3:8" x14ac:dyDescent="0.25">
      <c r="C2602" s="210"/>
      <c r="D2602" s="210"/>
      <c r="E2602" s="210"/>
      <c r="F2602" s="210"/>
      <c r="G2602" s="210"/>
      <c r="H2602" s="210"/>
    </row>
    <row r="2603" spans="3:8" x14ac:dyDescent="0.25">
      <c r="C2603" s="210"/>
      <c r="D2603" s="210"/>
      <c r="E2603" s="210"/>
      <c r="F2603" s="210"/>
      <c r="G2603" s="210"/>
      <c r="H2603" s="210"/>
    </row>
    <row r="2604" spans="3:8" x14ac:dyDescent="0.25">
      <c r="C2604" s="210"/>
      <c r="D2604" s="210"/>
      <c r="E2604" s="210"/>
      <c r="F2604" s="210"/>
      <c r="G2604" s="210"/>
      <c r="H2604" s="210"/>
    </row>
    <row r="2605" spans="3:8" x14ac:dyDescent="0.25">
      <c r="C2605" s="210"/>
      <c r="D2605" s="210"/>
      <c r="E2605" s="210"/>
      <c r="F2605" s="210"/>
      <c r="G2605" s="210"/>
      <c r="H2605" s="210"/>
    </row>
    <row r="2606" spans="3:8" x14ac:dyDescent="0.25">
      <c r="C2606" s="210"/>
      <c r="D2606" s="210"/>
      <c r="E2606" s="210"/>
      <c r="F2606" s="210"/>
      <c r="G2606" s="210"/>
      <c r="H2606" s="210"/>
    </row>
    <row r="2607" spans="3:8" x14ac:dyDescent="0.25">
      <c r="C2607" s="210"/>
      <c r="D2607" s="210"/>
      <c r="E2607" s="210"/>
      <c r="F2607" s="210"/>
      <c r="G2607" s="210"/>
      <c r="H2607" s="210"/>
    </row>
    <row r="2608" spans="3:8" x14ac:dyDescent="0.25">
      <c r="C2608" s="210"/>
      <c r="D2608" s="210"/>
      <c r="E2608" s="210"/>
      <c r="F2608" s="210"/>
      <c r="G2608" s="210"/>
      <c r="H2608" s="210"/>
    </row>
    <row r="2609" spans="3:8" x14ac:dyDescent="0.25">
      <c r="C2609" s="210"/>
      <c r="D2609" s="210"/>
      <c r="E2609" s="210"/>
      <c r="F2609" s="210"/>
      <c r="G2609" s="210"/>
      <c r="H2609" s="210"/>
    </row>
    <row r="2610" spans="3:8" x14ac:dyDescent="0.25">
      <c r="C2610" s="210"/>
      <c r="D2610" s="210"/>
      <c r="E2610" s="210"/>
      <c r="F2610" s="210"/>
      <c r="G2610" s="210"/>
      <c r="H2610" s="210"/>
    </row>
    <row r="2611" spans="3:8" x14ac:dyDescent="0.25">
      <c r="C2611" s="210"/>
      <c r="D2611" s="210"/>
      <c r="E2611" s="210"/>
      <c r="F2611" s="210"/>
      <c r="G2611" s="210"/>
      <c r="H2611" s="210"/>
    </row>
    <row r="2612" spans="3:8" x14ac:dyDescent="0.25">
      <c r="C2612" s="210"/>
      <c r="D2612" s="210"/>
      <c r="E2612" s="210"/>
      <c r="F2612" s="210"/>
      <c r="G2612" s="210"/>
      <c r="H2612" s="210"/>
    </row>
    <row r="2613" spans="3:8" x14ac:dyDescent="0.25">
      <c r="C2613" s="210"/>
      <c r="D2613" s="210"/>
      <c r="E2613" s="210"/>
      <c r="F2613" s="210"/>
      <c r="G2613" s="210"/>
      <c r="H2613" s="210"/>
    </row>
    <row r="2614" spans="3:8" x14ac:dyDescent="0.25">
      <c r="C2614" s="210"/>
      <c r="D2614" s="210"/>
      <c r="E2614" s="210"/>
      <c r="F2614" s="210"/>
      <c r="G2614" s="210"/>
      <c r="H2614" s="210"/>
    </row>
    <row r="2615" spans="3:8" x14ac:dyDescent="0.25">
      <c r="C2615" s="210"/>
      <c r="D2615" s="210"/>
      <c r="E2615" s="210"/>
      <c r="F2615" s="210"/>
      <c r="G2615" s="210"/>
      <c r="H2615" s="210"/>
    </row>
    <row r="2616" spans="3:8" x14ac:dyDescent="0.25">
      <c r="C2616" s="210"/>
      <c r="D2616" s="210"/>
      <c r="E2616" s="210"/>
      <c r="F2616" s="210"/>
      <c r="G2616" s="210"/>
      <c r="H2616" s="210"/>
    </row>
    <row r="2617" spans="3:8" x14ac:dyDescent="0.25">
      <c r="C2617" s="210"/>
      <c r="D2617" s="210"/>
      <c r="E2617" s="210"/>
      <c r="F2617" s="210"/>
      <c r="G2617" s="210"/>
      <c r="H2617" s="210"/>
    </row>
    <row r="2618" spans="3:8" x14ac:dyDescent="0.25">
      <c r="C2618" s="210"/>
      <c r="D2618" s="210"/>
      <c r="E2618" s="210"/>
      <c r="F2618" s="210"/>
      <c r="G2618" s="210"/>
      <c r="H2618" s="210"/>
    </row>
    <row r="2619" spans="3:8" x14ac:dyDescent="0.25">
      <c r="C2619" s="210"/>
      <c r="D2619" s="210"/>
      <c r="E2619" s="210"/>
      <c r="F2619" s="210"/>
      <c r="G2619" s="210"/>
      <c r="H2619" s="210"/>
    </row>
    <row r="2620" spans="3:8" x14ac:dyDescent="0.25">
      <c r="C2620" s="210"/>
      <c r="D2620" s="210"/>
      <c r="E2620" s="210"/>
      <c r="F2620" s="210"/>
      <c r="G2620" s="210"/>
      <c r="H2620" s="210"/>
    </row>
    <row r="2621" spans="3:8" x14ac:dyDescent="0.25">
      <c r="C2621" s="210"/>
      <c r="D2621" s="210"/>
      <c r="E2621" s="210"/>
      <c r="F2621" s="210"/>
      <c r="G2621" s="210"/>
      <c r="H2621" s="210"/>
    </row>
    <row r="2622" spans="3:8" x14ac:dyDescent="0.25">
      <c r="C2622" s="210"/>
      <c r="D2622" s="210"/>
      <c r="E2622" s="210"/>
      <c r="F2622" s="210"/>
      <c r="G2622" s="210"/>
      <c r="H2622" s="210"/>
    </row>
    <row r="2623" spans="3:8" x14ac:dyDescent="0.25">
      <c r="C2623" s="210"/>
      <c r="D2623" s="210"/>
      <c r="E2623" s="210"/>
      <c r="F2623" s="210"/>
      <c r="G2623" s="210"/>
      <c r="H2623" s="210"/>
    </row>
    <row r="2624" spans="3:8" x14ac:dyDescent="0.25">
      <c r="C2624" s="210"/>
      <c r="D2624" s="210"/>
      <c r="E2624" s="210"/>
      <c r="F2624" s="210"/>
      <c r="G2624" s="210"/>
      <c r="H2624" s="210"/>
    </row>
    <row r="2625" spans="3:8" x14ac:dyDescent="0.25">
      <c r="C2625" s="210"/>
      <c r="D2625" s="210"/>
      <c r="E2625" s="210"/>
      <c r="F2625" s="210"/>
      <c r="G2625" s="210"/>
      <c r="H2625" s="210"/>
    </row>
    <row r="2626" spans="3:8" x14ac:dyDescent="0.25">
      <c r="C2626" s="210"/>
      <c r="D2626" s="210"/>
      <c r="E2626" s="210"/>
      <c r="F2626" s="210"/>
      <c r="G2626" s="210"/>
      <c r="H2626" s="210"/>
    </row>
    <row r="2627" spans="3:8" x14ac:dyDescent="0.25">
      <c r="C2627" s="210"/>
      <c r="D2627" s="210"/>
      <c r="E2627" s="210"/>
      <c r="F2627" s="210"/>
      <c r="G2627" s="210"/>
      <c r="H2627" s="210"/>
    </row>
    <row r="2628" spans="3:8" x14ac:dyDescent="0.25">
      <c r="C2628" s="210"/>
      <c r="D2628" s="210"/>
      <c r="E2628" s="210"/>
      <c r="F2628" s="210"/>
      <c r="G2628" s="210"/>
      <c r="H2628" s="210"/>
    </row>
    <row r="2629" spans="3:8" x14ac:dyDescent="0.25">
      <c r="C2629" s="210"/>
      <c r="D2629" s="210"/>
      <c r="E2629" s="210"/>
      <c r="F2629" s="210"/>
      <c r="G2629" s="210"/>
      <c r="H2629" s="210"/>
    </row>
    <row r="2630" spans="3:8" x14ac:dyDescent="0.25">
      <c r="C2630" s="210"/>
      <c r="D2630" s="210"/>
      <c r="E2630" s="210"/>
      <c r="F2630" s="210"/>
      <c r="G2630" s="210"/>
      <c r="H2630" s="210"/>
    </row>
    <row r="2631" spans="3:8" x14ac:dyDescent="0.25">
      <c r="C2631" s="210"/>
      <c r="D2631" s="210"/>
      <c r="E2631" s="210"/>
      <c r="F2631" s="210"/>
      <c r="G2631" s="210"/>
      <c r="H2631" s="210"/>
    </row>
    <row r="2632" spans="3:8" x14ac:dyDescent="0.25">
      <c r="C2632" s="210"/>
      <c r="D2632" s="210"/>
      <c r="E2632" s="210"/>
      <c r="F2632" s="210"/>
      <c r="G2632" s="210"/>
      <c r="H2632" s="210"/>
    </row>
    <row r="2633" spans="3:8" x14ac:dyDescent="0.25">
      <c r="C2633" s="210"/>
      <c r="D2633" s="210"/>
      <c r="E2633" s="210"/>
      <c r="F2633" s="210"/>
      <c r="G2633" s="210"/>
      <c r="H2633" s="210"/>
    </row>
    <row r="2634" spans="3:8" x14ac:dyDescent="0.25">
      <c r="C2634" s="210"/>
      <c r="D2634" s="210"/>
      <c r="E2634" s="210"/>
      <c r="F2634" s="210"/>
      <c r="G2634" s="210"/>
      <c r="H2634" s="210"/>
    </row>
    <row r="2635" spans="3:8" x14ac:dyDescent="0.25">
      <c r="C2635" s="210"/>
      <c r="D2635" s="210"/>
      <c r="E2635" s="210"/>
      <c r="F2635" s="210"/>
      <c r="G2635" s="210"/>
      <c r="H2635" s="210"/>
    </row>
    <row r="2636" spans="3:8" x14ac:dyDescent="0.25">
      <c r="C2636" s="210"/>
      <c r="D2636" s="210"/>
      <c r="E2636" s="210"/>
      <c r="F2636" s="210"/>
      <c r="G2636" s="210"/>
      <c r="H2636" s="210"/>
    </row>
    <row r="2637" spans="3:8" x14ac:dyDescent="0.25">
      <c r="C2637" s="210"/>
      <c r="D2637" s="210"/>
      <c r="E2637" s="210"/>
      <c r="F2637" s="210"/>
      <c r="G2637" s="210"/>
      <c r="H2637" s="210"/>
    </row>
    <row r="2638" spans="3:8" x14ac:dyDescent="0.25">
      <c r="C2638" s="210"/>
      <c r="D2638" s="210"/>
      <c r="E2638" s="210"/>
      <c r="F2638" s="210"/>
      <c r="G2638" s="210"/>
      <c r="H2638" s="210"/>
    </row>
    <row r="2639" spans="3:8" x14ac:dyDescent="0.25">
      <c r="C2639" s="210"/>
      <c r="D2639" s="210"/>
      <c r="E2639" s="210"/>
      <c r="F2639" s="210"/>
      <c r="G2639" s="210"/>
      <c r="H2639" s="210"/>
    </row>
    <row r="2640" spans="3:8" x14ac:dyDescent="0.25">
      <c r="C2640" s="210"/>
      <c r="D2640" s="210"/>
      <c r="E2640" s="210"/>
      <c r="F2640" s="210"/>
      <c r="G2640" s="210"/>
      <c r="H2640" s="210"/>
    </row>
    <row r="2641" spans="3:8" x14ac:dyDescent="0.25">
      <c r="C2641" s="210"/>
      <c r="D2641" s="210"/>
      <c r="E2641" s="210"/>
      <c r="F2641" s="210"/>
      <c r="G2641" s="210"/>
      <c r="H2641" s="210"/>
    </row>
    <row r="2642" spans="3:8" x14ac:dyDescent="0.25">
      <c r="C2642" s="210"/>
      <c r="D2642" s="210"/>
      <c r="E2642" s="210"/>
      <c r="F2642" s="210"/>
      <c r="G2642" s="210"/>
      <c r="H2642" s="210"/>
    </row>
    <row r="2643" spans="3:8" x14ac:dyDescent="0.25">
      <c r="C2643" s="210"/>
      <c r="D2643" s="210"/>
      <c r="E2643" s="210"/>
      <c r="F2643" s="210"/>
      <c r="G2643" s="210"/>
      <c r="H2643" s="210"/>
    </row>
    <row r="2644" spans="3:8" x14ac:dyDescent="0.25">
      <c r="C2644" s="210"/>
      <c r="D2644" s="210"/>
      <c r="E2644" s="210"/>
      <c r="F2644" s="210"/>
      <c r="G2644" s="210"/>
      <c r="H2644" s="210"/>
    </row>
    <row r="2645" spans="3:8" x14ac:dyDescent="0.25">
      <c r="C2645" s="210"/>
      <c r="D2645" s="210"/>
      <c r="E2645" s="210"/>
      <c r="F2645" s="210"/>
      <c r="G2645" s="210"/>
      <c r="H2645" s="210"/>
    </row>
    <row r="2646" spans="3:8" x14ac:dyDescent="0.25">
      <c r="C2646" s="210"/>
      <c r="D2646" s="210"/>
      <c r="E2646" s="210"/>
      <c r="F2646" s="210"/>
      <c r="G2646" s="210"/>
      <c r="H2646" s="210"/>
    </row>
    <row r="2647" spans="3:8" x14ac:dyDescent="0.25">
      <c r="C2647" s="210"/>
      <c r="D2647" s="210"/>
      <c r="E2647" s="210"/>
      <c r="F2647" s="210"/>
      <c r="G2647" s="210"/>
      <c r="H2647" s="210"/>
    </row>
    <row r="2648" spans="3:8" x14ac:dyDescent="0.25">
      <c r="C2648" s="210"/>
      <c r="D2648" s="210"/>
      <c r="E2648" s="210"/>
      <c r="F2648" s="210"/>
      <c r="G2648" s="210"/>
      <c r="H2648" s="210"/>
    </row>
    <row r="2649" spans="3:8" x14ac:dyDescent="0.25">
      <c r="C2649" s="210"/>
      <c r="D2649" s="210"/>
      <c r="E2649" s="210"/>
      <c r="F2649" s="210"/>
      <c r="G2649" s="210"/>
      <c r="H2649" s="210"/>
    </row>
    <row r="2650" spans="3:8" x14ac:dyDescent="0.25">
      <c r="C2650" s="210"/>
      <c r="D2650" s="210"/>
      <c r="E2650" s="210"/>
      <c r="F2650" s="210"/>
      <c r="G2650" s="210"/>
      <c r="H2650" s="210"/>
    </row>
    <row r="2651" spans="3:8" x14ac:dyDescent="0.25">
      <c r="C2651" s="210"/>
      <c r="D2651" s="210"/>
      <c r="E2651" s="210"/>
      <c r="F2651" s="210"/>
      <c r="G2651" s="210"/>
      <c r="H2651" s="210"/>
    </row>
    <row r="2652" spans="3:8" x14ac:dyDescent="0.25">
      <c r="C2652" s="210"/>
      <c r="D2652" s="210"/>
      <c r="E2652" s="210"/>
      <c r="F2652" s="210"/>
      <c r="G2652" s="210"/>
      <c r="H2652" s="210"/>
    </row>
    <row r="2653" spans="3:8" x14ac:dyDescent="0.25">
      <c r="C2653" s="210"/>
      <c r="D2653" s="210"/>
      <c r="E2653" s="210"/>
      <c r="F2653" s="210"/>
      <c r="G2653" s="210"/>
      <c r="H2653" s="210"/>
    </row>
    <row r="2654" spans="3:8" x14ac:dyDescent="0.25">
      <c r="C2654" s="210"/>
      <c r="D2654" s="210"/>
      <c r="E2654" s="210"/>
      <c r="F2654" s="210"/>
      <c r="G2654" s="210"/>
      <c r="H2654" s="210"/>
    </row>
    <row r="2655" spans="3:8" x14ac:dyDescent="0.25">
      <c r="C2655" s="210"/>
      <c r="D2655" s="210"/>
      <c r="E2655" s="210"/>
      <c r="F2655" s="210"/>
      <c r="G2655" s="210"/>
      <c r="H2655" s="210"/>
    </row>
    <row r="2656" spans="3:8" x14ac:dyDescent="0.25">
      <c r="C2656" s="210"/>
      <c r="D2656" s="210"/>
      <c r="E2656" s="210"/>
      <c r="F2656" s="210"/>
      <c r="G2656" s="210"/>
      <c r="H2656" s="210"/>
    </row>
    <row r="2657" spans="3:8" x14ac:dyDescent="0.25">
      <c r="C2657" s="210"/>
      <c r="D2657" s="210"/>
      <c r="E2657" s="210"/>
      <c r="F2657" s="210"/>
      <c r="G2657" s="210"/>
      <c r="H2657" s="210"/>
    </row>
    <row r="2658" spans="3:8" x14ac:dyDescent="0.25">
      <c r="C2658" s="210"/>
      <c r="D2658" s="210"/>
      <c r="E2658" s="210"/>
      <c r="F2658" s="210"/>
      <c r="G2658" s="210"/>
      <c r="H2658" s="210"/>
    </row>
    <row r="2659" spans="3:8" x14ac:dyDescent="0.25">
      <c r="C2659" s="210"/>
      <c r="D2659" s="210"/>
      <c r="E2659" s="210"/>
      <c r="F2659" s="210"/>
      <c r="G2659" s="210"/>
      <c r="H2659" s="210"/>
    </row>
    <row r="2660" spans="3:8" x14ac:dyDescent="0.25">
      <c r="C2660" s="210"/>
      <c r="D2660" s="210"/>
      <c r="E2660" s="210"/>
      <c r="F2660" s="210"/>
      <c r="G2660" s="210"/>
      <c r="H2660" s="210"/>
    </row>
    <row r="2661" spans="3:8" x14ac:dyDescent="0.25">
      <c r="C2661" s="210"/>
      <c r="D2661" s="210"/>
      <c r="E2661" s="210"/>
      <c r="F2661" s="210"/>
      <c r="G2661" s="210"/>
      <c r="H2661" s="210"/>
    </row>
    <row r="2662" spans="3:8" x14ac:dyDescent="0.25">
      <c r="C2662" s="210"/>
      <c r="D2662" s="210"/>
      <c r="E2662" s="210"/>
      <c r="F2662" s="210"/>
      <c r="G2662" s="210"/>
      <c r="H2662" s="210"/>
    </row>
    <row r="2663" spans="3:8" x14ac:dyDescent="0.25">
      <c r="C2663" s="210"/>
      <c r="D2663" s="210"/>
      <c r="E2663" s="210"/>
      <c r="F2663" s="210"/>
      <c r="G2663" s="210"/>
      <c r="H2663" s="210"/>
    </row>
    <row r="2664" spans="3:8" x14ac:dyDescent="0.25">
      <c r="C2664" s="210"/>
      <c r="D2664" s="210"/>
      <c r="E2664" s="210"/>
      <c r="F2664" s="210"/>
      <c r="G2664" s="210"/>
      <c r="H2664" s="210"/>
    </row>
    <row r="2665" spans="3:8" x14ac:dyDescent="0.25">
      <c r="C2665" s="210"/>
      <c r="D2665" s="210"/>
      <c r="E2665" s="210"/>
      <c r="F2665" s="210"/>
      <c r="G2665" s="210"/>
      <c r="H2665" s="210"/>
    </row>
    <row r="2666" spans="3:8" x14ac:dyDescent="0.25">
      <c r="C2666" s="210"/>
      <c r="D2666" s="210"/>
      <c r="E2666" s="210"/>
      <c r="F2666" s="210"/>
      <c r="G2666" s="210"/>
      <c r="H2666" s="210"/>
    </row>
    <row r="2667" spans="3:8" x14ac:dyDescent="0.25">
      <c r="C2667" s="210"/>
      <c r="D2667" s="210"/>
      <c r="E2667" s="210"/>
      <c r="F2667" s="210"/>
      <c r="G2667" s="210"/>
      <c r="H2667" s="210"/>
    </row>
    <row r="2668" spans="3:8" x14ac:dyDescent="0.25">
      <c r="C2668" s="210"/>
      <c r="D2668" s="210"/>
      <c r="E2668" s="210"/>
      <c r="F2668" s="210"/>
      <c r="G2668" s="210"/>
      <c r="H2668" s="210"/>
    </row>
    <row r="2669" spans="3:8" x14ac:dyDescent="0.25">
      <c r="C2669" s="210"/>
      <c r="D2669" s="210"/>
      <c r="E2669" s="210"/>
      <c r="F2669" s="210"/>
      <c r="G2669" s="210"/>
      <c r="H2669" s="210"/>
    </row>
    <row r="2670" spans="3:8" x14ac:dyDescent="0.25">
      <c r="C2670" s="210"/>
      <c r="D2670" s="210"/>
      <c r="E2670" s="210"/>
      <c r="F2670" s="210"/>
      <c r="G2670" s="210"/>
      <c r="H2670" s="210"/>
    </row>
    <row r="2671" spans="3:8" x14ac:dyDescent="0.25">
      <c r="C2671" s="210"/>
      <c r="D2671" s="210"/>
      <c r="E2671" s="210"/>
      <c r="F2671" s="210"/>
      <c r="G2671" s="210"/>
      <c r="H2671" s="210"/>
    </row>
    <row r="2672" spans="3:8" x14ac:dyDescent="0.25">
      <c r="C2672" s="210"/>
      <c r="D2672" s="210"/>
      <c r="E2672" s="210"/>
      <c r="F2672" s="210"/>
      <c r="G2672" s="210"/>
      <c r="H2672" s="210"/>
    </row>
    <row r="2673" spans="3:8" x14ac:dyDescent="0.25">
      <c r="C2673" s="210"/>
      <c r="D2673" s="210"/>
      <c r="E2673" s="210"/>
      <c r="F2673" s="210"/>
      <c r="G2673" s="210"/>
      <c r="H2673" s="210"/>
    </row>
    <row r="2674" spans="3:8" x14ac:dyDescent="0.25">
      <c r="C2674" s="210"/>
      <c r="D2674" s="210"/>
      <c r="E2674" s="210"/>
      <c r="F2674" s="210"/>
      <c r="G2674" s="210"/>
      <c r="H2674" s="210"/>
    </row>
    <row r="2675" spans="3:8" x14ac:dyDescent="0.25">
      <c r="C2675" s="210"/>
      <c r="D2675" s="210"/>
      <c r="E2675" s="210"/>
      <c r="F2675" s="210"/>
      <c r="G2675" s="210"/>
      <c r="H2675" s="210"/>
    </row>
    <row r="2676" spans="3:8" x14ac:dyDescent="0.25">
      <c r="C2676" s="210"/>
      <c r="D2676" s="210"/>
      <c r="E2676" s="210"/>
      <c r="F2676" s="210"/>
      <c r="G2676" s="210"/>
      <c r="H2676" s="210"/>
    </row>
    <row r="2677" spans="3:8" x14ac:dyDescent="0.25">
      <c r="C2677" s="210"/>
      <c r="D2677" s="210"/>
      <c r="E2677" s="210"/>
      <c r="F2677" s="210"/>
      <c r="G2677" s="210"/>
      <c r="H2677" s="210"/>
    </row>
    <row r="2678" spans="3:8" x14ac:dyDescent="0.25">
      <c r="C2678" s="210"/>
      <c r="D2678" s="210"/>
      <c r="E2678" s="210"/>
      <c r="F2678" s="210"/>
      <c r="G2678" s="210"/>
      <c r="H2678" s="210"/>
    </row>
    <row r="2679" spans="3:8" x14ac:dyDescent="0.25">
      <c r="C2679" s="210"/>
      <c r="D2679" s="210"/>
      <c r="E2679" s="210"/>
      <c r="F2679" s="210"/>
      <c r="G2679" s="210"/>
      <c r="H2679" s="210"/>
    </row>
    <row r="2680" spans="3:8" x14ac:dyDescent="0.25">
      <c r="C2680" s="210"/>
      <c r="D2680" s="210"/>
      <c r="E2680" s="210"/>
      <c r="F2680" s="210"/>
      <c r="G2680" s="210"/>
      <c r="H2680" s="210"/>
    </row>
    <row r="2681" spans="3:8" x14ac:dyDescent="0.25">
      <c r="C2681" s="210"/>
      <c r="D2681" s="210"/>
      <c r="E2681" s="210"/>
      <c r="F2681" s="210"/>
      <c r="G2681" s="210"/>
      <c r="H2681" s="210"/>
    </row>
    <row r="2682" spans="3:8" x14ac:dyDescent="0.25">
      <c r="C2682" s="210"/>
      <c r="D2682" s="210"/>
      <c r="E2682" s="210"/>
      <c r="F2682" s="210"/>
      <c r="G2682" s="210"/>
      <c r="H2682" s="210"/>
    </row>
    <row r="2683" spans="3:8" x14ac:dyDescent="0.25">
      <c r="C2683" s="210"/>
      <c r="D2683" s="210"/>
      <c r="E2683" s="210"/>
      <c r="F2683" s="210"/>
      <c r="G2683" s="210"/>
      <c r="H2683" s="210"/>
    </row>
    <row r="2684" spans="3:8" x14ac:dyDescent="0.25">
      <c r="C2684" s="210"/>
      <c r="D2684" s="210"/>
      <c r="E2684" s="210"/>
      <c r="F2684" s="210"/>
      <c r="G2684" s="210"/>
      <c r="H2684" s="210"/>
    </row>
    <row r="2685" spans="3:8" x14ac:dyDescent="0.25">
      <c r="C2685" s="210"/>
      <c r="D2685" s="210"/>
      <c r="E2685" s="210"/>
      <c r="F2685" s="210"/>
      <c r="G2685" s="210"/>
      <c r="H2685" s="210"/>
    </row>
    <row r="2686" spans="3:8" x14ac:dyDescent="0.25">
      <c r="C2686" s="210"/>
      <c r="D2686" s="210"/>
      <c r="E2686" s="210"/>
      <c r="F2686" s="210"/>
      <c r="G2686" s="210"/>
      <c r="H2686" s="210"/>
    </row>
    <row r="2687" spans="3:8" x14ac:dyDescent="0.25">
      <c r="C2687" s="210"/>
      <c r="D2687" s="210"/>
      <c r="E2687" s="210"/>
      <c r="F2687" s="210"/>
      <c r="G2687" s="210"/>
      <c r="H2687" s="210"/>
    </row>
    <row r="2688" spans="3:8" x14ac:dyDescent="0.25">
      <c r="C2688" s="210"/>
      <c r="D2688" s="210"/>
      <c r="E2688" s="210"/>
      <c r="F2688" s="210"/>
      <c r="G2688" s="210"/>
      <c r="H2688" s="210"/>
    </row>
    <row r="2689" spans="3:8" x14ac:dyDescent="0.25">
      <c r="C2689" s="210"/>
      <c r="D2689" s="210"/>
      <c r="E2689" s="210"/>
      <c r="F2689" s="210"/>
      <c r="G2689" s="210"/>
      <c r="H2689" s="210"/>
    </row>
    <row r="2690" spans="3:8" x14ac:dyDescent="0.25">
      <c r="C2690" s="210"/>
      <c r="D2690" s="210"/>
      <c r="E2690" s="210"/>
      <c r="F2690" s="210"/>
      <c r="G2690" s="210"/>
      <c r="H2690" s="210"/>
    </row>
    <row r="2691" spans="3:8" x14ac:dyDescent="0.25">
      <c r="C2691" s="210"/>
      <c r="D2691" s="210"/>
      <c r="E2691" s="210"/>
      <c r="F2691" s="210"/>
      <c r="G2691" s="210"/>
      <c r="H2691" s="210"/>
    </row>
    <row r="2692" spans="3:8" x14ac:dyDescent="0.25">
      <c r="C2692" s="210"/>
      <c r="D2692" s="210"/>
      <c r="E2692" s="210"/>
      <c r="F2692" s="210"/>
      <c r="G2692" s="210"/>
      <c r="H2692" s="210"/>
    </row>
    <row r="2693" spans="3:8" x14ac:dyDescent="0.25">
      <c r="C2693" s="210"/>
      <c r="D2693" s="210"/>
      <c r="E2693" s="210"/>
      <c r="F2693" s="210"/>
      <c r="G2693" s="210"/>
      <c r="H2693" s="210"/>
    </row>
    <row r="2694" spans="3:8" x14ac:dyDescent="0.25">
      <c r="C2694" s="210"/>
      <c r="D2694" s="210"/>
      <c r="E2694" s="210"/>
      <c r="F2694" s="210"/>
      <c r="G2694" s="210"/>
      <c r="H2694" s="210"/>
    </row>
    <row r="2695" spans="3:8" x14ac:dyDescent="0.25">
      <c r="C2695" s="210"/>
      <c r="D2695" s="210"/>
      <c r="E2695" s="210"/>
      <c r="F2695" s="210"/>
      <c r="G2695" s="210"/>
      <c r="H2695" s="210"/>
    </row>
    <row r="2696" spans="3:8" x14ac:dyDescent="0.25">
      <c r="C2696" s="210"/>
      <c r="D2696" s="210"/>
      <c r="E2696" s="210"/>
      <c r="F2696" s="210"/>
      <c r="G2696" s="210"/>
      <c r="H2696" s="210"/>
    </row>
    <row r="2697" spans="3:8" x14ac:dyDescent="0.25">
      <c r="C2697" s="210"/>
      <c r="D2697" s="210"/>
      <c r="E2697" s="210"/>
      <c r="F2697" s="210"/>
      <c r="G2697" s="210"/>
      <c r="H2697" s="210"/>
    </row>
    <row r="2698" spans="3:8" x14ac:dyDescent="0.25">
      <c r="C2698" s="210"/>
      <c r="D2698" s="210"/>
      <c r="E2698" s="210"/>
      <c r="F2698" s="210"/>
      <c r="G2698" s="210"/>
      <c r="H2698" s="210"/>
    </row>
    <row r="2699" spans="3:8" x14ac:dyDescent="0.25">
      <c r="C2699" s="210"/>
      <c r="D2699" s="210"/>
      <c r="E2699" s="210"/>
      <c r="F2699" s="210"/>
      <c r="G2699" s="210"/>
      <c r="H2699" s="210"/>
    </row>
    <row r="2700" spans="3:8" x14ac:dyDescent="0.25">
      <c r="C2700" s="210"/>
      <c r="D2700" s="210"/>
      <c r="E2700" s="210"/>
      <c r="F2700" s="210"/>
      <c r="G2700" s="210"/>
      <c r="H2700" s="210"/>
    </row>
    <row r="2701" spans="3:8" x14ac:dyDescent="0.25">
      <c r="C2701" s="210"/>
      <c r="D2701" s="210"/>
      <c r="E2701" s="210"/>
      <c r="F2701" s="210"/>
      <c r="G2701" s="210"/>
      <c r="H2701" s="210"/>
    </row>
    <row r="2702" spans="3:8" x14ac:dyDescent="0.25">
      <c r="C2702" s="210"/>
      <c r="D2702" s="210"/>
      <c r="E2702" s="210"/>
      <c r="F2702" s="210"/>
      <c r="G2702" s="210"/>
      <c r="H2702" s="210"/>
    </row>
    <row r="2703" spans="3:8" x14ac:dyDescent="0.25">
      <c r="C2703" s="210"/>
      <c r="D2703" s="210"/>
      <c r="E2703" s="210"/>
      <c r="F2703" s="210"/>
      <c r="G2703" s="210"/>
      <c r="H2703" s="210"/>
    </row>
    <row r="2704" spans="3:8" x14ac:dyDescent="0.25">
      <c r="C2704" s="210"/>
      <c r="D2704" s="210"/>
      <c r="E2704" s="210"/>
      <c r="F2704" s="210"/>
      <c r="G2704" s="210"/>
      <c r="H2704" s="210"/>
    </row>
    <row r="2705" spans="3:8" x14ac:dyDescent="0.25">
      <c r="C2705" s="210"/>
      <c r="D2705" s="210"/>
      <c r="E2705" s="210"/>
      <c r="F2705" s="210"/>
      <c r="G2705" s="210"/>
      <c r="H2705" s="210"/>
    </row>
    <row r="2706" spans="3:8" x14ac:dyDescent="0.25">
      <c r="C2706" s="210"/>
      <c r="D2706" s="210"/>
      <c r="E2706" s="210"/>
      <c r="F2706" s="210"/>
      <c r="G2706" s="210"/>
      <c r="H2706" s="210"/>
    </row>
    <row r="2707" spans="3:8" x14ac:dyDescent="0.25">
      <c r="C2707" s="210"/>
      <c r="D2707" s="210"/>
      <c r="E2707" s="210"/>
      <c r="F2707" s="210"/>
      <c r="G2707" s="210"/>
      <c r="H2707" s="210"/>
    </row>
    <row r="2708" spans="3:8" x14ac:dyDescent="0.25">
      <c r="C2708" s="210"/>
      <c r="D2708" s="210"/>
      <c r="E2708" s="210"/>
      <c r="F2708" s="210"/>
      <c r="G2708" s="210"/>
      <c r="H2708" s="210"/>
    </row>
    <row r="2709" spans="3:8" x14ac:dyDescent="0.25">
      <c r="C2709" s="210"/>
      <c r="D2709" s="210"/>
      <c r="E2709" s="210"/>
      <c r="F2709" s="210"/>
      <c r="G2709" s="210"/>
      <c r="H2709" s="210"/>
    </row>
    <row r="2710" spans="3:8" x14ac:dyDescent="0.25">
      <c r="C2710" s="210"/>
      <c r="D2710" s="210"/>
      <c r="E2710" s="210"/>
      <c r="F2710" s="210"/>
      <c r="G2710" s="210"/>
      <c r="H2710" s="210"/>
    </row>
    <row r="2711" spans="3:8" x14ac:dyDescent="0.25">
      <c r="C2711" s="210"/>
      <c r="D2711" s="210"/>
      <c r="E2711" s="210"/>
      <c r="F2711" s="210"/>
      <c r="G2711" s="210"/>
      <c r="H2711" s="210"/>
    </row>
    <row r="2712" spans="3:8" x14ac:dyDescent="0.25">
      <c r="C2712" s="210"/>
      <c r="D2712" s="210"/>
      <c r="E2712" s="210"/>
      <c r="F2712" s="210"/>
      <c r="G2712" s="210"/>
      <c r="H2712" s="210"/>
    </row>
    <row r="2713" spans="3:8" x14ac:dyDescent="0.25">
      <c r="C2713" s="210"/>
      <c r="D2713" s="210"/>
      <c r="E2713" s="210"/>
      <c r="F2713" s="210"/>
      <c r="G2713" s="210"/>
      <c r="H2713" s="210"/>
    </row>
    <row r="2714" spans="3:8" x14ac:dyDescent="0.25">
      <c r="C2714" s="210"/>
      <c r="D2714" s="210"/>
      <c r="E2714" s="210"/>
      <c r="F2714" s="210"/>
      <c r="G2714" s="210"/>
      <c r="H2714" s="210"/>
    </row>
    <row r="2715" spans="3:8" x14ac:dyDescent="0.25">
      <c r="C2715" s="210"/>
      <c r="D2715" s="210"/>
      <c r="E2715" s="210"/>
      <c r="F2715" s="210"/>
      <c r="G2715" s="210"/>
      <c r="H2715" s="210"/>
    </row>
    <row r="2716" spans="3:8" x14ac:dyDescent="0.25">
      <c r="C2716" s="210"/>
      <c r="D2716" s="210"/>
      <c r="E2716" s="210"/>
      <c r="F2716" s="210"/>
      <c r="G2716" s="210"/>
      <c r="H2716" s="210"/>
    </row>
    <row r="2717" spans="3:8" x14ac:dyDescent="0.25">
      <c r="C2717" s="210"/>
      <c r="D2717" s="210"/>
      <c r="E2717" s="210"/>
      <c r="F2717" s="210"/>
      <c r="G2717" s="210"/>
      <c r="H2717" s="210"/>
    </row>
    <row r="2718" spans="3:8" x14ac:dyDescent="0.25">
      <c r="C2718" s="210"/>
      <c r="D2718" s="210"/>
      <c r="E2718" s="210"/>
      <c r="F2718" s="210"/>
      <c r="G2718" s="210"/>
      <c r="H2718" s="210"/>
    </row>
    <row r="2719" spans="3:8" x14ac:dyDescent="0.25">
      <c r="C2719" s="210"/>
      <c r="D2719" s="210"/>
      <c r="E2719" s="210"/>
      <c r="F2719" s="210"/>
      <c r="G2719" s="210"/>
      <c r="H2719" s="210"/>
    </row>
    <row r="2720" spans="3:8" x14ac:dyDescent="0.25">
      <c r="C2720" s="210"/>
      <c r="D2720" s="210"/>
      <c r="E2720" s="210"/>
      <c r="F2720" s="210"/>
      <c r="G2720" s="210"/>
      <c r="H2720" s="210"/>
    </row>
    <row r="2721" spans="3:8" x14ac:dyDescent="0.25">
      <c r="C2721" s="210"/>
      <c r="D2721" s="210"/>
      <c r="E2721" s="210"/>
      <c r="F2721" s="210"/>
      <c r="G2721" s="210"/>
      <c r="H2721" s="210"/>
    </row>
    <row r="2722" spans="3:8" x14ac:dyDescent="0.25">
      <c r="C2722" s="210"/>
      <c r="D2722" s="210"/>
      <c r="E2722" s="210"/>
      <c r="F2722" s="210"/>
      <c r="G2722" s="210"/>
      <c r="H2722" s="210"/>
    </row>
    <row r="2723" spans="3:8" x14ac:dyDescent="0.25">
      <c r="C2723" s="210"/>
      <c r="D2723" s="210"/>
      <c r="E2723" s="210"/>
      <c r="F2723" s="210"/>
      <c r="G2723" s="210"/>
      <c r="H2723" s="210"/>
    </row>
    <row r="2724" spans="3:8" x14ac:dyDescent="0.25">
      <c r="C2724" s="210"/>
      <c r="D2724" s="210"/>
      <c r="E2724" s="210"/>
      <c r="F2724" s="210"/>
      <c r="G2724" s="210"/>
      <c r="H2724" s="210"/>
    </row>
    <row r="2725" spans="3:8" x14ac:dyDescent="0.25">
      <c r="C2725" s="210"/>
      <c r="D2725" s="210"/>
      <c r="E2725" s="210"/>
      <c r="F2725" s="210"/>
      <c r="G2725" s="210"/>
      <c r="H2725" s="210"/>
    </row>
    <row r="2726" spans="3:8" x14ac:dyDescent="0.25">
      <c r="C2726" s="210"/>
      <c r="D2726" s="210"/>
      <c r="E2726" s="210"/>
      <c r="F2726" s="210"/>
      <c r="G2726" s="210"/>
      <c r="H2726" s="210"/>
    </row>
    <row r="2727" spans="3:8" x14ac:dyDescent="0.25">
      <c r="C2727" s="210"/>
      <c r="D2727" s="210"/>
      <c r="E2727" s="210"/>
      <c r="F2727" s="210"/>
      <c r="G2727" s="210"/>
      <c r="H2727" s="210"/>
    </row>
    <row r="2728" spans="3:8" x14ac:dyDescent="0.25">
      <c r="C2728" s="210"/>
      <c r="D2728" s="210"/>
      <c r="E2728" s="210"/>
      <c r="F2728" s="210"/>
      <c r="G2728" s="210"/>
      <c r="H2728" s="210"/>
    </row>
    <row r="2729" spans="3:8" x14ac:dyDescent="0.25">
      <c r="C2729" s="210"/>
      <c r="D2729" s="210"/>
      <c r="E2729" s="210"/>
      <c r="F2729" s="210"/>
      <c r="G2729" s="210"/>
      <c r="H2729" s="210"/>
    </row>
    <row r="2730" spans="3:8" x14ac:dyDescent="0.25">
      <c r="C2730" s="210"/>
      <c r="D2730" s="210"/>
      <c r="E2730" s="210"/>
      <c r="F2730" s="210"/>
      <c r="G2730" s="210"/>
      <c r="H2730" s="210"/>
    </row>
    <row r="2731" spans="3:8" x14ac:dyDescent="0.25">
      <c r="C2731" s="210"/>
      <c r="D2731" s="210"/>
      <c r="E2731" s="210"/>
      <c r="F2731" s="210"/>
      <c r="G2731" s="210"/>
      <c r="H2731" s="210"/>
    </row>
    <row r="2732" spans="3:8" x14ac:dyDescent="0.25">
      <c r="C2732" s="210"/>
      <c r="D2732" s="210"/>
      <c r="E2732" s="210"/>
      <c r="F2732" s="210"/>
      <c r="G2732" s="210"/>
      <c r="H2732" s="210"/>
    </row>
    <row r="2733" spans="3:8" x14ac:dyDescent="0.25">
      <c r="C2733" s="210"/>
      <c r="D2733" s="210"/>
      <c r="E2733" s="210"/>
      <c r="F2733" s="210"/>
      <c r="G2733" s="210"/>
      <c r="H2733" s="210"/>
    </row>
    <row r="2734" spans="3:8" x14ac:dyDescent="0.25">
      <c r="C2734" s="210"/>
      <c r="D2734" s="210"/>
      <c r="E2734" s="210"/>
      <c r="F2734" s="210"/>
      <c r="G2734" s="210"/>
      <c r="H2734" s="210"/>
    </row>
    <row r="2735" spans="3:8" x14ac:dyDescent="0.25">
      <c r="C2735" s="210"/>
      <c r="D2735" s="210"/>
      <c r="E2735" s="210"/>
      <c r="F2735" s="210"/>
      <c r="G2735" s="210"/>
      <c r="H2735" s="210"/>
    </row>
    <row r="2736" spans="3:8" x14ac:dyDescent="0.25">
      <c r="C2736" s="210"/>
      <c r="D2736" s="210"/>
      <c r="E2736" s="210"/>
      <c r="F2736" s="210"/>
      <c r="G2736" s="210"/>
      <c r="H2736" s="210"/>
    </row>
    <row r="2737" spans="3:8" x14ac:dyDescent="0.25">
      <c r="C2737" s="210"/>
      <c r="D2737" s="210"/>
      <c r="E2737" s="210"/>
      <c r="F2737" s="210"/>
      <c r="G2737" s="210"/>
      <c r="H2737" s="210"/>
    </row>
    <row r="2738" spans="3:8" x14ac:dyDescent="0.25">
      <c r="C2738" s="210"/>
      <c r="D2738" s="210"/>
      <c r="E2738" s="210"/>
      <c r="F2738" s="210"/>
      <c r="G2738" s="210"/>
      <c r="H2738" s="210"/>
    </row>
    <row r="2739" spans="3:8" x14ac:dyDescent="0.25">
      <c r="C2739" s="210"/>
      <c r="D2739" s="210"/>
      <c r="E2739" s="210"/>
      <c r="F2739" s="210"/>
      <c r="G2739" s="210"/>
      <c r="H2739" s="210"/>
    </row>
    <row r="2740" spans="3:8" x14ac:dyDescent="0.25">
      <c r="C2740" s="210"/>
      <c r="D2740" s="210"/>
      <c r="E2740" s="210"/>
      <c r="F2740" s="210"/>
      <c r="G2740" s="210"/>
      <c r="H2740" s="210"/>
    </row>
    <row r="2741" spans="3:8" x14ac:dyDescent="0.25">
      <c r="C2741" s="210"/>
      <c r="D2741" s="210"/>
      <c r="E2741" s="210"/>
      <c r="F2741" s="210"/>
      <c r="G2741" s="210"/>
      <c r="H2741" s="210"/>
    </row>
    <row r="2742" spans="3:8" x14ac:dyDescent="0.25">
      <c r="C2742" s="210"/>
      <c r="D2742" s="210"/>
      <c r="E2742" s="210"/>
      <c r="F2742" s="210"/>
      <c r="G2742" s="210"/>
      <c r="H2742" s="210"/>
    </row>
    <row r="2743" spans="3:8" x14ac:dyDescent="0.25">
      <c r="C2743" s="210"/>
      <c r="D2743" s="210"/>
      <c r="E2743" s="210"/>
      <c r="F2743" s="210"/>
      <c r="G2743" s="210"/>
      <c r="H2743" s="210"/>
    </row>
    <row r="2744" spans="3:8" x14ac:dyDescent="0.25">
      <c r="C2744" s="210"/>
      <c r="D2744" s="210"/>
      <c r="E2744" s="210"/>
      <c r="F2744" s="210"/>
      <c r="G2744" s="210"/>
      <c r="H2744" s="210"/>
    </row>
    <row r="2745" spans="3:8" x14ac:dyDescent="0.25">
      <c r="C2745" s="210"/>
      <c r="D2745" s="210"/>
      <c r="E2745" s="210"/>
      <c r="F2745" s="210"/>
      <c r="G2745" s="210"/>
      <c r="H2745" s="210"/>
    </row>
    <row r="2746" spans="3:8" x14ac:dyDescent="0.25">
      <c r="C2746" s="210"/>
      <c r="D2746" s="210"/>
      <c r="E2746" s="210"/>
      <c r="F2746" s="210"/>
      <c r="G2746" s="210"/>
      <c r="H2746" s="210"/>
    </row>
    <row r="2747" spans="3:8" x14ac:dyDescent="0.25">
      <c r="C2747" s="210"/>
      <c r="D2747" s="210"/>
      <c r="E2747" s="210"/>
      <c r="F2747" s="210"/>
      <c r="G2747" s="210"/>
      <c r="H2747" s="210"/>
    </row>
    <row r="2748" spans="3:8" x14ac:dyDescent="0.25">
      <c r="C2748" s="210"/>
      <c r="D2748" s="210"/>
      <c r="E2748" s="210"/>
      <c r="F2748" s="210"/>
      <c r="G2748" s="210"/>
      <c r="H2748" s="210"/>
    </row>
    <row r="2749" spans="3:8" x14ac:dyDescent="0.25">
      <c r="C2749" s="210"/>
      <c r="D2749" s="210"/>
      <c r="E2749" s="210"/>
      <c r="F2749" s="210"/>
      <c r="G2749" s="210"/>
      <c r="H2749" s="210"/>
    </row>
    <row r="2750" spans="3:8" x14ac:dyDescent="0.25">
      <c r="C2750" s="210"/>
      <c r="D2750" s="210"/>
      <c r="E2750" s="210"/>
      <c r="F2750" s="210"/>
      <c r="G2750" s="210"/>
      <c r="H2750" s="210"/>
    </row>
    <row r="2751" spans="3:8" x14ac:dyDescent="0.25">
      <c r="C2751" s="210"/>
      <c r="D2751" s="210"/>
      <c r="E2751" s="210"/>
      <c r="F2751" s="210"/>
      <c r="G2751" s="210"/>
      <c r="H2751" s="210"/>
    </row>
    <row r="2752" spans="3:8" x14ac:dyDescent="0.25">
      <c r="C2752" s="210"/>
      <c r="D2752" s="210"/>
      <c r="E2752" s="210"/>
      <c r="F2752" s="210"/>
      <c r="G2752" s="210"/>
      <c r="H2752" s="210"/>
    </row>
    <row r="2753" spans="3:8" x14ac:dyDescent="0.25">
      <c r="C2753" s="210"/>
      <c r="D2753" s="210"/>
      <c r="E2753" s="210"/>
      <c r="F2753" s="210"/>
      <c r="G2753" s="210"/>
      <c r="H2753" s="210"/>
    </row>
    <row r="2754" spans="3:8" x14ac:dyDescent="0.25">
      <c r="C2754" s="210"/>
      <c r="D2754" s="210"/>
      <c r="E2754" s="210"/>
      <c r="F2754" s="210"/>
      <c r="G2754" s="210"/>
      <c r="H2754" s="210"/>
    </row>
    <row r="2755" spans="3:8" x14ac:dyDescent="0.25">
      <c r="C2755" s="210"/>
      <c r="D2755" s="210"/>
      <c r="E2755" s="210"/>
      <c r="F2755" s="210"/>
      <c r="G2755" s="210"/>
      <c r="H2755" s="210"/>
    </row>
    <row r="2756" spans="3:8" x14ac:dyDescent="0.25">
      <c r="C2756" s="210"/>
      <c r="D2756" s="210"/>
      <c r="E2756" s="210"/>
      <c r="F2756" s="210"/>
      <c r="G2756" s="210"/>
      <c r="H2756" s="210"/>
    </row>
    <row r="2757" spans="3:8" x14ac:dyDescent="0.25">
      <c r="C2757" s="210"/>
      <c r="D2757" s="210"/>
      <c r="E2757" s="210"/>
      <c r="F2757" s="210"/>
      <c r="G2757" s="210"/>
      <c r="H2757" s="210"/>
    </row>
    <row r="2758" spans="3:8" x14ac:dyDescent="0.25">
      <c r="C2758" s="210"/>
      <c r="D2758" s="210"/>
      <c r="E2758" s="210"/>
      <c r="F2758" s="210"/>
      <c r="G2758" s="210"/>
      <c r="H2758" s="210"/>
    </row>
    <row r="2759" spans="3:8" x14ac:dyDescent="0.25">
      <c r="C2759" s="210"/>
      <c r="D2759" s="210"/>
      <c r="E2759" s="210"/>
      <c r="F2759" s="210"/>
      <c r="G2759" s="210"/>
      <c r="H2759" s="210"/>
    </row>
    <row r="2760" spans="3:8" x14ac:dyDescent="0.25">
      <c r="C2760" s="210"/>
      <c r="D2760" s="210"/>
      <c r="E2760" s="210"/>
      <c r="F2760" s="210"/>
      <c r="G2760" s="210"/>
      <c r="H2760" s="210"/>
    </row>
    <row r="2761" spans="3:8" x14ac:dyDescent="0.25">
      <c r="C2761" s="210"/>
      <c r="D2761" s="210"/>
      <c r="E2761" s="210"/>
      <c r="F2761" s="210"/>
      <c r="G2761" s="210"/>
      <c r="H2761" s="210"/>
    </row>
    <row r="2762" spans="3:8" x14ac:dyDescent="0.25">
      <c r="C2762" s="210"/>
      <c r="D2762" s="210"/>
      <c r="E2762" s="210"/>
      <c r="F2762" s="210"/>
      <c r="G2762" s="210"/>
      <c r="H2762" s="210"/>
    </row>
    <row r="2763" spans="3:8" x14ac:dyDescent="0.25">
      <c r="C2763" s="210"/>
      <c r="D2763" s="210"/>
      <c r="E2763" s="210"/>
      <c r="F2763" s="210"/>
      <c r="G2763" s="210"/>
      <c r="H2763" s="210"/>
    </row>
    <row r="2764" spans="3:8" x14ac:dyDescent="0.25">
      <c r="C2764" s="210"/>
      <c r="D2764" s="210"/>
      <c r="E2764" s="210"/>
      <c r="F2764" s="210"/>
      <c r="G2764" s="210"/>
      <c r="H2764" s="210"/>
    </row>
    <row r="2765" spans="3:8" x14ac:dyDescent="0.25">
      <c r="C2765" s="210"/>
      <c r="D2765" s="210"/>
      <c r="E2765" s="210"/>
      <c r="F2765" s="210"/>
      <c r="G2765" s="210"/>
      <c r="H2765" s="210"/>
    </row>
    <row r="2766" spans="3:8" x14ac:dyDescent="0.25">
      <c r="C2766" s="210"/>
      <c r="D2766" s="210"/>
      <c r="E2766" s="210"/>
      <c r="F2766" s="210"/>
      <c r="G2766" s="210"/>
      <c r="H2766" s="210"/>
    </row>
    <row r="2767" spans="3:8" x14ac:dyDescent="0.25">
      <c r="C2767" s="210"/>
      <c r="D2767" s="210"/>
      <c r="E2767" s="210"/>
      <c r="F2767" s="210"/>
      <c r="G2767" s="210"/>
      <c r="H2767" s="210"/>
    </row>
    <row r="2768" spans="3:8" x14ac:dyDescent="0.25">
      <c r="C2768" s="210"/>
      <c r="D2768" s="210"/>
      <c r="E2768" s="210"/>
      <c r="F2768" s="210"/>
      <c r="G2768" s="210"/>
      <c r="H2768" s="210"/>
    </row>
    <row r="2769" spans="3:8" x14ac:dyDescent="0.25">
      <c r="C2769" s="210"/>
      <c r="D2769" s="210"/>
      <c r="E2769" s="210"/>
      <c r="F2769" s="210"/>
      <c r="G2769" s="210"/>
      <c r="H2769" s="210"/>
    </row>
    <row r="2770" spans="3:8" x14ac:dyDescent="0.25">
      <c r="C2770" s="210"/>
      <c r="D2770" s="210"/>
      <c r="E2770" s="210"/>
      <c r="F2770" s="210"/>
      <c r="G2770" s="210"/>
      <c r="H2770" s="210"/>
    </row>
    <row r="2771" spans="3:8" x14ac:dyDescent="0.25">
      <c r="C2771" s="210"/>
      <c r="D2771" s="210"/>
      <c r="E2771" s="210"/>
      <c r="F2771" s="210"/>
      <c r="G2771" s="210"/>
      <c r="H2771" s="210"/>
    </row>
    <row r="2772" spans="3:8" x14ac:dyDescent="0.25">
      <c r="C2772" s="210"/>
      <c r="D2772" s="210"/>
      <c r="E2772" s="210"/>
      <c r="F2772" s="210"/>
      <c r="G2772" s="210"/>
      <c r="H2772" s="210"/>
    </row>
    <row r="2773" spans="3:8" x14ac:dyDescent="0.25">
      <c r="C2773" s="210"/>
      <c r="D2773" s="210"/>
      <c r="E2773" s="210"/>
      <c r="F2773" s="210"/>
      <c r="G2773" s="210"/>
      <c r="H2773" s="210"/>
    </row>
    <row r="2774" spans="3:8" x14ac:dyDescent="0.25">
      <c r="C2774" s="210"/>
      <c r="D2774" s="210"/>
      <c r="E2774" s="210"/>
      <c r="F2774" s="210"/>
      <c r="G2774" s="210"/>
      <c r="H2774" s="210"/>
    </row>
    <row r="2775" spans="3:8" x14ac:dyDescent="0.25">
      <c r="C2775" s="210"/>
      <c r="D2775" s="210"/>
      <c r="E2775" s="210"/>
      <c r="F2775" s="210"/>
      <c r="G2775" s="210"/>
      <c r="H2775" s="210"/>
    </row>
    <row r="2776" spans="3:8" x14ac:dyDescent="0.25">
      <c r="C2776" s="210"/>
      <c r="D2776" s="210"/>
      <c r="E2776" s="210"/>
      <c r="F2776" s="210"/>
      <c r="G2776" s="210"/>
      <c r="H2776" s="210"/>
    </row>
    <row r="2777" spans="3:8" x14ac:dyDescent="0.25">
      <c r="C2777" s="210"/>
      <c r="D2777" s="210"/>
      <c r="E2777" s="210"/>
      <c r="F2777" s="210"/>
      <c r="G2777" s="210"/>
      <c r="H2777" s="210"/>
    </row>
    <row r="2778" spans="3:8" x14ac:dyDescent="0.25">
      <c r="C2778" s="210"/>
      <c r="D2778" s="210"/>
      <c r="E2778" s="210"/>
      <c r="F2778" s="210"/>
      <c r="G2778" s="210"/>
      <c r="H2778" s="210"/>
    </row>
    <row r="2779" spans="3:8" x14ac:dyDescent="0.25">
      <c r="C2779" s="210"/>
      <c r="D2779" s="210"/>
      <c r="E2779" s="210"/>
      <c r="F2779" s="210"/>
      <c r="G2779" s="210"/>
      <c r="H2779" s="210"/>
    </row>
    <row r="2780" spans="3:8" x14ac:dyDescent="0.25">
      <c r="C2780" s="210"/>
      <c r="D2780" s="210"/>
      <c r="E2780" s="210"/>
      <c r="F2780" s="210"/>
      <c r="G2780" s="210"/>
      <c r="H2780" s="210"/>
    </row>
    <row r="2781" spans="3:8" x14ac:dyDescent="0.25">
      <c r="C2781" s="210"/>
      <c r="D2781" s="210"/>
      <c r="E2781" s="210"/>
      <c r="F2781" s="210"/>
      <c r="G2781" s="210"/>
      <c r="H2781" s="210"/>
    </row>
    <row r="2782" spans="3:8" x14ac:dyDescent="0.25">
      <c r="C2782" s="210"/>
      <c r="D2782" s="210"/>
      <c r="E2782" s="210"/>
      <c r="F2782" s="210"/>
      <c r="G2782" s="210"/>
      <c r="H2782" s="210"/>
    </row>
    <row r="2783" spans="3:8" x14ac:dyDescent="0.25">
      <c r="C2783" s="210"/>
      <c r="D2783" s="210"/>
      <c r="E2783" s="210"/>
      <c r="F2783" s="210"/>
      <c r="G2783" s="210"/>
      <c r="H2783" s="210"/>
    </row>
    <row r="2784" spans="3:8" x14ac:dyDescent="0.25">
      <c r="C2784" s="210"/>
      <c r="D2784" s="210"/>
      <c r="E2784" s="210"/>
      <c r="F2784" s="210"/>
      <c r="G2784" s="210"/>
      <c r="H2784" s="210"/>
    </row>
    <row r="2785" spans="3:8" x14ac:dyDescent="0.25">
      <c r="C2785" s="210"/>
      <c r="D2785" s="210"/>
      <c r="E2785" s="210"/>
      <c r="F2785" s="210"/>
      <c r="G2785" s="210"/>
      <c r="H2785" s="210"/>
    </row>
    <row r="2786" spans="3:8" x14ac:dyDescent="0.25">
      <c r="C2786" s="210"/>
      <c r="D2786" s="210"/>
      <c r="E2786" s="210"/>
      <c r="F2786" s="210"/>
      <c r="G2786" s="210"/>
      <c r="H2786" s="210"/>
    </row>
    <row r="2787" spans="3:8" x14ac:dyDescent="0.25">
      <c r="C2787" s="210"/>
      <c r="D2787" s="210"/>
      <c r="E2787" s="210"/>
      <c r="F2787" s="210"/>
      <c r="G2787" s="210"/>
      <c r="H2787" s="210"/>
    </row>
    <row r="2788" spans="3:8" x14ac:dyDescent="0.25">
      <c r="C2788" s="210"/>
      <c r="D2788" s="210"/>
      <c r="E2788" s="210"/>
      <c r="F2788" s="210"/>
      <c r="G2788" s="210"/>
      <c r="H2788" s="210"/>
    </row>
    <row r="2789" spans="3:8" x14ac:dyDescent="0.25">
      <c r="C2789" s="210"/>
      <c r="D2789" s="210"/>
      <c r="E2789" s="210"/>
      <c r="F2789" s="210"/>
      <c r="G2789" s="210"/>
      <c r="H2789" s="210"/>
    </row>
    <row r="2790" spans="3:8" x14ac:dyDescent="0.25">
      <c r="C2790" s="210"/>
      <c r="D2790" s="210"/>
      <c r="E2790" s="210"/>
      <c r="F2790" s="210"/>
      <c r="G2790" s="210"/>
      <c r="H2790" s="210"/>
    </row>
    <row r="2791" spans="3:8" x14ac:dyDescent="0.25">
      <c r="C2791" s="210"/>
      <c r="D2791" s="210"/>
      <c r="E2791" s="210"/>
      <c r="F2791" s="210"/>
      <c r="G2791" s="210"/>
      <c r="H2791" s="210"/>
    </row>
    <row r="2792" spans="3:8" x14ac:dyDescent="0.25">
      <c r="C2792" s="210"/>
      <c r="D2792" s="210"/>
      <c r="E2792" s="210"/>
      <c r="F2792" s="210"/>
      <c r="G2792" s="210"/>
      <c r="H2792" s="210"/>
    </row>
    <row r="2793" spans="3:8" x14ac:dyDescent="0.25">
      <c r="C2793" s="210"/>
      <c r="D2793" s="210"/>
      <c r="E2793" s="210"/>
      <c r="F2793" s="210"/>
      <c r="G2793" s="210"/>
      <c r="H2793" s="210"/>
    </row>
    <row r="2794" spans="3:8" x14ac:dyDescent="0.25">
      <c r="C2794" s="210"/>
      <c r="D2794" s="210"/>
      <c r="E2794" s="210"/>
      <c r="F2794" s="210"/>
      <c r="G2794" s="210"/>
      <c r="H2794" s="210"/>
    </row>
    <row r="2795" spans="3:8" x14ac:dyDescent="0.25">
      <c r="C2795" s="210"/>
      <c r="D2795" s="210"/>
      <c r="E2795" s="210"/>
      <c r="F2795" s="210"/>
      <c r="G2795" s="210"/>
      <c r="H2795" s="210"/>
    </row>
    <row r="2796" spans="3:8" x14ac:dyDescent="0.25">
      <c r="C2796" s="210"/>
      <c r="D2796" s="210"/>
      <c r="E2796" s="210"/>
      <c r="F2796" s="210"/>
      <c r="G2796" s="210"/>
      <c r="H2796" s="210"/>
    </row>
    <row r="2797" spans="3:8" x14ac:dyDescent="0.25">
      <c r="C2797" s="210"/>
      <c r="D2797" s="210"/>
      <c r="E2797" s="210"/>
      <c r="F2797" s="210"/>
      <c r="G2797" s="210"/>
      <c r="H2797" s="210"/>
    </row>
    <row r="2798" spans="3:8" x14ac:dyDescent="0.25">
      <c r="C2798" s="210"/>
      <c r="D2798" s="210"/>
      <c r="E2798" s="210"/>
      <c r="F2798" s="210"/>
      <c r="G2798" s="210"/>
      <c r="H2798" s="210"/>
    </row>
    <row r="2799" spans="3:8" x14ac:dyDescent="0.25">
      <c r="C2799" s="210"/>
      <c r="D2799" s="210"/>
      <c r="E2799" s="210"/>
      <c r="F2799" s="210"/>
      <c r="G2799" s="210"/>
      <c r="H2799" s="210"/>
    </row>
    <row r="2800" spans="3:8" x14ac:dyDescent="0.25">
      <c r="C2800" s="210"/>
      <c r="D2800" s="210"/>
      <c r="E2800" s="210"/>
      <c r="F2800" s="210"/>
      <c r="G2800" s="210"/>
      <c r="H2800" s="210"/>
    </row>
    <row r="2801" spans="3:8" x14ac:dyDescent="0.25">
      <c r="C2801" s="210"/>
      <c r="D2801" s="210"/>
      <c r="E2801" s="210"/>
      <c r="F2801" s="210"/>
      <c r="G2801" s="210"/>
      <c r="H2801" s="210"/>
    </row>
    <row r="2802" spans="3:8" x14ac:dyDescent="0.25">
      <c r="C2802" s="210"/>
      <c r="D2802" s="210"/>
      <c r="E2802" s="210"/>
      <c r="F2802" s="210"/>
      <c r="G2802" s="210"/>
      <c r="H2802" s="210"/>
    </row>
    <row r="2803" spans="3:8" x14ac:dyDescent="0.25">
      <c r="C2803" s="210"/>
      <c r="D2803" s="210"/>
      <c r="E2803" s="210"/>
      <c r="F2803" s="210"/>
      <c r="G2803" s="210"/>
      <c r="H2803" s="210"/>
    </row>
    <row r="2804" spans="3:8" x14ac:dyDescent="0.25">
      <c r="C2804" s="210"/>
      <c r="D2804" s="210"/>
      <c r="E2804" s="210"/>
      <c r="F2804" s="210"/>
      <c r="G2804" s="210"/>
      <c r="H2804" s="210"/>
    </row>
    <row r="2805" spans="3:8" x14ac:dyDescent="0.25">
      <c r="C2805" s="210"/>
      <c r="D2805" s="210"/>
      <c r="E2805" s="210"/>
      <c r="F2805" s="210"/>
      <c r="G2805" s="210"/>
      <c r="H2805" s="210"/>
    </row>
    <row r="2806" spans="3:8" x14ac:dyDescent="0.25">
      <c r="C2806" s="210"/>
      <c r="D2806" s="210"/>
      <c r="E2806" s="210"/>
      <c r="F2806" s="210"/>
      <c r="G2806" s="210"/>
      <c r="H2806" s="210"/>
    </row>
    <row r="2807" spans="3:8" x14ac:dyDescent="0.25">
      <c r="C2807" s="210"/>
      <c r="D2807" s="210"/>
      <c r="E2807" s="210"/>
      <c r="F2807" s="210"/>
      <c r="G2807" s="210"/>
      <c r="H2807" s="210"/>
    </row>
    <row r="2808" spans="3:8" x14ac:dyDescent="0.25">
      <c r="C2808" s="210"/>
      <c r="D2808" s="210"/>
      <c r="E2808" s="210"/>
      <c r="F2808" s="210"/>
      <c r="G2808" s="210"/>
      <c r="H2808" s="210"/>
    </row>
    <row r="2809" spans="3:8" x14ac:dyDescent="0.25">
      <c r="C2809" s="210"/>
      <c r="D2809" s="210"/>
      <c r="E2809" s="210"/>
      <c r="F2809" s="210"/>
      <c r="G2809" s="210"/>
      <c r="H2809" s="210"/>
    </row>
    <row r="2810" spans="3:8" x14ac:dyDescent="0.25">
      <c r="C2810" s="210"/>
      <c r="D2810" s="210"/>
      <c r="E2810" s="210"/>
      <c r="F2810" s="210"/>
      <c r="G2810" s="210"/>
      <c r="H2810" s="210"/>
    </row>
    <row r="2811" spans="3:8" x14ac:dyDescent="0.25">
      <c r="C2811" s="210"/>
      <c r="D2811" s="210"/>
      <c r="E2811" s="210"/>
      <c r="F2811" s="210"/>
      <c r="G2811" s="210"/>
      <c r="H2811" s="210"/>
    </row>
    <row r="2812" spans="3:8" x14ac:dyDescent="0.25">
      <c r="C2812" s="210"/>
      <c r="D2812" s="210"/>
      <c r="E2812" s="210"/>
      <c r="F2812" s="210"/>
      <c r="G2812" s="210"/>
      <c r="H2812" s="210"/>
    </row>
    <row r="2813" spans="3:8" x14ac:dyDescent="0.25">
      <c r="C2813" s="210"/>
      <c r="D2813" s="210"/>
      <c r="E2813" s="210"/>
      <c r="F2813" s="210"/>
      <c r="G2813" s="210"/>
      <c r="H2813" s="210"/>
    </row>
    <row r="2814" spans="3:8" x14ac:dyDescent="0.25">
      <c r="C2814" s="210"/>
      <c r="D2814" s="210"/>
      <c r="E2814" s="210"/>
      <c r="F2814" s="210"/>
      <c r="G2814" s="210"/>
      <c r="H2814" s="210"/>
    </row>
    <row r="2815" spans="3:8" x14ac:dyDescent="0.25">
      <c r="C2815" s="210"/>
      <c r="D2815" s="210"/>
      <c r="E2815" s="210"/>
      <c r="F2815" s="210"/>
      <c r="G2815" s="210"/>
      <c r="H2815" s="210"/>
    </row>
    <row r="2816" spans="3:8" x14ac:dyDescent="0.25">
      <c r="C2816" s="210"/>
      <c r="D2816" s="210"/>
      <c r="E2816" s="210"/>
      <c r="F2816" s="210"/>
      <c r="G2816" s="210"/>
      <c r="H2816" s="210"/>
    </row>
    <row r="2817" spans="3:8" x14ac:dyDescent="0.25">
      <c r="C2817" s="210"/>
      <c r="D2817" s="210"/>
      <c r="E2817" s="210"/>
      <c r="F2817" s="210"/>
      <c r="G2817" s="210"/>
      <c r="H2817" s="210"/>
    </row>
    <row r="2818" spans="3:8" x14ac:dyDescent="0.25">
      <c r="C2818" s="210"/>
      <c r="D2818" s="210"/>
      <c r="E2818" s="210"/>
      <c r="F2818" s="210"/>
      <c r="G2818" s="210"/>
      <c r="H2818" s="210"/>
    </row>
    <row r="2819" spans="3:8" x14ac:dyDescent="0.25">
      <c r="C2819" s="210"/>
      <c r="D2819" s="210"/>
      <c r="E2819" s="210"/>
      <c r="F2819" s="210"/>
      <c r="G2819" s="210"/>
      <c r="H2819" s="210"/>
    </row>
    <row r="2820" spans="3:8" x14ac:dyDescent="0.25">
      <c r="C2820" s="210"/>
      <c r="D2820" s="210"/>
      <c r="E2820" s="210"/>
      <c r="F2820" s="210"/>
      <c r="G2820" s="210"/>
      <c r="H2820" s="210"/>
    </row>
    <row r="2821" spans="3:8" x14ac:dyDescent="0.25">
      <c r="C2821" s="210"/>
      <c r="D2821" s="210"/>
      <c r="E2821" s="210"/>
      <c r="F2821" s="210"/>
      <c r="G2821" s="210"/>
      <c r="H2821" s="210"/>
    </row>
    <row r="2822" spans="3:8" x14ac:dyDescent="0.25">
      <c r="C2822" s="210"/>
      <c r="D2822" s="210"/>
      <c r="E2822" s="210"/>
      <c r="F2822" s="210"/>
      <c r="G2822" s="210"/>
      <c r="H2822" s="210"/>
    </row>
    <row r="2823" spans="3:8" x14ac:dyDescent="0.25">
      <c r="C2823" s="210"/>
      <c r="D2823" s="210"/>
      <c r="E2823" s="210"/>
      <c r="F2823" s="210"/>
      <c r="G2823" s="210"/>
      <c r="H2823" s="210"/>
    </row>
    <row r="2824" spans="3:8" x14ac:dyDescent="0.25">
      <c r="C2824" s="210"/>
      <c r="D2824" s="210"/>
      <c r="E2824" s="210"/>
      <c r="F2824" s="210"/>
      <c r="G2824" s="210"/>
      <c r="H2824" s="210"/>
    </row>
    <row r="2825" spans="3:8" x14ac:dyDescent="0.25">
      <c r="C2825" s="210"/>
      <c r="D2825" s="210"/>
      <c r="E2825" s="210"/>
      <c r="F2825" s="210"/>
      <c r="G2825" s="210"/>
      <c r="H2825" s="210"/>
    </row>
    <row r="2826" spans="3:8" x14ac:dyDescent="0.25">
      <c r="C2826" s="210"/>
      <c r="D2826" s="210"/>
      <c r="E2826" s="210"/>
      <c r="F2826" s="210"/>
      <c r="G2826" s="210"/>
      <c r="H2826" s="210"/>
    </row>
    <row r="2827" spans="3:8" x14ac:dyDescent="0.25">
      <c r="C2827" s="210"/>
      <c r="D2827" s="210"/>
      <c r="E2827" s="210"/>
      <c r="F2827" s="210"/>
      <c r="G2827" s="210"/>
      <c r="H2827" s="210"/>
    </row>
    <row r="2828" spans="3:8" x14ac:dyDescent="0.25">
      <c r="C2828" s="210"/>
      <c r="D2828" s="210"/>
      <c r="E2828" s="210"/>
      <c r="F2828" s="210"/>
      <c r="G2828" s="210"/>
      <c r="H2828" s="210"/>
    </row>
    <row r="2829" spans="3:8" x14ac:dyDescent="0.25">
      <c r="C2829" s="210"/>
      <c r="D2829" s="210"/>
      <c r="E2829" s="210"/>
      <c r="F2829" s="210"/>
      <c r="G2829" s="210"/>
      <c r="H2829" s="210"/>
    </row>
    <row r="2830" spans="3:8" x14ac:dyDescent="0.25">
      <c r="C2830" s="210"/>
      <c r="D2830" s="210"/>
      <c r="E2830" s="210"/>
      <c r="F2830" s="210"/>
      <c r="G2830" s="210"/>
      <c r="H2830" s="210"/>
    </row>
    <row r="2831" spans="3:8" x14ac:dyDescent="0.25">
      <c r="C2831" s="210"/>
      <c r="D2831" s="210"/>
      <c r="E2831" s="210"/>
      <c r="F2831" s="210"/>
      <c r="G2831" s="210"/>
      <c r="H2831" s="210"/>
    </row>
    <row r="2832" spans="3:8" x14ac:dyDescent="0.25">
      <c r="C2832" s="210"/>
      <c r="D2832" s="210"/>
      <c r="E2832" s="210"/>
      <c r="F2832" s="210"/>
      <c r="G2832" s="210"/>
      <c r="H2832" s="210"/>
    </row>
    <row r="2833" spans="3:8" x14ac:dyDescent="0.25">
      <c r="C2833" s="210"/>
      <c r="D2833" s="210"/>
      <c r="E2833" s="210"/>
      <c r="F2833" s="210"/>
      <c r="G2833" s="210"/>
      <c r="H2833" s="210"/>
    </row>
    <row r="2834" spans="3:8" x14ac:dyDescent="0.25">
      <c r="C2834" s="210"/>
      <c r="D2834" s="210"/>
      <c r="E2834" s="210"/>
      <c r="F2834" s="210"/>
      <c r="G2834" s="210"/>
      <c r="H2834" s="210"/>
    </row>
    <row r="2835" spans="3:8" x14ac:dyDescent="0.25">
      <c r="C2835" s="210"/>
      <c r="D2835" s="210"/>
      <c r="E2835" s="210"/>
      <c r="F2835" s="210"/>
      <c r="G2835" s="210"/>
      <c r="H2835" s="210"/>
    </row>
    <row r="2836" spans="3:8" x14ac:dyDescent="0.25">
      <c r="C2836" s="210"/>
      <c r="D2836" s="210"/>
      <c r="E2836" s="210"/>
      <c r="F2836" s="210"/>
      <c r="G2836" s="210"/>
      <c r="H2836" s="210"/>
    </row>
    <row r="2837" spans="3:8" x14ac:dyDescent="0.25">
      <c r="C2837" s="210"/>
      <c r="D2837" s="210"/>
      <c r="E2837" s="210"/>
      <c r="F2837" s="210"/>
      <c r="G2837" s="210"/>
      <c r="H2837" s="210"/>
    </row>
    <row r="2838" spans="3:8" x14ac:dyDescent="0.25">
      <c r="C2838" s="210"/>
      <c r="D2838" s="210"/>
      <c r="E2838" s="210"/>
      <c r="F2838" s="210"/>
      <c r="G2838" s="210"/>
      <c r="H2838" s="210"/>
    </row>
    <row r="2839" spans="3:8" x14ac:dyDescent="0.25">
      <c r="C2839" s="210"/>
      <c r="D2839" s="210"/>
      <c r="E2839" s="210"/>
      <c r="F2839" s="210"/>
      <c r="G2839" s="210"/>
      <c r="H2839" s="210"/>
    </row>
    <row r="2840" spans="3:8" x14ac:dyDescent="0.25">
      <c r="C2840" s="210"/>
      <c r="D2840" s="210"/>
      <c r="E2840" s="210"/>
      <c r="F2840" s="210"/>
      <c r="G2840" s="210"/>
      <c r="H2840" s="210"/>
    </row>
    <row r="2841" spans="3:8" x14ac:dyDescent="0.25">
      <c r="C2841" s="210"/>
      <c r="D2841" s="210"/>
      <c r="E2841" s="210"/>
      <c r="F2841" s="210"/>
      <c r="G2841" s="210"/>
      <c r="H2841" s="210"/>
    </row>
    <row r="2842" spans="3:8" x14ac:dyDescent="0.25">
      <c r="C2842" s="210"/>
      <c r="D2842" s="210"/>
      <c r="E2842" s="210"/>
      <c r="F2842" s="210"/>
      <c r="G2842" s="210"/>
      <c r="H2842" s="210"/>
    </row>
    <row r="2843" spans="3:8" x14ac:dyDescent="0.25">
      <c r="C2843" s="210"/>
      <c r="D2843" s="210"/>
      <c r="E2843" s="210"/>
      <c r="F2843" s="210"/>
      <c r="G2843" s="210"/>
      <c r="H2843" s="210"/>
    </row>
    <row r="2844" spans="3:8" x14ac:dyDescent="0.25">
      <c r="C2844" s="210"/>
      <c r="D2844" s="210"/>
      <c r="E2844" s="210"/>
      <c r="F2844" s="210"/>
      <c r="G2844" s="210"/>
      <c r="H2844" s="210"/>
    </row>
    <row r="2845" spans="3:8" x14ac:dyDescent="0.25">
      <c r="C2845" s="210"/>
      <c r="D2845" s="210"/>
      <c r="E2845" s="210"/>
      <c r="F2845" s="210"/>
      <c r="G2845" s="210"/>
      <c r="H2845" s="210"/>
    </row>
    <row r="2846" spans="3:8" x14ac:dyDescent="0.25">
      <c r="C2846" s="210"/>
      <c r="D2846" s="210"/>
      <c r="E2846" s="210"/>
      <c r="F2846" s="210"/>
      <c r="G2846" s="210"/>
      <c r="H2846" s="210"/>
    </row>
    <row r="2847" spans="3:8" x14ac:dyDescent="0.25">
      <c r="C2847" s="210"/>
      <c r="D2847" s="210"/>
      <c r="E2847" s="210"/>
      <c r="F2847" s="210"/>
      <c r="G2847" s="210"/>
      <c r="H2847" s="210"/>
    </row>
    <row r="2848" spans="3:8" x14ac:dyDescent="0.25">
      <c r="C2848" s="210"/>
      <c r="D2848" s="210"/>
      <c r="E2848" s="210"/>
      <c r="F2848" s="210"/>
      <c r="G2848" s="210"/>
      <c r="H2848" s="210"/>
    </row>
    <row r="2849" spans="3:8" x14ac:dyDescent="0.25">
      <c r="C2849" s="210"/>
      <c r="D2849" s="210"/>
      <c r="E2849" s="210"/>
      <c r="F2849" s="210"/>
      <c r="G2849" s="210"/>
      <c r="H2849" s="210"/>
    </row>
    <row r="2850" spans="3:8" x14ac:dyDescent="0.25">
      <c r="C2850" s="210"/>
      <c r="D2850" s="210"/>
      <c r="E2850" s="210"/>
      <c r="F2850" s="210"/>
      <c r="G2850" s="210"/>
      <c r="H2850" s="210"/>
    </row>
    <row r="2851" spans="3:8" x14ac:dyDescent="0.25">
      <c r="C2851" s="210"/>
      <c r="D2851" s="210"/>
      <c r="E2851" s="210"/>
      <c r="F2851" s="210"/>
      <c r="G2851" s="210"/>
      <c r="H2851" s="210"/>
    </row>
    <row r="2852" spans="3:8" x14ac:dyDescent="0.25">
      <c r="C2852" s="210"/>
      <c r="D2852" s="210"/>
      <c r="E2852" s="210"/>
      <c r="F2852" s="210"/>
      <c r="G2852" s="210"/>
      <c r="H2852" s="210"/>
    </row>
    <row r="2853" spans="3:8" x14ac:dyDescent="0.25">
      <c r="C2853" s="210"/>
      <c r="D2853" s="210"/>
      <c r="E2853" s="210"/>
      <c r="F2853" s="210"/>
      <c r="G2853" s="210"/>
      <c r="H2853" s="210"/>
    </row>
    <row r="2854" spans="3:8" x14ac:dyDescent="0.25">
      <c r="C2854" s="210"/>
      <c r="D2854" s="210"/>
      <c r="E2854" s="210"/>
      <c r="F2854" s="210"/>
      <c r="G2854" s="210"/>
      <c r="H2854" s="210"/>
    </row>
    <row r="2855" spans="3:8" x14ac:dyDescent="0.25">
      <c r="C2855" s="210"/>
      <c r="D2855" s="210"/>
      <c r="E2855" s="210"/>
      <c r="F2855" s="210"/>
      <c r="G2855" s="210"/>
      <c r="H2855" s="210"/>
    </row>
    <row r="2856" spans="3:8" x14ac:dyDescent="0.25">
      <c r="C2856" s="210"/>
      <c r="D2856" s="210"/>
      <c r="E2856" s="210"/>
      <c r="F2856" s="210"/>
      <c r="G2856" s="210"/>
      <c r="H2856" s="210"/>
    </row>
    <row r="2857" spans="3:8" x14ac:dyDescent="0.25">
      <c r="C2857" s="210"/>
      <c r="D2857" s="210"/>
      <c r="E2857" s="210"/>
      <c r="F2857" s="210"/>
      <c r="G2857" s="210"/>
      <c r="H2857" s="210"/>
    </row>
    <row r="2858" spans="3:8" x14ac:dyDescent="0.25">
      <c r="C2858" s="210"/>
      <c r="D2858" s="210"/>
      <c r="E2858" s="210"/>
      <c r="F2858" s="210"/>
      <c r="G2858" s="210"/>
      <c r="H2858" s="210"/>
    </row>
    <row r="2859" spans="3:8" x14ac:dyDescent="0.25">
      <c r="C2859" s="210"/>
      <c r="D2859" s="210"/>
      <c r="E2859" s="210"/>
      <c r="F2859" s="210"/>
      <c r="G2859" s="210"/>
      <c r="H2859" s="210"/>
    </row>
    <row r="2860" spans="3:8" x14ac:dyDescent="0.25">
      <c r="C2860" s="210"/>
      <c r="D2860" s="210"/>
      <c r="E2860" s="210"/>
      <c r="F2860" s="210"/>
      <c r="G2860" s="210"/>
      <c r="H2860" s="210"/>
    </row>
    <row r="2861" spans="3:8" x14ac:dyDescent="0.25">
      <c r="C2861" s="210"/>
      <c r="D2861" s="210"/>
      <c r="E2861" s="210"/>
      <c r="F2861" s="210"/>
      <c r="G2861" s="210"/>
      <c r="H2861" s="210"/>
    </row>
    <row r="2862" spans="3:8" x14ac:dyDescent="0.25">
      <c r="C2862" s="210"/>
      <c r="D2862" s="210"/>
      <c r="E2862" s="210"/>
      <c r="F2862" s="210"/>
      <c r="G2862" s="210"/>
      <c r="H2862" s="210"/>
    </row>
    <row r="2863" spans="3:8" x14ac:dyDescent="0.25">
      <c r="C2863" s="210"/>
      <c r="D2863" s="210"/>
      <c r="E2863" s="210"/>
      <c r="F2863" s="210"/>
      <c r="G2863" s="210"/>
      <c r="H2863" s="210"/>
    </row>
    <row r="2864" spans="3:8" x14ac:dyDescent="0.25">
      <c r="C2864" s="210"/>
      <c r="D2864" s="210"/>
      <c r="E2864" s="210"/>
      <c r="F2864" s="210"/>
      <c r="G2864" s="210"/>
      <c r="H2864" s="210"/>
    </row>
    <row r="2865" spans="3:8" x14ac:dyDescent="0.25">
      <c r="C2865" s="210"/>
      <c r="D2865" s="210"/>
      <c r="E2865" s="210"/>
      <c r="F2865" s="210"/>
      <c r="G2865" s="210"/>
      <c r="H2865" s="210"/>
    </row>
    <row r="2866" spans="3:8" x14ac:dyDescent="0.25">
      <c r="C2866" s="210"/>
      <c r="D2866" s="210"/>
      <c r="E2866" s="210"/>
      <c r="F2866" s="210"/>
      <c r="G2866" s="210"/>
      <c r="H2866" s="210"/>
    </row>
    <row r="2867" spans="3:8" x14ac:dyDescent="0.25">
      <c r="C2867" s="210"/>
      <c r="D2867" s="210"/>
      <c r="E2867" s="210"/>
      <c r="F2867" s="210"/>
      <c r="G2867" s="210"/>
      <c r="H2867" s="210"/>
    </row>
    <row r="2868" spans="3:8" x14ac:dyDescent="0.25">
      <c r="C2868" s="210"/>
      <c r="D2868" s="210"/>
      <c r="E2868" s="210"/>
      <c r="F2868" s="210"/>
      <c r="G2868" s="210"/>
      <c r="H2868" s="210"/>
    </row>
    <row r="2869" spans="3:8" x14ac:dyDescent="0.25">
      <c r="C2869" s="210"/>
      <c r="D2869" s="210"/>
      <c r="E2869" s="210"/>
      <c r="F2869" s="210"/>
      <c r="G2869" s="210"/>
      <c r="H2869" s="210"/>
    </row>
    <row r="2870" spans="3:8" x14ac:dyDescent="0.25">
      <c r="C2870" s="210"/>
      <c r="D2870" s="210"/>
      <c r="E2870" s="210"/>
      <c r="F2870" s="210"/>
      <c r="G2870" s="210"/>
      <c r="H2870" s="210"/>
    </row>
    <row r="2871" spans="3:8" x14ac:dyDescent="0.25">
      <c r="C2871" s="210"/>
      <c r="D2871" s="210"/>
      <c r="E2871" s="210"/>
      <c r="F2871" s="210"/>
      <c r="G2871" s="210"/>
      <c r="H2871" s="210"/>
    </row>
    <row r="2872" spans="3:8" x14ac:dyDescent="0.25">
      <c r="C2872" s="210"/>
      <c r="D2872" s="210"/>
      <c r="E2872" s="210"/>
      <c r="F2872" s="210"/>
      <c r="G2872" s="210"/>
      <c r="H2872" s="210"/>
    </row>
    <row r="2873" spans="3:8" x14ac:dyDescent="0.25">
      <c r="C2873" s="210"/>
      <c r="D2873" s="210"/>
      <c r="E2873" s="210"/>
      <c r="F2873" s="210"/>
      <c r="G2873" s="210"/>
      <c r="H2873" s="210"/>
    </row>
    <row r="2874" spans="3:8" x14ac:dyDescent="0.25">
      <c r="C2874" s="210"/>
      <c r="D2874" s="210"/>
      <c r="E2874" s="210"/>
      <c r="F2874" s="210"/>
      <c r="G2874" s="210"/>
      <c r="H2874" s="210"/>
    </row>
    <row r="2875" spans="3:8" x14ac:dyDescent="0.25">
      <c r="C2875" s="210"/>
      <c r="D2875" s="210"/>
      <c r="E2875" s="210"/>
      <c r="F2875" s="210"/>
      <c r="G2875" s="210"/>
      <c r="H2875" s="210"/>
    </row>
    <row r="2876" spans="3:8" x14ac:dyDescent="0.25">
      <c r="C2876" s="210"/>
      <c r="D2876" s="210"/>
      <c r="E2876" s="210"/>
      <c r="F2876" s="210"/>
      <c r="G2876" s="210"/>
      <c r="H2876" s="210"/>
    </row>
    <row r="2877" spans="3:8" x14ac:dyDescent="0.25">
      <c r="C2877" s="210"/>
      <c r="D2877" s="210"/>
      <c r="E2877" s="210"/>
      <c r="F2877" s="210"/>
      <c r="G2877" s="210"/>
      <c r="H2877" s="210"/>
    </row>
    <row r="2878" spans="3:8" x14ac:dyDescent="0.25">
      <c r="C2878" s="210"/>
      <c r="D2878" s="210"/>
      <c r="E2878" s="210"/>
      <c r="F2878" s="210"/>
      <c r="G2878" s="210"/>
      <c r="H2878" s="210"/>
    </row>
    <row r="2879" spans="3:8" x14ac:dyDescent="0.25">
      <c r="C2879" s="210"/>
      <c r="D2879" s="210"/>
      <c r="E2879" s="210"/>
      <c r="F2879" s="210"/>
      <c r="G2879" s="210"/>
      <c r="H2879" s="210"/>
    </row>
    <row r="2880" spans="3:8" x14ac:dyDescent="0.25">
      <c r="C2880" s="210"/>
      <c r="D2880" s="210"/>
      <c r="E2880" s="210"/>
      <c r="F2880" s="210"/>
      <c r="G2880" s="210"/>
      <c r="H2880" s="210"/>
    </row>
    <row r="2881" spans="3:8" x14ac:dyDescent="0.25">
      <c r="C2881" s="210"/>
      <c r="D2881" s="210"/>
      <c r="E2881" s="210"/>
      <c r="F2881" s="210"/>
      <c r="G2881" s="210"/>
      <c r="H2881" s="210"/>
    </row>
    <row r="2882" spans="3:8" x14ac:dyDescent="0.25">
      <c r="C2882" s="210"/>
      <c r="D2882" s="210"/>
      <c r="E2882" s="210"/>
      <c r="F2882" s="210"/>
      <c r="G2882" s="210"/>
      <c r="H2882" s="210"/>
    </row>
    <row r="2883" spans="3:8" x14ac:dyDescent="0.25">
      <c r="C2883" s="210"/>
      <c r="D2883" s="210"/>
      <c r="E2883" s="210"/>
      <c r="F2883" s="210"/>
      <c r="G2883" s="210"/>
      <c r="H2883" s="210"/>
    </row>
    <row r="2884" spans="3:8" x14ac:dyDescent="0.25">
      <c r="C2884" s="210"/>
      <c r="D2884" s="210"/>
      <c r="E2884" s="210"/>
      <c r="F2884" s="210"/>
      <c r="G2884" s="210"/>
      <c r="H2884" s="210"/>
    </row>
    <row r="2885" spans="3:8" x14ac:dyDescent="0.25">
      <c r="C2885" s="210"/>
      <c r="D2885" s="210"/>
      <c r="E2885" s="210"/>
      <c r="F2885" s="210"/>
      <c r="G2885" s="210"/>
      <c r="H2885" s="210"/>
    </row>
    <row r="2886" spans="3:8" x14ac:dyDescent="0.25">
      <c r="C2886" s="210"/>
      <c r="D2886" s="210"/>
      <c r="E2886" s="210"/>
      <c r="F2886" s="210"/>
      <c r="G2886" s="210"/>
      <c r="H2886" s="210"/>
    </row>
    <row r="2887" spans="3:8" x14ac:dyDescent="0.25">
      <c r="C2887" s="210"/>
      <c r="D2887" s="210"/>
      <c r="E2887" s="210"/>
      <c r="F2887" s="210"/>
      <c r="G2887" s="210"/>
      <c r="H2887" s="210"/>
    </row>
    <row r="2888" spans="3:8" x14ac:dyDescent="0.25">
      <c r="C2888" s="210"/>
      <c r="D2888" s="210"/>
      <c r="E2888" s="210"/>
      <c r="F2888" s="210"/>
      <c r="G2888" s="210"/>
      <c r="H2888" s="210"/>
    </row>
    <row r="2889" spans="3:8" x14ac:dyDescent="0.25">
      <c r="C2889" s="210"/>
      <c r="D2889" s="210"/>
      <c r="E2889" s="210"/>
      <c r="F2889" s="210"/>
      <c r="G2889" s="210"/>
      <c r="H2889" s="210"/>
    </row>
    <row r="2890" spans="3:8" x14ac:dyDescent="0.25">
      <c r="C2890" s="210"/>
      <c r="D2890" s="210"/>
      <c r="E2890" s="210"/>
      <c r="F2890" s="210"/>
      <c r="G2890" s="210"/>
      <c r="H2890" s="210"/>
    </row>
    <row r="2891" spans="3:8" x14ac:dyDescent="0.25">
      <c r="C2891" s="210"/>
      <c r="D2891" s="210"/>
      <c r="E2891" s="210"/>
      <c r="F2891" s="210"/>
      <c r="G2891" s="210"/>
      <c r="H2891" s="210"/>
    </row>
    <row r="2892" spans="3:8" x14ac:dyDescent="0.25">
      <c r="C2892" s="210"/>
      <c r="D2892" s="210"/>
      <c r="E2892" s="210"/>
      <c r="F2892" s="210"/>
      <c r="G2892" s="210"/>
      <c r="H2892" s="210"/>
    </row>
    <row r="2893" spans="3:8" x14ac:dyDescent="0.25">
      <c r="C2893" s="210"/>
      <c r="D2893" s="210"/>
      <c r="E2893" s="210"/>
      <c r="F2893" s="210"/>
      <c r="G2893" s="210"/>
      <c r="H2893" s="210"/>
    </row>
    <row r="2894" spans="3:8" x14ac:dyDescent="0.25">
      <c r="C2894" s="210"/>
      <c r="D2894" s="210"/>
      <c r="E2894" s="210"/>
      <c r="F2894" s="210"/>
      <c r="G2894" s="210"/>
      <c r="H2894" s="210"/>
    </row>
    <row r="2895" spans="3:8" x14ac:dyDescent="0.25">
      <c r="C2895" s="210"/>
      <c r="D2895" s="210"/>
      <c r="E2895" s="210"/>
      <c r="F2895" s="210"/>
      <c r="G2895" s="210"/>
      <c r="H2895" s="210"/>
    </row>
    <row r="2896" spans="3:8" x14ac:dyDescent="0.25">
      <c r="C2896" s="210"/>
      <c r="D2896" s="210"/>
      <c r="E2896" s="210"/>
      <c r="F2896" s="210"/>
      <c r="G2896" s="210"/>
      <c r="H2896" s="210"/>
    </row>
    <row r="2897" spans="3:8" x14ac:dyDescent="0.25">
      <c r="C2897" s="210"/>
      <c r="D2897" s="210"/>
      <c r="E2897" s="210"/>
      <c r="F2897" s="210"/>
      <c r="G2897" s="210"/>
      <c r="H2897" s="210"/>
    </row>
    <row r="2898" spans="3:8" x14ac:dyDescent="0.25">
      <c r="C2898" s="210"/>
      <c r="D2898" s="210"/>
      <c r="E2898" s="210"/>
      <c r="F2898" s="210"/>
      <c r="G2898" s="210"/>
      <c r="H2898" s="210"/>
    </row>
    <row r="2899" spans="3:8" x14ac:dyDescent="0.25">
      <c r="C2899" s="210"/>
      <c r="D2899" s="210"/>
      <c r="E2899" s="210"/>
      <c r="F2899" s="210"/>
      <c r="G2899" s="210"/>
      <c r="H2899" s="210"/>
    </row>
    <row r="2900" spans="3:8" x14ac:dyDescent="0.25">
      <c r="C2900" s="210"/>
      <c r="D2900" s="210"/>
      <c r="E2900" s="210"/>
      <c r="F2900" s="210"/>
      <c r="G2900" s="210"/>
      <c r="H2900" s="210"/>
    </row>
    <row r="2901" spans="3:8" x14ac:dyDescent="0.25">
      <c r="C2901" s="210"/>
      <c r="D2901" s="210"/>
      <c r="E2901" s="210"/>
      <c r="F2901" s="210"/>
      <c r="G2901" s="210"/>
      <c r="H2901" s="210"/>
    </row>
    <row r="2902" spans="3:8" x14ac:dyDescent="0.25">
      <c r="C2902" s="210"/>
      <c r="D2902" s="210"/>
      <c r="E2902" s="210"/>
      <c r="F2902" s="210"/>
      <c r="G2902" s="210"/>
      <c r="H2902" s="210"/>
    </row>
    <row r="2903" spans="3:8" x14ac:dyDescent="0.25">
      <c r="C2903" s="210"/>
      <c r="D2903" s="210"/>
      <c r="E2903" s="210"/>
      <c r="F2903" s="210"/>
      <c r="G2903" s="210"/>
      <c r="H2903" s="210"/>
    </row>
    <row r="2904" spans="3:8" x14ac:dyDescent="0.25">
      <c r="C2904" s="210"/>
      <c r="D2904" s="210"/>
      <c r="E2904" s="210"/>
      <c r="F2904" s="210"/>
      <c r="G2904" s="210"/>
      <c r="H2904" s="210"/>
    </row>
    <row r="2905" spans="3:8" x14ac:dyDescent="0.25">
      <c r="C2905" s="210"/>
      <c r="D2905" s="210"/>
      <c r="E2905" s="210"/>
      <c r="F2905" s="210"/>
      <c r="G2905" s="210"/>
      <c r="H2905" s="210"/>
    </row>
    <row r="2906" spans="3:8" x14ac:dyDescent="0.25">
      <c r="C2906" s="210"/>
      <c r="D2906" s="210"/>
      <c r="E2906" s="210"/>
      <c r="F2906" s="210"/>
      <c r="G2906" s="210"/>
      <c r="H2906" s="210"/>
    </row>
    <row r="2907" spans="3:8" x14ac:dyDescent="0.25">
      <c r="C2907" s="210"/>
      <c r="D2907" s="210"/>
      <c r="E2907" s="210"/>
      <c r="F2907" s="210"/>
      <c r="G2907" s="210"/>
      <c r="H2907" s="210"/>
    </row>
    <row r="2908" spans="3:8" x14ac:dyDescent="0.25">
      <c r="C2908" s="210"/>
      <c r="D2908" s="210"/>
      <c r="E2908" s="210"/>
      <c r="F2908" s="210"/>
      <c r="G2908" s="210"/>
      <c r="H2908" s="210"/>
    </row>
    <row r="2909" spans="3:8" x14ac:dyDescent="0.25">
      <c r="C2909" s="210"/>
      <c r="D2909" s="210"/>
      <c r="E2909" s="210"/>
      <c r="F2909" s="210"/>
      <c r="G2909" s="210"/>
      <c r="H2909" s="210"/>
    </row>
    <row r="2910" spans="3:8" x14ac:dyDescent="0.25">
      <c r="C2910" s="210"/>
      <c r="D2910" s="210"/>
      <c r="E2910" s="210"/>
      <c r="F2910" s="210"/>
      <c r="G2910" s="210"/>
      <c r="H2910" s="210"/>
    </row>
    <row r="2911" spans="3:8" x14ac:dyDescent="0.25">
      <c r="C2911" s="210"/>
      <c r="D2911" s="210"/>
      <c r="E2911" s="210"/>
      <c r="F2911" s="210"/>
      <c r="G2911" s="210"/>
      <c r="H2911" s="210"/>
    </row>
    <row r="2912" spans="3:8" x14ac:dyDescent="0.25">
      <c r="C2912" s="210"/>
      <c r="D2912" s="210"/>
      <c r="E2912" s="210"/>
      <c r="F2912" s="210"/>
      <c r="G2912" s="210"/>
      <c r="H2912" s="210"/>
    </row>
    <row r="2913" spans="3:8" x14ac:dyDescent="0.25">
      <c r="C2913" s="210"/>
      <c r="D2913" s="210"/>
      <c r="E2913" s="210"/>
      <c r="F2913" s="210"/>
      <c r="G2913" s="210"/>
      <c r="H2913" s="210"/>
    </row>
    <row r="2914" spans="3:8" x14ac:dyDescent="0.25">
      <c r="C2914" s="210"/>
      <c r="D2914" s="210"/>
      <c r="E2914" s="210"/>
      <c r="F2914" s="210"/>
      <c r="G2914" s="210"/>
      <c r="H2914" s="210"/>
    </row>
    <row r="2915" spans="3:8" x14ac:dyDescent="0.25">
      <c r="C2915" s="210"/>
      <c r="D2915" s="210"/>
      <c r="E2915" s="210"/>
      <c r="F2915" s="210"/>
      <c r="G2915" s="210"/>
      <c r="H2915" s="210"/>
    </row>
    <row r="2916" spans="3:8" x14ac:dyDescent="0.25">
      <c r="C2916" s="210"/>
      <c r="D2916" s="210"/>
      <c r="E2916" s="210"/>
      <c r="F2916" s="210"/>
      <c r="G2916" s="210"/>
      <c r="H2916" s="210"/>
    </row>
    <row r="2917" spans="3:8" x14ac:dyDescent="0.25">
      <c r="C2917" s="210"/>
      <c r="D2917" s="210"/>
      <c r="E2917" s="210"/>
      <c r="F2917" s="210"/>
      <c r="G2917" s="210"/>
      <c r="H2917" s="210"/>
    </row>
    <row r="2918" spans="3:8" x14ac:dyDescent="0.25">
      <c r="C2918" s="210"/>
      <c r="D2918" s="210"/>
      <c r="E2918" s="210"/>
      <c r="F2918" s="210"/>
      <c r="G2918" s="210"/>
      <c r="H2918" s="210"/>
    </row>
    <row r="2919" spans="3:8" x14ac:dyDescent="0.25">
      <c r="C2919" s="210"/>
      <c r="D2919" s="210"/>
      <c r="E2919" s="210"/>
      <c r="F2919" s="210"/>
      <c r="G2919" s="210"/>
      <c r="H2919" s="210"/>
    </row>
    <row r="2920" spans="3:8" x14ac:dyDescent="0.25">
      <c r="C2920" s="210"/>
      <c r="D2920" s="210"/>
      <c r="E2920" s="210"/>
      <c r="F2920" s="210"/>
      <c r="G2920" s="210"/>
      <c r="H2920" s="210"/>
    </row>
    <row r="2921" spans="3:8" x14ac:dyDescent="0.25">
      <c r="C2921" s="210"/>
      <c r="D2921" s="210"/>
      <c r="E2921" s="210"/>
      <c r="F2921" s="210"/>
      <c r="G2921" s="210"/>
      <c r="H2921" s="210"/>
    </row>
    <row r="2922" spans="3:8" x14ac:dyDescent="0.25">
      <c r="C2922" s="210"/>
      <c r="D2922" s="210"/>
      <c r="E2922" s="210"/>
      <c r="F2922" s="210"/>
      <c r="G2922" s="210"/>
      <c r="H2922" s="210"/>
    </row>
    <row r="2923" spans="3:8" x14ac:dyDescent="0.25">
      <c r="C2923" s="210"/>
      <c r="D2923" s="210"/>
      <c r="E2923" s="210"/>
      <c r="F2923" s="210"/>
      <c r="G2923" s="210"/>
      <c r="H2923" s="210"/>
    </row>
    <row r="2924" spans="3:8" x14ac:dyDescent="0.25">
      <c r="C2924" s="210"/>
      <c r="D2924" s="210"/>
      <c r="E2924" s="210"/>
      <c r="F2924" s="210"/>
      <c r="G2924" s="210"/>
      <c r="H2924" s="210"/>
    </row>
    <row r="2925" spans="3:8" x14ac:dyDescent="0.25">
      <c r="C2925" s="210"/>
      <c r="D2925" s="210"/>
      <c r="E2925" s="210"/>
      <c r="F2925" s="210"/>
      <c r="G2925" s="210"/>
      <c r="H2925" s="210"/>
    </row>
    <row r="2926" spans="3:8" x14ac:dyDescent="0.25">
      <c r="C2926" s="210"/>
      <c r="D2926" s="210"/>
      <c r="E2926" s="210"/>
      <c r="F2926" s="210"/>
      <c r="G2926" s="210"/>
      <c r="H2926" s="210"/>
    </row>
    <row r="2927" spans="3:8" x14ac:dyDescent="0.25">
      <c r="C2927" s="210"/>
      <c r="D2927" s="210"/>
      <c r="E2927" s="210"/>
      <c r="F2927" s="210"/>
      <c r="G2927" s="210"/>
      <c r="H2927" s="210"/>
    </row>
    <row r="2928" spans="3:8" x14ac:dyDescent="0.25">
      <c r="C2928" s="210"/>
      <c r="D2928" s="210"/>
      <c r="E2928" s="210"/>
      <c r="F2928" s="210"/>
      <c r="G2928" s="210"/>
      <c r="H2928" s="210"/>
    </row>
    <row r="2929" spans="3:8" x14ac:dyDescent="0.25">
      <c r="C2929" s="210"/>
      <c r="D2929" s="210"/>
      <c r="E2929" s="210"/>
      <c r="F2929" s="210"/>
      <c r="G2929" s="210"/>
      <c r="H2929" s="210"/>
    </row>
    <row r="2930" spans="3:8" x14ac:dyDescent="0.25">
      <c r="C2930" s="210"/>
      <c r="D2930" s="210"/>
      <c r="E2930" s="210"/>
      <c r="F2930" s="210"/>
      <c r="G2930" s="210"/>
      <c r="H2930" s="210"/>
    </row>
    <row r="2931" spans="3:8" x14ac:dyDescent="0.25">
      <c r="C2931" s="210"/>
      <c r="D2931" s="210"/>
      <c r="E2931" s="210"/>
      <c r="F2931" s="210"/>
      <c r="G2931" s="210"/>
      <c r="H2931" s="210"/>
    </row>
    <row r="2932" spans="3:8" x14ac:dyDescent="0.25">
      <c r="C2932" s="210"/>
      <c r="D2932" s="210"/>
      <c r="E2932" s="210"/>
      <c r="F2932" s="210"/>
      <c r="G2932" s="210"/>
      <c r="H2932" s="210"/>
    </row>
    <row r="2933" spans="3:8" x14ac:dyDescent="0.25">
      <c r="C2933" s="210"/>
      <c r="D2933" s="210"/>
      <c r="E2933" s="210"/>
      <c r="F2933" s="210"/>
      <c r="G2933" s="210"/>
      <c r="H2933" s="210"/>
    </row>
    <row r="2934" spans="3:8" x14ac:dyDescent="0.25">
      <c r="C2934" s="210"/>
      <c r="D2934" s="210"/>
      <c r="E2934" s="210"/>
      <c r="F2934" s="210"/>
      <c r="G2934" s="210"/>
      <c r="H2934" s="210"/>
    </row>
    <row r="2935" spans="3:8" x14ac:dyDescent="0.25">
      <c r="C2935" s="210"/>
      <c r="D2935" s="210"/>
      <c r="E2935" s="210"/>
      <c r="F2935" s="210"/>
      <c r="G2935" s="210"/>
      <c r="H2935" s="210"/>
    </row>
    <row r="2936" spans="3:8" x14ac:dyDescent="0.25">
      <c r="C2936" s="210"/>
      <c r="D2936" s="210"/>
      <c r="E2936" s="210"/>
      <c r="F2936" s="210"/>
      <c r="G2936" s="210"/>
      <c r="H2936" s="210"/>
    </row>
    <row r="2937" spans="3:8" x14ac:dyDescent="0.25">
      <c r="C2937" s="210"/>
      <c r="D2937" s="210"/>
      <c r="E2937" s="210"/>
      <c r="F2937" s="210"/>
      <c r="G2937" s="210"/>
      <c r="H2937" s="210"/>
    </row>
    <row r="2938" spans="3:8" x14ac:dyDescent="0.25">
      <c r="C2938" s="210"/>
      <c r="D2938" s="210"/>
      <c r="E2938" s="210"/>
      <c r="F2938" s="210"/>
      <c r="G2938" s="210"/>
      <c r="H2938" s="210"/>
    </row>
    <row r="2939" spans="3:8" x14ac:dyDescent="0.25">
      <c r="C2939" s="210"/>
      <c r="D2939" s="210"/>
      <c r="E2939" s="210"/>
      <c r="F2939" s="210"/>
      <c r="G2939" s="210"/>
      <c r="H2939" s="210"/>
    </row>
    <row r="2940" spans="3:8" x14ac:dyDescent="0.25">
      <c r="C2940" s="210"/>
      <c r="D2940" s="210"/>
      <c r="E2940" s="210"/>
      <c r="F2940" s="210"/>
      <c r="G2940" s="210"/>
      <c r="H2940" s="210"/>
    </row>
    <row r="2941" spans="3:8" x14ac:dyDescent="0.25">
      <c r="C2941" s="210"/>
      <c r="D2941" s="210"/>
      <c r="E2941" s="210"/>
      <c r="F2941" s="210"/>
      <c r="G2941" s="210"/>
      <c r="H2941" s="210"/>
    </row>
    <row r="2942" spans="3:8" x14ac:dyDescent="0.25">
      <c r="C2942" s="210"/>
      <c r="D2942" s="210"/>
      <c r="E2942" s="210"/>
      <c r="F2942" s="210"/>
      <c r="G2942" s="210"/>
      <c r="H2942" s="210"/>
    </row>
    <row r="2943" spans="3:8" x14ac:dyDescent="0.25">
      <c r="C2943" s="210"/>
      <c r="D2943" s="210"/>
      <c r="E2943" s="210"/>
      <c r="F2943" s="210"/>
      <c r="G2943" s="210"/>
      <c r="H2943" s="210"/>
    </row>
    <row r="2944" spans="3:8" x14ac:dyDescent="0.25">
      <c r="C2944" s="210"/>
      <c r="D2944" s="210"/>
      <c r="E2944" s="210"/>
      <c r="F2944" s="210"/>
      <c r="G2944" s="210"/>
      <c r="H2944" s="210"/>
    </row>
    <row r="2945" spans="3:8" x14ac:dyDescent="0.25">
      <c r="C2945" s="210"/>
      <c r="D2945" s="210"/>
      <c r="E2945" s="210"/>
      <c r="F2945" s="210"/>
      <c r="G2945" s="210"/>
      <c r="H2945" s="210"/>
    </row>
    <row r="2946" spans="3:8" x14ac:dyDescent="0.25">
      <c r="C2946" s="210"/>
      <c r="D2946" s="210"/>
      <c r="E2946" s="210"/>
      <c r="F2946" s="210"/>
      <c r="G2946" s="210"/>
      <c r="H2946" s="210"/>
    </row>
    <row r="2947" spans="3:8" x14ac:dyDescent="0.25">
      <c r="C2947" s="210"/>
      <c r="D2947" s="210"/>
      <c r="E2947" s="210"/>
      <c r="F2947" s="210"/>
      <c r="G2947" s="210"/>
      <c r="H2947" s="210"/>
    </row>
    <row r="2948" spans="3:8" x14ac:dyDescent="0.25">
      <c r="C2948" s="210"/>
      <c r="D2948" s="210"/>
      <c r="E2948" s="210"/>
      <c r="F2948" s="210"/>
      <c r="G2948" s="210"/>
      <c r="H2948" s="210"/>
    </row>
    <row r="2949" spans="3:8" x14ac:dyDescent="0.25">
      <c r="C2949" s="210"/>
      <c r="D2949" s="210"/>
      <c r="E2949" s="210"/>
      <c r="F2949" s="210"/>
      <c r="G2949" s="210"/>
      <c r="H2949" s="210"/>
    </row>
    <row r="2950" spans="3:8" x14ac:dyDescent="0.25">
      <c r="C2950" s="210"/>
      <c r="D2950" s="210"/>
      <c r="E2950" s="210"/>
      <c r="F2950" s="210"/>
      <c r="G2950" s="210"/>
      <c r="H2950" s="210"/>
    </row>
    <row r="2951" spans="3:8" x14ac:dyDescent="0.25">
      <c r="C2951" s="210"/>
      <c r="D2951" s="210"/>
      <c r="E2951" s="210"/>
      <c r="F2951" s="210"/>
      <c r="G2951" s="210"/>
      <c r="H2951" s="210"/>
    </row>
    <row r="2952" spans="3:8" x14ac:dyDescent="0.25">
      <c r="C2952" s="210"/>
      <c r="D2952" s="210"/>
      <c r="E2952" s="210"/>
      <c r="F2952" s="210"/>
      <c r="G2952" s="210"/>
      <c r="H2952" s="210"/>
    </row>
    <row r="2953" spans="3:8" x14ac:dyDescent="0.25">
      <c r="C2953" s="210"/>
      <c r="D2953" s="210"/>
      <c r="E2953" s="210"/>
      <c r="F2953" s="210"/>
      <c r="G2953" s="210"/>
      <c r="H2953" s="210"/>
    </row>
    <row r="2954" spans="3:8" x14ac:dyDescent="0.25">
      <c r="C2954" s="210"/>
      <c r="D2954" s="210"/>
      <c r="E2954" s="210"/>
      <c r="F2954" s="210"/>
      <c r="G2954" s="210"/>
      <c r="H2954" s="210"/>
    </row>
    <row r="2955" spans="3:8" x14ac:dyDescent="0.25">
      <c r="C2955" s="210"/>
      <c r="D2955" s="210"/>
      <c r="E2955" s="210"/>
      <c r="F2955" s="210"/>
      <c r="G2955" s="210"/>
      <c r="H2955" s="210"/>
    </row>
    <row r="2956" spans="3:8" x14ac:dyDescent="0.25">
      <c r="C2956" s="210"/>
      <c r="D2956" s="210"/>
      <c r="E2956" s="210"/>
      <c r="F2956" s="210"/>
      <c r="G2956" s="210"/>
      <c r="H2956" s="210"/>
    </row>
    <row r="2957" spans="3:8" x14ac:dyDescent="0.25">
      <c r="C2957" s="210"/>
      <c r="D2957" s="210"/>
      <c r="E2957" s="210"/>
      <c r="F2957" s="210"/>
      <c r="G2957" s="210"/>
      <c r="H2957" s="210"/>
    </row>
    <row r="2958" spans="3:8" x14ac:dyDescent="0.25">
      <c r="C2958" s="210"/>
      <c r="D2958" s="210"/>
      <c r="E2958" s="210"/>
      <c r="F2958" s="210"/>
      <c r="G2958" s="210"/>
      <c r="H2958" s="210"/>
    </row>
    <row r="2959" spans="3:8" x14ac:dyDescent="0.25">
      <c r="C2959" s="210"/>
      <c r="D2959" s="210"/>
      <c r="E2959" s="210"/>
      <c r="F2959" s="210"/>
      <c r="G2959" s="210"/>
      <c r="H2959" s="210"/>
    </row>
    <row r="2960" spans="3:8" x14ac:dyDescent="0.25">
      <c r="C2960" s="210"/>
      <c r="D2960" s="210"/>
      <c r="E2960" s="210"/>
      <c r="F2960" s="210"/>
      <c r="G2960" s="210"/>
      <c r="H2960" s="210"/>
    </row>
    <row r="2961" spans="3:8" x14ac:dyDescent="0.25">
      <c r="C2961" s="210"/>
      <c r="D2961" s="210"/>
      <c r="E2961" s="210"/>
      <c r="F2961" s="210"/>
      <c r="G2961" s="210"/>
      <c r="H2961" s="210"/>
    </row>
    <row r="2962" spans="3:8" x14ac:dyDescent="0.25">
      <c r="C2962" s="210"/>
      <c r="D2962" s="210"/>
      <c r="E2962" s="210"/>
      <c r="F2962" s="210"/>
      <c r="G2962" s="210"/>
      <c r="H2962" s="210"/>
    </row>
    <row r="2963" spans="3:8" x14ac:dyDescent="0.25">
      <c r="C2963" s="210"/>
      <c r="D2963" s="210"/>
      <c r="E2963" s="210"/>
      <c r="F2963" s="210"/>
      <c r="G2963" s="210"/>
      <c r="H2963" s="210"/>
    </row>
    <row r="2964" spans="3:8" x14ac:dyDescent="0.25">
      <c r="C2964" s="210"/>
      <c r="D2964" s="210"/>
      <c r="E2964" s="210"/>
      <c r="F2964" s="210"/>
      <c r="G2964" s="210"/>
      <c r="H2964" s="210"/>
    </row>
    <row r="2965" spans="3:8" x14ac:dyDescent="0.25">
      <c r="C2965" s="210"/>
      <c r="D2965" s="210"/>
      <c r="E2965" s="210"/>
      <c r="F2965" s="210"/>
      <c r="G2965" s="210"/>
      <c r="H2965" s="210"/>
    </row>
    <row r="2966" spans="3:8" x14ac:dyDescent="0.25">
      <c r="C2966" s="210"/>
      <c r="D2966" s="210"/>
      <c r="E2966" s="210"/>
      <c r="F2966" s="210"/>
      <c r="G2966" s="210"/>
      <c r="H2966" s="210"/>
    </row>
    <row r="2967" spans="3:8" x14ac:dyDescent="0.25">
      <c r="C2967" s="210"/>
      <c r="D2967" s="210"/>
      <c r="E2967" s="210"/>
      <c r="F2967" s="210"/>
      <c r="G2967" s="210"/>
      <c r="H2967" s="210"/>
    </row>
    <row r="2968" spans="3:8" x14ac:dyDescent="0.25">
      <c r="C2968" s="210"/>
      <c r="D2968" s="210"/>
      <c r="E2968" s="210"/>
      <c r="F2968" s="210"/>
      <c r="G2968" s="210"/>
      <c r="H2968" s="210"/>
    </row>
    <row r="2969" spans="3:8" x14ac:dyDescent="0.25">
      <c r="C2969" s="210"/>
      <c r="D2969" s="210"/>
      <c r="E2969" s="210"/>
      <c r="F2969" s="210"/>
      <c r="G2969" s="210"/>
      <c r="H2969" s="210"/>
    </row>
    <row r="2970" spans="3:8" x14ac:dyDescent="0.25">
      <c r="C2970" s="210"/>
      <c r="D2970" s="210"/>
      <c r="E2970" s="210"/>
      <c r="F2970" s="210"/>
      <c r="G2970" s="210"/>
      <c r="H2970" s="210"/>
    </row>
    <row r="2971" spans="3:8" x14ac:dyDescent="0.25">
      <c r="C2971" s="210"/>
      <c r="D2971" s="210"/>
      <c r="E2971" s="210"/>
      <c r="F2971" s="210"/>
      <c r="G2971" s="210"/>
      <c r="H2971" s="210"/>
    </row>
    <row r="2972" spans="3:8" x14ac:dyDescent="0.25">
      <c r="C2972" s="210"/>
      <c r="D2972" s="210"/>
      <c r="E2972" s="210"/>
      <c r="F2972" s="210"/>
      <c r="G2972" s="210"/>
      <c r="H2972" s="210"/>
    </row>
    <row r="2973" spans="3:8" x14ac:dyDescent="0.25">
      <c r="C2973" s="210"/>
      <c r="D2973" s="210"/>
      <c r="E2973" s="210"/>
      <c r="F2973" s="210"/>
      <c r="G2973" s="210"/>
      <c r="H2973" s="210"/>
    </row>
    <row r="2974" spans="3:8" x14ac:dyDescent="0.25">
      <c r="C2974" s="210"/>
      <c r="D2974" s="210"/>
      <c r="E2974" s="210"/>
      <c r="F2974" s="210"/>
      <c r="G2974" s="210"/>
      <c r="H2974" s="210"/>
    </row>
    <row r="2975" spans="3:8" x14ac:dyDescent="0.25">
      <c r="C2975" s="210"/>
      <c r="D2975" s="210"/>
      <c r="E2975" s="210"/>
      <c r="F2975" s="210"/>
      <c r="G2975" s="210"/>
      <c r="H2975" s="210"/>
    </row>
    <row r="2976" spans="3:8" x14ac:dyDescent="0.25">
      <c r="C2976" s="210"/>
      <c r="D2976" s="210"/>
      <c r="E2976" s="210"/>
      <c r="F2976" s="210"/>
      <c r="G2976" s="210"/>
      <c r="H2976" s="210"/>
    </row>
    <row r="2977" spans="3:8" x14ac:dyDescent="0.25">
      <c r="C2977" s="210"/>
      <c r="D2977" s="210"/>
      <c r="E2977" s="210"/>
      <c r="F2977" s="210"/>
      <c r="G2977" s="210"/>
      <c r="H2977" s="210"/>
    </row>
    <row r="2978" spans="3:8" x14ac:dyDescent="0.25">
      <c r="C2978" s="210"/>
      <c r="D2978" s="210"/>
      <c r="E2978" s="210"/>
      <c r="F2978" s="210"/>
      <c r="G2978" s="210"/>
      <c r="H2978" s="210"/>
    </row>
    <row r="2979" spans="3:8" x14ac:dyDescent="0.25">
      <c r="C2979" s="210"/>
      <c r="D2979" s="210"/>
      <c r="E2979" s="210"/>
      <c r="F2979" s="210"/>
      <c r="G2979" s="210"/>
      <c r="H2979" s="210"/>
    </row>
    <row r="2980" spans="3:8" x14ac:dyDescent="0.25">
      <c r="C2980" s="210"/>
      <c r="D2980" s="210"/>
      <c r="E2980" s="210"/>
      <c r="F2980" s="210"/>
      <c r="G2980" s="210"/>
      <c r="H2980" s="210"/>
    </row>
    <row r="2981" spans="3:8" x14ac:dyDescent="0.25">
      <c r="C2981" s="210"/>
      <c r="D2981" s="210"/>
      <c r="E2981" s="210"/>
      <c r="F2981" s="210"/>
      <c r="G2981" s="210"/>
      <c r="H2981" s="210"/>
    </row>
    <row r="2982" spans="3:8" x14ac:dyDescent="0.25">
      <c r="C2982" s="210"/>
      <c r="D2982" s="210"/>
      <c r="E2982" s="210"/>
      <c r="F2982" s="210"/>
      <c r="G2982" s="210"/>
      <c r="H2982" s="210"/>
    </row>
    <row r="2983" spans="3:8" x14ac:dyDescent="0.25">
      <c r="C2983" s="210"/>
      <c r="D2983" s="210"/>
      <c r="E2983" s="210"/>
      <c r="F2983" s="210"/>
      <c r="G2983" s="210"/>
      <c r="H2983" s="210"/>
    </row>
    <row r="2984" spans="3:8" x14ac:dyDescent="0.25">
      <c r="C2984" s="210"/>
      <c r="D2984" s="210"/>
      <c r="E2984" s="210"/>
      <c r="F2984" s="210"/>
      <c r="G2984" s="210"/>
      <c r="H2984" s="210"/>
    </row>
    <row r="2985" spans="3:8" x14ac:dyDescent="0.25">
      <c r="C2985" s="210"/>
      <c r="D2985" s="210"/>
      <c r="E2985" s="210"/>
      <c r="F2985" s="210"/>
      <c r="G2985" s="210"/>
      <c r="H2985" s="210"/>
    </row>
    <row r="2986" spans="3:8" x14ac:dyDescent="0.25">
      <c r="C2986" s="210"/>
      <c r="D2986" s="210"/>
      <c r="E2986" s="210"/>
      <c r="F2986" s="210"/>
      <c r="G2986" s="210"/>
      <c r="H2986" s="210"/>
    </row>
    <row r="2987" spans="3:8" x14ac:dyDescent="0.25">
      <c r="C2987" s="210"/>
      <c r="D2987" s="210"/>
      <c r="E2987" s="210"/>
      <c r="F2987" s="210"/>
      <c r="G2987" s="210"/>
      <c r="H2987" s="210"/>
    </row>
    <row r="2988" spans="3:8" x14ac:dyDescent="0.25">
      <c r="C2988" s="210"/>
      <c r="D2988" s="210"/>
      <c r="E2988" s="210"/>
      <c r="F2988" s="210"/>
      <c r="G2988" s="210"/>
      <c r="H2988" s="210"/>
    </row>
    <row r="2989" spans="3:8" x14ac:dyDescent="0.25">
      <c r="C2989" s="210"/>
      <c r="D2989" s="210"/>
      <c r="E2989" s="210"/>
      <c r="F2989" s="210"/>
      <c r="G2989" s="210"/>
      <c r="H2989" s="210"/>
    </row>
    <row r="2990" spans="3:8" x14ac:dyDescent="0.25">
      <c r="C2990" s="210"/>
      <c r="D2990" s="210"/>
      <c r="E2990" s="210"/>
      <c r="F2990" s="210"/>
      <c r="G2990" s="210"/>
      <c r="H2990" s="210"/>
    </row>
    <row r="2991" spans="3:8" x14ac:dyDescent="0.25">
      <c r="C2991" s="210"/>
      <c r="D2991" s="210"/>
      <c r="E2991" s="210"/>
      <c r="F2991" s="210"/>
      <c r="G2991" s="210"/>
      <c r="H2991" s="210"/>
    </row>
    <row r="2992" spans="3:8" x14ac:dyDescent="0.25">
      <c r="C2992" s="210"/>
      <c r="D2992" s="210"/>
      <c r="E2992" s="210"/>
      <c r="F2992" s="210"/>
      <c r="G2992" s="210"/>
      <c r="H2992" s="210"/>
    </row>
    <row r="2993" spans="3:8" x14ac:dyDescent="0.25">
      <c r="C2993" s="210"/>
      <c r="D2993" s="210"/>
      <c r="E2993" s="210"/>
      <c r="F2993" s="210"/>
      <c r="G2993" s="210"/>
      <c r="H2993" s="210"/>
    </row>
    <row r="2994" spans="3:8" x14ac:dyDescent="0.25">
      <c r="C2994" s="210"/>
      <c r="D2994" s="210"/>
      <c r="E2994" s="210"/>
      <c r="F2994" s="210"/>
      <c r="G2994" s="210"/>
      <c r="H2994" s="210"/>
    </row>
    <row r="2995" spans="3:8" x14ac:dyDescent="0.25">
      <c r="C2995" s="210"/>
      <c r="D2995" s="210"/>
      <c r="E2995" s="210"/>
      <c r="F2995" s="210"/>
      <c r="G2995" s="210"/>
      <c r="H2995" s="210"/>
    </row>
    <row r="2996" spans="3:8" x14ac:dyDescent="0.25">
      <c r="C2996" s="210"/>
      <c r="D2996" s="210"/>
      <c r="E2996" s="210"/>
      <c r="F2996" s="210"/>
      <c r="G2996" s="210"/>
      <c r="H2996" s="210"/>
    </row>
    <row r="2997" spans="3:8" x14ac:dyDescent="0.25">
      <c r="C2997" s="210"/>
      <c r="D2997" s="210"/>
      <c r="E2997" s="210"/>
      <c r="F2997" s="210"/>
      <c r="G2997" s="210"/>
      <c r="H2997" s="210"/>
    </row>
    <row r="2998" spans="3:8" x14ac:dyDescent="0.25">
      <c r="C2998" s="210"/>
      <c r="D2998" s="210"/>
      <c r="E2998" s="210"/>
      <c r="F2998" s="210"/>
      <c r="G2998" s="210"/>
      <c r="H2998" s="210"/>
    </row>
    <row r="2999" spans="3:8" x14ac:dyDescent="0.25">
      <c r="C2999" s="210"/>
      <c r="D2999" s="210"/>
      <c r="E2999" s="210"/>
      <c r="F2999" s="210"/>
      <c r="G2999" s="210"/>
      <c r="H2999" s="210"/>
    </row>
    <row r="3000" spans="3:8" x14ac:dyDescent="0.25">
      <c r="C3000" s="210"/>
      <c r="D3000" s="210"/>
      <c r="E3000" s="210"/>
      <c r="F3000" s="210"/>
      <c r="G3000" s="210"/>
      <c r="H3000" s="210"/>
    </row>
    <row r="3001" spans="3:8" x14ac:dyDescent="0.25">
      <c r="C3001" s="210"/>
      <c r="D3001" s="210"/>
      <c r="E3001" s="210"/>
      <c r="F3001" s="210"/>
      <c r="G3001" s="210"/>
      <c r="H3001" s="210"/>
    </row>
    <row r="3002" spans="3:8" x14ac:dyDescent="0.25">
      <c r="C3002" s="210"/>
      <c r="D3002" s="210"/>
      <c r="E3002" s="210"/>
      <c r="F3002" s="210"/>
      <c r="G3002" s="210"/>
      <c r="H3002" s="210"/>
    </row>
    <row r="3003" spans="3:8" x14ac:dyDescent="0.25">
      <c r="C3003" s="210"/>
      <c r="D3003" s="210"/>
      <c r="E3003" s="210"/>
      <c r="F3003" s="210"/>
      <c r="G3003" s="210"/>
      <c r="H3003" s="210"/>
    </row>
    <row r="3004" spans="3:8" x14ac:dyDescent="0.25">
      <c r="C3004" s="210"/>
      <c r="D3004" s="210"/>
      <c r="E3004" s="210"/>
      <c r="F3004" s="210"/>
      <c r="G3004" s="210"/>
      <c r="H3004" s="210"/>
    </row>
    <row r="3005" spans="3:8" x14ac:dyDescent="0.25">
      <c r="C3005" s="210"/>
      <c r="D3005" s="210"/>
      <c r="E3005" s="210"/>
      <c r="F3005" s="210"/>
      <c r="G3005" s="210"/>
      <c r="H3005" s="210"/>
    </row>
    <row r="3006" spans="3:8" x14ac:dyDescent="0.25">
      <c r="C3006" s="210"/>
      <c r="D3006" s="210"/>
      <c r="E3006" s="210"/>
      <c r="F3006" s="210"/>
      <c r="G3006" s="210"/>
      <c r="H3006" s="210"/>
    </row>
    <row r="3007" spans="3:8" x14ac:dyDescent="0.25">
      <c r="C3007" s="210"/>
      <c r="D3007" s="210"/>
      <c r="E3007" s="210"/>
      <c r="F3007" s="210"/>
      <c r="G3007" s="210"/>
      <c r="H3007" s="210"/>
    </row>
    <row r="3008" spans="3:8" x14ac:dyDescent="0.25">
      <c r="C3008" s="210"/>
      <c r="D3008" s="210"/>
      <c r="E3008" s="210"/>
      <c r="F3008" s="210"/>
      <c r="G3008" s="210"/>
      <c r="H3008" s="210"/>
    </row>
    <row r="3009" spans="3:8" x14ac:dyDescent="0.25">
      <c r="C3009" s="210"/>
      <c r="D3009" s="210"/>
      <c r="E3009" s="210"/>
      <c r="F3009" s="210"/>
      <c r="G3009" s="210"/>
      <c r="H3009" s="210"/>
    </row>
    <row r="3010" spans="3:8" x14ac:dyDescent="0.25">
      <c r="C3010" s="210"/>
      <c r="D3010" s="210"/>
      <c r="E3010" s="210"/>
      <c r="F3010" s="210"/>
      <c r="G3010" s="210"/>
      <c r="H3010" s="210"/>
    </row>
    <row r="3011" spans="3:8" x14ac:dyDescent="0.25">
      <c r="C3011" s="210"/>
      <c r="D3011" s="210"/>
      <c r="E3011" s="210"/>
      <c r="F3011" s="210"/>
      <c r="G3011" s="210"/>
      <c r="H3011" s="210"/>
    </row>
    <row r="3012" spans="3:8" x14ac:dyDescent="0.25">
      <c r="C3012" s="210"/>
      <c r="D3012" s="210"/>
      <c r="E3012" s="210"/>
      <c r="F3012" s="210"/>
      <c r="G3012" s="210"/>
      <c r="H3012" s="210"/>
    </row>
    <row r="3013" spans="3:8" x14ac:dyDescent="0.25">
      <c r="C3013" s="210"/>
      <c r="D3013" s="210"/>
      <c r="E3013" s="210"/>
      <c r="F3013" s="210"/>
      <c r="G3013" s="210"/>
      <c r="H3013" s="210"/>
    </row>
    <row r="3014" spans="3:8" x14ac:dyDescent="0.25">
      <c r="C3014" s="210"/>
      <c r="D3014" s="210"/>
      <c r="E3014" s="210"/>
      <c r="F3014" s="210"/>
      <c r="G3014" s="210"/>
      <c r="H3014" s="210"/>
    </row>
    <row r="3015" spans="3:8" x14ac:dyDescent="0.25">
      <c r="C3015" s="210"/>
      <c r="D3015" s="210"/>
      <c r="E3015" s="210"/>
      <c r="F3015" s="210"/>
      <c r="G3015" s="210"/>
      <c r="H3015" s="210"/>
    </row>
    <row r="3016" spans="3:8" x14ac:dyDescent="0.25">
      <c r="C3016" s="210"/>
      <c r="D3016" s="210"/>
      <c r="E3016" s="210"/>
      <c r="F3016" s="210"/>
      <c r="G3016" s="210"/>
      <c r="H3016" s="210"/>
    </row>
    <row r="3017" spans="3:8" x14ac:dyDescent="0.25">
      <c r="C3017" s="210"/>
      <c r="D3017" s="210"/>
      <c r="E3017" s="210"/>
      <c r="F3017" s="210"/>
      <c r="G3017" s="210"/>
      <c r="H3017" s="210"/>
    </row>
    <row r="3018" spans="3:8" x14ac:dyDescent="0.25">
      <c r="C3018" s="210"/>
      <c r="D3018" s="210"/>
      <c r="E3018" s="210"/>
      <c r="F3018" s="210"/>
      <c r="G3018" s="210"/>
      <c r="H3018" s="210"/>
    </row>
    <row r="3019" spans="3:8" x14ac:dyDescent="0.25">
      <c r="C3019" s="210"/>
      <c r="D3019" s="210"/>
      <c r="E3019" s="210"/>
      <c r="F3019" s="210"/>
      <c r="G3019" s="210"/>
      <c r="H3019" s="210"/>
    </row>
    <row r="3020" spans="3:8" x14ac:dyDescent="0.25">
      <c r="C3020" s="210"/>
      <c r="D3020" s="210"/>
      <c r="E3020" s="210"/>
      <c r="F3020" s="210"/>
      <c r="G3020" s="210"/>
      <c r="H3020" s="210"/>
    </row>
    <row r="3021" spans="3:8" x14ac:dyDescent="0.25">
      <c r="C3021" s="210"/>
      <c r="D3021" s="210"/>
      <c r="E3021" s="210"/>
      <c r="F3021" s="210"/>
      <c r="G3021" s="210"/>
      <c r="H3021" s="210"/>
    </row>
    <row r="3022" spans="3:8" x14ac:dyDescent="0.25">
      <c r="C3022" s="210"/>
      <c r="D3022" s="210"/>
      <c r="E3022" s="210"/>
      <c r="F3022" s="210"/>
      <c r="G3022" s="210"/>
      <c r="H3022" s="210"/>
    </row>
    <row r="3023" spans="3:8" x14ac:dyDescent="0.25">
      <c r="C3023" s="210"/>
      <c r="D3023" s="210"/>
      <c r="E3023" s="210"/>
      <c r="F3023" s="210"/>
      <c r="G3023" s="210"/>
      <c r="H3023" s="210"/>
    </row>
    <row r="3024" spans="3:8" x14ac:dyDescent="0.25">
      <c r="C3024" s="210"/>
      <c r="D3024" s="210"/>
      <c r="E3024" s="210"/>
      <c r="F3024" s="210"/>
      <c r="G3024" s="210"/>
      <c r="H3024" s="210"/>
    </row>
    <row r="3025" spans="3:8" x14ac:dyDescent="0.25">
      <c r="C3025" s="210"/>
      <c r="D3025" s="210"/>
      <c r="E3025" s="210"/>
      <c r="F3025" s="210"/>
      <c r="G3025" s="210"/>
      <c r="H3025" s="210"/>
    </row>
    <row r="3026" spans="3:8" x14ac:dyDescent="0.25">
      <c r="C3026" s="210"/>
      <c r="D3026" s="210"/>
      <c r="E3026" s="210"/>
      <c r="F3026" s="210"/>
      <c r="G3026" s="210"/>
      <c r="H3026" s="210"/>
    </row>
    <row r="3027" spans="3:8" x14ac:dyDescent="0.25">
      <c r="C3027" s="210"/>
      <c r="D3027" s="210"/>
      <c r="E3027" s="210"/>
      <c r="F3027" s="210"/>
      <c r="G3027" s="210"/>
      <c r="H3027" s="210"/>
    </row>
    <row r="3028" spans="3:8" x14ac:dyDescent="0.25">
      <c r="C3028" s="210"/>
      <c r="D3028" s="210"/>
      <c r="E3028" s="210"/>
      <c r="F3028" s="210"/>
      <c r="G3028" s="210"/>
      <c r="H3028" s="210"/>
    </row>
    <row r="3029" spans="3:8" x14ac:dyDescent="0.25">
      <c r="C3029" s="210"/>
      <c r="D3029" s="210"/>
      <c r="E3029" s="210"/>
      <c r="F3029" s="210"/>
      <c r="G3029" s="210"/>
      <c r="H3029" s="210"/>
    </row>
    <row r="3030" spans="3:8" x14ac:dyDescent="0.25">
      <c r="C3030" s="210"/>
      <c r="D3030" s="210"/>
      <c r="E3030" s="210"/>
      <c r="F3030" s="210"/>
      <c r="G3030" s="210"/>
      <c r="H3030" s="210"/>
    </row>
    <row r="3031" spans="3:8" x14ac:dyDescent="0.25">
      <c r="C3031" s="210"/>
      <c r="D3031" s="210"/>
      <c r="E3031" s="210"/>
      <c r="F3031" s="210"/>
      <c r="G3031" s="210"/>
      <c r="H3031" s="210"/>
    </row>
    <row r="3032" spans="3:8" x14ac:dyDescent="0.25">
      <c r="C3032" s="210"/>
      <c r="D3032" s="210"/>
      <c r="E3032" s="210"/>
      <c r="F3032" s="210"/>
      <c r="G3032" s="210"/>
      <c r="H3032" s="210"/>
    </row>
    <row r="3033" spans="3:8" x14ac:dyDescent="0.25">
      <c r="C3033" s="210"/>
      <c r="D3033" s="210"/>
      <c r="E3033" s="210"/>
      <c r="F3033" s="210"/>
      <c r="G3033" s="210"/>
      <c r="H3033" s="210"/>
    </row>
    <row r="3034" spans="3:8" x14ac:dyDescent="0.25">
      <c r="C3034" s="210"/>
      <c r="D3034" s="210"/>
      <c r="E3034" s="210"/>
      <c r="F3034" s="210"/>
      <c r="G3034" s="210"/>
      <c r="H3034" s="210"/>
    </row>
    <row r="3035" spans="3:8" x14ac:dyDescent="0.25">
      <c r="C3035" s="210"/>
      <c r="D3035" s="210"/>
      <c r="E3035" s="210"/>
      <c r="F3035" s="210"/>
      <c r="G3035" s="210"/>
      <c r="H3035" s="210"/>
    </row>
    <row r="3036" spans="3:8" x14ac:dyDescent="0.25">
      <c r="C3036" s="210"/>
      <c r="D3036" s="210"/>
      <c r="E3036" s="210"/>
      <c r="F3036" s="210"/>
      <c r="G3036" s="210"/>
      <c r="H3036" s="210"/>
    </row>
    <row r="3037" spans="3:8" x14ac:dyDescent="0.25">
      <c r="C3037" s="210"/>
      <c r="D3037" s="210"/>
      <c r="E3037" s="210"/>
      <c r="F3037" s="210"/>
      <c r="G3037" s="210"/>
      <c r="H3037" s="210"/>
    </row>
    <row r="3038" spans="3:8" x14ac:dyDescent="0.25">
      <c r="C3038" s="210"/>
      <c r="D3038" s="210"/>
      <c r="E3038" s="210"/>
      <c r="F3038" s="210"/>
      <c r="G3038" s="210"/>
      <c r="H3038" s="210"/>
    </row>
    <row r="3039" spans="3:8" x14ac:dyDescent="0.25">
      <c r="C3039" s="210"/>
      <c r="D3039" s="210"/>
      <c r="E3039" s="210"/>
      <c r="F3039" s="210"/>
      <c r="G3039" s="210"/>
      <c r="H3039" s="210"/>
    </row>
    <row r="3040" spans="3:8" x14ac:dyDescent="0.25">
      <c r="C3040" s="210"/>
      <c r="D3040" s="210"/>
      <c r="E3040" s="210"/>
      <c r="F3040" s="210"/>
      <c r="G3040" s="210"/>
      <c r="H3040" s="210"/>
    </row>
    <row r="3041" spans="3:8" x14ac:dyDescent="0.25">
      <c r="C3041" s="210"/>
      <c r="D3041" s="210"/>
      <c r="E3041" s="210"/>
      <c r="F3041" s="210"/>
      <c r="G3041" s="210"/>
      <c r="H3041" s="210"/>
    </row>
    <row r="3042" spans="3:8" x14ac:dyDescent="0.25">
      <c r="C3042" s="210"/>
      <c r="D3042" s="210"/>
      <c r="E3042" s="210"/>
      <c r="F3042" s="210"/>
      <c r="G3042" s="210"/>
      <c r="H3042" s="210"/>
    </row>
    <row r="3043" spans="3:8" x14ac:dyDescent="0.25">
      <c r="C3043" s="210"/>
      <c r="D3043" s="210"/>
      <c r="E3043" s="210"/>
      <c r="F3043" s="210"/>
      <c r="G3043" s="210"/>
      <c r="H3043" s="210"/>
    </row>
    <row r="3044" spans="3:8" x14ac:dyDescent="0.25">
      <c r="C3044" s="210"/>
      <c r="D3044" s="210"/>
      <c r="E3044" s="210"/>
      <c r="F3044" s="210"/>
      <c r="G3044" s="210"/>
      <c r="H3044" s="210"/>
    </row>
    <row r="3045" spans="3:8" x14ac:dyDescent="0.25">
      <c r="C3045" s="210"/>
      <c r="D3045" s="210"/>
      <c r="E3045" s="210"/>
      <c r="F3045" s="210"/>
      <c r="G3045" s="210"/>
      <c r="H3045" s="210"/>
    </row>
    <row r="3046" spans="3:8" x14ac:dyDescent="0.25">
      <c r="C3046" s="210"/>
      <c r="D3046" s="210"/>
      <c r="E3046" s="210"/>
      <c r="F3046" s="210"/>
      <c r="G3046" s="210"/>
      <c r="H3046" s="210"/>
    </row>
    <row r="3047" spans="3:8" x14ac:dyDescent="0.25">
      <c r="C3047" s="210"/>
      <c r="D3047" s="210"/>
      <c r="E3047" s="210"/>
      <c r="F3047" s="210"/>
      <c r="G3047" s="210"/>
      <c r="H3047" s="210"/>
    </row>
    <row r="3048" spans="3:8" x14ac:dyDescent="0.25">
      <c r="C3048" s="210"/>
      <c r="D3048" s="210"/>
      <c r="E3048" s="210"/>
      <c r="F3048" s="210"/>
      <c r="G3048" s="210"/>
      <c r="H3048" s="210"/>
    </row>
    <row r="3049" spans="3:8" x14ac:dyDescent="0.25">
      <c r="C3049" s="210"/>
      <c r="D3049" s="210"/>
      <c r="E3049" s="210"/>
      <c r="F3049" s="210"/>
      <c r="G3049" s="210"/>
      <c r="H3049" s="210"/>
    </row>
    <row r="3050" spans="3:8" x14ac:dyDescent="0.25">
      <c r="C3050" s="210"/>
      <c r="D3050" s="210"/>
      <c r="E3050" s="210"/>
      <c r="F3050" s="210"/>
      <c r="G3050" s="210"/>
      <c r="H3050" s="210"/>
    </row>
    <row r="3051" spans="3:8" x14ac:dyDescent="0.25">
      <c r="C3051" s="210"/>
      <c r="D3051" s="210"/>
      <c r="E3051" s="210"/>
      <c r="F3051" s="210"/>
      <c r="G3051" s="210"/>
      <c r="H3051" s="210"/>
    </row>
    <row r="3052" spans="3:8" x14ac:dyDescent="0.25">
      <c r="C3052" s="210"/>
      <c r="D3052" s="210"/>
      <c r="E3052" s="210"/>
      <c r="F3052" s="210"/>
      <c r="G3052" s="210"/>
      <c r="H3052" s="210"/>
    </row>
    <row r="3053" spans="3:8" x14ac:dyDescent="0.25">
      <c r="C3053" s="210"/>
      <c r="D3053" s="210"/>
      <c r="E3053" s="210"/>
      <c r="F3053" s="210"/>
      <c r="G3053" s="210"/>
      <c r="H3053" s="210"/>
    </row>
    <row r="3054" spans="3:8" x14ac:dyDescent="0.25">
      <c r="C3054" s="210"/>
      <c r="D3054" s="210"/>
      <c r="E3054" s="210"/>
      <c r="F3054" s="210"/>
      <c r="G3054" s="210"/>
      <c r="H3054" s="210"/>
    </row>
    <row r="3055" spans="3:8" x14ac:dyDescent="0.25">
      <c r="C3055" s="210"/>
      <c r="D3055" s="210"/>
      <c r="E3055" s="210"/>
      <c r="F3055" s="210"/>
      <c r="G3055" s="210"/>
      <c r="H3055" s="210"/>
    </row>
    <row r="3056" spans="3:8" x14ac:dyDescent="0.25">
      <c r="C3056" s="210"/>
      <c r="D3056" s="210"/>
      <c r="E3056" s="210"/>
      <c r="F3056" s="210"/>
      <c r="G3056" s="210"/>
      <c r="H3056" s="210"/>
    </row>
    <row r="3057" spans="3:8" x14ac:dyDescent="0.25">
      <c r="C3057" s="210"/>
      <c r="D3057" s="210"/>
      <c r="E3057" s="210"/>
      <c r="F3057" s="210"/>
      <c r="G3057" s="210"/>
      <c r="H3057" s="210"/>
    </row>
    <row r="3058" spans="3:8" x14ac:dyDescent="0.25">
      <c r="C3058" s="210"/>
      <c r="D3058" s="210"/>
      <c r="E3058" s="210"/>
      <c r="F3058" s="210"/>
      <c r="G3058" s="210"/>
      <c r="H3058" s="210"/>
    </row>
    <row r="3059" spans="3:8" x14ac:dyDescent="0.25">
      <c r="C3059" s="210"/>
      <c r="D3059" s="210"/>
      <c r="E3059" s="210"/>
      <c r="F3059" s="210"/>
      <c r="G3059" s="210"/>
      <c r="H3059" s="210"/>
    </row>
    <row r="3060" spans="3:8" x14ac:dyDescent="0.25">
      <c r="C3060" s="210"/>
      <c r="D3060" s="210"/>
      <c r="E3060" s="210"/>
      <c r="F3060" s="210"/>
      <c r="G3060" s="210"/>
      <c r="H3060" s="210"/>
    </row>
    <row r="3061" spans="3:8" x14ac:dyDescent="0.25">
      <c r="C3061" s="210"/>
      <c r="D3061" s="210"/>
      <c r="E3061" s="210"/>
      <c r="F3061" s="210"/>
      <c r="G3061" s="210"/>
      <c r="H3061" s="210"/>
    </row>
    <row r="3062" spans="3:8" x14ac:dyDescent="0.25">
      <c r="C3062" s="210"/>
      <c r="D3062" s="210"/>
      <c r="E3062" s="210"/>
      <c r="F3062" s="210"/>
      <c r="G3062" s="210"/>
      <c r="H3062" s="210"/>
    </row>
    <row r="3063" spans="3:8" x14ac:dyDescent="0.25">
      <c r="C3063" s="210"/>
      <c r="D3063" s="210"/>
      <c r="E3063" s="210"/>
      <c r="F3063" s="210"/>
      <c r="G3063" s="210"/>
      <c r="H3063" s="210"/>
    </row>
    <row r="3064" spans="3:8" x14ac:dyDescent="0.25">
      <c r="C3064" s="210"/>
      <c r="D3064" s="210"/>
      <c r="E3064" s="210"/>
      <c r="F3064" s="210"/>
      <c r="G3064" s="210"/>
      <c r="H3064" s="210"/>
    </row>
    <row r="3065" spans="3:8" x14ac:dyDescent="0.25">
      <c r="C3065" s="210"/>
      <c r="D3065" s="210"/>
      <c r="E3065" s="210"/>
      <c r="F3065" s="210"/>
      <c r="G3065" s="210"/>
      <c r="H3065" s="210"/>
    </row>
    <row r="3066" spans="3:8" x14ac:dyDescent="0.25">
      <c r="C3066" s="210"/>
      <c r="D3066" s="210"/>
      <c r="E3066" s="210"/>
      <c r="F3066" s="210"/>
      <c r="G3066" s="210"/>
      <c r="H3066" s="210"/>
    </row>
    <row r="3067" spans="3:8" x14ac:dyDescent="0.25">
      <c r="C3067" s="210"/>
      <c r="D3067" s="210"/>
      <c r="E3067" s="210"/>
      <c r="F3067" s="210"/>
      <c r="G3067" s="210"/>
      <c r="H3067" s="210"/>
    </row>
    <row r="3068" spans="3:8" x14ac:dyDescent="0.25">
      <c r="C3068" s="210"/>
      <c r="D3068" s="210"/>
      <c r="E3068" s="210"/>
      <c r="F3068" s="210"/>
      <c r="G3068" s="210"/>
      <c r="H3068" s="210"/>
    </row>
    <row r="3069" spans="3:8" x14ac:dyDescent="0.25">
      <c r="C3069" s="210"/>
      <c r="D3069" s="210"/>
      <c r="E3069" s="210"/>
      <c r="F3069" s="210"/>
      <c r="G3069" s="210"/>
      <c r="H3069" s="210"/>
    </row>
    <row r="3070" spans="3:8" x14ac:dyDescent="0.25">
      <c r="C3070" s="210"/>
      <c r="D3070" s="210"/>
      <c r="E3070" s="210"/>
      <c r="F3070" s="210"/>
      <c r="G3070" s="210"/>
      <c r="H3070" s="210"/>
    </row>
    <row r="3071" spans="3:8" x14ac:dyDescent="0.25">
      <c r="C3071" s="210"/>
      <c r="D3071" s="210"/>
      <c r="E3071" s="210"/>
      <c r="F3071" s="210"/>
      <c r="G3071" s="210"/>
      <c r="H3071" s="210"/>
    </row>
    <row r="3072" spans="3:8" x14ac:dyDescent="0.25">
      <c r="C3072" s="210"/>
      <c r="D3072" s="210"/>
      <c r="E3072" s="210"/>
      <c r="F3072" s="210"/>
      <c r="G3072" s="210"/>
      <c r="H3072" s="210"/>
    </row>
    <row r="3073" spans="3:8" x14ac:dyDescent="0.25">
      <c r="C3073" s="210"/>
      <c r="D3073" s="210"/>
      <c r="E3073" s="210"/>
      <c r="F3073" s="210"/>
      <c r="G3073" s="210"/>
      <c r="H3073" s="210"/>
    </row>
    <row r="3074" spans="3:8" x14ac:dyDescent="0.25">
      <c r="C3074" s="210"/>
      <c r="D3074" s="210"/>
      <c r="E3074" s="210"/>
      <c r="F3074" s="210"/>
      <c r="G3074" s="210"/>
      <c r="H3074" s="210"/>
    </row>
    <row r="3075" spans="3:8" x14ac:dyDescent="0.25">
      <c r="C3075" s="210"/>
      <c r="D3075" s="210"/>
      <c r="E3075" s="210"/>
      <c r="F3075" s="210"/>
      <c r="G3075" s="210"/>
      <c r="H3075" s="210"/>
    </row>
    <row r="3076" spans="3:8" x14ac:dyDescent="0.25">
      <c r="C3076" s="210"/>
      <c r="D3076" s="210"/>
      <c r="E3076" s="210"/>
      <c r="F3076" s="210"/>
      <c r="G3076" s="210"/>
      <c r="H3076" s="210"/>
    </row>
    <row r="3077" spans="3:8" x14ac:dyDescent="0.25">
      <c r="C3077" s="210"/>
      <c r="D3077" s="210"/>
      <c r="E3077" s="210"/>
      <c r="F3077" s="210"/>
      <c r="G3077" s="210"/>
      <c r="H3077" s="210"/>
    </row>
    <row r="3078" spans="3:8" x14ac:dyDescent="0.25">
      <c r="C3078" s="210"/>
      <c r="D3078" s="210"/>
      <c r="E3078" s="210"/>
      <c r="F3078" s="210"/>
      <c r="G3078" s="210"/>
      <c r="H3078" s="210"/>
    </row>
    <row r="3079" spans="3:8" x14ac:dyDescent="0.25">
      <c r="C3079" s="210"/>
      <c r="D3079" s="210"/>
      <c r="E3079" s="210"/>
      <c r="F3079" s="210"/>
      <c r="G3079" s="210"/>
      <c r="H3079" s="210"/>
    </row>
    <row r="3080" spans="3:8" x14ac:dyDescent="0.25">
      <c r="C3080" s="210"/>
      <c r="D3080" s="210"/>
      <c r="E3080" s="210"/>
      <c r="F3080" s="210"/>
      <c r="G3080" s="210"/>
      <c r="H3080" s="210"/>
    </row>
    <row r="3081" spans="3:8" x14ac:dyDescent="0.25">
      <c r="C3081" s="210"/>
      <c r="D3081" s="210"/>
      <c r="E3081" s="210"/>
      <c r="F3081" s="210"/>
      <c r="G3081" s="210"/>
      <c r="H3081" s="210"/>
    </row>
    <row r="3082" spans="3:8" x14ac:dyDescent="0.25">
      <c r="C3082" s="210"/>
      <c r="D3082" s="210"/>
      <c r="E3082" s="210"/>
      <c r="F3082" s="210"/>
      <c r="G3082" s="210"/>
      <c r="H3082" s="210"/>
    </row>
    <row r="3083" spans="3:8" x14ac:dyDescent="0.25">
      <c r="C3083" s="210"/>
      <c r="D3083" s="210"/>
      <c r="E3083" s="210"/>
      <c r="F3083" s="210"/>
      <c r="G3083" s="210"/>
      <c r="H3083" s="210"/>
    </row>
    <row r="3084" spans="3:8" x14ac:dyDescent="0.25">
      <c r="C3084" s="210"/>
      <c r="D3084" s="210"/>
      <c r="E3084" s="210"/>
      <c r="F3084" s="210"/>
      <c r="G3084" s="210"/>
      <c r="H3084" s="210"/>
    </row>
    <row r="3085" spans="3:8" x14ac:dyDescent="0.25">
      <c r="C3085" s="210"/>
      <c r="D3085" s="210"/>
      <c r="E3085" s="210"/>
      <c r="F3085" s="210"/>
      <c r="G3085" s="210"/>
      <c r="H3085" s="210"/>
    </row>
    <row r="3086" spans="3:8" x14ac:dyDescent="0.25">
      <c r="C3086" s="210"/>
      <c r="D3086" s="210"/>
      <c r="E3086" s="210"/>
      <c r="F3086" s="210"/>
      <c r="G3086" s="210"/>
      <c r="H3086" s="210"/>
    </row>
    <row r="3087" spans="3:8" x14ac:dyDescent="0.25">
      <c r="C3087" s="210"/>
      <c r="D3087" s="210"/>
      <c r="E3087" s="210"/>
      <c r="F3087" s="210"/>
      <c r="G3087" s="210"/>
      <c r="H3087" s="210"/>
    </row>
    <row r="3088" spans="3:8" x14ac:dyDescent="0.25">
      <c r="C3088" s="210"/>
      <c r="D3088" s="210"/>
      <c r="E3088" s="210"/>
      <c r="F3088" s="210"/>
      <c r="G3088" s="210"/>
      <c r="H3088" s="210"/>
    </row>
    <row r="3089" spans="3:8" x14ac:dyDescent="0.25">
      <c r="C3089" s="210"/>
      <c r="D3089" s="210"/>
      <c r="E3089" s="210"/>
      <c r="F3089" s="210"/>
      <c r="G3089" s="210"/>
      <c r="H3089" s="210"/>
    </row>
    <row r="3090" spans="3:8" x14ac:dyDescent="0.25">
      <c r="C3090" s="210"/>
      <c r="D3090" s="210"/>
      <c r="E3090" s="210"/>
      <c r="F3090" s="210"/>
      <c r="G3090" s="210"/>
      <c r="H3090" s="210"/>
    </row>
    <row r="3091" spans="3:8" x14ac:dyDescent="0.25">
      <c r="C3091" s="210"/>
      <c r="D3091" s="210"/>
      <c r="E3091" s="210"/>
      <c r="F3091" s="210"/>
      <c r="G3091" s="210"/>
      <c r="H3091" s="210"/>
    </row>
    <row r="3092" spans="3:8" x14ac:dyDescent="0.25">
      <c r="C3092" s="210"/>
      <c r="D3092" s="210"/>
      <c r="E3092" s="210"/>
      <c r="F3092" s="210"/>
      <c r="G3092" s="210"/>
      <c r="H3092" s="210"/>
    </row>
    <row r="3093" spans="3:8" x14ac:dyDescent="0.25">
      <c r="C3093" s="210"/>
      <c r="D3093" s="210"/>
      <c r="E3093" s="210"/>
      <c r="F3093" s="210"/>
      <c r="G3093" s="210"/>
      <c r="H3093" s="210"/>
    </row>
    <row r="3094" spans="3:8" x14ac:dyDescent="0.25">
      <c r="C3094" s="210"/>
      <c r="D3094" s="210"/>
      <c r="E3094" s="210"/>
      <c r="F3094" s="210"/>
      <c r="G3094" s="210"/>
      <c r="H3094" s="210"/>
    </row>
    <row r="3095" spans="3:8" x14ac:dyDescent="0.25">
      <c r="C3095" s="210"/>
      <c r="D3095" s="210"/>
      <c r="E3095" s="210"/>
      <c r="F3095" s="210"/>
      <c r="G3095" s="210"/>
      <c r="H3095" s="210"/>
    </row>
    <row r="3096" spans="3:8" x14ac:dyDescent="0.25">
      <c r="C3096" s="210"/>
      <c r="D3096" s="210"/>
      <c r="E3096" s="210"/>
      <c r="F3096" s="210"/>
      <c r="G3096" s="210"/>
      <c r="H3096" s="210"/>
    </row>
    <row r="3097" spans="3:8" x14ac:dyDescent="0.25">
      <c r="C3097" s="210"/>
      <c r="D3097" s="210"/>
      <c r="E3097" s="210"/>
      <c r="F3097" s="210"/>
      <c r="G3097" s="210"/>
      <c r="H3097" s="210"/>
    </row>
    <row r="3098" spans="3:8" x14ac:dyDescent="0.25">
      <c r="C3098" s="210"/>
      <c r="D3098" s="210"/>
      <c r="E3098" s="210"/>
      <c r="F3098" s="210"/>
      <c r="G3098" s="210"/>
      <c r="H3098" s="210"/>
    </row>
    <row r="3099" spans="3:8" x14ac:dyDescent="0.25">
      <c r="C3099" s="210"/>
      <c r="D3099" s="210"/>
      <c r="E3099" s="210"/>
      <c r="F3099" s="210"/>
      <c r="G3099" s="210"/>
      <c r="H3099" s="210"/>
    </row>
    <row r="3100" spans="3:8" x14ac:dyDescent="0.25">
      <c r="C3100" s="210"/>
      <c r="D3100" s="210"/>
      <c r="E3100" s="210"/>
      <c r="F3100" s="210"/>
      <c r="G3100" s="210"/>
      <c r="H3100" s="210"/>
    </row>
    <row r="3101" spans="3:8" x14ac:dyDescent="0.25">
      <c r="C3101" s="210"/>
      <c r="D3101" s="210"/>
      <c r="E3101" s="210"/>
      <c r="F3101" s="210"/>
      <c r="G3101" s="210"/>
      <c r="H3101" s="210"/>
    </row>
    <row r="3102" spans="3:8" x14ac:dyDescent="0.25">
      <c r="C3102" s="210"/>
      <c r="D3102" s="210"/>
      <c r="E3102" s="210"/>
      <c r="F3102" s="210"/>
      <c r="G3102" s="210"/>
      <c r="H3102" s="210"/>
    </row>
    <row r="3103" spans="3:8" x14ac:dyDescent="0.25">
      <c r="C3103" s="210"/>
      <c r="D3103" s="210"/>
      <c r="E3103" s="210"/>
      <c r="F3103" s="210"/>
      <c r="G3103" s="210"/>
      <c r="H3103" s="210"/>
    </row>
    <row r="3104" spans="3:8" x14ac:dyDescent="0.25">
      <c r="C3104" s="210"/>
      <c r="D3104" s="210"/>
      <c r="E3104" s="210"/>
      <c r="F3104" s="210"/>
      <c r="G3104" s="210"/>
      <c r="H3104" s="210"/>
    </row>
    <row r="3105" spans="3:8" x14ac:dyDescent="0.25">
      <c r="C3105" s="210"/>
      <c r="D3105" s="210"/>
      <c r="E3105" s="210"/>
      <c r="F3105" s="210"/>
      <c r="G3105" s="210"/>
      <c r="H3105" s="210"/>
    </row>
    <row r="3106" spans="3:8" x14ac:dyDescent="0.25">
      <c r="C3106" s="210"/>
      <c r="D3106" s="210"/>
      <c r="E3106" s="210"/>
      <c r="F3106" s="210"/>
      <c r="G3106" s="210"/>
      <c r="H3106" s="210"/>
    </row>
    <row r="3107" spans="3:8" x14ac:dyDescent="0.25">
      <c r="C3107" s="210"/>
      <c r="D3107" s="210"/>
      <c r="E3107" s="210"/>
      <c r="F3107" s="210"/>
      <c r="G3107" s="210"/>
      <c r="H3107" s="210"/>
    </row>
    <row r="3108" spans="3:8" x14ac:dyDescent="0.25">
      <c r="C3108" s="210"/>
      <c r="D3108" s="210"/>
      <c r="E3108" s="210"/>
      <c r="F3108" s="210"/>
      <c r="G3108" s="210"/>
      <c r="H3108" s="210"/>
    </row>
    <row r="3109" spans="3:8" x14ac:dyDescent="0.25">
      <c r="C3109" s="210"/>
      <c r="D3109" s="210"/>
      <c r="E3109" s="210"/>
      <c r="F3109" s="210"/>
      <c r="G3109" s="210"/>
      <c r="H3109" s="210"/>
    </row>
    <row r="3110" spans="3:8" x14ac:dyDescent="0.25">
      <c r="C3110" s="210"/>
      <c r="D3110" s="210"/>
      <c r="E3110" s="210"/>
      <c r="F3110" s="210"/>
      <c r="G3110" s="210"/>
      <c r="H3110" s="210"/>
    </row>
    <row r="3111" spans="3:8" x14ac:dyDescent="0.25">
      <c r="C3111" s="210"/>
      <c r="D3111" s="210"/>
      <c r="E3111" s="210"/>
      <c r="F3111" s="210"/>
      <c r="G3111" s="210"/>
      <c r="H3111" s="210"/>
    </row>
    <row r="3112" spans="3:8" x14ac:dyDescent="0.25">
      <c r="C3112" s="210"/>
      <c r="D3112" s="210"/>
      <c r="E3112" s="210"/>
      <c r="F3112" s="210"/>
      <c r="G3112" s="210"/>
      <c r="H3112" s="210"/>
    </row>
    <row r="3113" spans="3:8" x14ac:dyDescent="0.25">
      <c r="C3113" s="210"/>
      <c r="D3113" s="210"/>
      <c r="E3113" s="210"/>
      <c r="F3113" s="210"/>
      <c r="G3113" s="210"/>
      <c r="H3113" s="210"/>
    </row>
    <row r="3114" spans="3:8" x14ac:dyDescent="0.25">
      <c r="C3114" s="210"/>
      <c r="D3114" s="210"/>
      <c r="E3114" s="210"/>
      <c r="F3114" s="210"/>
      <c r="G3114" s="210"/>
      <c r="H3114" s="210"/>
    </row>
    <row r="3115" spans="3:8" x14ac:dyDescent="0.25">
      <c r="C3115" s="210"/>
      <c r="D3115" s="210"/>
      <c r="E3115" s="210"/>
      <c r="F3115" s="210"/>
      <c r="G3115" s="210"/>
      <c r="H3115" s="210"/>
    </row>
    <row r="3116" spans="3:8" x14ac:dyDescent="0.25">
      <c r="C3116" s="210"/>
      <c r="D3116" s="210"/>
      <c r="E3116" s="210"/>
      <c r="F3116" s="210"/>
      <c r="G3116" s="210"/>
      <c r="H3116" s="210"/>
    </row>
    <row r="3117" spans="3:8" x14ac:dyDescent="0.25">
      <c r="C3117" s="210"/>
      <c r="D3117" s="210"/>
      <c r="E3117" s="210"/>
      <c r="F3117" s="210"/>
      <c r="G3117" s="210"/>
      <c r="H3117" s="210"/>
    </row>
    <row r="3118" spans="3:8" x14ac:dyDescent="0.25">
      <c r="C3118" s="210"/>
      <c r="D3118" s="210"/>
      <c r="E3118" s="210"/>
      <c r="F3118" s="210"/>
      <c r="G3118" s="210"/>
      <c r="H3118" s="210"/>
    </row>
    <row r="3119" spans="3:8" x14ac:dyDescent="0.25">
      <c r="C3119" s="210"/>
      <c r="D3119" s="210"/>
      <c r="E3119" s="210"/>
      <c r="F3119" s="210"/>
      <c r="G3119" s="210"/>
      <c r="H3119" s="210"/>
    </row>
    <row r="3120" spans="3:8" x14ac:dyDescent="0.25">
      <c r="C3120" s="210"/>
      <c r="D3120" s="210"/>
      <c r="E3120" s="210"/>
      <c r="F3120" s="210"/>
      <c r="G3120" s="210"/>
      <c r="H3120" s="210"/>
    </row>
    <row r="3121" spans="3:8" x14ac:dyDescent="0.25">
      <c r="C3121" s="210"/>
      <c r="D3121" s="210"/>
      <c r="E3121" s="210"/>
      <c r="F3121" s="210"/>
      <c r="G3121" s="210"/>
      <c r="H3121" s="210"/>
    </row>
    <row r="3122" spans="3:8" x14ac:dyDescent="0.25">
      <c r="C3122" s="210"/>
      <c r="D3122" s="210"/>
      <c r="E3122" s="210"/>
      <c r="F3122" s="210"/>
      <c r="G3122" s="210"/>
      <c r="H3122" s="210"/>
    </row>
    <row r="3123" spans="3:8" x14ac:dyDescent="0.25">
      <c r="C3123" s="210"/>
      <c r="D3123" s="210"/>
      <c r="E3123" s="210"/>
      <c r="F3123" s="210"/>
      <c r="G3123" s="210"/>
      <c r="H3123" s="210"/>
    </row>
    <row r="3124" spans="3:8" x14ac:dyDescent="0.25">
      <c r="C3124" s="210"/>
      <c r="D3124" s="210"/>
      <c r="E3124" s="210"/>
      <c r="F3124" s="210"/>
      <c r="G3124" s="210"/>
      <c r="H3124" s="210"/>
    </row>
    <row r="3125" spans="3:8" x14ac:dyDescent="0.25">
      <c r="C3125" s="210"/>
      <c r="D3125" s="210"/>
      <c r="E3125" s="210"/>
      <c r="F3125" s="210"/>
      <c r="G3125" s="210"/>
      <c r="H3125" s="210"/>
    </row>
    <row r="3126" spans="3:8" x14ac:dyDescent="0.25">
      <c r="C3126" s="210"/>
      <c r="D3126" s="210"/>
      <c r="E3126" s="210"/>
      <c r="F3126" s="210"/>
      <c r="G3126" s="210"/>
      <c r="H3126" s="210"/>
    </row>
    <row r="3127" spans="3:8" x14ac:dyDescent="0.25">
      <c r="C3127" s="210"/>
      <c r="D3127" s="210"/>
      <c r="E3127" s="210"/>
      <c r="F3127" s="210"/>
      <c r="G3127" s="210"/>
      <c r="H3127" s="210"/>
    </row>
    <row r="3128" spans="3:8" x14ac:dyDescent="0.25">
      <c r="C3128" s="210"/>
      <c r="D3128" s="210"/>
      <c r="E3128" s="210"/>
      <c r="F3128" s="210"/>
      <c r="G3128" s="210"/>
      <c r="H3128" s="210"/>
    </row>
    <row r="3129" spans="3:8" x14ac:dyDescent="0.25">
      <c r="C3129" s="210"/>
      <c r="D3129" s="210"/>
      <c r="E3129" s="210"/>
      <c r="F3129" s="210"/>
      <c r="G3129" s="210"/>
      <c r="H3129" s="210"/>
    </row>
    <row r="3130" spans="3:8" x14ac:dyDescent="0.25">
      <c r="C3130" s="210"/>
      <c r="D3130" s="210"/>
      <c r="E3130" s="210"/>
      <c r="F3130" s="210"/>
      <c r="G3130" s="210"/>
      <c r="H3130" s="210"/>
    </row>
    <row r="3131" spans="3:8" x14ac:dyDescent="0.25">
      <c r="C3131" s="210"/>
      <c r="D3131" s="210"/>
      <c r="E3131" s="210"/>
      <c r="F3131" s="210"/>
      <c r="G3131" s="210"/>
      <c r="H3131" s="210"/>
    </row>
    <row r="3132" spans="3:8" x14ac:dyDescent="0.25">
      <c r="C3132" s="210"/>
      <c r="D3132" s="210"/>
      <c r="E3132" s="210"/>
      <c r="F3132" s="210"/>
      <c r="G3132" s="210"/>
      <c r="H3132" s="210"/>
    </row>
    <row r="3133" spans="3:8" x14ac:dyDescent="0.25">
      <c r="C3133" s="210"/>
      <c r="D3133" s="210"/>
      <c r="E3133" s="210"/>
      <c r="F3133" s="210"/>
      <c r="G3133" s="210"/>
      <c r="H3133" s="210"/>
    </row>
    <row r="3134" spans="3:8" x14ac:dyDescent="0.25">
      <c r="C3134" s="210"/>
      <c r="D3134" s="210"/>
      <c r="E3134" s="210"/>
      <c r="F3134" s="210"/>
      <c r="G3134" s="210"/>
      <c r="H3134" s="210"/>
    </row>
    <row r="3135" spans="3:8" x14ac:dyDescent="0.25">
      <c r="C3135" s="210"/>
      <c r="D3135" s="210"/>
      <c r="E3135" s="210"/>
      <c r="F3135" s="210"/>
      <c r="G3135" s="210"/>
      <c r="H3135" s="210"/>
    </row>
    <row r="3136" spans="3:8" x14ac:dyDescent="0.25">
      <c r="C3136" s="210"/>
      <c r="D3136" s="210"/>
      <c r="E3136" s="210"/>
      <c r="F3136" s="210"/>
      <c r="G3136" s="210"/>
      <c r="H3136" s="210"/>
    </row>
    <row r="3137" spans="3:8" x14ac:dyDescent="0.25">
      <c r="C3137" s="210"/>
      <c r="D3137" s="210"/>
      <c r="E3137" s="210"/>
      <c r="F3137" s="210"/>
      <c r="G3137" s="210"/>
      <c r="H3137" s="210"/>
    </row>
    <row r="3138" spans="3:8" x14ac:dyDescent="0.25">
      <c r="C3138" s="210"/>
      <c r="D3138" s="210"/>
      <c r="E3138" s="210"/>
      <c r="F3138" s="210"/>
      <c r="G3138" s="210"/>
      <c r="H3138" s="210"/>
    </row>
    <row r="3139" spans="3:8" x14ac:dyDescent="0.25">
      <c r="C3139" s="210"/>
      <c r="D3139" s="210"/>
      <c r="E3139" s="210"/>
      <c r="F3139" s="210"/>
      <c r="G3139" s="210"/>
      <c r="H3139" s="210"/>
    </row>
    <row r="3140" spans="3:8" x14ac:dyDescent="0.25">
      <c r="C3140" s="210"/>
      <c r="D3140" s="210"/>
      <c r="E3140" s="210"/>
      <c r="F3140" s="210"/>
      <c r="G3140" s="210"/>
      <c r="H3140" s="210"/>
    </row>
    <row r="3141" spans="3:8" x14ac:dyDescent="0.25">
      <c r="C3141" s="210"/>
      <c r="D3141" s="210"/>
      <c r="E3141" s="210"/>
      <c r="F3141" s="210"/>
      <c r="G3141" s="210"/>
      <c r="H3141" s="210"/>
    </row>
    <row r="3142" spans="3:8" x14ac:dyDescent="0.25">
      <c r="C3142" s="210"/>
      <c r="D3142" s="210"/>
      <c r="E3142" s="210"/>
      <c r="F3142" s="210"/>
      <c r="G3142" s="210"/>
      <c r="H3142" s="210"/>
    </row>
    <row r="3143" spans="3:8" x14ac:dyDescent="0.25">
      <c r="C3143" s="210"/>
      <c r="D3143" s="210"/>
      <c r="E3143" s="210"/>
      <c r="F3143" s="210"/>
      <c r="G3143" s="210"/>
      <c r="H3143" s="210"/>
    </row>
    <row r="3144" spans="3:8" x14ac:dyDescent="0.25">
      <c r="C3144" s="210"/>
      <c r="D3144" s="210"/>
      <c r="E3144" s="210"/>
      <c r="F3144" s="210"/>
      <c r="G3144" s="210"/>
      <c r="H3144" s="210"/>
    </row>
    <row r="3145" spans="3:8" x14ac:dyDescent="0.25">
      <c r="C3145" s="210"/>
      <c r="D3145" s="210"/>
      <c r="E3145" s="210"/>
      <c r="F3145" s="210"/>
      <c r="G3145" s="210"/>
      <c r="H3145" s="210"/>
    </row>
    <row r="3146" spans="3:8" x14ac:dyDescent="0.25">
      <c r="C3146" s="210"/>
      <c r="D3146" s="210"/>
      <c r="E3146" s="210"/>
      <c r="F3146" s="210"/>
      <c r="G3146" s="210"/>
      <c r="H3146" s="210"/>
    </row>
    <row r="3147" spans="3:8" x14ac:dyDescent="0.25">
      <c r="C3147" s="210"/>
      <c r="D3147" s="210"/>
      <c r="E3147" s="210"/>
      <c r="F3147" s="210"/>
      <c r="G3147" s="210"/>
      <c r="H3147" s="210"/>
    </row>
    <row r="3148" spans="3:8" x14ac:dyDescent="0.25">
      <c r="C3148" s="210"/>
      <c r="D3148" s="210"/>
      <c r="E3148" s="210"/>
      <c r="F3148" s="210"/>
      <c r="G3148" s="210"/>
      <c r="H3148" s="210"/>
    </row>
    <row r="3149" spans="3:8" x14ac:dyDescent="0.25">
      <c r="C3149" s="210"/>
      <c r="D3149" s="210"/>
      <c r="E3149" s="210"/>
      <c r="F3149" s="210"/>
      <c r="G3149" s="210"/>
      <c r="H3149" s="210"/>
    </row>
    <row r="3150" spans="3:8" x14ac:dyDescent="0.25">
      <c r="C3150" s="210"/>
      <c r="D3150" s="210"/>
      <c r="E3150" s="210"/>
      <c r="F3150" s="210"/>
      <c r="G3150" s="210"/>
      <c r="H3150" s="210"/>
    </row>
    <row r="3151" spans="3:8" x14ac:dyDescent="0.25">
      <c r="C3151" s="210"/>
      <c r="D3151" s="210"/>
      <c r="E3151" s="210"/>
      <c r="F3151" s="210"/>
      <c r="G3151" s="210"/>
      <c r="H3151" s="210"/>
    </row>
    <row r="3152" spans="3:8" x14ac:dyDescent="0.25">
      <c r="C3152" s="210"/>
      <c r="D3152" s="210"/>
      <c r="E3152" s="210"/>
      <c r="F3152" s="210"/>
      <c r="G3152" s="210"/>
      <c r="H3152" s="210"/>
    </row>
    <row r="3153" spans="3:8" x14ac:dyDescent="0.25">
      <c r="C3153" s="210"/>
      <c r="D3153" s="210"/>
      <c r="E3153" s="210"/>
      <c r="F3153" s="210"/>
      <c r="G3153" s="210"/>
      <c r="H3153" s="210"/>
    </row>
    <row r="3154" spans="3:8" x14ac:dyDescent="0.25">
      <c r="C3154" s="210"/>
      <c r="D3154" s="210"/>
      <c r="E3154" s="210"/>
      <c r="F3154" s="210"/>
      <c r="G3154" s="210"/>
      <c r="H3154" s="210"/>
    </row>
    <row r="3155" spans="3:8" x14ac:dyDescent="0.25">
      <c r="C3155" s="210"/>
      <c r="D3155" s="210"/>
      <c r="E3155" s="210"/>
      <c r="F3155" s="210"/>
      <c r="G3155" s="210"/>
      <c r="H3155" s="210"/>
    </row>
    <row r="3156" spans="3:8" x14ac:dyDescent="0.25">
      <c r="C3156" s="210"/>
      <c r="D3156" s="210"/>
      <c r="E3156" s="210"/>
      <c r="F3156" s="210"/>
      <c r="G3156" s="210"/>
      <c r="H3156" s="210"/>
    </row>
    <row r="3157" spans="3:8" x14ac:dyDescent="0.25">
      <c r="C3157" s="210"/>
      <c r="D3157" s="210"/>
      <c r="E3157" s="210"/>
      <c r="F3157" s="210"/>
      <c r="G3157" s="210"/>
      <c r="H3157" s="210"/>
    </row>
    <row r="3158" spans="3:8" x14ac:dyDescent="0.25">
      <c r="C3158" s="210"/>
      <c r="D3158" s="210"/>
      <c r="E3158" s="210"/>
      <c r="F3158" s="210"/>
      <c r="G3158" s="210"/>
      <c r="H3158" s="210"/>
    </row>
    <row r="3159" spans="3:8" x14ac:dyDescent="0.25">
      <c r="C3159" s="210"/>
      <c r="D3159" s="210"/>
      <c r="E3159" s="210"/>
      <c r="F3159" s="210"/>
      <c r="G3159" s="210"/>
      <c r="H3159" s="210"/>
    </row>
    <row r="3160" spans="3:8" x14ac:dyDescent="0.25">
      <c r="C3160" s="210"/>
      <c r="D3160" s="210"/>
      <c r="E3160" s="210"/>
      <c r="F3160" s="210"/>
      <c r="G3160" s="210"/>
      <c r="H3160" s="210"/>
    </row>
    <row r="3161" spans="3:8" x14ac:dyDescent="0.25">
      <c r="C3161" s="210"/>
      <c r="D3161" s="210"/>
      <c r="E3161" s="210"/>
      <c r="F3161" s="210"/>
      <c r="G3161" s="210"/>
      <c r="H3161" s="210"/>
    </row>
    <row r="3162" spans="3:8" x14ac:dyDescent="0.25">
      <c r="C3162" s="210"/>
      <c r="D3162" s="210"/>
      <c r="E3162" s="210"/>
      <c r="F3162" s="210"/>
      <c r="G3162" s="210"/>
      <c r="H3162" s="210"/>
    </row>
    <row r="3163" spans="3:8" x14ac:dyDescent="0.25">
      <c r="C3163" s="210"/>
      <c r="D3163" s="210"/>
      <c r="E3163" s="210"/>
      <c r="F3163" s="210"/>
      <c r="G3163" s="210"/>
      <c r="H3163" s="210"/>
    </row>
    <row r="3164" spans="3:8" x14ac:dyDescent="0.25">
      <c r="C3164" s="210"/>
      <c r="D3164" s="210"/>
      <c r="E3164" s="210"/>
      <c r="F3164" s="210"/>
      <c r="G3164" s="210"/>
      <c r="H3164" s="210"/>
    </row>
    <row r="3165" spans="3:8" x14ac:dyDescent="0.25">
      <c r="C3165" s="210"/>
      <c r="D3165" s="210"/>
      <c r="E3165" s="210"/>
      <c r="F3165" s="210"/>
      <c r="G3165" s="210"/>
      <c r="H3165" s="210"/>
    </row>
    <row r="3166" spans="3:8" x14ac:dyDescent="0.25">
      <c r="C3166" s="210"/>
      <c r="D3166" s="210"/>
      <c r="E3166" s="210"/>
      <c r="F3166" s="210"/>
      <c r="G3166" s="210"/>
      <c r="H3166" s="210"/>
    </row>
    <row r="3167" spans="3:8" x14ac:dyDescent="0.25">
      <c r="C3167" s="210"/>
      <c r="D3167" s="210"/>
      <c r="E3167" s="210"/>
      <c r="F3167" s="210"/>
      <c r="G3167" s="210"/>
      <c r="H3167" s="210"/>
    </row>
    <row r="3168" spans="3:8" x14ac:dyDescent="0.25">
      <c r="C3168" s="210"/>
      <c r="D3168" s="210"/>
      <c r="E3168" s="210"/>
      <c r="F3168" s="210"/>
      <c r="G3168" s="210"/>
      <c r="H3168" s="210"/>
    </row>
    <row r="3169" spans="3:8" x14ac:dyDescent="0.25">
      <c r="C3169" s="210"/>
      <c r="D3169" s="210"/>
      <c r="E3169" s="210"/>
      <c r="F3169" s="210"/>
      <c r="G3169" s="210"/>
      <c r="H3169" s="210"/>
    </row>
    <row r="3170" spans="3:8" x14ac:dyDescent="0.25">
      <c r="C3170" s="210"/>
      <c r="D3170" s="210"/>
      <c r="E3170" s="210"/>
      <c r="F3170" s="210"/>
      <c r="G3170" s="210"/>
      <c r="H3170" s="210"/>
    </row>
    <row r="3171" spans="3:8" x14ac:dyDescent="0.25">
      <c r="C3171" s="210"/>
      <c r="D3171" s="210"/>
      <c r="E3171" s="210"/>
      <c r="F3171" s="210"/>
      <c r="G3171" s="210"/>
      <c r="H3171" s="210"/>
    </row>
    <row r="3172" spans="3:8" x14ac:dyDescent="0.25">
      <c r="C3172" s="210"/>
      <c r="D3172" s="210"/>
      <c r="E3172" s="210"/>
      <c r="F3172" s="210"/>
      <c r="G3172" s="210"/>
      <c r="H3172" s="210"/>
    </row>
    <row r="3173" spans="3:8" x14ac:dyDescent="0.25">
      <c r="C3173" s="210"/>
      <c r="D3173" s="210"/>
      <c r="E3173" s="210"/>
      <c r="F3173" s="210"/>
      <c r="G3173" s="210"/>
      <c r="H3173" s="210"/>
    </row>
    <row r="3174" spans="3:8" x14ac:dyDescent="0.25">
      <c r="C3174" s="210"/>
      <c r="D3174" s="210"/>
      <c r="E3174" s="210"/>
      <c r="F3174" s="210"/>
      <c r="G3174" s="210"/>
      <c r="H3174" s="210"/>
    </row>
    <row r="3175" spans="3:8" x14ac:dyDescent="0.25">
      <c r="C3175" s="210"/>
      <c r="D3175" s="210"/>
      <c r="E3175" s="210"/>
      <c r="F3175" s="210"/>
      <c r="G3175" s="210"/>
      <c r="H3175" s="210"/>
    </row>
    <row r="3176" spans="3:8" x14ac:dyDescent="0.25">
      <c r="C3176" s="210"/>
      <c r="D3176" s="210"/>
      <c r="E3176" s="210"/>
      <c r="F3176" s="210"/>
      <c r="G3176" s="210"/>
      <c r="H3176" s="210"/>
    </row>
    <row r="3177" spans="3:8" x14ac:dyDescent="0.25">
      <c r="C3177" s="210"/>
      <c r="D3177" s="210"/>
      <c r="E3177" s="210"/>
      <c r="F3177" s="210"/>
      <c r="G3177" s="210"/>
      <c r="H3177" s="210"/>
    </row>
    <row r="3178" spans="3:8" x14ac:dyDescent="0.25">
      <c r="C3178" s="210"/>
      <c r="D3178" s="210"/>
      <c r="E3178" s="210"/>
      <c r="F3178" s="210"/>
      <c r="G3178" s="210"/>
      <c r="H3178" s="210"/>
    </row>
    <row r="3179" spans="3:8" x14ac:dyDescent="0.25">
      <c r="C3179" s="210"/>
      <c r="D3179" s="210"/>
      <c r="E3179" s="210"/>
      <c r="F3179" s="210"/>
      <c r="G3179" s="210"/>
      <c r="H3179" s="210"/>
    </row>
    <row r="3180" spans="3:8" x14ac:dyDescent="0.25">
      <c r="C3180" s="210"/>
      <c r="D3180" s="210"/>
      <c r="E3180" s="210"/>
      <c r="F3180" s="210"/>
      <c r="G3180" s="210"/>
      <c r="H3180" s="210"/>
    </row>
    <row r="3181" spans="3:8" x14ac:dyDescent="0.25">
      <c r="C3181" s="210"/>
      <c r="D3181" s="210"/>
      <c r="E3181" s="210"/>
      <c r="F3181" s="210"/>
      <c r="G3181" s="210"/>
      <c r="H3181" s="210"/>
    </row>
    <row r="3182" spans="3:8" x14ac:dyDescent="0.25">
      <c r="C3182" s="210"/>
      <c r="D3182" s="210"/>
      <c r="E3182" s="210"/>
      <c r="F3182" s="210"/>
      <c r="G3182" s="210"/>
      <c r="H3182" s="210"/>
    </row>
    <row r="3183" spans="3:8" x14ac:dyDescent="0.25">
      <c r="C3183" s="210"/>
      <c r="D3183" s="210"/>
      <c r="E3183" s="210"/>
      <c r="F3183" s="210"/>
      <c r="G3183" s="210"/>
      <c r="H3183" s="210"/>
    </row>
    <row r="3184" spans="3:8" x14ac:dyDescent="0.25">
      <c r="C3184" s="210"/>
      <c r="D3184" s="210"/>
      <c r="E3184" s="210"/>
      <c r="F3184" s="210"/>
      <c r="G3184" s="210"/>
      <c r="H3184" s="210"/>
    </row>
    <row r="3185" spans="3:8" x14ac:dyDescent="0.25">
      <c r="C3185" s="210"/>
      <c r="D3185" s="210"/>
      <c r="E3185" s="210"/>
      <c r="F3185" s="210"/>
      <c r="G3185" s="210"/>
      <c r="H3185" s="210"/>
    </row>
    <row r="3186" spans="3:8" x14ac:dyDescent="0.25">
      <c r="C3186" s="210"/>
      <c r="D3186" s="210"/>
      <c r="E3186" s="210"/>
      <c r="F3186" s="210"/>
      <c r="G3186" s="210"/>
      <c r="H3186" s="210"/>
    </row>
    <row r="3187" spans="3:8" x14ac:dyDescent="0.25">
      <c r="C3187" s="210"/>
      <c r="D3187" s="210"/>
      <c r="E3187" s="210"/>
      <c r="F3187" s="210"/>
      <c r="G3187" s="210"/>
      <c r="H3187" s="210"/>
    </row>
    <row r="3188" spans="3:8" x14ac:dyDescent="0.25">
      <c r="C3188" s="210"/>
      <c r="D3188" s="210"/>
      <c r="E3188" s="210"/>
      <c r="F3188" s="210"/>
      <c r="G3188" s="210"/>
      <c r="H3188" s="210"/>
    </row>
    <row r="3189" spans="3:8" x14ac:dyDescent="0.25">
      <c r="C3189" s="210"/>
      <c r="D3189" s="210"/>
      <c r="E3189" s="210"/>
      <c r="F3189" s="210"/>
      <c r="G3189" s="210"/>
      <c r="H3189" s="210"/>
    </row>
    <row r="3190" spans="3:8" x14ac:dyDescent="0.25">
      <c r="C3190" s="210"/>
      <c r="D3190" s="210"/>
      <c r="E3190" s="210"/>
      <c r="F3190" s="210"/>
      <c r="G3190" s="210"/>
      <c r="H3190" s="210"/>
    </row>
    <row r="3191" spans="3:8" x14ac:dyDescent="0.25">
      <c r="C3191" s="210"/>
      <c r="D3191" s="210"/>
      <c r="E3191" s="210"/>
      <c r="F3191" s="210"/>
      <c r="G3191" s="210"/>
      <c r="H3191" s="210"/>
    </row>
    <row r="3192" spans="3:8" x14ac:dyDescent="0.25">
      <c r="C3192" s="210"/>
      <c r="D3192" s="210"/>
      <c r="E3192" s="210"/>
      <c r="F3192" s="210"/>
      <c r="G3192" s="210"/>
      <c r="H3192" s="210"/>
    </row>
    <row r="3193" spans="3:8" x14ac:dyDescent="0.25">
      <c r="C3193" s="210"/>
      <c r="D3193" s="210"/>
      <c r="E3193" s="210"/>
      <c r="F3193" s="210"/>
      <c r="G3193" s="210"/>
      <c r="H3193" s="210"/>
    </row>
    <row r="3194" spans="3:8" x14ac:dyDescent="0.25">
      <c r="C3194" s="210"/>
      <c r="D3194" s="210"/>
      <c r="E3194" s="210"/>
      <c r="F3194" s="210"/>
      <c r="G3194" s="210"/>
      <c r="H3194" s="210"/>
    </row>
    <row r="3195" spans="3:8" x14ac:dyDescent="0.25">
      <c r="C3195" s="210"/>
      <c r="D3195" s="210"/>
      <c r="E3195" s="210"/>
      <c r="F3195" s="210"/>
      <c r="G3195" s="210"/>
      <c r="H3195" s="210"/>
    </row>
    <row r="3196" spans="3:8" x14ac:dyDescent="0.25">
      <c r="C3196" s="210"/>
      <c r="D3196" s="210"/>
      <c r="E3196" s="210"/>
      <c r="F3196" s="210"/>
      <c r="G3196" s="210"/>
      <c r="H3196" s="210"/>
    </row>
    <row r="3197" spans="3:8" x14ac:dyDescent="0.25">
      <c r="C3197" s="210"/>
      <c r="D3197" s="210"/>
      <c r="E3197" s="210"/>
      <c r="F3197" s="210"/>
      <c r="G3197" s="210"/>
      <c r="H3197" s="210"/>
    </row>
    <row r="3198" spans="3:8" x14ac:dyDescent="0.25">
      <c r="C3198" s="210"/>
      <c r="D3198" s="210"/>
      <c r="E3198" s="210"/>
      <c r="F3198" s="210"/>
      <c r="G3198" s="210"/>
      <c r="H3198" s="210"/>
    </row>
    <row r="3199" spans="3:8" x14ac:dyDescent="0.25">
      <c r="C3199" s="210"/>
      <c r="D3199" s="210"/>
      <c r="E3199" s="210"/>
      <c r="F3199" s="210"/>
      <c r="G3199" s="210"/>
      <c r="H3199" s="210"/>
    </row>
    <row r="3200" spans="3:8" x14ac:dyDescent="0.25">
      <c r="C3200" s="210"/>
      <c r="D3200" s="210"/>
      <c r="E3200" s="210"/>
      <c r="F3200" s="210"/>
      <c r="G3200" s="210"/>
      <c r="H3200" s="210"/>
    </row>
    <row r="3201" spans="3:8" x14ac:dyDescent="0.25">
      <c r="C3201" s="210"/>
      <c r="D3201" s="210"/>
      <c r="E3201" s="210"/>
      <c r="F3201" s="210"/>
      <c r="G3201" s="210"/>
      <c r="H3201" s="210"/>
    </row>
    <row r="3202" spans="3:8" x14ac:dyDescent="0.25">
      <c r="C3202" s="210"/>
      <c r="D3202" s="210"/>
      <c r="E3202" s="210"/>
      <c r="F3202" s="210"/>
      <c r="G3202" s="210"/>
      <c r="H3202" s="210"/>
    </row>
    <row r="3203" spans="3:8" x14ac:dyDescent="0.25">
      <c r="C3203" s="210"/>
      <c r="D3203" s="210"/>
      <c r="E3203" s="210"/>
      <c r="F3203" s="210"/>
      <c r="G3203" s="210"/>
      <c r="H3203" s="210"/>
    </row>
    <row r="3204" spans="3:8" x14ac:dyDescent="0.25">
      <c r="C3204" s="210"/>
      <c r="D3204" s="210"/>
      <c r="E3204" s="210"/>
      <c r="F3204" s="210"/>
      <c r="G3204" s="210"/>
      <c r="H3204" s="210"/>
    </row>
    <row r="3205" spans="3:8" x14ac:dyDescent="0.25">
      <c r="C3205" s="210"/>
      <c r="D3205" s="210"/>
      <c r="E3205" s="210"/>
      <c r="F3205" s="210"/>
      <c r="G3205" s="210"/>
      <c r="H3205" s="210"/>
    </row>
    <row r="3206" spans="3:8" x14ac:dyDescent="0.25">
      <c r="C3206" s="210"/>
      <c r="D3206" s="210"/>
      <c r="E3206" s="210"/>
      <c r="F3206" s="210"/>
      <c r="G3206" s="210"/>
      <c r="H3206" s="210"/>
    </row>
    <row r="3207" spans="3:8" x14ac:dyDescent="0.25">
      <c r="C3207" s="210"/>
      <c r="D3207" s="210"/>
      <c r="E3207" s="210"/>
      <c r="F3207" s="210"/>
      <c r="G3207" s="210"/>
      <c r="H3207" s="210"/>
    </row>
    <row r="3208" spans="3:8" x14ac:dyDescent="0.25">
      <c r="C3208" s="210"/>
      <c r="D3208" s="210"/>
      <c r="E3208" s="210"/>
      <c r="F3208" s="210"/>
      <c r="G3208" s="210"/>
      <c r="H3208" s="210"/>
    </row>
    <row r="3209" spans="3:8" x14ac:dyDescent="0.25">
      <c r="C3209" s="210"/>
      <c r="D3209" s="210"/>
      <c r="E3209" s="210"/>
      <c r="F3209" s="210"/>
      <c r="G3209" s="210"/>
      <c r="H3209" s="210"/>
    </row>
    <row r="3210" spans="3:8" x14ac:dyDescent="0.25">
      <c r="C3210" s="210"/>
      <c r="D3210" s="210"/>
      <c r="E3210" s="210"/>
      <c r="F3210" s="210"/>
      <c r="G3210" s="210"/>
      <c r="H3210" s="210"/>
    </row>
    <row r="3211" spans="3:8" x14ac:dyDescent="0.25">
      <c r="C3211" s="210"/>
      <c r="D3211" s="210"/>
      <c r="E3211" s="210"/>
      <c r="F3211" s="210"/>
      <c r="G3211" s="210"/>
      <c r="H3211" s="210"/>
    </row>
    <row r="3212" spans="3:8" x14ac:dyDescent="0.25">
      <c r="C3212" s="210"/>
      <c r="D3212" s="210"/>
      <c r="E3212" s="210"/>
      <c r="F3212" s="210"/>
      <c r="G3212" s="210"/>
      <c r="H3212" s="210"/>
    </row>
    <row r="3213" spans="3:8" x14ac:dyDescent="0.25">
      <c r="C3213" s="210"/>
      <c r="D3213" s="210"/>
      <c r="E3213" s="210"/>
      <c r="F3213" s="210"/>
      <c r="G3213" s="210"/>
      <c r="H3213" s="210"/>
    </row>
    <row r="3214" spans="3:8" x14ac:dyDescent="0.25">
      <c r="C3214" s="210"/>
      <c r="D3214" s="210"/>
      <c r="E3214" s="210"/>
      <c r="F3214" s="210"/>
      <c r="G3214" s="210"/>
      <c r="H3214" s="210"/>
    </row>
    <row r="3215" spans="3:8" x14ac:dyDescent="0.25">
      <c r="C3215" s="210"/>
      <c r="D3215" s="210"/>
      <c r="E3215" s="210"/>
      <c r="F3215" s="210"/>
      <c r="G3215" s="210"/>
      <c r="H3215" s="210"/>
    </row>
    <row r="3216" spans="3:8" x14ac:dyDescent="0.25">
      <c r="C3216" s="210"/>
      <c r="D3216" s="210"/>
      <c r="E3216" s="210"/>
      <c r="F3216" s="210"/>
      <c r="G3216" s="210"/>
      <c r="H3216" s="210"/>
    </row>
    <row r="3217" spans="3:8" x14ac:dyDescent="0.25">
      <c r="C3217" s="210"/>
      <c r="D3217" s="210"/>
      <c r="E3217" s="210"/>
      <c r="F3217" s="210"/>
      <c r="G3217" s="210"/>
      <c r="H3217" s="210"/>
    </row>
    <row r="3218" spans="3:8" x14ac:dyDescent="0.25">
      <c r="C3218" s="210"/>
      <c r="D3218" s="210"/>
      <c r="E3218" s="210"/>
      <c r="F3218" s="210"/>
      <c r="G3218" s="210"/>
      <c r="H3218" s="210"/>
    </row>
    <row r="3219" spans="3:8" x14ac:dyDescent="0.25">
      <c r="C3219" s="210"/>
      <c r="D3219" s="210"/>
      <c r="E3219" s="210"/>
      <c r="F3219" s="210"/>
      <c r="G3219" s="210"/>
      <c r="H3219" s="210"/>
    </row>
    <row r="3220" spans="3:8" x14ac:dyDescent="0.25">
      <c r="C3220" s="210"/>
      <c r="D3220" s="210"/>
      <c r="E3220" s="210"/>
      <c r="F3220" s="210"/>
      <c r="G3220" s="210"/>
      <c r="H3220" s="210"/>
    </row>
    <row r="3221" spans="3:8" x14ac:dyDescent="0.25">
      <c r="C3221" s="210"/>
      <c r="D3221" s="210"/>
      <c r="E3221" s="210"/>
      <c r="F3221" s="210"/>
      <c r="G3221" s="210"/>
      <c r="H3221" s="210"/>
    </row>
    <row r="3222" spans="3:8" x14ac:dyDescent="0.25">
      <c r="C3222" s="210"/>
      <c r="D3222" s="210"/>
      <c r="E3222" s="210"/>
      <c r="F3222" s="210"/>
      <c r="G3222" s="210"/>
      <c r="H3222" s="210"/>
    </row>
    <row r="3223" spans="3:8" x14ac:dyDescent="0.25">
      <c r="C3223" s="210"/>
      <c r="D3223" s="210"/>
      <c r="E3223" s="210"/>
      <c r="F3223" s="210"/>
      <c r="G3223" s="210"/>
      <c r="H3223" s="210"/>
    </row>
    <row r="3224" spans="3:8" x14ac:dyDescent="0.25">
      <c r="C3224" s="210"/>
      <c r="D3224" s="210"/>
      <c r="E3224" s="210"/>
      <c r="F3224" s="210"/>
      <c r="G3224" s="210"/>
      <c r="H3224" s="210"/>
    </row>
    <row r="3225" spans="3:8" x14ac:dyDescent="0.25">
      <c r="C3225" s="210"/>
      <c r="D3225" s="210"/>
      <c r="E3225" s="210"/>
      <c r="F3225" s="210"/>
      <c r="G3225" s="210"/>
      <c r="H3225" s="210"/>
    </row>
    <row r="3226" spans="3:8" x14ac:dyDescent="0.25">
      <c r="C3226" s="210"/>
      <c r="D3226" s="210"/>
      <c r="E3226" s="210"/>
      <c r="F3226" s="210"/>
      <c r="G3226" s="210"/>
      <c r="H3226" s="210"/>
    </row>
    <row r="3227" spans="3:8" x14ac:dyDescent="0.25">
      <c r="C3227" s="210"/>
      <c r="D3227" s="210"/>
      <c r="E3227" s="210"/>
      <c r="F3227" s="210"/>
      <c r="G3227" s="210"/>
      <c r="H3227" s="210"/>
    </row>
    <row r="3228" spans="3:8" x14ac:dyDescent="0.25">
      <c r="C3228" s="210"/>
      <c r="D3228" s="210"/>
      <c r="E3228" s="210"/>
      <c r="F3228" s="210"/>
      <c r="G3228" s="210"/>
      <c r="H3228" s="210"/>
    </row>
    <row r="3229" spans="3:8" x14ac:dyDescent="0.25">
      <c r="C3229" s="210"/>
      <c r="D3229" s="210"/>
      <c r="E3229" s="210"/>
      <c r="F3229" s="210"/>
      <c r="G3229" s="210"/>
      <c r="H3229" s="210"/>
    </row>
    <row r="3230" spans="3:8" x14ac:dyDescent="0.25">
      <c r="C3230" s="210"/>
      <c r="D3230" s="210"/>
      <c r="E3230" s="210"/>
      <c r="F3230" s="210"/>
      <c r="G3230" s="210"/>
      <c r="H3230" s="210"/>
    </row>
    <row r="3231" spans="3:8" x14ac:dyDescent="0.25">
      <c r="C3231" s="210"/>
      <c r="D3231" s="210"/>
      <c r="E3231" s="210"/>
      <c r="F3231" s="210"/>
      <c r="G3231" s="210"/>
      <c r="H3231" s="210"/>
    </row>
    <row r="3232" spans="3:8" x14ac:dyDescent="0.25">
      <c r="C3232" s="210"/>
      <c r="D3232" s="210"/>
      <c r="E3232" s="210"/>
      <c r="F3232" s="210"/>
      <c r="G3232" s="210"/>
      <c r="H3232" s="210"/>
    </row>
    <row r="3233" spans="3:8" x14ac:dyDescent="0.25">
      <c r="C3233" s="210"/>
      <c r="D3233" s="210"/>
      <c r="E3233" s="210"/>
      <c r="F3233" s="210"/>
      <c r="G3233" s="210"/>
      <c r="H3233" s="210"/>
    </row>
    <row r="3234" spans="3:8" x14ac:dyDescent="0.25">
      <c r="C3234" s="210"/>
      <c r="D3234" s="210"/>
      <c r="E3234" s="210"/>
      <c r="F3234" s="210"/>
      <c r="G3234" s="210"/>
      <c r="H3234" s="210"/>
    </row>
    <row r="3235" spans="3:8" x14ac:dyDescent="0.25">
      <c r="C3235" s="210"/>
      <c r="D3235" s="210"/>
      <c r="E3235" s="210"/>
      <c r="F3235" s="210"/>
      <c r="G3235" s="210"/>
      <c r="H3235" s="210"/>
    </row>
    <row r="3236" spans="3:8" x14ac:dyDescent="0.25">
      <c r="C3236" s="210"/>
      <c r="D3236" s="210"/>
      <c r="E3236" s="210"/>
      <c r="F3236" s="210"/>
      <c r="G3236" s="210"/>
      <c r="H3236" s="210"/>
    </row>
    <row r="3237" spans="3:8" x14ac:dyDescent="0.25">
      <c r="C3237" s="210"/>
      <c r="D3237" s="210"/>
      <c r="E3237" s="210"/>
      <c r="F3237" s="210"/>
      <c r="G3237" s="210"/>
      <c r="H3237" s="210"/>
    </row>
    <row r="3238" spans="3:8" x14ac:dyDescent="0.25">
      <c r="C3238" s="210"/>
      <c r="D3238" s="210"/>
      <c r="E3238" s="210"/>
      <c r="F3238" s="210"/>
      <c r="G3238" s="210"/>
      <c r="H3238" s="210"/>
    </row>
    <row r="3239" spans="3:8" x14ac:dyDescent="0.25">
      <c r="C3239" s="210"/>
      <c r="D3239" s="210"/>
      <c r="E3239" s="210"/>
      <c r="F3239" s="210"/>
      <c r="G3239" s="210"/>
      <c r="H3239" s="210"/>
    </row>
    <row r="3240" spans="3:8" x14ac:dyDescent="0.25">
      <c r="C3240" s="210"/>
      <c r="D3240" s="210"/>
      <c r="E3240" s="210"/>
      <c r="F3240" s="210"/>
      <c r="G3240" s="210"/>
      <c r="H3240" s="210"/>
    </row>
    <row r="3241" spans="3:8" x14ac:dyDescent="0.25">
      <c r="C3241" s="210"/>
      <c r="D3241" s="210"/>
      <c r="E3241" s="210"/>
      <c r="F3241" s="210"/>
      <c r="G3241" s="210"/>
      <c r="H3241" s="210"/>
    </row>
    <row r="3242" spans="3:8" x14ac:dyDescent="0.25">
      <c r="C3242" s="210"/>
      <c r="D3242" s="210"/>
      <c r="E3242" s="210"/>
      <c r="F3242" s="210"/>
      <c r="G3242" s="210"/>
      <c r="H3242" s="210"/>
    </row>
    <row r="3243" spans="3:8" x14ac:dyDescent="0.25">
      <c r="C3243" s="210"/>
      <c r="D3243" s="210"/>
      <c r="E3243" s="210"/>
      <c r="F3243" s="210"/>
      <c r="G3243" s="210"/>
      <c r="H3243" s="210"/>
    </row>
    <row r="3244" spans="3:8" x14ac:dyDescent="0.25">
      <c r="C3244" s="210"/>
      <c r="D3244" s="210"/>
      <c r="E3244" s="210"/>
      <c r="F3244" s="210"/>
      <c r="G3244" s="210"/>
      <c r="H3244" s="210"/>
    </row>
    <row r="3245" spans="3:8" x14ac:dyDescent="0.25">
      <c r="C3245" s="210"/>
      <c r="D3245" s="210"/>
      <c r="E3245" s="210"/>
      <c r="F3245" s="210"/>
      <c r="G3245" s="210"/>
      <c r="H3245" s="210"/>
    </row>
    <row r="3246" spans="3:8" x14ac:dyDescent="0.25">
      <c r="C3246" s="210"/>
      <c r="D3246" s="210"/>
      <c r="E3246" s="210"/>
      <c r="F3246" s="210"/>
      <c r="G3246" s="210"/>
      <c r="H3246" s="210"/>
    </row>
    <row r="3247" spans="3:8" x14ac:dyDescent="0.25">
      <c r="C3247" s="210"/>
      <c r="D3247" s="210"/>
      <c r="E3247" s="210"/>
      <c r="F3247" s="210"/>
      <c r="G3247" s="210"/>
      <c r="H3247" s="210"/>
    </row>
    <row r="3248" spans="3:8" x14ac:dyDescent="0.25">
      <c r="C3248" s="210"/>
      <c r="D3248" s="210"/>
      <c r="E3248" s="210"/>
      <c r="F3248" s="210"/>
      <c r="G3248" s="210"/>
      <c r="H3248" s="210"/>
    </row>
    <row r="3249" spans="3:8" x14ac:dyDescent="0.25">
      <c r="C3249" s="210"/>
      <c r="D3249" s="210"/>
      <c r="E3249" s="210"/>
      <c r="F3249" s="210"/>
      <c r="G3249" s="210"/>
      <c r="H3249" s="210"/>
    </row>
    <row r="3250" spans="3:8" x14ac:dyDescent="0.25">
      <c r="C3250" s="210"/>
      <c r="D3250" s="210"/>
      <c r="E3250" s="210"/>
      <c r="F3250" s="210"/>
      <c r="G3250" s="210"/>
      <c r="H3250" s="210"/>
    </row>
    <row r="3251" spans="3:8" x14ac:dyDescent="0.25">
      <c r="C3251" s="210"/>
      <c r="D3251" s="210"/>
      <c r="E3251" s="210"/>
      <c r="F3251" s="210"/>
      <c r="G3251" s="210"/>
      <c r="H3251" s="210"/>
    </row>
    <row r="3252" spans="3:8" x14ac:dyDescent="0.25">
      <c r="C3252" s="210"/>
      <c r="D3252" s="210"/>
      <c r="E3252" s="210"/>
      <c r="F3252" s="210"/>
      <c r="G3252" s="210"/>
      <c r="H3252" s="210"/>
    </row>
    <row r="3253" spans="3:8" x14ac:dyDescent="0.25">
      <c r="C3253" s="210"/>
      <c r="D3253" s="210"/>
      <c r="E3253" s="210"/>
      <c r="F3253" s="210"/>
      <c r="G3253" s="210"/>
      <c r="H3253" s="210"/>
    </row>
    <row r="3254" spans="3:8" x14ac:dyDescent="0.25">
      <c r="C3254" s="210"/>
      <c r="D3254" s="210"/>
      <c r="E3254" s="210"/>
      <c r="F3254" s="210"/>
      <c r="G3254" s="210"/>
      <c r="H3254" s="210"/>
    </row>
    <row r="3255" spans="3:8" x14ac:dyDescent="0.25">
      <c r="C3255" s="210"/>
      <c r="D3255" s="210"/>
      <c r="E3255" s="210"/>
      <c r="F3255" s="210"/>
      <c r="G3255" s="210"/>
      <c r="H3255" s="210"/>
    </row>
    <row r="3256" spans="3:8" x14ac:dyDescent="0.25">
      <c r="C3256" s="210"/>
      <c r="D3256" s="210"/>
      <c r="E3256" s="210"/>
      <c r="F3256" s="210"/>
      <c r="G3256" s="210"/>
      <c r="H3256" s="210"/>
    </row>
    <row r="3257" spans="3:8" x14ac:dyDescent="0.25">
      <c r="C3257" s="210"/>
      <c r="D3257" s="210"/>
      <c r="E3257" s="210"/>
      <c r="F3257" s="210"/>
      <c r="G3257" s="210"/>
      <c r="H3257" s="210"/>
    </row>
    <row r="3258" spans="3:8" x14ac:dyDescent="0.25">
      <c r="C3258" s="210"/>
      <c r="D3258" s="210"/>
      <c r="E3258" s="210"/>
      <c r="F3258" s="210"/>
      <c r="G3258" s="210"/>
      <c r="H3258" s="210"/>
    </row>
    <row r="3259" spans="3:8" x14ac:dyDescent="0.25">
      <c r="C3259" s="210"/>
      <c r="D3259" s="210"/>
      <c r="E3259" s="210"/>
      <c r="F3259" s="210"/>
      <c r="G3259" s="210"/>
      <c r="H3259" s="210"/>
    </row>
    <row r="3260" spans="3:8" x14ac:dyDescent="0.25">
      <c r="C3260" s="210"/>
      <c r="D3260" s="210"/>
      <c r="E3260" s="210"/>
      <c r="F3260" s="210"/>
      <c r="G3260" s="210"/>
      <c r="H3260" s="210"/>
    </row>
    <row r="3261" spans="3:8" x14ac:dyDescent="0.25">
      <c r="C3261" s="210"/>
      <c r="D3261" s="210"/>
      <c r="E3261" s="210"/>
      <c r="F3261" s="210"/>
      <c r="G3261" s="210"/>
      <c r="H3261" s="210"/>
    </row>
    <row r="3262" spans="3:8" x14ac:dyDescent="0.25">
      <c r="C3262" s="210"/>
      <c r="D3262" s="210"/>
      <c r="E3262" s="210"/>
      <c r="F3262" s="210"/>
      <c r="G3262" s="210"/>
      <c r="H3262" s="210"/>
    </row>
    <row r="3263" spans="3:8" x14ac:dyDescent="0.25">
      <c r="C3263" s="210"/>
      <c r="D3263" s="210"/>
      <c r="E3263" s="210"/>
      <c r="F3263" s="210"/>
      <c r="G3263" s="210"/>
      <c r="H3263" s="210"/>
    </row>
    <row r="3264" spans="3:8" x14ac:dyDescent="0.25">
      <c r="C3264" s="210"/>
      <c r="D3264" s="210"/>
      <c r="E3264" s="210"/>
      <c r="F3264" s="210"/>
      <c r="G3264" s="210"/>
      <c r="H3264" s="210"/>
    </row>
    <row r="3265" spans="3:8" x14ac:dyDescent="0.25">
      <c r="C3265" s="210"/>
      <c r="D3265" s="210"/>
      <c r="E3265" s="210"/>
      <c r="F3265" s="210"/>
      <c r="G3265" s="210"/>
      <c r="H3265" s="210"/>
    </row>
    <row r="3266" spans="3:8" x14ac:dyDescent="0.25">
      <c r="C3266" s="210"/>
      <c r="D3266" s="210"/>
      <c r="E3266" s="210"/>
      <c r="F3266" s="210"/>
      <c r="G3266" s="210"/>
      <c r="H3266" s="210"/>
    </row>
    <row r="3267" spans="3:8" x14ac:dyDescent="0.25">
      <c r="C3267" s="210"/>
      <c r="D3267" s="210"/>
      <c r="E3267" s="210"/>
      <c r="F3267" s="210"/>
      <c r="G3267" s="210"/>
      <c r="H3267" s="210"/>
    </row>
    <row r="3268" spans="3:8" x14ac:dyDescent="0.25">
      <c r="C3268" s="210"/>
      <c r="D3268" s="210"/>
      <c r="E3268" s="210"/>
      <c r="F3268" s="210"/>
      <c r="G3268" s="210"/>
      <c r="H3268" s="210"/>
    </row>
    <row r="3269" spans="3:8" x14ac:dyDescent="0.25">
      <c r="C3269" s="210"/>
      <c r="D3269" s="210"/>
      <c r="E3269" s="210"/>
      <c r="F3269" s="210"/>
      <c r="G3269" s="210"/>
      <c r="H3269" s="210"/>
    </row>
    <row r="3270" spans="3:8" x14ac:dyDescent="0.25">
      <c r="C3270" s="210"/>
      <c r="D3270" s="210"/>
      <c r="E3270" s="210"/>
      <c r="F3270" s="210"/>
      <c r="G3270" s="210"/>
      <c r="H3270" s="210"/>
    </row>
    <row r="3271" spans="3:8" x14ac:dyDescent="0.25">
      <c r="C3271" s="210"/>
      <c r="D3271" s="210"/>
      <c r="E3271" s="210"/>
      <c r="F3271" s="210"/>
      <c r="G3271" s="210"/>
      <c r="H3271" s="210"/>
    </row>
    <row r="3272" spans="3:8" x14ac:dyDescent="0.25">
      <c r="C3272" s="210"/>
      <c r="D3272" s="210"/>
      <c r="E3272" s="210"/>
      <c r="F3272" s="210"/>
      <c r="G3272" s="210"/>
      <c r="H3272" s="210"/>
    </row>
    <row r="3273" spans="3:8" x14ac:dyDescent="0.25">
      <c r="C3273" s="210"/>
      <c r="D3273" s="210"/>
      <c r="E3273" s="210"/>
      <c r="F3273" s="210"/>
      <c r="G3273" s="210"/>
      <c r="H3273" s="210"/>
    </row>
    <row r="3274" spans="3:8" x14ac:dyDescent="0.25">
      <c r="C3274" s="210"/>
      <c r="D3274" s="210"/>
      <c r="E3274" s="210"/>
      <c r="F3274" s="210"/>
      <c r="G3274" s="210"/>
      <c r="H3274" s="210"/>
    </row>
    <row r="3275" spans="3:8" x14ac:dyDescent="0.25">
      <c r="C3275" s="210"/>
      <c r="D3275" s="210"/>
      <c r="E3275" s="210"/>
      <c r="F3275" s="210"/>
      <c r="G3275" s="210"/>
      <c r="H3275" s="210"/>
    </row>
    <row r="3276" spans="3:8" x14ac:dyDescent="0.25">
      <c r="C3276" s="210"/>
      <c r="D3276" s="210"/>
      <c r="E3276" s="210"/>
      <c r="F3276" s="210"/>
      <c r="G3276" s="210"/>
      <c r="H3276" s="210"/>
    </row>
    <row r="3277" spans="3:8" x14ac:dyDescent="0.25">
      <c r="C3277" s="210"/>
      <c r="D3277" s="210"/>
      <c r="E3277" s="210"/>
      <c r="F3277" s="210"/>
      <c r="G3277" s="210"/>
      <c r="H3277" s="210"/>
    </row>
    <row r="3278" spans="3:8" x14ac:dyDescent="0.25">
      <c r="C3278" s="210"/>
      <c r="D3278" s="210"/>
      <c r="E3278" s="210"/>
      <c r="F3278" s="210"/>
      <c r="G3278" s="210"/>
      <c r="H3278" s="210"/>
    </row>
    <row r="3279" spans="3:8" x14ac:dyDescent="0.25">
      <c r="C3279" s="210"/>
      <c r="D3279" s="210"/>
      <c r="E3279" s="210"/>
      <c r="F3279" s="210"/>
      <c r="G3279" s="210"/>
      <c r="H3279" s="210"/>
    </row>
    <row r="3280" spans="3:8" x14ac:dyDescent="0.25">
      <c r="C3280" s="210"/>
      <c r="D3280" s="210"/>
      <c r="E3280" s="210"/>
      <c r="F3280" s="210"/>
      <c r="G3280" s="210"/>
      <c r="H3280" s="210"/>
    </row>
    <row r="3281" spans="3:8" x14ac:dyDescent="0.25">
      <c r="C3281" s="210"/>
      <c r="D3281" s="210"/>
      <c r="E3281" s="210"/>
      <c r="F3281" s="210"/>
      <c r="G3281" s="210"/>
      <c r="H3281" s="210"/>
    </row>
    <row r="3282" spans="3:8" x14ac:dyDescent="0.25">
      <c r="C3282" s="210"/>
      <c r="D3282" s="210"/>
      <c r="E3282" s="210"/>
      <c r="F3282" s="210"/>
      <c r="G3282" s="210"/>
      <c r="H3282" s="210"/>
    </row>
    <row r="3283" spans="3:8" x14ac:dyDescent="0.25">
      <c r="C3283" s="210"/>
      <c r="D3283" s="210"/>
      <c r="E3283" s="210"/>
      <c r="F3283" s="210"/>
      <c r="G3283" s="210"/>
      <c r="H3283" s="210"/>
    </row>
    <row r="3284" spans="3:8" x14ac:dyDescent="0.25">
      <c r="C3284" s="210"/>
      <c r="D3284" s="210"/>
      <c r="E3284" s="210"/>
      <c r="F3284" s="210"/>
      <c r="G3284" s="210"/>
      <c r="H3284" s="210"/>
    </row>
    <row r="3285" spans="3:8" x14ac:dyDescent="0.25">
      <c r="C3285" s="210"/>
      <c r="D3285" s="210"/>
      <c r="E3285" s="210"/>
      <c r="F3285" s="210"/>
      <c r="G3285" s="210"/>
      <c r="H3285" s="210"/>
    </row>
    <row r="3286" spans="3:8" x14ac:dyDescent="0.25">
      <c r="C3286" s="210"/>
      <c r="D3286" s="210"/>
      <c r="E3286" s="210"/>
      <c r="F3286" s="210"/>
      <c r="G3286" s="210"/>
      <c r="H3286" s="210"/>
    </row>
    <row r="3287" spans="3:8" x14ac:dyDescent="0.25">
      <c r="C3287" s="210"/>
      <c r="D3287" s="210"/>
      <c r="E3287" s="210"/>
      <c r="F3287" s="210"/>
      <c r="G3287" s="210"/>
      <c r="H3287" s="210"/>
    </row>
    <row r="3288" spans="3:8" x14ac:dyDescent="0.25">
      <c r="C3288" s="210"/>
      <c r="D3288" s="210"/>
      <c r="E3288" s="210"/>
      <c r="F3288" s="210"/>
      <c r="G3288" s="210"/>
      <c r="H3288" s="210"/>
    </row>
    <row r="3289" spans="3:8" x14ac:dyDescent="0.25">
      <c r="C3289" s="210"/>
      <c r="D3289" s="210"/>
      <c r="E3289" s="210"/>
      <c r="F3289" s="210"/>
      <c r="G3289" s="210"/>
      <c r="H3289" s="210"/>
    </row>
    <row r="3290" spans="3:8" x14ac:dyDescent="0.25">
      <c r="C3290" s="210"/>
      <c r="D3290" s="210"/>
      <c r="E3290" s="210"/>
      <c r="F3290" s="210"/>
      <c r="G3290" s="210"/>
      <c r="H3290" s="210"/>
    </row>
    <row r="3291" spans="3:8" x14ac:dyDescent="0.25">
      <c r="C3291" s="210"/>
      <c r="D3291" s="210"/>
      <c r="E3291" s="210"/>
      <c r="F3291" s="210"/>
      <c r="G3291" s="210"/>
      <c r="H3291" s="210"/>
    </row>
    <row r="3292" spans="3:8" x14ac:dyDescent="0.25">
      <c r="C3292" s="210"/>
      <c r="D3292" s="210"/>
      <c r="E3292" s="210"/>
      <c r="F3292" s="210"/>
      <c r="G3292" s="210"/>
      <c r="H3292" s="210"/>
    </row>
    <row r="3293" spans="3:8" x14ac:dyDescent="0.25">
      <c r="C3293" s="210"/>
      <c r="D3293" s="210"/>
      <c r="E3293" s="210"/>
      <c r="F3293" s="210"/>
      <c r="G3293" s="210"/>
      <c r="H3293" s="210"/>
    </row>
    <row r="3294" spans="3:8" x14ac:dyDescent="0.25">
      <c r="C3294" s="210"/>
      <c r="D3294" s="210"/>
      <c r="E3294" s="210"/>
      <c r="F3294" s="210"/>
      <c r="G3294" s="210"/>
      <c r="H3294" s="210"/>
    </row>
    <row r="3295" spans="3:8" x14ac:dyDescent="0.25">
      <c r="C3295" s="210"/>
      <c r="D3295" s="210"/>
      <c r="E3295" s="210"/>
      <c r="F3295" s="210"/>
      <c r="G3295" s="210"/>
      <c r="H3295" s="210"/>
    </row>
    <row r="3296" spans="3:8" x14ac:dyDescent="0.25">
      <c r="C3296" s="210"/>
      <c r="D3296" s="210"/>
      <c r="E3296" s="210"/>
      <c r="F3296" s="210"/>
      <c r="G3296" s="210"/>
      <c r="H3296" s="210"/>
    </row>
    <row r="3297" spans="3:8" x14ac:dyDescent="0.25">
      <c r="C3297" s="210"/>
      <c r="D3297" s="210"/>
      <c r="E3297" s="210"/>
      <c r="F3297" s="210"/>
      <c r="G3297" s="210"/>
      <c r="H3297" s="210"/>
    </row>
    <row r="3298" spans="3:8" x14ac:dyDescent="0.25">
      <c r="C3298" s="210"/>
      <c r="D3298" s="210"/>
      <c r="E3298" s="210"/>
      <c r="F3298" s="210"/>
      <c r="G3298" s="210"/>
      <c r="H3298" s="210"/>
    </row>
    <row r="3299" spans="3:8" x14ac:dyDescent="0.25">
      <c r="C3299" s="210"/>
      <c r="D3299" s="210"/>
      <c r="E3299" s="210"/>
      <c r="F3299" s="210"/>
      <c r="G3299" s="210"/>
      <c r="H3299" s="210"/>
    </row>
    <row r="3300" spans="3:8" x14ac:dyDescent="0.25">
      <c r="C3300" s="210"/>
      <c r="D3300" s="210"/>
      <c r="E3300" s="210"/>
      <c r="F3300" s="210"/>
      <c r="G3300" s="210"/>
      <c r="H3300" s="210"/>
    </row>
    <row r="3301" spans="3:8" x14ac:dyDescent="0.25">
      <c r="C3301" s="210"/>
      <c r="D3301" s="210"/>
      <c r="E3301" s="210"/>
      <c r="F3301" s="210"/>
      <c r="G3301" s="210"/>
      <c r="H3301" s="210"/>
    </row>
    <row r="3302" spans="3:8" x14ac:dyDescent="0.25">
      <c r="C3302" s="210"/>
      <c r="D3302" s="210"/>
      <c r="E3302" s="210"/>
      <c r="F3302" s="210"/>
      <c r="G3302" s="210"/>
      <c r="H3302" s="210"/>
    </row>
    <row r="3303" spans="3:8" x14ac:dyDescent="0.25">
      <c r="C3303" s="210"/>
      <c r="D3303" s="210"/>
      <c r="E3303" s="210"/>
      <c r="F3303" s="210"/>
      <c r="G3303" s="210"/>
      <c r="H3303" s="210"/>
    </row>
    <row r="3304" spans="3:8" x14ac:dyDescent="0.25">
      <c r="C3304" s="210"/>
      <c r="D3304" s="210"/>
      <c r="E3304" s="210"/>
      <c r="F3304" s="210"/>
      <c r="G3304" s="210"/>
      <c r="H3304" s="210"/>
    </row>
    <row r="3305" spans="3:8" x14ac:dyDescent="0.25">
      <c r="C3305" s="210"/>
      <c r="D3305" s="210"/>
      <c r="E3305" s="210"/>
      <c r="F3305" s="210"/>
      <c r="G3305" s="210"/>
      <c r="H3305" s="210"/>
    </row>
    <row r="3306" spans="3:8" x14ac:dyDescent="0.25">
      <c r="C3306" s="210"/>
      <c r="D3306" s="210"/>
      <c r="E3306" s="210"/>
      <c r="F3306" s="210"/>
      <c r="G3306" s="210"/>
      <c r="H3306" s="210"/>
    </row>
    <row r="3307" spans="3:8" x14ac:dyDescent="0.25">
      <c r="C3307" s="210"/>
      <c r="D3307" s="210"/>
      <c r="E3307" s="210"/>
      <c r="F3307" s="210"/>
      <c r="G3307" s="210"/>
      <c r="H3307" s="210"/>
    </row>
    <row r="3308" spans="3:8" x14ac:dyDescent="0.25">
      <c r="C3308" s="210"/>
      <c r="D3308" s="210"/>
      <c r="E3308" s="210"/>
      <c r="F3308" s="210"/>
      <c r="G3308" s="210"/>
      <c r="H3308" s="210"/>
    </row>
    <row r="3309" spans="3:8" x14ac:dyDescent="0.25">
      <c r="C3309" s="210"/>
      <c r="D3309" s="210"/>
      <c r="E3309" s="210"/>
      <c r="F3309" s="210"/>
      <c r="G3309" s="210"/>
      <c r="H3309" s="210"/>
    </row>
    <row r="3310" spans="3:8" x14ac:dyDescent="0.25">
      <c r="C3310" s="210"/>
      <c r="D3310" s="210"/>
      <c r="E3310" s="210"/>
      <c r="F3310" s="210"/>
      <c r="G3310" s="210"/>
      <c r="H3310" s="210"/>
    </row>
    <row r="3311" spans="3:8" x14ac:dyDescent="0.25">
      <c r="C3311" s="210"/>
      <c r="D3311" s="210"/>
      <c r="E3311" s="210"/>
      <c r="F3311" s="210"/>
      <c r="G3311" s="210"/>
      <c r="H3311" s="210"/>
    </row>
    <row r="3312" spans="3:8" x14ac:dyDescent="0.25">
      <c r="C3312" s="210"/>
      <c r="D3312" s="210"/>
      <c r="E3312" s="210"/>
      <c r="F3312" s="210"/>
      <c r="G3312" s="210"/>
      <c r="H3312" s="210"/>
    </row>
    <row r="3313" spans="3:8" x14ac:dyDescent="0.25">
      <c r="C3313" s="210"/>
      <c r="D3313" s="210"/>
      <c r="E3313" s="210"/>
      <c r="F3313" s="210"/>
      <c r="G3313" s="210"/>
      <c r="H3313" s="210"/>
    </row>
    <row r="3314" spans="3:8" x14ac:dyDescent="0.25">
      <c r="C3314" s="210"/>
      <c r="D3314" s="210"/>
      <c r="E3314" s="210"/>
      <c r="F3314" s="210"/>
      <c r="G3314" s="210"/>
      <c r="H3314" s="210"/>
    </row>
    <row r="3315" spans="3:8" x14ac:dyDescent="0.25">
      <c r="C3315" s="210"/>
      <c r="D3315" s="210"/>
      <c r="E3315" s="210"/>
      <c r="F3315" s="210"/>
      <c r="G3315" s="210"/>
      <c r="H3315" s="210"/>
    </row>
    <row r="3316" spans="3:8" x14ac:dyDescent="0.25">
      <c r="C3316" s="210"/>
      <c r="D3316" s="210"/>
      <c r="E3316" s="210"/>
      <c r="F3316" s="210"/>
      <c r="G3316" s="210"/>
      <c r="H3316" s="210"/>
    </row>
    <row r="3317" spans="3:8" x14ac:dyDescent="0.25">
      <c r="C3317" s="210"/>
      <c r="D3317" s="210"/>
      <c r="E3317" s="210"/>
      <c r="F3317" s="210"/>
      <c r="G3317" s="210"/>
      <c r="H3317" s="210"/>
    </row>
    <row r="3318" spans="3:8" x14ac:dyDescent="0.25">
      <c r="C3318" s="210"/>
      <c r="D3318" s="210"/>
      <c r="E3318" s="210"/>
      <c r="F3318" s="210"/>
      <c r="G3318" s="210"/>
      <c r="H3318" s="210"/>
    </row>
    <row r="3319" spans="3:8" x14ac:dyDescent="0.25">
      <c r="C3319" s="210"/>
      <c r="D3319" s="210"/>
      <c r="E3319" s="210"/>
      <c r="F3319" s="210"/>
      <c r="G3319" s="210"/>
      <c r="H3319" s="210"/>
    </row>
    <row r="3320" spans="3:8" x14ac:dyDescent="0.25">
      <c r="C3320" s="210"/>
      <c r="D3320" s="210"/>
      <c r="E3320" s="210"/>
      <c r="F3320" s="210"/>
      <c r="G3320" s="210"/>
      <c r="H3320" s="210"/>
    </row>
    <row r="3321" spans="3:8" x14ac:dyDescent="0.25">
      <c r="C3321" s="210"/>
      <c r="D3321" s="210"/>
      <c r="E3321" s="210"/>
      <c r="F3321" s="210"/>
      <c r="G3321" s="210"/>
      <c r="H3321" s="210"/>
    </row>
    <row r="3322" spans="3:8" x14ac:dyDescent="0.25">
      <c r="C3322" s="210"/>
      <c r="D3322" s="210"/>
      <c r="E3322" s="210"/>
      <c r="F3322" s="210"/>
      <c r="G3322" s="210"/>
      <c r="H3322" s="210"/>
    </row>
    <row r="3323" spans="3:8" x14ac:dyDescent="0.25">
      <c r="C3323" s="210"/>
      <c r="D3323" s="210"/>
      <c r="E3323" s="210"/>
      <c r="F3323" s="210"/>
      <c r="G3323" s="210"/>
      <c r="H3323" s="210"/>
    </row>
    <row r="3324" spans="3:8" x14ac:dyDescent="0.25">
      <c r="C3324" s="210"/>
      <c r="D3324" s="210"/>
      <c r="E3324" s="210"/>
      <c r="F3324" s="210"/>
      <c r="G3324" s="210"/>
      <c r="H3324" s="210"/>
    </row>
    <row r="3325" spans="3:8" x14ac:dyDescent="0.25">
      <c r="C3325" s="210"/>
      <c r="D3325" s="210"/>
      <c r="E3325" s="210"/>
      <c r="F3325" s="210"/>
      <c r="G3325" s="210"/>
      <c r="H3325" s="210"/>
    </row>
    <row r="3326" spans="3:8" x14ac:dyDescent="0.25">
      <c r="C3326" s="210"/>
      <c r="D3326" s="210"/>
      <c r="E3326" s="210"/>
      <c r="F3326" s="210"/>
      <c r="G3326" s="210"/>
      <c r="H3326" s="210"/>
    </row>
    <row r="3327" spans="3:8" x14ac:dyDescent="0.25">
      <c r="C3327" s="210"/>
      <c r="D3327" s="210"/>
      <c r="E3327" s="210"/>
      <c r="F3327" s="210"/>
      <c r="G3327" s="210"/>
      <c r="H3327" s="210"/>
    </row>
    <row r="3328" spans="3:8" x14ac:dyDescent="0.25">
      <c r="C3328" s="210"/>
      <c r="D3328" s="210"/>
      <c r="E3328" s="210"/>
      <c r="F3328" s="210"/>
      <c r="G3328" s="210"/>
      <c r="H3328" s="210"/>
    </row>
    <row r="3329" spans="3:8" x14ac:dyDescent="0.25">
      <c r="C3329" s="210"/>
      <c r="D3329" s="210"/>
      <c r="E3329" s="210"/>
      <c r="F3329" s="210"/>
      <c r="G3329" s="210"/>
      <c r="H3329" s="210"/>
    </row>
    <row r="3330" spans="3:8" x14ac:dyDescent="0.25">
      <c r="C3330" s="210"/>
      <c r="D3330" s="210"/>
      <c r="E3330" s="210"/>
      <c r="F3330" s="210"/>
      <c r="G3330" s="210"/>
      <c r="H3330" s="210"/>
    </row>
    <row r="3331" spans="3:8" x14ac:dyDescent="0.25">
      <c r="C3331" s="210"/>
      <c r="D3331" s="210"/>
      <c r="E3331" s="210"/>
      <c r="F3331" s="210"/>
      <c r="G3331" s="210"/>
      <c r="H3331" s="210"/>
    </row>
    <row r="3332" spans="3:8" x14ac:dyDescent="0.25">
      <c r="C3332" s="210"/>
      <c r="D3332" s="210"/>
      <c r="E3332" s="210"/>
      <c r="F3332" s="210"/>
      <c r="G3332" s="210"/>
      <c r="H3332" s="210"/>
    </row>
    <row r="3333" spans="3:8" x14ac:dyDescent="0.25">
      <c r="C3333" s="210"/>
      <c r="D3333" s="210"/>
      <c r="E3333" s="210"/>
      <c r="F3333" s="210"/>
      <c r="G3333" s="210"/>
      <c r="H3333" s="210"/>
    </row>
    <row r="3334" spans="3:8" x14ac:dyDescent="0.25">
      <c r="C3334" s="210"/>
      <c r="D3334" s="210"/>
      <c r="E3334" s="210"/>
      <c r="F3334" s="210"/>
      <c r="G3334" s="210"/>
      <c r="H3334" s="210"/>
    </row>
    <row r="3335" spans="3:8" x14ac:dyDescent="0.25">
      <c r="C3335" s="210"/>
      <c r="D3335" s="210"/>
      <c r="E3335" s="210"/>
      <c r="F3335" s="210"/>
      <c r="G3335" s="210"/>
      <c r="H3335" s="210"/>
    </row>
    <row r="3336" spans="3:8" x14ac:dyDescent="0.25">
      <c r="C3336" s="210"/>
      <c r="D3336" s="210"/>
      <c r="E3336" s="210"/>
      <c r="F3336" s="210"/>
      <c r="G3336" s="210"/>
      <c r="H3336" s="210"/>
    </row>
    <row r="3337" spans="3:8" x14ac:dyDescent="0.25">
      <c r="C3337" s="210"/>
      <c r="D3337" s="210"/>
      <c r="E3337" s="210"/>
      <c r="F3337" s="210"/>
      <c r="G3337" s="210"/>
      <c r="H3337" s="210"/>
    </row>
    <row r="3338" spans="3:8" x14ac:dyDescent="0.25">
      <c r="C3338" s="210"/>
      <c r="D3338" s="210"/>
      <c r="E3338" s="210"/>
      <c r="F3338" s="210"/>
      <c r="G3338" s="210"/>
      <c r="H3338" s="210"/>
    </row>
    <row r="3339" spans="3:8" x14ac:dyDescent="0.25">
      <c r="C3339" s="210"/>
      <c r="D3339" s="210"/>
      <c r="E3339" s="210"/>
      <c r="F3339" s="210"/>
      <c r="G3339" s="210"/>
      <c r="H3339" s="210"/>
    </row>
    <row r="3340" spans="3:8" x14ac:dyDescent="0.25">
      <c r="C3340" s="210"/>
      <c r="D3340" s="210"/>
      <c r="E3340" s="210"/>
      <c r="F3340" s="210"/>
      <c r="G3340" s="210"/>
      <c r="H3340" s="210"/>
    </row>
    <row r="3341" spans="3:8" x14ac:dyDescent="0.25">
      <c r="C3341" s="210"/>
      <c r="D3341" s="210"/>
      <c r="E3341" s="210"/>
      <c r="F3341" s="210"/>
      <c r="G3341" s="210"/>
      <c r="H3341" s="210"/>
    </row>
    <row r="3342" spans="3:8" x14ac:dyDescent="0.25">
      <c r="C3342" s="210"/>
      <c r="D3342" s="210"/>
      <c r="E3342" s="210"/>
      <c r="F3342" s="210"/>
      <c r="G3342" s="210"/>
      <c r="H3342" s="210"/>
    </row>
    <row r="3343" spans="3:8" x14ac:dyDescent="0.25">
      <c r="C3343" s="210"/>
      <c r="D3343" s="210"/>
      <c r="E3343" s="210"/>
      <c r="F3343" s="210"/>
      <c r="G3343" s="210"/>
      <c r="H3343" s="210"/>
    </row>
    <row r="3344" spans="3:8" x14ac:dyDescent="0.25">
      <c r="C3344" s="210"/>
      <c r="D3344" s="210"/>
      <c r="E3344" s="210"/>
      <c r="F3344" s="210"/>
      <c r="G3344" s="210"/>
      <c r="H3344" s="210"/>
    </row>
    <row r="3345" spans="3:8" x14ac:dyDescent="0.25">
      <c r="C3345" s="210"/>
      <c r="D3345" s="210"/>
      <c r="E3345" s="210"/>
      <c r="F3345" s="210"/>
      <c r="G3345" s="210"/>
      <c r="H3345" s="210"/>
    </row>
    <row r="3346" spans="3:8" x14ac:dyDescent="0.25">
      <c r="C3346" s="210"/>
      <c r="D3346" s="210"/>
      <c r="E3346" s="210"/>
      <c r="F3346" s="210"/>
      <c r="G3346" s="210"/>
      <c r="H3346" s="210"/>
    </row>
    <row r="3347" spans="3:8" x14ac:dyDescent="0.25">
      <c r="C3347" s="210"/>
      <c r="D3347" s="210"/>
      <c r="E3347" s="210"/>
      <c r="F3347" s="210"/>
      <c r="G3347" s="210"/>
      <c r="H3347" s="210"/>
    </row>
    <row r="3348" spans="3:8" x14ac:dyDescent="0.25">
      <c r="C3348" s="210"/>
      <c r="D3348" s="210"/>
      <c r="E3348" s="210"/>
      <c r="F3348" s="210"/>
      <c r="G3348" s="210"/>
      <c r="H3348" s="210"/>
    </row>
    <row r="3349" spans="3:8" x14ac:dyDescent="0.25">
      <c r="C3349" s="210"/>
      <c r="D3349" s="210"/>
      <c r="E3349" s="210"/>
      <c r="F3349" s="210"/>
      <c r="G3349" s="210"/>
      <c r="H3349" s="210"/>
    </row>
    <row r="3350" spans="3:8" x14ac:dyDescent="0.25">
      <c r="C3350" s="210"/>
      <c r="D3350" s="210"/>
      <c r="E3350" s="210"/>
      <c r="F3350" s="210"/>
      <c r="G3350" s="210"/>
      <c r="H3350" s="210"/>
    </row>
    <row r="3351" spans="3:8" x14ac:dyDescent="0.25">
      <c r="C3351" s="210"/>
      <c r="D3351" s="210"/>
      <c r="E3351" s="210"/>
      <c r="F3351" s="210"/>
      <c r="G3351" s="210"/>
      <c r="H3351" s="210"/>
    </row>
    <row r="3352" spans="3:8" x14ac:dyDescent="0.25">
      <c r="C3352" s="210"/>
      <c r="D3352" s="210"/>
      <c r="E3352" s="210"/>
      <c r="F3352" s="210"/>
      <c r="G3352" s="210"/>
      <c r="H3352" s="210"/>
    </row>
    <row r="3353" spans="3:8" x14ac:dyDescent="0.25">
      <c r="C3353" s="210"/>
      <c r="D3353" s="210"/>
      <c r="E3353" s="210"/>
      <c r="F3353" s="210"/>
      <c r="G3353" s="210"/>
      <c r="H3353" s="210"/>
    </row>
    <row r="3354" spans="3:8" x14ac:dyDescent="0.25">
      <c r="C3354" s="210"/>
      <c r="D3354" s="210"/>
      <c r="E3354" s="210"/>
      <c r="F3354" s="210"/>
      <c r="G3354" s="210"/>
      <c r="H3354" s="210"/>
    </row>
    <row r="3355" spans="3:8" x14ac:dyDescent="0.25">
      <c r="C3355" s="210"/>
      <c r="D3355" s="210"/>
      <c r="E3355" s="210"/>
      <c r="F3355" s="210"/>
      <c r="G3355" s="210"/>
      <c r="H3355" s="210"/>
    </row>
    <row r="3356" spans="3:8" x14ac:dyDescent="0.25">
      <c r="C3356" s="210"/>
      <c r="D3356" s="210"/>
      <c r="E3356" s="210"/>
      <c r="F3356" s="210"/>
      <c r="G3356" s="210"/>
      <c r="H3356" s="210"/>
    </row>
    <row r="3357" spans="3:8" x14ac:dyDescent="0.25">
      <c r="C3357" s="210"/>
      <c r="D3357" s="210"/>
      <c r="E3357" s="210"/>
      <c r="F3357" s="210"/>
      <c r="G3357" s="210"/>
      <c r="H3357" s="210"/>
    </row>
    <row r="3358" spans="3:8" x14ac:dyDescent="0.25">
      <c r="C3358" s="210"/>
      <c r="D3358" s="210"/>
      <c r="E3358" s="210"/>
      <c r="F3358" s="210"/>
      <c r="G3358" s="210"/>
      <c r="H3358" s="210"/>
    </row>
    <row r="3359" spans="3:8" x14ac:dyDescent="0.25">
      <c r="C3359" s="210"/>
      <c r="D3359" s="210"/>
      <c r="E3359" s="210"/>
      <c r="F3359" s="210"/>
      <c r="G3359" s="210"/>
      <c r="H3359" s="210"/>
    </row>
    <row r="3360" spans="3:8" x14ac:dyDescent="0.25">
      <c r="C3360" s="210"/>
      <c r="D3360" s="210"/>
      <c r="E3360" s="210"/>
      <c r="F3360" s="210"/>
      <c r="G3360" s="210"/>
      <c r="H3360" s="210"/>
    </row>
    <row r="3361" spans="3:8" x14ac:dyDescent="0.25">
      <c r="C3361" s="210"/>
      <c r="D3361" s="210"/>
      <c r="E3361" s="210"/>
      <c r="F3361" s="210"/>
      <c r="G3361" s="210"/>
      <c r="H3361" s="210"/>
    </row>
    <row r="3362" spans="3:8" x14ac:dyDescent="0.25">
      <c r="C3362" s="210"/>
      <c r="D3362" s="210"/>
      <c r="E3362" s="210"/>
      <c r="F3362" s="210"/>
      <c r="G3362" s="210"/>
      <c r="H3362" s="210"/>
    </row>
    <row r="3363" spans="3:8" x14ac:dyDescent="0.25">
      <c r="C3363" s="210"/>
      <c r="D3363" s="210"/>
      <c r="E3363" s="210"/>
      <c r="F3363" s="210"/>
      <c r="G3363" s="210"/>
      <c r="H3363" s="210"/>
    </row>
    <row r="3364" spans="3:8" x14ac:dyDescent="0.25">
      <c r="C3364" s="210"/>
      <c r="D3364" s="210"/>
      <c r="E3364" s="210"/>
      <c r="F3364" s="210"/>
      <c r="G3364" s="210"/>
      <c r="H3364" s="210"/>
    </row>
    <row r="3365" spans="3:8" x14ac:dyDescent="0.25">
      <c r="C3365" s="210"/>
      <c r="D3365" s="210"/>
      <c r="E3365" s="210"/>
      <c r="F3365" s="210"/>
      <c r="G3365" s="210"/>
      <c r="H3365" s="210"/>
    </row>
    <row r="3366" spans="3:8" x14ac:dyDescent="0.25">
      <c r="C3366" s="210"/>
      <c r="D3366" s="210"/>
      <c r="E3366" s="210"/>
      <c r="F3366" s="210"/>
      <c r="G3366" s="210"/>
      <c r="H3366" s="210"/>
    </row>
    <row r="3367" spans="3:8" x14ac:dyDescent="0.25">
      <c r="C3367" s="210"/>
      <c r="D3367" s="210"/>
      <c r="E3367" s="210"/>
      <c r="F3367" s="210"/>
      <c r="G3367" s="210"/>
      <c r="H3367" s="210"/>
    </row>
    <row r="3368" spans="3:8" x14ac:dyDescent="0.25">
      <c r="C3368" s="210"/>
      <c r="D3368" s="210"/>
      <c r="E3368" s="210"/>
      <c r="F3368" s="210"/>
      <c r="G3368" s="210"/>
      <c r="H3368" s="210"/>
    </row>
    <row r="3369" spans="3:8" x14ac:dyDescent="0.25">
      <c r="C3369" s="210"/>
      <c r="D3369" s="210"/>
      <c r="E3369" s="210"/>
      <c r="F3369" s="210"/>
      <c r="G3369" s="210"/>
      <c r="H3369" s="210"/>
    </row>
    <row r="3370" spans="3:8" x14ac:dyDescent="0.25">
      <c r="C3370" s="210"/>
      <c r="D3370" s="210"/>
      <c r="E3370" s="210"/>
      <c r="F3370" s="210"/>
      <c r="G3370" s="210"/>
      <c r="H3370" s="210"/>
    </row>
    <row r="3371" spans="3:8" x14ac:dyDescent="0.25">
      <c r="C3371" s="210"/>
      <c r="D3371" s="210"/>
      <c r="E3371" s="210"/>
      <c r="F3371" s="210"/>
      <c r="G3371" s="210"/>
      <c r="H3371" s="210"/>
    </row>
    <row r="3372" spans="3:8" x14ac:dyDescent="0.25">
      <c r="C3372" s="210"/>
      <c r="D3372" s="210"/>
      <c r="E3372" s="210"/>
      <c r="F3372" s="210"/>
      <c r="G3372" s="210"/>
      <c r="H3372" s="210"/>
    </row>
    <row r="3373" spans="3:8" x14ac:dyDescent="0.25">
      <c r="C3373" s="210"/>
      <c r="D3373" s="210"/>
      <c r="E3373" s="210"/>
      <c r="F3373" s="210"/>
      <c r="G3373" s="210"/>
      <c r="H3373" s="210"/>
    </row>
    <row r="3374" spans="3:8" x14ac:dyDescent="0.25">
      <c r="C3374" s="210"/>
      <c r="D3374" s="210"/>
      <c r="E3374" s="210"/>
      <c r="F3374" s="210"/>
      <c r="G3374" s="210"/>
      <c r="H3374" s="210"/>
    </row>
    <row r="3375" spans="3:8" x14ac:dyDescent="0.25">
      <c r="C3375" s="210"/>
      <c r="D3375" s="210"/>
      <c r="E3375" s="210"/>
      <c r="F3375" s="210"/>
      <c r="G3375" s="210"/>
      <c r="H3375" s="210"/>
    </row>
    <row r="3376" spans="3:8" x14ac:dyDescent="0.25">
      <c r="C3376" s="210"/>
      <c r="D3376" s="210"/>
      <c r="E3376" s="210"/>
      <c r="F3376" s="210"/>
      <c r="G3376" s="210"/>
      <c r="H3376" s="210"/>
    </row>
    <row r="3377" spans="3:8" x14ac:dyDescent="0.25">
      <c r="C3377" s="210"/>
      <c r="D3377" s="210"/>
      <c r="E3377" s="210"/>
      <c r="F3377" s="210"/>
      <c r="G3377" s="210"/>
      <c r="H3377" s="210"/>
    </row>
    <row r="3378" spans="3:8" x14ac:dyDescent="0.25">
      <c r="C3378" s="210"/>
      <c r="D3378" s="210"/>
      <c r="E3378" s="210"/>
      <c r="F3378" s="210"/>
      <c r="G3378" s="210"/>
      <c r="H3378" s="210"/>
    </row>
    <row r="3379" spans="3:8" x14ac:dyDescent="0.25">
      <c r="C3379" s="210"/>
      <c r="D3379" s="210"/>
      <c r="E3379" s="210"/>
      <c r="F3379" s="210"/>
      <c r="G3379" s="210"/>
      <c r="H3379" s="210"/>
    </row>
    <row r="3380" spans="3:8" x14ac:dyDescent="0.25">
      <c r="C3380" s="210"/>
      <c r="D3380" s="210"/>
      <c r="E3380" s="210"/>
      <c r="F3380" s="210"/>
      <c r="G3380" s="210"/>
      <c r="H3380" s="210"/>
    </row>
    <row r="3381" spans="3:8" x14ac:dyDescent="0.25">
      <c r="C3381" s="210"/>
      <c r="D3381" s="210"/>
      <c r="E3381" s="210"/>
      <c r="F3381" s="210"/>
      <c r="G3381" s="210"/>
      <c r="H3381" s="210"/>
    </row>
    <row r="3382" spans="3:8" x14ac:dyDescent="0.25">
      <c r="C3382" s="210"/>
      <c r="D3382" s="210"/>
      <c r="E3382" s="210"/>
      <c r="F3382" s="210"/>
      <c r="G3382" s="210"/>
      <c r="H3382" s="210"/>
    </row>
    <row r="3383" spans="3:8" x14ac:dyDescent="0.25">
      <c r="C3383" s="210"/>
      <c r="D3383" s="210"/>
      <c r="E3383" s="210"/>
      <c r="F3383" s="210"/>
      <c r="G3383" s="210"/>
      <c r="H3383" s="210"/>
    </row>
    <row r="3384" spans="3:8" x14ac:dyDescent="0.25">
      <c r="C3384" s="210"/>
      <c r="D3384" s="210"/>
      <c r="E3384" s="210"/>
      <c r="F3384" s="210"/>
      <c r="G3384" s="210"/>
      <c r="H3384" s="210"/>
    </row>
    <row r="3385" spans="3:8" x14ac:dyDescent="0.25">
      <c r="C3385" s="210"/>
      <c r="D3385" s="210"/>
      <c r="E3385" s="210"/>
      <c r="F3385" s="210"/>
      <c r="G3385" s="210"/>
      <c r="H3385" s="210"/>
    </row>
    <row r="3386" spans="3:8" x14ac:dyDescent="0.25">
      <c r="C3386" s="210"/>
      <c r="D3386" s="210"/>
      <c r="E3386" s="210"/>
      <c r="F3386" s="210"/>
      <c r="G3386" s="210"/>
      <c r="H3386" s="210"/>
    </row>
    <row r="3387" spans="3:8" x14ac:dyDescent="0.25">
      <c r="C3387" s="210"/>
      <c r="D3387" s="210"/>
      <c r="E3387" s="210"/>
      <c r="F3387" s="210"/>
      <c r="G3387" s="210"/>
      <c r="H3387" s="210"/>
    </row>
    <row r="3388" spans="3:8" x14ac:dyDescent="0.25">
      <c r="C3388" s="210"/>
      <c r="D3388" s="210"/>
      <c r="E3388" s="210"/>
      <c r="F3388" s="210"/>
      <c r="G3388" s="210"/>
      <c r="H3388" s="210"/>
    </row>
    <row r="3389" spans="3:8" x14ac:dyDescent="0.25">
      <c r="C3389" s="210"/>
      <c r="D3389" s="210"/>
      <c r="E3389" s="210"/>
      <c r="F3389" s="210"/>
      <c r="G3389" s="210"/>
      <c r="H3389" s="210"/>
    </row>
    <row r="3390" spans="3:8" x14ac:dyDescent="0.25">
      <c r="C3390" s="210"/>
      <c r="D3390" s="210"/>
      <c r="E3390" s="210"/>
      <c r="F3390" s="210"/>
      <c r="G3390" s="210"/>
      <c r="H3390" s="210"/>
    </row>
    <row r="3391" spans="3:8" x14ac:dyDescent="0.25">
      <c r="C3391" s="210"/>
      <c r="D3391" s="210"/>
      <c r="E3391" s="210"/>
      <c r="F3391" s="210"/>
      <c r="G3391" s="210"/>
      <c r="H3391" s="210"/>
    </row>
    <row r="3392" spans="3:8" x14ac:dyDescent="0.25">
      <c r="C3392" s="210"/>
      <c r="D3392" s="210"/>
      <c r="E3392" s="210"/>
      <c r="F3392" s="210"/>
      <c r="G3392" s="210"/>
      <c r="H3392" s="210"/>
    </row>
    <row r="3393" spans="3:8" x14ac:dyDescent="0.25">
      <c r="C3393" s="210"/>
      <c r="D3393" s="210"/>
      <c r="E3393" s="210"/>
      <c r="F3393" s="210"/>
      <c r="G3393" s="210"/>
      <c r="H3393" s="210"/>
    </row>
    <row r="3394" spans="3:8" x14ac:dyDescent="0.25">
      <c r="C3394" s="210"/>
      <c r="D3394" s="210"/>
      <c r="E3394" s="210"/>
      <c r="F3394" s="210"/>
      <c r="G3394" s="210"/>
      <c r="H3394" s="210"/>
    </row>
    <row r="3395" spans="3:8" x14ac:dyDescent="0.25">
      <c r="C3395" s="210"/>
      <c r="D3395" s="210"/>
      <c r="E3395" s="210"/>
      <c r="F3395" s="210"/>
      <c r="G3395" s="210"/>
      <c r="H3395" s="210"/>
    </row>
    <row r="3396" spans="3:8" x14ac:dyDescent="0.25">
      <c r="C3396" s="210"/>
      <c r="D3396" s="210"/>
      <c r="E3396" s="210"/>
      <c r="F3396" s="210"/>
      <c r="G3396" s="210"/>
      <c r="H3396" s="210"/>
    </row>
    <row r="3397" spans="3:8" x14ac:dyDescent="0.25">
      <c r="C3397" s="210"/>
      <c r="D3397" s="210"/>
      <c r="E3397" s="210"/>
      <c r="F3397" s="210"/>
      <c r="G3397" s="210"/>
      <c r="H3397" s="210"/>
    </row>
    <row r="3398" spans="3:8" x14ac:dyDescent="0.25">
      <c r="C3398" s="210"/>
      <c r="D3398" s="210"/>
      <c r="E3398" s="210"/>
      <c r="F3398" s="210"/>
      <c r="G3398" s="210"/>
      <c r="H3398" s="210"/>
    </row>
    <row r="3399" spans="3:8" x14ac:dyDescent="0.25">
      <c r="C3399" s="210"/>
      <c r="D3399" s="210"/>
      <c r="E3399" s="210"/>
      <c r="F3399" s="210"/>
      <c r="G3399" s="210"/>
      <c r="H3399" s="210"/>
    </row>
    <row r="3400" spans="3:8" x14ac:dyDescent="0.25">
      <c r="C3400" s="210"/>
      <c r="D3400" s="210"/>
      <c r="E3400" s="210"/>
      <c r="F3400" s="210"/>
      <c r="G3400" s="210"/>
      <c r="H3400" s="210"/>
    </row>
    <row r="3401" spans="3:8" x14ac:dyDescent="0.25">
      <c r="C3401" s="210"/>
      <c r="D3401" s="210"/>
      <c r="E3401" s="210"/>
      <c r="F3401" s="210"/>
      <c r="G3401" s="210"/>
      <c r="H3401" s="210"/>
    </row>
    <row r="3402" spans="3:8" x14ac:dyDescent="0.25">
      <c r="C3402" s="210"/>
      <c r="D3402" s="210"/>
      <c r="E3402" s="210"/>
      <c r="F3402" s="210"/>
      <c r="G3402" s="210"/>
      <c r="H3402" s="210"/>
    </row>
    <row r="3403" spans="3:8" x14ac:dyDescent="0.25">
      <c r="C3403" s="210"/>
      <c r="D3403" s="210"/>
      <c r="E3403" s="210"/>
      <c r="F3403" s="210"/>
      <c r="G3403" s="210"/>
      <c r="H3403" s="210"/>
    </row>
    <row r="3404" spans="3:8" x14ac:dyDescent="0.25">
      <c r="C3404" s="210"/>
      <c r="D3404" s="210"/>
      <c r="E3404" s="210"/>
      <c r="F3404" s="210"/>
      <c r="G3404" s="210"/>
      <c r="H3404" s="210"/>
    </row>
    <row r="3405" spans="3:8" x14ac:dyDescent="0.25">
      <c r="C3405" s="210"/>
      <c r="D3405" s="210"/>
      <c r="E3405" s="210"/>
      <c r="F3405" s="210"/>
      <c r="G3405" s="210"/>
      <c r="H3405" s="210"/>
    </row>
    <row r="3406" spans="3:8" x14ac:dyDescent="0.25">
      <c r="C3406" s="210"/>
      <c r="D3406" s="210"/>
      <c r="E3406" s="210"/>
      <c r="F3406" s="210"/>
      <c r="G3406" s="210"/>
      <c r="H3406" s="210"/>
    </row>
    <row r="3407" spans="3:8" x14ac:dyDescent="0.25">
      <c r="C3407" s="210"/>
      <c r="D3407" s="210"/>
      <c r="E3407" s="210"/>
      <c r="F3407" s="210"/>
      <c r="G3407" s="210"/>
      <c r="H3407" s="210"/>
    </row>
    <row r="3408" spans="3:8" x14ac:dyDescent="0.25">
      <c r="C3408" s="210"/>
      <c r="D3408" s="210"/>
      <c r="E3408" s="210"/>
      <c r="F3408" s="210"/>
      <c r="G3408" s="210"/>
      <c r="H3408" s="210"/>
    </row>
    <row r="3409" spans="3:8" x14ac:dyDescent="0.25">
      <c r="C3409" s="210"/>
      <c r="D3409" s="210"/>
      <c r="E3409" s="210"/>
      <c r="F3409" s="210"/>
      <c r="G3409" s="210"/>
      <c r="H3409" s="210"/>
    </row>
    <row r="3410" spans="3:8" x14ac:dyDescent="0.25">
      <c r="C3410" s="210"/>
      <c r="D3410" s="210"/>
      <c r="E3410" s="210"/>
      <c r="F3410" s="210"/>
      <c r="G3410" s="210"/>
      <c r="H3410" s="210"/>
    </row>
    <row r="3411" spans="3:8" x14ac:dyDescent="0.25">
      <c r="C3411" s="210"/>
      <c r="D3411" s="210"/>
      <c r="E3411" s="210"/>
      <c r="F3411" s="210"/>
      <c r="G3411" s="210"/>
      <c r="H3411" s="210"/>
    </row>
    <row r="3412" spans="3:8" x14ac:dyDescent="0.25">
      <c r="C3412" s="210"/>
      <c r="D3412" s="210"/>
      <c r="E3412" s="210"/>
      <c r="F3412" s="210"/>
      <c r="G3412" s="210"/>
      <c r="H3412" s="210"/>
    </row>
    <row r="3413" spans="3:8" x14ac:dyDescent="0.25">
      <c r="C3413" s="210"/>
      <c r="D3413" s="210"/>
      <c r="E3413" s="210"/>
      <c r="F3413" s="210"/>
      <c r="G3413" s="210"/>
      <c r="H3413" s="210"/>
    </row>
    <row r="3414" spans="3:8" x14ac:dyDescent="0.25">
      <c r="C3414" s="210"/>
      <c r="D3414" s="210"/>
      <c r="E3414" s="210"/>
      <c r="F3414" s="210"/>
      <c r="G3414" s="210"/>
      <c r="H3414" s="210"/>
    </row>
    <row r="3415" spans="3:8" x14ac:dyDescent="0.25">
      <c r="C3415" s="210"/>
      <c r="D3415" s="210"/>
      <c r="E3415" s="210"/>
      <c r="F3415" s="210"/>
      <c r="G3415" s="210"/>
      <c r="H3415" s="210"/>
    </row>
    <row r="3416" spans="3:8" x14ac:dyDescent="0.25">
      <c r="C3416" s="210"/>
      <c r="D3416" s="210"/>
      <c r="E3416" s="210"/>
      <c r="F3416" s="210"/>
      <c r="G3416" s="210"/>
      <c r="H3416" s="210"/>
    </row>
    <row r="3417" spans="3:8" x14ac:dyDescent="0.25">
      <c r="C3417" s="210"/>
      <c r="D3417" s="210"/>
      <c r="E3417" s="210"/>
      <c r="F3417" s="210"/>
      <c r="G3417" s="210"/>
      <c r="H3417" s="210"/>
    </row>
    <row r="3418" spans="3:8" x14ac:dyDescent="0.25">
      <c r="C3418" s="210"/>
      <c r="D3418" s="210"/>
      <c r="E3418" s="210"/>
      <c r="F3418" s="210"/>
      <c r="G3418" s="210"/>
      <c r="H3418" s="210"/>
    </row>
    <row r="3419" spans="3:8" x14ac:dyDescent="0.25">
      <c r="C3419" s="210"/>
      <c r="D3419" s="210"/>
      <c r="E3419" s="210"/>
      <c r="F3419" s="210"/>
      <c r="G3419" s="210"/>
      <c r="H3419" s="210"/>
    </row>
    <row r="3420" spans="3:8" x14ac:dyDescent="0.25">
      <c r="C3420" s="210"/>
      <c r="D3420" s="210"/>
      <c r="E3420" s="210"/>
      <c r="F3420" s="210"/>
      <c r="G3420" s="210"/>
      <c r="H3420" s="210"/>
    </row>
    <row r="3421" spans="3:8" x14ac:dyDescent="0.25">
      <c r="C3421" s="210"/>
      <c r="D3421" s="210"/>
      <c r="E3421" s="210"/>
      <c r="F3421" s="210"/>
      <c r="G3421" s="210"/>
      <c r="H3421" s="210"/>
    </row>
    <row r="3422" spans="3:8" x14ac:dyDescent="0.25">
      <c r="C3422" s="210"/>
      <c r="D3422" s="210"/>
      <c r="E3422" s="210"/>
      <c r="F3422" s="210"/>
      <c r="G3422" s="210"/>
      <c r="H3422" s="210"/>
    </row>
    <row r="3423" spans="3:8" x14ac:dyDescent="0.25">
      <c r="C3423" s="210"/>
      <c r="D3423" s="210"/>
      <c r="E3423" s="210"/>
      <c r="F3423" s="210"/>
      <c r="G3423" s="210"/>
      <c r="H3423" s="210"/>
    </row>
    <row r="3424" spans="3:8" x14ac:dyDescent="0.25">
      <c r="C3424" s="210"/>
      <c r="D3424" s="210"/>
      <c r="E3424" s="210"/>
      <c r="F3424" s="210"/>
      <c r="G3424" s="210"/>
      <c r="H3424" s="210"/>
    </row>
    <row r="3425" spans="3:8" x14ac:dyDescent="0.25">
      <c r="C3425" s="210"/>
      <c r="D3425" s="210"/>
      <c r="E3425" s="210"/>
      <c r="F3425" s="210"/>
      <c r="G3425" s="210"/>
      <c r="H3425" s="210"/>
    </row>
    <row r="3426" spans="3:8" x14ac:dyDescent="0.25">
      <c r="C3426" s="210"/>
      <c r="D3426" s="210"/>
      <c r="E3426" s="210"/>
      <c r="F3426" s="210"/>
      <c r="G3426" s="210"/>
      <c r="H3426" s="210"/>
    </row>
    <row r="3427" spans="3:8" x14ac:dyDescent="0.25">
      <c r="C3427" s="210"/>
      <c r="D3427" s="210"/>
      <c r="E3427" s="210"/>
      <c r="F3427" s="210"/>
      <c r="G3427" s="210"/>
      <c r="H3427" s="210"/>
    </row>
    <row r="3428" spans="3:8" x14ac:dyDescent="0.25">
      <c r="C3428" s="210"/>
      <c r="D3428" s="210"/>
      <c r="E3428" s="210"/>
      <c r="F3428" s="210"/>
      <c r="G3428" s="210"/>
      <c r="H3428" s="210"/>
    </row>
    <row r="3429" spans="3:8" x14ac:dyDescent="0.25">
      <c r="C3429" s="210"/>
      <c r="D3429" s="210"/>
      <c r="E3429" s="210"/>
      <c r="F3429" s="210"/>
      <c r="G3429" s="210"/>
      <c r="H3429" s="210"/>
    </row>
    <row r="3430" spans="3:8" x14ac:dyDescent="0.25">
      <c r="C3430" s="210"/>
      <c r="D3430" s="210"/>
      <c r="E3430" s="210"/>
      <c r="F3430" s="210"/>
      <c r="G3430" s="210"/>
      <c r="H3430" s="210"/>
    </row>
    <row r="3431" spans="3:8" x14ac:dyDescent="0.25">
      <c r="C3431" s="210"/>
      <c r="D3431" s="210"/>
      <c r="E3431" s="210"/>
      <c r="F3431" s="210"/>
      <c r="G3431" s="210"/>
      <c r="H3431" s="210"/>
    </row>
    <row r="3432" spans="3:8" x14ac:dyDescent="0.25">
      <c r="C3432" s="210"/>
      <c r="D3432" s="210"/>
      <c r="E3432" s="210"/>
      <c r="F3432" s="210"/>
      <c r="G3432" s="210"/>
      <c r="H3432" s="210"/>
    </row>
    <row r="3433" spans="3:8" x14ac:dyDescent="0.25">
      <c r="C3433" s="210"/>
      <c r="D3433" s="210"/>
      <c r="E3433" s="210"/>
      <c r="F3433" s="210"/>
      <c r="G3433" s="210"/>
      <c r="H3433" s="210"/>
    </row>
    <row r="3434" spans="3:8" x14ac:dyDescent="0.25">
      <c r="C3434" s="210"/>
      <c r="D3434" s="210"/>
      <c r="E3434" s="210"/>
      <c r="F3434" s="210"/>
      <c r="G3434" s="210"/>
      <c r="H3434" s="210"/>
    </row>
    <row r="3435" spans="3:8" x14ac:dyDescent="0.25">
      <c r="C3435" s="210"/>
      <c r="D3435" s="210"/>
      <c r="E3435" s="210"/>
      <c r="F3435" s="210"/>
      <c r="G3435" s="210"/>
      <c r="H3435" s="210"/>
    </row>
    <row r="3436" spans="3:8" x14ac:dyDescent="0.25">
      <c r="C3436" s="210"/>
      <c r="D3436" s="210"/>
      <c r="E3436" s="210"/>
      <c r="F3436" s="210"/>
      <c r="G3436" s="210"/>
      <c r="H3436" s="210"/>
    </row>
    <row r="3437" spans="3:8" x14ac:dyDescent="0.25">
      <c r="C3437" s="210"/>
      <c r="D3437" s="210"/>
      <c r="E3437" s="210"/>
      <c r="F3437" s="210"/>
      <c r="G3437" s="210"/>
      <c r="H3437" s="210"/>
    </row>
    <row r="3438" spans="3:8" x14ac:dyDescent="0.25">
      <c r="C3438" s="210"/>
      <c r="D3438" s="210"/>
      <c r="E3438" s="210"/>
      <c r="F3438" s="210"/>
      <c r="G3438" s="210"/>
      <c r="H3438" s="210"/>
    </row>
    <row r="3439" spans="3:8" x14ac:dyDescent="0.25">
      <c r="C3439" s="210"/>
      <c r="D3439" s="210"/>
      <c r="E3439" s="210"/>
      <c r="F3439" s="210"/>
      <c r="G3439" s="210"/>
      <c r="H3439" s="210"/>
    </row>
    <row r="3440" spans="3:8" x14ac:dyDescent="0.25">
      <c r="C3440" s="210"/>
      <c r="D3440" s="210"/>
      <c r="E3440" s="210"/>
      <c r="F3440" s="210"/>
      <c r="G3440" s="210"/>
      <c r="H3440" s="210"/>
    </row>
    <row r="3441" spans="3:8" x14ac:dyDescent="0.25">
      <c r="C3441" s="210"/>
      <c r="D3441" s="210"/>
      <c r="E3441" s="210"/>
      <c r="F3441" s="210"/>
      <c r="G3441" s="210"/>
      <c r="H3441" s="210"/>
    </row>
    <row r="3442" spans="3:8" x14ac:dyDescent="0.25">
      <c r="C3442" s="210"/>
      <c r="D3442" s="210"/>
      <c r="E3442" s="210"/>
      <c r="F3442" s="210"/>
      <c r="G3442" s="210"/>
      <c r="H3442" s="210"/>
    </row>
    <row r="3443" spans="3:8" x14ac:dyDescent="0.25">
      <c r="C3443" s="210"/>
      <c r="D3443" s="210"/>
      <c r="E3443" s="210"/>
      <c r="F3443" s="210"/>
      <c r="G3443" s="210"/>
      <c r="H3443" s="210"/>
    </row>
    <row r="3444" spans="3:8" x14ac:dyDescent="0.25">
      <c r="C3444" s="210"/>
      <c r="D3444" s="210"/>
      <c r="E3444" s="210"/>
      <c r="F3444" s="210"/>
      <c r="G3444" s="210"/>
      <c r="H3444" s="210"/>
    </row>
    <row r="3445" spans="3:8" x14ac:dyDescent="0.25">
      <c r="C3445" s="210"/>
      <c r="D3445" s="210"/>
      <c r="E3445" s="210"/>
      <c r="F3445" s="210"/>
      <c r="G3445" s="210"/>
      <c r="H3445" s="210"/>
    </row>
    <row r="3446" spans="3:8" x14ac:dyDescent="0.25">
      <c r="C3446" s="210"/>
      <c r="D3446" s="210"/>
      <c r="E3446" s="210"/>
      <c r="F3446" s="210"/>
      <c r="G3446" s="210"/>
      <c r="H3446" s="210"/>
    </row>
    <row r="3447" spans="3:8" x14ac:dyDescent="0.25">
      <c r="C3447" s="210"/>
      <c r="D3447" s="210"/>
      <c r="E3447" s="210"/>
      <c r="F3447" s="210"/>
      <c r="G3447" s="210"/>
      <c r="H3447" s="210"/>
    </row>
    <row r="3448" spans="3:8" x14ac:dyDescent="0.25">
      <c r="C3448" s="210"/>
      <c r="D3448" s="210"/>
      <c r="E3448" s="210"/>
      <c r="F3448" s="210"/>
      <c r="G3448" s="210"/>
      <c r="H3448" s="210"/>
    </row>
    <row r="3449" spans="3:8" x14ac:dyDescent="0.25">
      <c r="C3449" s="210"/>
      <c r="D3449" s="210"/>
      <c r="E3449" s="210"/>
      <c r="F3449" s="210"/>
      <c r="G3449" s="210"/>
      <c r="H3449" s="210"/>
    </row>
    <row r="3450" spans="3:8" x14ac:dyDescent="0.25">
      <c r="C3450" s="210"/>
      <c r="D3450" s="210"/>
      <c r="E3450" s="210"/>
      <c r="F3450" s="210"/>
      <c r="G3450" s="210"/>
      <c r="H3450" s="210"/>
    </row>
    <row r="3451" spans="3:8" x14ac:dyDescent="0.25">
      <c r="C3451" s="210"/>
      <c r="D3451" s="210"/>
      <c r="E3451" s="210"/>
      <c r="F3451" s="210"/>
      <c r="G3451" s="210"/>
      <c r="H3451" s="210"/>
    </row>
    <row r="3452" spans="3:8" x14ac:dyDescent="0.25">
      <c r="C3452" s="210"/>
      <c r="D3452" s="210"/>
      <c r="E3452" s="210"/>
      <c r="F3452" s="210"/>
      <c r="G3452" s="210"/>
      <c r="H3452" s="210"/>
    </row>
    <row r="3453" spans="3:8" x14ac:dyDescent="0.25">
      <c r="C3453" s="210"/>
      <c r="D3453" s="210"/>
      <c r="E3453" s="210"/>
      <c r="F3453" s="210"/>
      <c r="G3453" s="210"/>
      <c r="H3453" s="210"/>
    </row>
    <row r="3454" spans="3:8" x14ac:dyDescent="0.25">
      <c r="C3454" s="210"/>
      <c r="D3454" s="210"/>
      <c r="E3454" s="210"/>
      <c r="F3454" s="210"/>
      <c r="G3454" s="210"/>
      <c r="H3454" s="210"/>
    </row>
    <row r="3455" spans="3:8" x14ac:dyDescent="0.25">
      <c r="C3455" s="210"/>
      <c r="D3455" s="210"/>
      <c r="E3455" s="210"/>
      <c r="F3455" s="210"/>
      <c r="G3455" s="210"/>
      <c r="H3455" s="210"/>
    </row>
    <row r="3456" spans="3:8" x14ac:dyDescent="0.25">
      <c r="C3456" s="210"/>
      <c r="D3456" s="210"/>
      <c r="E3456" s="210"/>
      <c r="F3456" s="210"/>
      <c r="G3456" s="210"/>
      <c r="H3456" s="210"/>
    </row>
    <row r="3457" spans="3:8" x14ac:dyDescent="0.25">
      <c r="C3457" s="210"/>
      <c r="D3457" s="210"/>
      <c r="E3457" s="210"/>
      <c r="F3457" s="210"/>
      <c r="G3457" s="210"/>
      <c r="H3457" s="210"/>
    </row>
    <row r="3458" spans="3:8" x14ac:dyDescent="0.25">
      <c r="C3458" s="210"/>
      <c r="D3458" s="210"/>
      <c r="E3458" s="210"/>
      <c r="F3458" s="210"/>
      <c r="G3458" s="210"/>
      <c r="H3458" s="210"/>
    </row>
    <row r="3459" spans="3:8" x14ac:dyDescent="0.25">
      <c r="C3459" s="210"/>
      <c r="D3459" s="210"/>
      <c r="E3459" s="210"/>
      <c r="F3459" s="210"/>
      <c r="G3459" s="210"/>
      <c r="H3459" s="210"/>
    </row>
    <row r="3460" spans="3:8" x14ac:dyDescent="0.25">
      <c r="C3460" s="210"/>
      <c r="D3460" s="210"/>
      <c r="E3460" s="210"/>
      <c r="F3460" s="210"/>
      <c r="G3460" s="210"/>
      <c r="H3460" s="210"/>
    </row>
    <row r="3461" spans="3:8" x14ac:dyDescent="0.25">
      <c r="C3461" s="210"/>
      <c r="D3461" s="210"/>
      <c r="E3461" s="210"/>
      <c r="F3461" s="210"/>
      <c r="G3461" s="210"/>
      <c r="H3461" s="210"/>
    </row>
    <row r="3462" spans="3:8" x14ac:dyDescent="0.25">
      <c r="C3462" s="210"/>
      <c r="D3462" s="210"/>
      <c r="E3462" s="210"/>
      <c r="F3462" s="210"/>
      <c r="G3462" s="210"/>
      <c r="H3462" s="210"/>
    </row>
    <row r="3463" spans="3:8" x14ac:dyDescent="0.25">
      <c r="C3463" s="210"/>
      <c r="D3463" s="210"/>
      <c r="E3463" s="210"/>
      <c r="F3463" s="210"/>
      <c r="G3463" s="210"/>
      <c r="H3463" s="210"/>
    </row>
    <row r="3464" spans="3:8" x14ac:dyDescent="0.25">
      <c r="C3464" s="210"/>
      <c r="D3464" s="210"/>
      <c r="E3464" s="210"/>
      <c r="F3464" s="210"/>
      <c r="G3464" s="210"/>
      <c r="H3464" s="210"/>
    </row>
    <row r="3465" spans="3:8" x14ac:dyDescent="0.25">
      <c r="C3465" s="210"/>
      <c r="D3465" s="210"/>
      <c r="E3465" s="210"/>
      <c r="F3465" s="210"/>
      <c r="G3465" s="210"/>
      <c r="H3465" s="210"/>
    </row>
    <row r="3466" spans="3:8" x14ac:dyDescent="0.25">
      <c r="C3466" s="210"/>
      <c r="D3466" s="210"/>
      <c r="E3466" s="210"/>
      <c r="F3466" s="210"/>
      <c r="G3466" s="210"/>
      <c r="H3466" s="210"/>
    </row>
    <row r="3467" spans="3:8" x14ac:dyDescent="0.25">
      <c r="C3467" s="210"/>
      <c r="D3467" s="210"/>
      <c r="E3467" s="210"/>
      <c r="F3467" s="210"/>
      <c r="G3467" s="210"/>
      <c r="H3467" s="210"/>
    </row>
    <row r="3468" spans="3:8" x14ac:dyDescent="0.25">
      <c r="C3468" s="210"/>
      <c r="D3468" s="210"/>
      <c r="E3468" s="210"/>
      <c r="F3468" s="210"/>
      <c r="G3468" s="210"/>
      <c r="H3468" s="210"/>
    </row>
    <row r="3469" spans="3:8" x14ac:dyDescent="0.25">
      <c r="C3469" s="210"/>
      <c r="D3469" s="210"/>
      <c r="E3469" s="210"/>
      <c r="F3469" s="210"/>
      <c r="G3469" s="210"/>
      <c r="H3469" s="210"/>
    </row>
    <row r="3470" spans="3:8" x14ac:dyDescent="0.25">
      <c r="C3470" s="210"/>
      <c r="D3470" s="210"/>
      <c r="E3470" s="210"/>
      <c r="F3470" s="210"/>
      <c r="G3470" s="210"/>
      <c r="H3470" s="210"/>
    </row>
    <row r="3471" spans="3:8" x14ac:dyDescent="0.25">
      <c r="C3471" s="210"/>
      <c r="D3471" s="210"/>
      <c r="E3471" s="210"/>
      <c r="F3471" s="210"/>
      <c r="G3471" s="210"/>
      <c r="H3471" s="210"/>
    </row>
    <row r="3472" spans="3:8" x14ac:dyDescent="0.25">
      <c r="C3472" s="210"/>
      <c r="D3472" s="210"/>
      <c r="E3472" s="210"/>
      <c r="F3472" s="210"/>
      <c r="G3472" s="210"/>
      <c r="H3472" s="210"/>
    </row>
    <row r="3473" spans="3:8" x14ac:dyDescent="0.25">
      <c r="C3473" s="210"/>
      <c r="D3473" s="210"/>
      <c r="E3473" s="210"/>
      <c r="F3473" s="210"/>
      <c r="G3473" s="210"/>
      <c r="H3473" s="210"/>
    </row>
    <row r="3474" spans="3:8" x14ac:dyDescent="0.25">
      <c r="C3474" s="210"/>
      <c r="D3474" s="210"/>
      <c r="E3474" s="210"/>
      <c r="F3474" s="210"/>
      <c r="G3474" s="210"/>
      <c r="H3474" s="210"/>
    </row>
    <row r="3475" spans="3:8" x14ac:dyDescent="0.25">
      <c r="C3475" s="210"/>
      <c r="D3475" s="210"/>
      <c r="E3475" s="210"/>
      <c r="F3475" s="210"/>
      <c r="G3475" s="210"/>
      <c r="H3475" s="210"/>
    </row>
    <row r="3476" spans="3:8" x14ac:dyDescent="0.25">
      <c r="C3476" s="210"/>
      <c r="D3476" s="210"/>
      <c r="E3476" s="210"/>
      <c r="F3476" s="210"/>
      <c r="G3476" s="210"/>
      <c r="H3476" s="210"/>
    </row>
    <row r="3477" spans="3:8" x14ac:dyDescent="0.25">
      <c r="C3477" s="210"/>
      <c r="D3477" s="210"/>
      <c r="E3477" s="210"/>
      <c r="F3477" s="210"/>
      <c r="G3477" s="210"/>
      <c r="H3477" s="210"/>
    </row>
    <row r="3478" spans="3:8" x14ac:dyDescent="0.25">
      <c r="C3478" s="210"/>
      <c r="D3478" s="210"/>
      <c r="E3478" s="210"/>
      <c r="F3478" s="210"/>
      <c r="G3478" s="210"/>
      <c r="H3478" s="210"/>
    </row>
    <row r="3479" spans="3:8" x14ac:dyDescent="0.25">
      <c r="C3479" s="210"/>
      <c r="D3479" s="210"/>
      <c r="E3479" s="210"/>
      <c r="F3479" s="210"/>
      <c r="G3479" s="210"/>
      <c r="H3479" s="210"/>
    </row>
    <row r="3480" spans="3:8" x14ac:dyDescent="0.25">
      <c r="C3480" s="210"/>
      <c r="D3480" s="210"/>
      <c r="E3480" s="210"/>
      <c r="F3480" s="210"/>
      <c r="G3480" s="210"/>
      <c r="H3480" s="210"/>
    </row>
    <row r="3481" spans="3:8" x14ac:dyDescent="0.25">
      <c r="C3481" s="210"/>
      <c r="D3481" s="210"/>
      <c r="E3481" s="210"/>
      <c r="F3481" s="210"/>
      <c r="G3481" s="210"/>
      <c r="H3481" s="210"/>
    </row>
    <row r="3482" spans="3:8" x14ac:dyDescent="0.25">
      <c r="C3482" s="210"/>
      <c r="D3482" s="210"/>
      <c r="E3482" s="210"/>
      <c r="F3482" s="210"/>
      <c r="G3482" s="210"/>
      <c r="H3482" s="210"/>
    </row>
    <row r="3483" spans="3:8" x14ac:dyDescent="0.25">
      <c r="C3483" s="210"/>
      <c r="D3483" s="210"/>
      <c r="E3483" s="210"/>
      <c r="F3483" s="210"/>
      <c r="G3483" s="210"/>
      <c r="H3483" s="210"/>
    </row>
    <row r="3484" spans="3:8" x14ac:dyDescent="0.25">
      <c r="C3484" s="210"/>
      <c r="D3484" s="210"/>
      <c r="E3484" s="210"/>
      <c r="F3484" s="210"/>
      <c r="G3484" s="210"/>
      <c r="H3484" s="210"/>
    </row>
    <row r="3485" spans="3:8" x14ac:dyDescent="0.25">
      <c r="C3485" s="210"/>
      <c r="D3485" s="210"/>
      <c r="E3485" s="210"/>
      <c r="F3485" s="210"/>
      <c r="G3485" s="210"/>
      <c r="H3485" s="210"/>
    </row>
    <row r="3486" spans="3:8" x14ac:dyDescent="0.25">
      <c r="C3486" s="210"/>
      <c r="D3486" s="210"/>
      <c r="E3486" s="210"/>
      <c r="F3486" s="210"/>
      <c r="G3486" s="210"/>
      <c r="H3486" s="210"/>
    </row>
    <row r="3487" spans="3:8" x14ac:dyDescent="0.25">
      <c r="C3487" s="210"/>
      <c r="D3487" s="210"/>
      <c r="E3487" s="210"/>
      <c r="F3487" s="210"/>
      <c r="G3487" s="210"/>
      <c r="H3487" s="210"/>
    </row>
    <row r="3488" spans="3:8" x14ac:dyDescent="0.25">
      <c r="C3488" s="210"/>
      <c r="D3488" s="210"/>
      <c r="E3488" s="210"/>
      <c r="F3488" s="210"/>
      <c r="G3488" s="210"/>
      <c r="H3488" s="210"/>
    </row>
    <row r="3489" spans="3:8" x14ac:dyDescent="0.25">
      <c r="C3489" s="210"/>
      <c r="D3489" s="210"/>
      <c r="E3489" s="210"/>
      <c r="F3489" s="210"/>
      <c r="G3489" s="210"/>
      <c r="H3489" s="210"/>
    </row>
    <row r="3490" spans="3:8" x14ac:dyDescent="0.25">
      <c r="C3490" s="210"/>
      <c r="D3490" s="210"/>
      <c r="E3490" s="210"/>
      <c r="F3490" s="210"/>
      <c r="G3490" s="210"/>
      <c r="H3490" s="210"/>
    </row>
    <row r="3491" spans="3:8" x14ac:dyDescent="0.25">
      <c r="C3491" s="210"/>
      <c r="D3491" s="210"/>
      <c r="E3491" s="210"/>
      <c r="F3491" s="210"/>
      <c r="G3491" s="210"/>
      <c r="H3491" s="210"/>
    </row>
    <row r="3492" spans="3:8" x14ac:dyDescent="0.25">
      <c r="C3492" s="210"/>
      <c r="D3492" s="210"/>
      <c r="E3492" s="210"/>
      <c r="F3492" s="210"/>
      <c r="G3492" s="210"/>
      <c r="H3492" s="210"/>
    </row>
    <row r="3493" spans="3:8" x14ac:dyDescent="0.25">
      <c r="C3493" s="210"/>
      <c r="D3493" s="210"/>
      <c r="E3493" s="210"/>
      <c r="F3493" s="210"/>
      <c r="G3493" s="210"/>
      <c r="H3493" s="210"/>
    </row>
    <row r="3494" spans="3:8" x14ac:dyDescent="0.25">
      <c r="C3494" s="210"/>
      <c r="D3494" s="210"/>
      <c r="E3494" s="210"/>
      <c r="F3494" s="210"/>
      <c r="G3494" s="210"/>
      <c r="H3494" s="210"/>
    </row>
    <row r="3495" spans="3:8" x14ac:dyDescent="0.25">
      <c r="C3495" s="210"/>
      <c r="D3495" s="210"/>
      <c r="E3495" s="210"/>
      <c r="F3495" s="210"/>
      <c r="G3495" s="210"/>
      <c r="H3495" s="210"/>
    </row>
    <row r="3496" spans="3:8" x14ac:dyDescent="0.25">
      <c r="C3496" s="210"/>
      <c r="D3496" s="210"/>
      <c r="E3496" s="210"/>
      <c r="F3496" s="210"/>
      <c r="G3496" s="210"/>
      <c r="H3496" s="210"/>
    </row>
    <row r="3497" spans="3:8" x14ac:dyDescent="0.25">
      <c r="C3497" s="210"/>
      <c r="D3497" s="210"/>
      <c r="E3497" s="210"/>
      <c r="F3497" s="210"/>
      <c r="G3497" s="210"/>
      <c r="H3497" s="210"/>
    </row>
    <row r="3498" spans="3:8" x14ac:dyDescent="0.25">
      <c r="C3498" s="210"/>
      <c r="D3498" s="210"/>
      <c r="E3498" s="210"/>
      <c r="F3498" s="210"/>
      <c r="G3498" s="210"/>
      <c r="H3498" s="210"/>
    </row>
    <row r="3499" spans="3:8" x14ac:dyDescent="0.25">
      <c r="C3499" s="210"/>
      <c r="D3499" s="210"/>
      <c r="E3499" s="210"/>
      <c r="F3499" s="210"/>
      <c r="G3499" s="210"/>
      <c r="H3499" s="210"/>
    </row>
    <row r="3500" spans="3:8" x14ac:dyDescent="0.25">
      <c r="C3500" s="210"/>
      <c r="D3500" s="210"/>
      <c r="E3500" s="210"/>
      <c r="F3500" s="210"/>
      <c r="G3500" s="210"/>
      <c r="H3500" s="210"/>
    </row>
    <row r="3501" spans="3:8" x14ac:dyDescent="0.25">
      <c r="C3501" s="210"/>
      <c r="D3501" s="210"/>
      <c r="E3501" s="210"/>
      <c r="F3501" s="210"/>
      <c r="G3501" s="210"/>
      <c r="H3501" s="210"/>
    </row>
    <row r="3502" spans="3:8" x14ac:dyDescent="0.25">
      <c r="C3502" s="210"/>
      <c r="D3502" s="210"/>
      <c r="E3502" s="210"/>
      <c r="F3502" s="210"/>
      <c r="G3502" s="210"/>
      <c r="H3502" s="210"/>
    </row>
    <row r="3503" spans="3:8" x14ac:dyDescent="0.25">
      <c r="C3503" s="210"/>
      <c r="D3503" s="210"/>
      <c r="E3503" s="210"/>
      <c r="F3503" s="210"/>
      <c r="G3503" s="210"/>
      <c r="H3503" s="210"/>
    </row>
    <row r="3504" spans="3:8" x14ac:dyDescent="0.25">
      <c r="C3504" s="210"/>
      <c r="D3504" s="210"/>
      <c r="E3504" s="210"/>
      <c r="F3504" s="210"/>
      <c r="G3504" s="210"/>
      <c r="H3504" s="210"/>
    </row>
    <row r="3505" spans="3:8" x14ac:dyDescent="0.25">
      <c r="C3505" s="210"/>
      <c r="D3505" s="210"/>
      <c r="E3505" s="210"/>
      <c r="F3505" s="210"/>
      <c r="G3505" s="210"/>
      <c r="H3505" s="210"/>
    </row>
    <row r="3506" spans="3:8" x14ac:dyDescent="0.25">
      <c r="C3506" s="210"/>
      <c r="D3506" s="210"/>
      <c r="E3506" s="210"/>
      <c r="F3506" s="210"/>
      <c r="G3506" s="210"/>
      <c r="H3506" s="210"/>
    </row>
    <row r="3507" spans="3:8" x14ac:dyDescent="0.25">
      <c r="C3507" s="210"/>
      <c r="D3507" s="210"/>
      <c r="E3507" s="210"/>
      <c r="F3507" s="210"/>
      <c r="G3507" s="210"/>
      <c r="H3507" s="210"/>
    </row>
    <row r="3508" spans="3:8" x14ac:dyDescent="0.25">
      <c r="C3508" s="210"/>
      <c r="D3508" s="210"/>
      <c r="E3508" s="210"/>
      <c r="F3508" s="210"/>
      <c r="G3508" s="210"/>
      <c r="H3508" s="210"/>
    </row>
    <row r="3509" spans="3:8" x14ac:dyDescent="0.25">
      <c r="C3509" s="210"/>
      <c r="D3509" s="210"/>
      <c r="E3509" s="210"/>
      <c r="F3509" s="210"/>
      <c r="G3509" s="210"/>
      <c r="H3509" s="210"/>
    </row>
    <row r="3510" spans="3:8" x14ac:dyDescent="0.25">
      <c r="C3510" s="210"/>
      <c r="D3510" s="210"/>
      <c r="E3510" s="210"/>
      <c r="F3510" s="210"/>
      <c r="G3510" s="210"/>
      <c r="H3510" s="210"/>
    </row>
    <row r="3511" spans="3:8" x14ac:dyDescent="0.25">
      <c r="C3511" s="210"/>
      <c r="D3511" s="210"/>
      <c r="E3511" s="210"/>
      <c r="F3511" s="210"/>
      <c r="G3511" s="210"/>
      <c r="H3511" s="210"/>
    </row>
    <row r="3512" spans="3:8" x14ac:dyDescent="0.25">
      <c r="C3512" s="210"/>
      <c r="D3512" s="210"/>
      <c r="E3512" s="210"/>
      <c r="F3512" s="210"/>
      <c r="G3512" s="210"/>
      <c r="H3512" s="210"/>
    </row>
    <row r="3513" spans="3:8" x14ac:dyDescent="0.25">
      <c r="C3513" s="210"/>
      <c r="D3513" s="210"/>
      <c r="E3513" s="210"/>
      <c r="F3513" s="210"/>
      <c r="G3513" s="210"/>
      <c r="H3513" s="210"/>
    </row>
    <row r="3514" spans="3:8" x14ac:dyDescent="0.25">
      <c r="C3514" s="210"/>
      <c r="D3514" s="210"/>
      <c r="E3514" s="210"/>
      <c r="F3514" s="210"/>
      <c r="G3514" s="210"/>
      <c r="H3514" s="210"/>
    </row>
    <row r="3515" spans="3:8" x14ac:dyDescent="0.25">
      <c r="C3515" s="210"/>
      <c r="D3515" s="210"/>
      <c r="E3515" s="210"/>
      <c r="F3515" s="210"/>
      <c r="G3515" s="210"/>
      <c r="H3515" s="210"/>
    </row>
    <row r="3516" spans="3:8" x14ac:dyDescent="0.25">
      <c r="C3516" s="210"/>
      <c r="D3516" s="210"/>
      <c r="E3516" s="210"/>
      <c r="F3516" s="210"/>
      <c r="G3516" s="210"/>
      <c r="H3516" s="210"/>
    </row>
    <row r="3517" spans="3:8" x14ac:dyDescent="0.25">
      <c r="C3517" s="210"/>
      <c r="D3517" s="210"/>
      <c r="E3517" s="210"/>
      <c r="F3517" s="210"/>
      <c r="G3517" s="210"/>
      <c r="H3517" s="210"/>
    </row>
    <row r="3518" spans="3:8" x14ac:dyDescent="0.25">
      <c r="C3518" s="210"/>
      <c r="D3518" s="210"/>
      <c r="E3518" s="210"/>
      <c r="F3518" s="210"/>
      <c r="G3518" s="210"/>
      <c r="H3518" s="210"/>
    </row>
    <row r="3519" spans="3:8" x14ac:dyDescent="0.25">
      <c r="C3519" s="210"/>
      <c r="D3519" s="210"/>
      <c r="E3519" s="210"/>
      <c r="F3519" s="210"/>
      <c r="G3519" s="210"/>
      <c r="H3519" s="210"/>
    </row>
    <row r="3520" spans="3:8" x14ac:dyDescent="0.25">
      <c r="C3520" s="210"/>
      <c r="D3520" s="210"/>
      <c r="E3520" s="210"/>
      <c r="F3520" s="210"/>
      <c r="G3520" s="210"/>
      <c r="H3520" s="210"/>
    </row>
    <row r="3521" spans="3:8" x14ac:dyDescent="0.25">
      <c r="C3521" s="210"/>
      <c r="D3521" s="210"/>
      <c r="E3521" s="210"/>
      <c r="F3521" s="210"/>
      <c r="G3521" s="210"/>
      <c r="H3521" s="210"/>
    </row>
    <row r="3522" spans="3:8" x14ac:dyDescent="0.25">
      <c r="C3522" s="210"/>
      <c r="D3522" s="210"/>
      <c r="E3522" s="210"/>
      <c r="F3522" s="210"/>
      <c r="G3522" s="210"/>
      <c r="H3522" s="210"/>
    </row>
    <row r="3523" spans="3:8" x14ac:dyDescent="0.25">
      <c r="C3523" s="210"/>
      <c r="D3523" s="210"/>
      <c r="E3523" s="210"/>
      <c r="F3523" s="210"/>
      <c r="G3523" s="210"/>
      <c r="H3523" s="210"/>
    </row>
    <row r="3524" spans="3:8" x14ac:dyDescent="0.25">
      <c r="C3524" s="210"/>
      <c r="D3524" s="210"/>
      <c r="E3524" s="210"/>
      <c r="F3524" s="210"/>
      <c r="G3524" s="210"/>
      <c r="H3524" s="210"/>
    </row>
    <row r="3525" spans="3:8" x14ac:dyDescent="0.25">
      <c r="C3525" s="210"/>
      <c r="D3525" s="210"/>
      <c r="E3525" s="210"/>
      <c r="F3525" s="210"/>
      <c r="G3525" s="210"/>
      <c r="H3525" s="210"/>
    </row>
    <row r="3526" spans="3:8" x14ac:dyDescent="0.25">
      <c r="C3526" s="210"/>
      <c r="D3526" s="210"/>
      <c r="E3526" s="210"/>
      <c r="F3526" s="210"/>
      <c r="G3526" s="210"/>
      <c r="H3526" s="210"/>
    </row>
    <row r="3527" spans="3:8" x14ac:dyDescent="0.25">
      <c r="C3527" s="210"/>
      <c r="D3527" s="210"/>
      <c r="E3527" s="210"/>
      <c r="F3527" s="210"/>
      <c r="G3527" s="210"/>
      <c r="H3527" s="210"/>
    </row>
    <row r="3528" spans="3:8" x14ac:dyDescent="0.25">
      <c r="C3528" s="210"/>
      <c r="D3528" s="210"/>
      <c r="E3528" s="210"/>
      <c r="F3528" s="210"/>
      <c r="G3528" s="210"/>
      <c r="H3528" s="210"/>
    </row>
    <row r="3529" spans="3:8" x14ac:dyDescent="0.25">
      <c r="C3529" s="210"/>
      <c r="D3529" s="210"/>
      <c r="E3529" s="210"/>
      <c r="F3529" s="210"/>
      <c r="G3529" s="210"/>
      <c r="H3529" s="210"/>
    </row>
    <row r="3530" spans="3:8" x14ac:dyDescent="0.25">
      <c r="C3530" s="210"/>
      <c r="D3530" s="210"/>
      <c r="E3530" s="210"/>
      <c r="F3530" s="210"/>
      <c r="G3530" s="210"/>
      <c r="H3530" s="210"/>
    </row>
    <row r="3531" spans="3:8" x14ac:dyDescent="0.25">
      <c r="C3531" s="210"/>
      <c r="D3531" s="210"/>
      <c r="E3531" s="210"/>
      <c r="F3531" s="210"/>
      <c r="G3531" s="210"/>
      <c r="H3531" s="210"/>
    </row>
    <row r="3532" spans="3:8" x14ac:dyDescent="0.25">
      <c r="C3532" s="210"/>
      <c r="D3532" s="210"/>
      <c r="E3532" s="210"/>
      <c r="F3532" s="210"/>
      <c r="G3532" s="210"/>
      <c r="H3532" s="210"/>
    </row>
    <row r="3533" spans="3:8" x14ac:dyDescent="0.25">
      <c r="C3533" s="210"/>
      <c r="D3533" s="210"/>
      <c r="E3533" s="210"/>
      <c r="F3533" s="210"/>
      <c r="G3533" s="210"/>
      <c r="H3533" s="210"/>
    </row>
    <row r="3534" spans="3:8" x14ac:dyDescent="0.25">
      <c r="C3534" s="210"/>
      <c r="D3534" s="210"/>
      <c r="E3534" s="210"/>
      <c r="F3534" s="210"/>
      <c r="G3534" s="210"/>
      <c r="H3534" s="210"/>
    </row>
    <row r="3535" spans="3:8" x14ac:dyDescent="0.25">
      <c r="C3535" s="210"/>
      <c r="D3535" s="210"/>
      <c r="E3535" s="210"/>
      <c r="F3535" s="210"/>
      <c r="G3535" s="210"/>
      <c r="H3535" s="210"/>
    </row>
    <row r="3536" spans="3:8" x14ac:dyDescent="0.25">
      <c r="C3536" s="210"/>
      <c r="D3536" s="210"/>
      <c r="E3536" s="210"/>
      <c r="F3536" s="210"/>
      <c r="G3536" s="210"/>
      <c r="H3536" s="210"/>
    </row>
    <row r="3537" spans="3:8" x14ac:dyDescent="0.25">
      <c r="C3537" s="210"/>
      <c r="D3537" s="210"/>
      <c r="E3537" s="210"/>
      <c r="F3537" s="210"/>
      <c r="G3537" s="210"/>
      <c r="H3537" s="210"/>
    </row>
    <row r="3538" spans="3:8" x14ac:dyDescent="0.25">
      <c r="C3538" s="210"/>
      <c r="D3538" s="210"/>
      <c r="E3538" s="210"/>
      <c r="F3538" s="210"/>
      <c r="G3538" s="210"/>
      <c r="H3538" s="210"/>
    </row>
    <row r="3539" spans="3:8" x14ac:dyDescent="0.25">
      <c r="C3539" s="210"/>
      <c r="D3539" s="210"/>
      <c r="E3539" s="210"/>
      <c r="F3539" s="210"/>
      <c r="G3539" s="210"/>
      <c r="H3539" s="210"/>
    </row>
    <row r="3540" spans="3:8" x14ac:dyDescent="0.25">
      <c r="C3540" s="210"/>
      <c r="D3540" s="210"/>
      <c r="E3540" s="210"/>
      <c r="F3540" s="210"/>
      <c r="G3540" s="210"/>
      <c r="H3540" s="210"/>
    </row>
    <row r="3541" spans="3:8" x14ac:dyDescent="0.25">
      <c r="C3541" s="210"/>
      <c r="D3541" s="210"/>
      <c r="E3541" s="210"/>
      <c r="F3541" s="210"/>
      <c r="G3541" s="210"/>
      <c r="H3541" s="210"/>
    </row>
    <row r="3542" spans="3:8" x14ac:dyDescent="0.25">
      <c r="C3542" s="210"/>
      <c r="D3542" s="210"/>
      <c r="E3542" s="210"/>
      <c r="F3542" s="210"/>
      <c r="G3542" s="210"/>
      <c r="H3542" s="210"/>
    </row>
    <row r="3543" spans="3:8" x14ac:dyDescent="0.25">
      <c r="C3543" s="210"/>
      <c r="D3543" s="210"/>
      <c r="E3543" s="210"/>
      <c r="F3543" s="210"/>
      <c r="G3543" s="210"/>
      <c r="H3543" s="210"/>
    </row>
    <row r="3544" spans="3:8" x14ac:dyDescent="0.25">
      <c r="C3544" s="210"/>
      <c r="D3544" s="210"/>
      <c r="E3544" s="210"/>
      <c r="F3544" s="210"/>
      <c r="G3544" s="210"/>
      <c r="H3544" s="210"/>
    </row>
    <row r="3545" spans="3:8" x14ac:dyDescent="0.25">
      <c r="C3545" s="210"/>
      <c r="D3545" s="210"/>
      <c r="E3545" s="210"/>
      <c r="F3545" s="210"/>
      <c r="G3545" s="210"/>
      <c r="H3545" s="210"/>
    </row>
    <row r="3546" spans="3:8" x14ac:dyDescent="0.25">
      <c r="C3546" s="210"/>
      <c r="D3546" s="210"/>
      <c r="E3546" s="210"/>
      <c r="F3546" s="210"/>
      <c r="G3546" s="210"/>
      <c r="H3546" s="210"/>
    </row>
    <row r="3547" spans="3:8" x14ac:dyDescent="0.25">
      <c r="C3547" s="210"/>
      <c r="D3547" s="210"/>
      <c r="E3547" s="210"/>
      <c r="F3547" s="210"/>
      <c r="G3547" s="210"/>
      <c r="H3547" s="210"/>
    </row>
    <row r="3548" spans="3:8" x14ac:dyDescent="0.25">
      <c r="C3548" s="210"/>
      <c r="D3548" s="210"/>
      <c r="E3548" s="210"/>
      <c r="F3548" s="210"/>
      <c r="G3548" s="210"/>
      <c r="H3548" s="210"/>
    </row>
    <row r="3549" spans="3:8" x14ac:dyDescent="0.25">
      <c r="C3549" s="210"/>
      <c r="D3549" s="210"/>
      <c r="E3549" s="210"/>
      <c r="F3549" s="210"/>
      <c r="G3549" s="210"/>
      <c r="H3549" s="210"/>
    </row>
    <row r="3550" spans="3:8" x14ac:dyDescent="0.25">
      <c r="C3550" s="210"/>
      <c r="D3550" s="210"/>
      <c r="E3550" s="210"/>
      <c r="F3550" s="210"/>
      <c r="G3550" s="210"/>
      <c r="H3550" s="210"/>
    </row>
    <row r="3551" spans="3:8" x14ac:dyDescent="0.25">
      <c r="C3551" s="210"/>
      <c r="D3551" s="210"/>
      <c r="E3551" s="210"/>
      <c r="F3551" s="210"/>
      <c r="G3551" s="210"/>
      <c r="H3551" s="210"/>
    </row>
    <row r="3552" spans="3:8" x14ac:dyDescent="0.25">
      <c r="C3552" s="210"/>
      <c r="D3552" s="210"/>
      <c r="E3552" s="210"/>
      <c r="F3552" s="210"/>
      <c r="G3552" s="210"/>
      <c r="H3552" s="210"/>
    </row>
    <row r="3553" spans="3:8" x14ac:dyDescent="0.25">
      <c r="C3553" s="210"/>
      <c r="D3553" s="210"/>
      <c r="E3553" s="210"/>
      <c r="F3553" s="210"/>
      <c r="G3553" s="210"/>
      <c r="H3553" s="210"/>
    </row>
    <row r="3554" spans="3:8" x14ac:dyDescent="0.25">
      <c r="C3554" s="210"/>
      <c r="D3554" s="210"/>
      <c r="E3554" s="210"/>
      <c r="F3554" s="210"/>
      <c r="G3554" s="210"/>
      <c r="H3554" s="210"/>
    </row>
    <row r="3555" spans="3:8" x14ac:dyDescent="0.25">
      <c r="C3555" s="210"/>
      <c r="D3555" s="210"/>
      <c r="E3555" s="210"/>
      <c r="F3555" s="210"/>
      <c r="G3555" s="210"/>
      <c r="H3555" s="210"/>
    </row>
    <row r="3556" spans="3:8" x14ac:dyDescent="0.25">
      <c r="C3556" s="210"/>
      <c r="D3556" s="210"/>
      <c r="E3556" s="210"/>
      <c r="F3556" s="210"/>
      <c r="G3556" s="210"/>
      <c r="H3556" s="210"/>
    </row>
    <row r="3557" spans="3:8" x14ac:dyDescent="0.25">
      <c r="C3557" s="210"/>
      <c r="D3557" s="210"/>
      <c r="E3557" s="210"/>
      <c r="F3557" s="210"/>
      <c r="G3557" s="210"/>
      <c r="H3557" s="210"/>
    </row>
    <row r="3558" spans="3:8" x14ac:dyDescent="0.25">
      <c r="C3558" s="210"/>
      <c r="D3558" s="210"/>
      <c r="E3558" s="210"/>
      <c r="F3558" s="210"/>
      <c r="G3558" s="210"/>
      <c r="H3558" s="210"/>
    </row>
    <row r="3559" spans="3:8" x14ac:dyDescent="0.25">
      <c r="C3559" s="210"/>
      <c r="D3559" s="210"/>
      <c r="E3559" s="210"/>
      <c r="F3559" s="210"/>
      <c r="G3559" s="210"/>
      <c r="H3559" s="210"/>
    </row>
    <row r="3560" spans="3:8" x14ac:dyDescent="0.25">
      <c r="C3560" s="210"/>
      <c r="D3560" s="210"/>
      <c r="E3560" s="210"/>
      <c r="F3560" s="210"/>
      <c r="G3560" s="210"/>
      <c r="H3560" s="210"/>
    </row>
    <row r="3561" spans="3:8" x14ac:dyDescent="0.25">
      <c r="C3561" s="210"/>
      <c r="D3561" s="210"/>
      <c r="E3561" s="210"/>
      <c r="F3561" s="210"/>
      <c r="G3561" s="210"/>
      <c r="H3561" s="210"/>
    </row>
    <row r="3562" spans="3:8" x14ac:dyDescent="0.25">
      <c r="C3562" s="210"/>
      <c r="D3562" s="210"/>
      <c r="E3562" s="210"/>
      <c r="F3562" s="210"/>
      <c r="G3562" s="210"/>
      <c r="H3562" s="210"/>
    </row>
    <row r="3563" spans="3:8" x14ac:dyDescent="0.25">
      <c r="C3563" s="210"/>
      <c r="D3563" s="210"/>
      <c r="E3563" s="210"/>
      <c r="F3563" s="210"/>
      <c r="G3563" s="210"/>
      <c r="H3563" s="210"/>
    </row>
    <row r="3564" spans="3:8" x14ac:dyDescent="0.25">
      <c r="C3564" s="210"/>
      <c r="D3564" s="210"/>
      <c r="E3564" s="210"/>
      <c r="F3564" s="210"/>
      <c r="G3564" s="210"/>
      <c r="H3564" s="210"/>
    </row>
    <row r="3565" spans="3:8" x14ac:dyDescent="0.25">
      <c r="C3565" s="210"/>
      <c r="D3565" s="210"/>
      <c r="E3565" s="210"/>
      <c r="F3565" s="210"/>
      <c r="G3565" s="210"/>
      <c r="H3565" s="210"/>
    </row>
    <row r="3566" spans="3:8" x14ac:dyDescent="0.25">
      <c r="C3566" s="210"/>
      <c r="D3566" s="210"/>
      <c r="E3566" s="210"/>
      <c r="F3566" s="210"/>
      <c r="G3566" s="210"/>
      <c r="H3566" s="210"/>
    </row>
    <row r="3567" spans="3:8" x14ac:dyDescent="0.25">
      <c r="C3567" s="210"/>
      <c r="D3567" s="210"/>
      <c r="E3567" s="210"/>
      <c r="F3567" s="210"/>
      <c r="G3567" s="210"/>
      <c r="H3567" s="210"/>
    </row>
    <row r="3568" spans="3:8" x14ac:dyDescent="0.25">
      <c r="C3568" s="210"/>
      <c r="D3568" s="210"/>
      <c r="E3568" s="210"/>
      <c r="F3568" s="210"/>
      <c r="G3568" s="210"/>
      <c r="H3568" s="210"/>
    </row>
    <row r="3569" spans="3:8" x14ac:dyDescent="0.25">
      <c r="C3569" s="210"/>
      <c r="D3569" s="210"/>
      <c r="E3569" s="210"/>
      <c r="F3569" s="210"/>
      <c r="G3569" s="210"/>
      <c r="H3569" s="210"/>
    </row>
    <row r="3570" spans="3:8" x14ac:dyDescent="0.25">
      <c r="C3570" s="210"/>
      <c r="D3570" s="210"/>
      <c r="E3570" s="210"/>
      <c r="F3570" s="210"/>
      <c r="G3570" s="210"/>
      <c r="H3570" s="210"/>
    </row>
    <row r="3571" spans="3:8" x14ac:dyDescent="0.25">
      <c r="C3571" s="210"/>
      <c r="D3571" s="210"/>
      <c r="E3571" s="210"/>
      <c r="F3571" s="210"/>
      <c r="G3571" s="210"/>
      <c r="H3571" s="210"/>
    </row>
    <row r="3572" spans="3:8" x14ac:dyDescent="0.25">
      <c r="C3572" s="210"/>
      <c r="D3572" s="210"/>
      <c r="E3572" s="210"/>
      <c r="F3572" s="210"/>
      <c r="G3572" s="210"/>
      <c r="H3572" s="210"/>
    </row>
    <row r="3573" spans="3:8" x14ac:dyDescent="0.25">
      <c r="C3573" s="210"/>
      <c r="D3573" s="210"/>
      <c r="E3573" s="210"/>
      <c r="F3573" s="210"/>
      <c r="G3573" s="210"/>
      <c r="H3573" s="210"/>
    </row>
    <row r="3574" spans="3:8" x14ac:dyDescent="0.25">
      <c r="C3574" s="210"/>
      <c r="D3574" s="210"/>
      <c r="E3574" s="210"/>
      <c r="F3574" s="210"/>
      <c r="G3574" s="210"/>
      <c r="H3574" s="210"/>
    </row>
    <row r="3575" spans="3:8" x14ac:dyDescent="0.25">
      <c r="C3575" s="210"/>
      <c r="D3575" s="210"/>
      <c r="E3575" s="210"/>
      <c r="F3575" s="210"/>
      <c r="G3575" s="210"/>
      <c r="H3575" s="210"/>
    </row>
    <row r="3576" spans="3:8" x14ac:dyDescent="0.25">
      <c r="C3576" s="210"/>
      <c r="D3576" s="210"/>
      <c r="E3576" s="210"/>
      <c r="F3576" s="210"/>
      <c r="G3576" s="210"/>
      <c r="H3576" s="210"/>
    </row>
    <row r="3577" spans="3:8" x14ac:dyDescent="0.25">
      <c r="C3577" s="210"/>
      <c r="D3577" s="210"/>
      <c r="E3577" s="210"/>
      <c r="F3577" s="210"/>
      <c r="G3577" s="210"/>
      <c r="H3577" s="210"/>
    </row>
    <row r="3578" spans="3:8" x14ac:dyDescent="0.25">
      <c r="C3578" s="210"/>
      <c r="D3578" s="210"/>
      <c r="E3578" s="210"/>
      <c r="F3578" s="210"/>
      <c r="G3578" s="210"/>
      <c r="H3578" s="210"/>
    </row>
    <row r="3579" spans="3:8" x14ac:dyDescent="0.25">
      <c r="C3579" s="210"/>
      <c r="D3579" s="210"/>
      <c r="E3579" s="210"/>
      <c r="F3579" s="210"/>
      <c r="G3579" s="210"/>
      <c r="H3579" s="210"/>
    </row>
    <row r="3580" spans="3:8" x14ac:dyDescent="0.25">
      <c r="C3580" s="210"/>
      <c r="D3580" s="210"/>
      <c r="E3580" s="210"/>
      <c r="F3580" s="210"/>
      <c r="G3580" s="210"/>
      <c r="H3580" s="210"/>
    </row>
    <row r="3581" spans="3:8" x14ac:dyDescent="0.25">
      <c r="C3581" s="210"/>
      <c r="D3581" s="210"/>
      <c r="E3581" s="210"/>
      <c r="F3581" s="210"/>
      <c r="G3581" s="210"/>
      <c r="H3581" s="210"/>
    </row>
    <row r="3582" spans="3:8" x14ac:dyDescent="0.25">
      <c r="C3582" s="210"/>
      <c r="D3582" s="210"/>
      <c r="E3582" s="210"/>
      <c r="F3582" s="210"/>
      <c r="G3582" s="210"/>
      <c r="H3582" s="210"/>
    </row>
    <row r="3583" spans="3:8" x14ac:dyDescent="0.25">
      <c r="C3583" s="210"/>
      <c r="D3583" s="210"/>
      <c r="E3583" s="210"/>
      <c r="F3583" s="210"/>
      <c r="G3583" s="210"/>
      <c r="H3583" s="210"/>
    </row>
    <row r="3584" spans="3:8" x14ac:dyDescent="0.25">
      <c r="C3584" s="210"/>
      <c r="D3584" s="210"/>
      <c r="E3584" s="210"/>
      <c r="F3584" s="210"/>
      <c r="G3584" s="210"/>
      <c r="H3584" s="210"/>
    </row>
    <row r="3585" spans="3:8" x14ac:dyDescent="0.25">
      <c r="C3585" s="210"/>
      <c r="D3585" s="210"/>
      <c r="E3585" s="210"/>
      <c r="F3585" s="210"/>
      <c r="G3585" s="210"/>
      <c r="H3585" s="210"/>
    </row>
    <row r="3586" spans="3:8" x14ac:dyDescent="0.25">
      <c r="C3586" s="210"/>
      <c r="D3586" s="210"/>
      <c r="E3586" s="210"/>
      <c r="F3586" s="210"/>
      <c r="G3586" s="210"/>
      <c r="H3586" s="210"/>
    </row>
    <row r="3587" spans="3:8" x14ac:dyDescent="0.25">
      <c r="C3587" s="210"/>
      <c r="D3587" s="210"/>
      <c r="E3587" s="210"/>
      <c r="F3587" s="210"/>
      <c r="G3587" s="210"/>
      <c r="H3587" s="210"/>
    </row>
    <row r="3588" spans="3:8" x14ac:dyDescent="0.25">
      <c r="C3588" s="210"/>
      <c r="D3588" s="210"/>
      <c r="E3588" s="210"/>
      <c r="F3588" s="210"/>
      <c r="G3588" s="210"/>
      <c r="H3588" s="210"/>
    </row>
    <row r="3589" spans="3:8" x14ac:dyDescent="0.25">
      <c r="C3589" s="210"/>
      <c r="D3589" s="210"/>
      <c r="E3589" s="210"/>
      <c r="F3589" s="210"/>
      <c r="G3589" s="210"/>
      <c r="H3589" s="210"/>
    </row>
    <row r="3590" spans="3:8" x14ac:dyDescent="0.25">
      <c r="C3590" s="210"/>
      <c r="D3590" s="210"/>
      <c r="E3590" s="210"/>
      <c r="F3590" s="210"/>
      <c r="G3590" s="210"/>
      <c r="H3590" s="210"/>
    </row>
    <row r="3591" spans="3:8" x14ac:dyDescent="0.25">
      <c r="C3591" s="210"/>
      <c r="D3591" s="210"/>
      <c r="E3591" s="210"/>
      <c r="F3591" s="210"/>
      <c r="G3591" s="210"/>
      <c r="H3591" s="210"/>
    </row>
    <row r="3592" spans="3:8" x14ac:dyDescent="0.25">
      <c r="C3592" s="210"/>
      <c r="D3592" s="210"/>
      <c r="E3592" s="210"/>
      <c r="F3592" s="210"/>
      <c r="G3592" s="210"/>
      <c r="H3592" s="210"/>
    </row>
    <row r="3593" spans="3:8" x14ac:dyDescent="0.25">
      <c r="C3593" s="210"/>
      <c r="D3593" s="210"/>
      <c r="E3593" s="210"/>
      <c r="F3593" s="210"/>
      <c r="G3593" s="210"/>
      <c r="H3593" s="210"/>
    </row>
    <row r="3594" spans="3:8" x14ac:dyDescent="0.25">
      <c r="C3594" s="210"/>
      <c r="D3594" s="210"/>
      <c r="E3594" s="210"/>
      <c r="F3594" s="210"/>
      <c r="G3594" s="210"/>
      <c r="H3594" s="210"/>
    </row>
    <row r="3595" spans="3:8" x14ac:dyDescent="0.25">
      <c r="C3595" s="210"/>
      <c r="D3595" s="210"/>
      <c r="E3595" s="210"/>
      <c r="F3595" s="210"/>
      <c r="G3595" s="210"/>
      <c r="H3595" s="210"/>
    </row>
    <row r="3596" spans="3:8" x14ac:dyDescent="0.25">
      <c r="C3596" s="210"/>
      <c r="D3596" s="210"/>
      <c r="E3596" s="210"/>
      <c r="F3596" s="210"/>
      <c r="G3596" s="210"/>
      <c r="H3596" s="210"/>
    </row>
    <row r="3597" spans="3:8" x14ac:dyDescent="0.25">
      <c r="C3597" s="210"/>
      <c r="D3597" s="210"/>
      <c r="E3597" s="210"/>
      <c r="F3597" s="210"/>
      <c r="G3597" s="210"/>
      <c r="H3597" s="210"/>
    </row>
    <row r="3598" spans="3:8" x14ac:dyDescent="0.25">
      <c r="C3598" s="210"/>
      <c r="D3598" s="210"/>
      <c r="E3598" s="210"/>
      <c r="F3598" s="210"/>
      <c r="G3598" s="210"/>
      <c r="H3598" s="210"/>
    </row>
    <row r="3599" spans="3:8" x14ac:dyDescent="0.25">
      <c r="C3599" s="210"/>
      <c r="D3599" s="210"/>
      <c r="E3599" s="210"/>
      <c r="F3599" s="210"/>
      <c r="G3599" s="210"/>
      <c r="H3599" s="210"/>
    </row>
    <row r="3600" spans="3:8" x14ac:dyDescent="0.25">
      <c r="C3600" s="210"/>
      <c r="D3600" s="210"/>
      <c r="E3600" s="210"/>
      <c r="F3600" s="210"/>
      <c r="G3600" s="210"/>
      <c r="H3600" s="210"/>
    </row>
    <row r="3601" spans="3:8" x14ac:dyDescent="0.25">
      <c r="C3601" s="210"/>
      <c r="D3601" s="210"/>
      <c r="E3601" s="210"/>
      <c r="F3601" s="210"/>
      <c r="G3601" s="210"/>
      <c r="H3601" s="210"/>
    </row>
    <row r="3602" spans="3:8" x14ac:dyDescent="0.25">
      <c r="C3602" s="210"/>
      <c r="D3602" s="210"/>
      <c r="E3602" s="210"/>
      <c r="F3602" s="210"/>
      <c r="G3602" s="210"/>
      <c r="H3602" s="210"/>
    </row>
    <row r="3603" spans="3:8" x14ac:dyDescent="0.25">
      <c r="C3603" s="210"/>
      <c r="D3603" s="210"/>
      <c r="E3603" s="210"/>
      <c r="F3603" s="210"/>
      <c r="G3603" s="210"/>
      <c r="H3603" s="210"/>
    </row>
    <row r="3604" spans="3:8" x14ac:dyDescent="0.25">
      <c r="C3604" s="210"/>
      <c r="D3604" s="210"/>
      <c r="E3604" s="210"/>
      <c r="F3604" s="210"/>
      <c r="G3604" s="210"/>
      <c r="H3604" s="210"/>
    </row>
    <row r="3605" spans="3:8" x14ac:dyDescent="0.25">
      <c r="C3605" s="210"/>
      <c r="D3605" s="210"/>
      <c r="E3605" s="210"/>
      <c r="F3605" s="210"/>
      <c r="G3605" s="210"/>
      <c r="H3605" s="210"/>
    </row>
    <row r="3606" spans="3:8" x14ac:dyDescent="0.25">
      <c r="C3606" s="210"/>
      <c r="D3606" s="210"/>
      <c r="E3606" s="210"/>
      <c r="F3606" s="210"/>
      <c r="G3606" s="210"/>
      <c r="H3606" s="210"/>
    </row>
    <row r="3607" spans="3:8" x14ac:dyDescent="0.25">
      <c r="C3607" s="210"/>
      <c r="D3607" s="210"/>
      <c r="E3607" s="210"/>
      <c r="F3607" s="210"/>
      <c r="G3607" s="210"/>
      <c r="H3607" s="210"/>
    </row>
    <row r="3608" spans="3:8" x14ac:dyDescent="0.25">
      <c r="C3608" s="210"/>
      <c r="D3608" s="210"/>
      <c r="E3608" s="210"/>
      <c r="F3608" s="210"/>
      <c r="G3608" s="210"/>
      <c r="H3608" s="210"/>
    </row>
    <row r="3609" spans="3:8" x14ac:dyDescent="0.25">
      <c r="C3609" s="210"/>
      <c r="D3609" s="210"/>
      <c r="E3609" s="210"/>
      <c r="F3609" s="210"/>
      <c r="G3609" s="210"/>
      <c r="H3609" s="210"/>
    </row>
    <row r="3610" spans="3:8" x14ac:dyDescent="0.25">
      <c r="C3610" s="210"/>
      <c r="D3610" s="210"/>
      <c r="E3610" s="210"/>
      <c r="F3610" s="210"/>
      <c r="G3610" s="210"/>
      <c r="H3610" s="210"/>
    </row>
    <row r="3611" spans="3:8" x14ac:dyDescent="0.25">
      <c r="C3611" s="210"/>
      <c r="D3611" s="210"/>
      <c r="E3611" s="210"/>
      <c r="F3611" s="210"/>
      <c r="G3611" s="210"/>
      <c r="H3611" s="210"/>
    </row>
    <row r="3612" spans="3:8" x14ac:dyDescent="0.25">
      <c r="C3612" s="210"/>
      <c r="D3612" s="210"/>
      <c r="E3612" s="210"/>
      <c r="F3612" s="210"/>
      <c r="G3612" s="210"/>
      <c r="H3612" s="210"/>
    </row>
    <row r="3613" spans="3:8" x14ac:dyDescent="0.25">
      <c r="C3613" s="210"/>
      <c r="D3613" s="210"/>
      <c r="E3613" s="210"/>
      <c r="F3613" s="210"/>
      <c r="G3613" s="210"/>
      <c r="H3613" s="210"/>
    </row>
    <row r="3614" spans="3:8" x14ac:dyDescent="0.25">
      <c r="C3614" s="210"/>
      <c r="D3614" s="210"/>
      <c r="E3614" s="210"/>
      <c r="F3614" s="210"/>
      <c r="G3614" s="210"/>
      <c r="H3614" s="210"/>
    </row>
    <row r="3615" spans="3:8" x14ac:dyDescent="0.25">
      <c r="C3615" s="210"/>
      <c r="D3615" s="210"/>
      <c r="E3615" s="210"/>
      <c r="F3615" s="210"/>
      <c r="G3615" s="210"/>
      <c r="H3615" s="210"/>
    </row>
    <row r="3616" spans="3:8" x14ac:dyDescent="0.25">
      <c r="C3616" s="210"/>
      <c r="D3616" s="210"/>
      <c r="E3616" s="210"/>
      <c r="F3616" s="210"/>
      <c r="G3616" s="210"/>
      <c r="H3616" s="210"/>
    </row>
    <row r="3617" spans="3:8" x14ac:dyDescent="0.25">
      <c r="C3617" s="210"/>
      <c r="D3617" s="210"/>
      <c r="E3617" s="210"/>
      <c r="F3617" s="210"/>
      <c r="G3617" s="210"/>
      <c r="H3617" s="210"/>
    </row>
    <row r="3618" spans="3:8" x14ac:dyDescent="0.25">
      <c r="C3618" s="210"/>
      <c r="D3618" s="210"/>
      <c r="E3618" s="210"/>
      <c r="F3618" s="210"/>
      <c r="G3618" s="210"/>
      <c r="H3618" s="210"/>
    </row>
    <row r="3619" spans="3:8" x14ac:dyDescent="0.25">
      <c r="C3619" s="210"/>
      <c r="D3619" s="210"/>
      <c r="E3619" s="210"/>
      <c r="F3619" s="210"/>
      <c r="G3619" s="210"/>
      <c r="H3619" s="210"/>
    </row>
    <row r="3620" spans="3:8" x14ac:dyDescent="0.25">
      <c r="C3620" s="210"/>
      <c r="D3620" s="210"/>
      <c r="E3620" s="210"/>
      <c r="F3620" s="210"/>
      <c r="G3620" s="210"/>
      <c r="H3620" s="210"/>
    </row>
    <row r="3621" spans="3:8" x14ac:dyDescent="0.25">
      <c r="C3621" s="210"/>
      <c r="D3621" s="210"/>
      <c r="E3621" s="210"/>
      <c r="F3621" s="210"/>
      <c r="G3621" s="210"/>
      <c r="H3621" s="210"/>
    </row>
    <row r="3622" spans="3:8" x14ac:dyDescent="0.25">
      <c r="C3622" s="210"/>
      <c r="D3622" s="210"/>
      <c r="E3622" s="210"/>
      <c r="F3622" s="210"/>
      <c r="G3622" s="210"/>
      <c r="H3622" s="210"/>
    </row>
    <row r="3623" spans="3:8" x14ac:dyDescent="0.25">
      <c r="C3623" s="210"/>
      <c r="D3623" s="210"/>
      <c r="E3623" s="210"/>
      <c r="F3623" s="210"/>
      <c r="G3623" s="210"/>
      <c r="H3623" s="210"/>
    </row>
    <row r="3624" spans="3:8" x14ac:dyDescent="0.25">
      <c r="C3624" s="210"/>
      <c r="D3624" s="210"/>
      <c r="E3624" s="210"/>
      <c r="F3624" s="210"/>
      <c r="G3624" s="210"/>
      <c r="H3624" s="210"/>
    </row>
    <row r="3625" spans="3:8" x14ac:dyDescent="0.25">
      <c r="C3625" s="210"/>
      <c r="D3625" s="210"/>
      <c r="E3625" s="210"/>
      <c r="F3625" s="210"/>
      <c r="G3625" s="210"/>
      <c r="H3625" s="210"/>
    </row>
    <row r="3626" spans="3:8" x14ac:dyDescent="0.25">
      <c r="C3626" s="210"/>
      <c r="D3626" s="210"/>
      <c r="E3626" s="210"/>
      <c r="F3626" s="210"/>
      <c r="G3626" s="210"/>
      <c r="H3626" s="210"/>
    </row>
    <row r="3627" spans="3:8" x14ac:dyDescent="0.25">
      <c r="C3627" s="210"/>
      <c r="D3627" s="210"/>
      <c r="E3627" s="210"/>
      <c r="F3627" s="210"/>
      <c r="G3627" s="210"/>
      <c r="H3627" s="210"/>
    </row>
    <row r="3628" spans="3:8" x14ac:dyDescent="0.25">
      <c r="C3628" s="210"/>
      <c r="D3628" s="210"/>
      <c r="E3628" s="210"/>
      <c r="F3628" s="210"/>
      <c r="G3628" s="210"/>
      <c r="H3628" s="210"/>
    </row>
    <row r="3629" spans="3:8" x14ac:dyDescent="0.25">
      <c r="C3629" s="210"/>
      <c r="D3629" s="210"/>
      <c r="E3629" s="210"/>
      <c r="F3629" s="210"/>
      <c r="G3629" s="210"/>
      <c r="H3629" s="210"/>
    </row>
    <row r="3630" spans="3:8" x14ac:dyDescent="0.25">
      <c r="C3630" s="210"/>
      <c r="D3630" s="210"/>
      <c r="E3630" s="210"/>
      <c r="F3630" s="210"/>
      <c r="G3630" s="210"/>
      <c r="H3630" s="210"/>
    </row>
    <row r="3631" spans="3:8" x14ac:dyDescent="0.25">
      <c r="C3631" s="210"/>
      <c r="D3631" s="210"/>
      <c r="E3631" s="210"/>
      <c r="F3631" s="210"/>
      <c r="G3631" s="210"/>
      <c r="H3631" s="210"/>
    </row>
    <row r="3632" spans="3:8" x14ac:dyDescent="0.25">
      <c r="C3632" s="210"/>
      <c r="D3632" s="210"/>
      <c r="E3632" s="210"/>
      <c r="F3632" s="210"/>
      <c r="G3632" s="210"/>
      <c r="H3632" s="210"/>
    </row>
    <row r="3633" spans="3:8" x14ac:dyDescent="0.25">
      <c r="C3633" s="210"/>
      <c r="D3633" s="210"/>
      <c r="E3633" s="210"/>
      <c r="F3633" s="210"/>
      <c r="G3633" s="210"/>
      <c r="H3633" s="210"/>
    </row>
    <row r="3634" spans="3:8" x14ac:dyDescent="0.25">
      <c r="C3634" s="210"/>
      <c r="D3634" s="210"/>
      <c r="E3634" s="210"/>
      <c r="F3634" s="210"/>
      <c r="G3634" s="210"/>
      <c r="H3634" s="210"/>
    </row>
    <row r="3635" spans="3:8" x14ac:dyDescent="0.25">
      <c r="C3635" s="210"/>
      <c r="D3635" s="210"/>
      <c r="E3635" s="210"/>
      <c r="F3635" s="210"/>
      <c r="G3635" s="210"/>
      <c r="H3635" s="210"/>
    </row>
    <row r="3636" spans="3:8" x14ac:dyDescent="0.25">
      <c r="C3636" s="210"/>
      <c r="D3636" s="210"/>
      <c r="E3636" s="210"/>
      <c r="F3636" s="210"/>
      <c r="G3636" s="210"/>
      <c r="H3636" s="210"/>
    </row>
    <row r="3637" spans="3:8" x14ac:dyDescent="0.25">
      <c r="C3637" s="210"/>
      <c r="D3637" s="210"/>
      <c r="E3637" s="210"/>
      <c r="F3637" s="210"/>
      <c r="G3637" s="210"/>
      <c r="H3637" s="210"/>
    </row>
    <row r="3638" spans="3:8" x14ac:dyDescent="0.25">
      <c r="C3638" s="210"/>
      <c r="D3638" s="210"/>
      <c r="E3638" s="210"/>
      <c r="F3638" s="210"/>
      <c r="G3638" s="210"/>
      <c r="H3638" s="210"/>
    </row>
    <row r="3639" spans="3:8" x14ac:dyDescent="0.25">
      <c r="C3639" s="210"/>
      <c r="D3639" s="210"/>
      <c r="E3639" s="210"/>
      <c r="F3639" s="210"/>
      <c r="G3639" s="210"/>
      <c r="H3639" s="210"/>
    </row>
    <row r="3640" spans="3:8" x14ac:dyDescent="0.25">
      <c r="C3640" s="210"/>
      <c r="D3640" s="210"/>
      <c r="E3640" s="210"/>
      <c r="F3640" s="210"/>
      <c r="G3640" s="210"/>
      <c r="H3640" s="210"/>
    </row>
    <row r="3641" spans="3:8" x14ac:dyDescent="0.25">
      <c r="C3641" s="210"/>
      <c r="D3641" s="210"/>
      <c r="E3641" s="210"/>
      <c r="F3641" s="210"/>
      <c r="G3641" s="210"/>
      <c r="H3641" s="210"/>
    </row>
    <row r="3642" spans="3:8" x14ac:dyDescent="0.25">
      <c r="C3642" s="210"/>
      <c r="D3642" s="210"/>
      <c r="E3642" s="210"/>
      <c r="F3642" s="210"/>
      <c r="G3642" s="210"/>
      <c r="H3642" s="210"/>
    </row>
    <row r="3643" spans="3:8" x14ac:dyDescent="0.25">
      <c r="C3643" s="210"/>
      <c r="D3643" s="210"/>
      <c r="E3643" s="210"/>
      <c r="F3643" s="210"/>
      <c r="G3643" s="210"/>
      <c r="H3643" s="210"/>
    </row>
    <row r="3644" spans="3:8" x14ac:dyDescent="0.25">
      <c r="C3644" s="210"/>
      <c r="D3644" s="210"/>
      <c r="E3644" s="210"/>
      <c r="F3644" s="210"/>
      <c r="G3644" s="210"/>
      <c r="H3644" s="210"/>
    </row>
    <row r="3645" spans="3:8" x14ac:dyDescent="0.25">
      <c r="C3645" s="210"/>
      <c r="D3645" s="210"/>
      <c r="E3645" s="210"/>
      <c r="F3645" s="210"/>
      <c r="G3645" s="210"/>
      <c r="H3645" s="210"/>
    </row>
    <row r="3646" spans="3:8" x14ac:dyDescent="0.25">
      <c r="C3646" s="210"/>
      <c r="D3646" s="210"/>
      <c r="E3646" s="210"/>
      <c r="F3646" s="210"/>
      <c r="G3646" s="210"/>
      <c r="H3646" s="210"/>
    </row>
    <row r="3647" spans="3:8" x14ac:dyDescent="0.25">
      <c r="C3647" s="210"/>
      <c r="D3647" s="210"/>
      <c r="E3647" s="210"/>
      <c r="F3647" s="210"/>
      <c r="G3647" s="210"/>
      <c r="H3647" s="210"/>
    </row>
    <row r="3648" spans="3:8" x14ac:dyDescent="0.25">
      <c r="C3648" s="210"/>
      <c r="D3648" s="210"/>
      <c r="E3648" s="210"/>
      <c r="F3648" s="210"/>
      <c r="G3648" s="210"/>
      <c r="H3648" s="210"/>
    </row>
    <row r="3649" spans="3:8" x14ac:dyDescent="0.25">
      <c r="C3649" s="210"/>
      <c r="D3649" s="210"/>
      <c r="E3649" s="210"/>
      <c r="F3649" s="210"/>
      <c r="G3649" s="210"/>
      <c r="H3649" s="210"/>
    </row>
    <row r="3650" spans="3:8" x14ac:dyDescent="0.25">
      <c r="C3650" s="210"/>
      <c r="D3650" s="210"/>
      <c r="E3650" s="210"/>
      <c r="F3650" s="210"/>
      <c r="G3650" s="210"/>
      <c r="H3650" s="210"/>
    </row>
    <row r="3651" spans="3:8" x14ac:dyDescent="0.25">
      <c r="C3651" s="210"/>
      <c r="D3651" s="210"/>
      <c r="E3651" s="210"/>
      <c r="F3651" s="210"/>
      <c r="G3651" s="210"/>
      <c r="H3651" s="210"/>
    </row>
    <row r="3652" spans="3:8" x14ac:dyDescent="0.25">
      <c r="C3652" s="210"/>
      <c r="D3652" s="210"/>
      <c r="E3652" s="210"/>
      <c r="F3652" s="210"/>
      <c r="G3652" s="210"/>
      <c r="H3652" s="210"/>
    </row>
    <row r="3653" spans="3:8" x14ac:dyDescent="0.25">
      <c r="C3653" s="210"/>
      <c r="D3653" s="210"/>
      <c r="E3653" s="210"/>
      <c r="F3653" s="210"/>
      <c r="G3653" s="210"/>
      <c r="H3653" s="210"/>
    </row>
    <row r="3654" spans="3:8" x14ac:dyDescent="0.25">
      <c r="C3654" s="210"/>
      <c r="D3654" s="210"/>
      <c r="E3654" s="210"/>
      <c r="F3654" s="210"/>
      <c r="G3654" s="210"/>
      <c r="H3654" s="210"/>
    </row>
    <row r="3655" spans="3:8" x14ac:dyDescent="0.25">
      <c r="C3655" s="210"/>
      <c r="D3655" s="210"/>
      <c r="E3655" s="210"/>
      <c r="F3655" s="210"/>
      <c r="G3655" s="210"/>
      <c r="H3655" s="210"/>
    </row>
    <row r="3656" spans="3:8" x14ac:dyDescent="0.25">
      <c r="C3656" s="210"/>
      <c r="D3656" s="210"/>
      <c r="E3656" s="210"/>
      <c r="F3656" s="210"/>
      <c r="G3656" s="210"/>
      <c r="H3656" s="210"/>
    </row>
    <row r="3657" spans="3:8" x14ac:dyDescent="0.25">
      <c r="C3657" s="210"/>
      <c r="D3657" s="210"/>
      <c r="E3657" s="210"/>
      <c r="F3657" s="210"/>
      <c r="G3657" s="210"/>
      <c r="H3657" s="210"/>
    </row>
    <row r="3658" spans="3:8" x14ac:dyDescent="0.25">
      <c r="C3658" s="210"/>
      <c r="D3658" s="210"/>
      <c r="E3658" s="210"/>
      <c r="F3658" s="210"/>
      <c r="G3658" s="210"/>
      <c r="H3658" s="210"/>
    </row>
    <row r="3659" spans="3:8" x14ac:dyDescent="0.25">
      <c r="C3659" s="210"/>
      <c r="D3659" s="210"/>
      <c r="E3659" s="210"/>
      <c r="F3659" s="210"/>
      <c r="G3659" s="210"/>
      <c r="H3659" s="210"/>
    </row>
    <row r="3660" spans="3:8" x14ac:dyDescent="0.25">
      <c r="C3660" s="210"/>
      <c r="D3660" s="210"/>
      <c r="E3660" s="210"/>
      <c r="F3660" s="210"/>
      <c r="G3660" s="210"/>
      <c r="H3660" s="210"/>
    </row>
    <row r="3661" spans="3:8" x14ac:dyDescent="0.25">
      <c r="C3661" s="210"/>
      <c r="D3661" s="210"/>
      <c r="E3661" s="210"/>
      <c r="F3661" s="210"/>
      <c r="G3661" s="210"/>
      <c r="H3661" s="210"/>
    </row>
    <row r="3662" spans="3:8" x14ac:dyDescent="0.25">
      <c r="C3662" s="210"/>
      <c r="D3662" s="210"/>
      <c r="E3662" s="210"/>
      <c r="F3662" s="210"/>
      <c r="G3662" s="210"/>
      <c r="H3662" s="210"/>
    </row>
    <row r="3663" spans="3:8" x14ac:dyDescent="0.25">
      <c r="C3663" s="210"/>
      <c r="D3663" s="210"/>
      <c r="E3663" s="210"/>
      <c r="F3663" s="210"/>
      <c r="G3663" s="210"/>
      <c r="H3663" s="210"/>
    </row>
    <row r="3664" spans="3:8" x14ac:dyDescent="0.25">
      <c r="C3664" s="210"/>
      <c r="D3664" s="210"/>
      <c r="E3664" s="210"/>
      <c r="F3664" s="210"/>
      <c r="G3664" s="210"/>
      <c r="H3664" s="210"/>
    </row>
    <row r="3665" spans="3:8" x14ac:dyDescent="0.25">
      <c r="C3665" s="210"/>
      <c r="D3665" s="210"/>
      <c r="E3665" s="210"/>
      <c r="F3665" s="210"/>
      <c r="G3665" s="210"/>
      <c r="H3665" s="210"/>
    </row>
    <row r="3666" spans="3:8" x14ac:dyDescent="0.25">
      <c r="C3666" s="210"/>
      <c r="D3666" s="210"/>
      <c r="E3666" s="210"/>
      <c r="F3666" s="210"/>
      <c r="G3666" s="210"/>
      <c r="H3666" s="210"/>
    </row>
    <row r="3667" spans="3:8" x14ac:dyDescent="0.25">
      <c r="C3667" s="210"/>
      <c r="D3667" s="210"/>
      <c r="E3667" s="210"/>
      <c r="F3667" s="210"/>
      <c r="G3667" s="210"/>
      <c r="H3667" s="210"/>
    </row>
    <row r="3668" spans="3:8" x14ac:dyDescent="0.25">
      <c r="C3668" s="210"/>
      <c r="D3668" s="210"/>
      <c r="E3668" s="210"/>
      <c r="F3668" s="210"/>
      <c r="G3668" s="210"/>
      <c r="H3668" s="210"/>
    </row>
    <row r="3669" spans="3:8" x14ac:dyDescent="0.25">
      <c r="C3669" s="210"/>
      <c r="D3669" s="210"/>
      <c r="E3669" s="210"/>
      <c r="F3669" s="210"/>
      <c r="G3669" s="210"/>
      <c r="H3669" s="210"/>
    </row>
    <row r="3670" spans="3:8" x14ac:dyDescent="0.25">
      <c r="C3670" s="210"/>
      <c r="D3670" s="210"/>
      <c r="E3670" s="210"/>
      <c r="F3670" s="210"/>
      <c r="G3670" s="210"/>
      <c r="H3670" s="210"/>
    </row>
    <row r="3671" spans="3:8" x14ac:dyDescent="0.25">
      <c r="C3671" s="210"/>
      <c r="D3671" s="210"/>
      <c r="E3671" s="210"/>
      <c r="F3671" s="210"/>
      <c r="G3671" s="210"/>
      <c r="H3671" s="210"/>
    </row>
    <row r="3672" spans="3:8" x14ac:dyDescent="0.25">
      <c r="C3672" s="210"/>
      <c r="D3672" s="210"/>
      <c r="E3672" s="210"/>
      <c r="F3672" s="210"/>
      <c r="G3672" s="210"/>
      <c r="H3672" s="210"/>
    </row>
    <row r="3673" spans="3:8" x14ac:dyDescent="0.25">
      <c r="C3673" s="210"/>
      <c r="D3673" s="210"/>
      <c r="E3673" s="210"/>
      <c r="F3673" s="210"/>
      <c r="G3673" s="210"/>
      <c r="H3673" s="210"/>
    </row>
    <row r="3674" spans="3:8" x14ac:dyDescent="0.25">
      <c r="C3674" s="210"/>
      <c r="D3674" s="210"/>
      <c r="E3674" s="210"/>
      <c r="F3674" s="210"/>
      <c r="G3674" s="210"/>
      <c r="H3674" s="210"/>
    </row>
    <row r="3675" spans="3:8" x14ac:dyDescent="0.25">
      <c r="C3675" s="210"/>
      <c r="D3675" s="210"/>
      <c r="E3675" s="210"/>
      <c r="F3675" s="210"/>
      <c r="G3675" s="210"/>
      <c r="H3675" s="210"/>
    </row>
    <row r="3676" spans="3:8" x14ac:dyDescent="0.25">
      <c r="C3676" s="210"/>
      <c r="D3676" s="210"/>
      <c r="E3676" s="210"/>
      <c r="F3676" s="210"/>
      <c r="G3676" s="210"/>
      <c r="H3676" s="210"/>
    </row>
    <row r="3677" spans="3:8" x14ac:dyDescent="0.25">
      <c r="C3677" s="210"/>
      <c r="D3677" s="210"/>
      <c r="E3677" s="210"/>
      <c r="F3677" s="210"/>
      <c r="G3677" s="210"/>
      <c r="H3677" s="210"/>
    </row>
    <row r="3678" spans="3:8" x14ac:dyDescent="0.25">
      <c r="C3678" s="210"/>
      <c r="D3678" s="210"/>
      <c r="E3678" s="210"/>
      <c r="F3678" s="210"/>
      <c r="G3678" s="210"/>
      <c r="H3678" s="210"/>
    </row>
    <row r="3679" spans="3:8" x14ac:dyDescent="0.25">
      <c r="C3679" s="210"/>
      <c r="D3679" s="210"/>
      <c r="E3679" s="210"/>
      <c r="F3679" s="210"/>
      <c r="G3679" s="210"/>
      <c r="H3679" s="210"/>
    </row>
    <row r="3680" spans="3:8" x14ac:dyDescent="0.25">
      <c r="C3680" s="210"/>
      <c r="D3680" s="210"/>
      <c r="E3680" s="210"/>
      <c r="F3680" s="210"/>
      <c r="G3680" s="210"/>
      <c r="H3680" s="210"/>
    </row>
    <row r="3681" spans="3:8" x14ac:dyDescent="0.25">
      <c r="C3681" s="210"/>
      <c r="D3681" s="210"/>
      <c r="E3681" s="210"/>
      <c r="F3681" s="210"/>
      <c r="G3681" s="210"/>
      <c r="H3681" s="210"/>
    </row>
    <row r="3682" spans="3:8" x14ac:dyDescent="0.25">
      <c r="C3682" s="210"/>
      <c r="D3682" s="210"/>
      <c r="E3682" s="210"/>
      <c r="F3682" s="210"/>
      <c r="G3682" s="210"/>
      <c r="H3682" s="210"/>
    </row>
    <row r="3683" spans="3:8" x14ac:dyDescent="0.25">
      <c r="C3683" s="210"/>
      <c r="D3683" s="210"/>
      <c r="E3683" s="210"/>
      <c r="F3683" s="210"/>
      <c r="G3683" s="210"/>
      <c r="H3683" s="210"/>
    </row>
    <row r="3684" spans="3:8" x14ac:dyDescent="0.25">
      <c r="C3684" s="210"/>
      <c r="D3684" s="210"/>
      <c r="E3684" s="210"/>
      <c r="F3684" s="210"/>
      <c r="G3684" s="210"/>
      <c r="H3684" s="210"/>
    </row>
    <row r="3685" spans="3:8" x14ac:dyDescent="0.25">
      <c r="C3685" s="210"/>
      <c r="D3685" s="210"/>
      <c r="E3685" s="210"/>
      <c r="F3685" s="210"/>
      <c r="G3685" s="210"/>
      <c r="H3685" s="210"/>
    </row>
    <row r="3686" spans="3:8" x14ac:dyDescent="0.25">
      <c r="C3686" s="210"/>
      <c r="D3686" s="210"/>
      <c r="E3686" s="210"/>
      <c r="F3686" s="210"/>
      <c r="G3686" s="210"/>
      <c r="H3686" s="210"/>
    </row>
    <row r="3687" spans="3:8" x14ac:dyDescent="0.25">
      <c r="C3687" s="210"/>
      <c r="D3687" s="210"/>
      <c r="E3687" s="210"/>
      <c r="F3687" s="210"/>
      <c r="G3687" s="210"/>
      <c r="H3687" s="210"/>
    </row>
    <row r="3688" spans="3:8" x14ac:dyDescent="0.25">
      <c r="C3688" s="210"/>
      <c r="D3688" s="210"/>
      <c r="E3688" s="210"/>
      <c r="F3688" s="210"/>
      <c r="G3688" s="210"/>
      <c r="H3688" s="210"/>
    </row>
    <row r="3689" spans="3:8" x14ac:dyDescent="0.25">
      <c r="C3689" s="210"/>
      <c r="D3689" s="210"/>
      <c r="E3689" s="210"/>
      <c r="F3689" s="210"/>
      <c r="G3689" s="210"/>
      <c r="H3689" s="210"/>
    </row>
    <row r="3690" spans="3:8" x14ac:dyDescent="0.25">
      <c r="C3690" s="210"/>
      <c r="D3690" s="210"/>
      <c r="E3690" s="210"/>
      <c r="F3690" s="210"/>
      <c r="G3690" s="210"/>
      <c r="H3690" s="210"/>
    </row>
    <row r="3691" spans="3:8" x14ac:dyDescent="0.25">
      <c r="C3691" s="210"/>
      <c r="D3691" s="210"/>
      <c r="E3691" s="210"/>
      <c r="F3691" s="210"/>
      <c r="G3691" s="210"/>
      <c r="H3691" s="210"/>
    </row>
    <row r="3692" spans="3:8" x14ac:dyDescent="0.25">
      <c r="C3692" s="210"/>
      <c r="D3692" s="210"/>
      <c r="E3692" s="210"/>
      <c r="F3692" s="210"/>
      <c r="G3692" s="210"/>
      <c r="H3692" s="210"/>
    </row>
    <row r="3693" spans="3:8" x14ac:dyDescent="0.25">
      <c r="C3693" s="210"/>
      <c r="D3693" s="210"/>
      <c r="E3693" s="210"/>
      <c r="F3693" s="210"/>
      <c r="G3693" s="210"/>
      <c r="H3693" s="210"/>
    </row>
    <row r="3694" spans="3:8" x14ac:dyDescent="0.25">
      <c r="C3694" s="210"/>
      <c r="D3694" s="210"/>
      <c r="E3694" s="210"/>
      <c r="F3694" s="210"/>
      <c r="G3694" s="210"/>
      <c r="H3694" s="210"/>
    </row>
    <row r="3695" spans="3:8" x14ac:dyDescent="0.25">
      <c r="C3695" s="210"/>
      <c r="D3695" s="210"/>
      <c r="E3695" s="210"/>
      <c r="F3695" s="210"/>
      <c r="G3695" s="210"/>
      <c r="H3695" s="210"/>
    </row>
    <row r="3696" spans="3:8" x14ac:dyDescent="0.25">
      <c r="C3696" s="210"/>
      <c r="D3696" s="210"/>
      <c r="E3696" s="210"/>
      <c r="F3696" s="210"/>
      <c r="G3696" s="210"/>
      <c r="H3696" s="210"/>
    </row>
    <row r="3697" spans="3:8" x14ac:dyDescent="0.25">
      <c r="C3697" s="210"/>
      <c r="D3697" s="210"/>
      <c r="E3697" s="210"/>
      <c r="F3697" s="210"/>
      <c r="G3697" s="210"/>
      <c r="H3697" s="210"/>
    </row>
    <row r="3698" spans="3:8" x14ac:dyDescent="0.25">
      <c r="C3698" s="210"/>
      <c r="D3698" s="210"/>
      <c r="E3698" s="210"/>
      <c r="F3698" s="210"/>
      <c r="G3698" s="210"/>
      <c r="H3698" s="210"/>
    </row>
    <row r="3699" spans="3:8" x14ac:dyDescent="0.25">
      <c r="C3699" s="210"/>
      <c r="D3699" s="210"/>
      <c r="E3699" s="210"/>
      <c r="F3699" s="210"/>
      <c r="G3699" s="210"/>
      <c r="H3699" s="210"/>
    </row>
    <row r="3700" spans="3:8" x14ac:dyDescent="0.25">
      <c r="C3700" s="210"/>
      <c r="D3700" s="210"/>
      <c r="E3700" s="210"/>
      <c r="F3700" s="210"/>
      <c r="G3700" s="210"/>
      <c r="H3700" s="210"/>
    </row>
    <row r="3701" spans="3:8" x14ac:dyDescent="0.25">
      <c r="C3701" s="210"/>
      <c r="D3701" s="210"/>
      <c r="E3701" s="210"/>
      <c r="F3701" s="210"/>
      <c r="G3701" s="210"/>
      <c r="H3701" s="210"/>
    </row>
    <row r="3702" spans="3:8" x14ac:dyDescent="0.25">
      <c r="C3702" s="210"/>
      <c r="D3702" s="210"/>
      <c r="E3702" s="210"/>
      <c r="F3702" s="210"/>
      <c r="G3702" s="210"/>
      <c r="H3702" s="210"/>
    </row>
    <row r="3703" spans="3:8" x14ac:dyDescent="0.25">
      <c r="C3703" s="210"/>
      <c r="D3703" s="210"/>
      <c r="E3703" s="210"/>
      <c r="F3703" s="210"/>
      <c r="G3703" s="210"/>
      <c r="H3703" s="210"/>
    </row>
    <row r="3704" spans="3:8" x14ac:dyDescent="0.25">
      <c r="C3704" s="210"/>
      <c r="D3704" s="210"/>
      <c r="E3704" s="210"/>
      <c r="F3704" s="210"/>
      <c r="G3704" s="210"/>
      <c r="H3704" s="210"/>
    </row>
    <row r="3705" spans="3:8" x14ac:dyDescent="0.25">
      <c r="C3705" s="210"/>
      <c r="D3705" s="210"/>
      <c r="E3705" s="210"/>
      <c r="F3705" s="210"/>
      <c r="G3705" s="210"/>
      <c r="H3705" s="210"/>
    </row>
    <row r="3706" spans="3:8" x14ac:dyDescent="0.25">
      <c r="C3706" s="210"/>
      <c r="D3706" s="210"/>
      <c r="E3706" s="210"/>
      <c r="F3706" s="210"/>
      <c r="G3706" s="210"/>
      <c r="H3706" s="210"/>
    </row>
    <row r="3707" spans="3:8" x14ac:dyDescent="0.25">
      <c r="C3707" s="210"/>
      <c r="D3707" s="210"/>
      <c r="E3707" s="210"/>
      <c r="F3707" s="210"/>
      <c r="G3707" s="210"/>
      <c r="H3707" s="210"/>
    </row>
    <row r="3708" spans="3:8" x14ac:dyDescent="0.25">
      <c r="C3708" s="210"/>
      <c r="D3708" s="210"/>
      <c r="E3708" s="210"/>
      <c r="F3708" s="210"/>
      <c r="G3708" s="210"/>
      <c r="H3708" s="210"/>
    </row>
    <row r="3709" spans="3:8" x14ac:dyDescent="0.25">
      <c r="C3709" s="210"/>
      <c r="D3709" s="210"/>
      <c r="E3709" s="210"/>
      <c r="F3709" s="210"/>
      <c r="G3709" s="210"/>
      <c r="H3709" s="210"/>
    </row>
    <row r="3710" spans="3:8" x14ac:dyDescent="0.25">
      <c r="C3710" s="210"/>
      <c r="D3710" s="210"/>
      <c r="E3710" s="210"/>
      <c r="F3710" s="210"/>
      <c r="G3710" s="210"/>
      <c r="H3710" s="210"/>
    </row>
    <row r="3711" spans="3:8" x14ac:dyDescent="0.25">
      <c r="C3711" s="210"/>
      <c r="D3711" s="210"/>
      <c r="E3711" s="210"/>
      <c r="F3711" s="210"/>
      <c r="G3711" s="210"/>
      <c r="H3711" s="210"/>
    </row>
    <row r="3712" spans="3:8" x14ac:dyDescent="0.25">
      <c r="C3712" s="210"/>
      <c r="D3712" s="210"/>
      <c r="E3712" s="210"/>
      <c r="F3712" s="210"/>
      <c r="G3712" s="210"/>
      <c r="H3712" s="210"/>
    </row>
    <row r="3713" spans="3:8" x14ac:dyDescent="0.25">
      <c r="C3713" s="210"/>
      <c r="D3713" s="210"/>
      <c r="E3713" s="210"/>
      <c r="F3713" s="210"/>
      <c r="G3713" s="210"/>
      <c r="H3713" s="210"/>
    </row>
    <row r="3714" spans="3:8" x14ac:dyDescent="0.25">
      <c r="C3714" s="210"/>
      <c r="D3714" s="210"/>
      <c r="E3714" s="210"/>
      <c r="F3714" s="210"/>
      <c r="G3714" s="210"/>
      <c r="H3714" s="210"/>
    </row>
    <row r="3715" spans="3:8" x14ac:dyDescent="0.25">
      <c r="C3715" s="210"/>
      <c r="D3715" s="210"/>
      <c r="E3715" s="210"/>
      <c r="F3715" s="210"/>
      <c r="G3715" s="210"/>
      <c r="H3715" s="210"/>
    </row>
    <row r="3716" spans="3:8" x14ac:dyDescent="0.25">
      <c r="C3716" s="210"/>
      <c r="D3716" s="210"/>
      <c r="E3716" s="210"/>
      <c r="F3716" s="210"/>
      <c r="G3716" s="210"/>
      <c r="H3716" s="210"/>
    </row>
    <row r="3717" spans="3:8" x14ac:dyDescent="0.25">
      <c r="C3717" s="210"/>
      <c r="D3717" s="210"/>
      <c r="E3717" s="210"/>
      <c r="F3717" s="210"/>
      <c r="G3717" s="210"/>
      <c r="H3717" s="210"/>
    </row>
    <row r="3718" spans="3:8" x14ac:dyDescent="0.25">
      <c r="C3718" s="210"/>
      <c r="D3718" s="210"/>
      <c r="E3718" s="210"/>
      <c r="F3718" s="210"/>
      <c r="G3718" s="210"/>
      <c r="H3718" s="210"/>
    </row>
    <row r="3719" spans="3:8" x14ac:dyDescent="0.25">
      <c r="C3719" s="210"/>
      <c r="D3719" s="210"/>
      <c r="E3719" s="210"/>
      <c r="F3719" s="210"/>
      <c r="G3719" s="210"/>
      <c r="H3719" s="210"/>
    </row>
    <row r="3720" spans="3:8" x14ac:dyDescent="0.25">
      <c r="C3720" s="210"/>
      <c r="D3720" s="210"/>
      <c r="E3720" s="210"/>
      <c r="F3720" s="210"/>
      <c r="G3720" s="210"/>
      <c r="H3720" s="210"/>
    </row>
    <row r="3721" spans="3:8" x14ac:dyDescent="0.25">
      <c r="C3721" s="210"/>
      <c r="D3721" s="210"/>
      <c r="E3721" s="210"/>
      <c r="F3721" s="210"/>
      <c r="G3721" s="210"/>
      <c r="H3721" s="210"/>
    </row>
    <row r="3722" spans="3:8" x14ac:dyDescent="0.25">
      <c r="C3722" s="210"/>
      <c r="D3722" s="210"/>
      <c r="E3722" s="210"/>
      <c r="F3722" s="210"/>
      <c r="G3722" s="210"/>
      <c r="H3722" s="210"/>
    </row>
    <row r="3723" spans="3:8" x14ac:dyDescent="0.25">
      <c r="C3723" s="210"/>
      <c r="D3723" s="210"/>
      <c r="E3723" s="210"/>
      <c r="F3723" s="210"/>
      <c r="G3723" s="210"/>
      <c r="H3723" s="210"/>
    </row>
    <row r="3724" spans="3:8" x14ac:dyDescent="0.25">
      <c r="C3724" s="210"/>
      <c r="D3724" s="210"/>
      <c r="E3724" s="210"/>
      <c r="F3724" s="210"/>
      <c r="G3724" s="210"/>
      <c r="H3724" s="210"/>
    </row>
    <row r="3725" spans="3:8" x14ac:dyDescent="0.25">
      <c r="C3725" s="210"/>
      <c r="D3725" s="210"/>
      <c r="E3725" s="210"/>
      <c r="F3725" s="210"/>
      <c r="G3725" s="210"/>
      <c r="H3725" s="210"/>
    </row>
    <row r="3726" spans="3:8" x14ac:dyDescent="0.25">
      <c r="C3726" s="210"/>
      <c r="D3726" s="210"/>
      <c r="E3726" s="210"/>
      <c r="F3726" s="210"/>
      <c r="G3726" s="210"/>
      <c r="H3726" s="210"/>
    </row>
    <row r="3727" spans="3:8" x14ac:dyDescent="0.25">
      <c r="C3727" s="210"/>
      <c r="D3727" s="210"/>
      <c r="E3727" s="210"/>
      <c r="F3727" s="210"/>
      <c r="G3727" s="210"/>
      <c r="H3727" s="210"/>
    </row>
    <row r="3728" spans="3:8" x14ac:dyDescent="0.25">
      <c r="C3728" s="210"/>
      <c r="D3728" s="210"/>
      <c r="E3728" s="210"/>
      <c r="F3728" s="210"/>
      <c r="G3728" s="210"/>
      <c r="H3728" s="210"/>
    </row>
    <row r="3729" spans="3:8" x14ac:dyDescent="0.25">
      <c r="C3729" s="210"/>
      <c r="D3729" s="210"/>
      <c r="E3729" s="210"/>
      <c r="F3729" s="210"/>
      <c r="G3729" s="210"/>
      <c r="H3729" s="210"/>
    </row>
    <row r="3730" spans="3:8" x14ac:dyDescent="0.25">
      <c r="C3730" s="210"/>
      <c r="D3730" s="210"/>
      <c r="E3730" s="210"/>
      <c r="F3730" s="210"/>
      <c r="G3730" s="210"/>
      <c r="H3730" s="210"/>
    </row>
    <row r="3731" spans="3:8" x14ac:dyDescent="0.25">
      <c r="C3731" s="210"/>
      <c r="D3731" s="210"/>
      <c r="E3731" s="210"/>
      <c r="F3731" s="210"/>
      <c r="G3731" s="210"/>
      <c r="H3731" s="210"/>
    </row>
    <row r="3732" spans="3:8" x14ac:dyDescent="0.25">
      <c r="C3732" s="210"/>
      <c r="D3732" s="210"/>
      <c r="E3732" s="210"/>
      <c r="F3732" s="210"/>
      <c r="G3732" s="210"/>
      <c r="H3732" s="210"/>
    </row>
    <row r="3733" spans="3:8" x14ac:dyDescent="0.25">
      <c r="C3733" s="210"/>
      <c r="D3733" s="210"/>
      <c r="E3733" s="210"/>
      <c r="F3733" s="210"/>
      <c r="G3733" s="210"/>
      <c r="H3733" s="210"/>
    </row>
    <row r="3734" spans="3:8" x14ac:dyDescent="0.25">
      <c r="C3734" s="210"/>
      <c r="D3734" s="210"/>
      <c r="E3734" s="210"/>
      <c r="F3734" s="210"/>
      <c r="G3734" s="210"/>
      <c r="H3734" s="210"/>
    </row>
    <row r="3735" spans="3:8" x14ac:dyDescent="0.25">
      <c r="C3735" s="210"/>
      <c r="D3735" s="210"/>
      <c r="E3735" s="210"/>
      <c r="F3735" s="210"/>
      <c r="G3735" s="210"/>
      <c r="H3735" s="210"/>
    </row>
    <row r="3736" spans="3:8" x14ac:dyDescent="0.25">
      <c r="C3736" s="210"/>
      <c r="D3736" s="210"/>
      <c r="E3736" s="210"/>
      <c r="F3736" s="210"/>
      <c r="G3736" s="210"/>
      <c r="H3736" s="210"/>
    </row>
    <row r="3737" spans="3:8" x14ac:dyDescent="0.25">
      <c r="C3737" s="210"/>
      <c r="D3737" s="210"/>
      <c r="E3737" s="210"/>
      <c r="F3737" s="210"/>
      <c r="G3737" s="210"/>
      <c r="H3737" s="210"/>
    </row>
    <row r="3738" spans="3:8" x14ac:dyDescent="0.25">
      <c r="C3738" s="210"/>
      <c r="D3738" s="210"/>
      <c r="E3738" s="210"/>
      <c r="F3738" s="210"/>
      <c r="G3738" s="210"/>
      <c r="H3738" s="210"/>
    </row>
    <row r="3739" spans="3:8" x14ac:dyDescent="0.25">
      <c r="C3739" s="210"/>
      <c r="D3739" s="210"/>
      <c r="E3739" s="210"/>
      <c r="F3739" s="210"/>
      <c r="G3739" s="210"/>
      <c r="H3739" s="210"/>
    </row>
    <row r="3740" spans="3:8" x14ac:dyDescent="0.25">
      <c r="C3740" s="210"/>
      <c r="D3740" s="210"/>
      <c r="E3740" s="210"/>
      <c r="F3740" s="210"/>
      <c r="G3740" s="210"/>
      <c r="H3740" s="210"/>
    </row>
    <row r="3741" spans="3:8" x14ac:dyDescent="0.25">
      <c r="C3741" s="210"/>
      <c r="D3741" s="210"/>
      <c r="E3741" s="210"/>
      <c r="F3741" s="210"/>
      <c r="G3741" s="210"/>
      <c r="H3741" s="210"/>
    </row>
    <row r="3742" spans="3:8" x14ac:dyDescent="0.25">
      <c r="C3742" s="210"/>
      <c r="D3742" s="210"/>
      <c r="E3742" s="210"/>
      <c r="F3742" s="210"/>
      <c r="G3742" s="210"/>
      <c r="H3742" s="210"/>
    </row>
    <row r="3743" spans="3:8" x14ac:dyDescent="0.25">
      <c r="C3743" s="210"/>
      <c r="D3743" s="210"/>
      <c r="E3743" s="210"/>
      <c r="F3743" s="210"/>
      <c r="G3743" s="210"/>
      <c r="H3743" s="210"/>
    </row>
    <row r="3744" spans="3:8" x14ac:dyDescent="0.25">
      <c r="C3744" s="210"/>
      <c r="D3744" s="210"/>
      <c r="E3744" s="210"/>
      <c r="F3744" s="210"/>
      <c r="G3744" s="210"/>
      <c r="H3744" s="210"/>
    </row>
    <row r="3745" spans="3:8" x14ac:dyDescent="0.25">
      <c r="C3745" s="210"/>
      <c r="D3745" s="210"/>
      <c r="E3745" s="210"/>
      <c r="F3745" s="210"/>
      <c r="G3745" s="210"/>
      <c r="H3745" s="210"/>
    </row>
    <row r="3746" spans="3:8" x14ac:dyDescent="0.25">
      <c r="C3746" s="210"/>
      <c r="D3746" s="210"/>
      <c r="E3746" s="210"/>
      <c r="F3746" s="210"/>
      <c r="G3746" s="210"/>
      <c r="H3746" s="210"/>
    </row>
    <row r="3747" spans="3:8" x14ac:dyDescent="0.25">
      <c r="C3747" s="210"/>
      <c r="D3747" s="210"/>
      <c r="E3747" s="210"/>
      <c r="F3747" s="210"/>
      <c r="G3747" s="210"/>
      <c r="H3747" s="210"/>
    </row>
    <row r="3748" spans="3:8" x14ac:dyDescent="0.25">
      <c r="C3748" s="210"/>
      <c r="D3748" s="210"/>
      <c r="E3748" s="210"/>
      <c r="F3748" s="210"/>
      <c r="G3748" s="210"/>
      <c r="H3748" s="210"/>
    </row>
    <row r="3749" spans="3:8" x14ac:dyDescent="0.25">
      <c r="C3749" s="210"/>
      <c r="D3749" s="210"/>
      <c r="E3749" s="210"/>
      <c r="F3749" s="210"/>
      <c r="G3749" s="210"/>
      <c r="H3749" s="210"/>
    </row>
    <row r="3750" spans="3:8" x14ac:dyDescent="0.25">
      <c r="C3750" s="210"/>
      <c r="D3750" s="210"/>
      <c r="E3750" s="210"/>
      <c r="F3750" s="210"/>
      <c r="G3750" s="210"/>
      <c r="H3750" s="210"/>
    </row>
    <row r="3751" spans="3:8" x14ac:dyDescent="0.25">
      <c r="C3751" s="210"/>
      <c r="D3751" s="210"/>
      <c r="E3751" s="210"/>
      <c r="F3751" s="210"/>
      <c r="G3751" s="210"/>
      <c r="H3751" s="210"/>
    </row>
    <row r="3752" spans="3:8" x14ac:dyDescent="0.25">
      <c r="C3752" s="210"/>
      <c r="D3752" s="210"/>
      <c r="E3752" s="210"/>
      <c r="F3752" s="210"/>
      <c r="G3752" s="210"/>
      <c r="H3752" s="210"/>
    </row>
    <row r="3753" spans="3:8" x14ac:dyDescent="0.25">
      <c r="C3753" s="210"/>
      <c r="D3753" s="210"/>
      <c r="E3753" s="210"/>
      <c r="F3753" s="210"/>
      <c r="G3753" s="210"/>
      <c r="H3753" s="210"/>
    </row>
    <row r="3754" spans="3:8" x14ac:dyDescent="0.25">
      <c r="C3754" s="210"/>
      <c r="D3754" s="210"/>
      <c r="E3754" s="210"/>
      <c r="F3754" s="210"/>
      <c r="G3754" s="210"/>
      <c r="H3754" s="210"/>
    </row>
    <row r="3755" spans="3:8" x14ac:dyDescent="0.25">
      <c r="C3755" s="210"/>
      <c r="D3755" s="210"/>
      <c r="E3755" s="210"/>
      <c r="F3755" s="210"/>
      <c r="G3755" s="210"/>
      <c r="H3755" s="210"/>
    </row>
    <row r="3756" spans="3:8" x14ac:dyDescent="0.25">
      <c r="C3756" s="210"/>
      <c r="D3756" s="210"/>
      <c r="E3756" s="210"/>
      <c r="F3756" s="210"/>
      <c r="G3756" s="210"/>
      <c r="H3756" s="210"/>
    </row>
    <row r="3757" spans="3:8" x14ac:dyDescent="0.25">
      <c r="C3757" s="210"/>
      <c r="D3757" s="210"/>
      <c r="E3757" s="210"/>
      <c r="F3757" s="210"/>
      <c r="G3757" s="210"/>
      <c r="H3757" s="210"/>
    </row>
    <row r="3758" spans="3:8" x14ac:dyDescent="0.25">
      <c r="C3758" s="210"/>
      <c r="D3758" s="210"/>
      <c r="E3758" s="210"/>
      <c r="F3758" s="210"/>
      <c r="G3758" s="210"/>
      <c r="H3758" s="210"/>
    </row>
    <row r="3759" spans="3:8" x14ac:dyDescent="0.25">
      <c r="C3759" s="210"/>
      <c r="D3759" s="210"/>
      <c r="E3759" s="210"/>
      <c r="F3759" s="210"/>
      <c r="G3759" s="210"/>
      <c r="H3759" s="210"/>
    </row>
    <row r="3760" spans="3:8" x14ac:dyDescent="0.25">
      <c r="C3760" s="210"/>
      <c r="D3760" s="210"/>
      <c r="E3760" s="210"/>
      <c r="F3760" s="210"/>
      <c r="G3760" s="210"/>
      <c r="H3760" s="210"/>
    </row>
    <row r="3761" spans="3:8" x14ac:dyDescent="0.25">
      <c r="C3761" s="210"/>
      <c r="D3761" s="210"/>
      <c r="E3761" s="210"/>
      <c r="F3761" s="210"/>
      <c r="G3761" s="210"/>
      <c r="H3761" s="210"/>
    </row>
    <row r="3762" spans="3:8" x14ac:dyDescent="0.25">
      <c r="C3762" s="210"/>
      <c r="D3762" s="210"/>
      <c r="E3762" s="210"/>
      <c r="F3762" s="210"/>
      <c r="G3762" s="210"/>
      <c r="H3762" s="210"/>
    </row>
    <row r="3763" spans="3:8" x14ac:dyDescent="0.25">
      <c r="C3763" s="210"/>
      <c r="D3763" s="210"/>
      <c r="E3763" s="210"/>
      <c r="F3763" s="210"/>
      <c r="G3763" s="210"/>
      <c r="H3763" s="210"/>
    </row>
    <row r="3764" spans="3:8" x14ac:dyDescent="0.25">
      <c r="C3764" s="210"/>
      <c r="D3764" s="210"/>
      <c r="E3764" s="210"/>
      <c r="F3764" s="210"/>
      <c r="G3764" s="210"/>
      <c r="H3764" s="210"/>
    </row>
    <row r="3765" spans="3:8" x14ac:dyDescent="0.25">
      <c r="C3765" s="210"/>
      <c r="D3765" s="210"/>
      <c r="E3765" s="210"/>
      <c r="F3765" s="210"/>
      <c r="G3765" s="210"/>
      <c r="H3765" s="210"/>
    </row>
    <row r="3766" spans="3:8" x14ac:dyDescent="0.25">
      <c r="C3766" s="210"/>
      <c r="D3766" s="210"/>
      <c r="E3766" s="210"/>
      <c r="F3766" s="210"/>
      <c r="G3766" s="210"/>
      <c r="H3766" s="210"/>
    </row>
    <row r="3767" spans="3:8" x14ac:dyDescent="0.25">
      <c r="C3767" s="210"/>
      <c r="D3767" s="210"/>
      <c r="E3767" s="210"/>
      <c r="F3767" s="210"/>
      <c r="G3767" s="210"/>
      <c r="H3767" s="210"/>
    </row>
    <row r="3768" spans="3:8" x14ac:dyDescent="0.25">
      <c r="C3768" s="210"/>
      <c r="D3768" s="210"/>
      <c r="E3768" s="210"/>
      <c r="F3768" s="210"/>
      <c r="G3768" s="210"/>
      <c r="H3768" s="210"/>
    </row>
    <row r="3769" spans="3:8" x14ac:dyDescent="0.25">
      <c r="C3769" s="210"/>
      <c r="D3769" s="210"/>
      <c r="E3769" s="210"/>
      <c r="F3769" s="210"/>
      <c r="G3769" s="210"/>
      <c r="H3769" s="210"/>
    </row>
    <row r="3770" spans="3:8" x14ac:dyDescent="0.25">
      <c r="C3770" s="210"/>
      <c r="D3770" s="210"/>
      <c r="E3770" s="210"/>
      <c r="F3770" s="210"/>
      <c r="G3770" s="210"/>
      <c r="H3770" s="210"/>
    </row>
    <row r="3771" spans="3:8" x14ac:dyDescent="0.25">
      <c r="C3771" s="210"/>
      <c r="D3771" s="210"/>
      <c r="E3771" s="210"/>
      <c r="F3771" s="210"/>
      <c r="G3771" s="210"/>
      <c r="H3771" s="210"/>
    </row>
    <row r="3772" spans="3:8" x14ac:dyDescent="0.25">
      <c r="C3772" s="210"/>
      <c r="D3772" s="210"/>
      <c r="E3772" s="210"/>
      <c r="F3772" s="210"/>
      <c r="G3772" s="210"/>
      <c r="H3772" s="210"/>
    </row>
    <row r="3773" spans="3:8" x14ac:dyDescent="0.25">
      <c r="C3773" s="210"/>
      <c r="D3773" s="210"/>
      <c r="E3773" s="210"/>
      <c r="F3773" s="210"/>
      <c r="G3773" s="210"/>
      <c r="H3773" s="210"/>
    </row>
    <row r="3774" spans="3:8" x14ac:dyDescent="0.25">
      <c r="C3774" s="210"/>
      <c r="D3774" s="210"/>
      <c r="E3774" s="210"/>
      <c r="F3774" s="210"/>
      <c r="G3774" s="210"/>
      <c r="H3774" s="210"/>
    </row>
    <row r="3775" spans="3:8" x14ac:dyDescent="0.25">
      <c r="C3775" s="210"/>
      <c r="D3775" s="210"/>
      <c r="E3775" s="210"/>
      <c r="F3775" s="210"/>
      <c r="G3775" s="210"/>
      <c r="H3775" s="210"/>
    </row>
    <row r="3776" spans="3:8" x14ac:dyDescent="0.25">
      <c r="C3776" s="210"/>
      <c r="D3776" s="210"/>
      <c r="E3776" s="210"/>
      <c r="F3776" s="210"/>
      <c r="G3776" s="210"/>
      <c r="H3776" s="210"/>
    </row>
    <row r="3777" spans="3:8" x14ac:dyDescent="0.25">
      <c r="C3777" s="210"/>
      <c r="D3777" s="210"/>
      <c r="E3777" s="210"/>
      <c r="F3777" s="210"/>
      <c r="G3777" s="210"/>
      <c r="H3777" s="210"/>
    </row>
    <row r="3778" spans="3:8" x14ac:dyDescent="0.25">
      <c r="C3778" s="210"/>
      <c r="D3778" s="210"/>
      <c r="E3778" s="210"/>
      <c r="F3778" s="210"/>
      <c r="G3778" s="210"/>
      <c r="H3778" s="210"/>
    </row>
    <row r="3779" spans="3:8" x14ac:dyDescent="0.25">
      <c r="C3779" s="210"/>
      <c r="D3779" s="210"/>
      <c r="E3779" s="210"/>
      <c r="F3779" s="210"/>
      <c r="G3779" s="210"/>
      <c r="H3779" s="210"/>
    </row>
    <row r="3780" spans="3:8" x14ac:dyDescent="0.25">
      <c r="C3780" s="210"/>
      <c r="D3780" s="210"/>
      <c r="E3780" s="210"/>
      <c r="F3780" s="210"/>
      <c r="G3780" s="210"/>
      <c r="H3780" s="210"/>
    </row>
    <row r="3781" spans="3:8" x14ac:dyDescent="0.25">
      <c r="C3781" s="210"/>
      <c r="D3781" s="210"/>
      <c r="E3781" s="210"/>
      <c r="F3781" s="210"/>
      <c r="G3781" s="210"/>
      <c r="H3781" s="210"/>
    </row>
    <row r="3782" spans="3:8" x14ac:dyDescent="0.25">
      <c r="C3782" s="210"/>
      <c r="D3782" s="210"/>
      <c r="E3782" s="210"/>
      <c r="F3782" s="210"/>
      <c r="G3782" s="210"/>
      <c r="H3782" s="210"/>
    </row>
    <row r="3783" spans="3:8" x14ac:dyDescent="0.25">
      <c r="C3783" s="210"/>
      <c r="D3783" s="210"/>
      <c r="E3783" s="210"/>
      <c r="F3783" s="210"/>
      <c r="G3783" s="210"/>
      <c r="H3783" s="210"/>
    </row>
    <row r="3784" spans="3:8" x14ac:dyDescent="0.25">
      <c r="C3784" s="210"/>
      <c r="D3784" s="210"/>
      <c r="E3784" s="210"/>
      <c r="F3784" s="210"/>
      <c r="G3784" s="210"/>
      <c r="H3784" s="210"/>
    </row>
    <row r="3785" spans="3:8" x14ac:dyDescent="0.25">
      <c r="C3785" s="210"/>
      <c r="D3785" s="210"/>
      <c r="E3785" s="210"/>
      <c r="F3785" s="210"/>
      <c r="G3785" s="210"/>
      <c r="H3785" s="210"/>
    </row>
    <row r="3786" spans="3:8" x14ac:dyDescent="0.25">
      <c r="C3786" s="210"/>
      <c r="D3786" s="210"/>
      <c r="E3786" s="210"/>
      <c r="F3786" s="210"/>
      <c r="G3786" s="210"/>
      <c r="H3786" s="210"/>
    </row>
    <row r="3787" spans="3:8" x14ac:dyDescent="0.25">
      <c r="C3787" s="210"/>
      <c r="D3787" s="210"/>
      <c r="E3787" s="210"/>
      <c r="F3787" s="210"/>
      <c r="G3787" s="210"/>
      <c r="H3787" s="210"/>
    </row>
    <row r="3788" spans="3:8" x14ac:dyDescent="0.25">
      <c r="C3788" s="210"/>
      <c r="D3788" s="210"/>
      <c r="E3788" s="210"/>
      <c r="F3788" s="210"/>
      <c r="G3788" s="210"/>
      <c r="H3788" s="210"/>
    </row>
    <row r="3789" spans="3:8" x14ac:dyDescent="0.25">
      <c r="C3789" s="210"/>
      <c r="D3789" s="210"/>
      <c r="E3789" s="210"/>
      <c r="F3789" s="210"/>
      <c r="G3789" s="210"/>
      <c r="H3789" s="210"/>
    </row>
    <row r="3790" spans="3:8" x14ac:dyDescent="0.25">
      <c r="C3790" s="210"/>
      <c r="D3790" s="210"/>
      <c r="E3790" s="210"/>
      <c r="F3790" s="210"/>
      <c r="G3790" s="210"/>
      <c r="H3790" s="210"/>
    </row>
    <row r="3791" spans="3:8" x14ac:dyDescent="0.25">
      <c r="C3791" s="210"/>
      <c r="D3791" s="210"/>
      <c r="E3791" s="210"/>
      <c r="F3791" s="210"/>
      <c r="G3791" s="210"/>
      <c r="H3791" s="210"/>
    </row>
    <row r="3792" spans="3:8" x14ac:dyDescent="0.25">
      <c r="C3792" s="210"/>
      <c r="D3792" s="210"/>
      <c r="E3792" s="210"/>
      <c r="F3792" s="210"/>
      <c r="G3792" s="210"/>
      <c r="H3792" s="210"/>
    </row>
    <row r="3793" spans="3:8" x14ac:dyDescent="0.25">
      <c r="C3793" s="210"/>
      <c r="D3793" s="210"/>
      <c r="E3793" s="210"/>
      <c r="F3793" s="210"/>
      <c r="G3793" s="210"/>
      <c r="H3793" s="210"/>
    </row>
    <row r="3794" spans="3:8" x14ac:dyDescent="0.25">
      <c r="C3794" s="210"/>
      <c r="D3794" s="210"/>
      <c r="E3794" s="210"/>
      <c r="F3794" s="210"/>
      <c r="G3794" s="210"/>
      <c r="H3794" s="210"/>
    </row>
    <row r="3795" spans="3:8" x14ac:dyDescent="0.25">
      <c r="C3795" s="210"/>
      <c r="D3795" s="210"/>
      <c r="E3795" s="210"/>
      <c r="F3795" s="210"/>
      <c r="G3795" s="210"/>
      <c r="H3795" s="210"/>
    </row>
    <row r="3796" spans="3:8" x14ac:dyDescent="0.25">
      <c r="C3796" s="210"/>
      <c r="D3796" s="210"/>
      <c r="E3796" s="210"/>
      <c r="F3796" s="210"/>
      <c r="G3796" s="210"/>
      <c r="H3796" s="210"/>
    </row>
    <row r="3797" spans="3:8" x14ac:dyDescent="0.25">
      <c r="C3797" s="210"/>
      <c r="D3797" s="210"/>
      <c r="E3797" s="210"/>
      <c r="F3797" s="210"/>
      <c r="G3797" s="210"/>
      <c r="H3797" s="210"/>
    </row>
    <row r="3798" spans="3:8" x14ac:dyDescent="0.25">
      <c r="C3798" s="210"/>
      <c r="D3798" s="210"/>
      <c r="E3798" s="210"/>
      <c r="F3798" s="210"/>
      <c r="G3798" s="210"/>
      <c r="H3798" s="210"/>
    </row>
    <row r="3799" spans="3:8" x14ac:dyDescent="0.25">
      <c r="C3799" s="210"/>
      <c r="D3799" s="210"/>
      <c r="E3799" s="210"/>
      <c r="F3799" s="210"/>
      <c r="G3799" s="210"/>
      <c r="H3799" s="210"/>
    </row>
    <row r="3800" spans="3:8" x14ac:dyDescent="0.25">
      <c r="C3800" s="210"/>
      <c r="D3800" s="210"/>
      <c r="E3800" s="210"/>
      <c r="F3800" s="210"/>
      <c r="G3800" s="210"/>
      <c r="H3800" s="210"/>
    </row>
    <row r="3801" spans="3:8" x14ac:dyDescent="0.25">
      <c r="C3801" s="210"/>
      <c r="D3801" s="210"/>
      <c r="E3801" s="210"/>
      <c r="F3801" s="210"/>
      <c r="G3801" s="210"/>
      <c r="H3801" s="210"/>
    </row>
    <row r="3802" spans="3:8" x14ac:dyDescent="0.25">
      <c r="C3802" s="210"/>
      <c r="D3802" s="210"/>
      <c r="E3802" s="210"/>
      <c r="F3802" s="210"/>
      <c r="G3802" s="210"/>
      <c r="H3802" s="210"/>
    </row>
    <row r="3803" spans="3:8" x14ac:dyDescent="0.25">
      <c r="C3803" s="210"/>
      <c r="D3803" s="210"/>
      <c r="E3803" s="210"/>
      <c r="F3803" s="210"/>
      <c r="G3803" s="210"/>
      <c r="H3803" s="210"/>
    </row>
    <row r="3804" spans="3:8" x14ac:dyDescent="0.25">
      <c r="C3804" s="210"/>
      <c r="D3804" s="210"/>
      <c r="E3804" s="210"/>
      <c r="F3804" s="210"/>
      <c r="G3804" s="210"/>
      <c r="H3804" s="210"/>
    </row>
    <row r="3805" spans="3:8" x14ac:dyDescent="0.25">
      <c r="C3805" s="210"/>
      <c r="D3805" s="210"/>
      <c r="E3805" s="210"/>
      <c r="F3805" s="210"/>
      <c r="G3805" s="210"/>
      <c r="H3805" s="210"/>
    </row>
    <row r="3806" spans="3:8" x14ac:dyDescent="0.25">
      <c r="C3806" s="210"/>
      <c r="D3806" s="210"/>
      <c r="E3806" s="210"/>
      <c r="F3806" s="210"/>
      <c r="G3806" s="210"/>
      <c r="H3806" s="210"/>
    </row>
    <row r="3807" spans="3:8" x14ac:dyDescent="0.25">
      <c r="C3807" s="210"/>
      <c r="D3807" s="210"/>
      <c r="E3807" s="210"/>
      <c r="F3807" s="210"/>
      <c r="G3807" s="210"/>
      <c r="H3807" s="210"/>
    </row>
    <row r="3808" spans="3:8" x14ac:dyDescent="0.25">
      <c r="C3808" s="210"/>
      <c r="D3808" s="210"/>
      <c r="E3808" s="210"/>
      <c r="F3808" s="210"/>
      <c r="G3808" s="210"/>
      <c r="H3808" s="210"/>
    </row>
    <row r="3809" spans="3:8" x14ac:dyDescent="0.25">
      <c r="C3809" s="210"/>
      <c r="D3809" s="210"/>
      <c r="E3809" s="210"/>
      <c r="F3809" s="210"/>
      <c r="G3809" s="210"/>
      <c r="H3809" s="210"/>
    </row>
    <row r="3810" spans="3:8" x14ac:dyDescent="0.25">
      <c r="C3810" s="210"/>
      <c r="D3810" s="210"/>
      <c r="E3810" s="210"/>
      <c r="F3810" s="210"/>
      <c r="G3810" s="210"/>
      <c r="H3810" s="210"/>
    </row>
    <row r="3811" spans="3:8" x14ac:dyDescent="0.25">
      <c r="C3811" s="210"/>
      <c r="D3811" s="210"/>
      <c r="E3811" s="210"/>
      <c r="F3811" s="210"/>
      <c r="G3811" s="210"/>
      <c r="H3811" s="210"/>
    </row>
    <row r="3812" spans="3:8" x14ac:dyDescent="0.25">
      <c r="C3812" s="210"/>
      <c r="D3812" s="210"/>
      <c r="E3812" s="210"/>
      <c r="F3812" s="210"/>
      <c r="G3812" s="210"/>
      <c r="H3812" s="210"/>
    </row>
    <row r="3813" spans="3:8" x14ac:dyDescent="0.25">
      <c r="C3813" s="210"/>
      <c r="D3813" s="210"/>
      <c r="E3813" s="210"/>
      <c r="F3813" s="210"/>
      <c r="G3813" s="210"/>
      <c r="H3813" s="210"/>
    </row>
    <row r="3814" spans="3:8" x14ac:dyDescent="0.25">
      <c r="C3814" s="210"/>
      <c r="D3814" s="210"/>
      <c r="E3814" s="210"/>
      <c r="F3814" s="210"/>
      <c r="G3814" s="210"/>
      <c r="H3814" s="210"/>
    </row>
    <row r="3815" spans="3:8" x14ac:dyDescent="0.25">
      <c r="C3815" s="210"/>
      <c r="D3815" s="210"/>
      <c r="E3815" s="210"/>
      <c r="F3815" s="210"/>
      <c r="G3815" s="210"/>
      <c r="H3815" s="210"/>
    </row>
    <row r="3816" spans="3:8" x14ac:dyDescent="0.25">
      <c r="C3816" s="210"/>
      <c r="D3816" s="210"/>
      <c r="E3816" s="210"/>
      <c r="F3816" s="210"/>
      <c r="G3816" s="210"/>
      <c r="H3816" s="210"/>
    </row>
    <row r="3817" spans="3:8" x14ac:dyDescent="0.25">
      <c r="C3817" s="210"/>
      <c r="D3817" s="210"/>
      <c r="E3817" s="210"/>
      <c r="F3817" s="210"/>
      <c r="G3817" s="210"/>
      <c r="H3817" s="210"/>
    </row>
    <row r="3818" spans="3:8" x14ac:dyDescent="0.25">
      <c r="C3818" s="210"/>
      <c r="D3818" s="210"/>
      <c r="E3818" s="210"/>
      <c r="F3818" s="210"/>
      <c r="G3818" s="210"/>
      <c r="H3818" s="210"/>
    </row>
    <row r="3819" spans="3:8" x14ac:dyDescent="0.25">
      <c r="C3819" s="210"/>
      <c r="D3819" s="210"/>
      <c r="E3819" s="210"/>
      <c r="F3819" s="210"/>
      <c r="G3819" s="210"/>
      <c r="H3819" s="210"/>
    </row>
    <row r="3820" spans="3:8" x14ac:dyDescent="0.25">
      <c r="C3820" s="210"/>
      <c r="D3820" s="210"/>
      <c r="E3820" s="210"/>
      <c r="F3820" s="210"/>
      <c r="G3820" s="210"/>
      <c r="H3820" s="210"/>
    </row>
    <row r="3821" spans="3:8" x14ac:dyDescent="0.25">
      <c r="C3821" s="210"/>
      <c r="D3821" s="210"/>
      <c r="E3821" s="210"/>
      <c r="F3821" s="210"/>
      <c r="G3821" s="210"/>
      <c r="H3821" s="210"/>
    </row>
    <row r="3822" spans="3:8" x14ac:dyDescent="0.25">
      <c r="C3822" s="210"/>
      <c r="D3822" s="210"/>
      <c r="E3822" s="210"/>
      <c r="F3822" s="210"/>
      <c r="G3822" s="210"/>
      <c r="H3822" s="210"/>
    </row>
    <row r="3823" spans="3:8" x14ac:dyDescent="0.25">
      <c r="C3823" s="210"/>
      <c r="D3823" s="210"/>
      <c r="E3823" s="210"/>
      <c r="F3823" s="210"/>
      <c r="G3823" s="210"/>
      <c r="H3823" s="210"/>
    </row>
    <row r="3824" spans="3:8" x14ac:dyDescent="0.25">
      <c r="C3824" s="210"/>
      <c r="D3824" s="210"/>
      <c r="E3824" s="210"/>
      <c r="F3824" s="210"/>
      <c r="G3824" s="210"/>
      <c r="H3824" s="210"/>
    </row>
    <row r="3825" spans="3:8" x14ac:dyDescent="0.25">
      <c r="C3825" s="210"/>
      <c r="D3825" s="210"/>
      <c r="E3825" s="210"/>
      <c r="F3825" s="210"/>
      <c r="G3825" s="210"/>
      <c r="H3825" s="210"/>
    </row>
    <row r="3826" spans="3:8" x14ac:dyDescent="0.25">
      <c r="C3826" s="210"/>
      <c r="D3826" s="210"/>
      <c r="E3826" s="210"/>
      <c r="F3826" s="210"/>
      <c r="G3826" s="210"/>
      <c r="H3826" s="210"/>
    </row>
    <row r="3827" spans="3:8" x14ac:dyDescent="0.25">
      <c r="C3827" s="210"/>
      <c r="D3827" s="210"/>
      <c r="E3827" s="210"/>
      <c r="F3827" s="210"/>
      <c r="G3827" s="210"/>
      <c r="H3827" s="210"/>
    </row>
    <row r="3828" spans="3:8" x14ac:dyDescent="0.25">
      <c r="C3828" s="210"/>
      <c r="D3828" s="210"/>
      <c r="E3828" s="210"/>
      <c r="F3828" s="210"/>
      <c r="G3828" s="210"/>
      <c r="H3828" s="210"/>
    </row>
    <row r="3829" spans="3:8" x14ac:dyDescent="0.25">
      <c r="C3829" s="210"/>
      <c r="D3829" s="210"/>
      <c r="E3829" s="210"/>
      <c r="F3829" s="210"/>
      <c r="G3829" s="210"/>
      <c r="H3829" s="210"/>
    </row>
    <row r="3830" spans="3:8" x14ac:dyDescent="0.25">
      <c r="C3830" s="210"/>
      <c r="D3830" s="210"/>
      <c r="E3830" s="210"/>
      <c r="F3830" s="210"/>
      <c r="G3830" s="210"/>
      <c r="H3830" s="210"/>
    </row>
    <row r="3831" spans="3:8" x14ac:dyDescent="0.25">
      <c r="C3831" s="210"/>
      <c r="D3831" s="210"/>
      <c r="E3831" s="210"/>
      <c r="F3831" s="210"/>
      <c r="G3831" s="210"/>
      <c r="H3831" s="210"/>
    </row>
    <row r="3832" spans="3:8" x14ac:dyDescent="0.25">
      <c r="C3832" s="210"/>
      <c r="D3832" s="210"/>
      <c r="E3832" s="210"/>
      <c r="F3832" s="210"/>
      <c r="G3832" s="210"/>
      <c r="H3832" s="210"/>
    </row>
    <row r="3833" spans="3:8" x14ac:dyDescent="0.25">
      <c r="C3833" s="210"/>
      <c r="D3833" s="210"/>
      <c r="E3833" s="210"/>
      <c r="F3833" s="210"/>
      <c r="G3833" s="210"/>
      <c r="H3833" s="210"/>
    </row>
    <row r="3834" spans="3:8" x14ac:dyDescent="0.25">
      <c r="C3834" s="210"/>
      <c r="D3834" s="210"/>
      <c r="E3834" s="210"/>
      <c r="F3834" s="210"/>
      <c r="G3834" s="210"/>
      <c r="H3834" s="210"/>
    </row>
    <row r="3835" spans="3:8" x14ac:dyDescent="0.25">
      <c r="C3835" s="210"/>
      <c r="D3835" s="210"/>
      <c r="E3835" s="210"/>
      <c r="F3835" s="210"/>
      <c r="G3835" s="210"/>
      <c r="H3835" s="210"/>
    </row>
    <row r="3836" spans="3:8" x14ac:dyDescent="0.25">
      <c r="C3836" s="210"/>
      <c r="D3836" s="210"/>
      <c r="E3836" s="210"/>
      <c r="F3836" s="210"/>
      <c r="G3836" s="210"/>
      <c r="H3836" s="210"/>
    </row>
    <row r="3837" spans="3:8" x14ac:dyDescent="0.25">
      <c r="C3837" s="210"/>
      <c r="D3837" s="210"/>
      <c r="E3837" s="210"/>
      <c r="F3837" s="210"/>
      <c r="G3837" s="210"/>
      <c r="H3837" s="210"/>
    </row>
    <row r="3838" spans="3:8" x14ac:dyDescent="0.25">
      <c r="C3838" s="210"/>
      <c r="D3838" s="210"/>
      <c r="E3838" s="210"/>
      <c r="F3838" s="210"/>
      <c r="G3838" s="210"/>
      <c r="H3838" s="210"/>
    </row>
    <row r="3839" spans="3:8" x14ac:dyDescent="0.25">
      <c r="C3839" s="210"/>
      <c r="D3839" s="210"/>
      <c r="E3839" s="210"/>
      <c r="F3839" s="210"/>
      <c r="G3839" s="210"/>
      <c r="H3839" s="210"/>
    </row>
    <row r="3840" spans="3:8" x14ac:dyDescent="0.25">
      <c r="C3840" s="210"/>
      <c r="D3840" s="210"/>
      <c r="E3840" s="210"/>
      <c r="F3840" s="210"/>
      <c r="G3840" s="210"/>
      <c r="H3840" s="210"/>
    </row>
    <row r="3841" spans="3:8" x14ac:dyDescent="0.25">
      <c r="C3841" s="210"/>
      <c r="D3841" s="210"/>
      <c r="E3841" s="210"/>
      <c r="F3841" s="210"/>
      <c r="G3841" s="210"/>
      <c r="H3841" s="210"/>
    </row>
    <row r="3842" spans="3:8" x14ac:dyDescent="0.25">
      <c r="C3842" s="210"/>
      <c r="D3842" s="210"/>
      <c r="E3842" s="210"/>
      <c r="F3842" s="210"/>
      <c r="G3842" s="210"/>
      <c r="H3842" s="210"/>
    </row>
    <row r="3843" spans="3:8" x14ac:dyDescent="0.25">
      <c r="C3843" s="210"/>
      <c r="D3843" s="210"/>
      <c r="E3843" s="210"/>
      <c r="F3843" s="210"/>
      <c r="G3843" s="210"/>
      <c r="H3843" s="210"/>
    </row>
    <row r="3844" spans="3:8" x14ac:dyDescent="0.25">
      <c r="C3844" s="210"/>
      <c r="D3844" s="210"/>
      <c r="E3844" s="210"/>
      <c r="F3844" s="210"/>
      <c r="G3844" s="210"/>
      <c r="H3844" s="210"/>
    </row>
    <row r="3845" spans="3:8" x14ac:dyDescent="0.25">
      <c r="C3845" s="210"/>
      <c r="D3845" s="210"/>
      <c r="E3845" s="210"/>
      <c r="F3845" s="210"/>
      <c r="G3845" s="210"/>
      <c r="H3845" s="210"/>
    </row>
    <row r="3846" spans="3:8" x14ac:dyDescent="0.25">
      <c r="C3846" s="210"/>
      <c r="D3846" s="210"/>
      <c r="E3846" s="210"/>
      <c r="F3846" s="210"/>
      <c r="G3846" s="210"/>
      <c r="H3846" s="210"/>
    </row>
    <row r="3847" spans="3:8" x14ac:dyDescent="0.25">
      <c r="C3847" s="210"/>
      <c r="D3847" s="210"/>
      <c r="E3847" s="210"/>
      <c r="F3847" s="210"/>
      <c r="G3847" s="210"/>
      <c r="H3847" s="210"/>
    </row>
    <row r="3848" spans="3:8" x14ac:dyDescent="0.25">
      <c r="C3848" s="210"/>
      <c r="D3848" s="210"/>
      <c r="E3848" s="210"/>
      <c r="F3848" s="210"/>
      <c r="G3848" s="210"/>
      <c r="H3848" s="210"/>
    </row>
    <row r="3849" spans="3:8" x14ac:dyDescent="0.25">
      <c r="C3849" s="210"/>
      <c r="D3849" s="210"/>
      <c r="E3849" s="210"/>
      <c r="F3849" s="210"/>
      <c r="G3849" s="210"/>
      <c r="H3849" s="210"/>
    </row>
    <row r="3850" spans="3:8" x14ac:dyDescent="0.25">
      <c r="C3850" s="210"/>
      <c r="D3850" s="210"/>
      <c r="E3850" s="210"/>
      <c r="F3850" s="210"/>
      <c r="G3850" s="210"/>
      <c r="H3850" s="210"/>
    </row>
    <row r="3851" spans="3:8" x14ac:dyDescent="0.25">
      <c r="C3851" s="210"/>
      <c r="D3851" s="210"/>
      <c r="E3851" s="210"/>
      <c r="F3851" s="210"/>
      <c r="G3851" s="210"/>
      <c r="H3851" s="210"/>
    </row>
    <row r="3852" spans="3:8" x14ac:dyDescent="0.25">
      <c r="C3852" s="210"/>
      <c r="D3852" s="210"/>
      <c r="E3852" s="210"/>
      <c r="F3852" s="210"/>
      <c r="G3852" s="210"/>
      <c r="H3852" s="210"/>
    </row>
    <row r="3853" spans="3:8" x14ac:dyDescent="0.25">
      <c r="C3853" s="210"/>
      <c r="D3853" s="210"/>
      <c r="E3853" s="210"/>
      <c r="F3853" s="210"/>
      <c r="G3853" s="210"/>
      <c r="H3853" s="210"/>
    </row>
    <row r="3854" spans="3:8" x14ac:dyDescent="0.25">
      <c r="C3854" s="210"/>
      <c r="D3854" s="210"/>
      <c r="E3854" s="210"/>
      <c r="F3854" s="210"/>
      <c r="G3854" s="210"/>
      <c r="H3854" s="210"/>
    </row>
    <row r="3855" spans="3:8" x14ac:dyDescent="0.25">
      <c r="C3855" s="210"/>
      <c r="D3855" s="210"/>
      <c r="E3855" s="210"/>
      <c r="F3855" s="210"/>
      <c r="G3855" s="210"/>
      <c r="H3855" s="210"/>
    </row>
    <row r="3856" spans="3:8" x14ac:dyDescent="0.25">
      <c r="C3856" s="210"/>
      <c r="D3856" s="210"/>
      <c r="E3856" s="210"/>
      <c r="F3856" s="210"/>
      <c r="G3856" s="210"/>
      <c r="H3856" s="210"/>
    </row>
    <row r="3857" spans="3:8" x14ac:dyDescent="0.25">
      <c r="C3857" s="210"/>
      <c r="D3857" s="210"/>
      <c r="E3857" s="210"/>
      <c r="F3857" s="210"/>
      <c r="G3857" s="210"/>
      <c r="H3857" s="210"/>
    </row>
    <row r="3858" spans="3:8" x14ac:dyDescent="0.25">
      <c r="C3858" s="210"/>
      <c r="D3858" s="210"/>
      <c r="E3858" s="210"/>
      <c r="F3858" s="210"/>
      <c r="G3858" s="210"/>
      <c r="H3858" s="210"/>
    </row>
    <row r="3859" spans="3:8" x14ac:dyDescent="0.25">
      <c r="C3859" s="210"/>
      <c r="D3859" s="210"/>
      <c r="E3859" s="210"/>
      <c r="F3859" s="210"/>
      <c r="G3859" s="210"/>
      <c r="H3859" s="210"/>
    </row>
    <row r="3860" spans="3:8" x14ac:dyDescent="0.25">
      <c r="C3860" s="210"/>
      <c r="D3860" s="210"/>
      <c r="E3860" s="210"/>
      <c r="F3860" s="210"/>
      <c r="G3860" s="210"/>
      <c r="H3860" s="210"/>
    </row>
    <row r="3861" spans="3:8" x14ac:dyDescent="0.25">
      <c r="C3861" s="210"/>
      <c r="D3861" s="210"/>
      <c r="E3861" s="210"/>
      <c r="F3861" s="210"/>
      <c r="G3861" s="210"/>
      <c r="H3861" s="210"/>
    </row>
    <row r="3862" spans="3:8" x14ac:dyDescent="0.25">
      <c r="C3862" s="210"/>
      <c r="D3862" s="210"/>
      <c r="E3862" s="210"/>
      <c r="F3862" s="210"/>
      <c r="G3862" s="210"/>
      <c r="H3862" s="210"/>
    </row>
    <row r="3863" spans="3:8" x14ac:dyDescent="0.25">
      <c r="C3863" s="210"/>
      <c r="D3863" s="210"/>
      <c r="E3863" s="210"/>
      <c r="F3863" s="210"/>
      <c r="G3863" s="210"/>
      <c r="H3863" s="210"/>
    </row>
    <row r="3864" spans="3:8" x14ac:dyDescent="0.25">
      <c r="C3864" s="210"/>
      <c r="D3864" s="210"/>
      <c r="E3864" s="210"/>
      <c r="F3864" s="210"/>
      <c r="G3864" s="210"/>
      <c r="H3864" s="210"/>
    </row>
    <row r="3865" spans="3:8" x14ac:dyDescent="0.25">
      <c r="C3865" s="210"/>
      <c r="D3865" s="210"/>
      <c r="E3865" s="210"/>
      <c r="F3865" s="210"/>
      <c r="G3865" s="210"/>
      <c r="H3865" s="210"/>
    </row>
    <row r="3866" spans="3:8" x14ac:dyDescent="0.25">
      <c r="C3866" s="210"/>
      <c r="D3866" s="210"/>
      <c r="E3866" s="210"/>
      <c r="F3866" s="210"/>
      <c r="G3866" s="210"/>
      <c r="H3866" s="210"/>
    </row>
    <row r="3867" spans="3:8" x14ac:dyDescent="0.25">
      <c r="C3867" s="210"/>
      <c r="D3867" s="210"/>
      <c r="E3867" s="210"/>
      <c r="F3867" s="210"/>
      <c r="G3867" s="210"/>
      <c r="H3867" s="210"/>
    </row>
    <row r="3868" spans="3:8" x14ac:dyDescent="0.25">
      <c r="C3868" s="210"/>
      <c r="D3868" s="210"/>
      <c r="E3868" s="210"/>
      <c r="F3868" s="210"/>
      <c r="G3868" s="210"/>
      <c r="H3868" s="210"/>
    </row>
    <row r="3869" spans="3:8" x14ac:dyDescent="0.25">
      <c r="C3869" s="210"/>
      <c r="D3869" s="210"/>
      <c r="E3869" s="210"/>
      <c r="F3869" s="210"/>
      <c r="G3869" s="210"/>
      <c r="H3869" s="210"/>
    </row>
    <row r="3870" spans="3:8" x14ac:dyDescent="0.25">
      <c r="C3870" s="210"/>
      <c r="D3870" s="210"/>
      <c r="E3870" s="210"/>
      <c r="F3870" s="210"/>
      <c r="G3870" s="210"/>
      <c r="H3870" s="210"/>
    </row>
    <row r="3871" spans="3:8" x14ac:dyDescent="0.25">
      <c r="C3871" s="210"/>
      <c r="D3871" s="210"/>
      <c r="E3871" s="210"/>
      <c r="F3871" s="210"/>
      <c r="G3871" s="210"/>
      <c r="H3871" s="210"/>
    </row>
    <row r="3872" spans="3:8" x14ac:dyDescent="0.25">
      <c r="C3872" s="210"/>
      <c r="D3872" s="210"/>
      <c r="E3872" s="210"/>
      <c r="F3872" s="210"/>
      <c r="G3872" s="210"/>
      <c r="H3872" s="210"/>
    </row>
    <row r="3873" spans="3:8" x14ac:dyDescent="0.25">
      <c r="C3873" s="210"/>
      <c r="D3873" s="210"/>
      <c r="E3873" s="210"/>
      <c r="F3873" s="210"/>
      <c r="G3873" s="210"/>
      <c r="H3873" s="210"/>
    </row>
    <row r="3874" spans="3:8" x14ac:dyDescent="0.25">
      <c r="C3874" s="210"/>
      <c r="D3874" s="210"/>
      <c r="E3874" s="210"/>
      <c r="F3874" s="210"/>
      <c r="G3874" s="210"/>
      <c r="H3874" s="210"/>
    </row>
    <row r="3875" spans="3:8" x14ac:dyDescent="0.25">
      <c r="C3875" s="210"/>
      <c r="D3875" s="210"/>
      <c r="E3875" s="210"/>
      <c r="F3875" s="210"/>
      <c r="G3875" s="210"/>
      <c r="H3875" s="210"/>
    </row>
    <row r="3876" spans="3:8" x14ac:dyDescent="0.25">
      <c r="C3876" s="210"/>
      <c r="D3876" s="210"/>
      <c r="E3876" s="210"/>
      <c r="F3876" s="210"/>
      <c r="G3876" s="210"/>
      <c r="H3876" s="210"/>
    </row>
    <row r="3877" spans="3:8" x14ac:dyDescent="0.25">
      <c r="C3877" s="210"/>
      <c r="D3877" s="210"/>
      <c r="E3877" s="210"/>
      <c r="F3877" s="210"/>
      <c r="G3877" s="210"/>
      <c r="H3877" s="210"/>
    </row>
    <row r="3878" spans="3:8" x14ac:dyDescent="0.25">
      <c r="C3878" s="210"/>
      <c r="D3878" s="210"/>
      <c r="E3878" s="210"/>
      <c r="F3878" s="210"/>
      <c r="G3878" s="210"/>
      <c r="H3878" s="210"/>
    </row>
    <row r="3879" spans="3:8" x14ac:dyDescent="0.25">
      <c r="C3879" s="210"/>
      <c r="D3879" s="210"/>
      <c r="E3879" s="210"/>
      <c r="F3879" s="210"/>
      <c r="G3879" s="210"/>
      <c r="H3879" s="210"/>
    </row>
    <row r="3880" spans="3:8" x14ac:dyDescent="0.25">
      <c r="C3880" s="210"/>
      <c r="D3880" s="210"/>
      <c r="E3880" s="210"/>
      <c r="F3880" s="210"/>
      <c r="G3880" s="210"/>
      <c r="H3880" s="210"/>
    </row>
    <row r="3881" spans="3:8" x14ac:dyDescent="0.25">
      <c r="C3881" s="210"/>
      <c r="D3881" s="210"/>
      <c r="E3881" s="210"/>
      <c r="F3881" s="210"/>
      <c r="G3881" s="210"/>
      <c r="H3881" s="210"/>
    </row>
    <row r="3882" spans="3:8" x14ac:dyDescent="0.25">
      <c r="C3882" s="210"/>
      <c r="D3882" s="210"/>
      <c r="E3882" s="210"/>
      <c r="F3882" s="210"/>
      <c r="G3882" s="210"/>
      <c r="H3882" s="210"/>
    </row>
    <row r="3883" spans="3:8" x14ac:dyDescent="0.25">
      <c r="C3883" s="210"/>
      <c r="D3883" s="210"/>
      <c r="E3883" s="210"/>
      <c r="F3883" s="210"/>
      <c r="G3883" s="210"/>
      <c r="H3883" s="210"/>
    </row>
    <row r="3884" spans="3:8" x14ac:dyDescent="0.25">
      <c r="C3884" s="210"/>
      <c r="D3884" s="210"/>
      <c r="E3884" s="210"/>
      <c r="F3884" s="210"/>
      <c r="G3884" s="210"/>
      <c r="H3884" s="210"/>
    </row>
    <row r="3885" spans="3:8" x14ac:dyDescent="0.25">
      <c r="C3885" s="210"/>
      <c r="D3885" s="210"/>
      <c r="E3885" s="210"/>
      <c r="F3885" s="210"/>
      <c r="G3885" s="210"/>
      <c r="H3885" s="210"/>
    </row>
    <row r="3886" spans="3:8" x14ac:dyDescent="0.25">
      <c r="C3886" s="210"/>
      <c r="D3886" s="210"/>
      <c r="E3886" s="210"/>
      <c r="F3886" s="210"/>
      <c r="G3886" s="210"/>
      <c r="H3886" s="210"/>
    </row>
    <row r="3887" spans="3:8" x14ac:dyDescent="0.25">
      <c r="C3887" s="210"/>
      <c r="D3887" s="210"/>
      <c r="E3887" s="210"/>
      <c r="F3887" s="210"/>
      <c r="G3887" s="210"/>
      <c r="H3887" s="210"/>
    </row>
    <row r="3888" spans="3:8" x14ac:dyDescent="0.25">
      <c r="C3888" s="210"/>
      <c r="D3888" s="210"/>
      <c r="E3888" s="210"/>
      <c r="F3888" s="210"/>
      <c r="G3888" s="210"/>
      <c r="H3888" s="210"/>
    </row>
    <row r="3889" spans="3:8" x14ac:dyDescent="0.25">
      <c r="C3889" s="210"/>
      <c r="D3889" s="210"/>
      <c r="E3889" s="210"/>
      <c r="F3889" s="210"/>
      <c r="G3889" s="210"/>
      <c r="H3889" s="210"/>
    </row>
    <row r="3890" spans="3:8" x14ac:dyDescent="0.25">
      <c r="C3890" s="210"/>
      <c r="D3890" s="210"/>
      <c r="E3890" s="210"/>
      <c r="F3890" s="210"/>
      <c r="G3890" s="210"/>
      <c r="H3890" s="210"/>
    </row>
    <row r="3891" spans="3:8" x14ac:dyDescent="0.25">
      <c r="C3891" s="210"/>
      <c r="D3891" s="210"/>
      <c r="E3891" s="210"/>
      <c r="F3891" s="210"/>
      <c r="G3891" s="210"/>
      <c r="H3891" s="210"/>
    </row>
    <row r="3892" spans="3:8" x14ac:dyDescent="0.25">
      <c r="C3892" s="210"/>
      <c r="D3892" s="210"/>
      <c r="E3892" s="210"/>
      <c r="F3892" s="210"/>
      <c r="G3892" s="210"/>
      <c r="H3892" s="210"/>
    </row>
    <row r="3893" spans="3:8" x14ac:dyDescent="0.25">
      <c r="C3893" s="210"/>
      <c r="D3893" s="210"/>
      <c r="E3893" s="210"/>
      <c r="F3893" s="210"/>
      <c r="G3893" s="210"/>
      <c r="H3893" s="210"/>
    </row>
    <row r="3894" spans="3:8" x14ac:dyDescent="0.25">
      <c r="C3894" s="210"/>
      <c r="D3894" s="210"/>
      <c r="E3894" s="210"/>
      <c r="F3894" s="210"/>
      <c r="G3894" s="210"/>
      <c r="H3894" s="210"/>
    </row>
    <row r="3895" spans="3:8" x14ac:dyDescent="0.25">
      <c r="C3895" s="210"/>
      <c r="D3895" s="210"/>
      <c r="E3895" s="210"/>
      <c r="F3895" s="210"/>
      <c r="G3895" s="210"/>
      <c r="H3895" s="210"/>
    </row>
    <row r="3896" spans="3:8" x14ac:dyDescent="0.25">
      <c r="C3896" s="210"/>
      <c r="D3896" s="210"/>
      <c r="E3896" s="210"/>
      <c r="F3896" s="210"/>
      <c r="G3896" s="210"/>
      <c r="H3896" s="210"/>
    </row>
    <row r="3897" spans="3:8" x14ac:dyDescent="0.25">
      <c r="C3897" s="210"/>
      <c r="D3897" s="210"/>
      <c r="E3897" s="210"/>
      <c r="F3897" s="210"/>
      <c r="G3897" s="210"/>
      <c r="H3897" s="210"/>
    </row>
    <row r="3898" spans="3:8" x14ac:dyDescent="0.25">
      <c r="C3898" s="210"/>
      <c r="D3898" s="210"/>
      <c r="E3898" s="210"/>
      <c r="F3898" s="210"/>
      <c r="G3898" s="210"/>
      <c r="H3898" s="210"/>
    </row>
    <row r="3899" spans="3:8" x14ac:dyDescent="0.25">
      <c r="C3899" s="210"/>
      <c r="D3899" s="210"/>
      <c r="E3899" s="210"/>
      <c r="F3899" s="210"/>
      <c r="G3899" s="210"/>
      <c r="H3899" s="210"/>
    </row>
    <row r="3900" spans="3:8" x14ac:dyDescent="0.25">
      <c r="C3900" s="210"/>
      <c r="D3900" s="210"/>
      <c r="E3900" s="210"/>
      <c r="F3900" s="210"/>
      <c r="G3900" s="210"/>
      <c r="H3900" s="210"/>
    </row>
    <row r="3901" spans="3:8" x14ac:dyDescent="0.25">
      <c r="C3901" s="210"/>
      <c r="D3901" s="210"/>
      <c r="E3901" s="210"/>
      <c r="F3901" s="210"/>
      <c r="G3901" s="210"/>
      <c r="H3901" s="210"/>
    </row>
    <row r="3902" spans="3:8" x14ac:dyDescent="0.25">
      <c r="C3902" s="210"/>
      <c r="D3902" s="210"/>
      <c r="E3902" s="210"/>
      <c r="F3902" s="210"/>
      <c r="G3902" s="210"/>
      <c r="H3902" s="210"/>
    </row>
    <row r="3903" spans="3:8" x14ac:dyDescent="0.25">
      <c r="C3903" s="210"/>
      <c r="D3903" s="210"/>
      <c r="E3903" s="210"/>
      <c r="F3903" s="210"/>
      <c r="G3903" s="210"/>
      <c r="H3903" s="210"/>
    </row>
    <row r="3904" spans="3:8" x14ac:dyDescent="0.25">
      <c r="C3904" s="210"/>
      <c r="D3904" s="210"/>
      <c r="E3904" s="210"/>
      <c r="F3904" s="210"/>
      <c r="G3904" s="210"/>
      <c r="H3904" s="210"/>
    </row>
    <row r="3905" spans="3:8" x14ac:dyDescent="0.25">
      <c r="C3905" s="210"/>
      <c r="D3905" s="210"/>
      <c r="E3905" s="210"/>
      <c r="F3905" s="210"/>
      <c r="G3905" s="210"/>
      <c r="H3905" s="210"/>
    </row>
    <row r="3906" spans="3:8" x14ac:dyDescent="0.25">
      <c r="C3906" s="210"/>
      <c r="D3906" s="210"/>
      <c r="E3906" s="210"/>
      <c r="F3906" s="210"/>
      <c r="G3906" s="210"/>
      <c r="H3906" s="210"/>
    </row>
    <row r="3907" spans="3:8" x14ac:dyDescent="0.25">
      <c r="C3907" s="210"/>
      <c r="D3907" s="210"/>
      <c r="E3907" s="210"/>
      <c r="F3907" s="210"/>
      <c r="G3907" s="210"/>
      <c r="H3907" s="210"/>
    </row>
    <row r="3908" spans="3:8" x14ac:dyDescent="0.25">
      <c r="C3908" s="210"/>
      <c r="D3908" s="210"/>
      <c r="E3908" s="210"/>
      <c r="F3908" s="210"/>
      <c r="G3908" s="210"/>
      <c r="H3908" s="210"/>
    </row>
    <row r="3909" spans="3:8" x14ac:dyDescent="0.25">
      <c r="C3909" s="210"/>
      <c r="D3909" s="210"/>
      <c r="E3909" s="210"/>
      <c r="F3909" s="210"/>
      <c r="G3909" s="210"/>
      <c r="H3909" s="210"/>
    </row>
    <row r="3910" spans="3:8" x14ac:dyDescent="0.25">
      <c r="C3910" s="210"/>
      <c r="D3910" s="210"/>
      <c r="E3910" s="210"/>
      <c r="F3910" s="210"/>
      <c r="G3910" s="210"/>
      <c r="H3910" s="210"/>
    </row>
    <row r="3911" spans="3:8" x14ac:dyDescent="0.25">
      <c r="C3911" s="210"/>
      <c r="D3911" s="210"/>
      <c r="E3911" s="210"/>
      <c r="F3911" s="210"/>
      <c r="G3911" s="210"/>
      <c r="H3911" s="210"/>
    </row>
    <row r="3912" spans="3:8" x14ac:dyDescent="0.25">
      <c r="C3912" s="210"/>
      <c r="D3912" s="210"/>
      <c r="E3912" s="210"/>
      <c r="F3912" s="210"/>
      <c r="G3912" s="210"/>
      <c r="H3912" s="210"/>
    </row>
    <row r="3913" spans="3:8" x14ac:dyDescent="0.25">
      <c r="C3913" s="210"/>
      <c r="D3913" s="210"/>
      <c r="E3913" s="210"/>
      <c r="F3913" s="210"/>
      <c r="G3913" s="210"/>
      <c r="H3913" s="210"/>
    </row>
    <row r="3914" spans="3:8" x14ac:dyDescent="0.25">
      <c r="C3914" s="210"/>
      <c r="D3914" s="210"/>
      <c r="E3914" s="210"/>
      <c r="F3914" s="210"/>
      <c r="G3914" s="210"/>
      <c r="H3914" s="210"/>
    </row>
    <row r="3915" spans="3:8" x14ac:dyDescent="0.25">
      <c r="C3915" s="210"/>
      <c r="D3915" s="210"/>
      <c r="E3915" s="210"/>
      <c r="F3915" s="210"/>
      <c r="G3915" s="210"/>
      <c r="H3915" s="210"/>
    </row>
    <row r="3916" spans="3:8" x14ac:dyDescent="0.25">
      <c r="C3916" s="210"/>
      <c r="D3916" s="210"/>
      <c r="E3916" s="210"/>
      <c r="F3916" s="210"/>
      <c r="G3916" s="210"/>
      <c r="H3916" s="210"/>
    </row>
    <row r="3917" spans="3:8" x14ac:dyDescent="0.25">
      <c r="C3917" s="210"/>
      <c r="D3917" s="210"/>
      <c r="E3917" s="210"/>
      <c r="F3917" s="210"/>
      <c r="G3917" s="210"/>
      <c r="H3917" s="210"/>
    </row>
    <row r="3918" spans="3:8" x14ac:dyDescent="0.25">
      <c r="C3918" s="210"/>
      <c r="D3918" s="210"/>
      <c r="E3918" s="210"/>
      <c r="F3918" s="210"/>
      <c r="G3918" s="210"/>
      <c r="H3918" s="210"/>
    </row>
    <row r="3919" spans="3:8" x14ac:dyDescent="0.25">
      <c r="C3919" s="210"/>
      <c r="D3919" s="210"/>
      <c r="E3919" s="210"/>
      <c r="F3919" s="210"/>
      <c r="G3919" s="210"/>
      <c r="H3919" s="210"/>
    </row>
    <row r="3920" spans="3:8" x14ac:dyDescent="0.25">
      <c r="C3920" s="210"/>
      <c r="D3920" s="210"/>
      <c r="E3920" s="210"/>
      <c r="F3920" s="210"/>
      <c r="G3920" s="210"/>
      <c r="H3920" s="210"/>
    </row>
    <row r="3921" spans="3:8" x14ac:dyDescent="0.25">
      <c r="C3921" s="210"/>
      <c r="D3921" s="210"/>
      <c r="E3921" s="210"/>
      <c r="F3921" s="210"/>
      <c r="G3921" s="210"/>
      <c r="H3921" s="210"/>
    </row>
    <row r="3922" spans="3:8" x14ac:dyDescent="0.25">
      <c r="C3922" s="210"/>
      <c r="D3922" s="210"/>
      <c r="E3922" s="210"/>
      <c r="F3922" s="210"/>
      <c r="G3922" s="210"/>
      <c r="H3922" s="210"/>
    </row>
    <row r="3923" spans="3:8" x14ac:dyDescent="0.25">
      <c r="C3923" s="210"/>
      <c r="D3923" s="210"/>
      <c r="E3923" s="210"/>
      <c r="F3923" s="210"/>
      <c r="G3923" s="210"/>
      <c r="H3923" s="210"/>
    </row>
    <row r="3924" spans="3:8" x14ac:dyDescent="0.25">
      <c r="C3924" s="210"/>
      <c r="D3924" s="210"/>
      <c r="E3924" s="210"/>
      <c r="F3924" s="210"/>
      <c r="G3924" s="210"/>
      <c r="H3924" s="210"/>
    </row>
    <row r="3925" spans="3:8" x14ac:dyDescent="0.25">
      <c r="C3925" s="210"/>
      <c r="D3925" s="210"/>
      <c r="E3925" s="210"/>
      <c r="F3925" s="210"/>
      <c r="G3925" s="210"/>
      <c r="H3925" s="210"/>
    </row>
    <row r="3926" spans="3:8" x14ac:dyDescent="0.25">
      <c r="C3926" s="210"/>
      <c r="D3926" s="210"/>
      <c r="E3926" s="210"/>
      <c r="F3926" s="210"/>
      <c r="G3926" s="210"/>
      <c r="H3926" s="210"/>
    </row>
    <row r="3927" spans="3:8" x14ac:dyDescent="0.25">
      <c r="C3927" s="210"/>
      <c r="D3927" s="210"/>
      <c r="E3927" s="210"/>
      <c r="F3927" s="210"/>
      <c r="G3927" s="210"/>
      <c r="H3927" s="210"/>
    </row>
    <row r="3928" spans="3:8" x14ac:dyDescent="0.25">
      <c r="C3928" s="210"/>
      <c r="D3928" s="210"/>
      <c r="E3928" s="210"/>
      <c r="F3928" s="210"/>
      <c r="G3928" s="210"/>
      <c r="H3928" s="210"/>
    </row>
    <row r="3929" spans="3:8" x14ac:dyDescent="0.25">
      <c r="C3929" s="210"/>
      <c r="D3929" s="210"/>
      <c r="E3929" s="210"/>
      <c r="F3929" s="210"/>
      <c r="G3929" s="210"/>
      <c r="H3929" s="210"/>
    </row>
    <row r="3930" spans="3:8" x14ac:dyDescent="0.25">
      <c r="C3930" s="210"/>
      <c r="D3930" s="210"/>
      <c r="E3930" s="210"/>
      <c r="F3930" s="210"/>
      <c r="G3930" s="210"/>
      <c r="H3930" s="210"/>
    </row>
    <row r="3931" spans="3:8" x14ac:dyDescent="0.25">
      <c r="C3931" s="210"/>
      <c r="D3931" s="210"/>
      <c r="E3931" s="210"/>
      <c r="F3931" s="210"/>
      <c r="G3931" s="210"/>
      <c r="H3931" s="210"/>
    </row>
    <row r="3932" spans="3:8" x14ac:dyDescent="0.25">
      <c r="C3932" s="210"/>
      <c r="D3932" s="210"/>
      <c r="E3932" s="210"/>
      <c r="F3932" s="210"/>
      <c r="G3932" s="210"/>
      <c r="H3932" s="210"/>
    </row>
    <row r="3933" spans="3:8" x14ac:dyDescent="0.25">
      <c r="C3933" s="210"/>
      <c r="D3933" s="210"/>
      <c r="E3933" s="210"/>
      <c r="F3933" s="210"/>
      <c r="G3933" s="210"/>
      <c r="H3933" s="210"/>
    </row>
    <row r="3934" spans="3:8" x14ac:dyDescent="0.25">
      <c r="C3934" s="210"/>
      <c r="D3934" s="210"/>
      <c r="E3934" s="210"/>
      <c r="F3934" s="210"/>
      <c r="G3934" s="210"/>
      <c r="H3934" s="210"/>
    </row>
    <row r="3935" spans="3:8" x14ac:dyDescent="0.25">
      <c r="C3935" s="210"/>
      <c r="D3935" s="210"/>
      <c r="E3935" s="210"/>
      <c r="F3935" s="210"/>
      <c r="G3935" s="210"/>
      <c r="H3935" s="210"/>
    </row>
    <row r="3936" spans="3:8" x14ac:dyDescent="0.25">
      <c r="C3936" s="210"/>
      <c r="D3936" s="210"/>
      <c r="E3936" s="210"/>
      <c r="F3936" s="210"/>
      <c r="G3936" s="210"/>
      <c r="H3936" s="210"/>
    </row>
    <row r="3937" spans="3:8" x14ac:dyDescent="0.25">
      <c r="C3937" s="210"/>
      <c r="D3937" s="210"/>
      <c r="E3937" s="210"/>
      <c r="F3937" s="210"/>
      <c r="G3937" s="210"/>
      <c r="H3937" s="210"/>
    </row>
    <row r="3938" spans="3:8" x14ac:dyDescent="0.25">
      <c r="C3938" s="210"/>
      <c r="D3938" s="210"/>
      <c r="E3938" s="210"/>
      <c r="F3938" s="210"/>
      <c r="G3938" s="210"/>
      <c r="H3938" s="210"/>
    </row>
    <row r="3939" spans="3:8" x14ac:dyDescent="0.25">
      <c r="C3939" s="210"/>
      <c r="D3939" s="210"/>
      <c r="E3939" s="210"/>
      <c r="F3939" s="210"/>
      <c r="G3939" s="210"/>
      <c r="H3939" s="210"/>
    </row>
    <row r="3940" spans="3:8" x14ac:dyDescent="0.25">
      <c r="C3940" s="210"/>
      <c r="D3940" s="210"/>
      <c r="E3940" s="210"/>
      <c r="F3940" s="210"/>
      <c r="G3940" s="210"/>
      <c r="H3940" s="210"/>
    </row>
    <row r="3941" spans="3:8" x14ac:dyDescent="0.25">
      <c r="C3941" s="210"/>
      <c r="D3941" s="210"/>
      <c r="E3941" s="210"/>
      <c r="F3941" s="210"/>
      <c r="G3941" s="210"/>
      <c r="H3941" s="210"/>
    </row>
    <row r="3942" spans="3:8" x14ac:dyDescent="0.25">
      <c r="C3942" s="210"/>
      <c r="D3942" s="210"/>
      <c r="E3942" s="210"/>
      <c r="F3942" s="210"/>
      <c r="G3942" s="210"/>
      <c r="H3942" s="210"/>
    </row>
    <row r="3943" spans="3:8" x14ac:dyDescent="0.25">
      <c r="C3943" s="210"/>
      <c r="D3943" s="210"/>
      <c r="E3943" s="210"/>
      <c r="F3943" s="210"/>
      <c r="G3943" s="210"/>
      <c r="H3943" s="210"/>
    </row>
    <row r="3944" spans="3:8" x14ac:dyDescent="0.25">
      <c r="C3944" s="210"/>
      <c r="D3944" s="210"/>
      <c r="E3944" s="210"/>
      <c r="F3944" s="210"/>
      <c r="G3944" s="210"/>
      <c r="H3944" s="210"/>
    </row>
    <row r="3945" spans="3:8" x14ac:dyDescent="0.25">
      <c r="C3945" s="210"/>
      <c r="D3945" s="210"/>
      <c r="E3945" s="210"/>
      <c r="F3945" s="210"/>
      <c r="G3945" s="210"/>
      <c r="H3945" s="210"/>
    </row>
    <row r="3946" spans="3:8" x14ac:dyDescent="0.25">
      <c r="C3946" s="210"/>
      <c r="D3946" s="210"/>
      <c r="E3946" s="210"/>
      <c r="F3946" s="210"/>
      <c r="G3946" s="210"/>
      <c r="H3946" s="210"/>
    </row>
    <row r="3947" spans="3:8" x14ac:dyDescent="0.25">
      <c r="C3947" s="210"/>
      <c r="D3947" s="210"/>
      <c r="E3947" s="210"/>
      <c r="F3947" s="210"/>
      <c r="G3947" s="210"/>
      <c r="H3947" s="210"/>
    </row>
    <row r="3948" spans="3:8" x14ac:dyDescent="0.25">
      <c r="C3948" s="210"/>
      <c r="D3948" s="210"/>
      <c r="E3948" s="210"/>
      <c r="F3948" s="210"/>
      <c r="G3948" s="210"/>
      <c r="H3948" s="210"/>
    </row>
    <row r="3949" spans="3:8" x14ac:dyDescent="0.25">
      <c r="C3949" s="210"/>
      <c r="D3949" s="210"/>
      <c r="E3949" s="210"/>
      <c r="F3949" s="210"/>
      <c r="G3949" s="210"/>
      <c r="H3949" s="210"/>
    </row>
    <row r="3950" spans="3:8" x14ac:dyDescent="0.25">
      <c r="C3950" s="210"/>
      <c r="D3950" s="210"/>
      <c r="E3950" s="210"/>
      <c r="F3950" s="210"/>
      <c r="G3950" s="210"/>
      <c r="H3950" s="210"/>
    </row>
    <row r="3951" spans="3:8" x14ac:dyDescent="0.25">
      <c r="C3951" s="210"/>
      <c r="D3951" s="210"/>
      <c r="E3951" s="210"/>
      <c r="F3951" s="210"/>
      <c r="G3951" s="210"/>
      <c r="H3951" s="210"/>
    </row>
    <row r="3952" spans="3:8" x14ac:dyDescent="0.25">
      <c r="C3952" s="210"/>
      <c r="D3952" s="210"/>
      <c r="E3952" s="210"/>
      <c r="F3952" s="210"/>
      <c r="G3952" s="210"/>
      <c r="H3952" s="210"/>
    </row>
    <row r="3953" spans="3:8" x14ac:dyDescent="0.25">
      <c r="C3953" s="210"/>
      <c r="D3953" s="210"/>
      <c r="E3953" s="210"/>
      <c r="F3953" s="210"/>
      <c r="G3953" s="210"/>
      <c r="H3953" s="210"/>
    </row>
    <row r="3954" spans="3:8" x14ac:dyDescent="0.25">
      <c r="C3954" s="210"/>
      <c r="D3954" s="210"/>
      <c r="E3954" s="210"/>
      <c r="F3954" s="210"/>
      <c r="G3954" s="210"/>
      <c r="H3954" s="210"/>
    </row>
    <row r="3955" spans="3:8" x14ac:dyDescent="0.25">
      <c r="C3955" s="210"/>
      <c r="D3955" s="210"/>
      <c r="E3955" s="210"/>
      <c r="F3955" s="210"/>
      <c r="G3955" s="210"/>
      <c r="H3955" s="210"/>
    </row>
    <row r="3956" spans="3:8" x14ac:dyDescent="0.25">
      <c r="C3956" s="210"/>
      <c r="D3956" s="210"/>
      <c r="E3956" s="210"/>
      <c r="F3956" s="210"/>
      <c r="G3956" s="210"/>
      <c r="H3956" s="210"/>
    </row>
    <row r="3957" spans="3:8" x14ac:dyDescent="0.25">
      <c r="C3957" s="210"/>
      <c r="D3957" s="210"/>
      <c r="E3957" s="210"/>
      <c r="F3957" s="210"/>
      <c r="G3957" s="210"/>
      <c r="H3957" s="210"/>
    </row>
    <row r="3958" spans="3:8" x14ac:dyDescent="0.25">
      <c r="C3958" s="210"/>
      <c r="D3958" s="210"/>
      <c r="E3958" s="210"/>
      <c r="F3958" s="210"/>
      <c r="G3958" s="210"/>
      <c r="H3958" s="210"/>
    </row>
    <row r="3959" spans="3:8" x14ac:dyDescent="0.25">
      <c r="C3959" s="210"/>
      <c r="D3959" s="210"/>
      <c r="E3959" s="210"/>
      <c r="F3959" s="210"/>
      <c r="G3959" s="210"/>
      <c r="H3959" s="210"/>
    </row>
    <row r="3960" spans="3:8" x14ac:dyDescent="0.25">
      <c r="C3960" s="210"/>
      <c r="D3960" s="210"/>
      <c r="E3960" s="210"/>
      <c r="F3960" s="210"/>
      <c r="G3960" s="210"/>
      <c r="H3960" s="210"/>
    </row>
    <row r="3961" spans="3:8" x14ac:dyDescent="0.25">
      <c r="C3961" s="210"/>
      <c r="D3961" s="210"/>
      <c r="E3961" s="210"/>
      <c r="F3961" s="210"/>
      <c r="G3961" s="210"/>
      <c r="H3961" s="210"/>
    </row>
    <row r="3962" spans="3:8" x14ac:dyDescent="0.25">
      <c r="C3962" s="210"/>
      <c r="D3962" s="210"/>
      <c r="E3962" s="210"/>
      <c r="F3962" s="210"/>
      <c r="G3962" s="210"/>
      <c r="H3962" s="210"/>
    </row>
    <row r="3963" spans="3:8" x14ac:dyDescent="0.25">
      <c r="C3963" s="210"/>
      <c r="D3963" s="210"/>
      <c r="E3963" s="210"/>
      <c r="F3963" s="210"/>
      <c r="G3963" s="210"/>
      <c r="H3963" s="210"/>
    </row>
    <row r="3964" spans="3:8" x14ac:dyDescent="0.25">
      <c r="C3964" s="210"/>
      <c r="D3964" s="210"/>
      <c r="E3964" s="210"/>
      <c r="F3964" s="210"/>
      <c r="G3964" s="210"/>
      <c r="H3964" s="210"/>
    </row>
    <row r="3965" spans="3:8" x14ac:dyDescent="0.25">
      <c r="C3965" s="210"/>
      <c r="D3965" s="210"/>
      <c r="E3965" s="210"/>
      <c r="F3965" s="210"/>
      <c r="G3965" s="210"/>
      <c r="H3965" s="210"/>
    </row>
    <row r="3966" spans="3:8" x14ac:dyDescent="0.25">
      <c r="C3966" s="210"/>
      <c r="D3966" s="210"/>
      <c r="E3966" s="210"/>
      <c r="F3966" s="210"/>
      <c r="G3966" s="210"/>
      <c r="H3966" s="210"/>
    </row>
    <row r="3967" spans="3:8" x14ac:dyDescent="0.25">
      <c r="C3967" s="210"/>
      <c r="D3967" s="210"/>
      <c r="E3967" s="210"/>
      <c r="F3967" s="210"/>
      <c r="G3967" s="210"/>
      <c r="H3967" s="210"/>
    </row>
    <row r="3968" spans="3:8" x14ac:dyDescent="0.25">
      <c r="C3968" s="210"/>
      <c r="D3968" s="210"/>
      <c r="E3968" s="210"/>
      <c r="F3968" s="210"/>
      <c r="G3968" s="210"/>
      <c r="H3968" s="210"/>
    </row>
    <row r="3969" spans="3:8" x14ac:dyDescent="0.25">
      <c r="C3969" s="210"/>
      <c r="D3969" s="210"/>
      <c r="E3969" s="210"/>
      <c r="F3969" s="210"/>
      <c r="G3969" s="210"/>
      <c r="H3969" s="210"/>
    </row>
    <row r="3970" spans="3:8" x14ac:dyDescent="0.25">
      <c r="C3970" s="210"/>
      <c r="D3970" s="210"/>
      <c r="E3970" s="210"/>
      <c r="F3970" s="210"/>
      <c r="G3970" s="210"/>
      <c r="H3970" s="210"/>
    </row>
    <row r="3971" spans="3:8" x14ac:dyDescent="0.25">
      <c r="C3971" s="210"/>
      <c r="D3971" s="210"/>
      <c r="E3971" s="210"/>
      <c r="F3971" s="210"/>
      <c r="G3971" s="210"/>
      <c r="H3971" s="210"/>
    </row>
    <row r="3972" spans="3:8" x14ac:dyDescent="0.25">
      <c r="C3972" s="210"/>
      <c r="D3972" s="210"/>
      <c r="E3972" s="210"/>
      <c r="F3972" s="210"/>
      <c r="G3972" s="210"/>
      <c r="H3972" s="210"/>
    </row>
    <row r="3973" spans="3:8" x14ac:dyDescent="0.25">
      <c r="C3973" s="210"/>
      <c r="D3973" s="210"/>
      <c r="E3973" s="210"/>
      <c r="F3973" s="210"/>
      <c r="G3973" s="210"/>
      <c r="H3973" s="210"/>
    </row>
    <row r="3974" spans="3:8" x14ac:dyDescent="0.25">
      <c r="C3974" s="210"/>
      <c r="D3974" s="210"/>
      <c r="E3974" s="210"/>
      <c r="F3974" s="210"/>
      <c r="G3974" s="210"/>
      <c r="H3974" s="210"/>
    </row>
    <row r="3975" spans="3:8" x14ac:dyDescent="0.25">
      <c r="C3975" s="210"/>
      <c r="D3975" s="210"/>
      <c r="E3975" s="210"/>
      <c r="F3975" s="210"/>
      <c r="G3975" s="210"/>
      <c r="H3975" s="210"/>
    </row>
    <row r="3976" spans="3:8" x14ac:dyDescent="0.25">
      <c r="C3976" s="210"/>
      <c r="D3976" s="210"/>
      <c r="E3976" s="210"/>
      <c r="F3976" s="210"/>
      <c r="G3976" s="210"/>
      <c r="H3976" s="210"/>
    </row>
    <row r="3977" spans="3:8" x14ac:dyDescent="0.25">
      <c r="C3977" s="210"/>
      <c r="D3977" s="210"/>
      <c r="E3977" s="210"/>
      <c r="F3977" s="210"/>
      <c r="G3977" s="210"/>
      <c r="H3977" s="210"/>
    </row>
    <row r="3978" spans="3:8" x14ac:dyDescent="0.25">
      <c r="C3978" s="210"/>
      <c r="D3978" s="210"/>
      <c r="E3978" s="210"/>
      <c r="F3978" s="210"/>
      <c r="G3978" s="210"/>
      <c r="H3978" s="210"/>
    </row>
    <row r="3979" spans="3:8" x14ac:dyDescent="0.25">
      <c r="C3979" s="210"/>
      <c r="D3979" s="210"/>
      <c r="E3979" s="210"/>
      <c r="F3979" s="210"/>
      <c r="G3979" s="210"/>
      <c r="H3979" s="210"/>
    </row>
    <row r="3980" spans="3:8" x14ac:dyDescent="0.25">
      <c r="C3980" s="210"/>
      <c r="D3980" s="210"/>
      <c r="E3980" s="210"/>
      <c r="F3980" s="210"/>
      <c r="G3980" s="210"/>
      <c r="H3980" s="210"/>
    </row>
    <row r="3981" spans="3:8" x14ac:dyDescent="0.25">
      <c r="C3981" s="210"/>
      <c r="D3981" s="210"/>
      <c r="E3981" s="210"/>
      <c r="F3981" s="210"/>
      <c r="G3981" s="210"/>
      <c r="H3981" s="210"/>
    </row>
    <row r="3982" spans="3:8" x14ac:dyDescent="0.25">
      <c r="C3982" s="210"/>
      <c r="D3982" s="210"/>
      <c r="E3982" s="210"/>
      <c r="F3982" s="210"/>
      <c r="G3982" s="210"/>
      <c r="H3982" s="210"/>
    </row>
    <row r="3983" spans="3:8" x14ac:dyDescent="0.25">
      <c r="C3983" s="210"/>
      <c r="D3983" s="210"/>
      <c r="E3983" s="210"/>
      <c r="F3983" s="210"/>
      <c r="G3983" s="210"/>
      <c r="H3983" s="210"/>
    </row>
    <row r="3984" spans="3:8" x14ac:dyDescent="0.25">
      <c r="C3984" s="210"/>
      <c r="D3984" s="210"/>
      <c r="E3984" s="210"/>
      <c r="F3984" s="210"/>
      <c r="G3984" s="210"/>
      <c r="H3984" s="210"/>
    </row>
    <row r="3985" spans="3:8" x14ac:dyDescent="0.25">
      <c r="C3985" s="210"/>
      <c r="D3985" s="210"/>
      <c r="E3985" s="210"/>
      <c r="F3985" s="210"/>
      <c r="G3985" s="210"/>
      <c r="H3985" s="210"/>
    </row>
    <row r="3986" spans="3:8" x14ac:dyDescent="0.25">
      <c r="C3986" s="210"/>
      <c r="D3986" s="210"/>
      <c r="E3986" s="210"/>
      <c r="F3986" s="210"/>
      <c r="G3986" s="210"/>
      <c r="H3986" s="210"/>
    </row>
    <row r="3987" spans="3:8" x14ac:dyDescent="0.25">
      <c r="C3987" s="210"/>
      <c r="D3987" s="210"/>
      <c r="E3987" s="210"/>
      <c r="F3987" s="210"/>
      <c r="G3987" s="210"/>
      <c r="H3987" s="210"/>
    </row>
    <row r="3988" spans="3:8" x14ac:dyDescent="0.25">
      <c r="C3988" s="210"/>
      <c r="D3988" s="210"/>
      <c r="E3988" s="210"/>
      <c r="F3988" s="210"/>
      <c r="G3988" s="210"/>
      <c r="H3988" s="210"/>
    </row>
    <row r="3989" spans="3:8" x14ac:dyDescent="0.25">
      <c r="C3989" s="210"/>
      <c r="D3989" s="210"/>
      <c r="E3989" s="210"/>
      <c r="F3989" s="210"/>
      <c r="G3989" s="210"/>
      <c r="H3989" s="210"/>
    </row>
    <row r="3990" spans="3:8" x14ac:dyDescent="0.25">
      <c r="C3990" s="210"/>
      <c r="D3990" s="210"/>
      <c r="E3990" s="210"/>
      <c r="F3990" s="210"/>
      <c r="G3990" s="210"/>
      <c r="H3990" s="210"/>
    </row>
    <row r="3991" spans="3:8" x14ac:dyDescent="0.25">
      <c r="C3991" s="210"/>
      <c r="D3991" s="210"/>
      <c r="E3991" s="210"/>
      <c r="F3991" s="210"/>
      <c r="G3991" s="210"/>
      <c r="H3991" s="210"/>
    </row>
    <row r="3992" spans="3:8" x14ac:dyDescent="0.25">
      <c r="C3992" s="210"/>
      <c r="D3992" s="210"/>
      <c r="E3992" s="210"/>
      <c r="F3992" s="210"/>
      <c r="G3992" s="210"/>
      <c r="H3992" s="210"/>
    </row>
    <row r="3993" spans="3:8" x14ac:dyDescent="0.25">
      <c r="C3993" s="210"/>
      <c r="D3993" s="210"/>
      <c r="E3993" s="210"/>
      <c r="F3993" s="210"/>
      <c r="G3993" s="210"/>
      <c r="H3993" s="210"/>
    </row>
    <row r="3994" spans="3:8" x14ac:dyDescent="0.25">
      <c r="C3994" s="210"/>
      <c r="D3994" s="210"/>
      <c r="E3994" s="210"/>
      <c r="F3994" s="210"/>
      <c r="G3994" s="210"/>
      <c r="H3994" s="210"/>
    </row>
    <row r="3995" spans="3:8" x14ac:dyDescent="0.25">
      <c r="C3995" s="210"/>
      <c r="D3995" s="210"/>
      <c r="E3995" s="210"/>
      <c r="F3995" s="210"/>
      <c r="G3995" s="210"/>
      <c r="H3995" s="210"/>
    </row>
    <row r="3996" spans="3:8" x14ac:dyDescent="0.25">
      <c r="C3996" s="210"/>
      <c r="D3996" s="210"/>
      <c r="E3996" s="210"/>
      <c r="F3996" s="210"/>
      <c r="G3996" s="210"/>
      <c r="H3996" s="210"/>
    </row>
    <row r="3997" spans="3:8" x14ac:dyDescent="0.25">
      <c r="C3997" s="210"/>
      <c r="D3997" s="210"/>
      <c r="E3997" s="210"/>
      <c r="F3997" s="210"/>
      <c r="G3997" s="210"/>
      <c r="H3997" s="210"/>
    </row>
    <row r="3998" spans="3:8" x14ac:dyDescent="0.25">
      <c r="C3998" s="210"/>
      <c r="D3998" s="210"/>
      <c r="E3998" s="210"/>
      <c r="F3998" s="210"/>
      <c r="G3998" s="210"/>
      <c r="H3998" s="210"/>
    </row>
    <row r="3999" spans="3:8" x14ac:dyDescent="0.25">
      <c r="C3999" s="210"/>
      <c r="D3999" s="210"/>
      <c r="E3999" s="210"/>
      <c r="F3999" s="210"/>
      <c r="G3999" s="210"/>
      <c r="H3999" s="210"/>
    </row>
    <row r="4000" spans="3:8" x14ac:dyDescent="0.25">
      <c r="C4000" s="210"/>
      <c r="D4000" s="210"/>
      <c r="E4000" s="210"/>
      <c r="F4000" s="210"/>
      <c r="G4000" s="210"/>
      <c r="H4000" s="210"/>
    </row>
    <row r="4001" spans="3:8" x14ac:dyDescent="0.25">
      <c r="C4001" s="210"/>
      <c r="D4001" s="210"/>
      <c r="E4001" s="210"/>
      <c r="F4001" s="210"/>
      <c r="G4001" s="210"/>
      <c r="H4001" s="210"/>
    </row>
    <row r="4002" spans="3:8" x14ac:dyDescent="0.25">
      <c r="C4002" s="210"/>
      <c r="D4002" s="210"/>
      <c r="E4002" s="210"/>
      <c r="F4002" s="210"/>
      <c r="G4002" s="210"/>
      <c r="H4002" s="210"/>
    </row>
    <row r="4003" spans="3:8" x14ac:dyDescent="0.25">
      <c r="C4003" s="210"/>
      <c r="D4003" s="210"/>
      <c r="E4003" s="210"/>
      <c r="F4003" s="210"/>
      <c r="G4003" s="210"/>
      <c r="H4003" s="210"/>
    </row>
    <row r="4004" spans="3:8" x14ac:dyDescent="0.25">
      <c r="C4004" s="210"/>
      <c r="D4004" s="210"/>
      <c r="E4004" s="210"/>
      <c r="F4004" s="210"/>
      <c r="G4004" s="210"/>
      <c r="H4004" s="210"/>
    </row>
    <row r="4005" spans="3:8" x14ac:dyDescent="0.25">
      <c r="C4005" s="210"/>
      <c r="D4005" s="210"/>
      <c r="E4005" s="210"/>
      <c r="F4005" s="210"/>
      <c r="G4005" s="210"/>
      <c r="H4005" s="210"/>
    </row>
    <row r="4006" spans="3:8" x14ac:dyDescent="0.25">
      <c r="C4006" s="210"/>
      <c r="D4006" s="210"/>
      <c r="E4006" s="210"/>
      <c r="F4006" s="210"/>
      <c r="G4006" s="210"/>
      <c r="H4006" s="210"/>
    </row>
    <row r="4007" spans="3:8" x14ac:dyDescent="0.25">
      <c r="C4007" s="210"/>
      <c r="D4007" s="210"/>
      <c r="E4007" s="210"/>
      <c r="F4007" s="210"/>
      <c r="G4007" s="210"/>
      <c r="H4007" s="210"/>
    </row>
    <row r="4008" spans="3:8" x14ac:dyDescent="0.25">
      <c r="C4008" s="210"/>
      <c r="D4008" s="210"/>
      <c r="E4008" s="210"/>
      <c r="F4008" s="210"/>
      <c r="G4008" s="210"/>
      <c r="H4008" s="210"/>
    </row>
    <row r="4009" spans="3:8" x14ac:dyDescent="0.25">
      <c r="C4009" s="210"/>
      <c r="D4009" s="210"/>
      <c r="E4009" s="210"/>
      <c r="F4009" s="210"/>
      <c r="G4009" s="210"/>
      <c r="H4009" s="210"/>
    </row>
    <row r="4010" spans="3:8" x14ac:dyDescent="0.25">
      <c r="C4010" s="210"/>
      <c r="D4010" s="210"/>
      <c r="E4010" s="210"/>
      <c r="F4010" s="210"/>
      <c r="G4010" s="210"/>
      <c r="H4010" s="210"/>
    </row>
    <row r="4011" spans="3:8" x14ac:dyDescent="0.25">
      <c r="C4011" s="210"/>
      <c r="D4011" s="210"/>
      <c r="E4011" s="210"/>
      <c r="F4011" s="210"/>
      <c r="G4011" s="210"/>
      <c r="H4011" s="210"/>
    </row>
    <row r="4012" spans="3:8" x14ac:dyDescent="0.25">
      <c r="C4012" s="210"/>
      <c r="D4012" s="210"/>
      <c r="E4012" s="210"/>
      <c r="F4012" s="210"/>
      <c r="G4012" s="210"/>
      <c r="H4012" s="210"/>
    </row>
    <row r="4013" spans="3:8" x14ac:dyDescent="0.25">
      <c r="C4013" s="210"/>
      <c r="D4013" s="210"/>
      <c r="E4013" s="210"/>
      <c r="F4013" s="210"/>
      <c r="G4013" s="210"/>
      <c r="H4013" s="210"/>
    </row>
    <row r="4014" spans="3:8" x14ac:dyDescent="0.25">
      <c r="C4014" s="210"/>
      <c r="D4014" s="210"/>
      <c r="E4014" s="210"/>
      <c r="F4014" s="210"/>
      <c r="G4014" s="210"/>
      <c r="H4014" s="210"/>
    </row>
    <row r="4015" spans="3:8" x14ac:dyDescent="0.25">
      <c r="C4015" s="210"/>
      <c r="D4015" s="210"/>
      <c r="E4015" s="210"/>
      <c r="F4015" s="210"/>
      <c r="G4015" s="210"/>
      <c r="H4015" s="210"/>
    </row>
    <row r="4016" spans="3:8" x14ac:dyDescent="0.25">
      <c r="C4016" s="210"/>
      <c r="D4016" s="210"/>
      <c r="E4016" s="210"/>
      <c r="F4016" s="210"/>
      <c r="G4016" s="210"/>
      <c r="H4016" s="210"/>
    </row>
    <row r="4017" spans="3:8" x14ac:dyDescent="0.25">
      <c r="C4017" s="210"/>
      <c r="D4017" s="210"/>
      <c r="E4017" s="210"/>
      <c r="F4017" s="210"/>
      <c r="G4017" s="210"/>
      <c r="H4017" s="210"/>
    </row>
    <row r="4018" spans="3:8" x14ac:dyDescent="0.25">
      <c r="C4018" s="210"/>
      <c r="D4018" s="210"/>
      <c r="E4018" s="210"/>
      <c r="F4018" s="210"/>
      <c r="G4018" s="210"/>
      <c r="H4018" s="210"/>
    </row>
    <row r="4019" spans="3:8" x14ac:dyDescent="0.25">
      <c r="C4019" s="210"/>
      <c r="D4019" s="210"/>
      <c r="E4019" s="210"/>
      <c r="F4019" s="210"/>
      <c r="G4019" s="210"/>
      <c r="H4019" s="210"/>
    </row>
    <row r="4020" spans="3:8" x14ac:dyDescent="0.25">
      <c r="C4020" s="210"/>
      <c r="D4020" s="210"/>
      <c r="E4020" s="210"/>
      <c r="F4020" s="210"/>
      <c r="G4020" s="210"/>
      <c r="H4020" s="210"/>
    </row>
    <row r="4021" spans="3:8" x14ac:dyDescent="0.25">
      <c r="C4021" s="210"/>
      <c r="D4021" s="210"/>
      <c r="E4021" s="210"/>
      <c r="F4021" s="210"/>
      <c r="G4021" s="210"/>
      <c r="H4021" s="210"/>
    </row>
    <row r="4022" spans="3:8" x14ac:dyDescent="0.25">
      <c r="C4022" s="210"/>
      <c r="D4022" s="210"/>
      <c r="E4022" s="210"/>
      <c r="F4022" s="210"/>
      <c r="G4022" s="210"/>
      <c r="H4022" s="210"/>
    </row>
    <row r="4023" spans="3:8" x14ac:dyDescent="0.25">
      <c r="C4023" s="210"/>
      <c r="D4023" s="210"/>
      <c r="E4023" s="210"/>
      <c r="F4023" s="210"/>
      <c r="G4023" s="210"/>
      <c r="H4023" s="210"/>
    </row>
    <row r="4024" spans="3:8" x14ac:dyDescent="0.25">
      <c r="C4024" s="210"/>
      <c r="D4024" s="210"/>
      <c r="E4024" s="210"/>
      <c r="F4024" s="210"/>
      <c r="G4024" s="210"/>
      <c r="H4024" s="210"/>
    </row>
    <row r="4025" spans="3:8" x14ac:dyDescent="0.25">
      <c r="C4025" s="210"/>
      <c r="D4025" s="210"/>
      <c r="E4025" s="210"/>
      <c r="F4025" s="210"/>
      <c r="G4025" s="210"/>
      <c r="H4025" s="210"/>
    </row>
    <row r="4026" spans="3:8" x14ac:dyDescent="0.25">
      <c r="C4026" s="210"/>
      <c r="D4026" s="210"/>
      <c r="E4026" s="210"/>
      <c r="F4026" s="210"/>
      <c r="G4026" s="210"/>
      <c r="H4026" s="210"/>
    </row>
    <row r="4027" spans="3:8" x14ac:dyDescent="0.25">
      <c r="C4027" s="210"/>
      <c r="D4027" s="210"/>
      <c r="E4027" s="210"/>
      <c r="F4027" s="210"/>
      <c r="G4027" s="210"/>
      <c r="H4027" s="210"/>
    </row>
    <row r="4028" spans="3:8" x14ac:dyDescent="0.25">
      <c r="C4028" s="210"/>
      <c r="D4028" s="210"/>
      <c r="E4028" s="210"/>
      <c r="F4028" s="210"/>
      <c r="G4028" s="210"/>
      <c r="H4028" s="210"/>
    </row>
    <row r="4029" spans="3:8" x14ac:dyDescent="0.25">
      <c r="C4029" s="210"/>
      <c r="D4029" s="210"/>
      <c r="E4029" s="210"/>
      <c r="F4029" s="210"/>
      <c r="G4029" s="210"/>
      <c r="H4029" s="210"/>
    </row>
    <row r="4030" spans="3:8" x14ac:dyDescent="0.25">
      <c r="C4030" s="210"/>
      <c r="D4030" s="210"/>
      <c r="E4030" s="210"/>
      <c r="F4030" s="210"/>
      <c r="G4030" s="210"/>
      <c r="H4030" s="210"/>
    </row>
    <row r="4031" spans="3:8" x14ac:dyDescent="0.25">
      <c r="C4031" s="210"/>
      <c r="D4031" s="210"/>
      <c r="E4031" s="210"/>
      <c r="F4031" s="210"/>
      <c r="G4031" s="210"/>
      <c r="H4031" s="210"/>
    </row>
    <row r="4032" spans="3:8" x14ac:dyDescent="0.25">
      <c r="C4032" s="210"/>
      <c r="D4032" s="210"/>
      <c r="E4032" s="210"/>
      <c r="F4032" s="210"/>
      <c r="G4032" s="210"/>
      <c r="H4032" s="210"/>
    </row>
    <row r="4033" spans="3:8" x14ac:dyDescent="0.25">
      <c r="C4033" s="210"/>
      <c r="D4033" s="210"/>
      <c r="E4033" s="210"/>
      <c r="F4033" s="210"/>
      <c r="G4033" s="210"/>
      <c r="H4033" s="210"/>
    </row>
    <row r="4034" spans="3:8" x14ac:dyDescent="0.25">
      <c r="C4034" s="210"/>
      <c r="D4034" s="210"/>
      <c r="E4034" s="210"/>
      <c r="F4034" s="210"/>
      <c r="G4034" s="210"/>
      <c r="H4034" s="210"/>
    </row>
    <row r="4035" spans="3:8" x14ac:dyDescent="0.25">
      <c r="C4035" s="210"/>
      <c r="D4035" s="210"/>
      <c r="E4035" s="210"/>
      <c r="F4035" s="210"/>
      <c r="G4035" s="210"/>
      <c r="H4035" s="210"/>
    </row>
    <row r="4036" spans="3:8" x14ac:dyDescent="0.25">
      <c r="C4036" s="210"/>
      <c r="D4036" s="210"/>
      <c r="E4036" s="210"/>
      <c r="F4036" s="210"/>
      <c r="G4036" s="210"/>
      <c r="H4036" s="210"/>
    </row>
    <row r="4037" spans="3:8" x14ac:dyDescent="0.25">
      <c r="C4037" s="210"/>
      <c r="D4037" s="210"/>
      <c r="E4037" s="210"/>
      <c r="F4037" s="210"/>
      <c r="G4037" s="210"/>
      <c r="H4037" s="210"/>
    </row>
    <row r="4038" spans="3:8" x14ac:dyDescent="0.25">
      <c r="C4038" s="210"/>
      <c r="D4038" s="210"/>
      <c r="E4038" s="210"/>
      <c r="F4038" s="210"/>
      <c r="G4038" s="210"/>
      <c r="H4038" s="210"/>
    </row>
    <row r="4039" spans="3:8" x14ac:dyDescent="0.25">
      <c r="C4039" s="210"/>
      <c r="D4039" s="210"/>
      <c r="E4039" s="210"/>
      <c r="F4039" s="210"/>
      <c r="G4039" s="210"/>
      <c r="H4039" s="210"/>
    </row>
    <row r="4040" spans="3:8" x14ac:dyDescent="0.25">
      <c r="C4040" s="210"/>
      <c r="D4040" s="210"/>
      <c r="E4040" s="210"/>
      <c r="F4040" s="210"/>
      <c r="G4040" s="210"/>
      <c r="H4040" s="210"/>
    </row>
    <row r="4041" spans="3:8" x14ac:dyDescent="0.25">
      <c r="C4041" s="210"/>
      <c r="D4041" s="210"/>
      <c r="E4041" s="210"/>
      <c r="F4041" s="210"/>
      <c r="G4041" s="210"/>
      <c r="H4041" s="210"/>
    </row>
    <row r="4042" spans="3:8" x14ac:dyDescent="0.25">
      <c r="C4042" s="210"/>
      <c r="D4042" s="210"/>
      <c r="E4042" s="210"/>
      <c r="F4042" s="210"/>
      <c r="G4042" s="210"/>
      <c r="H4042" s="210"/>
    </row>
    <row r="4043" spans="3:8" x14ac:dyDescent="0.25">
      <c r="C4043" s="210"/>
      <c r="D4043" s="210"/>
      <c r="E4043" s="210"/>
      <c r="F4043" s="210"/>
      <c r="G4043" s="210"/>
      <c r="H4043" s="210"/>
    </row>
    <row r="4044" spans="3:8" x14ac:dyDescent="0.25">
      <c r="C4044" s="210"/>
      <c r="D4044" s="210"/>
      <c r="E4044" s="210"/>
      <c r="F4044" s="210"/>
      <c r="G4044" s="210"/>
      <c r="H4044" s="210"/>
    </row>
    <row r="4045" spans="3:8" x14ac:dyDescent="0.25">
      <c r="C4045" s="210"/>
      <c r="D4045" s="210"/>
      <c r="E4045" s="210"/>
      <c r="F4045" s="210"/>
      <c r="G4045" s="210"/>
      <c r="H4045" s="210"/>
    </row>
    <row r="4046" spans="3:8" x14ac:dyDescent="0.25">
      <c r="C4046" s="210"/>
      <c r="D4046" s="210"/>
      <c r="E4046" s="210"/>
      <c r="F4046" s="210"/>
      <c r="G4046" s="210"/>
      <c r="H4046" s="210"/>
    </row>
    <row r="4047" spans="3:8" x14ac:dyDescent="0.25">
      <c r="C4047" s="210"/>
      <c r="D4047" s="210"/>
      <c r="E4047" s="210"/>
      <c r="F4047" s="210"/>
      <c r="G4047" s="210"/>
      <c r="H4047" s="210"/>
    </row>
    <row r="4048" spans="3:8" x14ac:dyDescent="0.25">
      <c r="C4048" s="210"/>
      <c r="D4048" s="210"/>
      <c r="E4048" s="210"/>
      <c r="F4048" s="210"/>
      <c r="G4048" s="210"/>
      <c r="H4048" s="210"/>
    </row>
    <row r="4049" spans="3:8" x14ac:dyDescent="0.25">
      <c r="C4049" s="210"/>
      <c r="D4049" s="210"/>
      <c r="E4049" s="210"/>
      <c r="F4049" s="210"/>
      <c r="G4049" s="210"/>
      <c r="H4049" s="210"/>
    </row>
    <row r="4050" spans="3:8" x14ac:dyDescent="0.25">
      <c r="C4050" s="210"/>
      <c r="D4050" s="210"/>
      <c r="E4050" s="210"/>
      <c r="F4050" s="210"/>
      <c r="G4050" s="210"/>
      <c r="H4050" s="210"/>
    </row>
    <row r="4051" spans="3:8" x14ac:dyDescent="0.25">
      <c r="C4051" s="210"/>
      <c r="D4051" s="210"/>
      <c r="E4051" s="210"/>
      <c r="F4051" s="210"/>
      <c r="G4051" s="210"/>
      <c r="H4051" s="210"/>
    </row>
    <row r="4052" spans="3:8" x14ac:dyDescent="0.25">
      <c r="C4052" s="210"/>
      <c r="D4052" s="210"/>
      <c r="E4052" s="210"/>
      <c r="F4052" s="210"/>
      <c r="G4052" s="210"/>
      <c r="H4052" s="210"/>
    </row>
    <row r="4053" spans="3:8" x14ac:dyDescent="0.25">
      <c r="C4053" s="210"/>
      <c r="D4053" s="210"/>
      <c r="E4053" s="210"/>
      <c r="F4053" s="210"/>
      <c r="G4053" s="210"/>
      <c r="H4053" s="210"/>
    </row>
    <row r="4054" spans="3:8" x14ac:dyDescent="0.25">
      <c r="C4054" s="210"/>
      <c r="D4054" s="210"/>
      <c r="E4054" s="210"/>
      <c r="F4054" s="210"/>
      <c r="G4054" s="210"/>
      <c r="H4054" s="210"/>
    </row>
    <row r="4055" spans="3:8" x14ac:dyDescent="0.25">
      <c r="C4055" s="210"/>
      <c r="D4055" s="210"/>
      <c r="E4055" s="210"/>
      <c r="F4055" s="210"/>
      <c r="G4055" s="210"/>
      <c r="H4055" s="210"/>
    </row>
    <row r="4056" spans="3:8" x14ac:dyDescent="0.25">
      <c r="C4056" s="210"/>
      <c r="D4056" s="210"/>
      <c r="E4056" s="210"/>
      <c r="F4056" s="210"/>
      <c r="G4056" s="210"/>
      <c r="H4056" s="210"/>
    </row>
    <row r="4057" spans="3:8" x14ac:dyDescent="0.25">
      <c r="C4057" s="210"/>
      <c r="D4057" s="210"/>
      <c r="E4057" s="210"/>
      <c r="F4057" s="210"/>
      <c r="G4057" s="210"/>
      <c r="H4057" s="210"/>
    </row>
    <row r="4058" spans="3:8" x14ac:dyDescent="0.25">
      <c r="C4058" s="210"/>
      <c r="D4058" s="210"/>
      <c r="E4058" s="210"/>
      <c r="F4058" s="210"/>
      <c r="G4058" s="210"/>
      <c r="H4058" s="210"/>
    </row>
    <row r="4059" spans="3:8" x14ac:dyDescent="0.25">
      <c r="C4059" s="210"/>
      <c r="D4059" s="210"/>
      <c r="E4059" s="210"/>
      <c r="F4059" s="210"/>
      <c r="G4059" s="210"/>
      <c r="H4059" s="210"/>
    </row>
    <row r="4060" spans="3:8" x14ac:dyDescent="0.25">
      <c r="C4060" s="210"/>
      <c r="D4060" s="210"/>
      <c r="E4060" s="210"/>
      <c r="F4060" s="210"/>
      <c r="G4060" s="210"/>
      <c r="H4060" s="210"/>
    </row>
    <row r="4061" spans="3:8" x14ac:dyDescent="0.25">
      <c r="C4061" s="210"/>
      <c r="D4061" s="210"/>
      <c r="E4061" s="210"/>
      <c r="F4061" s="210"/>
      <c r="G4061" s="210"/>
      <c r="H4061" s="210"/>
    </row>
    <row r="4062" spans="3:8" x14ac:dyDescent="0.25">
      <c r="C4062" s="210"/>
      <c r="D4062" s="210"/>
      <c r="E4062" s="210"/>
      <c r="F4062" s="210"/>
      <c r="G4062" s="210"/>
      <c r="H4062" s="210"/>
    </row>
    <row r="4063" spans="3:8" x14ac:dyDescent="0.25">
      <c r="C4063" s="210"/>
      <c r="D4063" s="210"/>
      <c r="E4063" s="210"/>
      <c r="F4063" s="210"/>
      <c r="G4063" s="210"/>
      <c r="H4063" s="210"/>
    </row>
    <row r="4064" spans="3:8" x14ac:dyDescent="0.25">
      <c r="C4064" s="210"/>
      <c r="D4064" s="210"/>
      <c r="E4064" s="210"/>
      <c r="F4064" s="210"/>
      <c r="G4064" s="210"/>
      <c r="H4064" s="210"/>
    </row>
    <row r="4065" spans="3:8" x14ac:dyDescent="0.25">
      <c r="C4065" s="210"/>
      <c r="D4065" s="210"/>
      <c r="E4065" s="210"/>
      <c r="F4065" s="210"/>
      <c r="G4065" s="210"/>
      <c r="H4065" s="210"/>
    </row>
    <row r="4066" spans="3:8" x14ac:dyDescent="0.25">
      <c r="C4066" s="210"/>
      <c r="D4066" s="210"/>
      <c r="E4066" s="210"/>
      <c r="F4066" s="210"/>
      <c r="G4066" s="210"/>
      <c r="H4066" s="210"/>
    </row>
    <row r="4067" spans="3:8" x14ac:dyDescent="0.25">
      <c r="C4067" s="210"/>
      <c r="D4067" s="210"/>
      <c r="E4067" s="210"/>
      <c r="F4067" s="210"/>
      <c r="G4067" s="210"/>
      <c r="H4067" s="210"/>
    </row>
    <row r="4068" spans="3:8" x14ac:dyDescent="0.25">
      <c r="C4068" s="210"/>
      <c r="D4068" s="210"/>
      <c r="E4068" s="210"/>
      <c r="F4068" s="210"/>
      <c r="G4068" s="210"/>
      <c r="H4068" s="210"/>
    </row>
    <row r="4069" spans="3:8" x14ac:dyDescent="0.25">
      <c r="C4069" s="210"/>
      <c r="D4069" s="210"/>
      <c r="E4069" s="210"/>
      <c r="F4069" s="210"/>
      <c r="G4069" s="210"/>
      <c r="H4069" s="210"/>
    </row>
    <row r="4070" spans="3:8" x14ac:dyDescent="0.25">
      <c r="C4070" s="210"/>
      <c r="D4070" s="210"/>
      <c r="E4070" s="210"/>
      <c r="F4070" s="210"/>
      <c r="G4070" s="210"/>
      <c r="H4070" s="210"/>
    </row>
    <row r="4071" spans="3:8" x14ac:dyDescent="0.25">
      <c r="C4071" s="210"/>
      <c r="D4071" s="210"/>
      <c r="E4071" s="210"/>
      <c r="F4071" s="210"/>
      <c r="G4071" s="210"/>
      <c r="H4071" s="210"/>
    </row>
    <row r="4072" spans="3:8" x14ac:dyDescent="0.25">
      <c r="C4072" s="210"/>
      <c r="D4072" s="210"/>
      <c r="E4072" s="210"/>
      <c r="F4072" s="210"/>
      <c r="G4072" s="210"/>
      <c r="H4072" s="210"/>
    </row>
    <row r="4073" spans="3:8" x14ac:dyDescent="0.25">
      <c r="C4073" s="210"/>
      <c r="D4073" s="210"/>
      <c r="E4073" s="210"/>
      <c r="F4073" s="210"/>
      <c r="G4073" s="210"/>
      <c r="H4073" s="210"/>
    </row>
    <row r="4074" spans="3:8" x14ac:dyDescent="0.25">
      <c r="C4074" s="210"/>
      <c r="D4074" s="210"/>
      <c r="E4074" s="210"/>
      <c r="F4074" s="210"/>
      <c r="G4074" s="210"/>
      <c r="H4074" s="210"/>
    </row>
    <row r="4075" spans="3:8" x14ac:dyDescent="0.25">
      <c r="C4075" s="210"/>
      <c r="D4075" s="210"/>
      <c r="E4075" s="210"/>
      <c r="F4075" s="210"/>
      <c r="G4075" s="210"/>
      <c r="H4075" s="210"/>
    </row>
    <row r="4076" spans="3:8" x14ac:dyDescent="0.25">
      <c r="C4076" s="210"/>
      <c r="D4076" s="210"/>
      <c r="E4076" s="210"/>
      <c r="F4076" s="210"/>
      <c r="G4076" s="210"/>
      <c r="H4076" s="210"/>
    </row>
    <row r="4077" spans="3:8" x14ac:dyDescent="0.25">
      <c r="C4077" s="210"/>
      <c r="D4077" s="210"/>
      <c r="E4077" s="210"/>
      <c r="F4077" s="210"/>
      <c r="G4077" s="210"/>
      <c r="H4077" s="210"/>
    </row>
    <row r="4078" spans="3:8" x14ac:dyDescent="0.25">
      <c r="C4078" s="210"/>
      <c r="D4078" s="210"/>
      <c r="E4078" s="210"/>
      <c r="F4078" s="210"/>
      <c r="G4078" s="210"/>
      <c r="H4078" s="210"/>
    </row>
    <row r="4079" spans="3:8" x14ac:dyDescent="0.25">
      <c r="C4079" s="210"/>
      <c r="D4079" s="210"/>
      <c r="E4079" s="210"/>
      <c r="F4079" s="210"/>
      <c r="G4079" s="210"/>
      <c r="H4079" s="210"/>
    </row>
    <row r="4080" spans="3:8" x14ac:dyDescent="0.25">
      <c r="C4080" s="210"/>
      <c r="D4080" s="210"/>
      <c r="E4080" s="210"/>
      <c r="F4080" s="210"/>
      <c r="G4080" s="210"/>
      <c r="H4080" s="210"/>
    </row>
    <row r="4081" spans="3:8" x14ac:dyDescent="0.25">
      <c r="C4081" s="210"/>
      <c r="D4081" s="210"/>
      <c r="E4081" s="210"/>
      <c r="F4081" s="210"/>
      <c r="G4081" s="210"/>
      <c r="H4081" s="210"/>
    </row>
    <row r="4082" spans="3:8" x14ac:dyDescent="0.25">
      <c r="C4082" s="210"/>
      <c r="D4082" s="210"/>
      <c r="E4082" s="210"/>
      <c r="F4082" s="210"/>
      <c r="G4082" s="210"/>
      <c r="H4082" s="210"/>
    </row>
    <row r="4083" spans="3:8" x14ac:dyDescent="0.25">
      <c r="C4083" s="210"/>
      <c r="D4083" s="210"/>
      <c r="E4083" s="210"/>
      <c r="F4083" s="210"/>
      <c r="G4083" s="210"/>
      <c r="H4083" s="210"/>
    </row>
    <row r="4084" spans="3:8" x14ac:dyDescent="0.25">
      <c r="C4084" s="210"/>
      <c r="D4084" s="210"/>
      <c r="E4084" s="210"/>
      <c r="F4084" s="210"/>
      <c r="G4084" s="210"/>
      <c r="H4084" s="210"/>
    </row>
    <row r="4085" spans="3:8" x14ac:dyDescent="0.25">
      <c r="C4085" s="210"/>
      <c r="D4085" s="210"/>
      <c r="E4085" s="210"/>
      <c r="F4085" s="210"/>
      <c r="G4085" s="210"/>
      <c r="H4085" s="210"/>
    </row>
    <row r="4086" spans="3:8" x14ac:dyDescent="0.25">
      <c r="C4086" s="210"/>
      <c r="D4086" s="210"/>
      <c r="E4086" s="210"/>
      <c r="F4086" s="210"/>
      <c r="G4086" s="210"/>
      <c r="H4086" s="210"/>
    </row>
    <row r="4087" spans="3:8" x14ac:dyDescent="0.25">
      <c r="C4087" s="210"/>
      <c r="D4087" s="210"/>
      <c r="E4087" s="210"/>
      <c r="F4087" s="210"/>
      <c r="G4087" s="210"/>
      <c r="H4087" s="210"/>
    </row>
    <row r="4088" spans="3:8" x14ac:dyDescent="0.25">
      <c r="C4088" s="210"/>
      <c r="D4088" s="210"/>
      <c r="E4088" s="210"/>
      <c r="F4088" s="210"/>
      <c r="G4088" s="210"/>
      <c r="H4088" s="210"/>
    </row>
    <row r="4089" spans="3:8" x14ac:dyDescent="0.25">
      <c r="C4089" s="210"/>
      <c r="D4089" s="210"/>
      <c r="E4089" s="210"/>
      <c r="F4089" s="210"/>
      <c r="G4089" s="210"/>
      <c r="H4089" s="210"/>
    </row>
    <row r="4090" spans="3:8" x14ac:dyDescent="0.25">
      <c r="C4090" s="210"/>
      <c r="D4090" s="210"/>
      <c r="E4090" s="210"/>
      <c r="F4090" s="210"/>
      <c r="G4090" s="210"/>
      <c r="H4090" s="210"/>
    </row>
    <row r="4091" spans="3:8" x14ac:dyDescent="0.25">
      <c r="C4091" s="210"/>
      <c r="D4091" s="210"/>
      <c r="E4091" s="210"/>
      <c r="F4091" s="210"/>
      <c r="G4091" s="210"/>
      <c r="H4091" s="210"/>
    </row>
    <row r="4092" spans="3:8" x14ac:dyDescent="0.25">
      <c r="C4092" s="210"/>
      <c r="D4092" s="210"/>
      <c r="E4092" s="210"/>
      <c r="F4092" s="210"/>
      <c r="G4092" s="210"/>
      <c r="H4092" s="210"/>
    </row>
    <row r="4093" spans="3:8" x14ac:dyDescent="0.25">
      <c r="C4093" s="210"/>
      <c r="D4093" s="210"/>
      <c r="E4093" s="210"/>
      <c r="F4093" s="210"/>
      <c r="G4093" s="210"/>
      <c r="H4093" s="210"/>
    </row>
    <row r="4094" spans="3:8" x14ac:dyDescent="0.25">
      <c r="C4094" s="210"/>
      <c r="D4094" s="210"/>
      <c r="E4094" s="210"/>
      <c r="F4094" s="210"/>
      <c r="G4094" s="210"/>
      <c r="H4094" s="210"/>
    </row>
    <row r="4095" spans="3:8" x14ac:dyDescent="0.25">
      <c r="C4095" s="210"/>
      <c r="D4095" s="210"/>
      <c r="E4095" s="210"/>
      <c r="F4095" s="210"/>
      <c r="G4095" s="210"/>
      <c r="H4095" s="210"/>
    </row>
    <row r="4096" spans="3:8" x14ac:dyDescent="0.25">
      <c r="C4096" s="210"/>
      <c r="D4096" s="210"/>
      <c r="E4096" s="210"/>
      <c r="F4096" s="210"/>
      <c r="G4096" s="210"/>
      <c r="H4096" s="210"/>
    </row>
    <row r="4097" spans="3:8" x14ac:dyDescent="0.25">
      <c r="C4097" s="210"/>
      <c r="D4097" s="210"/>
      <c r="E4097" s="210"/>
      <c r="F4097" s="210"/>
      <c r="G4097" s="210"/>
      <c r="H4097" s="210"/>
    </row>
    <row r="4098" spans="3:8" x14ac:dyDescent="0.25">
      <c r="C4098" s="210"/>
      <c r="D4098" s="210"/>
      <c r="E4098" s="210"/>
      <c r="F4098" s="210"/>
      <c r="G4098" s="210"/>
      <c r="H4098" s="210"/>
    </row>
    <row r="4099" spans="3:8" x14ac:dyDescent="0.25">
      <c r="C4099" s="210"/>
      <c r="D4099" s="210"/>
      <c r="E4099" s="210"/>
      <c r="F4099" s="210"/>
      <c r="G4099" s="210"/>
      <c r="H4099" s="210"/>
    </row>
    <row r="4100" spans="3:8" x14ac:dyDescent="0.25">
      <c r="C4100" s="210"/>
      <c r="D4100" s="210"/>
      <c r="E4100" s="210"/>
      <c r="F4100" s="210"/>
      <c r="G4100" s="210"/>
      <c r="H4100" s="210"/>
    </row>
    <row r="4101" spans="3:8" x14ac:dyDescent="0.25">
      <c r="C4101" s="210"/>
      <c r="D4101" s="210"/>
      <c r="E4101" s="210"/>
      <c r="F4101" s="210"/>
      <c r="G4101" s="210"/>
      <c r="H4101" s="210"/>
    </row>
    <row r="4102" spans="3:8" x14ac:dyDescent="0.25">
      <c r="C4102" s="210"/>
      <c r="D4102" s="210"/>
      <c r="E4102" s="210"/>
      <c r="F4102" s="210"/>
      <c r="G4102" s="210"/>
      <c r="H4102" s="210"/>
    </row>
    <row r="4103" spans="3:8" x14ac:dyDescent="0.25">
      <c r="C4103" s="210"/>
      <c r="D4103" s="210"/>
      <c r="E4103" s="210"/>
      <c r="F4103" s="210"/>
      <c r="G4103" s="210"/>
      <c r="H4103" s="210"/>
    </row>
    <row r="4104" spans="3:8" x14ac:dyDescent="0.25">
      <c r="C4104" s="210"/>
      <c r="D4104" s="210"/>
      <c r="E4104" s="210"/>
      <c r="F4104" s="210"/>
      <c r="G4104" s="210"/>
      <c r="H4104" s="210"/>
    </row>
    <row r="4105" spans="3:8" x14ac:dyDescent="0.25">
      <c r="C4105" s="210"/>
      <c r="D4105" s="210"/>
      <c r="E4105" s="210"/>
      <c r="F4105" s="210"/>
      <c r="G4105" s="210"/>
      <c r="H4105" s="210"/>
    </row>
    <row r="4106" spans="3:8" x14ac:dyDescent="0.25">
      <c r="C4106" s="210"/>
      <c r="D4106" s="210"/>
      <c r="E4106" s="210"/>
      <c r="F4106" s="210"/>
      <c r="G4106" s="210"/>
      <c r="H4106" s="210"/>
    </row>
    <row r="4107" spans="3:8" x14ac:dyDescent="0.25">
      <c r="C4107" s="210"/>
      <c r="D4107" s="210"/>
      <c r="E4107" s="210"/>
      <c r="F4107" s="210"/>
      <c r="G4107" s="210"/>
      <c r="H4107" s="210"/>
    </row>
    <row r="4108" spans="3:8" x14ac:dyDescent="0.25">
      <c r="C4108" s="210"/>
      <c r="D4108" s="210"/>
      <c r="E4108" s="210"/>
      <c r="F4108" s="210"/>
      <c r="G4108" s="210"/>
      <c r="H4108" s="210"/>
    </row>
    <row r="4109" spans="3:8" x14ac:dyDescent="0.25">
      <c r="C4109" s="210"/>
      <c r="D4109" s="210"/>
      <c r="E4109" s="210"/>
      <c r="F4109" s="210"/>
      <c r="G4109" s="210"/>
      <c r="H4109" s="210"/>
    </row>
    <row r="4110" spans="3:8" x14ac:dyDescent="0.25">
      <c r="C4110" s="210"/>
      <c r="D4110" s="210"/>
      <c r="E4110" s="210"/>
      <c r="F4110" s="210"/>
      <c r="G4110" s="210"/>
      <c r="H4110" s="210"/>
    </row>
    <row r="4111" spans="3:8" x14ac:dyDescent="0.25">
      <c r="C4111" s="210"/>
      <c r="D4111" s="210"/>
      <c r="E4111" s="210"/>
      <c r="F4111" s="210"/>
      <c r="G4111" s="210"/>
      <c r="H4111" s="210"/>
    </row>
    <row r="4112" spans="3:8" x14ac:dyDescent="0.25">
      <c r="C4112" s="210"/>
      <c r="D4112" s="210"/>
      <c r="E4112" s="210"/>
      <c r="F4112" s="210"/>
      <c r="G4112" s="210"/>
      <c r="H4112" s="210"/>
    </row>
    <row r="4113" spans="3:8" x14ac:dyDescent="0.25">
      <c r="C4113" s="210"/>
      <c r="D4113" s="210"/>
      <c r="E4113" s="210"/>
      <c r="F4113" s="210"/>
      <c r="G4113" s="210"/>
      <c r="H4113" s="210"/>
    </row>
    <row r="4114" spans="3:8" x14ac:dyDescent="0.25">
      <c r="C4114" s="210"/>
      <c r="D4114" s="210"/>
      <c r="E4114" s="210"/>
      <c r="F4114" s="210"/>
      <c r="G4114" s="210"/>
      <c r="H4114" s="210"/>
    </row>
    <row r="4115" spans="3:8" x14ac:dyDescent="0.25">
      <c r="C4115" s="210"/>
      <c r="D4115" s="210"/>
      <c r="E4115" s="210"/>
      <c r="F4115" s="210"/>
      <c r="G4115" s="210"/>
      <c r="H4115" s="210"/>
    </row>
    <row r="4116" spans="3:8" x14ac:dyDescent="0.25">
      <c r="C4116" s="210"/>
      <c r="D4116" s="210"/>
      <c r="E4116" s="210"/>
      <c r="F4116" s="210"/>
      <c r="G4116" s="210"/>
      <c r="H4116" s="210"/>
    </row>
    <row r="4117" spans="3:8" x14ac:dyDescent="0.25">
      <c r="C4117" s="210"/>
      <c r="D4117" s="210"/>
      <c r="E4117" s="210"/>
      <c r="F4117" s="210"/>
      <c r="G4117" s="210"/>
      <c r="H4117" s="210"/>
    </row>
    <row r="4118" spans="3:8" x14ac:dyDescent="0.25">
      <c r="C4118" s="210"/>
      <c r="D4118" s="210"/>
      <c r="E4118" s="210"/>
      <c r="F4118" s="210"/>
      <c r="G4118" s="210"/>
      <c r="H4118" s="210"/>
    </row>
    <row r="4119" spans="3:8" x14ac:dyDescent="0.25">
      <c r="C4119" s="210"/>
      <c r="D4119" s="210"/>
      <c r="E4119" s="210"/>
      <c r="F4119" s="210"/>
      <c r="G4119" s="210"/>
      <c r="H4119" s="210"/>
    </row>
    <row r="4120" spans="3:8" x14ac:dyDescent="0.25">
      <c r="C4120" s="210"/>
      <c r="D4120" s="210"/>
      <c r="E4120" s="210"/>
      <c r="F4120" s="210"/>
      <c r="G4120" s="210"/>
      <c r="H4120" s="210"/>
    </row>
    <row r="4121" spans="3:8" x14ac:dyDescent="0.25">
      <c r="C4121" s="210"/>
      <c r="D4121" s="210"/>
      <c r="E4121" s="210"/>
      <c r="F4121" s="210"/>
      <c r="G4121" s="210"/>
      <c r="H4121" s="210"/>
    </row>
    <row r="4122" spans="3:8" x14ac:dyDescent="0.25">
      <c r="C4122" s="210"/>
      <c r="D4122" s="210"/>
      <c r="E4122" s="210"/>
      <c r="F4122" s="210"/>
      <c r="G4122" s="210"/>
      <c r="H4122" s="210"/>
    </row>
    <row r="4123" spans="3:8" x14ac:dyDescent="0.25">
      <c r="C4123" s="210"/>
      <c r="D4123" s="210"/>
      <c r="E4123" s="210"/>
      <c r="F4123" s="210"/>
      <c r="G4123" s="210"/>
      <c r="H4123" s="210"/>
    </row>
    <row r="4124" spans="3:8" x14ac:dyDescent="0.25">
      <c r="C4124" s="210"/>
      <c r="D4124" s="210"/>
      <c r="E4124" s="210"/>
      <c r="F4124" s="210"/>
      <c r="G4124" s="210"/>
      <c r="H4124" s="210"/>
    </row>
    <row r="4125" spans="3:8" x14ac:dyDescent="0.25">
      <c r="C4125" s="210"/>
      <c r="D4125" s="210"/>
      <c r="E4125" s="210"/>
      <c r="F4125" s="210"/>
      <c r="G4125" s="210"/>
      <c r="H4125" s="210"/>
    </row>
    <row r="4126" spans="3:8" x14ac:dyDescent="0.25">
      <c r="C4126" s="210"/>
      <c r="D4126" s="210"/>
      <c r="E4126" s="210"/>
      <c r="F4126" s="210"/>
      <c r="G4126" s="210"/>
      <c r="H4126" s="210"/>
    </row>
    <row r="4127" spans="3:8" x14ac:dyDescent="0.25">
      <c r="C4127" s="210"/>
      <c r="D4127" s="210"/>
      <c r="E4127" s="210"/>
      <c r="F4127" s="210"/>
      <c r="G4127" s="210"/>
      <c r="H4127" s="210"/>
    </row>
    <row r="4128" spans="3:8" x14ac:dyDescent="0.25">
      <c r="C4128" s="210"/>
      <c r="D4128" s="210"/>
      <c r="E4128" s="210"/>
      <c r="F4128" s="210"/>
      <c r="G4128" s="210"/>
      <c r="H4128" s="210"/>
    </row>
    <row r="4129" spans="3:8" x14ac:dyDescent="0.25">
      <c r="C4129" s="210"/>
      <c r="D4129" s="210"/>
      <c r="E4129" s="210"/>
      <c r="F4129" s="210"/>
      <c r="G4129" s="210"/>
      <c r="H4129" s="210"/>
    </row>
    <row r="4130" spans="3:8" x14ac:dyDescent="0.25">
      <c r="C4130" s="210"/>
      <c r="D4130" s="210"/>
      <c r="E4130" s="210"/>
      <c r="F4130" s="210"/>
      <c r="G4130" s="210"/>
      <c r="H4130" s="210"/>
    </row>
    <row r="4131" spans="3:8" x14ac:dyDescent="0.25">
      <c r="C4131" s="210"/>
      <c r="D4131" s="210"/>
      <c r="E4131" s="210"/>
      <c r="F4131" s="210"/>
      <c r="G4131" s="210"/>
      <c r="H4131" s="210"/>
    </row>
    <row r="4132" spans="3:8" x14ac:dyDescent="0.25">
      <c r="C4132" s="210"/>
      <c r="D4132" s="210"/>
      <c r="E4132" s="210"/>
      <c r="F4132" s="210"/>
      <c r="G4132" s="210"/>
      <c r="H4132" s="210"/>
    </row>
    <row r="4133" spans="3:8" x14ac:dyDescent="0.25">
      <c r="C4133" s="210"/>
      <c r="D4133" s="210"/>
      <c r="E4133" s="210"/>
      <c r="F4133" s="210"/>
      <c r="G4133" s="210"/>
      <c r="H4133" s="210"/>
    </row>
    <row r="4134" spans="3:8" x14ac:dyDescent="0.25">
      <c r="C4134" s="210"/>
      <c r="D4134" s="210"/>
      <c r="E4134" s="210"/>
      <c r="F4134" s="210"/>
      <c r="G4134" s="210"/>
      <c r="H4134" s="210"/>
    </row>
    <row r="4135" spans="3:8" x14ac:dyDescent="0.25">
      <c r="C4135" s="210"/>
      <c r="D4135" s="210"/>
      <c r="E4135" s="210"/>
      <c r="F4135" s="210"/>
      <c r="G4135" s="210"/>
      <c r="H4135" s="210"/>
    </row>
    <row r="4136" spans="3:8" x14ac:dyDescent="0.25">
      <c r="C4136" s="210"/>
      <c r="D4136" s="210"/>
      <c r="E4136" s="210"/>
      <c r="F4136" s="210"/>
      <c r="G4136" s="210"/>
      <c r="H4136" s="210"/>
    </row>
    <row r="4137" spans="3:8" x14ac:dyDescent="0.25">
      <c r="C4137" s="210"/>
      <c r="D4137" s="210"/>
      <c r="E4137" s="210"/>
      <c r="F4137" s="210"/>
      <c r="G4137" s="210"/>
      <c r="H4137" s="210"/>
    </row>
    <row r="4138" spans="3:8" x14ac:dyDescent="0.25">
      <c r="C4138" s="210"/>
      <c r="D4138" s="210"/>
      <c r="E4138" s="210"/>
      <c r="F4138" s="210"/>
      <c r="G4138" s="210"/>
      <c r="H4138" s="210"/>
    </row>
    <row r="4139" spans="3:8" x14ac:dyDescent="0.25">
      <c r="C4139" s="210"/>
      <c r="D4139" s="210"/>
      <c r="E4139" s="210"/>
      <c r="F4139" s="210"/>
      <c r="G4139" s="210"/>
      <c r="H4139" s="210"/>
    </row>
    <row r="4140" spans="3:8" x14ac:dyDescent="0.25">
      <c r="C4140" s="210"/>
      <c r="D4140" s="210"/>
      <c r="E4140" s="210"/>
      <c r="F4140" s="210"/>
      <c r="G4140" s="210"/>
      <c r="H4140" s="210"/>
    </row>
    <row r="4141" spans="3:8" x14ac:dyDescent="0.25">
      <c r="C4141" s="210"/>
      <c r="D4141" s="210"/>
      <c r="E4141" s="210"/>
      <c r="F4141" s="210"/>
      <c r="G4141" s="210"/>
      <c r="H4141" s="210"/>
    </row>
    <row r="4142" spans="3:8" x14ac:dyDescent="0.25">
      <c r="C4142" s="210"/>
      <c r="D4142" s="210"/>
      <c r="E4142" s="210"/>
      <c r="F4142" s="210"/>
      <c r="G4142" s="210"/>
      <c r="H4142" s="210"/>
    </row>
    <row r="4143" spans="3:8" x14ac:dyDescent="0.25">
      <c r="C4143" s="210"/>
      <c r="D4143" s="210"/>
      <c r="E4143" s="210"/>
      <c r="F4143" s="210"/>
      <c r="G4143" s="210"/>
      <c r="H4143" s="210"/>
    </row>
    <row r="4144" spans="3:8" x14ac:dyDescent="0.25">
      <c r="C4144" s="210"/>
      <c r="D4144" s="210"/>
      <c r="E4144" s="210"/>
      <c r="F4144" s="210"/>
      <c r="G4144" s="210"/>
      <c r="H4144" s="210"/>
    </row>
    <row r="4145" spans="3:8" x14ac:dyDescent="0.25">
      <c r="C4145" s="210"/>
      <c r="D4145" s="210"/>
      <c r="E4145" s="210"/>
      <c r="F4145" s="210"/>
      <c r="G4145" s="210"/>
      <c r="H4145" s="210"/>
    </row>
    <row r="4146" spans="3:8" x14ac:dyDescent="0.25">
      <c r="C4146" s="210"/>
      <c r="D4146" s="210"/>
      <c r="E4146" s="210"/>
      <c r="F4146" s="210"/>
      <c r="G4146" s="210"/>
      <c r="H4146" s="210"/>
    </row>
    <row r="4147" spans="3:8" x14ac:dyDescent="0.25">
      <c r="C4147" s="210"/>
      <c r="D4147" s="210"/>
      <c r="E4147" s="210"/>
      <c r="F4147" s="210"/>
      <c r="G4147" s="210"/>
      <c r="H4147" s="210"/>
    </row>
    <row r="4148" spans="3:8" x14ac:dyDescent="0.25">
      <c r="C4148" s="210"/>
      <c r="D4148" s="210"/>
      <c r="E4148" s="210"/>
      <c r="F4148" s="210"/>
      <c r="G4148" s="210"/>
      <c r="H4148" s="210"/>
    </row>
    <row r="4149" spans="3:8" x14ac:dyDescent="0.25">
      <c r="C4149" s="210"/>
      <c r="D4149" s="210"/>
      <c r="E4149" s="210"/>
      <c r="F4149" s="210"/>
      <c r="G4149" s="210"/>
      <c r="H4149" s="210"/>
    </row>
    <row r="4150" spans="3:8" x14ac:dyDescent="0.25">
      <c r="C4150" s="210"/>
      <c r="D4150" s="210"/>
      <c r="E4150" s="210"/>
      <c r="F4150" s="210"/>
      <c r="G4150" s="210"/>
      <c r="H4150" s="210"/>
    </row>
    <row r="4151" spans="3:8" x14ac:dyDescent="0.25">
      <c r="C4151" s="210"/>
      <c r="D4151" s="210"/>
      <c r="E4151" s="210"/>
      <c r="F4151" s="210"/>
      <c r="G4151" s="210"/>
      <c r="H4151" s="210"/>
    </row>
    <row r="4152" spans="3:8" x14ac:dyDescent="0.25">
      <c r="C4152" s="210"/>
      <c r="D4152" s="210"/>
      <c r="E4152" s="210"/>
      <c r="F4152" s="210"/>
      <c r="G4152" s="210"/>
      <c r="H4152" s="210"/>
    </row>
    <row r="4153" spans="3:8" x14ac:dyDescent="0.25">
      <c r="C4153" s="210"/>
      <c r="D4153" s="210"/>
      <c r="E4153" s="210"/>
      <c r="F4153" s="210"/>
      <c r="G4153" s="210"/>
      <c r="H4153" s="210"/>
    </row>
    <row r="4154" spans="3:8" x14ac:dyDescent="0.25">
      <c r="C4154" s="210"/>
      <c r="D4154" s="210"/>
      <c r="E4154" s="210"/>
      <c r="F4154" s="210"/>
      <c r="G4154" s="210"/>
      <c r="H4154" s="210"/>
    </row>
    <row r="4155" spans="3:8" x14ac:dyDescent="0.25">
      <c r="C4155" s="210"/>
      <c r="D4155" s="210"/>
      <c r="E4155" s="210"/>
      <c r="F4155" s="210"/>
      <c r="G4155" s="210"/>
      <c r="H4155" s="210"/>
    </row>
    <row r="4156" spans="3:8" x14ac:dyDescent="0.25">
      <c r="C4156" s="210"/>
      <c r="D4156" s="210"/>
      <c r="E4156" s="210"/>
      <c r="F4156" s="210"/>
      <c r="G4156" s="210"/>
      <c r="H4156" s="210"/>
    </row>
    <row r="4157" spans="3:8" x14ac:dyDescent="0.25">
      <c r="C4157" s="210"/>
      <c r="D4157" s="210"/>
      <c r="E4157" s="210"/>
      <c r="F4157" s="210"/>
      <c r="G4157" s="210"/>
      <c r="H4157" s="210"/>
    </row>
    <row r="4158" spans="3:8" x14ac:dyDescent="0.25">
      <c r="C4158" s="210"/>
      <c r="D4158" s="210"/>
      <c r="E4158" s="210"/>
      <c r="F4158" s="210"/>
      <c r="G4158" s="210"/>
      <c r="H4158" s="210"/>
    </row>
    <row r="4159" spans="3:8" x14ac:dyDescent="0.25">
      <c r="C4159" s="210"/>
      <c r="D4159" s="210"/>
      <c r="E4159" s="210"/>
      <c r="F4159" s="210"/>
      <c r="G4159" s="210"/>
      <c r="H4159" s="210"/>
    </row>
    <row r="4160" spans="3:8" x14ac:dyDescent="0.25">
      <c r="C4160" s="210"/>
      <c r="D4160" s="210"/>
      <c r="E4160" s="210"/>
      <c r="F4160" s="210"/>
      <c r="G4160" s="210"/>
      <c r="H4160" s="210"/>
    </row>
    <row r="4161" spans="3:8" x14ac:dyDescent="0.25">
      <c r="C4161" s="210"/>
      <c r="D4161" s="210"/>
      <c r="E4161" s="210"/>
      <c r="F4161" s="210"/>
      <c r="G4161" s="210"/>
      <c r="H4161" s="210"/>
    </row>
    <row r="4162" spans="3:8" x14ac:dyDescent="0.25">
      <c r="C4162" s="210"/>
      <c r="D4162" s="210"/>
      <c r="E4162" s="210"/>
      <c r="F4162" s="210"/>
      <c r="G4162" s="210"/>
      <c r="H4162" s="210"/>
    </row>
    <row r="4163" spans="3:8" x14ac:dyDescent="0.25">
      <c r="C4163" s="210"/>
      <c r="D4163" s="210"/>
      <c r="E4163" s="210"/>
      <c r="F4163" s="210"/>
      <c r="G4163" s="210"/>
      <c r="H4163" s="210"/>
    </row>
    <row r="4164" spans="3:8" x14ac:dyDescent="0.25">
      <c r="C4164" s="210"/>
      <c r="D4164" s="210"/>
      <c r="E4164" s="210"/>
      <c r="F4164" s="210"/>
      <c r="G4164" s="210"/>
      <c r="H4164" s="210"/>
    </row>
    <row r="4165" spans="3:8" x14ac:dyDescent="0.25">
      <c r="C4165" s="210"/>
      <c r="D4165" s="210"/>
      <c r="E4165" s="210"/>
      <c r="F4165" s="210"/>
      <c r="G4165" s="210"/>
      <c r="H4165" s="210"/>
    </row>
    <row r="4166" spans="3:8" x14ac:dyDescent="0.25">
      <c r="C4166" s="210"/>
      <c r="D4166" s="210"/>
      <c r="E4166" s="210"/>
      <c r="F4166" s="210"/>
      <c r="G4166" s="210"/>
      <c r="H4166" s="210"/>
    </row>
    <row r="4167" spans="3:8" x14ac:dyDescent="0.25">
      <c r="C4167" s="210"/>
      <c r="D4167" s="210"/>
      <c r="E4167" s="210"/>
      <c r="F4167" s="210"/>
      <c r="G4167" s="210"/>
      <c r="H4167" s="210"/>
    </row>
    <row r="4168" spans="3:8" x14ac:dyDescent="0.25">
      <c r="C4168" s="210"/>
      <c r="D4168" s="210"/>
      <c r="E4168" s="210"/>
      <c r="F4168" s="210"/>
      <c r="G4168" s="210"/>
      <c r="H4168" s="210"/>
    </row>
    <row r="4169" spans="3:8" x14ac:dyDescent="0.25">
      <c r="C4169" s="210"/>
      <c r="D4169" s="210"/>
      <c r="E4169" s="210"/>
      <c r="F4169" s="210"/>
      <c r="G4169" s="210"/>
      <c r="H4169" s="210"/>
    </row>
    <row r="4170" spans="3:8" x14ac:dyDescent="0.25">
      <c r="C4170" s="210"/>
      <c r="D4170" s="210"/>
      <c r="E4170" s="210"/>
      <c r="F4170" s="210"/>
      <c r="G4170" s="210"/>
      <c r="H4170" s="210"/>
    </row>
    <row r="4171" spans="3:8" x14ac:dyDescent="0.25">
      <c r="C4171" s="210"/>
      <c r="D4171" s="210"/>
      <c r="E4171" s="210"/>
      <c r="F4171" s="210"/>
      <c r="G4171" s="210"/>
      <c r="H4171" s="210"/>
    </row>
    <row r="4172" spans="3:8" x14ac:dyDescent="0.25">
      <c r="C4172" s="210"/>
      <c r="D4172" s="210"/>
      <c r="E4172" s="210"/>
      <c r="F4172" s="210"/>
      <c r="G4172" s="210"/>
      <c r="H4172" s="210"/>
    </row>
    <row r="4173" spans="3:8" x14ac:dyDescent="0.25">
      <c r="C4173" s="210"/>
      <c r="D4173" s="210"/>
      <c r="E4173" s="210"/>
      <c r="F4173" s="210"/>
      <c r="G4173" s="210"/>
      <c r="H4173" s="210"/>
    </row>
    <row r="4174" spans="3:8" x14ac:dyDescent="0.25">
      <c r="C4174" s="210"/>
      <c r="D4174" s="210"/>
      <c r="E4174" s="210"/>
      <c r="F4174" s="210"/>
      <c r="G4174" s="210"/>
      <c r="H4174" s="210"/>
    </row>
    <row r="4175" spans="3:8" x14ac:dyDescent="0.25">
      <c r="C4175" s="210"/>
      <c r="D4175" s="210"/>
      <c r="E4175" s="210"/>
      <c r="F4175" s="210"/>
      <c r="G4175" s="210"/>
      <c r="H4175" s="210"/>
    </row>
    <row r="4176" spans="3:8" x14ac:dyDescent="0.25">
      <c r="C4176" s="210"/>
      <c r="D4176" s="210"/>
      <c r="E4176" s="210"/>
      <c r="F4176" s="210"/>
      <c r="G4176" s="210"/>
      <c r="H4176" s="210"/>
    </row>
    <row r="4177" spans="3:8" x14ac:dyDescent="0.25">
      <c r="C4177" s="210"/>
      <c r="D4177" s="210"/>
      <c r="E4177" s="210"/>
      <c r="F4177" s="210"/>
      <c r="G4177" s="210"/>
      <c r="H4177" s="210"/>
    </row>
    <row r="4178" spans="3:8" x14ac:dyDescent="0.25">
      <c r="C4178" s="210"/>
      <c r="D4178" s="210"/>
      <c r="E4178" s="210"/>
      <c r="F4178" s="210"/>
      <c r="G4178" s="210"/>
      <c r="H4178" s="210"/>
    </row>
    <row r="4179" spans="3:8" x14ac:dyDescent="0.25">
      <c r="C4179" s="210"/>
      <c r="D4179" s="210"/>
      <c r="E4179" s="210"/>
      <c r="F4179" s="210"/>
      <c r="G4179" s="210"/>
      <c r="H4179" s="210"/>
    </row>
    <row r="4180" spans="3:8" x14ac:dyDescent="0.25">
      <c r="C4180" s="210"/>
      <c r="D4180" s="210"/>
      <c r="E4180" s="210"/>
      <c r="F4180" s="210"/>
      <c r="G4180" s="210"/>
      <c r="H4180" s="210"/>
    </row>
    <row r="4181" spans="3:8" x14ac:dyDescent="0.25">
      <c r="C4181" s="210"/>
      <c r="D4181" s="210"/>
      <c r="E4181" s="210"/>
      <c r="F4181" s="210"/>
      <c r="G4181" s="210"/>
      <c r="H4181" s="210"/>
    </row>
    <row r="4182" spans="3:8" x14ac:dyDescent="0.25">
      <c r="C4182" s="210"/>
      <c r="D4182" s="210"/>
      <c r="E4182" s="210"/>
      <c r="F4182" s="210"/>
      <c r="G4182" s="210"/>
      <c r="H4182" s="210"/>
    </row>
    <row r="4183" spans="3:8" x14ac:dyDescent="0.25">
      <c r="C4183" s="210"/>
      <c r="D4183" s="210"/>
      <c r="E4183" s="210"/>
      <c r="F4183" s="210"/>
      <c r="G4183" s="210"/>
      <c r="H4183" s="210"/>
    </row>
    <row r="4184" spans="3:8" x14ac:dyDescent="0.25">
      <c r="C4184" s="210"/>
      <c r="D4184" s="210"/>
      <c r="E4184" s="210"/>
      <c r="F4184" s="210"/>
      <c r="G4184" s="210"/>
      <c r="H4184" s="210"/>
    </row>
    <row r="4185" spans="3:8" x14ac:dyDescent="0.25">
      <c r="C4185" s="210"/>
      <c r="D4185" s="210"/>
      <c r="E4185" s="210"/>
      <c r="F4185" s="210"/>
      <c r="G4185" s="210"/>
      <c r="H4185" s="210"/>
    </row>
    <row r="4186" spans="3:8" x14ac:dyDescent="0.25">
      <c r="C4186" s="210"/>
      <c r="D4186" s="210"/>
      <c r="E4186" s="210"/>
      <c r="F4186" s="210"/>
      <c r="G4186" s="210"/>
      <c r="H4186" s="210"/>
    </row>
    <row r="4187" spans="3:8" x14ac:dyDescent="0.25">
      <c r="C4187" s="210"/>
      <c r="D4187" s="210"/>
      <c r="E4187" s="210"/>
      <c r="F4187" s="210"/>
      <c r="G4187" s="210"/>
      <c r="H4187" s="210"/>
    </row>
    <row r="4188" spans="3:8" x14ac:dyDescent="0.25">
      <c r="C4188" s="210"/>
      <c r="D4188" s="210"/>
      <c r="E4188" s="210"/>
      <c r="F4188" s="210"/>
      <c r="G4188" s="210"/>
      <c r="H4188" s="210"/>
    </row>
    <row r="4189" spans="3:8" x14ac:dyDescent="0.25">
      <c r="C4189" s="210"/>
      <c r="D4189" s="210"/>
      <c r="E4189" s="210"/>
      <c r="F4189" s="210"/>
      <c r="G4189" s="210"/>
      <c r="H4189" s="210"/>
    </row>
    <row r="4190" spans="3:8" x14ac:dyDescent="0.25">
      <c r="C4190" s="210"/>
      <c r="D4190" s="210"/>
      <c r="E4190" s="210"/>
      <c r="F4190" s="210"/>
      <c r="G4190" s="210"/>
      <c r="H4190" s="210"/>
    </row>
    <row r="4191" spans="3:8" x14ac:dyDescent="0.25">
      <c r="C4191" s="210"/>
      <c r="D4191" s="210"/>
      <c r="E4191" s="210"/>
      <c r="F4191" s="210"/>
      <c r="G4191" s="210"/>
      <c r="H4191" s="210"/>
    </row>
    <row r="4192" spans="3:8" x14ac:dyDescent="0.25">
      <c r="C4192" s="210"/>
      <c r="D4192" s="210"/>
      <c r="E4192" s="210"/>
      <c r="F4192" s="210"/>
      <c r="G4192" s="210"/>
      <c r="H4192" s="210"/>
    </row>
    <row r="4193" spans="3:8" x14ac:dyDescent="0.25">
      <c r="C4193" s="210"/>
      <c r="D4193" s="210"/>
      <c r="E4193" s="210"/>
      <c r="F4193" s="210"/>
      <c r="G4193" s="210"/>
      <c r="H4193" s="210"/>
    </row>
    <row r="4194" spans="3:8" x14ac:dyDescent="0.25">
      <c r="C4194" s="210"/>
      <c r="D4194" s="210"/>
      <c r="E4194" s="210"/>
      <c r="F4194" s="210"/>
      <c r="G4194" s="210"/>
      <c r="H4194" s="210"/>
    </row>
    <row r="4195" spans="3:8" x14ac:dyDescent="0.25">
      <c r="C4195" s="210"/>
      <c r="D4195" s="210"/>
      <c r="E4195" s="210"/>
      <c r="F4195" s="210"/>
      <c r="G4195" s="210"/>
      <c r="H4195" s="210"/>
    </row>
    <row r="4196" spans="3:8" x14ac:dyDescent="0.25">
      <c r="C4196" s="210"/>
      <c r="D4196" s="210"/>
      <c r="E4196" s="210"/>
      <c r="F4196" s="210"/>
      <c r="G4196" s="210"/>
      <c r="H4196" s="210"/>
    </row>
    <row r="4197" spans="3:8" x14ac:dyDescent="0.25">
      <c r="C4197" s="210"/>
      <c r="D4197" s="210"/>
      <c r="E4197" s="210"/>
      <c r="F4197" s="210"/>
      <c r="G4197" s="210"/>
      <c r="H4197" s="210"/>
    </row>
    <row r="4198" spans="3:8" x14ac:dyDescent="0.25">
      <c r="C4198" s="210"/>
      <c r="D4198" s="210"/>
      <c r="E4198" s="210"/>
      <c r="F4198" s="210"/>
      <c r="G4198" s="210"/>
      <c r="H4198" s="210"/>
    </row>
    <row r="4199" spans="3:8" x14ac:dyDescent="0.25">
      <c r="C4199" s="210"/>
      <c r="D4199" s="210"/>
      <c r="E4199" s="210"/>
      <c r="F4199" s="210"/>
      <c r="G4199" s="210"/>
      <c r="H4199" s="210"/>
    </row>
    <row r="4200" spans="3:8" x14ac:dyDescent="0.25">
      <c r="C4200" s="210"/>
      <c r="D4200" s="210"/>
      <c r="E4200" s="210"/>
      <c r="F4200" s="210"/>
      <c r="G4200" s="210"/>
      <c r="H4200" s="210"/>
    </row>
    <row r="4201" spans="3:8" x14ac:dyDescent="0.25">
      <c r="C4201" s="210"/>
      <c r="D4201" s="210"/>
      <c r="E4201" s="210"/>
      <c r="F4201" s="210"/>
      <c r="G4201" s="210"/>
      <c r="H4201" s="210"/>
    </row>
    <row r="4202" spans="3:8" x14ac:dyDescent="0.25">
      <c r="C4202" s="210"/>
      <c r="D4202" s="210"/>
      <c r="E4202" s="210"/>
      <c r="F4202" s="210"/>
      <c r="G4202" s="210"/>
      <c r="H4202" s="210"/>
    </row>
    <row r="4203" spans="3:8" x14ac:dyDescent="0.25">
      <c r="C4203" s="210"/>
      <c r="D4203" s="210"/>
      <c r="E4203" s="210"/>
      <c r="F4203" s="210"/>
      <c r="G4203" s="210"/>
      <c r="H4203" s="210"/>
    </row>
    <row r="4204" spans="3:8" x14ac:dyDescent="0.25">
      <c r="C4204" s="210"/>
      <c r="D4204" s="210"/>
      <c r="E4204" s="210"/>
      <c r="F4204" s="210"/>
      <c r="G4204" s="210"/>
      <c r="H4204" s="210"/>
    </row>
    <row r="4205" spans="3:8" x14ac:dyDescent="0.25">
      <c r="C4205" s="210"/>
      <c r="D4205" s="210"/>
      <c r="E4205" s="210"/>
      <c r="F4205" s="210"/>
      <c r="G4205" s="210"/>
      <c r="H4205" s="210"/>
    </row>
    <row r="4206" spans="3:8" x14ac:dyDescent="0.25">
      <c r="C4206" s="210"/>
      <c r="D4206" s="210"/>
      <c r="E4206" s="210"/>
      <c r="F4206" s="210"/>
      <c r="G4206" s="210"/>
      <c r="H4206" s="210"/>
    </row>
    <row r="4207" spans="3:8" x14ac:dyDescent="0.25">
      <c r="C4207" s="210"/>
      <c r="D4207" s="210"/>
      <c r="E4207" s="210"/>
      <c r="F4207" s="210"/>
      <c r="G4207" s="210"/>
      <c r="H4207" s="210"/>
    </row>
    <row r="4208" spans="3:8" x14ac:dyDescent="0.25">
      <c r="C4208" s="210"/>
      <c r="D4208" s="210"/>
      <c r="E4208" s="210"/>
      <c r="F4208" s="210"/>
      <c r="G4208" s="210"/>
      <c r="H4208" s="210"/>
    </row>
    <row r="4209" spans="3:8" x14ac:dyDescent="0.25">
      <c r="C4209" s="210"/>
      <c r="D4209" s="210"/>
      <c r="E4209" s="210"/>
      <c r="F4209" s="210"/>
      <c r="G4209" s="210"/>
      <c r="H4209" s="210"/>
    </row>
    <row r="4210" spans="3:8" x14ac:dyDescent="0.25">
      <c r="C4210" s="210"/>
      <c r="D4210" s="210"/>
      <c r="E4210" s="210"/>
      <c r="F4210" s="210"/>
      <c r="G4210" s="210"/>
      <c r="H4210" s="210"/>
    </row>
    <row r="4211" spans="3:8" x14ac:dyDescent="0.25">
      <c r="C4211" s="210"/>
      <c r="D4211" s="210"/>
      <c r="E4211" s="210"/>
      <c r="F4211" s="210"/>
      <c r="G4211" s="210"/>
      <c r="H4211" s="210"/>
    </row>
    <row r="4212" spans="3:8" x14ac:dyDescent="0.25">
      <c r="C4212" s="210"/>
      <c r="D4212" s="210"/>
      <c r="E4212" s="210"/>
      <c r="F4212" s="210"/>
      <c r="G4212" s="210"/>
      <c r="H4212" s="210"/>
    </row>
    <row r="4213" spans="3:8" x14ac:dyDescent="0.25">
      <c r="C4213" s="210"/>
      <c r="D4213" s="210"/>
      <c r="E4213" s="210"/>
      <c r="F4213" s="210"/>
      <c r="G4213" s="210"/>
      <c r="H4213" s="210"/>
    </row>
    <row r="4214" spans="3:8" x14ac:dyDescent="0.25">
      <c r="C4214" s="210"/>
      <c r="D4214" s="210"/>
      <c r="E4214" s="210"/>
      <c r="F4214" s="210"/>
      <c r="G4214" s="210"/>
      <c r="H4214" s="210"/>
    </row>
    <row r="4215" spans="3:8" x14ac:dyDescent="0.25">
      <c r="C4215" s="210"/>
      <c r="D4215" s="210"/>
      <c r="E4215" s="210"/>
      <c r="F4215" s="210"/>
      <c r="G4215" s="210"/>
      <c r="H4215" s="210"/>
    </row>
    <row r="4216" spans="3:8" x14ac:dyDescent="0.25">
      <c r="C4216" s="210"/>
      <c r="D4216" s="210"/>
      <c r="E4216" s="210"/>
      <c r="F4216" s="210"/>
      <c r="G4216" s="210"/>
      <c r="H4216" s="210"/>
    </row>
    <row r="4217" spans="3:8" x14ac:dyDescent="0.25">
      <c r="C4217" s="210"/>
      <c r="D4217" s="210"/>
      <c r="E4217" s="210"/>
      <c r="F4217" s="210"/>
      <c r="G4217" s="210"/>
      <c r="H4217" s="210"/>
    </row>
    <row r="4218" spans="3:8" x14ac:dyDescent="0.25">
      <c r="C4218" s="210"/>
      <c r="D4218" s="210"/>
      <c r="E4218" s="210"/>
      <c r="F4218" s="210"/>
      <c r="G4218" s="210"/>
      <c r="H4218" s="210"/>
    </row>
    <row r="4219" spans="3:8" x14ac:dyDescent="0.25">
      <c r="C4219" s="210"/>
      <c r="D4219" s="210"/>
      <c r="E4219" s="210"/>
      <c r="F4219" s="210"/>
      <c r="G4219" s="210"/>
      <c r="H4219" s="210"/>
    </row>
    <row r="4220" spans="3:8" x14ac:dyDescent="0.25">
      <c r="C4220" s="210"/>
      <c r="D4220" s="210"/>
      <c r="E4220" s="210"/>
      <c r="F4220" s="210"/>
      <c r="G4220" s="210"/>
      <c r="H4220" s="210"/>
    </row>
    <row r="4221" spans="3:8" x14ac:dyDescent="0.25">
      <c r="C4221" s="210"/>
      <c r="D4221" s="210"/>
      <c r="E4221" s="210"/>
      <c r="F4221" s="210"/>
      <c r="G4221" s="210"/>
      <c r="H4221" s="210"/>
    </row>
    <row r="4222" spans="3:8" x14ac:dyDescent="0.25">
      <c r="C4222" s="210"/>
      <c r="D4222" s="210"/>
      <c r="E4222" s="210"/>
      <c r="F4222" s="210"/>
      <c r="G4222" s="210"/>
      <c r="H4222" s="210"/>
    </row>
    <row r="4223" spans="3:8" x14ac:dyDescent="0.25">
      <c r="C4223" s="210"/>
      <c r="D4223" s="210"/>
      <c r="E4223" s="210"/>
      <c r="F4223" s="210"/>
      <c r="G4223" s="210"/>
      <c r="H4223" s="210"/>
    </row>
    <row r="4224" spans="3:8" x14ac:dyDescent="0.25">
      <c r="C4224" s="210"/>
      <c r="D4224" s="210"/>
      <c r="E4224" s="210"/>
      <c r="F4224" s="210"/>
      <c r="G4224" s="210"/>
      <c r="H4224" s="210"/>
    </row>
    <row r="4225" spans="3:8" x14ac:dyDescent="0.25">
      <c r="C4225" s="210"/>
      <c r="D4225" s="210"/>
      <c r="E4225" s="210"/>
      <c r="F4225" s="210"/>
      <c r="G4225" s="210"/>
      <c r="H4225" s="210"/>
    </row>
    <row r="4226" spans="3:8" x14ac:dyDescent="0.25">
      <c r="C4226" s="210"/>
      <c r="D4226" s="210"/>
      <c r="E4226" s="210"/>
      <c r="F4226" s="210"/>
      <c r="G4226" s="210"/>
      <c r="H4226" s="210"/>
    </row>
    <row r="4227" spans="3:8" x14ac:dyDescent="0.25">
      <c r="C4227" s="210"/>
      <c r="D4227" s="210"/>
      <c r="E4227" s="210"/>
      <c r="F4227" s="210"/>
      <c r="G4227" s="210"/>
      <c r="H4227" s="210"/>
    </row>
    <row r="4228" spans="3:8" x14ac:dyDescent="0.25">
      <c r="C4228" s="210"/>
      <c r="D4228" s="210"/>
      <c r="E4228" s="210"/>
      <c r="F4228" s="210"/>
      <c r="G4228" s="210"/>
      <c r="H4228" s="210"/>
    </row>
    <row r="4229" spans="3:8" x14ac:dyDescent="0.25">
      <c r="C4229" s="210"/>
      <c r="D4229" s="210"/>
      <c r="E4229" s="210"/>
      <c r="F4229" s="210"/>
      <c r="G4229" s="210"/>
      <c r="H4229" s="210"/>
    </row>
    <row r="4230" spans="3:8" x14ac:dyDescent="0.25">
      <c r="C4230" s="210"/>
      <c r="D4230" s="210"/>
      <c r="E4230" s="210"/>
      <c r="F4230" s="210"/>
      <c r="G4230" s="210"/>
      <c r="H4230" s="210"/>
    </row>
    <row r="4231" spans="3:8" x14ac:dyDescent="0.25">
      <c r="C4231" s="210"/>
      <c r="D4231" s="210"/>
      <c r="E4231" s="210"/>
      <c r="F4231" s="210"/>
      <c r="G4231" s="210"/>
      <c r="H4231" s="210"/>
    </row>
    <row r="4232" spans="3:8" x14ac:dyDescent="0.25">
      <c r="C4232" s="210"/>
      <c r="D4232" s="210"/>
      <c r="E4232" s="210"/>
      <c r="F4232" s="210"/>
      <c r="G4232" s="210"/>
      <c r="H4232" s="210"/>
    </row>
    <row r="4233" spans="3:8" x14ac:dyDescent="0.25">
      <c r="C4233" s="210"/>
      <c r="D4233" s="210"/>
      <c r="E4233" s="210"/>
      <c r="F4233" s="210"/>
      <c r="G4233" s="210"/>
      <c r="H4233" s="210"/>
    </row>
    <row r="4234" spans="3:8" x14ac:dyDescent="0.25">
      <c r="C4234" s="210"/>
      <c r="D4234" s="210"/>
      <c r="E4234" s="210"/>
      <c r="F4234" s="210"/>
      <c r="G4234" s="210"/>
      <c r="H4234" s="210"/>
    </row>
    <row r="4235" spans="3:8" x14ac:dyDescent="0.25">
      <c r="C4235" s="210"/>
      <c r="D4235" s="210"/>
      <c r="E4235" s="210"/>
      <c r="F4235" s="210"/>
      <c r="G4235" s="210"/>
      <c r="H4235" s="210"/>
    </row>
    <row r="4236" spans="3:8" x14ac:dyDescent="0.25">
      <c r="C4236" s="210"/>
      <c r="D4236" s="210"/>
      <c r="E4236" s="210"/>
      <c r="F4236" s="210"/>
      <c r="G4236" s="210"/>
      <c r="H4236" s="210"/>
    </row>
    <row r="4237" spans="3:8" x14ac:dyDescent="0.25">
      <c r="C4237" s="210"/>
      <c r="D4237" s="210"/>
      <c r="E4237" s="210"/>
      <c r="F4237" s="210"/>
      <c r="G4237" s="210"/>
      <c r="H4237" s="210"/>
    </row>
    <row r="4238" spans="3:8" x14ac:dyDescent="0.25">
      <c r="C4238" s="210"/>
      <c r="D4238" s="210"/>
      <c r="E4238" s="210"/>
      <c r="F4238" s="210"/>
      <c r="G4238" s="210"/>
      <c r="H4238" s="210"/>
    </row>
    <row r="4239" spans="3:8" x14ac:dyDescent="0.25">
      <c r="C4239" s="210"/>
      <c r="D4239" s="210"/>
      <c r="E4239" s="210"/>
      <c r="F4239" s="210"/>
      <c r="G4239" s="210"/>
      <c r="H4239" s="210"/>
    </row>
    <row r="4240" spans="3:8" x14ac:dyDescent="0.25">
      <c r="C4240" s="210"/>
      <c r="D4240" s="210"/>
      <c r="E4240" s="210"/>
      <c r="F4240" s="210"/>
      <c r="G4240" s="210"/>
      <c r="H4240" s="210"/>
    </row>
    <row r="4241" spans="3:8" x14ac:dyDescent="0.25">
      <c r="C4241" s="210"/>
      <c r="D4241" s="210"/>
      <c r="E4241" s="210"/>
      <c r="F4241" s="210"/>
      <c r="G4241" s="210"/>
      <c r="H4241" s="210"/>
    </row>
    <row r="4242" spans="3:8" x14ac:dyDescent="0.25">
      <c r="C4242" s="210"/>
      <c r="D4242" s="210"/>
      <c r="E4242" s="210"/>
      <c r="F4242" s="210"/>
      <c r="G4242" s="210"/>
      <c r="H4242" s="210"/>
    </row>
    <row r="4243" spans="3:8" x14ac:dyDescent="0.25">
      <c r="C4243" s="210"/>
      <c r="D4243" s="210"/>
      <c r="E4243" s="210"/>
      <c r="F4243" s="210"/>
      <c r="G4243" s="210"/>
      <c r="H4243" s="210"/>
    </row>
    <row r="4244" spans="3:8" x14ac:dyDescent="0.25">
      <c r="C4244" s="210"/>
      <c r="D4244" s="210"/>
      <c r="E4244" s="210"/>
      <c r="F4244" s="210"/>
      <c r="G4244" s="210"/>
      <c r="H4244" s="210"/>
    </row>
    <row r="4245" spans="3:8" x14ac:dyDescent="0.25">
      <c r="C4245" s="210"/>
      <c r="D4245" s="210"/>
      <c r="E4245" s="210"/>
      <c r="F4245" s="210"/>
      <c r="G4245" s="210"/>
      <c r="H4245" s="210"/>
    </row>
    <row r="4246" spans="3:8" x14ac:dyDescent="0.25">
      <c r="C4246" s="210"/>
      <c r="D4246" s="210"/>
      <c r="E4246" s="210"/>
      <c r="F4246" s="210"/>
      <c r="G4246" s="210"/>
      <c r="H4246" s="210"/>
    </row>
    <row r="4247" spans="3:8" x14ac:dyDescent="0.25">
      <c r="C4247" s="210"/>
      <c r="D4247" s="210"/>
      <c r="E4247" s="210"/>
      <c r="F4247" s="210"/>
      <c r="G4247" s="210"/>
      <c r="H4247" s="210"/>
    </row>
    <row r="4248" spans="3:8" x14ac:dyDescent="0.25">
      <c r="C4248" s="210"/>
      <c r="D4248" s="210"/>
      <c r="E4248" s="210"/>
      <c r="F4248" s="210"/>
      <c r="G4248" s="210"/>
      <c r="H4248" s="210"/>
    </row>
    <row r="4249" spans="3:8" x14ac:dyDescent="0.25">
      <c r="C4249" s="210"/>
      <c r="D4249" s="210"/>
      <c r="E4249" s="210"/>
      <c r="F4249" s="210"/>
      <c r="G4249" s="210"/>
      <c r="H4249" s="210"/>
    </row>
    <row r="4250" spans="3:8" x14ac:dyDescent="0.25">
      <c r="C4250" s="210"/>
      <c r="D4250" s="210"/>
      <c r="E4250" s="210"/>
      <c r="F4250" s="210"/>
      <c r="G4250" s="210"/>
      <c r="H4250" s="210"/>
    </row>
    <row r="4251" spans="3:8" x14ac:dyDescent="0.25">
      <c r="C4251" s="210"/>
      <c r="D4251" s="210"/>
      <c r="E4251" s="210"/>
      <c r="F4251" s="210"/>
      <c r="G4251" s="210"/>
      <c r="H4251" s="210"/>
    </row>
    <row r="4252" spans="3:8" x14ac:dyDescent="0.25">
      <c r="C4252" s="210"/>
      <c r="D4252" s="210"/>
      <c r="E4252" s="210"/>
      <c r="F4252" s="210"/>
      <c r="G4252" s="210"/>
      <c r="H4252" s="210"/>
    </row>
    <row r="4253" spans="3:8" x14ac:dyDescent="0.25">
      <c r="C4253" s="210"/>
      <c r="D4253" s="210"/>
      <c r="E4253" s="210"/>
      <c r="F4253" s="210"/>
      <c r="G4253" s="210"/>
      <c r="H4253" s="210"/>
    </row>
    <row r="4254" spans="3:8" x14ac:dyDescent="0.25">
      <c r="C4254" s="210"/>
      <c r="D4254" s="210"/>
      <c r="E4254" s="210"/>
      <c r="F4254" s="210"/>
      <c r="G4254" s="210"/>
      <c r="H4254" s="210"/>
    </row>
    <row r="4255" spans="3:8" x14ac:dyDescent="0.25">
      <c r="C4255" s="210"/>
      <c r="D4255" s="210"/>
      <c r="E4255" s="210"/>
      <c r="F4255" s="210"/>
      <c r="G4255" s="210"/>
      <c r="H4255" s="210"/>
    </row>
    <row r="4256" spans="3:8" x14ac:dyDescent="0.25">
      <c r="C4256" s="210"/>
      <c r="D4256" s="210"/>
      <c r="E4256" s="210"/>
      <c r="F4256" s="210"/>
      <c r="G4256" s="210"/>
      <c r="H4256" s="210"/>
    </row>
    <row r="4257" spans="3:8" x14ac:dyDescent="0.25">
      <c r="C4257" s="210"/>
      <c r="D4257" s="210"/>
      <c r="E4257" s="210"/>
      <c r="F4257" s="210"/>
      <c r="G4257" s="210"/>
      <c r="H4257" s="210"/>
    </row>
    <row r="4258" spans="3:8" x14ac:dyDescent="0.25">
      <c r="C4258" s="210"/>
      <c r="D4258" s="210"/>
      <c r="E4258" s="210"/>
      <c r="F4258" s="210"/>
      <c r="G4258" s="210"/>
      <c r="H4258" s="210"/>
    </row>
    <row r="4259" spans="3:8" x14ac:dyDescent="0.25">
      <c r="C4259" s="210"/>
      <c r="D4259" s="210"/>
      <c r="E4259" s="210"/>
      <c r="F4259" s="210"/>
      <c r="G4259" s="210"/>
      <c r="H4259" s="210"/>
    </row>
    <row r="4260" spans="3:8" x14ac:dyDescent="0.25">
      <c r="C4260" s="210"/>
      <c r="D4260" s="210"/>
      <c r="E4260" s="210"/>
      <c r="F4260" s="210"/>
      <c r="G4260" s="210"/>
      <c r="H4260" s="210"/>
    </row>
    <row r="4261" spans="3:8" x14ac:dyDescent="0.25">
      <c r="C4261" s="210"/>
      <c r="D4261" s="210"/>
      <c r="E4261" s="210"/>
      <c r="F4261" s="210"/>
      <c r="G4261" s="210"/>
      <c r="H4261" s="210"/>
    </row>
    <row r="4262" spans="3:8" x14ac:dyDescent="0.25">
      <c r="C4262" s="210"/>
      <c r="D4262" s="210"/>
      <c r="E4262" s="210"/>
      <c r="F4262" s="210"/>
      <c r="G4262" s="210"/>
      <c r="H4262" s="210"/>
    </row>
    <row r="4263" spans="3:8" x14ac:dyDescent="0.25">
      <c r="C4263" s="210"/>
      <c r="D4263" s="210"/>
      <c r="E4263" s="210"/>
      <c r="F4263" s="210"/>
      <c r="G4263" s="210"/>
      <c r="H4263" s="210"/>
    </row>
    <row r="4264" spans="3:8" x14ac:dyDescent="0.25">
      <c r="C4264" s="210"/>
      <c r="D4264" s="210"/>
      <c r="E4264" s="210"/>
      <c r="F4264" s="210"/>
      <c r="G4264" s="210"/>
      <c r="H4264" s="210"/>
    </row>
    <row r="4265" spans="3:8" x14ac:dyDescent="0.25">
      <c r="C4265" s="210"/>
      <c r="D4265" s="210"/>
      <c r="E4265" s="210"/>
      <c r="F4265" s="210"/>
      <c r="G4265" s="210"/>
      <c r="H4265" s="210"/>
    </row>
    <row r="4266" spans="3:8" x14ac:dyDescent="0.25">
      <c r="C4266" s="210"/>
      <c r="D4266" s="210"/>
      <c r="E4266" s="210"/>
      <c r="F4266" s="210"/>
      <c r="G4266" s="210"/>
      <c r="H4266" s="210"/>
    </row>
    <row r="4267" spans="3:8" x14ac:dyDescent="0.25">
      <c r="C4267" s="210"/>
      <c r="D4267" s="210"/>
      <c r="E4267" s="210"/>
      <c r="F4267" s="210"/>
      <c r="G4267" s="210"/>
      <c r="H4267" s="210"/>
    </row>
    <row r="4268" spans="3:8" x14ac:dyDescent="0.25">
      <c r="C4268" s="210"/>
      <c r="D4268" s="210"/>
      <c r="E4268" s="210"/>
      <c r="F4268" s="210"/>
      <c r="G4268" s="210"/>
      <c r="H4268" s="210"/>
    </row>
    <row r="4269" spans="3:8" x14ac:dyDescent="0.25">
      <c r="C4269" s="210"/>
      <c r="D4269" s="210"/>
      <c r="E4269" s="210"/>
      <c r="F4269" s="210"/>
      <c r="G4269" s="210"/>
      <c r="H4269" s="210"/>
    </row>
    <row r="4270" spans="3:8" x14ac:dyDescent="0.25">
      <c r="C4270" s="210"/>
      <c r="D4270" s="210"/>
      <c r="E4270" s="210"/>
      <c r="F4270" s="210"/>
      <c r="G4270" s="210"/>
      <c r="H4270" s="210"/>
    </row>
    <row r="4271" spans="3:8" x14ac:dyDescent="0.25">
      <c r="C4271" s="210"/>
      <c r="D4271" s="210"/>
      <c r="E4271" s="210"/>
      <c r="F4271" s="210"/>
      <c r="G4271" s="210"/>
      <c r="H4271" s="210"/>
    </row>
    <row r="4272" spans="3:8" x14ac:dyDescent="0.25">
      <c r="C4272" s="210"/>
      <c r="D4272" s="210"/>
      <c r="E4272" s="210"/>
      <c r="F4272" s="210"/>
      <c r="G4272" s="210"/>
      <c r="H4272" s="210"/>
    </row>
    <row r="4273" spans="3:8" x14ac:dyDescent="0.25">
      <c r="C4273" s="210"/>
      <c r="D4273" s="210"/>
      <c r="E4273" s="210"/>
      <c r="F4273" s="210"/>
      <c r="G4273" s="210"/>
      <c r="H4273" s="210"/>
    </row>
    <row r="4274" spans="3:8" x14ac:dyDescent="0.25">
      <c r="C4274" s="210"/>
      <c r="D4274" s="210"/>
      <c r="E4274" s="210"/>
      <c r="F4274" s="210"/>
      <c r="G4274" s="210"/>
      <c r="H4274" s="210"/>
    </row>
    <row r="4275" spans="3:8" x14ac:dyDescent="0.25">
      <c r="C4275" s="210"/>
      <c r="D4275" s="210"/>
      <c r="E4275" s="210"/>
      <c r="F4275" s="210"/>
      <c r="G4275" s="210"/>
      <c r="H4275" s="210"/>
    </row>
    <row r="4276" spans="3:8" x14ac:dyDescent="0.25">
      <c r="C4276" s="210"/>
      <c r="D4276" s="210"/>
      <c r="E4276" s="210"/>
      <c r="F4276" s="210"/>
      <c r="G4276" s="210"/>
      <c r="H4276" s="210"/>
    </row>
    <row r="4277" spans="3:8" x14ac:dyDescent="0.25">
      <c r="C4277" s="210"/>
      <c r="D4277" s="210"/>
      <c r="E4277" s="210"/>
      <c r="F4277" s="210"/>
      <c r="G4277" s="210"/>
      <c r="H4277" s="210"/>
    </row>
    <row r="4278" spans="3:8" x14ac:dyDescent="0.25">
      <c r="C4278" s="210"/>
      <c r="D4278" s="210"/>
      <c r="E4278" s="210"/>
      <c r="F4278" s="210"/>
      <c r="G4278" s="210"/>
      <c r="H4278" s="210"/>
    </row>
    <row r="4279" spans="3:8" x14ac:dyDescent="0.25">
      <c r="C4279" s="210"/>
      <c r="D4279" s="210"/>
      <c r="E4279" s="210"/>
      <c r="F4279" s="210"/>
      <c r="G4279" s="210"/>
      <c r="H4279" s="210"/>
    </row>
    <row r="4280" spans="3:8" x14ac:dyDescent="0.25">
      <c r="C4280" s="210"/>
      <c r="D4280" s="210"/>
      <c r="E4280" s="210"/>
      <c r="F4280" s="210"/>
      <c r="G4280" s="210"/>
      <c r="H4280" s="210"/>
    </row>
    <row r="4281" spans="3:8" x14ac:dyDescent="0.25">
      <c r="C4281" s="210"/>
      <c r="D4281" s="210"/>
      <c r="E4281" s="210"/>
      <c r="F4281" s="210"/>
      <c r="G4281" s="210"/>
      <c r="H4281" s="210"/>
    </row>
    <row r="4282" spans="3:8" x14ac:dyDescent="0.25">
      <c r="C4282" s="210"/>
      <c r="D4282" s="210"/>
      <c r="E4282" s="210"/>
      <c r="F4282" s="210"/>
      <c r="G4282" s="210"/>
      <c r="H4282" s="210"/>
    </row>
    <row r="4283" spans="3:8" x14ac:dyDescent="0.25">
      <c r="C4283" s="210"/>
      <c r="D4283" s="210"/>
      <c r="E4283" s="210"/>
      <c r="F4283" s="210"/>
      <c r="G4283" s="210"/>
      <c r="H4283" s="210"/>
    </row>
    <row r="4284" spans="3:8" x14ac:dyDescent="0.25">
      <c r="C4284" s="210"/>
      <c r="D4284" s="210"/>
      <c r="E4284" s="210"/>
      <c r="F4284" s="210"/>
      <c r="G4284" s="210"/>
      <c r="H4284" s="210"/>
    </row>
    <row r="4285" spans="3:8" x14ac:dyDescent="0.25">
      <c r="C4285" s="210"/>
      <c r="D4285" s="210"/>
      <c r="E4285" s="210"/>
      <c r="F4285" s="210"/>
      <c r="G4285" s="210"/>
      <c r="H4285" s="210"/>
    </row>
    <row r="4286" spans="3:8" x14ac:dyDescent="0.25">
      <c r="C4286" s="210"/>
      <c r="D4286" s="210"/>
      <c r="E4286" s="210"/>
      <c r="F4286" s="210"/>
      <c r="G4286" s="210"/>
      <c r="H4286" s="210"/>
    </row>
    <row r="4287" spans="3:8" x14ac:dyDescent="0.25">
      <c r="C4287" s="210"/>
      <c r="D4287" s="210"/>
      <c r="E4287" s="210"/>
      <c r="F4287" s="210"/>
      <c r="G4287" s="210"/>
      <c r="H4287" s="210"/>
    </row>
    <row r="4288" spans="3:8" x14ac:dyDescent="0.25">
      <c r="C4288" s="210"/>
      <c r="D4288" s="210"/>
      <c r="E4288" s="210"/>
      <c r="F4288" s="210"/>
      <c r="G4288" s="210"/>
      <c r="H4288" s="210"/>
    </row>
    <row r="4289" spans="3:8" x14ac:dyDescent="0.25">
      <c r="C4289" s="210"/>
      <c r="D4289" s="210"/>
      <c r="E4289" s="210"/>
      <c r="F4289" s="210"/>
      <c r="G4289" s="210"/>
      <c r="H4289" s="210"/>
    </row>
    <row r="4290" spans="3:8" x14ac:dyDescent="0.25">
      <c r="C4290" s="210"/>
      <c r="D4290" s="210"/>
      <c r="E4290" s="210"/>
      <c r="F4290" s="210"/>
      <c r="G4290" s="210"/>
      <c r="H4290" s="210"/>
    </row>
    <row r="4291" spans="3:8" x14ac:dyDescent="0.25">
      <c r="C4291" s="210"/>
      <c r="D4291" s="210"/>
      <c r="E4291" s="210"/>
      <c r="F4291" s="210"/>
      <c r="G4291" s="210"/>
      <c r="H4291" s="210"/>
    </row>
    <row r="4292" spans="3:8" x14ac:dyDescent="0.25">
      <c r="C4292" s="210"/>
      <c r="D4292" s="210"/>
      <c r="E4292" s="210"/>
      <c r="F4292" s="210"/>
      <c r="G4292" s="210"/>
      <c r="H4292" s="210"/>
    </row>
    <row r="4293" spans="3:8" x14ac:dyDescent="0.25">
      <c r="C4293" s="210"/>
      <c r="D4293" s="210"/>
      <c r="E4293" s="210"/>
      <c r="F4293" s="210"/>
      <c r="G4293" s="210"/>
      <c r="H4293" s="210"/>
    </row>
    <row r="4294" spans="3:8" x14ac:dyDescent="0.25">
      <c r="C4294" s="210"/>
      <c r="D4294" s="210"/>
      <c r="E4294" s="210"/>
      <c r="F4294" s="210"/>
      <c r="G4294" s="210"/>
      <c r="H4294" s="210"/>
    </row>
    <row r="4295" spans="3:8" x14ac:dyDescent="0.25">
      <c r="C4295" s="210"/>
      <c r="D4295" s="210"/>
      <c r="E4295" s="210"/>
      <c r="F4295" s="210"/>
      <c r="G4295" s="210"/>
      <c r="H4295" s="210"/>
    </row>
    <row r="4296" spans="3:8" x14ac:dyDescent="0.25">
      <c r="C4296" s="210"/>
      <c r="D4296" s="210"/>
      <c r="E4296" s="210"/>
      <c r="F4296" s="210"/>
      <c r="G4296" s="210"/>
      <c r="H4296" s="210"/>
    </row>
    <row r="4297" spans="3:8" x14ac:dyDescent="0.25">
      <c r="C4297" s="210"/>
      <c r="D4297" s="210"/>
      <c r="E4297" s="210"/>
      <c r="F4297" s="210"/>
      <c r="G4297" s="210"/>
      <c r="H4297" s="210"/>
    </row>
    <row r="4298" spans="3:8" x14ac:dyDescent="0.25">
      <c r="C4298" s="210"/>
      <c r="D4298" s="210"/>
      <c r="E4298" s="210"/>
      <c r="F4298" s="210"/>
      <c r="G4298" s="210"/>
      <c r="H4298" s="210"/>
    </row>
    <row r="4299" spans="3:8" x14ac:dyDescent="0.25">
      <c r="C4299" s="210"/>
      <c r="D4299" s="210"/>
      <c r="E4299" s="210"/>
      <c r="F4299" s="210"/>
      <c r="G4299" s="210"/>
      <c r="H4299" s="210"/>
    </row>
    <row r="4300" spans="3:8" x14ac:dyDescent="0.25">
      <c r="C4300" s="210"/>
      <c r="D4300" s="210"/>
      <c r="E4300" s="210"/>
      <c r="F4300" s="210"/>
      <c r="G4300" s="210"/>
      <c r="H4300" s="210"/>
    </row>
    <row r="4301" spans="3:8" x14ac:dyDescent="0.25">
      <c r="C4301" s="210"/>
      <c r="D4301" s="210"/>
      <c r="E4301" s="210"/>
      <c r="F4301" s="210"/>
      <c r="G4301" s="210"/>
      <c r="H4301" s="210"/>
    </row>
    <row r="4302" spans="3:8" x14ac:dyDescent="0.25">
      <c r="C4302" s="210"/>
      <c r="D4302" s="210"/>
      <c r="E4302" s="210"/>
      <c r="F4302" s="210"/>
      <c r="G4302" s="210"/>
      <c r="H4302" s="210"/>
    </row>
    <row r="4303" spans="3:8" x14ac:dyDescent="0.25">
      <c r="C4303" s="210"/>
      <c r="D4303" s="210"/>
      <c r="E4303" s="210"/>
      <c r="F4303" s="210"/>
      <c r="G4303" s="210"/>
      <c r="H4303" s="210"/>
    </row>
    <row r="4304" spans="3:8" x14ac:dyDescent="0.25">
      <c r="C4304" s="210"/>
      <c r="D4304" s="210"/>
      <c r="E4304" s="210"/>
      <c r="F4304" s="210"/>
      <c r="G4304" s="210"/>
      <c r="H4304" s="210"/>
    </row>
    <row r="4305" spans="3:8" x14ac:dyDescent="0.25">
      <c r="C4305" s="210"/>
      <c r="D4305" s="210"/>
      <c r="E4305" s="210"/>
      <c r="F4305" s="210"/>
      <c r="G4305" s="210"/>
      <c r="H4305" s="210"/>
    </row>
    <row r="4306" spans="3:8" x14ac:dyDescent="0.25">
      <c r="C4306" s="210"/>
      <c r="D4306" s="210"/>
      <c r="E4306" s="210"/>
      <c r="F4306" s="210"/>
      <c r="G4306" s="210"/>
      <c r="H4306" s="210"/>
    </row>
    <row r="4307" spans="3:8" x14ac:dyDescent="0.25">
      <c r="C4307" s="210"/>
      <c r="D4307" s="210"/>
      <c r="E4307" s="210"/>
      <c r="F4307" s="210"/>
      <c r="G4307" s="210"/>
      <c r="H4307" s="210"/>
    </row>
    <row r="4308" spans="3:8" x14ac:dyDescent="0.25">
      <c r="C4308" s="210"/>
      <c r="D4308" s="210"/>
      <c r="E4308" s="210"/>
      <c r="F4308" s="210"/>
      <c r="G4308" s="210"/>
      <c r="H4308" s="210"/>
    </row>
    <row r="4309" spans="3:8" x14ac:dyDescent="0.25">
      <c r="C4309" s="210"/>
      <c r="D4309" s="210"/>
      <c r="E4309" s="210"/>
      <c r="F4309" s="210"/>
      <c r="G4309" s="210"/>
      <c r="H4309" s="210"/>
    </row>
    <row r="4310" spans="3:8" x14ac:dyDescent="0.25">
      <c r="C4310" s="210"/>
      <c r="D4310" s="210"/>
      <c r="E4310" s="210"/>
      <c r="F4310" s="210"/>
      <c r="G4310" s="210"/>
      <c r="H4310" s="210"/>
    </row>
    <row r="4311" spans="3:8" x14ac:dyDescent="0.25">
      <c r="C4311" s="210"/>
      <c r="D4311" s="210"/>
      <c r="E4311" s="210"/>
      <c r="F4311" s="210"/>
      <c r="G4311" s="210"/>
      <c r="H4311" s="210"/>
    </row>
    <row r="4312" spans="3:8" x14ac:dyDescent="0.25">
      <c r="C4312" s="210"/>
      <c r="D4312" s="210"/>
      <c r="E4312" s="210"/>
      <c r="F4312" s="210"/>
      <c r="G4312" s="210"/>
      <c r="H4312" s="210"/>
    </row>
    <row r="4313" spans="3:8" x14ac:dyDescent="0.25">
      <c r="C4313" s="210"/>
      <c r="D4313" s="210"/>
      <c r="E4313" s="210"/>
      <c r="F4313" s="210"/>
      <c r="G4313" s="210"/>
      <c r="H4313" s="210"/>
    </row>
    <row r="4314" spans="3:8" x14ac:dyDescent="0.25">
      <c r="C4314" s="210"/>
      <c r="D4314" s="210"/>
      <c r="E4314" s="210"/>
      <c r="F4314" s="210"/>
      <c r="G4314" s="210"/>
      <c r="H4314" s="210"/>
    </row>
    <row r="4315" spans="3:8" x14ac:dyDescent="0.25">
      <c r="C4315" s="210"/>
      <c r="D4315" s="210"/>
      <c r="E4315" s="210"/>
      <c r="F4315" s="210"/>
      <c r="G4315" s="210"/>
      <c r="H4315" s="210"/>
    </row>
    <row r="4316" spans="3:8" x14ac:dyDescent="0.25">
      <c r="C4316" s="210"/>
      <c r="D4316" s="210"/>
      <c r="E4316" s="210"/>
      <c r="F4316" s="210"/>
      <c r="G4316" s="210"/>
      <c r="H4316" s="210"/>
    </row>
    <row r="4317" spans="3:8" x14ac:dyDescent="0.25">
      <c r="C4317" s="210"/>
      <c r="D4317" s="210"/>
      <c r="E4317" s="210"/>
      <c r="F4317" s="210"/>
      <c r="G4317" s="210"/>
      <c r="H4317" s="210"/>
    </row>
    <row r="4318" spans="3:8" x14ac:dyDescent="0.25">
      <c r="C4318" s="210"/>
      <c r="D4318" s="210"/>
      <c r="E4318" s="210"/>
      <c r="F4318" s="210"/>
      <c r="G4318" s="210"/>
      <c r="H4318" s="210"/>
    </row>
    <row r="4319" spans="3:8" x14ac:dyDescent="0.25">
      <c r="C4319" s="210"/>
      <c r="D4319" s="210"/>
      <c r="E4319" s="210"/>
      <c r="F4319" s="210"/>
      <c r="G4319" s="210"/>
      <c r="H4319" s="210"/>
    </row>
    <row r="4320" spans="3:8" x14ac:dyDescent="0.25">
      <c r="C4320" s="210"/>
      <c r="D4320" s="210"/>
      <c r="E4320" s="210"/>
      <c r="F4320" s="210"/>
      <c r="G4320" s="210"/>
      <c r="H4320" s="210"/>
    </row>
    <row r="4321" spans="3:8" x14ac:dyDescent="0.25">
      <c r="C4321" s="210"/>
      <c r="D4321" s="210"/>
      <c r="E4321" s="210"/>
      <c r="F4321" s="210"/>
      <c r="G4321" s="210"/>
      <c r="H4321" s="210"/>
    </row>
    <row r="4322" spans="3:8" x14ac:dyDescent="0.25">
      <c r="C4322" s="210"/>
      <c r="D4322" s="210"/>
      <c r="E4322" s="210"/>
      <c r="F4322" s="210"/>
      <c r="G4322" s="210"/>
      <c r="H4322" s="210"/>
    </row>
    <row r="4323" spans="3:8" x14ac:dyDescent="0.25">
      <c r="C4323" s="210"/>
      <c r="D4323" s="210"/>
      <c r="E4323" s="210"/>
      <c r="F4323" s="210"/>
      <c r="G4323" s="210"/>
      <c r="H4323" s="210"/>
    </row>
    <row r="4324" spans="3:8" x14ac:dyDescent="0.25">
      <c r="C4324" s="210"/>
      <c r="D4324" s="210"/>
      <c r="E4324" s="210"/>
      <c r="F4324" s="210"/>
      <c r="G4324" s="210"/>
      <c r="H4324" s="210"/>
    </row>
    <row r="4325" spans="3:8" x14ac:dyDescent="0.25">
      <c r="C4325" s="210"/>
      <c r="D4325" s="210"/>
      <c r="E4325" s="210"/>
      <c r="F4325" s="210"/>
      <c r="G4325" s="210"/>
      <c r="H4325" s="210"/>
    </row>
    <row r="4326" spans="3:8" x14ac:dyDescent="0.25">
      <c r="C4326" s="210"/>
      <c r="D4326" s="210"/>
      <c r="E4326" s="210"/>
      <c r="F4326" s="210"/>
      <c r="G4326" s="210"/>
      <c r="H4326" s="210"/>
    </row>
    <row r="4327" spans="3:8" x14ac:dyDescent="0.25">
      <c r="C4327" s="210"/>
      <c r="D4327" s="210"/>
      <c r="E4327" s="210"/>
      <c r="F4327" s="210"/>
      <c r="G4327" s="210"/>
      <c r="H4327" s="210"/>
    </row>
    <row r="4328" spans="3:8" x14ac:dyDescent="0.25">
      <c r="C4328" s="210"/>
      <c r="D4328" s="210"/>
      <c r="E4328" s="210"/>
      <c r="F4328" s="210"/>
      <c r="G4328" s="210"/>
      <c r="H4328" s="210"/>
    </row>
    <row r="4329" spans="3:8" x14ac:dyDescent="0.25">
      <c r="C4329" s="210"/>
      <c r="D4329" s="210"/>
      <c r="E4329" s="210"/>
      <c r="F4329" s="210"/>
      <c r="G4329" s="210"/>
      <c r="H4329" s="210"/>
    </row>
    <row r="4330" spans="3:8" x14ac:dyDescent="0.25">
      <c r="C4330" s="210"/>
      <c r="D4330" s="210"/>
      <c r="E4330" s="210"/>
      <c r="F4330" s="210"/>
      <c r="G4330" s="210"/>
      <c r="H4330" s="210"/>
    </row>
    <row r="4331" spans="3:8" x14ac:dyDescent="0.25">
      <c r="C4331" s="210"/>
      <c r="D4331" s="210"/>
      <c r="E4331" s="210"/>
      <c r="F4331" s="210"/>
      <c r="G4331" s="210"/>
      <c r="H4331" s="210"/>
    </row>
    <row r="4332" spans="3:8" x14ac:dyDescent="0.25">
      <c r="C4332" s="210"/>
      <c r="D4332" s="210"/>
      <c r="E4332" s="210"/>
      <c r="F4332" s="210"/>
      <c r="G4332" s="210"/>
      <c r="H4332" s="210"/>
    </row>
    <row r="4333" spans="3:8" x14ac:dyDescent="0.25">
      <c r="C4333" s="210"/>
      <c r="D4333" s="210"/>
      <c r="E4333" s="210"/>
      <c r="F4333" s="210"/>
      <c r="G4333" s="210"/>
      <c r="H4333" s="210"/>
    </row>
    <row r="4334" spans="3:8" x14ac:dyDescent="0.25">
      <c r="C4334" s="210"/>
      <c r="D4334" s="210"/>
      <c r="E4334" s="210"/>
      <c r="F4334" s="210"/>
      <c r="G4334" s="210"/>
      <c r="H4334" s="210"/>
    </row>
    <row r="4335" spans="3:8" x14ac:dyDescent="0.25">
      <c r="C4335" s="210"/>
      <c r="D4335" s="210"/>
      <c r="E4335" s="210"/>
      <c r="F4335" s="210"/>
      <c r="G4335" s="210"/>
      <c r="H4335" s="210"/>
    </row>
    <row r="4336" spans="3:8" x14ac:dyDescent="0.25">
      <c r="C4336" s="210"/>
      <c r="D4336" s="210"/>
      <c r="E4336" s="210"/>
      <c r="F4336" s="210"/>
      <c r="G4336" s="210"/>
      <c r="H4336" s="210"/>
    </row>
    <row r="4337" spans="3:8" x14ac:dyDescent="0.25">
      <c r="C4337" s="210"/>
      <c r="D4337" s="210"/>
      <c r="E4337" s="210"/>
      <c r="F4337" s="210"/>
      <c r="G4337" s="210"/>
      <c r="H4337" s="210"/>
    </row>
    <row r="4338" spans="3:8" x14ac:dyDescent="0.25">
      <c r="C4338" s="210"/>
      <c r="D4338" s="210"/>
      <c r="E4338" s="210"/>
      <c r="F4338" s="210"/>
      <c r="G4338" s="210"/>
      <c r="H4338" s="210"/>
    </row>
    <row r="4339" spans="3:8" x14ac:dyDescent="0.25">
      <c r="C4339" s="210"/>
      <c r="D4339" s="210"/>
      <c r="E4339" s="210"/>
      <c r="F4339" s="210"/>
      <c r="G4339" s="210"/>
      <c r="H4339" s="210"/>
    </row>
    <row r="4340" spans="3:8" x14ac:dyDescent="0.25">
      <c r="C4340" s="210"/>
      <c r="D4340" s="210"/>
      <c r="E4340" s="210"/>
      <c r="F4340" s="210"/>
      <c r="G4340" s="210"/>
      <c r="H4340" s="210"/>
    </row>
    <row r="4341" spans="3:8" x14ac:dyDescent="0.25">
      <c r="C4341" s="210"/>
      <c r="D4341" s="210"/>
      <c r="E4341" s="210"/>
      <c r="F4341" s="210"/>
      <c r="G4341" s="210"/>
      <c r="H4341" s="210"/>
    </row>
    <row r="4342" spans="3:8" x14ac:dyDescent="0.25">
      <c r="C4342" s="210"/>
      <c r="D4342" s="210"/>
      <c r="E4342" s="210"/>
      <c r="F4342" s="210"/>
      <c r="G4342" s="210"/>
      <c r="H4342" s="210"/>
    </row>
    <row r="4343" spans="3:8" x14ac:dyDescent="0.25">
      <c r="C4343" s="210"/>
      <c r="D4343" s="210"/>
      <c r="E4343" s="210"/>
      <c r="F4343" s="210"/>
      <c r="G4343" s="210"/>
      <c r="H4343" s="210"/>
    </row>
    <row r="4344" spans="3:8" x14ac:dyDescent="0.25">
      <c r="C4344" s="210"/>
      <c r="D4344" s="210"/>
      <c r="E4344" s="210"/>
      <c r="F4344" s="210"/>
      <c r="G4344" s="210"/>
      <c r="H4344" s="210"/>
    </row>
    <row r="4345" spans="3:8" x14ac:dyDescent="0.25">
      <c r="C4345" s="210"/>
      <c r="D4345" s="210"/>
      <c r="E4345" s="210"/>
      <c r="F4345" s="210"/>
      <c r="G4345" s="210"/>
      <c r="H4345" s="210"/>
    </row>
    <row r="4346" spans="3:8" x14ac:dyDescent="0.25">
      <c r="C4346" s="210"/>
      <c r="D4346" s="210"/>
      <c r="E4346" s="210"/>
      <c r="F4346" s="210"/>
      <c r="G4346" s="210"/>
      <c r="H4346" s="210"/>
    </row>
    <row r="4347" spans="3:8" x14ac:dyDescent="0.25">
      <c r="C4347" s="210"/>
      <c r="D4347" s="210"/>
      <c r="E4347" s="210"/>
      <c r="F4347" s="210"/>
      <c r="G4347" s="210"/>
      <c r="H4347" s="210"/>
    </row>
    <row r="4348" spans="3:8" x14ac:dyDescent="0.25">
      <c r="C4348" s="210"/>
      <c r="D4348" s="210"/>
      <c r="E4348" s="210"/>
      <c r="F4348" s="210"/>
      <c r="G4348" s="210"/>
      <c r="H4348" s="210"/>
    </row>
    <row r="4349" spans="3:8" x14ac:dyDescent="0.25">
      <c r="C4349" s="210"/>
      <c r="D4349" s="210"/>
      <c r="E4349" s="210"/>
      <c r="F4349" s="210"/>
      <c r="G4349" s="210"/>
      <c r="H4349" s="210"/>
    </row>
    <row r="4350" spans="3:8" x14ac:dyDescent="0.25">
      <c r="C4350" s="210"/>
      <c r="D4350" s="210"/>
      <c r="E4350" s="210"/>
      <c r="F4350" s="210"/>
      <c r="G4350" s="210"/>
      <c r="H4350" s="210"/>
    </row>
    <row r="4351" spans="3:8" x14ac:dyDescent="0.25">
      <c r="C4351" s="210"/>
      <c r="D4351" s="210"/>
      <c r="E4351" s="210"/>
      <c r="F4351" s="210"/>
      <c r="G4351" s="210"/>
      <c r="H4351" s="210"/>
    </row>
    <row r="4352" spans="3:8" x14ac:dyDescent="0.25">
      <c r="C4352" s="210"/>
      <c r="D4352" s="210"/>
      <c r="E4352" s="210"/>
      <c r="F4352" s="210"/>
      <c r="G4352" s="210"/>
      <c r="H4352" s="210"/>
    </row>
    <row r="4353" spans="3:8" x14ac:dyDescent="0.25">
      <c r="C4353" s="210"/>
      <c r="D4353" s="210"/>
      <c r="E4353" s="210"/>
      <c r="F4353" s="210"/>
      <c r="G4353" s="210"/>
      <c r="H4353" s="210"/>
    </row>
    <row r="4354" spans="3:8" x14ac:dyDescent="0.25">
      <c r="C4354" s="210"/>
      <c r="D4354" s="210"/>
      <c r="E4354" s="210"/>
      <c r="F4354" s="210"/>
      <c r="G4354" s="210"/>
      <c r="H4354" s="210"/>
    </row>
    <row r="4355" spans="3:8" x14ac:dyDescent="0.25">
      <c r="C4355" s="210"/>
      <c r="D4355" s="210"/>
      <c r="E4355" s="210"/>
      <c r="F4355" s="210"/>
      <c r="G4355" s="210"/>
      <c r="H4355" s="210"/>
    </row>
    <row r="4356" spans="3:8" x14ac:dyDescent="0.25">
      <c r="C4356" s="210"/>
      <c r="D4356" s="210"/>
      <c r="E4356" s="210"/>
      <c r="F4356" s="210"/>
      <c r="G4356" s="210"/>
      <c r="H4356" s="210"/>
    </row>
    <row r="4357" spans="3:8" x14ac:dyDescent="0.25">
      <c r="C4357" s="210"/>
      <c r="D4357" s="210"/>
      <c r="E4357" s="210"/>
      <c r="F4357" s="210"/>
      <c r="G4357" s="210"/>
      <c r="H4357" s="210"/>
    </row>
    <row r="4358" spans="3:8" x14ac:dyDescent="0.25">
      <c r="C4358" s="210"/>
      <c r="D4358" s="210"/>
      <c r="E4358" s="210"/>
      <c r="F4358" s="210"/>
      <c r="G4358" s="210"/>
      <c r="H4358" s="210"/>
    </row>
    <row r="4359" spans="3:8" x14ac:dyDescent="0.25">
      <c r="C4359" s="210"/>
      <c r="D4359" s="210"/>
      <c r="E4359" s="210"/>
      <c r="F4359" s="210"/>
      <c r="G4359" s="210"/>
      <c r="H4359" s="210"/>
    </row>
    <row r="4360" spans="3:8" x14ac:dyDescent="0.25">
      <c r="C4360" s="210"/>
      <c r="D4360" s="210"/>
      <c r="E4360" s="210"/>
      <c r="F4360" s="210"/>
      <c r="G4360" s="210"/>
      <c r="H4360" s="210"/>
    </row>
    <row r="4361" spans="3:8" x14ac:dyDescent="0.25">
      <c r="C4361" s="210"/>
      <c r="D4361" s="210"/>
      <c r="E4361" s="210"/>
      <c r="F4361" s="210"/>
      <c r="G4361" s="210"/>
      <c r="H4361" s="210"/>
    </row>
    <row r="4362" spans="3:8" x14ac:dyDescent="0.25">
      <c r="C4362" s="210"/>
      <c r="D4362" s="210"/>
      <c r="E4362" s="210"/>
      <c r="F4362" s="210"/>
      <c r="G4362" s="210"/>
      <c r="H4362" s="210"/>
    </row>
    <row r="4363" spans="3:8" x14ac:dyDescent="0.25">
      <c r="C4363" s="210"/>
      <c r="D4363" s="210"/>
      <c r="E4363" s="210"/>
      <c r="F4363" s="210"/>
      <c r="G4363" s="210"/>
      <c r="H4363" s="210"/>
    </row>
    <row r="4364" spans="3:8" x14ac:dyDescent="0.25">
      <c r="C4364" s="210"/>
      <c r="D4364" s="210"/>
      <c r="E4364" s="210"/>
      <c r="F4364" s="210"/>
      <c r="G4364" s="210"/>
      <c r="H4364" s="210"/>
    </row>
    <row r="4365" spans="3:8" x14ac:dyDescent="0.25">
      <c r="C4365" s="210"/>
      <c r="D4365" s="210"/>
      <c r="E4365" s="210"/>
      <c r="F4365" s="210"/>
      <c r="G4365" s="210"/>
      <c r="H4365" s="210"/>
    </row>
    <row r="4366" spans="3:8" x14ac:dyDescent="0.25">
      <c r="C4366" s="210"/>
      <c r="D4366" s="210"/>
      <c r="E4366" s="210"/>
      <c r="F4366" s="210"/>
      <c r="G4366" s="210"/>
      <c r="H4366" s="210"/>
    </row>
    <row r="4367" spans="3:8" x14ac:dyDescent="0.25">
      <c r="C4367" s="210"/>
      <c r="D4367" s="210"/>
      <c r="E4367" s="210"/>
      <c r="F4367" s="210"/>
      <c r="G4367" s="210"/>
      <c r="H4367" s="210"/>
    </row>
    <row r="4368" spans="3:8" x14ac:dyDescent="0.25">
      <c r="C4368" s="210"/>
      <c r="D4368" s="210"/>
      <c r="E4368" s="210"/>
      <c r="F4368" s="210"/>
      <c r="G4368" s="210"/>
      <c r="H4368" s="210"/>
    </row>
    <row r="4369" spans="3:8" x14ac:dyDescent="0.25">
      <c r="C4369" s="210"/>
      <c r="D4369" s="210"/>
      <c r="E4369" s="210"/>
      <c r="F4369" s="210"/>
      <c r="G4369" s="210"/>
      <c r="H4369" s="210"/>
    </row>
    <row r="4370" spans="3:8" x14ac:dyDescent="0.25">
      <c r="C4370" s="210"/>
      <c r="D4370" s="210"/>
      <c r="E4370" s="210"/>
      <c r="F4370" s="210"/>
      <c r="G4370" s="210"/>
      <c r="H4370" s="210"/>
    </row>
    <row r="4371" spans="3:8" x14ac:dyDescent="0.25">
      <c r="C4371" s="210"/>
      <c r="D4371" s="210"/>
      <c r="E4371" s="210"/>
      <c r="F4371" s="210"/>
      <c r="G4371" s="210"/>
      <c r="H4371" s="210"/>
    </row>
    <row r="4372" spans="3:8" x14ac:dyDescent="0.25">
      <c r="C4372" s="210"/>
      <c r="D4372" s="210"/>
      <c r="E4372" s="210"/>
      <c r="F4372" s="210"/>
      <c r="G4372" s="210"/>
      <c r="H4372" s="210"/>
    </row>
    <row r="4373" spans="3:8" x14ac:dyDescent="0.25">
      <c r="C4373" s="210"/>
      <c r="D4373" s="210"/>
      <c r="E4373" s="210"/>
      <c r="F4373" s="210"/>
      <c r="G4373" s="210"/>
      <c r="H4373" s="210"/>
    </row>
    <row r="4374" spans="3:8" x14ac:dyDescent="0.25">
      <c r="C4374" s="210"/>
      <c r="D4374" s="210"/>
      <c r="E4374" s="210"/>
      <c r="F4374" s="210"/>
      <c r="G4374" s="210"/>
      <c r="H4374" s="210"/>
    </row>
    <row r="4375" spans="3:8" x14ac:dyDescent="0.25">
      <c r="C4375" s="210"/>
      <c r="D4375" s="210"/>
      <c r="E4375" s="210"/>
      <c r="F4375" s="210"/>
      <c r="G4375" s="210"/>
      <c r="H4375" s="210"/>
    </row>
    <row r="4376" spans="3:8" x14ac:dyDescent="0.25">
      <c r="C4376" s="210"/>
      <c r="D4376" s="210"/>
      <c r="E4376" s="210"/>
      <c r="F4376" s="210"/>
      <c r="G4376" s="210"/>
      <c r="H4376" s="210"/>
    </row>
    <row r="4377" spans="3:8" x14ac:dyDescent="0.25">
      <c r="C4377" s="210"/>
      <c r="D4377" s="210"/>
      <c r="E4377" s="210"/>
      <c r="F4377" s="210"/>
      <c r="G4377" s="210"/>
      <c r="H4377" s="210"/>
    </row>
    <row r="4378" spans="3:8" x14ac:dyDescent="0.25">
      <c r="C4378" s="210"/>
      <c r="D4378" s="210"/>
      <c r="E4378" s="210"/>
      <c r="F4378" s="210"/>
      <c r="G4378" s="210"/>
      <c r="H4378" s="210"/>
    </row>
    <row r="4379" spans="3:8" x14ac:dyDescent="0.25">
      <c r="C4379" s="210"/>
      <c r="D4379" s="210"/>
      <c r="E4379" s="210"/>
      <c r="F4379" s="210"/>
      <c r="G4379" s="210"/>
      <c r="H4379" s="210"/>
    </row>
    <row r="4380" spans="3:8" x14ac:dyDescent="0.25">
      <c r="C4380" s="210"/>
      <c r="D4380" s="210"/>
      <c r="E4380" s="210"/>
      <c r="F4380" s="210"/>
      <c r="G4380" s="210"/>
      <c r="H4380" s="210"/>
    </row>
    <row r="4381" spans="3:8" x14ac:dyDescent="0.25">
      <c r="C4381" s="210"/>
      <c r="D4381" s="210"/>
      <c r="E4381" s="210"/>
      <c r="F4381" s="210"/>
      <c r="G4381" s="210"/>
      <c r="H4381" s="210"/>
    </row>
    <row r="4382" spans="3:8" x14ac:dyDescent="0.25">
      <c r="C4382" s="210"/>
      <c r="D4382" s="210"/>
      <c r="E4382" s="210"/>
      <c r="F4382" s="210"/>
      <c r="G4382" s="210"/>
      <c r="H4382" s="210"/>
    </row>
    <row r="4383" spans="3:8" x14ac:dyDescent="0.25">
      <c r="C4383" s="210"/>
      <c r="D4383" s="210"/>
      <c r="E4383" s="210"/>
      <c r="F4383" s="210"/>
      <c r="G4383" s="210"/>
      <c r="H4383" s="210"/>
    </row>
    <row r="4384" spans="3:8" x14ac:dyDescent="0.25">
      <c r="C4384" s="210"/>
      <c r="D4384" s="210"/>
      <c r="E4384" s="210"/>
      <c r="F4384" s="210"/>
      <c r="G4384" s="210"/>
      <c r="H4384" s="210"/>
    </row>
    <row r="4385" spans="3:8" x14ac:dyDescent="0.25">
      <c r="C4385" s="210"/>
      <c r="D4385" s="210"/>
      <c r="E4385" s="210"/>
      <c r="F4385" s="210"/>
      <c r="G4385" s="210"/>
      <c r="H4385" s="210"/>
    </row>
    <row r="4386" spans="3:8" x14ac:dyDescent="0.25">
      <c r="C4386" s="210"/>
      <c r="D4386" s="210"/>
      <c r="E4386" s="210"/>
      <c r="F4386" s="210"/>
      <c r="G4386" s="210"/>
      <c r="H4386" s="210"/>
    </row>
    <row r="4387" spans="3:8" x14ac:dyDescent="0.25">
      <c r="C4387" s="210"/>
      <c r="D4387" s="210"/>
      <c r="E4387" s="210"/>
      <c r="F4387" s="210"/>
      <c r="G4387" s="210"/>
      <c r="H4387" s="210"/>
    </row>
    <row r="4388" spans="3:8" x14ac:dyDescent="0.25">
      <c r="C4388" s="210"/>
      <c r="D4388" s="210"/>
      <c r="E4388" s="210"/>
      <c r="F4388" s="210"/>
      <c r="G4388" s="210"/>
      <c r="H4388" s="210"/>
    </row>
    <row r="4389" spans="3:8" x14ac:dyDescent="0.25">
      <c r="C4389" s="210"/>
      <c r="D4389" s="210"/>
      <c r="E4389" s="210"/>
      <c r="F4389" s="210"/>
      <c r="G4389" s="210"/>
      <c r="H4389" s="210"/>
    </row>
    <row r="4390" spans="3:8" x14ac:dyDescent="0.25">
      <c r="C4390" s="210"/>
      <c r="D4390" s="210"/>
      <c r="E4390" s="210"/>
      <c r="F4390" s="210"/>
      <c r="G4390" s="210"/>
      <c r="H4390" s="210"/>
    </row>
    <row r="4391" spans="3:8" x14ac:dyDescent="0.25">
      <c r="C4391" s="210"/>
      <c r="D4391" s="210"/>
      <c r="E4391" s="210"/>
      <c r="F4391" s="210"/>
      <c r="G4391" s="210"/>
      <c r="H4391" s="210"/>
    </row>
    <row r="4392" spans="3:8" x14ac:dyDescent="0.25">
      <c r="C4392" s="210"/>
      <c r="D4392" s="210"/>
      <c r="E4392" s="210"/>
      <c r="F4392" s="210"/>
      <c r="G4392" s="210"/>
      <c r="H4392" s="210"/>
    </row>
    <row r="4393" spans="3:8" x14ac:dyDescent="0.25">
      <c r="C4393" s="210"/>
      <c r="D4393" s="210"/>
      <c r="E4393" s="210"/>
      <c r="F4393" s="210"/>
      <c r="G4393" s="210"/>
      <c r="H4393" s="210"/>
    </row>
    <row r="4394" spans="3:8" x14ac:dyDescent="0.25">
      <c r="C4394" s="210"/>
      <c r="D4394" s="210"/>
      <c r="E4394" s="210"/>
      <c r="F4394" s="210"/>
      <c r="G4394" s="210"/>
      <c r="H4394" s="210"/>
    </row>
    <row r="4395" spans="3:8" x14ac:dyDescent="0.25">
      <c r="C4395" s="210"/>
      <c r="D4395" s="210"/>
      <c r="E4395" s="210"/>
      <c r="F4395" s="210"/>
      <c r="G4395" s="210"/>
      <c r="H4395" s="210"/>
    </row>
    <row r="4396" spans="3:8" x14ac:dyDescent="0.25">
      <c r="C4396" s="210"/>
      <c r="D4396" s="210"/>
      <c r="E4396" s="210"/>
      <c r="F4396" s="210"/>
      <c r="G4396" s="210"/>
      <c r="H4396" s="210"/>
    </row>
    <row r="4397" spans="3:8" x14ac:dyDescent="0.25">
      <c r="C4397" s="210"/>
      <c r="D4397" s="210"/>
      <c r="E4397" s="210"/>
      <c r="F4397" s="210"/>
      <c r="G4397" s="210"/>
      <c r="H4397" s="210"/>
    </row>
    <row r="4398" spans="3:8" x14ac:dyDescent="0.25">
      <c r="C4398" s="210"/>
      <c r="D4398" s="210"/>
      <c r="E4398" s="210"/>
      <c r="F4398" s="210"/>
      <c r="G4398" s="210"/>
      <c r="H4398" s="210"/>
    </row>
    <row r="4399" spans="3:8" x14ac:dyDescent="0.25">
      <c r="C4399" s="210"/>
      <c r="D4399" s="210"/>
      <c r="E4399" s="210"/>
      <c r="F4399" s="210"/>
      <c r="G4399" s="210"/>
      <c r="H4399" s="210"/>
    </row>
    <row r="4400" spans="3:8" x14ac:dyDescent="0.25">
      <c r="C4400" s="210"/>
      <c r="D4400" s="210"/>
      <c r="E4400" s="210"/>
      <c r="F4400" s="210"/>
      <c r="G4400" s="210"/>
      <c r="H4400" s="210"/>
    </row>
    <row r="4401" spans="3:8" x14ac:dyDescent="0.25">
      <c r="C4401" s="210"/>
      <c r="D4401" s="210"/>
      <c r="E4401" s="210"/>
      <c r="F4401" s="210"/>
      <c r="G4401" s="210"/>
      <c r="H4401" s="210"/>
    </row>
    <row r="4402" spans="3:8" x14ac:dyDescent="0.25">
      <c r="C4402" s="210"/>
      <c r="D4402" s="210"/>
      <c r="E4402" s="210"/>
      <c r="F4402" s="210"/>
      <c r="G4402" s="210"/>
      <c r="H4402" s="210"/>
    </row>
    <row r="4403" spans="3:8" x14ac:dyDescent="0.25">
      <c r="C4403" s="210"/>
      <c r="D4403" s="210"/>
      <c r="E4403" s="210"/>
      <c r="F4403" s="210"/>
      <c r="G4403" s="210"/>
      <c r="H4403" s="210"/>
    </row>
    <row r="4404" spans="3:8" x14ac:dyDescent="0.25">
      <c r="C4404" s="210"/>
      <c r="D4404" s="210"/>
      <c r="E4404" s="210"/>
      <c r="F4404" s="210"/>
      <c r="G4404" s="210"/>
      <c r="H4404" s="210"/>
    </row>
    <row r="4405" spans="3:8" x14ac:dyDescent="0.25">
      <c r="C4405" s="210"/>
      <c r="D4405" s="210"/>
      <c r="E4405" s="210"/>
      <c r="F4405" s="210"/>
      <c r="G4405" s="210"/>
      <c r="H4405" s="210"/>
    </row>
    <row r="4406" spans="3:8" x14ac:dyDescent="0.25">
      <c r="C4406" s="210"/>
      <c r="D4406" s="210"/>
      <c r="E4406" s="210"/>
      <c r="F4406" s="210"/>
      <c r="G4406" s="210"/>
      <c r="H4406" s="210"/>
    </row>
    <row r="4407" spans="3:8" x14ac:dyDescent="0.25">
      <c r="C4407" s="210"/>
      <c r="D4407" s="210"/>
      <c r="E4407" s="210"/>
      <c r="F4407" s="210"/>
      <c r="G4407" s="210"/>
      <c r="H4407" s="210"/>
    </row>
    <row r="4408" spans="3:8" x14ac:dyDescent="0.25">
      <c r="C4408" s="210"/>
      <c r="D4408" s="210"/>
      <c r="E4408" s="210"/>
      <c r="F4408" s="210"/>
      <c r="G4408" s="210"/>
      <c r="H4408" s="210"/>
    </row>
    <row r="4409" spans="3:8" x14ac:dyDescent="0.25">
      <c r="C4409" s="210"/>
      <c r="D4409" s="210"/>
      <c r="E4409" s="210"/>
      <c r="F4409" s="210"/>
      <c r="G4409" s="210"/>
      <c r="H4409" s="210"/>
    </row>
    <row r="4410" spans="3:8" x14ac:dyDescent="0.25">
      <c r="C4410" s="210"/>
      <c r="D4410" s="210"/>
      <c r="E4410" s="210"/>
      <c r="F4410" s="210"/>
      <c r="G4410" s="210"/>
      <c r="H4410" s="210"/>
    </row>
    <row r="4411" spans="3:8" x14ac:dyDescent="0.25">
      <c r="C4411" s="210"/>
      <c r="D4411" s="210"/>
      <c r="E4411" s="210"/>
      <c r="F4411" s="210"/>
      <c r="G4411" s="210"/>
      <c r="H4411" s="210"/>
    </row>
    <row r="4412" spans="3:8" x14ac:dyDescent="0.25">
      <c r="C4412" s="210"/>
      <c r="D4412" s="210"/>
      <c r="E4412" s="210"/>
      <c r="F4412" s="210"/>
      <c r="G4412" s="210"/>
      <c r="H4412" s="210"/>
    </row>
    <row r="4413" spans="3:8" x14ac:dyDescent="0.25">
      <c r="C4413" s="210"/>
      <c r="D4413" s="210"/>
      <c r="E4413" s="210"/>
      <c r="F4413" s="210"/>
      <c r="G4413" s="210"/>
      <c r="H4413" s="210"/>
    </row>
    <row r="4414" spans="3:8" x14ac:dyDescent="0.25">
      <c r="C4414" s="210"/>
      <c r="D4414" s="210"/>
      <c r="E4414" s="210"/>
      <c r="F4414" s="210"/>
      <c r="G4414" s="210"/>
      <c r="H4414" s="210"/>
    </row>
    <row r="4415" spans="3:8" x14ac:dyDescent="0.25">
      <c r="C4415" s="210"/>
      <c r="D4415" s="210"/>
      <c r="E4415" s="210"/>
      <c r="F4415" s="210"/>
      <c r="G4415" s="210"/>
      <c r="H4415" s="210"/>
    </row>
    <row r="4416" spans="3:8" x14ac:dyDescent="0.25">
      <c r="C4416" s="210"/>
      <c r="D4416" s="210"/>
      <c r="E4416" s="210"/>
      <c r="F4416" s="210"/>
      <c r="G4416" s="210"/>
      <c r="H4416" s="210"/>
    </row>
    <row r="4417" spans="3:8" x14ac:dyDescent="0.25">
      <c r="C4417" s="210"/>
      <c r="D4417" s="210"/>
      <c r="E4417" s="210"/>
      <c r="F4417" s="210"/>
      <c r="G4417" s="210"/>
      <c r="H4417" s="210"/>
    </row>
    <row r="4418" spans="3:8" x14ac:dyDescent="0.25">
      <c r="C4418" s="210"/>
      <c r="D4418" s="210"/>
      <c r="E4418" s="210"/>
      <c r="F4418" s="210"/>
      <c r="G4418" s="210"/>
      <c r="H4418" s="210"/>
    </row>
    <row r="4419" spans="3:8" x14ac:dyDescent="0.25">
      <c r="C4419" s="210"/>
      <c r="D4419" s="210"/>
      <c r="E4419" s="210"/>
      <c r="F4419" s="210"/>
      <c r="G4419" s="210"/>
      <c r="H4419" s="210"/>
    </row>
    <row r="4420" spans="3:8" x14ac:dyDescent="0.25">
      <c r="C4420" s="210"/>
      <c r="D4420" s="210"/>
      <c r="E4420" s="210"/>
      <c r="F4420" s="210"/>
      <c r="G4420" s="210"/>
      <c r="H4420" s="210"/>
    </row>
    <row r="4421" spans="3:8" x14ac:dyDescent="0.25">
      <c r="C4421" s="210"/>
      <c r="D4421" s="210"/>
      <c r="E4421" s="210"/>
      <c r="F4421" s="210"/>
      <c r="G4421" s="210"/>
      <c r="H4421" s="210"/>
    </row>
    <row r="4422" spans="3:8" x14ac:dyDescent="0.25">
      <c r="C4422" s="210"/>
      <c r="D4422" s="210"/>
      <c r="E4422" s="210"/>
      <c r="F4422" s="210"/>
      <c r="G4422" s="210"/>
      <c r="H4422" s="210"/>
    </row>
    <row r="4423" spans="3:8" x14ac:dyDescent="0.25">
      <c r="C4423" s="210"/>
      <c r="D4423" s="210"/>
      <c r="E4423" s="210"/>
      <c r="F4423" s="210"/>
      <c r="G4423" s="210"/>
      <c r="H4423" s="210"/>
    </row>
    <row r="4424" spans="3:8" x14ac:dyDescent="0.25">
      <c r="C4424" s="210"/>
      <c r="D4424" s="210"/>
      <c r="E4424" s="210"/>
      <c r="F4424" s="210"/>
      <c r="G4424" s="210"/>
      <c r="H4424" s="210"/>
    </row>
    <row r="4425" spans="3:8" x14ac:dyDescent="0.25">
      <c r="C4425" s="210"/>
      <c r="D4425" s="210"/>
      <c r="E4425" s="210"/>
      <c r="F4425" s="210"/>
      <c r="G4425" s="210"/>
      <c r="H4425" s="210"/>
    </row>
    <row r="4426" spans="3:8" x14ac:dyDescent="0.25">
      <c r="C4426" s="210"/>
      <c r="D4426" s="210"/>
      <c r="E4426" s="210"/>
      <c r="F4426" s="210"/>
      <c r="G4426" s="210"/>
      <c r="H4426" s="210"/>
    </row>
    <row r="4427" spans="3:8" x14ac:dyDescent="0.25">
      <c r="C4427" s="210"/>
      <c r="D4427" s="210"/>
      <c r="E4427" s="210"/>
      <c r="F4427" s="210"/>
      <c r="G4427" s="210"/>
      <c r="H4427" s="210"/>
    </row>
    <row r="4428" spans="3:8" x14ac:dyDescent="0.25">
      <c r="C4428" s="210"/>
      <c r="D4428" s="210"/>
      <c r="E4428" s="210"/>
      <c r="F4428" s="210"/>
      <c r="G4428" s="210"/>
      <c r="H4428" s="210"/>
    </row>
    <row r="4429" spans="3:8" x14ac:dyDescent="0.25">
      <c r="C4429" s="210"/>
      <c r="D4429" s="210"/>
      <c r="E4429" s="210"/>
      <c r="F4429" s="210"/>
      <c r="G4429" s="210"/>
      <c r="H4429" s="210"/>
    </row>
    <row r="4430" spans="3:8" x14ac:dyDescent="0.25">
      <c r="C4430" s="210"/>
      <c r="D4430" s="210"/>
      <c r="E4430" s="210"/>
      <c r="F4430" s="210"/>
      <c r="G4430" s="210"/>
      <c r="H4430" s="210"/>
    </row>
    <row r="4431" spans="3:8" x14ac:dyDescent="0.25">
      <c r="C4431" s="210"/>
      <c r="D4431" s="210"/>
      <c r="E4431" s="210"/>
      <c r="F4431" s="210"/>
      <c r="G4431" s="210"/>
      <c r="H4431" s="210"/>
    </row>
    <row r="4432" spans="3:8" x14ac:dyDescent="0.25">
      <c r="C4432" s="210"/>
      <c r="D4432" s="210"/>
      <c r="E4432" s="210"/>
      <c r="F4432" s="210"/>
      <c r="G4432" s="210"/>
      <c r="H4432" s="210"/>
    </row>
    <row r="4433" spans="3:8" x14ac:dyDescent="0.25">
      <c r="C4433" s="210"/>
      <c r="D4433" s="210"/>
      <c r="E4433" s="210"/>
      <c r="F4433" s="210"/>
      <c r="G4433" s="210"/>
      <c r="H4433" s="210"/>
    </row>
    <row r="4434" spans="3:8" x14ac:dyDescent="0.25">
      <c r="C4434" s="210"/>
      <c r="D4434" s="210"/>
      <c r="E4434" s="210"/>
      <c r="F4434" s="210"/>
      <c r="G4434" s="210"/>
      <c r="H4434" s="210"/>
    </row>
    <row r="4435" spans="3:8" x14ac:dyDescent="0.25">
      <c r="C4435" s="210"/>
      <c r="D4435" s="210"/>
      <c r="E4435" s="210"/>
      <c r="F4435" s="210"/>
      <c r="G4435" s="210"/>
      <c r="H4435" s="210"/>
    </row>
    <row r="4436" spans="3:8" x14ac:dyDescent="0.25">
      <c r="C4436" s="210"/>
      <c r="D4436" s="210"/>
      <c r="E4436" s="210"/>
      <c r="F4436" s="210"/>
      <c r="G4436" s="210"/>
      <c r="H4436" s="210"/>
    </row>
    <row r="4437" spans="3:8" x14ac:dyDescent="0.25">
      <c r="C4437" s="210"/>
      <c r="D4437" s="210"/>
      <c r="E4437" s="210"/>
      <c r="F4437" s="210"/>
      <c r="G4437" s="210"/>
      <c r="H4437" s="210"/>
    </row>
    <row r="4438" spans="3:8" x14ac:dyDescent="0.25">
      <c r="C4438" s="210"/>
      <c r="D4438" s="210"/>
      <c r="E4438" s="210"/>
      <c r="F4438" s="210"/>
      <c r="G4438" s="210"/>
      <c r="H4438" s="210"/>
    </row>
    <row r="4439" spans="3:8" x14ac:dyDescent="0.25">
      <c r="C4439" s="210"/>
      <c r="D4439" s="210"/>
      <c r="E4439" s="210"/>
      <c r="F4439" s="210"/>
      <c r="G4439" s="210"/>
      <c r="H4439" s="210"/>
    </row>
    <row r="4440" spans="3:8" x14ac:dyDescent="0.25">
      <c r="C4440" s="210"/>
      <c r="D4440" s="210"/>
      <c r="E4440" s="210"/>
      <c r="F4440" s="210"/>
      <c r="G4440" s="210"/>
      <c r="H4440" s="210"/>
    </row>
    <row r="4441" spans="3:8" x14ac:dyDescent="0.25">
      <c r="C4441" s="210"/>
      <c r="D4441" s="210"/>
      <c r="E4441" s="210"/>
      <c r="F4441" s="210"/>
      <c r="G4441" s="210"/>
      <c r="H4441" s="210"/>
    </row>
    <row r="4442" spans="3:8" x14ac:dyDescent="0.25">
      <c r="C4442" s="210"/>
      <c r="D4442" s="210"/>
      <c r="E4442" s="210"/>
      <c r="F4442" s="210"/>
      <c r="G4442" s="210"/>
      <c r="H4442" s="210"/>
    </row>
    <row r="4443" spans="3:8" x14ac:dyDescent="0.25">
      <c r="C4443" s="210"/>
      <c r="D4443" s="210"/>
      <c r="E4443" s="210"/>
      <c r="F4443" s="210"/>
      <c r="G4443" s="210"/>
      <c r="H4443" s="210"/>
    </row>
    <row r="4444" spans="3:8" x14ac:dyDescent="0.25">
      <c r="C4444" s="210"/>
      <c r="D4444" s="210"/>
      <c r="E4444" s="210"/>
      <c r="F4444" s="210"/>
      <c r="G4444" s="210"/>
      <c r="H4444" s="210"/>
    </row>
    <row r="4445" spans="3:8" x14ac:dyDescent="0.25">
      <c r="C4445" s="210"/>
      <c r="D4445" s="210"/>
      <c r="E4445" s="210"/>
      <c r="F4445" s="210"/>
      <c r="G4445" s="210"/>
      <c r="H4445" s="210"/>
    </row>
    <row r="4446" spans="3:8" x14ac:dyDescent="0.25">
      <c r="C4446" s="210"/>
      <c r="D4446" s="210"/>
      <c r="E4446" s="210"/>
      <c r="F4446" s="210"/>
      <c r="G4446" s="210"/>
      <c r="H4446" s="210"/>
    </row>
    <row r="4447" spans="3:8" x14ac:dyDescent="0.25">
      <c r="C4447" s="210"/>
      <c r="D4447" s="210"/>
      <c r="E4447" s="210"/>
      <c r="F4447" s="210"/>
      <c r="G4447" s="210"/>
      <c r="H4447" s="210"/>
    </row>
    <row r="4448" spans="3:8" x14ac:dyDescent="0.25">
      <c r="C4448" s="210"/>
      <c r="D4448" s="210"/>
      <c r="E4448" s="210"/>
      <c r="F4448" s="210"/>
      <c r="G4448" s="210"/>
      <c r="H4448" s="210"/>
    </row>
    <row r="4449" spans="3:8" x14ac:dyDescent="0.25">
      <c r="C4449" s="210"/>
      <c r="D4449" s="210"/>
      <c r="E4449" s="210"/>
      <c r="F4449" s="210"/>
      <c r="G4449" s="210"/>
      <c r="H4449" s="210"/>
    </row>
    <row r="4450" spans="3:8" x14ac:dyDescent="0.25">
      <c r="C4450" s="210"/>
      <c r="D4450" s="210"/>
      <c r="E4450" s="210"/>
      <c r="F4450" s="210"/>
      <c r="G4450" s="210"/>
      <c r="H4450" s="210"/>
    </row>
    <row r="4451" spans="3:8" x14ac:dyDescent="0.25">
      <c r="C4451" s="210"/>
      <c r="D4451" s="210"/>
      <c r="E4451" s="210"/>
      <c r="F4451" s="210"/>
      <c r="G4451" s="210"/>
      <c r="H4451" s="210"/>
    </row>
    <row r="4452" spans="3:8" x14ac:dyDescent="0.25">
      <c r="C4452" s="210"/>
      <c r="D4452" s="210"/>
      <c r="E4452" s="210"/>
      <c r="F4452" s="210"/>
      <c r="G4452" s="210"/>
      <c r="H4452" s="210"/>
    </row>
    <row r="4453" spans="3:8" x14ac:dyDescent="0.25">
      <c r="C4453" s="210"/>
      <c r="D4453" s="210"/>
      <c r="E4453" s="210"/>
      <c r="F4453" s="210"/>
      <c r="G4453" s="210"/>
      <c r="H4453" s="210"/>
    </row>
    <row r="4454" spans="3:8" x14ac:dyDescent="0.25">
      <c r="C4454" s="210"/>
      <c r="D4454" s="210"/>
      <c r="E4454" s="210"/>
      <c r="F4454" s="210"/>
      <c r="G4454" s="210"/>
      <c r="H4454" s="210"/>
    </row>
    <row r="4455" spans="3:8" x14ac:dyDescent="0.25">
      <c r="C4455" s="210"/>
      <c r="D4455" s="210"/>
      <c r="E4455" s="210"/>
      <c r="F4455" s="210"/>
      <c r="G4455" s="210"/>
      <c r="H4455" s="210"/>
    </row>
    <row r="4456" spans="3:8" x14ac:dyDescent="0.25">
      <c r="C4456" s="210"/>
      <c r="D4456" s="210"/>
      <c r="E4456" s="210"/>
      <c r="F4456" s="210"/>
      <c r="G4456" s="210"/>
      <c r="H4456" s="210"/>
    </row>
    <row r="4457" spans="3:8" x14ac:dyDescent="0.25">
      <c r="C4457" s="210"/>
      <c r="D4457" s="210"/>
      <c r="E4457" s="210"/>
      <c r="F4457" s="210"/>
      <c r="G4457" s="210"/>
      <c r="H4457" s="210"/>
    </row>
    <row r="4458" spans="3:8" x14ac:dyDescent="0.25">
      <c r="C4458" s="210"/>
      <c r="D4458" s="210"/>
      <c r="E4458" s="210"/>
      <c r="F4458" s="210"/>
      <c r="G4458" s="210"/>
      <c r="H4458" s="210"/>
    </row>
    <row r="4459" spans="3:8" x14ac:dyDescent="0.25">
      <c r="C4459" s="210"/>
      <c r="D4459" s="210"/>
      <c r="E4459" s="210"/>
      <c r="F4459" s="210"/>
      <c r="G4459" s="210"/>
      <c r="H4459" s="210"/>
    </row>
    <row r="4460" spans="3:8" x14ac:dyDescent="0.25">
      <c r="C4460" s="210"/>
      <c r="D4460" s="210"/>
      <c r="E4460" s="210"/>
      <c r="F4460" s="210"/>
      <c r="G4460" s="210"/>
      <c r="H4460" s="210"/>
    </row>
    <row r="4461" spans="3:8" x14ac:dyDescent="0.25">
      <c r="C4461" s="210"/>
      <c r="D4461" s="210"/>
      <c r="E4461" s="210"/>
      <c r="F4461" s="210"/>
      <c r="G4461" s="210"/>
      <c r="H4461" s="210"/>
    </row>
    <row r="4462" spans="3:8" x14ac:dyDescent="0.25">
      <c r="C4462" s="210"/>
      <c r="D4462" s="210"/>
      <c r="E4462" s="210"/>
      <c r="F4462" s="210"/>
      <c r="G4462" s="210"/>
      <c r="H4462" s="210"/>
    </row>
    <row r="4463" spans="3:8" x14ac:dyDescent="0.25">
      <c r="C4463" s="210"/>
      <c r="D4463" s="210"/>
      <c r="E4463" s="210"/>
      <c r="F4463" s="210"/>
      <c r="G4463" s="210"/>
      <c r="H4463" s="210"/>
    </row>
    <row r="4464" spans="3:8" x14ac:dyDescent="0.25">
      <c r="C4464" s="210"/>
      <c r="D4464" s="210"/>
      <c r="E4464" s="210"/>
      <c r="F4464" s="210"/>
      <c r="G4464" s="210"/>
      <c r="H4464" s="210"/>
    </row>
    <row r="4465" spans="3:8" x14ac:dyDescent="0.25">
      <c r="C4465" s="210"/>
      <c r="D4465" s="210"/>
      <c r="E4465" s="210"/>
      <c r="F4465" s="210"/>
      <c r="G4465" s="210"/>
      <c r="H4465" s="210"/>
    </row>
    <row r="4466" spans="3:8" x14ac:dyDescent="0.25">
      <c r="C4466" s="210"/>
      <c r="D4466" s="210"/>
      <c r="E4466" s="210"/>
      <c r="F4466" s="210"/>
      <c r="G4466" s="210"/>
      <c r="H4466" s="210"/>
    </row>
    <row r="4467" spans="3:8" x14ac:dyDescent="0.25">
      <c r="C4467" s="210"/>
      <c r="D4467" s="210"/>
      <c r="E4467" s="210"/>
      <c r="F4467" s="210"/>
      <c r="G4467" s="210"/>
      <c r="H4467" s="210"/>
    </row>
    <row r="4468" spans="3:8" x14ac:dyDescent="0.25">
      <c r="C4468" s="210"/>
      <c r="D4468" s="210"/>
      <c r="E4468" s="210"/>
      <c r="F4468" s="210"/>
      <c r="G4468" s="210"/>
      <c r="H4468" s="210"/>
    </row>
    <row r="4469" spans="3:8" x14ac:dyDescent="0.25">
      <c r="C4469" s="210"/>
      <c r="D4469" s="210"/>
      <c r="E4469" s="210"/>
      <c r="F4469" s="210"/>
      <c r="G4469" s="210"/>
      <c r="H4469" s="210"/>
    </row>
    <row r="4470" spans="3:8" x14ac:dyDescent="0.25">
      <c r="C4470" s="210"/>
      <c r="D4470" s="210"/>
      <c r="E4470" s="210"/>
      <c r="F4470" s="210"/>
      <c r="G4470" s="210"/>
      <c r="H4470" s="210"/>
    </row>
    <row r="4471" spans="3:8" x14ac:dyDescent="0.25">
      <c r="C4471" s="210"/>
      <c r="D4471" s="210"/>
      <c r="E4471" s="210"/>
      <c r="F4471" s="210"/>
      <c r="G4471" s="210"/>
      <c r="H4471" s="210"/>
    </row>
    <row r="4472" spans="3:8" x14ac:dyDescent="0.25">
      <c r="C4472" s="210"/>
      <c r="D4472" s="210"/>
      <c r="E4472" s="210"/>
      <c r="F4472" s="210"/>
      <c r="G4472" s="210"/>
      <c r="H4472" s="210"/>
    </row>
    <row r="4473" spans="3:8" x14ac:dyDescent="0.25">
      <c r="C4473" s="210"/>
      <c r="D4473" s="210"/>
      <c r="E4473" s="210"/>
      <c r="F4473" s="210"/>
      <c r="G4473" s="210"/>
      <c r="H4473" s="210"/>
    </row>
    <row r="4474" spans="3:8" x14ac:dyDescent="0.25">
      <c r="C4474" s="210"/>
      <c r="D4474" s="210"/>
      <c r="E4474" s="210"/>
      <c r="F4474" s="210"/>
      <c r="G4474" s="210"/>
      <c r="H4474" s="210"/>
    </row>
    <row r="4475" spans="3:8" x14ac:dyDescent="0.25">
      <c r="C4475" s="210"/>
      <c r="D4475" s="210"/>
      <c r="E4475" s="210"/>
      <c r="F4475" s="210"/>
      <c r="G4475" s="210"/>
      <c r="H4475" s="210"/>
    </row>
    <row r="4476" spans="3:8" x14ac:dyDescent="0.25">
      <c r="C4476" s="210"/>
      <c r="D4476" s="210"/>
      <c r="E4476" s="210"/>
      <c r="F4476" s="210"/>
      <c r="G4476" s="210"/>
      <c r="H4476" s="210"/>
    </row>
    <row r="4477" spans="3:8" x14ac:dyDescent="0.25">
      <c r="C4477" s="210"/>
      <c r="D4477" s="210"/>
      <c r="E4477" s="210"/>
      <c r="F4477" s="210"/>
      <c r="G4477" s="210"/>
      <c r="H4477" s="210"/>
    </row>
    <row r="4478" spans="3:8" x14ac:dyDescent="0.25">
      <c r="C4478" s="210"/>
      <c r="D4478" s="210"/>
      <c r="E4478" s="210"/>
      <c r="F4478" s="210"/>
      <c r="G4478" s="210"/>
      <c r="H4478" s="210"/>
    </row>
    <row r="4479" spans="3:8" x14ac:dyDescent="0.25">
      <c r="C4479" s="210"/>
      <c r="D4479" s="210"/>
      <c r="E4479" s="210"/>
      <c r="F4479" s="210"/>
      <c r="G4479" s="210"/>
      <c r="H4479" s="210"/>
    </row>
    <row r="4480" spans="3:8" x14ac:dyDescent="0.25">
      <c r="C4480" s="210"/>
      <c r="D4480" s="210"/>
      <c r="E4480" s="210"/>
      <c r="F4480" s="210"/>
      <c r="G4480" s="210"/>
      <c r="H4480" s="210"/>
    </row>
    <row r="4481" spans="3:8" x14ac:dyDescent="0.25">
      <c r="C4481" s="210"/>
      <c r="D4481" s="210"/>
      <c r="E4481" s="210"/>
      <c r="F4481" s="210"/>
      <c r="G4481" s="210"/>
      <c r="H4481" s="210"/>
    </row>
    <row r="4482" spans="3:8" x14ac:dyDescent="0.25">
      <c r="C4482" s="210"/>
      <c r="D4482" s="210"/>
      <c r="E4482" s="210"/>
      <c r="F4482" s="210"/>
      <c r="G4482" s="210"/>
      <c r="H4482" s="210"/>
    </row>
    <row r="4483" spans="3:8" x14ac:dyDescent="0.25">
      <c r="C4483" s="210"/>
      <c r="D4483" s="210"/>
      <c r="E4483" s="210"/>
      <c r="F4483" s="210"/>
      <c r="G4483" s="210"/>
      <c r="H4483" s="210"/>
    </row>
    <row r="4484" spans="3:8" x14ac:dyDescent="0.25">
      <c r="C4484" s="210"/>
      <c r="D4484" s="210"/>
      <c r="E4484" s="210"/>
      <c r="F4484" s="210"/>
      <c r="G4484" s="210"/>
      <c r="H4484" s="210"/>
    </row>
    <row r="4485" spans="3:8" x14ac:dyDescent="0.25">
      <c r="C4485" s="210"/>
      <c r="D4485" s="210"/>
      <c r="E4485" s="210"/>
      <c r="F4485" s="210"/>
      <c r="G4485" s="210"/>
      <c r="H4485" s="210"/>
    </row>
    <row r="4486" spans="3:8" x14ac:dyDescent="0.25">
      <c r="C4486" s="210"/>
      <c r="D4486" s="210"/>
      <c r="E4486" s="210"/>
      <c r="F4486" s="210"/>
      <c r="G4486" s="210"/>
      <c r="H4486" s="210"/>
    </row>
    <row r="4487" spans="3:8" x14ac:dyDescent="0.25">
      <c r="C4487" s="210"/>
      <c r="D4487" s="210"/>
      <c r="E4487" s="210"/>
      <c r="F4487" s="210"/>
      <c r="G4487" s="210"/>
      <c r="H4487" s="210"/>
    </row>
    <row r="4488" spans="3:8" x14ac:dyDescent="0.25">
      <c r="C4488" s="210"/>
      <c r="D4488" s="210"/>
      <c r="E4488" s="210"/>
      <c r="F4488" s="210"/>
      <c r="G4488" s="210"/>
      <c r="H4488" s="210"/>
    </row>
    <row r="4489" spans="3:8" x14ac:dyDescent="0.25">
      <c r="C4489" s="210"/>
      <c r="D4489" s="210"/>
      <c r="E4489" s="210"/>
      <c r="F4489" s="210"/>
      <c r="G4489" s="210"/>
      <c r="H4489" s="210"/>
    </row>
    <row r="4490" spans="3:8" x14ac:dyDescent="0.25">
      <c r="C4490" s="210"/>
      <c r="D4490" s="210"/>
      <c r="E4490" s="210"/>
      <c r="F4490" s="210"/>
      <c r="G4490" s="210"/>
      <c r="H4490" s="210"/>
    </row>
    <row r="4491" spans="3:8" x14ac:dyDescent="0.25">
      <c r="C4491" s="210"/>
      <c r="D4491" s="210"/>
      <c r="E4491" s="210"/>
      <c r="F4491" s="210"/>
      <c r="G4491" s="210"/>
      <c r="H4491" s="210"/>
    </row>
    <row r="4492" spans="3:8" x14ac:dyDescent="0.25">
      <c r="C4492" s="210"/>
      <c r="D4492" s="210"/>
      <c r="E4492" s="210"/>
      <c r="F4492" s="210"/>
      <c r="G4492" s="210"/>
      <c r="H4492" s="210"/>
    </row>
    <row r="4493" spans="3:8" x14ac:dyDescent="0.25">
      <c r="C4493" s="210"/>
      <c r="D4493" s="210"/>
      <c r="E4493" s="210"/>
      <c r="F4493" s="210"/>
      <c r="G4493" s="210"/>
      <c r="H4493" s="210"/>
    </row>
    <row r="4494" spans="3:8" x14ac:dyDescent="0.25">
      <c r="C4494" s="210"/>
      <c r="D4494" s="210"/>
      <c r="E4494" s="210"/>
      <c r="F4494" s="210"/>
      <c r="G4494" s="210"/>
      <c r="H4494" s="210"/>
    </row>
    <row r="4495" spans="3:8" x14ac:dyDescent="0.25">
      <c r="C4495" s="210"/>
      <c r="D4495" s="210"/>
      <c r="E4495" s="210"/>
      <c r="F4495" s="210"/>
      <c r="G4495" s="210"/>
      <c r="H4495" s="210"/>
    </row>
    <row r="4496" spans="3:8" x14ac:dyDescent="0.25">
      <c r="C4496" s="210"/>
      <c r="D4496" s="210"/>
      <c r="E4496" s="210"/>
      <c r="F4496" s="210"/>
      <c r="G4496" s="210"/>
      <c r="H4496" s="210"/>
    </row>
    <row r="4497" spans="3:8" x14ac:dyDescent="0.25">
      <c r="C4497" s="210"/>
      <c r="D4497" s="210"/>
      <c r="E4497" s="210"/>
      <c r="F4497" s="210"/>
      <c r="G4497" s="210"/>
      <c r="H4497" s="210"/>
    </row>
    <row r="4498" spans="3:8" x14ac:dyDescent="0.25">
      <c r="C4498" s="210"/>
      <c r="D4498" s="210"/>
      <c r="E4498" s="210"/>
      <c r="F4498" s="210"/>
      <c r="G4498" s="210"/>
      <c r="H4498" s="210"/>
    </row>
    <row r="4499" spans="3:8" x14ac:dyDescent="0.25">
      <c r="C4499" s="210"/>
      <c r="D4499" s="210"/>
      <c r="E4499" s="210"/>
      <c r="F4499" s="210"/>
      <c r="G4499" s="210"/>
      <c r="H4499" s="210"/>
    </row>
    <row r="4500" spans="3:8" x14ac:dyDescent="0.25">
      <c r="C4500" s="210"/>
      <c r="D4500" s="210"/>
      <c r="E4500" s="210"/>
      <c r="F4500" s="210"/>
      <c r="G4500" s="210"/>
      <c r="H4500" s="210"/>
    </row>
    <row r="4501" spans="3:8" x14ac:dyDescent="0.25">
      <c r="C4501" s="210"/>
      <c r="D4501" s="210"/>
      <c r="E4501" s="210"/>
      <c r="F4501" s="210"/>
      <c r="G4501" s="210"/>
      <c r="H4501" s="210"/>
    </row>
    <row r="4502" spans="3:8" x14ac:dyDescent="0.25">
      <c r="C4502" s="210"/>
      <c r="D4502" s="210"/>
      <c r="E4502" s="210"/>
      <c r="F4502" s="210"/>
      <c r="G4502" s="210"/>
      <c r="H4502" s="210"/>
    </row>
    <row r="4503" spans="3:8" x14ac:dyDescent="0.25">
      <c r="C4503" s="210"/>
      <c r="D4503" s="210"/>
      <c r="E4503" s="210"/>
      <c r="F4503" s="210"/>
      <c r="G4503" s="210"/>
      <c r="H4503" s="210"/>
    </row>
    <row r="4504" spans="3:8" x14ac:dyDescent="0.25">
      <c r="C4504" s="210"/>
      <c r="D4504" s="210"/>
      <c r="E4504" s="210"/>
      <c r="F4504" s="210"/>
      <c r="G4504" s="210"/>
      <c r="H4504" s="210"/>
    </row>
    <row r="4505" spans="3:8" x14ac:dyDescent="0.25">
      <c r="C4505" s="210"/>
      <c r="D4505" s="210"/>
      <c r="E4505" s="210"/>
      <c r="F4505" s="210"/>
      <c r="G4505" s="210"/>
      <c r="H4505" s="210"/>
    </row>
    <row r="4506" spans="3:8" x14ac:dyDescent="0.25">
      <c r="C4506" s="210"/>
      <c r="D4506" s="210"/>
      <c r="E4506" s="210"/>
      <c r="F4506" s="210"/>
      <c r="G4506" s="210"/>
      <c r="H4506" s="210"/>
    </row>
    <row r="4507" spans="3:8" x14ac:dyDescent="0.25">
      <c r="C4507" s="210"/>
      <c r="D4507" s="210"/>
      <c r="E4507" s="210"/>
      <c r="F4507" s="210"/>
      <c r="G4507" s="210"/>
      <c r="H4507" s="210"/>
    </row>
    <row r="4508" spans="3:8" x14ac:dyDescent="0.25">
      <c r="C4508" s="210"/>
      <c r="D4508" s="210"/>
      <c r="E4508" s="210"/>
      <c r="F4508" s="210"/>
      <c r="G4508" s="210"/>
      <c r="H4508" s="210"/>
    </row>
    <row r="4509" spans="3:8" x14ac:dyDescent="0.25">
      <c r="C4509" s="210"/>
      <c r="D4509" s="210"/>
      <c r="E4509" s="210"/>
      <c r="F4509" s="210"/>
      <c r="G4509" s="210"/>
      <c r="H4509" s="210"/>
    </row>
    <row r="4510" spans="3:8" x14ac:dyDescent="0.25">
      <c r="C4510" s="210"/>
      <c r="D4510" s="210"/>
      <c r="E4510" s="210"/>
      <c r="F4510" s="210"/>
      <c r="G4510" s="210"/>
      <c r="H4510" s="210"/>
    </row>
    <row r="4511" spans="3:8" x14ac:dyDescent="0.25">
      <c r="C4511" s="210"/>
      <c r="D4511" s="210"/>
      <c r="E4511" s="210"/>
      <c r="F4511" s="210"/>
      <c r="G4511" s="210"/>
      <c r="H4511" s="210"/>
    </row>
    <row r="4512" spans="3:8" x14ac:dyDescent="0.25">
      <c r="C4512" s="210"/>
      <c r="D4512" s="210"/>
      <c r="E4512" s="210"/>
      <c r="F4512" s="210"/>
      <c r="G4512" s="210"/>
      <c r="H4512" s="210"/>
    </row>
    <row r="4513" spans="3:8" x14ac:dyDescent="0.25">
      <c r="C4513" s="210"/>
      <c r="D4513" s="210"/>
      <c r="E4513" s="210"/>
      <c r="F4513" s="210"/>
      <c r="G4513" s="210"/>
      <c r="H4513" s="210"/>
    </row>
    <row r="4514" spans="3:8" x14ac:dyDescent="0.25">
      <c r="C4514" s="210"/>
      <c r="D4514" s="210"/>
      <c r="E4514" s="210"/>
      <c r="F4514" s="210"/>
      <c r="G4514" s="210"/>
      <c r="H4514" s="210"/>
    </row>
    <row r="4515" spans="3:8" x14ac:dyDescent="0.25">
      <c r="C4515" s="210"/>
      <c r="D4515" s="210"/>
      <c r="E4515" s="210"/>
      <c r="F4515" s="210"/>
      <c r="G4515" s="210"/>
      <c r="H4515" s="210"/>
    </row>
    <row r="4516" spans="3:8" x14ac:dyDescent="0.25">
      <c r="C4516" s="210"/>
      <c r="D4516" s="210"/>
      <c r="E4516" s="210"/>
      <c r="F4516" s="210"/>
      <c r="G4516" s="210"/>
      <c r="H4516" s="210"/>
    </row>
    <row r="4517" spans="3:8" x14ac:dyDescent="0.25">
      <c r="C4517" s="210"/>
      <c r="D4517" s="210"/>
      <c r="E4517" s="210"/>
      <c r="F4517" s="210"/>
      <c r="G4517" s="210"/>
      <c r="H4517" s="210"/>
    </row>
    <row r="4518" spans="3:8" x14ac:dyDescent="0.25">
      <c r="C4518" s="210"/>
      <c r="D4518" s="210"/>
      <c r="E4518" s="210"/>
      <c r="F4518" s="210"/>
      <c r="G4518" s="210"/>
      <c r="H4518" s="210"/>
    </row>
    <row r="4519" spans="3:8" x14ac:dyDescent="0.25">
      <c r="C4519" s="210"/>
      <c r="D4519" s="210"/>
      <c r="E4519" s="210"/>
      <c r="F4519" s="210"/>
      <c r="G4519" s="210"/>
      <c r="H4519" s="210"/>
    </row>
    <row r="4520" spans="3:8" x14ac:dyDescent="0.25">
      <c r="C4520" s="210"/>
      <c r="D4520" s="210"/>
      <c r="E4520" s="210"/>
      <c r="F4520" s="210"/>
      <c r="G4520" s="210"/>
      <c r="H4520" s="210"/>
    </row>
    <row r="4521" spans="3:8" x14ac:dyDescent="0.25">
      <c r="C4521" s="210"/>
      <c r="D4521" s="210"/>
      <c r="E4521" s="210"/>
      <c r="F4521" s="210"/>
      <c r="G4521" s="210"/>
      <c r="H4521" s="210"/>
    </row>
    <row r="4522" spans="3:8" x14ac:dyDescent="0.25">
      <c r="C4522" s="210"/>
      <c r="D4522" s="210"/>
      <c r="E4522" s="210"/>
      <c r="F4522" s="210"/>
      <c r="G4522" s="210"/>
      <c r="H4522" s="210"/>
    </row>
    <row r="4523" spans="3:8" x14ac:dyDescent="0.25">
      <c r="C4523" s="210"/>
      <c r="D4523" s="210"/>
      <c r="E4523" s="210"/>
      <c r="F4523" s="210"/>
      <c r="G4523" s="210"/>
      <c r="H4523" s="210"/>
    </row>
    <row r="4524" spans="3:8" x14ac:dyDescent="0.25">
      <c r="C4524" s="210"/>
      <c r="D4524" s="210"/>
      <c r="E4524" s="210"/>
      <c r="F4524" s="210"/>
      <c r="G4524" s="210"/>
      <c r="H4524" s="210"/>
    </row>
    <row r="4525" spans="3:8" x14ac:dyDescent="0.25">
      <c r="C4525" s="210"/>
      <c r="D4525" s="210"/>
      <c r="E4525" s="210"/>
      <c r="F4525" s="210"/>
      <c r="G4525" s="210"/>
      <c r="H4525" s="210"/>
    </row>
    <row r="4526" spans="3:8" x14ac:dyDescent="0.25">
      <c r="C4526" s="210"/>
      <c r="D4526" s="210"/>
      <c r="E4526" s="210"/>
      <c r="F4526" s="210"/>
      <c r="G4526" s="210"/>
      <c r="H4526" s="210"/>
    </row>
    <row r="4527" spans="3:8" x14ac:dyDescent="0.25">
      <c r="C4527" s="210"/>
      <c r="D4527" s="210"/>
      <c r="E4527" s="210"/>
      <c r="F4527" s="210"/>
      <c r="G4527" s="210"/>
      <c r="H4527" s="210"/>
    </row>
    <row r="4528" spans="3:8" x14ac:dyDescent="0.25">
      <c r="C4528" s="210"/>
      <c r="D4528" s="210"/>
      <c r="E4528" s="210"/>
      <c r="F4528" s="210"/>
      <c r="G4528" s="210"/>
      <c r="H4528" s="210"/>
    </row>
    <row r="4529" spans="3:8" x14ac:dyDescent="0.25">
      <c r="C4529" s="210"/>
      <c r="D4529" s="210"/>
      <c r="E4529" s="210"/>
      <c r="F4529" s="210"/>
      <c r="G4529" s="210"/>
      <c r="H4529" s="210"/>
    </row>
    <row r="4530" spans="3:8" x14ac:dyDescent="0.25">
      <c r="C4530" s="210"/>
      <c r="D4530" s="210"/>
      <c r="E4530" s="210"/>
      <c r="F4530" s="210"/>
      <c r="G4530" s="210"/>
      <c r="H4530" s="210"/>
    </row>
    <row r="4531" spans="3:8" x14ac:dyDescent="0.25">
      <c r="C4531" s="210"/>
      <c r="D4531" s="210"/>
      <c r="E4531" s="210"/>
      <c r="F4531" s="210"/>
      <c r="G4531" s="210"/>
      <c r="H4531" s="210"/>
    </row>
    <row r="4532" spans="3:8" x14ac:dyDescent="0.25">
      <c r="C4532" s="210"/>
      <c r="D4532" s="210"/>
      <c r="E4532" s="210"/>
      <c r="F4532" s="210"/>
      <c r="G4532" s="210"/>
      <c r="H4532" s="210"/>
    </row>
    <row r="4533" spans="3:8" x14ac:dyDescent="0.25">
      <c r="C4533" s="210"/>
      <c r="D4533" s="210"/>
      <c r="E4533" s="210"/>
      <c r="F4533" s="210"/>
      <c r="G4533" s="210"/>
      <c r="H4533" s="210"/>
    </row>
    <row r="4534" spans="3:8" x14ac:dyDescent="0.25">
      <c r="C4534" s="210"/>
      <c r="D4534" s="210"/>
      <c r="E4534" s="210"/>
      <c r="F4534" s="210"/>
      <c r="G4534" s="210"/>
      <c r="H4534" s="210"/>
    </row>
    <row r="4535" spans="3:8" x14ac:dyDescent="0.25">
      <c r="C4535" s="210"/>
      <c r="D4535" s="210"/>
      <c r="E4535" s="210"/>
      <c r="F4535" s="210"/>
      <c r="G4535" s="210"/>
      <c r="H4535" s="210"/>
    </row>
    <row r="4536" spans="3:8" x14ac:dyDescent="0.25">
      <c r="C4536" s="210"/>
      <c r="D4536" s="210"/>
      <c r="E4536" s="210"/>
      <c r="F4536" s="210"/>
      <c r="G4536" s="210"/>
      <c r="H4536" s="210"/>
    </row>
    <row r="4537" spans="3:8" x14ac:dyDescent="0.25">
      <c r="C4537" s="210"/>
      <c r="D4537" s="210"/>
      <c r="E4537" s="210"/>
      <c r="F4537" s="210"/>
      <c r="G4537" s="210"/>
      <c r="H4537" s="210"/>
    </row>
    <row r="4538" spans="3:8" x14ac:dyDescent="0.25">
      <c r="C4538" s="210"/>
      <c r="D4538" s="210"/>
      <c r="E4538" s="210"/>
      <c r="F4538" s="210"/>
      <c r="G4538" s="210"/>
      <c r="H4538" s="210"/>
    </row>
    <row r="4539" spans="3:8" x14ac:dyDescent="0.25">
      <c r="C4539" s="210"/>
      <c r="D4539" s="210"/>
      <c r="E4539" s="210"/>
      <c r="F4539" s="210"/>
      <c r="G4539" s="210"/>
      <c r="H4539" s="210"/>
    </row>
    <row r="4540" spans="3:8" x14ac:dyDescent="0.25">
      <c r="C4540" s="210"/>
      <c r="D4540" s="210"/>
      <c r="E4540" s="210"/>
      <c r="F4540" s="210"/>
      <c r="G4540" s="210"/>
      <c r="H4540" s="210"/>
    </row>
    <row r="4541" spans="3:8" x14ac:dyDescent="0.25">
      <c r="C4541" s="210"/>
      <c r="D4541" s="210"/>
      <c r="E4541" s="210"/>
      <c r="F4541" s="210"/>
      <c r="G4541" s="210"/>
      <c r="H4541" s="210"/>
    </row>
    <row r="4542" spans="3:8" x14ac:dyDescent="0.25">
      <c r="C4542" s="210"/>
      <c r="D4542" s="210"/>
      <c r="E4542" s="210"/>
      <c r="F4542" s="210"/>
      <c r="G4542" s="210"/>
      <c r="H4542" s="210"/>
    </row>
    <row r="4543" spans="3:8" x14ac:dyDescent="0.25">
      <c r="C4543" s="210"/>
      <c r="D4543" s="210"/>
      <c r="E4543" s="210"/>
      <c r="F4543" s="210"/>
      <c r="G4543" s="210"/>
      <c r="H4543" s="210"/>
    </row>
    <row r="4544" spans="3:8" x14ac:dyDescent="0.25">
      <c r="C4544" s="210"/>
      <c r="D4544" s="210"/>
      <c r="E4544" s="210"/>
      <c r="F4544" s="210"/>
      <c r="G4544" s="210"/>
      <c r="H4544" s="210"/>
    </row>
    <row r="4545" spans="3:8" x14ac:dyDescent="0.25">
      <c r="C4545" s="210"/>
      <c r="D4545" s="210"/>
      <c r="E4545" s="210"/>
      <c r="F4545" s="210"/>
      <c r="G4545" s="210"/>
      <c r="H4545" s="210"/>
    </row>
    <row r="4546" spans="3:8" x14ac:dyDescent="0.25">
      <c r="C4546" s="210"/>
      <c r="D4546" s="210"/>
      <c r="E4546" s="210"/>
      <c r="F4546" s="210"/>
      <c r="G4546" s="210"/>
      <c r="H4546" s="210"/>
    </row>
    <row r="4547" spans="3:8" x14ac:dyDescent="0.25">
      <c r="C4547" s="210"/>
      <c r="D4547" s="210"/>
      <c r="E4547" s="210"/>
      <c r="F4547" s="210"/>
      <c r="G4547" s="210"/>
      <c r="H4547" s="210"/>
    </row>
    <row r="4548" spans="3:8" x14ac:dyDescent="0.25">
      <c r="C4548" s="210"/>
      <c r="D4548" s="210"/>
      <c r="E4548" s="210"/>
      <c r="F4548" s="210"/>
      <c r="G4548" s="210"/>
      <c r="H4548" s="210"/>
    </row>
    <row r="4549" spans="3:8" x14ac:dyDescent="0.25">
      <c r="C4549" s="210"/>
      <c r="D4549" s="210"/>
      <c r="E4549" s="210"/>
      <c r="F4549" s="210"/>
      <c r="G4549" s="210"/>
      <c r="H4549" s="210"/>
    </row>
    <row r="4550" spans="3:8" x14ac:dyDescent="0.25">
      <c r="C4550" s="210"/>
      <c r="D4550" s="210"/>
      <c r="E4550" s="210"/>
      <c r="F4550" s="210"/>
      <c r="G4550" s="210"/>
      <c r="H4550" s="210"/>
    </row>
    <row r="4551" spans="3:8" x14ac:dyDescent="0.25">
      <c r="C4551" s="210"/>
      <c r="D4551" s="210"/>
      <c r="E4551" s="210"/>
      <c r="F4551" s="210"/>
      <c r="G4551" s="210"/>
      <c r="H4551" s="210"/>
    </row>
    <row r="4552" spans="3:8" x14ac:dyDescent="0.25">
      <c r="C4552" s="210"/>
      <c r="D4552" s="210"/>
      <c r="E4552" s="210"/>
      <c r="F4552" s="210"/>
      <c r="G4552" s="210"/>
      <c r="H4552" s="210"/>
    </row>
    <row r="4553" spans="3:8" x14ac:dyDescent="0.25">
      <c r="C4553" s="210"/>
      <c r="D4553" s="210"/>
      <c r="E4553" s="210"/>
      <c r="F4553" s="210"/>
      <c r="G4553" s="210"/>
      <c r="H4553" s="210"/>
    </row>
    <row r="4554" spans="3:8" x14ac:dyDescent="0.25">
      <c r="C4554" s="210"/>
      <c r="D4554" s="210"/>
      <c r="E4554" s="210"/>
      <c r="F4554" s="210"/>
      <c r="G4554" s="210"/>
      <c r="H4554" s="210"/>
    </row>
    <row r="4555" spans="3:8" x14ac:dyDescent="0.25">
      <c r="C4555" s="210"/>
      <c r="D4555" s="210"/>
      <c r="E4555" s="210"/>
      <c r="F4555" s="210"/>
      <c r="G4555" s="210"/>
      <c r="H4555" s="210"/>
    </row>
    <row r="4556" spans="3:8" x14ac:dyDescent="0.25">
      <c r="C4556" s="210"/>
      <c r="D4556" s="210"/>
      <c r="E4556" s="210"/>
      <c r="F4556" s="210"/>
      <c r="G4556" s="210"/>
      <c r="H4556" s="210"/>
    </row>
    <row r="4557" spans="3:8" x14ac:dyDescent="0.25">
      <c r="C4557" s="210"/>
      <c r="D4557" s="210"/>
      <c r="E4557" s="210"/>
      <c r="F4557" s="210"/>
      <c r="G4557" s="210"/>
      <c r="H4557" s="210"/>
    </row>
    <row r="4558" spans="3:8" x14ac:dyDescent="0.25">
      <c r="C4558" s="210"/>
      <c r="D4558" s="210"/>
      <c r="E4558" s="210"/>
      <c r="F4558" s="210"/>
      <c r="G4558" s="210"/>
      <c r="H4558" s="210"/>
    </row>
    <row r="4559" spans="3:8" x14ac:dyDescent="0.25">
      <c r="C4559" s="210"/>
      <c r="D4559" s="210"/>
      <c r="E4559" s="210"/>
      <c r="F4559" s="210"/>
      <c r="G4559" s="210"/>
      <c r="H4559" s="210"/>
    </row>
    <row r="4560" spans="3:8" x14ac:dyDescent="0.25">
      <c r="C4560" s="210"/>
      <c r="D4560" s="210"/>
      <c r="E4560" s="210"/>
      <c r="F4560" s="210"/>
      <c r="G4560" s="210"/>
      <c r="H4560" s="210"/>
    </row>
    <row r="4561" spans="3:8" x14ac:dyDescent="0.25">
      <c r="C4561" s="210"/>
      <c r="D4561" s="210"/>
      <c r="E4561" s="210"/>
      <c r="F4561" s="210"/>
      <c r="G4561" s="210"/>
      <c r="H4561" s="210"/>
    </row>
    <row r="4562" spans="3:8" x14ac:dyDescent="0.25">
      <c r="C4562" s="210"/>
      <c r="D4562" s="210"/>
      <c r="E4562" s="210"/>
      <c r="F4562" s="210"/>
      <c r="G4562" s="210"/>
      <c r="H4562" s="210"/>
    </row>
    <row r="4563" spans="3:8" x14ac:dyDescent="0.25">
      <c r="C4563" s="210"/>
      <c r="D4563" s="210"/>
      <c r="E4563" s="210"/>
      <c r="F4563" s="210"/>
      <c r="G4563" s="210"/>
      <c r="H4563" s="210"/>
    </row>
    <row r="4564" spans="3:8" x14ac:dyDescent="0.25">
      <c r="C4564" s="210"/>
      <c r="D4564" s="210"/>
      <c r="E4564" s="210"/>
      <c r="F4564" s="210"/>
      <c r="G4564" s="210"/>
      <c r="H4564" s="210"/>
    </row>
    <row r="4565" spans="3:8" x14ac:dyDescent="0.25">
      <c r="C4565" s="210"/>
      <c r="D4565" s="210"/>
      <c r="E4565" s="210"/>
      <c r="F4565" s="210"/>
      <c r="G4565" s="210"/>
      <c r="H4565" s="210"/>
    </row>
    <row r="4566" spans="3:8" x14ac:dyDescent="0.25">
      <c r="C4566" s="210"/>
      <c r="D4566" s="210"/>
      <c r="E4566" s="210"/>
      <c r="F4566" s="210"/>
      <c r="G4566" s="210"/>
      <c r="H4566" s="210"/>
    </row>
    <row r="4567" spans="3:8" x14ac:dyDescent="0.25">
      <c r="C4567" s="210"/>
      <c r="D4567" s="210"/>
      <c r="E4567" s="210"/>
      <c r="F4567" s="210"/>
      <c r="G4567" s="210"/>
      <c r="H4567" s="210"/>
    </row>
    <row r="4568" spans="3:8" x14ac:dyDescent="0.25">
      <c r="C4568" s="210"/>
      <c r="D4568" s="210"/>
      <c r="E4568" s="210"/>
      <c r="F4568" s="210"/>
      <c r="G4568" s="210"/>
      <c r="H4568" s="210"/>
    </row>
    <row r="4569" spans="3:8" x14ac:dyDescent="0.25">
      <c r="C4569" s="210"/>
      <c r="D4569" s="210"/>
      <c r="E4569" s="210"/>
      <c r="F4569" s="210"/>
      <c r="G4569" s="210"/>
      <c r="H4569" s="210"/>
    </row>
    <row r="4570" spans="3:8" x14ac:dyDescent="0.25">
      <c r="C4570" s="210"/>
      <c r="D4570" s="210"/>
      <c r="E4570" s="210"/>
      <c r="F4570" s="210"/>
      <c r="G4570" s="210"/>
      <c r="H4570" s="210"/>
    </row>
    <row r="4571" spans="3:8" x14ac:dyDescent="0.25">
      <c r="C4571" s="210"/>
      <c r="D4571" s="210"/>
      <c r="E4571" s="210"/>
      <c r="F4571" s="210"/>
      <c r="G4571" s="210"/>
      <c r="H4571" s="210"/>
    </row>
    <row r="4572" spans="3:8" x14ac:dyDescent="0.25">
      <c r="C4572" s="210"/>
      <c r="D4572" s="210"/>
      <c r="E4572" s="210"/>
      <c r="F4572" s="210"/>
      <c r="G4572" s="210"/>
      <c r="H4572" s="210"/>
    </row>
    <row r="4573" spans="3:8" x14ac:dyDescent="0.25">
      <c r="C4573" s="210"/>
      <c r="D4573" s="210"/>
      <c r="E4573" s="210"/>
      <c r="F4573" s="210"/>
      <c r="G4573" s="210"/>
      <c r="H4573" s="210"/>
    </row>
    <row r="4574" spans="3:8" x14ac:dyDescent="0.25">
      <c r="C4574" s="210"/>
      <c r="D4574" s="210"/>
      <c r="E4574" s="210"/>
      <c r="F4574" s="210"/>
      <c r="G4574" s="210"/>
      <c r="H4574" s="210"/>
    </row>
    <row r="4575" spans="3:8" x14ac:dyDescent="0.25">
      <c r="C4575" s="210"/>
      <c r="D4575" s="210"/>
      <c r="E4575" s="210"/>
      <c r="F4575" s="210"/>
      <c r="G4575" s="210"/>
      <c r="H4575" s="210"/>
    </row>
    <row r="4576" spans="3:8" x14ac:dyDescent="0.25">
      <c r="C4576" s="210"/>
      <c r="D4576" s="210"/>
      <c r="E4576" s="210"/>
      <c r="F4576" s="210"/>
      <c r="G4576" s="210"/>
      <c r="H4576" s="210"/>
    </row>
    <row r="4577" spans="3:8" x14ac:dyDescent="0.25">
      <c r="C4577" s="210"/>
      <c r="D4577" s="210"/>
      <c r="E4577" s="210"/>
      <c r="F4577" s="210"/>
      <c r="G4577" s="210"/>
      <c r="H4577" s="210"/>
    </row>
    <row r="4578" spans="3:8" x14ac:dyDescent="0.25">
      <c r="C4578" s="210"/>
      <c r="D4578" s="210"/>
      <c r="E4578" s="210"/>
      <c r="F4578" s="210"/>
      <c r="G4578" s="210"/>
      <c r="H4578" s="210"/>
    </row>
    <row r="4579" spans="3:8" x14ac:dyDescent="0.25">
      <c r="C4579" s="210"/>
      <c r="D4579" s="210"/>
      <c r="E4579" s="210"/>
      <c r="F4579" s="210"/>
      <c r="G4579" s="210"/>
      <c r="H4579" s="210"/>
    </row>
    <row r="4580" spans="3:8" x14ac:dyDescent="0.25">
      <c r="C4580" s="210"/>
      <c r="D4580" s="210"/>
      <c r="E4580" s="210"/>
      <c r="F4580" s="210"/>
      <c r="G4580" s="210"/>
      <c r="H4580" s="210"/>
    </row>
    <row r="4581" spans="3:8" x14ac:dyDescent="0.25">
      <c r="C4581" s="210"/>
      <c r="D4581" s="210"/>
      <c r="E4581" s="210"/>
      <c r="F4581" s="210"/>
      <c r="G4581" s="210"/>
      <c r="H4581" s="210"/>
    </row>
    <row r="4582" spans="3:8" x14ac:dyDescent="0.25">
      <c r="C4582" s="210"/>
      <c r="D4582" s="210"/>
      <c r="E4582" s="210"/>
      <c r="F4582" s="210"/>
      <c r="G4582" s="210"/>
      <c r="H4582" s="210"/>
    </row>
    <row r="4583" spans="3:8" x14ac:dyDescent="0.25">
      <c r="C4583" s="210"/>
      <c r="D4583" s="210"/>
      <c r="E4583" s="210"/>
      <c r="F4583" s="210"/>
      <c r="G4583" s="210"/>
      <c r="H4583" s="210"/>
    </row>
    <row r="4584" spans="3:8" x14ac:dyDescent="0.25">
      <c r="C4584" s="210"/>
      <c r="D4584" s="210"/>
      <c r="E4584" s="210"/>
      <c r="F4584" s="210"/>
      <c r="G4584" s="210"/>
      <c r="H4584" s="210"/>
    </row>
    <row r="4585" spans="3:8" x14ac:dyDescent="0.25">
      <c r="C4585" s="210"/>
      <c r="D4585" s="210"/>
      <c r="E4585" s="210"/>
      <c r="F4585" s="210"/>
      <c r="G4585" s="210"/>
      <c r="H4585" s="210"/>
    </row>
    <row r="4586" spans="3:8" x14ac:dyDescent="0.25">
      <c r="C4586" s="210"/>
      <c r="D4586" s="210"/>
      <c r="E4586" s="210"/>
      <c r="F4586" s="210"/>
      <c r="G4586" s="210"/>
      <c r="H4586" s="210"/>
    </row>
    <row r="4587" spans="3:8" x14ac:dyDescent="0.25">
      <c r="C4587" s="210"/>
      <c r="D4587" s="210"/>
      <c r="E4587" s="210"/>
      <c r="F4587" s="210"/>
      <c r="G4587" s="210"/>
      <c r="H4587" s="210"/>
    </row>
    <row r="4588" spans="3:8" x14ac:dyDescent="0.25">
      <c r="C4588" s="210"/>
      <c r="D4588" s="210"/>
      <c r="E4588" s="210"/>
      <c r="F4588" s="210"/>
      <c r="G4588" s="210"/>
      <c r="H4588" s="210"/>
    </row>
    <row r="4589" spans="3:8" x14ac:dyDescent="0.25">
      <c r="C4589" s="210"/>
      <c r="D4589" s="210"/>
      <c r="E4589" s="210"/>
      <c r="F4589" s="210"/>
      <c r="G4589" s="210"/>
      <c r="H4589" s="210"/>
    </row>
    <row r="4590" spans="3:8" x14ac:dyDescent="0.25">
      <c r="C4590" s="210"/>
      <c r="D4590" s="210"/>
      <c r="E4590" s="210"/>
      <c r="F4590" s="210"/>
      <c r="G4590" s="210"/>
      <c r="H4590" s="210"/>
    </row>
    <row r="4591" spans="3:8" x14ac:dyDescent="0.25">
      <c r="C4591" s="210"/>
      <c r="D4591" s="210"/>
      <c r="E4591" s="210"/>
      <c r="F4591" s="210"/>
      <c r="G4591" s="210"/>
      <c r="H4591" s="210"/>
    </row>
    <row r="4592" spans="3:8" x14ac:dyDescent="0.25">
      <c r="C4592" s="210"/>
      <c r="D4592" s="210"/>
      <c r="E4592" s="210"/>
      <c r="F4592" s="210"/>
      <c r="G4592" s="210"/>
      <c r="H4592" s="210"/>
    </row>
    <row r="4593" spans="3:8" x14ac:dyDescent="0.25">
      <c r="C4593" s="210"/>
      <c r="D4593" s="210"/>
      <c r="E4593" s="210"/>
      <c r="F4593" s="210"/>
      <c r="G4593" s="210"/>
      <c r="H4593" s="210"/>
    </row>
    <row r="4594" spans="3:8" x14ac:dyDescent="0.25">
      <c r="C4594" s="210"/>
      <c r="D4594" s="210"/>
      <c r="E4594" s="210"/>
      <c r="F4594" s="210"/>
      <c r="G4594" s="210"/>
      <c r="H4594" s="210"/>
    </row>
    <row r="4595" spans="3:8" x14ac:dyDescent="0.25">
      <c r="C4595" s="210"/>
      <c r="D4595" s="210"/>
      <c r="E4595" s="210"/>
      <c r="F4595" s="210"/>
      <c r="G4595" s="210"/>
      <c r="H4595" s="210"/>
    </row>
    <row r="4596" spans="3:8" x14ac:dyDescent="0.25">
      <c r="C4596" s="210"/>
      <c r="D4596" s="210"/>
      <c r="E4596" s="210"/>
      <c r="F4596" s="210"/>
      <c r="G4596" s="210"/>
      <c r="H4596" s="210"/>
    </row>
    <row r="4597" spans="3:8" x14ac:dyDescent="0.25">
      <c r="C4597" s="210"/>
      <c r="D4597" s="210"/>
      <c r="E4597" s="210"/>
      <c r="F4597" s="210"/>
      <c r="G4597" s="210"/>
      <c r="H4597" s="210"/>
    </row>
    <row r="4598" spans="3:8" x14ac:dyDescent="0.25">
      <c r="C4598" s="210"/>
      <c r="D4598" s="210"/>
      <c r="E4598" s="210"/>
      <c r="F4598" s="210"/>
      <c r="G4598" s="210"/>
      <c r="H4598" s="210"/>
    </row>
    <row r="4599" spans="3:8" x14ac:dyDescent="0.25">
      <c r="C4599" s="210"/>
      <c r="D4599" s="210"/>
      <c r="E4599" s="210"/>
      <c r="F4599" s="210"/>
      <c r="G4599" s="210"/>
      <c r="H4599" s="210"/>
    </row>
    <row r="4600" spans="3:8" x14ac:dyDescent="0.25">
      <c r="C4600" s="210"/>
      <c r="D4600" s="210"/>
      <c r="E4600" s="210"/>
      <c r="F4600" s="210"/>
      <c r="G4600" s="210"/>
      <c r="H4600" s="210"/>
    </row>
    <row r="4601" spans="3:8" x14ac:dyDescent="0.25">
      <c r="C4601" s="210"/>
      <c r="D4601" s="210"/>
      <c r="E4601" s="210"/>
      <c r="F4601" s="210"/>
      <c r="G4601" s="210"/>
      <c r="H4601" s="210"/>
    </row>
    <row r="4602" spans="3:8" x14ac:dyDescent="0.25">
      <c r="C4602" s="210"/>
      <c r="D4602" s="210"/>
      <c r="E4602" s="210"/>
      <c r="F4602" s="210"/>
      <c r="G4602" s="210"/>
      <c r="H4602" s="210"/>
    </row>
    <row r="4603" spans="3:8" x14ac:dyDescent="0.25">
      <c r="C4603" s="210"/>
      <c r="D4603" s="210"/>
      <c r="E4603" s="210"/>
      <c r="F4603" s="210"/>
      <c r="G4603" s="210"/>
      <c r="H4603" s="210"/>
    </row>
    <row r="4604" spans="3:8" x14ac:dyDescent="0.25">
      <c r="C4604" s="210"/>
      <c r="D4604" s="210"/>
      <c r="E4604" s="210"/>
      <c r="F4604" s="210"/>
      <c r="G4604" s="210"/>
      <c r="H4604" s="210"/>
    </row>
    <row r="4605" spans="3:8" x14ac:dyDescent="0.25">
      <c r="C4605" s="210"/>
      <c r="D4605" s="210"/>
      <c r="E4605" s="210"/>
      <c r="F4605" s="210"/>
      <c r="G4605" s="210"/>
      <c r="H4605" s="210"/>
    </row>
    <row r="4606" spans="3:8" x14ac:dyDescent="0.25">
      <c r="C4606" s="210"/>
      <c r="D4606" s="210"/>
      <c r="E4606" s="210"/>
      <c r="F4606" s="210"/>
      <c r="G4606" s="210"/>
      <c r="H4606" s="210"/>
    </row>
    <row r="4607" spans="3:8" x14ac:dyDescent="0.25">
      <c r="C4607" s="210"/>
      <c r="D4607" s="210"/>
      <c r="E4607" s="210"/>
      <c r="F4607" s="210"/>
      <c r="G4607" s="210"/>
      <c r="H4607" s="210"/>
    </row>
    <row r="4608" spans="3:8" x14ac:dyDescent="0.25">
      <c r="C4608" s="210"/>
      <c r="D4608" s="210"/>
      <c r="E4608" s="210"/>
      <c r="F4608" s="210"/>
      <c r="G4608" s="210"/>
      <c r="H4608" s="210"/>
    </row>
    <row r="4609" spans="3:8" x14ac:dyDescent="0.25">
      <c r="C4609" s="210"/>
      <c r="D4609" s="210"/>
      <c r="E4609" s="210"/>
      <c r="F4609" s="210"/>
      <c r="G4609" s="210"/>
      <c r="H4609" s="210"/>
    </row>
    <row r="4610" spans="3:8" x14ac:dyDescent="0.25">
      <c r="C4610" s="210"/>
      <c r="D4610" s="210"/>
      <c r="E4610" s="210"/>
      <c r="F4610" s="210"/>
      <c r="G4610" s="210"/>
      <c r="H4610" s="210"/>
    </row>
    <row r="4611" spans="3:8" x14ac:dyDescent="0.25">
      <c r="C4611" s="210"/>
      <c r="D4611" s="210"/>
      <c r="E4611" s="210"/>
      <c r="F4611" s="210"/>
      <c r="G4611" s="210"/>
      <c r="H4611" s="210"/>
    </row>
    <row r="4612" spans="3:8" x14ac:dyDescent="0.25">
      <c r="C4612" s="210"/>
      <c r="D4612" s="210"/>
      <c r="E4612" s="210"/>
      <c r="F4612" s="210"/>
      <c r="G4612" s="210"/>
      <c r="H4612" s="210"/>
    </row>
    <row r="4613" spans="3:8" x14ac:dyDescent="0.25">
      <c r="C4613" s="210"/>
      <c r="D4613" s="210"/>
      <c r="E4613" s="210"/>
      <c r="F4613" s="210"/>
      <c r="G4613" s="210"/>
      <c r="H4613" s="210"/>
    </row>
    <row r="4614" spans="3:8" x14ac:dyDescent="0.25">
      <c r="C4614" s="210"/>
      <c r="D4614" s="210"/>
      <c r="E4614" s="210"/>
      <c r="F4614" s="210"/>
      <c r="G4614" s="210"/>
      <c r="H4614" s="210"/>
    </row>
    <row r="4615" spans="3:8" x14ac:dyDescent="0.25">
      <c r="C4615" s="210"/>
      <c r="D4615" s="210"/>
      <c r="E4615" s="210"/>
      <c r="F4615" s="210"/>
      <c r="G4615" s="210"/>
      <c r="H4615" s="210"/>
    </row>
    <row r="4616" spans="3:8" x14ac:dyDescent="0.25">
      <c r="C4616" s="210"/>
      <c r="D4616" s="210"/>
      <c r="E4616" s="210"/>
      <c r="F4616" s="210"/>
      <c r="G4616" s="210"/>
      <c r="H4616" s="210"/>
    </row>
    <row r="4617" spans="3:8" x14ac:dyDescent="0.25">
      <c r="C4617" s="210"/>
      <c r="D4617" s="210"/>
      <c r="E4617" s="210"/>
      <c r="F4617" s="210"/>
      <c r="G4617" s="210"/>
      <c r="H4617" s="210"/>
    </row>
    <row r="4618" spans="3:8" x14ac:dyDescent="0.25">
      <c r="C4618" s="210"/>
      <c r="D4618" s="210"/>
      <c r="E4618" s="210"/>
      <c r="F4618" s="210"/>
      <c r="G4618" s="210"/>
      <c r="H4618" s="210"/>
    </row>
    <row r="4619" spans="3:8" x14ac:dyDescent="0.25">
      <c r="C4619" s="210"/>
      <c r="D4619" s="210"/>
      <c r="E4619" s="210"/>
      <c r="F4619" s="210"/>
      <c r="G4619" s="210"/>
      <c r="H4619" s="210"/>
    </row>
    <row r="4620" spans="3:8" x14ac:dyDescent="0.25">
      <c r="C4620" s="210"/>
      <c r="D4620" s="210"/>
      <c r="E4620" s="210"/>
      <c r="F4620" s="210"/>
      <c r="G4620" s="210"/>
      <c r="H4620" s="210"/>
    </row>
    <row r="4621" spans="3:8" x14ac:dyDescent="0.25">
      <c r="C4621" s="210"/>
      <c r="D4621" s="210"/>
      <c r="E4621" s="210"/>
      <c r="F4621" s="210"/>
      <c r="G4621" s="210"/>
      <c r="H4621" s="210"/>
    </row>
    <row r="4622" spans="3:8" x14ac:dyDescent="0.25">
      <c r="C4622" s="210"/>
      <c r="D4622" s="210"/>
      <c r="E4622" s="210"/>
      <c r="F4622" s="210"/>
      <c r="G4622" s="210"/>
      <c r="H4622" s="210"/>
    </row>
    <row r="4623" spans="3:8" x14ac:dyDescent="0.25">
      <c r="C4623" s="210"/>
      <c r="D4623" s="210"/>
      <c r="E4623" s="210"/>
      <c r="F4623" s="210"/>
      <c r="G4623" s="210"/>
      <c r="H4623" s="210"/>
    </row>
    <row r="4624" spans="3:8" x14ac:dyDescent="0.25">
      <c r="C4624" s="210"/>
      <c r="D4624" s="210"/>
      <c r="E4624" s="210"/>
      <c r="F4624" s="210"/>
      <c r="G4624" s="210"/>
      <c r="H4624" s="210"/>
    </row>
    <row r="4625" spans="3:8" x14ac:dyDescent="0.25">
      <c r="C4625" s="210"/>
      <c r="D4625" s="210"/>
      <c r="E4625" s="210"/>
      <c r="F4625" s="210"/>
      <c r="G4625" s="210"/>
      <c r="H4625" s="210"/>
    </row>
    <row r="4626" spans="3:8" x14ac:dyDescent="0.25">
      <c r="C4626" s="210"/>
      <c r="D4626" s="210"/>
      <c r="E4626" s="210"/>
      <c r="F4626" s="210"/>
      <c r="G4626" s="210"/>
      <c r="H4626" s="210"/>
    </row>
    <row r="4627" spans="3:8" x14ac:dyDescent="0.25">
      <c r="C4627" s="210"/>
      <c r="D4627" s="210"/>
      <c r="E4627" s="210"/>
      <c r="F4627" s="210"/>
      <c r="G4627" s="210"/>
      <c r="H4627" s="210"/>
    </row>
    <row r="4628" spans="3:8" x14ac:dyDescent="0.25">
      <c r="C4628" s="210"/>
      <c r="D4628" s="210"/>
      <c r="E4628" s="210"/>
      <c r="F4628" s="210"/>
      <c r="G4628" s="210"/>
      <c r="H4628" s="210"/>
    </row>
    <row r="4629" spans="3:8" x14ac:dyDescent="0.25">
      <c r="C4629" s="210"/>
      <c r="D4629" s="210"/>
      <c r="E4629" s="210"/>
      <c r="F4629" s="210"/>
      <c r="G4629" s="210"/>
      <c r="H4629" s="210"/>
    </row>
    <row r="4630" spans="3:8" x14ac:dyDescent="0.25">
      <c r="C4630" s="210"/>
      <c r="D4630" s="210"/>
      <c r="E4630" s="210"/>
      <c r="F4630" s="210"/>
      <c r="G4630" s="210"/>
      <c r="H4630" s="210"/>
    </row>
    <row r="4631" spans="3:8" x14ac:dyDescent="0.25">
      <c r="C4631" s="210"/>
      <c r="D4631" s="210"/>
      <c r="E4631" s="210"/>
      <c r="F4631" s="210"/>
      <c r="G4631" s="210"/>
      <c r="H4631" s="210"/>
    </row>
    <row r="4632" spans="3:8" x14ac:dyDescent="0.25">
      <c r="C4632" s="210"/>
      <c r="D4632" s="210"/>
      <c r="E4632" s="210"/>
      <c r="F4632" s="210"/>
      <c r="G4632" s="210"/>
      <c r="H4632" s="210"/>
    </row>
    <row r="4633" spans="3:8" x14ac:dyDescent="0.25">
      <c r="C4633" s="210"/>
      <c r="D4633" s="210"/>
      <c r="E4633" s="210"/>
      <c r="F4633" s="210"/>
      <c r="G4633" s="210"/>
      <c r="H4633" s="210"/>
    </row>
    <row r="4634" spans="3:8" x14ac:dyDescent="0.25">
      <c r="C4634" s="210"/>
      <c r="D4634" s="210"/>
      <c r="E4634" s="210"/>
      <c r="F4634" s="210"/>
      <c r="G4634" s="210"/>
      <c r="H4634" s="210"/>
    </row>
    <row r="4635" spans="3:8" x14ac:dyDescent="0.25">
      <c r="C4635" s="210"/>
      <c r="D4635" s="210"/>
      <c r="E4635" s="210"/>
      <c r="F4635" s="210"/>
      <c r="G4635" s="210"/>
      <c r="H4635" s="210"/>
    </row>
    <row r="4636" spans="3:8" x14ac:dyDescent="0.25">
      <c r="C4636" s="210"/>
      <c r="D4636" s="210"/>
      <c r="E4636" s="210"/>
      <c r="F4636" s="210"/>
      <c r="G4636" s="210"/>
      <c r="H4636" s="210"/>
    </row>
    <row r="4637" spans="3:8" x14ac:dyDescent="0.25">
      <c r="C4637" s="210"/>
      <c r="D4637" s="210"/>
      <c r="E4637" s="210"/>
      <c r="F4637" s="210"/>
      <c r="G4637" s="210"/>
      <c r="H4637" s="210"/>
    </row>
    <row r="4638" spans="3:8" x14ac:dyDescent="0.25">
      <c r="C4638" s="210"/>
      <c r="D4638" s="210"/>
      <c r="E4638" s="210"/>
      <c r="F4638" s="210"/>
      <c r="G4638" s="210"/>
      <c r="H4638" s="210"/>
    </row>
    <row r="4639" spans="3:8" x14ac:dyDescent="0.25">
      <c r="C4639" s="210"/>
      <c r="D4639" s="210"/>
      <c r="E4639" s="210"/>
      <c r="F4639" s="210"/>
      <c r="G4639" s="210"/>
      <c r="H4639" s="210"/>
    </row>
    <row r="4640" spans="3:8" x14ac:dyDescent="0.25">
      <c r="C4640" s="210"/>
      <c r="D4640" s="210"/>
      <c r="E4640" s="210"/>
      <c r="F4640" s="210"/>
      <c r="G4640" s="210"/>
      <c r="H4640" s="210"/>
    </row>
    <row r="4641" spans="3:8" x14ac:dyDescent="0.25">
      <c r="C4641" s="210"/>
      <c r="D4641" s="210"/>
      <c r="E4641" s="210"/>
      <c r="F4641" s="210"/>
      <c r="G4641" s="210"/>
      <c r="H4641" s="210"/>
    </row>
    <row r="4642" spans="3:8" x14ac:dyDescent="0.25">
      <c r="C4642" s="210"/>
      <c r="D4642" s="210"/>
      <c r="E4642" s="210"/>
      <c r="F4642" s="210"/>
      <c r="G4642" s="210"/>
      <c r="H4642" s="210"/>
    </row>
    <row r="4643" spans="3:8" x14ac:dyDescent="0.25">
      <c r="C4643" s="210"/>
      <c r="D4643" s="210"/>
      <c r="E4643" s="210"/>
      <c r="F4643" s="210"/>
      <c r="G4643" s="210"/>
      <c r="H4643" s="210"/>
    </row>
    <row r="4644" spans="3:8" x14ac:dyDescent="0.25">
      <c r="C4644" s="210"/>
      <c r="D4644" s="210"/>
      <c r="E4644" s="210"/>
      <c r="F4644" s="210"/>
      <c r="G4644" s="210"/>
      <c r="H4644" s="210"/>
    </row>
    <row r="4645" spans="3:8" x14ac:dyDescent="0.25">
      <c r="C4645" s="210"/>
      <c r="D4645" s="210"/>
      <c r="E4645" s="210"/>
      <c r="F4645" s="210"/>
      <c r="G4645" s="210"/>
      <c r="H4645" s="210"/>
    </row>
    <row r="4646" spans="3:8" x14ac:dyDescent="0.25">
      <c r="C4646" s="210"/>
      <c r="D4646" s="210"/>
      <c r="E4646" s="210"/>
      <c r="F4646" s="210"/>
      <c r="G4646" s="210"/>
      <c r="H4646" s="210"/>
    </row>
    <row r="4647" spans="3:8" x14ac:dyDescent="0.25">
      <c r="C4647" s="210"/>
      <c r="D4647" s="210"/>
      <c r="E4647" s="210"/>
      <c r="F4647" s="210"/>
      <c r="G4647" s="210"/>
      <c r="H4647" s="210"/>
    </row>
    <row r="4648" spans="3:8" x14ac:dyDescent="0.25">
      <c r="C4648" s="210"/>
      <c r="D4648" s="210"/>
      <c r="E4648" s="210"/>
      <c r="F4648" s="210"/>
      <c r="G4648" s="210"/>
      <c r="H4648" s="210"/>
    </row>
    <row r="4649" spans="3:8" x14ac:dyDescent="0.25">
      <c r="C4649" s="210"/>
      <c r="D4649" s="210"/>
      <c r="E4649" s="210"/>
      <c r="F4649" s="210"/>
      <c r="G4649" s="210"/>
      <c r="H4649" s="210"/>
    </row>
    <row r="4650" spans="3:8" x14ac:dyDescent="0.25">
      <c r="C4650" s="210"/>
      <c r="D4650" s="210"/>
      <c r="E4650" s="210"/>
      <c r="F4650" s="210"/>
      <c r="G4650" s="210"/>
      <c r="H4650" s="210"/>
    </row>
    <row r="4651" spans="3:8" x14ac:dyDescent="0.25">
      <c r="C4651" s="210"/>
      <c r="D4651" s="210"/>
      <c r="E4651" s="210"/>
      <c r="F4651" s="210"/>
      <c r="G4651" s="210"/>
      <c r="H4651" s="210"/>
    </row>
    <row r="4652" spans="3:8" x14ac:dyDescent="0.25">
      <c r="C4652" s="210"/>
      <c r="D4652" s="210"/>
      <c r="E4652" s="210"/>
      <c r="F4652" s="210"/>
      <c r="G4652" s="210"/>
      <c r="H4652" s="210"/>
    </row>
    <row r="4653" spans="3:8" x14ac:dyDescent="0.25">
      <c r="C4653" s="210"/>
      <c r="D4653" s="210"/>
      <c r="E4653" s="210"/>
      <c r="F4653" s="210"/>
      <c r="G4653" s="210"/>
      <c r="H4653" s="210"/>
    </row>
    <row r="4654" spans="3:8" x14ac:dyDescent="0.25">
      <c r="C4654" s="210"/>
      <c r="D4654" s="210"/>
      <c r="E4654" s="210"/>
      <c r="F4654" s="210"/>
      <c r="G4654" s="210"/>
      <c r="H4654" s="210"/>
    </row>
    <row r="4655" spans="3:8" x14ac:dyDescent="0.25">
      <c r="C4655" s="210"/>
      <c r="D4655" s="210"/>
      <c r="E4655" s="210"/>
      <c r="F4655" s="210"/>
      <c r="G4655" s="210"/>
      <c r="H4655" s="210"/>
    </row>
    <row r="4656" spans="3:8" x14ac:dyDescent="0.25">
      <c r="C4656" s="210"/>
      <c r="D4656" s="210"/>
      <c r="E4656" s="210"/>
      <c r="F4656" s="210"/>
      <c r="G4656" s="210"/>
      <c r="H4656" s="210"/>
    </row>
    <row r="4657" spans="3:8" x14ac:dyDescent="0.25">
      <c r="C4657" s="210"/>
      <c r="D4657" s="210"/>
      <c r="E4657" s="210"/>
      <c r="F4657" s="210"/>
      <c r="G4657" s="210"/>
      <c r="H4657" s="210"/>
    </row>
    <row r="4658" spans="3:8" x14ac:dyDescent="0.25">
      <c r="C4658" s="210"/>
      <c r="D4658" s="210"/>
      <c r="E4658" s="210"/>
      <c r="F4658" s="210"/>
      <c r="G4658" s="210"/>
      <c r="H4658" s="210"/>
    </row>
    <row r="4659" spans="3:8" x14ac:dyDescent="0.25">
      <c r="C4659" s="210"/>
      <c r="D4659" s="210"/>
      <c r="E4659" s="210"/>
      <c r="F4659" s="210"/>
      <c r="G4659" s="210"/>
      <c r="H4659" s="210"/>
    </row>
    <row r="4660" spans="3:8" x14ac:dyDescent="0.25">
      <c r="C4660" s="210"/>
      <c r="D4660" s="210"/>
      <c r="E4660" s="210"/>
      <c r="F4660" s="210"/>
      <c r="G4660" s="210"/>
      <c r="H4660" s="210"/>
    </row>
    <row r="4661" spans="3:8" x14ac:dyDescent="0.25">
      <c r="C4661" s="210"/>
      <c r="D4661" s="210"/>
      <c r="E4661" s="210"/>
      <c r="F4661" s="210"/>
      <c r="G4661" s="210"/>
      <c r="H4661" s="210"/>
    </row>
    <row r="4662" spans="3:8" x14ac:dyDescent="0.25">
      <c r="C4662" s="210"/>
      <c r="D4662" s="210"/>
      <c r="E4662" s="210"/>
      <c r="F4662" s="210"/>
      <c r="G4662" s="210"/>
      <c r="H4662" s="210"/>
    </row>
    <row r="4663" spans="3:8" x14ac:dyDescent="0.25">
      <c r="C4663" s="210"/>
      <c r="D4663" s="210"/>
      <c r="E4663" s="210"/>
      <c r="F4663" s="210"/>
      <c r="G4663" s="210"/>
      <c r="H4663" s="210"/>
    </row>
    <row r="4664" spans="3:8" x14ac:dyDescent="0.25">
      <c r="C4664" s="210"/>
      <c r="D4664" s="210"/>
      <c r="E4664" s="210"/>
      <c r="F4664" s="210"/>
      <c r="G4664" s="210"/>
      <c r="H4664" s="210"/>
    </row>
    <row r="4665" spans="3:8" x14ac:dyDescent="0.25">
      <c r="C4665" s="210"/>
      <c r="D4665" s="210"/>
      <c r="E4665" s="210"/>
      <c r="F4665" s="210"/>
      <c r="G4665" s="210"/>
      <c r="H4665" s="210"/>
    </row>
    <row r="4666" spans="3:8" x14ac:dyDescent="0.25">
      <c r="C4666" s="210"/>
      <c r="D4666" s="210"/>
      <c r="E4666" s="210"/>
      <c r="F4666" s="210"/>
      <c r="G4666" s="210"/>
      <c r="H4666" s="210"/>
    </row>
    <row r="4667" spans="3:8" x14ac:dyDescent="0.25">
      <c r="C4667" s="210"/>
      <c r="D4667" s="210"/>
      <c r="E4667" s="210"/>
      <c r="F4667" s="210"/>
      <c r="G4667" s="210"/>
      <c r="H4667" s="210"/>
    </row>
    <row r="4668" spans="3:8" x14ac:dyDescent="0.25">
      <c r="C4668" s="210"/>
      <c r="D4668" s="210"/>
      <c r="E4668" s="210"/>
      <c r="F4668" s="210"/>
      <c r="G4668" s="210"/>
      <c r="H4668" s="210"/>
    </row>
    <row r="4669" spans="3:8" x14ac:dyDescent="0.25">
      <c r="C4669" s="210"/>
      <c r="D4669" s="210"/>
      <c r="E4669" s="210"/>
      <c r="F4669" s="210"/>
      <c r="G4669" s="210"/>
      <c r="H4669" s="210"/>
    </row>
    <row r="4670" spans="3:8" x14ac:dyDescent="0.25">
      <c r="C4670" s="210"/>
      <c r="D4670" s="210"/>
      <c r="E4670" s="210"/>
      <c r="F4670" s="210"/>
      <c r="G4670" s="210"/>
      <c r="H4670" s="210"/>
    </row>
    <row r="4671" spans="3:8" x14ac:dyDescent="0.25">
      <c r="C4671" s="210"/>
      <c r="D4671" s="210"/>
      <c r="E4671" s="210"/>
      <c r="F4671" s="210"/>
      <c r="G4671" s="210"/>
      <c r="H4671" s="210"/>
    </row>
    <row r="4672" spans="3:8" x14ac:dyDescent="0.25">
      <c r="C4672" s="210"/>
      <c r="D4672" s="210"/>
      <c r="E4672" s="210"/>
      <c r="F4672" s="210"/>
      <c r="G4672" s="210"/>
      <c r="H4672" s="210"/>
    </row>
    <row r="4673" spans="3:8" x14ac:dyDescent="0.25">
      <c r="C4673" s="210"/>
      <c r="D4673" s="210"/>
      <c r="E4673" s="210"/>
      <c r="F4673" s="210"/>
      <c r="G4673" s="210"/>
      <c r="H4673" s="210"/>
    </row>
    <row r="4674" spans="3:8" x14ac:dyDescent="0.25">
      <c r="C4674" s="210"/>
      <c r="D4674" s="210"/>
      <c r="E4674" s="210"/>
      <c r="F4674" s="210"/>
      <c r="G4674" s="210"/>
      <c r="H4674" s="210"/>
    </row>
    <row r="4675" spans="3:8" x14ac:dyDescent="0.25">
      <c r="C4675" s="210"/>
      <c r="D4675" s="210"/>
      <c r="E4675" s="210"/>
      <c r="F4675" s="210"/>
      <c r="G4675" s="210"/>
      <c r="H4675" s="210"/>
    </row>
    <row r="4676" spans="3:8" x14ac:dyDescent="0.25">
      <c r="C4676" s="210"/>
      <c r="D4676" s="210"/>
      <c r="E4676" s="210"/>
      <c r="F4676" s="210"/>
      <c r="G4676" s="210"/>
      <c r="H4676" s="210"/>
    </row>
    <row r="4677" spans="3:8" x14ac:dyDescent="0.25">
      <c r="C4677" s="210"/>
      <c r="D4677" s="210"/>
      <c r="E4677" s="210"/>
      <c r="F4677" s="210"/>
      <c r="G4677" s="210"/>
      <c r="H4677" s="210"/>
    </row>
    <row r="4678" spans="3:8" x14ac:dyDescent="0.25">
      <c r="C4678" s="210"/>
      <c r="D4678" s="210"/>
      <c r="E4678" s="210"/>
      <c r="F4678" s="210"/>
      <c r="G4678" s="210"/>
      <c r="H4678" s="210"/>
    </row>
    <row r="4679" spans="3:8" x14ac:dyDescent="0.25">
      <c r="C4679" s="210"/>
      <c r="D4679" s="210"/>
      <c r="E4679" s="210"/>
      <c r="F4679" s="210"/>
      <c r="G4679" s="210"/>
      <c r="H4679" s="210"/>
    </row>
    <row r="4680" spans="3:8" x14ac:dyDescent="0.25">
      <c r="C4680" s="210"/>
      <c r="D4680" s="210"/>
      <c r="E4680" s="210"/>
      <c r="F4680" s="210"/>
      <c r="G4680" s="210"/>
      <c r="H4680" s="210"/>
    </row>
    <row r="4681" spans="3:8" x14ac:dyDescent="0.25">
      <c r="C4681" s="210"/>
      <c r="D4681" s="210"/>
      <c r="E4681" s="210"/>
      <c r="F4681" s="210"/>
      <c r="G4681" s="210"/>
      <c r="H4681" s="210"/>
    </row>
    <row r="4682" spans="3:8" x14ac:dyDescent="0.25">
      <c r="C4682" s="210"/>
      <c r="D4682" s="210"/>
      <c r="E4682" s="210"/>
      <c r="F4682" s="210"/>
      <c r="G4682" s="210"/>
      <c r="H4682" s="210"/>
    </row>
    <row r="4683" spans="3:8" x14ac:dyDescent="0.25">
      <c r="C4683" s="210"/>
      <c r="D4683" s="210"/>
      <c r="E4683" s="210"/>
      <c r="F4683" s="210"/>
      <c r="G4683" s="210"/>
      <c r="H4683" s="210"/>
    </row>
    <row r="4684" spans="3:8" x14ac:dyDescent="0.25">
      <c r="C4684" s="210"/>
      <c r="D4684" s="210"/>
      <c r="E4684" s="210"/>
      <c r="F4684" s="210"/>
      <c r="G4684" s="210"/>
      <c r="H4684" s="210"/>
    </row>
    <row r="4685" spans="3:8" x14ac:dyDescent="0.25">
      <c r="C4685" s="210"/>
      <c r="D4685" s="210"/>
      <c r="E4685" s="210"/>
      <c r="F4685" s="210"/>
      <c r="G4685" s="210"/>
      <c r="H4685" s="210"/>
    </row>
    <row r="4686" spans="3:8" x14ac:dyDescent="0.25">
      <c r="C4686" s="210"/>
      <c r="D4686" s="210"/>
      <c r="E4686" s="210"/>
      <c r="F4686" s="210"/>
      <c r="G4686" s="210"/>
      <c r="H4686" s="210"/>
    </row>
    <row r="4687" spans="3:8" x14ac:dyDescent="0.25">
      <c r="C4687" s="210"/>
      <c r="D4687" s="210"/>
      <c r="E4687" s="210"/>
      <c r="F4687" s="210"/>
      <c r="G4687" s="210"/>
      <c r="H4687" s="210"/>
    </row>
    <row r="4688" spans="3:8" x14ac:dyDescent="0.25">
      <c r="C4688" s="210"/>
      <c r="D4688" s="210"/>
      <c r="E4688" s="210"/>
      <c r="F4688" s="210"/>
      <c r="G4688" s="210"/>
      <c r="H4688" s="210"/>
    </row>
    <row r="4689" spans="3:8" x14ac:dyDescent="0.25">
      <c r="C4689" s="210"/>
      <c r="D4689" s="210"/>
      <c r="E4689" s="210"/>
      <c r="F4689" s="210"/>
      <c r="G4689" s="210"/>
      <c r="H4689" s="210"/>
    </row>
    <row r="4690" spans="3:8" x14ac:dyDescent="0.25">
      <c r="C4690" s="210"/>
      <c r="D4690" s="210"/>
      <c r="E4690" s="210"/>
      <c r="F4690" s="210"/>
      <c r="G4690" s="210"/>
      <c r="H4690" s="210"/>
    </row>
    <row r="4691" spans="3:8" x14ac:dyDescent="0.25">
      <c r="C4691" s="210"/>
      <c r="D4691" s="210"/>
      <c r="E4691" s="210"/>
      <c r="F4691" s="210"/>
      <c r="G4691" s="210"/>
      <c r="H4691" s="210"/>
    </row>
    <row r="4692" spans="3:8" x14ac:dyDescent="0.25">
      <c r="C4692" s="210"/>
      <c r="D4692" s="210"/>
      <c r="E4692" s="210"/>
      <c r="F4692" s="210"/>
      <c r="G4692" s="210"/>
      <c r="H4692" s="210"/>
    </row>
    <row r="4693" spans="3:8" x14ac:dyDescent="0.25">
      <c r="C4693" s="210"/>
      <c r="D4693" s="210"/>
      <c r="E4693" s="210"/>
      <c r="F4693" s="210"/>
      <c r="G4693" s="210"/>
      <c r="H4693" s="210"/>
    </row>
    <row r="4694" spans="3:8" x14ac:dyDescent="0.25">
      <c r="C4694" s="210"/>
      <c r="D4694" s="210"/>
      <c r="E4694" s="210"/>
      <c r="F4694" s="210"/>
      <c r="G4694" s="210"/>
      <c r="H4694" s="210"/>
    </row>
    <row r="4695" spans="3:8" x14ac:dyDescent="0.25">
      <c r="C4695" s="210"/>
      <c r="D4695" s="210"/>
      <c r="E4695" s="210"/>
      <c r="F4695" s="210"/>
      <c r="G4695" s="210"/>
      <c r="H4695" s="210"/>
    </row>
    <row r="4696" spans="3:8" x14ac:dyDescent="0.25">
      <c r="C4696" s="210"/>
      <c r="D4696" s="210"/>
      <c r="E4696" s="210"/>
      <c r="F4696" s="210"/>
      <c r="G4696" s="210"/>
      <c r="H4696" s="210"/>
    </row>
    <row r="4697" spans="3:8" x14ac:dyDescent="0.25">
      <c r="C4697" s="210"/>
      <c r="D4697" s="210"/>
      <c r="E4697" s="210"/>
      <c r="F4697" s="210"/>
      <c r="G4697" s="210"/>
      <c r="H4697" s="210"/>
    </row>
    <row r="4698" spans="3:8" x14ac:dyDescent="0.25">
      <c r="C4698" s="210"/>
      <c r="D4698" s="210"/>
      <c r="E4698" s="210"/>
      <c r="F4698" s="210"/>
      <c r="G4698" s="210"/>
      <c r="H4698" s="210"/>
    </row>
    <row r="4699" spans="3:8" x14ac:dyDescent="0.25">
      <c r="C4699" s="210"/>
      <c r="D4699" s="210"/>
      <c r="E4699" s="210"/>
      <c r="F4699" s="210"/>
      <c r="G4699" s="210"/>
      <c r="H4699" s="210"/>
    </row>
    <row r="4700" spans="3:8" x14ac:dyDescent="0.25">
      <c r="C4700" s="210"/>
      <c r="D4700" s="210"/>
      <c r="E4700" s="210"/>
      <c r="F4700" s="210"/>
      <c r="G4700" s="210"/>
      <c r="H4700" s="210"/>
    </row>
    <row r="4701" spans="3:8" x14ac:dyDescent="0.25">
      <c r="C4701" s="210"/>
      <c r="D4701" s="210"/>
      <c r="E4701" s="210"/>
      <c r="F4701" s="210"/>
      <c r="G4701" s="210"/>
      <c r="H4701" s="210"/>
    </row>
    <row r="4702" spans="3:8" x14ac:dyDescent="0.25">
      <c r="C4702" s="210"/>
      <c r="D4702" s="210"/>
      <c r="E4702" s="210"/>
      <c r="F4702" s="210"/>
      <c r="G4702" s="210"/>
      <c r="H4702" s="210"/>
    </row>
    <row r="4703" spans="3:8" x14ac:dyDescent="0.25">
      <c r="C4703" s="210"/>
      <c r="D4703" s="210"/>
      <c r="E4703" s="210"/>
      <c r="F4703" s="210"/>
      <c r="G4703" s="210"/>
      <c r="H4703" s="210"/>
    </row>
    <row r="4704" spans="3:8" x14ac:dyDescent="0.25">
      <c r="C4704" s="210"/>
      <c r="D4704" s="210"/>
      <c r="E4704" s="210"/>
      <c r="F4704" s="210"/>
      <c r="G4704" s="210"/>
      <c r="H4704" s="210"/>
    </row>
    <row r="4705" spans="3:8" x14ac:dyDescent="0.25">
      <c r="C4705" s="210"/>
      <c r="D4705" s="210"/>
      <c r="E4705" s="210"/>
      <c r="F4705" s="210"/>
      <c r="G4705" s="210"/>
      <c r="H4705" s="210"/>
    </row>
    <row r="4706" spans="3:8" x14ac:dyDescent="0.25">
      <c r="C4706" s="210"/>
      <c r="D4706" s="210"/>
      <c r="E4706" s="210"/>
      <c r="F4706" s="210"/>
      <c r="G4706" s="210"/>
      <c r="H4706" s="210"/>
    </row>
    <row r="4707" spans="3:8" x14ac:dyDescent="0.25">
      <c r="C4707" s="210"/>
      <c r="D4707" s="210"/>
      <c r="E4707" s="210"/>
      <c r="F4707" s="210"/>
      <c r="G4707" s="210"/>
      <c r="H4707" s="210"/>
    </row>
    <row r="4708" spans="3:8" x14ac:dyDescent="0.25">
      <c r="C4708" s="210"/>
      <c r="D4708" s="210"/>
      <c r="E4708" s="210"/>
      <c r="F4708" s="210"/>
      <c r="G4708" s="210"/>
      <c r="H4708" s="210"/>
    </row>
    <row r="4709" spans="3:8" x14ac:dyDescent="0.25">
      <c r="C4709" s="210"/>
      <c r="D4709" s="210"/>
      <c r="E4709" s="210"/>
      <c r="F4709" s="210"/>
      <c r="G4709" s="210"/>
      <c r="H4709" s="210"/>
    </row>
    <row r="4710" spans="3:8" x14ac:dyDescent="0.25">
      <c r="C4710" s="210"/>
      <c r="D4710" s="210"/>
      <c r="E4710" s="210"/>
      <c r="F4710" s="210"/>
      <c r="G4710" s="210"/>
      <c r="H4710" s="210"/>
    </row>
    <row r="4711" spans="3:8" x14ac:dyDescent="0.25">
      <c r="C4711" s="210"/>
      <c r="D4711" s="210"/>
      <c r="E4711" s="210"/>
      <c r="F4711" s="210"/>
      <c r="G4711" s="210"/>
      <c r="H4711" s="210"/>
    </row>
    <row r="4712" spans="3:8" x14ac:dyDescent="0.25">
      <c r="C4712" s="210"/>
      <c r="D4712" s="210"/>
      <c r="E4712" s="210"/>
      <c r="F4712" s="210"/>
      <c r="G4712" s="210"/>
      <c r="H4712" s="210"/>
    </row>
    <row r="4713" spans="3:8" x14ac:dyDescent="0.25">
      <c r="C4713" s="210"/>
      <c r="D4713" s="210"/>
      <c r="E4713" s="210"/>
      <c r="F4713" s="210"/>
      <c r="G4713" s="210"/>
      <c r="H4713" s="210"/>
    </row>
    <row r="4714" spans="3:8" x14ac:dyDescent="0.25">
      <c r="C4714" s="210"/>
      <c r="D4714" s="210"/>
      <c r="E4714" s="210"/>
      <c r="F4714" s="210"/>
      <c r="G4714" s="210"/>
      <c r="H4714" s="210"/>
    </row>
    <row r="4715" spans="3:8" x14ac:dyDescent="0.25">
      <c r="C4715" s="210"/>
      <c r="D4715" s="210"/>
      <c r="E4715" s="210"/>
      <c r="F4715" s="210"/>
      <c r="G4715" s="210"/>
      <c r="H4715" s="210"/>
    </row>
    <row r="4716" spans="3:8" x14ac:dyDescent="0.25">
      <c r="C4716" s="210"/>
      <c r="D4716" s="210"/>
      <c r="E4716" s="210"/>
      <c r="F4716" s="210"/>
      <c r="G4716" s="210"/>
      <c r="H4716" s="210"/>
    </row>
    <row r="4717" spans="3:8" x14ac:dyDescent="0.25">
      <c r="C4717" s="210"/>
      <c r="D4717" s="210"/>
      <c r="E4717" s="210"/>
      <c r="F4717" s="210"/>
      <c r="G4717" s="210"/>
      <c r="H4717" s="210"/>
    </row>
    <row r="4718" spans="3:8" x14ac:dyDescent="0.25">
      <c r="C4718" s="210"/>
      <c r="D4718" s="210"/>
      <c r="E4718" s="210"/>
      <c r="F4718" s="210"/>
      <c r="G4718" s="210"/>
      <c r="H4718" s="210"/>
    </row>
    <row r="4719" spans="3:8" x14ac:dyDescent="0.25">
      <c r="C4719" s="210"/>
      <c r="D4719" s="210"/>
      <c r="E4719" s="210"/>
      <c r="F4719" s="210"/>
      <c r="G4719" s="210"/>
      <c r="H4719" s="210"/>
    </row>
    <row r="4720" spans="3:8" x14ac:dyDescent="0.25">
      <c r="C4720" s="210"/>
      <c r="D4720" s="210"/>
      <c r="E4720" s="210"/>
      <c r="F4720" s="210"/>
      <c r="G4720" s="210"/>
      <c r="H4720" s="210"/>
    </row>
    <row r="4721" spans="3:8" x14ac:dyDescent="0.25">
      <c r="C4721" s="210"/>
      <c r="D4721" s="210"/>
      <c r="E4721" s="210"/>
      <c r="F4721" s="210"/>
      <c r="G4721" s="210"/>
      <c r="H4721" s="210"/>
    </row>
    <row r="4722" spans="3:8" x14ac:dyDescent="0.25">
      <c r="C4722" s="210"/>
      <c r="D4722" s="210"/>
      <c r="E4722" s="210"/>
      <c r="F4722" s="210"/>
      <c r="G4722" s="210"/>
      <c r="H4722" s="210"/>
    </row>
    <row r="4723" spans="3:8" x14ac:dyDescent="0.25">
      <c r="C4723" s="210"/>
      <c r="D4723" s="210"/>
      <c r="E4723" s="210"/>
      <c r="F4723" s="210"/>
      <c r="G4723" s="210"/>
      <c r="H4723" s="210"/>
    </row>
    <row r="4724" spans="3:8" x14ac:dyDescent="0.25">
      <c r="C4724" s="210"/>
      <c r="D4724" s="210"/>
      <c r="E4724" s="210"/>
      <c r="F4724" s="210"/>
      <c r="G4724" s="210"/>
      <c r="H4724" s="210"/>
    </row>
    <row r="4725" spans="3:8" x14ac:dyDescent="0.25">
      <c r="C4725" s="210"/>
      <c r="D4725" s="210"/>
      <c r="E4725" s="210"/>
      <c r="F4725" s="210"/>
      <c r="G4725" s="210"/>
      <c r="H4725" s="210"/>
    </row>
    <row r="4726" spans="3:8" x14ac:dyDescent="0.25">
      <c r="C4726" s="210"/>
      <c r="D4726" s="210"/>
      <c r="E4726" s="210"/>
      <c r="F4726" s="210"/>
      <c r="G4726" s="210"/>
      <c r="H4726" s="210"/>
    </row>
    <row r="4727" spans="3:8" x14ac:dyDescent="0.25">
      <c r="C4727" s="210"/>
      <c r="D4727" s="210"/>
      <c r="E4727" s="210"/>
      <c r="F4727" s="210"/>
      <c r="G4727" s="210"/>
      <c r="H4727" s="210"/>
    </row>
    <row r="4728" spans="3:8" x14ac:dyDescent="0.25">
      <c r="C4728" s="210"/>
      <c r="D4728" s="210"/>
      <c r="E4728" s="210"/>
      <c r="F4728" s="210"/>
      <c r="G4728" s="210"/>
      <c r="H4728" s="210"/>
    </row>
    <row r="4729" spans="3:8" x14ac:dyDescent="0.25">
      <c r="C4729" s="210"/>
      <c r="D4729" s="210"/>
      <c r="E4729" s="210"/>
      <c r="F4729" s="210"/>
      <c r="G4729" s="210"/>
      <c r="H4729" s="210"/>
    </row>
    <row r="4730" spans="3:8" x14ac:dyDescent="0.25">
      <c r="C4730" s="210"/>
      <c r="D4730" s="210"/>
      <c r="E4730" s="210"/>
      <c r="F4730" s="210"/>
      <c r="G4730" s="210"/>
      <c r="H4730" s="210"/>
    </row>
    <row r="4731" spans="3:8" x14ac:dyDescent="0.25">
      <c r="C4731" s="210"/>
      <c r="D4731" s="210"/>
      <c r="E4731" s="210"/>
      <c r="F4731" s="210"/>
      <c r="G4731" s="210"/>
      <c r="H4731" s="210"/>
    </row>
    <row r="4732" spans="3:8" x14ac:dyDescent="0.25">
      <c r="C4732" s="210"/>
      <c r="D4732" s="210"/>
      <c r="E4732" s="210"/>
      <c r="F4732" s="210"/>
      <c r="G4732" s="210"/>
      <c r="H4732" s="210"/>
    </row>
    <row r="4733" spans="3:8" x14ac:dyDescent="0.25">
      <c r="C4733" s="210"/>
      <c r="D4733" s="210"/>
      <c r="E4733" s="210"/>
      <c r="F4733" s="210"/>
      <c r="G4733" s="210"/>
      <c r="H4733" s="210"/>
    </row>
    <row r="4734" spans="3:8" x14ac:dyDescent="0.25">
      <c r="C4734" s="210"/>
      <c r="D4734" s="210"/>
      <c r="E4734" s="210"/>
      <c r="F4734" s="210"/>
      <c r="G4734" s="210"/>
      <c r="H4734" s="210"/>
    </row>
    <row r="4735" spans="3:8" x14ac:dyDescent="0.25">
      <c r="C4735" s="210"/>
      <c r="D4735" s="210"/>
      <c r="E4735" s="210"/>
      <c r="F4735" s="210"/>
      <c r="G4735" s="210"/>
      <c r="H4735" s="210"/>
    </row>
    <row r="4736" spans="3:8" x14ac:dyDescent="0.25">
      <c r="C4736" s="210"/>
      <c r="D4736" s="210"/>
      <c r="E4736" s="210"/>
      <c r="F4736" s="210"/>
      <c r="G4736" s="210"/>
      <c r="H4736" s="210"/>
    </row>
    <row r="4737" spans="3:8" x14ac:dyDescent="0.25">
      <c r="C4737" s="210"/>
      <c r="D4737" s="210"/>
      <c r="E4737" s="210"/>
      <c r="F4737" s="210"/>
      <c r="G4737" s="210"/>
      <c r="H4737" s="210"/>
    </row>
    <row r="4738" spans="3:8" x14ac:dyDescent="0.25">
      <c r="C4738" s="210"/>
      <c r="D4738" s="210"/>
      <c r="E4738" s="210"/>
      <c r="F4738" s="210"/>
      <c r="G4738" s="210"/>
      <c r="H4738" s="210"/>
    </row>
    <row r="4739" spans="3:8" x14ac:dyDescent="0.25">
      <c r="C4739" s="210"/>
      <c r="D4739" s="210"/>
      <c r="E4739" s="210"/>
      <c r="F4739" s="210"/>
      <c r="G4739" s="210"/>
      <c r="H4739" s="210"/>
    </row>
    <row r="4740" spans="3:8" x14ac:dyDescent="0.25">
      <c r="C4740" s="210"/>
      <c r="D4740" s="210"/>
      <c r="E4740" s="210"/>
      <c r="F4740" s="210"/>
      <c r="G4740" s="210"/>
      <c r="H4740" s="210"/>
    </row>
    <row r="4741" spans="3:8" x14ac:dyDescent="0.25">
      <c r="C4741" s="210"/>
      <c r="D4741" s="210"/>
      <c r="E4741" s="210"/>
      <c r="F4741" s="210"/>
      <c r="G4741" s="210"/>
      <c r="H4741" s="210"/>
    </row>
    <row r="4742" spans="3:8" x14ac:dyDescent="0.25">
      <c r="C4742" s="210"/>
      <c r="D4742" s="210"/>
      <c r="E4742" s="210"/>
      <c r="F4742" s="210"/>
      <c r="G4742" s="210"/>
      <c r="H4742" s="210"/>
    </row>
    <row r="4743" spans="3:8" x14ac:dyDescent="0.25">
      <c r="C4743" s="210"/>
      <c r="D4743" s="210"/>
      <c r="E4743" s="210"/>
      <c r="F4743" s="210"/>
      <c r="G4743" s="210"/>
      <c r="H4743" s="210"/>
    </row>
    <row r="4744" spans="3:8" x14ac:dyDescent="0.25">
      <c r="C4744" s="210"/>
      <c r="D4744" s="210"/>
      <c r="E4744" s="210"/>
      <c r="F4744" s="210"/>
      <c r="G4744" s="210"/>
      <c r="H4744" s="210"/>
    </row>
    <row r="4745" spans="3:8" x14ac:dyDescent="0.25">
      <c r="C4745" s="210"/>
      <c r="D4745" s="210"/>
      <c r="E4745" s="210"/>
      <c r="F4745" s="210"/>
      <c r="G4745" s="210"/>
      <c r="H4745" s="210"/>
    </row>
    <row r="4746" spans="3:8" x14ac:dyDescent="0.25">
      <c r="C4746" s="210"/>
      <c r="D4746" s="210"/>
      <c r="E4746" s="210"/>
      <c r="F4746" s="210"/>
      <c r="G4746" s="210"/>
      <c r="H4746" s="210"/>
    </row>
    <row r="4747" spans="3:8" x14ac:dyDescent="0.25">
      <c r="C4747" s="210"/>
      <c r="D4747" s="210"/>
      <c r="E4747" s="210"/>
      <c r="F4747" s="210"/>
      <c r="G4747" s="210"/>
      <c r="H4747" s="210"/>
    </row>
    <row r="4748" spans="3:8" x14ac:dyDescent="0.25">
      <c r="C4748" s="210"/>
      <c r="D4748" s="210"/>
      <c r="E4748" s="210"/>
      <c r="F4748" s="210"/>
      <c r="G4748" s="210"/>
      <c r="H4748" s="210"/>
    </row>
    <row r="4749" spans="3:8" x14ac:dyDescent="0.25">
      <c r="C4749" s="210"/>
      <c r="D4749" s="210"/>
      <c r="E4749" s="210"/>
      <c r="F4749" s="210"/>
      <c r="G4749" s="210"/>
      <c r="H4749" s="210"/>
    </row>
    <row r="4750" spans="3:8" x14ac:dyDescent="0.25">
      <c r="C4750" s="210"/>
      <c r="D4750" s="210"/>
      <c r="E4750" s="210"/>
      <c r="F4750" s="210"/>
      <c r="G4750" s="210"/>
      <c r="H4750" s="210"/>
    </row>
    <row r="4751" spans="3:8" x14ac:dyDescent="0.25">
      <c r="C4751" s="210"/>
      <c r="D4751" s="210"/>
      <c r="E4751" s="210"/>
      <c r="F4751" s="210"/>
      <c r="G4751" s="210"/>
      <c r="H4751" s="210"/>
    </row>
    <row r="4752" spans="3:8" x14ac:dyDescent="0.25">
      <c r="C4752" s="210"/>
      <c r="D4752" s="210"/>
      <c r="E4752" s="210"/>
      <c r="F4752" s="210"/>
      <c r="G4752" s="210"/>
      <c r="H4752" s="210"/>
    </row>
    <row r="4753" spans="3:8" x14ac:dyDescent="0.25">
      <c r="C4753" s="210"/>
      <c r="D4753" s="210"/>
      <c r="E4753" s="210"/>
      <c r="F4753" s="210"/>
      <c r="G4753" s="210"/>
      <c r="H4753" s="210"/>
    </row>
    <row r="4754" spans="3:8" x14ac:dyDescent="0.25">
      <c r="C4754" s="210"/>
      <c r="D4754" s="210"/>
      <c r="E4754" s="210"/>
      <c r="F4754" s="210"/>
      <c r="G4754" s="210"/>
      <c r="H4754" s="210"/>
    </row>
    <row r="4755" spans="3:8" x14ac:dyDescent="0.25">
      <c r="C4755" s="210"/>
      <c r="D4755" s="210"/>
      <c r="E4755" s="210"/>
      <c r="F4755" s="210"/>
      <c r="G4755" s="210"/>
      <c r="H4755" s="210"/>
    </row>
    <row r="4756" spans="3:8" x14ac:dyDescent="0.25">
      <c r="C4756" s="210"/>
      <c r="D4756" s="210"/>
      <c r="E4756" s="210"/>
      <c r="F4756" s="210"/>
      <c r="G4756" s="210"/>
      <c r="H4756" s="210"/>
    </row>
    <row r="4757" spans="3:8" x14ac:dyDescent="0.25">
      <c r="C4757" s="210"/>
      <c r="D4757" s="210"/>
      <c r="E4757" s="210"/>
      <c r="F4757" s="210"/>
      <c r="G4757" s="210"/>
      <c r="H4757" s="210"/>
    </row>
    <row r="4758" spans="3:8" x14ac:dyDescent="0.25">
      <c r="C4758" s="210"/>
      <c r="D4758" s="210"/>
      <c r="E4758" s="210"/>
      <c r="F4758" s="210"/>
      <c r="G4758" s="210"/>
      <c r="H4758" s="210"/>
    </row>
    <row r="4759" spans="3:8" x14ac:dyDescent="0.25">
      <c r="C4759" s="210"/>
      <c r="D4759" s="210"/>
      <c r="E4759" s="210"/>
      <c r="F4759" s="210"/>
      <c r="G4759" s="210"/>
      <c r="H4759" s="210"/>
    </row>
    <row r="4760" spans="3:8" x14ac:dyDescent="0.25">
      <c r="C4760" s="210"/>
      <c r="D4760" s="210"/>
      <c r="E4760" s="210"/>
      <c r="F4760" s="210"/>
      <c r="G4760" s="210"/>
      <c r="H4760" s="210"/>
    </row>
    <row r="4761" spans="3:8" x14ac:dyDescent="0.25">
      <c r="C4761" s="210"/>
      <c r="D4761" s="210"/>
      <c r="E4761" s="210"/>
      <c r="F4761" s="210"/>
      <c r="G4761" s="210"/>
      <c r="H4761" s="210"/>
    </row>
    <row r="4762" spans="3:8" x14ac:dyDescent="0.25">
      <c r="C4762" s="210"/>
      <c r="D4762" s="210"/>
      <c r="E4762" s="210"/>
      <c r="F4762" s="210"/>
      <c r="G4762" s="210"/>
      <c r="H4762" s="210"/>
    </row>
    <row r="4763" spans="3:8" x14ac:dyDescent="0.25">
      <c r="C4763" s="210"/>
      <c r="D4763" s="210"/>
      <c r="E4763" s="210"/>
      <c r="F4763" s="210"/>
      <c r="G4763" s="210"/>
      <c r="H4763" s="210"/>
    </row>
    <row r="4764" spans="3:8" x14ac:dyDescent="0.25">
      <c r="C4764" s="210"/>
      <c r="D4764" s="210"/>
      <c r="E4764" s="210"/>
      <c r="F4764" s="210"/>
      <c r="G4764" s="210"/>
      <c r="H4764" s="210"/>
    </row>
    <row r="4765" spans="3:8" x14ac:dyDescent="0.25">
      <c r="C4765" s="210"/>
      <c r="D4765" s="210"/>
      <c r="E4765" s="210"/>
      <c r="F4765" s="210"/>
      <c r="G4765" s="210"/>
      <c r="H4765" s="210"/>
    </row>
    <row r="4766" spans="3:8" x14ac:dyDescent="0.25">
      <c r="C4766" s="210"/>
      <c r="D4766" s="210"/>
      <c r="E4766" s="210"/>
      <c r="F4766" s="210"/>
      <c r="G4766" s="210"/>
      <c r="H4766" s="210"/>
    </row>
    <row r="4767" spans="3:8" x14ac:dyDescent="0.25">
      <c r="C4767" s="210"/>
      <c r="D4767" s="210"/>
      <c r="E4767" s="210"/>
      <c r="F4767" s="210"/>
      <c r="G4767" s="210"/>
      <c r="H4767" s="210"/>
    </row>
    <row r="4768" spans="3:8" x14ac:dyDescent="0.25">
      <c r="C4768" s="210"/>
      <c r="D4768" s="210"/>
      <c r="E4768" s="210"/>
      <c r="F4768" s="210"/>
      <c r="G4768" s="210"/>
      <c r="H4768" s="210"/>
    </row>
    <row r="4769" spans="3:8" x14ac:dyDescent="0.25">
      <c r="C4769" s="210"/>
      <c r="D4769" s="210"/>
      <c r="E4769" s="210"/>
      <c r="F4769" s="210"/>
      <c r="G4769" s="210"/>
      <c r="H4769" s="210"/>
    </row>
    <row r="4770" spans="3:8" x14ac:dyDescent="0.25">
      <c r="C4770" s="210"/>
      <c r="D4770" s="210"/>
      <c r="E4770" s="210"/>
      <c r="F4770" s="210"/>
      <c r="G4770" s="210"/>
      <c r="H4770" s="210"/>
    </row>
    <row r="4771" spans="3:8" x14ac:dyDescent="0.25">
      <c r="C4771" s="210"/>
      <c r="D4771" s="210"/>
      <c r="E4771" s="210"/>
      <c r="F4771" s="210"/>
      <c r="G4771" s="210"/>
      <c r="H4771" s="210"/>
    </row>
    <row r="4772" spans="3:8" x14ac:dyDescent="0.25">
      <c r="C4772" s="210"/>
      <c r="D4772" s="210"/>
      <c r="E4772" s="210"/>
      <c r="F4772" s="210"/>
      <c r="G4772" s="210"/>
      <c r="H4772" s="210"/>
    </row>
    <row r="4773" spans="3:8" x14ac:dyDescent="0.25">
      <c r="C4773" s="210"/>
      <c r="D4773" s="210"/>
      <c r="E4773" s="210"/>
      <c r="F4773" s="210"/>
      <c r="G4773" s="210"/>
      <c r="H4773" s="210"/>
    </row>
    <row r="4774" spans="3:8" x14ac:dyDescent="0.25">
      <c r="C4774" s="210"/>
      <c r="D4774" s="210"/>
      <c r="E4774" s="210"/>
      <c r="F4774" s="210"/>
      <c r="G4774" s="210"/>
      <c r="H4774" s="210"/>
    </row>
    <row r="4775" spans="3:8" x14ac:dyDescent="0.25">
      <c r="C4775" s="210"/>
      <c r="D4775" s="210"/>
      <c r="E4775" s="210"/>
      <c r="F4775" s="210"/>
      <c r="G4775" s="210"/>
      <c r="H4775" s="210"/>
    </row>
    <row r="4776" spans="3:8" x14ac:dyDescent="0.25">
      <c r="C4776" s="210"/>
      <c r="D4776" s="210"/>
      <c r="E4776" s="210"/>
      <c r="F4776" s="210"/>
      <c r="G4776" s="210"/>
      <c r="H4776" s="210"/>
    </row>
    <row r="4777" spans="3:8" x14ac:dyDescent="0.25">
      <c r="C4777" s="210"/>
      <c r="D4777" s="210"/>
      <c r="E4777" s="210"/>
      <c r="F4777" s="210"/>
      <c r="G4777" s="210"/>
      <c r="H4777" s="210"/>
    </row>
    <row r="4778" spans="3:8" x14ac:dyDescent="0.25">
      <c r="C4778" s="210"/>
      <c r="D4778" s="210"/>
      <c r="E4778" s="210"/>
      <c r="F4778" s="210"/>
      <c r="G4778" s="210"/>
      <c r="H4778" s="210"/>
    </row>
    <row r="4779" spans="3:8" x14ac:dyDescent="0.25">
      <c r="C4779" s="210"/>
      <c r="D4779" s="210"/>
      <c r="E4779" s="210"/>
      <c r="F4779" s="210"/>
      <c r="G4779" s="210"/>
      <c r="H4779" s="210"/>
    </row>
    <row r="4780" spans="3:8" x14ac:dyDescent="0.25">
      <c r="C4780" s="210"/>
      <c r="D4780" s="210"/>
      <c r="E4780" s="210"/>
      <c r="F4780" s="210"/>
      <c r="G4780" s="210"/>
      <c r="H4780" s="210"/>
    </row>
    <row r="4781" spans="3:8" x14ac:dyDescent="0.25">
      <c r="C4781" s="210"/>
      <c r="D4781" s="210"/>
      <c r="E4781" s="210"/>
      <c r="F4781" s="210"/>
      <c r="G4781" s="210"/>
      <c r="H4781" s="210"/>
    </row>
    <row r="4782" spans="3:8" x14ac:dyDescent="0.25">
      <c r="C4782" s="210"/>
      <c r="D4782" s="210"/>
      <c r="E4782" s="210"/>
      <c r="F4782" s="210"/>
      <c r="G4782" s="210"/>
      <c r="H4782" s="210"/>
    </row>
    <row r="4783" spans="3:8" x14ac:dyDescent="0.25">
      <c r="C4783" s="210"/>
      <c r="D4783" s="210"/>
      <c r="E4783" s="210"/>
      <c r="F4783" s="210"/>
      <c r="G4783" s="210"/>
      <c r="H4783" s="210"/>
    </row>
    <row r="4784" spans="3:8" x14ac:dyDescent="0.25">
      <c r="C4784" s="210"/>
      <c r="D4784" s="210"/>
      <c r="E4784" s="210"/>
      <c r="F4784" s="210"/>
      <c r="G4784" s="210"/>
      <c r="H4784" s="210"/>
    </row>
    <row r="4785" spans="3:8" x14ac:dyDescent="0.25">
      <c r="C4785" s="210"/>
      <c r="D4785" s="210"/>
      <c r="E4785" s="210"/>
      <c r="F4785" s="210"/>
      <c r="G4785" s="210"/>
      <c r="H4785" s="210"/>
    </row>
    <row r="4786" spans="3:8" x14ac:dyDescent="0.25">
      <c r="C4786" s="210"/>
      <c r="D4786" s="210"/>
      <c r="E4786" s="210"/>
      <c r="F4786" s="210"/>
      <c r="G4786" s="210"/>
      <c r="H4786" s="210"/>
    </row>
    <row r="4787" spans="3:8" x14ac:dyDescent="0.25">
      <c r="C4787" s="210"/>
      <c r="D4787" s="210"/>
      <c r="E4787" s="210"/>
      <c r="F4787" s="210"/>
      <c r="G4787" s="210"/>
      <c r="H4787" s="210"/>
    </row>
    <row r="4788" spans="3:8" x14ac:dyDescent="0.25">
      <c r="C4788" s="210"/>
      <c r="D4788" s="210"/>
      <c r="E4788" s="210"/>
      <c r="F4788" s="210"/>
      <c r="G4788" s="210"/>
      <c r="H4788" s="210"/>
    </row>
    <row r="4789" spans="3:8" x14ac:dyDescent="0.25">
      <c r="C4789" s="210"/>
      <c r="D4789" s="210"/>
      <c r="E4789" s="210"/>
      <c r="F4789" s="210"/>
      <c r="G4789" s="210"/>
      <c r="H4789" s="210"/>
    </row>
    <row r="4790" spans="3:8" x14ac:dyDescent="0.25">
      <c r="C4790" s="210"/>
      <c r="D4790" s="210"/>
      <c r="E4790" s="210"/>
      <c r="F4790" s="210"/>
      <c r="G4790" s="210"/>
      <c r="H4790" s="210"/>
    </row>
    <row r="4791" spans="3:8" x14ac:dyDescent="0.25">
      <c r="C4791" s="210"/>
      <c r="D4791" s="210"/>
      <c r="E4791" s="210"/>
      <c r="F4791" s="210"/>
      <c r="G4791" s="210"/>
      <c r="H4791" s="210"/>
    </row>
    <row r="4792" spans="3:8" x14ac:dyDescent="0.25">
      <c r="C4792" s="210"/>
      <c r="D4792" s="210"/>
      <c r="E4792" s="210"/>
      <c r="F4792" s="210"/>
      <c r="G4792" s="210"/>
      <c r="H4792" s="210"/>
    </row>
    <row r="4793" spans="3:8" x14ac:dyDescent="0.25">
      <c r="C4793" s="210"/>
      <c r="D4793" s="210"/>
      <c r="E4793" s="210"/>
      <c r="F4793" s="210"/>
      <c r="G4793" s="210"/>
      <c r="H4793" s="210"/>
    </row>
    <row r="4794" spans="3:8" x14ac:dyDescent="0.25">
      <c r="C4794" s="210"/>
      <c r="D4794" s="210"/>
      <c r="E4794" s="210"/>
      <c r="F4794" s="210"/>
      <c r="G4794" s="210"/>
      <c r="H4794" s="210"/>
    </row>
    <row r="4795" spans="3:8" x14ac:dyDescent="0.25">
      <c r="C4795" s="210"/>
      <c r="D4795" s="210"/>
      <c r="E4795" s="210"/>
      <c r="F4795" s="210"/>
      <c r="G4795" s="210"/>
      <c r="H4795" s="210"/>
    </row>
    <row r="4796" spans="3:8" x14ac:dyDescent="0.25">
      <c r="C4796" s="210"/>
      <c r="D4796" s="210"/>
      <c r="E4796" s="210"/>
      <c r="F4796" s="210"/>
      <c r="G4796" s="210"/>
      <c r="H4796" s="210"/>
    </row>
    <row r="4797" spans="3:8" x14ac:dyDescent="0.25">
      <c r="C4797" s="210"/>
      <c r="D4797" s="210"/>
      <c r="E4797" s="210"/>
      <c r="F4797" s="210"/>
      <c r="G4797" s="210"/>
      <c r="H4797" s="210"/>
    </row>
    <row r="4798" spans="3:8" x14ac:dyDescent="0.25">
      <c r="C4798" s="210"/>
      <c r="D4798" s="210"/>
      <c r="E4798" s="210"/>
      <c r="F4798" s="210"/>
      <c r="G4798" s="210"/>
      <c r="H4798" s="210"/>
    </row>
    <row r="4799" spans="3:8" x14ac:dyDescent="0.25">
      <c r="C4799" s="210"/>
      <c r="D4799" s="210"/>
      <c r="E4799" s="210"/>
      <c r="F4799" s="210"/>
      <c r="G4799" s="210"/>
      <c r="H4799" s="210"/>
    </row>
    <row r="4800" spans="3:8" x14ac:dyDescent="0.25">
      <c r="C4800" s="210"/>
      <c r="D4800" s="210"/>
      <c r="E4800" s="210"/>
      <c r="F4800" s="210"/>
      <c r="G4800" s="210"/>
      <c r="H4800" s="210"/>
    </row>
    <row r="4801" spans="3:8" x14ac:dyDescent="0.25">
      <c r="C4801" s="210"/>
      <c r="D4801" s="210"/>
      <c r="E4801" s="210"/>
      <c r="F4801" s="210"/>
      <c r="G4801" s="210"/>
      <c r="H4801" s="210"/>
    </row>
    <row r="4802" spans="3:8" x14ac:dyDescent="0.25">
      <c r="C4802" s="210"/>
      <c r="D4802" s="210"/>
      <c r="E4802" s="210"/>
      <c r="F4802" s="210"/>
      <c r="G4802" s="210"/>
      <c r="H4802" s="210"/>
    </row>
    <row r="4803" spans="3:8" x14ac:dyDescent="0.25">
      <c r="C4803" s="210"/>
      <c r="D4803" s="210"/>
      <c r="E4803" s="210"/>
      <c r="F4803" s="210"/>
      <c r="G4803" s="210"/>
      <c r="H4803" s="210"/>
    </row>
    <row r="4804" spans="3:8" x14ac:dyDescent="0.25">
      <c r="C4804" s="210"/>
      <c r="D4804" s="210"/>
      <c r="E4804" s="210"/>
      <c r="F4804" s="210"/>
      <c r="G4804" s="210"/>
      <c r="H4804" s="210"/>
    </row>
    <row r="4805" spans="3:8" x14ac:dyDescent="0.25">
      <c r="C4805" s="210"/>
      <c r="D4805" s="210"/>
      <c r="E4805" s="210"/>
      <c r="F4805" s="210"/>
      <c r="G4805" s="210"/>
      <c r="H4805" s="210"/>
    </row>
    <row r="4806" spans="3:8" x14ac:dyDescent="0.25">
      <c r="C4806" s="210"/>
      <c r="D4806" s="210"/>
      <c r="E4806" s="210"/>
      <c r="F4806" s="210"/>
      <c r="G4806" s="210"/>
      <c r="H4806" s="210"/>
    </row>
    <row r="4807" spans="3:8" x14ac:dyDescent="0.25">
      <c r="C4807" s="210"/>
      <c r="D4807" s="210"/>
      <c r="E4807" s="210"/>
      <c r="F4807" s="210"/>
      <c r="G4807" s="210"/>
      <c r="H4807" s="210"/>
    </row>
    <row r="4808" spans="3:8" x14ac:dyDescent="0.25">
      <c r="C4808" s="210"/>
      <c r="D4808" s="210"/>
      <c r="E4808" s="210"/>
      <c r="F4808" s="210"/>
      <c r="G4808" s="210"/>
      <c r="H4808" s="210"/>
    </row>
    <row r="4809" spans="3:8" x14ac:dyDescent="0.25">
      <c r="C4809" s="210"/>
      <c r="D4809" s="210"/>
      <c r="E4809" s="210"/>
      <c r="F4809" s="210"/>
      <c r="G4809" s="210"/>
      <c r="H4809" s="210"/>
    </row>
    <row r="4810" spans="3:8" x14ac:dyDescent="0.25">
      <c r="C4810" s="210"/>
      <c r="D4810" s="210"/>
      <c r="E4810" s="210"/>
      <c r="F4810" s="210"/>
      <c r="G4810" s="210"/>
      <c r="H4810" s="210"/>
    </row>
    <row r="4811" spans="3:8" x14ac:dyDescent="0.25">
      <c r="C4811" s="210"/>
      <c r="D4811" s="210"/>
      <c r="E4811" s="210"/>
      <c r="F4811" s="210"/>
      <c r="G4811" s="210"/>
      <c r="H4811" s="210"/>
    </row>
    <row r="4812" spans="3:8" x14ac:dyDescent="0.25">
      <c r="C4812" s="210"/>
      <c r="D4812" s="210"/>
      <c r="E4812" s="210"/>
      <c r="F4812" s="210"/>
      <c r="G4812" s="210"/>
      <c r="H4812" s="210"/>
    </row>
    <row r="4813" spans="3:8" x14ac:dyDescent="0.25">
      <c r="C4813" s="210"/>
      <c r="D4813" s="210"/>
      <c r="E4813" s="210"/>
      <c r="F4813" s="210"/>
      <c r="G4813" s="210"/>
      <c r="H4813" s="210"/>
    </row>
    <row r="4814" spans="3:8" x14ac:dyDescent="0.25">
      <c r="C4814" s="210"/>
      <c r="D4814" s="210"/>
      <c r="E4814" s="210"/>
      <c r="F4814" s="210"/>
      <c r="G4814" s="210"/>
      <c r="H4814" s="210"/>
    </row>
    <row r="4815" spans="3:8" x14ac:dyDescent="0.25">
      <c r="C4815" s="210"/>
      <c r="D4815" s="210"/>
      <c r="E4815" s="210"/>
      <c r="F4815" s="210"/>
      <c r="G4815" s="210"/>
      <c r="H4815" s="210"/>
    </row>
    <row r="4816" spans="3:8" x14ac:dyDescent="0.25">
      <c r="C4816" s="210"/>
      <c r="D4816" s="210"/>
      <c r="E4816" s="210"/>
      <c r="F4816" s="210"/>
      <c r="G4816" s="210"/>
      <c r="H4816" s="210"/>
    </row>
    <row r="4817" spans="3:8" x14ac:dyDescent="0.25">
      <c r="C4817" s="210"/>
      <c r="D4817" s="210"/>
      <c r="E4817" s="210"/>
      <c r="F4817" s="210"/>
      <c r="G4817" s="210"/>
      <c r="H4817" s="210"/>
    </row>
    <row r="4818" spans="3:8" x14ac:dyDescent="0.25">
      <c r="C4818" s="210"/>
      <c r="D4818" s="210"/>
      <c r="E4818" s="210"/>
      <c r="F4818" s="210"/>
      <c r="G4818" s="210"/>
      <c r="H4818" s="210"/>
    </row>
    <row r="4819" spans="3:8" x14ac:dyDescent="0.25">
      <c r="C4819" s="210"/>
      <c r="D4819" s="210"/>
      <c r="E4819" s="210"/>
      <c r="F4819" s="210"/>
      <c r="G4819" s="210"/>
      <c r="H4819" s="210"/>
    </row>
    <row r="4820" spans="3:8" x14ac:dyDescent="0.25">
      <c r="C4820" s="210"/>
      <c r="D4820" s="210"/>
      <c r="E4820" s="210"/>
      <c r="F4820" s="210"/>
      <c r="G4820" s="210"/>
      <c r="H4820" s="210"/>
    </row>
    <row r="4821" spans="3:8" x14ac:dyDescent="0.25">
      <c r="C4821" s="210"/>
      <c r="D4821" s="210"/>
      <c r="E4821" s="210"/>
      <c r="F4821" s="210"/>
      <c r="G4821" s="210"/>
      <c r="H4821" s="210"/>
    </row>
    <row r="4822" spans="3:8" x14ac:dyDescent="0.25">
      <c r="C4822" s="210"/>
      <c r="D4822" s="210"/>
      <c r="E4822" s="210"/>
      <c r="F4822" s="210"/>
      <c r="G4822" s="210"/>
      <c r="H4822" s="210"/>
    </row>
    <row r="4823" spans="3:8" x14ac:dyDescent="0.25">
      <c r="C4823" s="210"/>
      <c r="D4823" s="210"/>
      <c r="E4823" s="210"/>
      <c r="F4823" s="210"/>
      <c r="G4823" s="210"/>
      <c r="H4823" s="210"/>
    </row>
    <row r="4824" spans="3:8" x14ac:dyDescent="0.25">
      <c r="C4824" s="210"/>
      <c r="D4824" s="210"/>
      <c r="E4824" s="210"/>
      <c r="F4824" s="210"/>
      <c r="G4824" s="210"/>
      <c r="H4824" s="210"/>
    </row>
    <row r="4825" spans="3:8" x14ac:dyDescent="0.25">
      <c r="C4825" s="210"/>
      <c r="D4825" s="210"/>
      <c r="E4825" s="210"/>
      <c r="F4825" s="210"/>
      <c r="G4825" s="210"/>
      <c r="H4825" s="210"/>
    </row>
    <row r="4826" spans="3:8" x14ac:dyDescent="0.25">
      <c r="C4826" s="210"/>
      <c r="D4826" s="210"/>
      <c r="E4826" s="210"/>
      <c r="F4826" s="210"/>
      <c r="G4826" s="210"/>
      <c r="H4826" s="210"/>
    </row>
    <row r="4827" spans="3:8" x14ac:dyDescent="0.25">
      <c r="C4827" s="210"/>
      <c r="D4827" s="210"/>
      <c r="E4827" s="210"/>
      <c r="F4827" s="210"/>
      <c r="G4827" s="210"/>
      <c r="H4827" s="210"/>
    </row>
    <row r="4828" spans="3:8" x14ac:dyDescent="0.25">
      <c r="C4828" s="210"/>
      <c r="D4828" s="210"/>
      <c r="E4828" s="210"/>
      <c r="F4828" s="210"/>
      <c r="G4828" s="210"/>
      <c r="H4828" s="210"/>
    </row>
    <row r="4829" spans="3:8" x14ac:dyDescent="0.25">
      <c r="C4829" s="210"/>
      <c r="D4829" s="210"/>
      <c r="E4829" s="210"/>
      <c r="F4829" s="210"/>
      <c r="G4829" s="210"/>
      <c r="H4829" s="210"/>
    </row>
    <row r="4830" spans="3:8" x14ac:dyDescent="0.25">
      <c r="C4830" s="210"/>
      <c r="D4830" s="210"/>
      <c r="E4830" s="210"/>
      <c r="F4830" s="210"/>
      <c r="G4830" s="210"/>
      <c r="H4830" s="210"/>
    </row>
    <row r="4831" spans="3:8" x14ac:dyDescent="0.25">
      <c r="C4831" s="210"/>
      <c r="D4831" s="210"/>
      <c r="E4831" s="210"/>
      <c r="F4831" s="210"/>
      <c r="G4831" s="210"/>
      <c r="H4831" s="210"/>
    </row>
    <row r="4832" spans="3:8" x14ac:dyDescent="0.25">
      <c r="C4832" s="210"/>
      <c r="D4832" s="210"/>
      <c r="E4832" s="210"/>
      <c r="F4832" s="210"/>
      <c r="G4832" s="210"/>
      <c r="H4832" s="210"/>
    </row>
    <row r="4833" spans="3:8" x14ac:dyDescent="0.25">
      <c r="C4833" s="210"/>
      <c r="D4833" s="210"/>
      <c r="E4833" s="210"/>
      <c r="F4833" s="210"/>
      <c r="G4833" s="210"/>
      <c r="H4833" s="210"/>
    </row>
    <row r="4834" spans="3:8" x14ac:dyDescent="0.25">
      <c r="C4834" s="210"/>
      <c r="D4834" s="210"/>
      <c r="E4834" s="210"/>
      <c r="F4834" s="210"/>
      <c r="G4834" s="210"/>
      <c r="H4834" s="210"/>
    </row>
    <row r="4835" spans="3:8" x14ac:dyDescent="0.25">
      <c r="C4835" s="210"/>
      <c r="D4835" s="210"/>
      <c r="E4835" s="210"/>
      <c r="F4835" s="210"/>
      <c r="G4835" s="210"/>
      <c r="H4835" s="210"/>
    </row>
    <row r="4836" spans="3:8" x14ac:dyDescent="0.25">
      <c r="C4836" s="210"/>
      <c r="D4836" s="210"/>
      <c r="E4836" s="210"/>
      <c r="F4836" s="210"/>
      <c r="G4836" s="210"/>
      <c r="H4836" s="210"/>
    </row>
    <row r="4837" spans="3:8" x14ac:dyDescent="0.25">
      <c r="C4837" s="210"/>
      <c r="D4837" s="210"/>
      <c r="E4837" s="210"/>
      <c r="F4837" s="210"/>
      <c r="G4837" s="210"/>
      <c r="H4837" s="210"/>
    </row>
    <row r="4838" spans="3:8" x14ac:dyDescent="0.25">
      <c r="C4838" s="210"/>
      <c r="D4838" s="210"/>
      <c r="E4838" s="210"/>
      <c r="F4838" s="210"/>
      <c r="G4838" s="210"/>
      <c r="H4838" s="210"/>
    </row>
    <row r="4839" spans="3:8" x14ac:dyDescent="0.25">
      <c r="C4839" s="210"/>
      <c r="D4839" s="210"/>
      <c r="E4839" s="210"/>
      <c r="F4839" s="210"/>
      <c r="G4839" s="210"/>
      <c r="H4839" s="210"/>
    </row>
    <row r="4840" spans="3:8" x14ac:dyDescent="0.25">
      <c r="C4840" s="210"/>
      <c r="D4840" s="210"/>
      <c r="E4840" s="210"/>
      <c r="F4840" s="210"/>
      <c r="G4840" s="210"/>
      <c r="H4840" s="210"/>
    </row>
    <row r="4841" spans="3:8" x14ac:dyDescent="0.25">
      <c r="C4841" s="210"/>
      <c r="D4841" s="210"/>
      <c r="E4841" s="210"/>
      <c r="F4841" s="210"/>
      <c r="G4841" s="210"/>
      <c r="H4841" s="210"/>
    </row>
    <row r="4842" spans="3:8" x14ac:dyDescent="0.25">
      <c r="C4842" s="210"/>
      <c r="D4842" s="210"/>
      <c r="E4842" s="210"/>
      <c r="F4842" s="210"/>
      <c r="G4842" s="210"/>
      <c r="H4842" s="210"/>
    </row>
    <row r="4843" spans="3:8" x14ac:dyDescent="0.25">
      <c r="C4843" s="210"/>
      <c r="D4843" s="210"/>
      <c r="E4843" s="210"/>
      <c r="F4843" s="210"/>
      <c r="G4843" s="210"/>
      <c r="H4843" s="210"/>
    </row>
    <row r="4844" spans="3:8" x14ac:dyDescent="0.25">
      <c r="C4844" s="210"/>
      <c r="D4844" s="210"/>
      <c r="E4844" s="210"/>
      <c r="F4844" s="210"/>
      <c r="G4844" s="210"/>
      <c r="H4844" s="210"/>
    </row>
    <row r="4845" spans="3:8" x14ac:dyDescent="0.25">
      <c r="C4845" s="210"/>
      <c r="D4845" s="210"/>
      <c r="E4845" s="210"/>
      <c r="F4845" s="210"/>
      <c r="G4845" s="210"/>
      <c r="H4845" s="210"/>
    </row>
    <row r="4846" spans="3:8" x14ac:dyDescent="0.25">
      <c r="C4846" s="210"/>
      <c r="D4846" s="210"/>
      <c r="E4846" s="210"/>
      <c r="F4846" s="210"/>
      <c r="G4846" s="210"/>
      <c r="H4846" s="210"/>
    </row>
    <row r="4847" spans="3:8" x14ac:dyDescent="0.25">
      <c r="C4847" s="210"/>
      <c r="D4847" s="210"/>
      <c r="E4847" s="210"/>
      <c r="F4847" s="210"/>
      <c r="G4847" s="210"/>
      <c r="H4847" s="210"/>
    </row>
    <row r="4848" spans="3:8" x14ac:dyDescent="0.25">
      <c r="C4848" s="210"/>
      <c r="D4848" s="210"/>
      <c r="E4848" s="210"/>
      <c r="F4848" s="210"/>
      <c r="G4848" s="210"/>
      <c r="H4848" s="210"/>
    </row>
    <row r="4849" spans="3:8" x14ac:dyDescent="0.25">
      <c r="C4849" s="210"/>
      <c r="D4849" s="210"/>
      <c r="E4849" s="210"/>
      <c r="F4849" s="210"/>
      <c r="G4849" s="210"/>
      <c r="H4849" s="210"/>
    </row>
    <row r="4850" spans="3:8" x14ac:dyDescent="0.25">
      <c r="C4850" s="210"/>
      <c r="D4850" s="210"/>
      <c r="E4850" s="210"/>
      <c r="F4850" s="210"/>
      <c r="G4850" s="210"/>
      <c r="H4850" s="210"/>
    </row>
    <row r="4851" spans="3:8" x14ac:dyDescent="0.25">
      <c r="C4851" s="210"/>
      <c r="D4851" s="210"/>
      <c r="E4851" s="210"/>
      <c r="F4851" s="210"/>
      <c r="G4851" s="210"/>
      <c r="H4851" s="210"/>
    </row>
    <row r="4852" spans="3:8" x14ac:dyDescent="0.25">
      <c r="C4852" s="210"/>
      <c r="D4852" s="210"/>
      <c r="E4852" s="210"/>
      <c r="F4852" s="210"/>
      <c r="G4852" s="210"/>
      <c r="H4852" s="210"/>
    </row>
    <row r="4853" spans="3:8" x14ac:dyDescent="0.25">
      <c r="C4853" s="210"/>
      <c r="D4853" s="210"/>
      <c r="E4853" s="210"/>
      <c r="F4853" s="210"/>
      <c r="G4853" s="210"/>
      <c r="H4853" s="210"/>
    </row>
    <row r="4854" spans="3:8" x14ac:dyDescent="0.25">
      <c r="C4854" s="210"/>
      <c r="D4854" s="210"/>
      <c r="E4854" s="210"/>
      <c r="F4854" s="210"/>
      <c r="G4854" s="210"/>
      <c r="H4854" s="210"/>
    </row>
    <row r="4855" spans="3:8" x14ac:dyDescent="0.25">
      <c r="C4855" s="210"/>
      <c r="D4855" s="210"/>
      <c r="E4855" s="210"/>
      <c r="F4855" s="210"/>
      <c r="G4855" s="210"/>
      <c r="H4855" s="210"/>
    </row>
    <row r="4856" spans="3:8" x14ac:dyDescent="0.25">
      <c r="C4856" s="210"/>
      <c r="D4856" s="210"/>
      <c r="E4856" s="210"/>
      <c r="F4856" s="210"/>
      <c r="G4856" s="210"/>
      <c r="H4856" s="210"/>
    </row>
    <row r="4857" spans="3:8" x14ac:dyDescent="0.25">
      <c r="C4857" s="210"/>
      <c r="D4857" s="210"/>
      <c r="E4857" s="210"/>
      <c r="F4857" s="210"/>
      <c r="G4857" s="210"/>
      <c r="H4857" s="210"/>
    </row>
    <row r="4858" spans="3:8" x14ac:dyDescent="0.25">
      <c r="C4858" s="210"/>
      <c r="D4858" s="210"/>
      <c r="E4858" s="210"/>
      <c r="F4858" s="210"/>
      <c r="G4858" s="210"/>
      <c r="H4858" s="210"/>
    </row>
    <row r="4859" spans="3:8" x14ac:dyDescent="0.25">
      <c r="C4859" s="210"/>
      <c r="D4859" s="210"/>
      <c r="E4859" s="210"/>
      <c r="F4859" s="210"/>
      <c r="G4859" s="210"/>
      <c r="H4859" s="210"/>
    </row>
    <row r="4860" spans="3:8" x14ac:dyDescent="0.25">
      <c r="C4860" s="210"/>
      <c r="D4860" s="210"/>
      <c r="E4860" s="210"/>
      <c r="F4860" s="210"/>
      <c r="G4860" s="210"/>
      <c r="H4860" s="210"/>
    </row>
    <row r="4861" spans="3:8" x14ac:dyDescent="0.25">
      <c r="C4861" s="210"/>
      <c r="D4861" s="210"/>
      <c r="E4861" s="210"/>
      <c r="F4861" s="210"/>
      <c r="G4861" s="210"/>
      <c r="H4861" s="210"/>
    </row>
    <row r="4862" spans="3:8" x14ac:dyDescent="0.25">
      <c r="C4862" s="210"/>
      <c r="D4862" s="210"/>
      <c r="E4862" s="210"/>
      <c r="F4862" s="210"/>
      <c r="G4862" s="210"/>
      <c r="H4862" s="210"/>
    </row>
    <row r="4863" spans="3:8" x14ac:dyDescent="0.25">
      <c r="C4863" s="210"/>
      <c r="D4863" s="210"/>
      <c r="E4863" s="210"/>
      <c r="F4863" s="210"/>
      <c r="G4863" s="210"/>
      <c r="H4863" s="210"/>
    </row>
    <row r="4864" spans="3:8" x14ac:dyDescent="0.25">
      <c r="C4864" s="210"/>
      <c r="D4864" s="210"/>
      <c r="E4864" s="210"/>
      <c r="F4864" s="210"/>
      <c r="G4864" s="210"/>
      <c r="H4864" s="210"/>
    </row>
    <row r="4865" spans="3:8" x14ac:dyDescent="0.25">
      <c r="C4865" s="210"/>
      <c r="D4865" s="210"/>
      <c r="E4865" s="210"/>
      <c r="F4865" s="210"/>
      <c r="G4865" s="210"/>
      <c r="H4865" s="210"/>
    </row>
    <row r="4866" spans="3:8" x14ac:dyDescent="0.25">
      <c r="C4866" s="210"/>
      <c r="D4866" s="210"/>
      <c r="E4866" s="210"/>
      <c r="F4866" s="210"/>
      <c r="G4866" s="210"/>
      <c r="H4866" s="210"/>
    </row>
    <row r="4867" spans="3:8" x14ac:dyDescent="0.25">
      <c r="C4867" s="210"/>
      <c r="D4867" s="210"/>
      <c r="E4867" s="210"/>
      <c r="F4867" s="210"/>
      <c r="G4867" s="210"/>
      <c r="H4867" s="210"/>
    </row>
    <row r="4868" spans="3:8" x14ac:dyDescent="0.25">
      <c r="C4868" s="210"/>
      <c r="D4868" s="210"/>
      <c r="E4868" s="210"/>
      <c r="F4868" s="210"/>
      <c r="G4868" s="210"/>
      <c r="H4868" s="210"/>
    </row>
    <row r="4869" spans="3:8" x14ac:dyDescent="0.25">
      <c r="C4869" s="210"/>
      <c r="D4869" s="210"/>
      <c r="E4869" s="210"/>
      <c r="F4869" s="210"/>
      <c r="G4869" s="210"/>
      <c r="H4869" s="210"/>
    </row>
    <row r="4870" spans="3:8" x14ac:dyDescent="0.25">
      <c r="C4870" s="210"/>
      <c r="D4870" s="210"/>
      <c r="E4870" s="210"/>
      <c r="F4870" s="210"/>
      <c r="G4870" s="210"/>
      <c r="H4870" s="210"/>
    </row>
    <row r="4871" spans="3:8" x14ac:dyDescent="0.25">
      <c r="C4871" s="210"/>
      <c r="D4871" s="210"/>
      <c r="E4871" s="210"/>
      <c r="F4871" s="210"/>
      <c r="G4871" s="210"/>
      <c r="H4871" s="210"/>
    </row>
    <row r="4872" spans="3:8" x14ac:dyDescent="0.25">
      <c r="C4872" s="210"/>
      <c r="D4872" s="210"/>
      <c r="E4872" s="210"/>
      <c r="F4872" s="210"/>
      <c r="G4872" s="210"/>
      <c r="H4872" s="210"/>
    </row>
    <row r="4873" spans="3:8" x14ac:dyDescent="0.25">
      <c r="C4873" s="210"/>
      <c r="D4873" s="210"/>
      <c r="E4873" s="210"/>
      <c r="F4873" s="210"/>
      <c r="G4873" s="210"/>
      <c r="H4873" s="210"/>
    </row>
    <row r="4874" spans="3:8" x14ac:dyDescent="0.25">
      <c r="C4874" s="210"/>
      <c r="D4874" s="210"/>
      <c r="E4874" s="210"/>
      <c r="F4874" s="210"/>
      <c r="G4874" s="210"/>
      <c r="H4874" s="210"/>
    </row>
    <row r="4875" spans="3:8" x14ac:dyDescent="0.25">
      <c r="C4875" s="210"/>
      <c r="D4875" s="210"/>
      <c r="E4875" s="210"/>
      <c r="F4875" s="210"/>
      <c r="G4875" s="210"/>
      <c r="H4875" s="210"/>
    </row>
    <row r="4876" spans="3:8" x14ac:dyDescent="0.25">
      <c r="C4876" s="210"/>
      <c r="D4876" s="210"/>
      <c r="E4876" s="210"/>
      <c r="F4876" s="210"/>
      <c r="G4876" s="210"/>
      <c r="H4876" s="210"/>
    </row>
    <row r="4877" spans="3:8" x14ac:dyDescent="0.25">
      <c r="C4877" s="210"/>
      <c r="D4877" s="210"/>
      <c r="E4877" s="210"/>
      <c r="F4877" s="210"/>
      <c r="G4877" s="210"/>
      <c r="H4877" s="210"/>
    </row>
    <row r="4878" spans="3:8" x14ac:dyDescent="0.25">
      <c r="C4878" s="210"/>
      <c r="D4878" s="210"/>
      <c r="E4878" s="210"/>
      <c r="F4878" s="210"/>
      <c r="G4878" s="210"/>
      <c r="H4878" s="210"/>
    </row>
    <row r="4879" spans="3:8" x14ac:dyDescent="0.25">
      <c r="C4879" s="210"/>
      <c r="D4879" s="210"/>
      <c r="E4879" s="210"/>
      <c r="F4879" s="210"/>
      <c r="G4879" s="210"/>
      <c r="H4879" s="210"/>
    </row>
    <row r="4880" spans="3:8" x14ac:dyDescent="0.25">
      <c r="C4880" s="210"/>
      <c r="D4880" s="210"/>
      <c r="E4880" s="210"/>
      <c r="F4880" s="210"/>
      <c r="G4880" s="210"/>
      <c r="H4880" s="210"/>
    </row>
    <row r="4881" spans="3:8" x14ac:dyDescent="0.25">
      <c r="C4881" s="210"/>
      <c r="D4881" s="210"/>
      <c r="E4881" s="210"/>
      <c r="F4881" s="210"/>
      <c r="G4881" s="210"/>
      <c r="H4881" s="210"/>
    </row>
    <row r="4882" spans="3:8" x14ac:dyDescent="0.25">
      <c r="C4882" s="210"/>
      <c r="D4882" s="210"/>
      <c r="E4882" s="210"/>
      <c r="F4882" s="210"/>
      <c r="G4882" s="210"/>
      <c r="H4882" s="210"/>
    </row>
    <row r="4883" spans="3:8" x14ac:dyDescent="0.25">
      <c r="C4883" s="210"/>
      <c r="D4883" s="210"/>
      <c r="E4883" s="210"/>
      <c r="F4883" s="210"/>
      <c r="G4883" s="210"/>
      <c r="H4883" s="210"/>
    </row>
    <row r="4884" spans="3:8" x14ac:dyDescent="0.25">
      <c r="C4884" s="210"/>
      <c r="D4884" s="210"/>
      <c r="E4884" s="210"/>
      <c r="F4884" s="210"/>
      <c r="G4884" s="210"/>
      <c r="H4884" s="210"/>
    </row>
    <row r="4885" spans="3:8" x14ac:dyDescent="0.25">
      <c r="C4885" s="210"/>
      <c r="D4885" s="210"/>
      <c r="E4885" s="210"/>
      <c r="F4885" s="210"/>
      <c r="G4885" s="210"/>
      <c r="H4885" s="210"/>
    </row>
    <row r="4886" spans="3:8" x14ac:dyDescent="0.25">
      <c r="C4886" s="210"/>
      <c r="D4886" s="210"/>
      <c r="E4886" s="210"/>
      <c r="F4886" s="210"/>
      <c r="G4886" s="210"/>
      <c r="H4886" s="210"/>
    </row>
    <row r="4887" spans="3:8" x14ac:dyDescent="0.25">
      <c r="C4887" s="210"/>
      <c r="D4887" s="210"/>
      <c r="E4887" s="210"/>
      <c r="F4887" s="210"/>
      <c r="G4887" s="210"/>
      <c r="H4887" s="210"/>
    </row>
    <row r="4888" spans="3:8" x14ac:dyDescent="0.25">
      <c r="C4888" s="210"/>
      <c r="D4888" s="210"/>
      <c r="E4888" s="210"/>
      <c r="F4888" s="210"/>
      <c r="G4888" s="210"/>
      <c r="H4888" s="210"/>
    </row>
    <row r="4889" spans="3:8" x14ac:dyDescent="0.25">
      <c r="C4889" s="210"/>
      <c r="D4889" s="210"/>
      <c r="E4889" s="210"/>
      <c r="F4889" s="210"/>
      <c r="G4889" s="210"/>
      <c r="H4889" s="210"/>
    </row>
    <row r="4890" spans="3:8" x14ac:dyDescent="0.25">
      <c r="C4890" s="210"/>
      <c r="D4890" s="210"/>
      <c r="E4890" s="210"/>
      <c r="F4890" s="210"/>
      <c r="G4890" s="210"/>
      <c r="H4890" s="210"/>
    </row>
    <row r="4891" spans="3:8" x14ac:dyDescent="0.25">
      <c r="C4891" s="210"/>
      <c r="D4891" s="210"/>
      <c r="E4891" s="210"/>
      <c r="F4891" s="210"/>
      <c r="G4891" s="210"/>
      <c r="H4891" s="210"/>
    </row>
    <row r="4892" spans="3:8" x14ac:dyDescent="0.25">
      <c r="C4892" s="210"/>
      <c r="D4892" s="210"/>
      <c r="E4892" s="210"/>
      <c r="F4892" s="210"/>
      <c r="G4892" s="210"/>
      <c r="H4892" s="210"/>
    </row>
    <row r="4893" spans="3:8" x14ac:dyDescent="0.25">
      <c r="C4893" s="210"/>
      <c r="D4893" s="210"/>
      <c r="E4893" s="210"/>
      <c r="F4893" s="210"/>
      <c r="G4893" s="210"/>
      <c r="H4893" s="210"/>
    </row>
    <row r="4894" spans="3:8" x14ac:dyDescent="0.25">
      <c r="C4894" s="210"/>
      <c r="D4894" s="210"/>
      <c r="E4894" s="210"/>
      <c r="F4894" s="210"/>
      <c r="G4894" s="210"/>
      <c r="H4894" s="210"/>
    </row>
    <row r="4895" spans="3:8" x14ac:dyDescent="0.25">
      <c r="C4895" s="210"/>
      <c r="D4895" s="210"/>
      <c r="E4895" s="210"/>
      <c r="F4895" s="210"/>
      <c r="G4895" s="210"/>
      <c r="H4895" s="210"/>
    </row>
    <row r="4896" spans="3:8" x14ac:dyDescent="0.25">
      <c r="C4896" s="210"/>
      <c r="D4896" s="210"/>
      <c r="E4896" s="210"/>
      <c r="F4896" s="210"/>
      <c r="G4896" s="210"/>
      <c r="H4896" s="210"/>
    </row>
    <row r="4897" spans="3:8" x14ac:dyDescent="0.25">
      <c r="C4897" s="210"/>
      <c r="D4897" s="210"/>
      <c r="E4897" s="210"/>
      <c r="F4897" s="210"/>
      <c r="G4897" s="210"/>
      <c r="H4897" s="210"/>
    </row>
    <row r="4898" spans="3:8" x14ac:dyDescent="0.25">
      <c r="C4898" s="210"/>
      <c r="D4898" s="210"/>
      <c r="E4898" s="210"/>
      <c r="F4898" s="210"/>
      <c r="G4898" s="210"/>
      <c r="H4898" s="210"/>
    </row>
    <row r="4899" spans="3:8" x14ac:dyDescent="0.25">
      <c r="C4899" s="210"/>
      <c r="D4899" s="210"/>
      <c r="E4899" s="210"/>
      <c r="F4899" s="210"/>
      <c r="G4899" s="210"/>
      <c r="H4899" s="210"/>
    </row>
    <row r="4900" spans="3:8" x14ac:dyDescent="0.25">
      <c r="C4900" s="210"/>
      <c r="D4900" s="210"/>
      <c r="E4900" s="210"/>
      <c r="F4900" s="210"/>
      <c r="G4900" s="210"/>
      <c r="H4900" s="210"/>
    </row>
    <row r="4901" spans="3:8" x14ac:dyDescent="0.25">
      <c r="C4901" s="210"/>
      <c r="D4901" s="210"/>
      <c r="E4901" s="210"/>
      <c r="F4901" s="210"/>
      <c r="G4901" s="210"/>
      <c r="H4901" s="210"/>
    </row>
    <row r="4902" spans="3:8" x14ac:dyDescent="0.25">
      <c r="C4902" s="210"/>
      <c r="D4902" s="210"/>
      <c r="E4902" s="210"/>
      <c r="F4902" s="210"/>
      <c r="G4902" s="210"/>
      <c r="H4902" s="210"/>
    </row>
    <row r="4903" spans="3:8" x14ac:dyDescent="0.25">
      <c r="C4903" s="210"/>
      <c r="D4903" s="210"/>
      <c r="E4903" s="210"/>
      <c r="F4903" s="210"/>
      <c r="G4903" s="210"/>
      <c r="H4903" s="210"/>
    </row>
    <row r="4904" spans="3:8" x14ac:dyDescent="0.25">
      <c r="C4904" s="210"/>
      <c r="D4904" s="210"/>
      <c r="E4904" s="210"/>
      <c r="F4904" s="210"/>
      <c r="G4904" s="210"/>
      <c r="H4904" s="210"/>
    </row>
    <row r="4905" spans="3:8" x14ac:dyDescent="0.25">
      <c r="C4905" s="210"/>
      <c r="D4905" s="210"/>
      <c r="E4905" s="210"/>
      <c r="F4905" s="210"/>
      <c r="G4905" s="210"/>
      <c r="H4905" s="210"/>
    </row>
    <row r="4906" spans="3:8" x14ac:dyDescent="0.25">
      <c r="C4906" s="210"/>
      <c r="D4906" s="210"/>
      <c r="E4906" s="210"/>
      <c r="F4906" s="210"/>
      <c r="G4906" s="210"/>
      <c r="H4906" s="210"/>
    </row>
    <row r="4907" spans="3:8" x14ac:dyDescent="0.25">
      <c r="C4907" s="210"/>
      <c r="D4907" s="210"/>
      <c r="E4907" s="210"/>
      <c r="F4907" s="210"/>
      <c r="G4907" s="210"/>
      <c r="H4907" s="210"/>
    </row>
    <row r="4908" spans="3:8" x14ac:dyDescent="0.25">
      <c r="C4908" s="210"/>
      <c r="D4908" s="210"/>
      <c r="E4908" s="210"/>
      <c r="F4908" s="210"/>
      <c r="G4908" s="210"/>
      <c r="H4908" s="210"/>
    </row>
    <row r="4909" spans="3:8" x14ac:dyDescent="0.25">
      <c r="C4909" s="210"/>
      <c r="D4909" s="210"/>
      <c r="E4909" s="210"/>
      <c r="F4909" s="210"/>
      <c r="G4909" s="210"/>
      <c r="H4909" s="210"/>
    </row>
    <row r="4910" spans="3:8" x14ac:dyDescent="0.25">
      <c r="C4910" s="210"/>
      <c r="D4910" s="210"/>
      <c r="E4910" s="210"/>
      <c r="F4910" s="210"/>
      <c r="G4910" s="210"/>
      <c r="H4910" s="210"/>
    </row>
    <row r="4911" spans="3:8" x14ac:dyDescent="0.25">
      <c r="C4911" s="210"/>
      <c r="D4911" s="210"/>
      <c r="E4911" s="210"/>
      <c r="F4911" s="210"/>
      <c r="G4911" s="210"/>
      <c r="H4911" s="210"/>
    </row>
    <row r="4912" spans="3:8" x14ac:dyDescent="0.25">
      <c r="C4912" s="210"/>
      <c r="D4912" s="210"/>
      <c r="E4912" s="210"/>
      <c r="F4912" s="210"/>
      <c r="G4912" s="210"/>
      <c r="H4912" s="210"/>
    </row>
    <row r="4913" spans="3:8" x14ac:dyDescent="0.25">
      <c r="C4913" s="210"/>
      <c r="D4913" s="210"/>
      <c r="E4913" s="210"/>
      <c r="F4913" s="210"/>
      <c r="G4913" s="210"/>
      <c r="H4913" s="210"/>
    </row>
    <row r="4914" spans="3:8" x14ac:dyDescent="0.25">
      <c r="C4914" s="210"/>
      <c r="D4914" s="210"/>
      <c r="E4914" s="210"/>
      <c r="F4914" s="210"/>
      <c r="G4914" s="210"/>
      <c r="H4914" s="210"/>
    </row>
    <row r="4915" spans="3:8" x14ac:dyDescent="0.25">
      <c r="C4915" s="210"/>
      <c r="D4915" s="210"/>
      <c r="E4915" s="210"/>
      <c r="F4915" s="210"/>
      <c r="G4915" s="210"/>
      <c r="H4915" s="210"/>
    </row>
    <row r="4916" spans="3:8" x14ac:dyDescent="0.25">
      <c r="C4916" s="210"/>
      <c r="D4916" s="210"/>
      <c r="E4916" s="210"/>
      <c r="F4916" s="210"/>
      <c r="G4916" s="210"/>
      <c r="H4916" s="210"/>
    </row>
    <row r="4917" spans="3:8" x14ac:dyDescent="0.25">
      <c r="C4917" s="210"/>
      <c r="D4917" s="210"/>
      <c r="E4917" s="210"/>
      <c r="F4917" s="210"/>
      <c r="G4917" s="210"/>
      <c r="H4917" s="210"/>
    </row>
    <row r="4918" spans="3:8" x14ac:dyDescent="0.25">
      <c r="C4918" s="210"/>
      <c r="D4918" s="210"/>
      <c r="E4918" s="210"/>
      <c r="F4918" s="210"/>
      <c r="G4918" s="210"/>
      <c r="H4918" s="210"/>
    </row>
    <row r="4919" spans="3:8" x14ac:dyDescent="0.25">
      <c r="C4919" s="210"/>
      <c r="D4919" s="210"/>
      <c r="E4919" s="210"/>
      <c r="F4919" s="210"/>
      <c r="G4919" s="210"/>
      <c r="H4919" s="210"/>
    </row>
    <row r="4920" spans="3:8" x14ac:dyDescent="0.25">
      <c r="C4920" s="210"/>
      <c r="D4920" s="210"/>
      <c r="E4920" s="210"/>
      <c r="F4920" s="210"/>
      <c r="G4920" s="210"/>
      <c r="H4920" s="210"/>
    </row>
    <row r="4921" spans="3:8" x14ac:dyDescent="0.25">
      <c r="C4921" s="210"/>
      <c r="D4921" s="210"/>
      <c r="E4921" s="210"/>
      <c r="F4921" s="210"/>
      <c r="G4921" s="210"/>
      <c r="H4921" s="210"/>
    </row>
    <row r="4922" spans="3:8" x14ac:dyDescent="0.25">
      <c r="C4922" s="210"/>
      <c r="D4922" s="210"/>
      <c r="E4922" s="210"/>
      <c r="F4922" s="210"/>
      <c r="G4922" s="210"/>
      <c r="H4922" s="210"/>
    </row>
    <row r="4923" spans="3:8" x14ac:dyDescent="0.25">
      <c r="C4923" s="210"/>
      <c r="D4923" s="210"/>
      <c r="E4923" s="210"/>
      <c r="F4923" s="210"/>
      <c r="G4923" s="210"/>
      <c r="H4923" s="210"/>
    </row>
    <row r="4924" spans="3:8" x14ac:dyDescent="0.25">
      <c r="C4924" s="210"/>
      <c r="D4924" s="210"/>
      <c r="E4924" s="210"/>
      <c r="F4924" s="210"/>
      <c r="G4924" s="210"/>
      <c r="H4924" s="210"/>
    </row>
    <row r="4925" spans="3:8" x14ac:dyDescent="0.25">
      <c r="C4925" s="210"/>
      <c r="D4925" s="210"/>
      <c r="E4925" s="210"/>
      <c r="F4925" s="210"/>
      <c r="G4925" s="210"/>
      <c r="H4925" s="210"/>
    </row>
    <row r="4926" spans="3:8" x14ac:dyDescent="0.25">
      <c r="C4926" s="210"/>
      <c r="D4926" s="210"/>
      <c r="E4926" s="210"/>
      <c r="F4926" s="210"/>
      <c r="G4926" s="210"/>
      <c r="H4926" s="210"/>
    </row>
    <row r="4927" spans="3:8" x14ac:dyDescent="0.25">
      <c r="C4927" s="210"/>
      <c r="D4927" s="210"/>
      <c r="E4927" s="210"/>
      <c r="F4927" s="210"/>
      <c r="G4927" s="210"/>
      <c r="H4927" s="210"/>
    </row>
    <row r="4928" spans="3:8" x14ac:dyDescent="0.25">
      <c r="C4928" s="210"/>
      <c r="D4928" s="210"/>
      <c r="E4928" s="210"/>
      <c r="F4928" s="210"/>
      <c r="G4928" s="210"/>
      <c r="H4928" s="210"/>
    </row>
    <row r="4929" spans="3:8" x14ac:dyDescent="0.25">
      <c r="C4929" s="210"/>
      <c r="D4929" s="210"/>
      <c r="E4929" s="210"/>
      <c r="F4929" s="210"/>
      <c r="G4929" s="210"/>
      <c r="H4929" s="210"/>
    </row>
    <row r="4930" spans="3:8" x14ac:dyDescent="0.25">
      <c r="C4930" s="210"/>
      <c r="D4930" s="210"/>
      <c r="E4930" s="210"/>
      <c r="F4930" s="210"/>
      <c r="G4930" s="210"/>
      <c r="H4930" s="210"/>
    </row>
    <row r="4931" spans="3:8" x14ac:dyDescent="0.25">
      <c r="C4931" s="210"/>
      <c r="D4931" s="210"/>
      <c r="E4931" s="210"/>
      <c r="F4931" s="210"/>
      <c r="G4931" s="210"/>
      <c r="H4931" s="210"/>
    </row>
    <row r="4932" spans="3:8" x14ac:dyDescent="0.25">
      <c r="C4932" s="210"/>
      <c r="D4932" s="210"/>
      <c r="E4932" s="210"/>
      <c r="F4932" s="210"/>
      <c r="G4932" s="210"/>
      <c r="H4932" s="210"/>
    </row>
    <row r="4933" spans="3:8" x14ac:dyDescent="0.25">
      <c r="C4933" s="210"/>
      <c r="D4933" s="210"/>
      <c r="E4933" s="210"/>
      <c r="F4933" s="210"/>
      <c r="G4933" s="210"/>
      <c r="H4933" s="210"/>
    </row>
    <row r="4934" spans="3:8" x14ac:dyDescent="0.25">
      <c r="C4934" s="210"/>
      <c r="D4934" s="210"/>
      <c r="E4934" s="210"/>
      <c r="F4934" s="210"/>
      <c r="G4934" s="210"/>
      <c r="H4934" s="210"/>
    </row>
    <row r="4935" spans="3:8" x14ac:dyDescent="0.25">
      <c r="C4935" s="210"/>
      <c r="D4935" s="210"/>
      <c r="E4935" s="210"/>
      <c r="F4935" s="210"/>
      <c r="G4935" s="210"/>
      <c r="H4935" s="210"/>
    </row>
    <row r="4936" spans="3:8" x14ac:dyDescent="0.25">
      <c r="C4936" s="210"/>
      <c r="D4936" s="210"/>
      <c r="E4936" s="210"/>
      <c r="F4936" s="210"/>
      <c r="G4936" s="210"/>
      <c r="H4936" s="210"/>
    </row>
    <row r="4937" spans="3:8" x14ac:dyDescent="0.25">
      <c r="C4937" s="210"/>
      <c r="D4937" s="210"/>
      <c r="E4937" s="210"/>
      <c r="F4937" s="210"/>
      <c r="G4937" s="210"/>
      <c r="H4937" s="210"/>
    </row>
    <row r="4938" spans="3:8" x14ac:dyDescent="0.25">
      <c r="C4938" s="210"/>
      <c r="D4938" s="210"/>
      <c r="E4938" s="210"/>
      <c r="F4938" s="210"/>
      <c r="G4938" s="210"/>
      <c r="H4938" s="210"/>
    </row>
    <row r="4939" spans="3:8" x14ac:dyDescent="0.25">
      <c r="C4939" s="210"/>
      <c r="D4939" s="210"/>
      <c r="E4939" s="210"/>
      <c r="F4939" s="210"/>
      <c r="G4939" s="210"/>
      <c r="H4939" s="210"/>
    </row>
    <row r="4940" spans="3:8" x14ac:dyDescent="0.25">
      <c r="C4940" s="210"/>
      <c r="D4940" s="210"/>
      <c r="E4940" s="210"/>
      <c r="F4940" s="210"/>
      <c r="G4940" s="210"/>
      <c r="H4940" s="210"/>
    </row>
    <row r="4941" spans="3:8" x14ac:dyDescent="0.25">
      <c r="C4941" s="210"/>
      <c r="D4941" s="210"/>
      <c r="E4941" s="210"/>
      <c r="F4941" s="210"/>
      <c r="G4941" s="210"/>
      <c r="H4941" s="210"/>
    </row>
    <row r="4942" spans="3:8" x14ac:dyDescent="0.25">
      <c r="C4942" s="210"/>
      <c r="D4942" s="210"/>
      <c r="E4942" s="210"/>
      <c r="F4942" s="210"/>
      <c r="G4942" s="210"/>
      <c r="H4942" s="210"/>
    </row>
    <row r="4943" spans="3:8" x14ac:dyDescent="0.25">
      <c r="C4943" s="210"/>
      <c r="D4943" s="210"/>
      <c r="E4943" s="210"/>
      <c r="F4943" s="210"/>
      <c r="G4943" s="210"/>
      <c r="H4943" s="210"/>
    </row>
    <row r="4944" spans="3:8" x14ac:dyDescent="0.25">
      <c r="C4944" s="210"/>
      <c r="D4944" s="210"/>
      <c r="E4944" s="210"/>
      <c r="F4944" s="210"/>
      <c r="G4944" s="210"/>
      <c r="H4944" s="210"/>
    </row>
    <row r="4945" spans="3:8" x14ac:dyDescent="0.25">
      <c r="C4945" s="210"/>
      <c r="D4945" s="210"/>
      <c r="E4945" s="210"/>
      <c r="F4945" s="210"/>
      <c r="G4945" s="210"/>
      <c r="H4945" s="210"/>
    </row>
    <row r="4946" spans="3:8" x14ac:dyDescent="0.25">
      <c r="C4946" s="210"/>
      <c r="D4946" s="210"/>
      <c r="E4946" s="210"/>
      <c r="F4946" s="210"/>
      <c r="G4946" s="210"/>
      <c r="H4946" s="210"/>
    </row>
    <row r="4947" spans="3:8" x14ac:dyDescent="0.25">
      <c r="C4947" s="210"/>
      <c r="D4947" s="210"/>
      <c r="E4947" s="210"/>
      <c r="F4947" s="210"/>
      <c r="G4947" s="210"/>
      <c r="H4947" s="210"/>
    </row>
    <row r="4948" spans="3:8" x14ac:dyDescent="0.25">
      <c r="C4948" s="210"/>
      <c r="D4948" s="210"/>
      <c r="E4948" s="210"/>
      <c r="F4948" s="210"/>
      <c r="G4948" s="210"/>
      <c r="H4948" s="210"/>
    </row>
    <row r="4949" spans="3:8" x14ac:dyDescent="0.25">
      <c r="C4949" s="210"/>
      <c r="D4949" s="210"/>
      <c r="E4949" s="210"/>
      <c r="F4949" s="210"/>
      <c r="G4949" s="210"/>
      <c r="H4949" s="210"/>
    </row>
    <row r="4950" spans="3:8" x14ac:dyDescent="0.25">
      <c r="C4950" s="210"/>
      <c r="D4950" s="210"/>
      <c r="E4950" s="210"/>
      <c r="F4950" s="210"/>
      <c r="G4950" s="210"/>
      <c r="H4950" s="210"/>
    </row>
    <row r="4951" spans="3:8" x14ac:dyDescent="0.25">
      <c r="C4951" s="210"/>
      <c r="D4951" s="210"/>
      <c r="E4951" s="210"/>
      <c r="F4951" s="210"/>
      <c r="G4951" s="210"/>
      <c r="H4951" s="210"/>
    </row>
    <row r="4952" spans="3:8" x14ac:dyDescent="0.25">
      <c r="C4952" s="210"/>
      <c r="D4952" s="210"/>
      <c r="E4952" s="210"/>
      <c r="F4952" s="210"/>
      <c r="G4952" s="210"/>
      <c r="H4952" s="210"/>
    </row>
    <row r="4953" spans="3:8" x14ac:dyDescent="0.25">
      <c r="C4953" s="210"/>
      <c r="D4953" s="210"/>
      <c r="E4953" s="210"/>
      <c r="F4953" s="210"/>
      <c r="G4953" s="210"/>
      <c r="H4953" s="210"/>
    </row>
    <row r="4954" spans="3:8" x14ac:dyDescent="0.25">
      <c r="C4954" s="210"/>
      <c r="D4954" s="210"/>
      <c r="E4954" s="210"/>
      <c r="F4954" s="210"/>
      <c r="G4954" s="210"/>
      <c r="H4954" s="210"/>
    </row>
    <row r="4955" spans="3:8" x14ac:dyDescent="0.25">
      <c r="C4955" s="210"/>
      <c r="D4955" s="210"/>
      <c r="E4955" s="210"/>
      <c r="F4955" s="210"/>
      <c r="G4955" s="210"/>
      <c r="H4955" s="210"/>
    </row>
    <row r="4956" spans="3:8" x14ac:dyDescent="0.25">
      <c r="C4956" s="210"/>
      <c r="D4956" s="210"/>
      <c r="E4956" s="210"/>
      <c r="F4956" s="210"/>
      <c r="G4956" s="210"/>
      <c r="H4956" s="210"/>
    </row>
    <row r="4957" spans="3:8" x14ac:dyDescent="0.25">
      <c r="C4957" s="210"/>
      <c r="D4957" s="210"/>
      <c r="E4957" s="210"/>
      <c r="F4957" s="210"/>
      <c r="G4957" s="210"/>
      <c r="H4957" s="210"/>
    </row>
    <row r="4958" spans="3:8" x14ac:dyDescent="0.25">
      <c r="C4958" s="210"/>
      <c r="D4958" s="210"/>
      <c r="E4958" s="210"/>
      <c r="F4958" s="210"/>
      <c r="G4958" s="210"/>
      <c r="H4958" s="210"/>
    </row>
    <row r="4959" spans="3:8" x14ac:dyDescent="0.25">
      <c r="C4959" s="210"/>
      <c r="D4959" s="210"/>
      <c r="E4959" s="210"/>
      <c r="F4959" s="210"/>
      <c r="G4959" s="210"/>
      <c r="H4959" s="210"/>
    </row>
    <row r="4960" spans="3:8" x14ac:dyDescent="0.25">
      <c r="C4960" s="210"/>
      <c r="D4960" s="210"/>
      <c r="E4960" s="210"/>
      <c r="F4960" s="210"/>
      <c r="G4960" s="210"/>
      <c r="H4960" s="210"/>
    </row>
    <row r="4961" spans="3:8" x14ac:dyDescent="0.25">
      <c r="C4961" s="210"/>
      <c r="D4961" s="210"/>
      <c r="E4961" s="210"/>
      <c r="F4961" s="210"/>
      <c r="G4961" s="210"/>
      <c r="H4961" s="210"/>
    </row>
    <row r="4962" spans="3:8" x14ac:dyDescent="0.25">
      <c r="C4962" s="210"/>
      <c r="D4962" s="210"/>
      <c r="E4962" s="210"/>
      <c r="F4962" s="210"/>
      <c r="G4962" s="210"/>
      <c r="H4962" s="210"/>
    </row>
    <row r="4963" spans="3:8" x14ac:dyDescent="0.25">
      <c r="C4963" s="210"/>
      <c r="D4963" s="210"/>
      <c r="E4963" s="210"/>
      <c r="F4963" s="210"/>
      <c r="G4963" s="210"/>
      <c r="H4963" s="210"/>
    </row>
    <row r="4964" spans="3:8" x14ac:dyDescent="0.25">
      <c r="C4964" s="210"/>
      <c r="D4964" s="210"/>
      <c r="E4964" s="210"/>
      <c r="F4964" s="210"/>
      <c r="G4964" s="210"/>
      <c r="H4964" s="210"/>
    </row>
    <row r="4965" spans="3:8" x14ac:dyDescent="0.25">
      <c r="C4965" s="210"/>
      <c r="D4965" s="210"/>
      <c r="E4965" s="210"/>
      <c r="F4965" s="210"/>
      <c r="G4965" s="210"/>
      <c r="H4965" s="210"/>
    </row>
    <row r="4966" spans="3:8" x14ac:dyDescent="0.25">
      <c r="C4966" s="210"/>
      <c r="D4966" s="210"/>
      <c r="E4966" s="210"/>
      <c r="F4966" s="210"/>
      <c r="G4966" s="210"/>
      <c r="H4966" s="210"/>
    </row>
    <row r="4967" spans="3:8" x14ac:dyDescent="0.25">
      <c r="C4967" s="210"/>
      <c r="D4967" s="210"/>
      <c r="E4967" s="210"/>
      <c r="F4967" s="210"/>
      <c r="G4967" s="210"/>
      <c r="H4967" s="210"/>
    </row>
    <row r="4968" spans="3:8" x14ac:dyDescent="0.25">
      <c r="C4968" s="210"/>
      <c r="D4968" s="210"/>
      <c r="E4968" s="210"/>
      <c r="F4968" s="210"/>
      <c r="G4968" s="210"/>
      <c r="H4968" s="210"/>
    </row>
    <row r="4969" spans="3:8" x14ac:dyDescent="0.25">
      <c r="C4969" s="210"/>
      <c r="D4969" s="210"/>
      <c r="E4969" s="210"/>
      <c r="F4969" s="210"/>
      <c r="G4969" s="210"/>
      <c r="H4969" s="210"/>
    </row>
    <row r="4970" spans="3:8" x14ac:dyDescent="0.25">
      <c r="C4970" s="210"/>
      <c r="D4970" s="210"/>
      <c r="E4970" s="210"/>
      <c r="F4970" s="210"/>
      <c r="G4970" s="210"/>
      <c r="H4970" s="210"/>
    </row>
    <row r="4971" spans="3:8" x14ac:dyDescent="0.25">
      <c r="C4971" s="210"/>
      <c r="D4971" s="210"/>
      <c r="E4971" s="210"/>
      <c r="F4971" s="210"/>
      <c r="G4971" s="210"/>
      <c r="H4971" s="210"/>
    </row>
    <row r="4972" spans="3:8" x14ac:dyDescent="0.25">
      <c r="C4972" s="210"/>
      <c r="D4972" s="210"/>
      <c r="E4972" s="210"/>
      <c r="F4972" s="210"/>
      <c r="G4972" s="210"/>
      <c r="H4972" s="210"/>
    </row>
    <row r="4973" spans="3:8" x14ac:dyDescent="0.25">
      <c r="C4973" s="210"/>
      <c r="D4973" s="210"/>
      <c r="E4973" s="210"/>
      <c r="F4973" s="210"/>
      <c r="G4973" s="210"/>
      <c r="H4973" s="210"/>
    </row>
    <row r="4974" spans="3:8" x14ac:dyDescent="0.25">
      <c r="C4974" s="210"/>
      <c r="D4974" s="210"/>
      <c r="E4974" s="210"/>
      <c r="F4974" s="210"/>
      <c r="G4974" s="210"/>
      <c r="H4974" s="210"/>
    </row>
    <row r="4975" spans="3:8" x14ac:dyDescent="0.25">
      <c r="C4975" s="210"/>
      <c r="D4975" s="210"/>
      <c r="E4975" s="210"/>
      <c r="F4975" s="210"/>
      <c r="G4975" s="210"/>
      <c r="H4975" s="210"/>
    </row>
    <row r="4976" spans="3:8" x14ac:dyDescent="0.25">
      <c r="C4976" s="210"/>
      <c r="D4976" s="210"/>
      <c r="E4976" s="210"/>
      <c r="F4976" s="210"/>
      <c r="G4976" s="210"/>
      <c r="H4976" s="210"/>
    </row>
    <row r="4977" spans="3:8" x14ac:dyDescent="0.25">
      <c r="C4977" s="210"/>
      <c r="D4977" s="210"/>
      <c r="E4977" s="210"/>
      <c r="F4977" s="210"/>
      <c r="G4977" s="210"/>
      <c r="H4977" s="210"/>
    </row>
    <row r="4978" spans="3:8" x14ac:dyDescent="0.25">
      <c r="C4978" s="210"/>
      <c r="D4978" s="210"/>
      <c r="E4978" s="210"/>
      <c r="F4978" s="210"/>
      <c r="G4978" s="210"/>
      <c r="H4978" s="210"/>
    </row>
    <row r="4979" spans="3:8" x14ac:dyDescent="0.25">
      <c r="C4979" s="210"/>
      <c r="D4979" s="210"/>
      <c r="E4979" s="210"/>
      <c r="F4979" s="210"/>
      <c r="G4979" s="210"/>
      <c r="H4979" s="210"/>
    </row>
    <row r="4980" spans="3:8" x14ac:dyDescent="0.25">
      <c r="C4980" s="210"/>
      <c r="D4980" s="210"/>
      <c r="E4980" s="210"/>
      <c r="F4980" s="210"/>
      <c r="G4980" s="210"/>
      <c r="H4980" s="210"/>
    </row>
    <row r="4981" spans="3:8" x14ac:dyDescent="0.25">
      <c r="C4981" s="210"/>
      <c r="D4981" s="210"/>
      <c r="E4981" s="210"/>
      <c r="F4981" s="210"/>
      <c r="G4981" s="210"/>
      <c r="H4981" s="210"/>
    </row>
    <row r="4982" spans="3:8" x14ac:dyDescent="0.25">
      <c r="C4982" s="210"/>
      <c r="D4982" s="210"/>
      <c r="E4982" s="210"/>
      <c r="F4982" s="210"/>
      <c r="G4982" s="210"/>
      <c r="H4982" s="210"/>
    </row>
    <row r="4983" spans="3:8" x14ac:dyDescent="0.25">
      <c r="C4983" s="210"/>
      <c r="D4983" s="210"/>
      <c r="E4983" s="210"/>
      <c r="F4983" s="210"/>
      <c r="G4983" s="210"/>
      <c r="H4983" s="210"/>
    </row>
    <row r="4984" spans="3:8" x14ac:dyDescent="0.25">
      <c r="C4984" s="210"/>
      <c r="D4984" s="210"/>
      <c r="E4984" s="210"/>
      <c r="F4984" s="210"/>
      <c r="G4984" s="210"/>
      <c r="H4984" s="210"/>
    </row>
    <row r="4985" spans="3:8" x14ac:dyDescent="0.25">
      <c r="C4985" s="210"/>
      <c r="D4985" s="210"/>
      <c r="E4985" s="210"/>
      <c r="F4985" s="210"/>
      <c r="G4985" s="210"/>
      <c r="H4985" s="210"/>
    </row>
    <row r="4986" spans="3:8" x14ac:dyDescent="0.25">
      <c r="C4986" s="210"/>
      <c r="D4986" s="210"/>
      <c r="E4986" s="210"/>
      <c r="F4986" s="210"/>
      <c r="G4986" s="210"/>
      <c r="H4986" s="210"/>
    </row>
    <row r="4987" spans="3:8" x14ac:dyDescent="0.25">
      <c r="C4987" s="210"/>
      <c r="D4987" s="210"/>
      <c r="E4987" s="210"/>
      <c r="F4987" s="210"/>
      <c r="G4987" s="210"/>
      <c r="H4987" s="210"/>
    </row>
    <row r="4988" spans="3:8" x14ac:dyDescent="0.25">
      <c r="C4988" s="210"/>
      <c r="D4988" s="210"/>
      <c r="E4988" s="210"/>
      <c r="F4988" s="210"/>
      <c r="G4988" s="210"/>
      <c r="H4988" s="210"/>
    </row>
    <row r="4989" spans="3:8" x14ac:dyDescent="0.25">
      <c r="C4989" s="210"/>
      <c r="D4989" s="210"/>
      <c r="E4989" s="210"/>
      <c r="F4989" s="210"/>
      <c r="G4989" s="210"/>
      <c r="H4989" s="210"/>
    </row>
    <row r="4990" spans="3:8" x14ac:dyDescent="0.25">
      <c r="C4990" s="210"/>
      <c r="D4990" s="210"/>
      <c r="E4990" s="210"/>
      <c r="F4990" s="210"/>
      <c r="G4990" s="210"/>
      <c r="H4990" s="210"/>
    </row>
    <row r="4991" spans="3:8" x14ac:dyDescent="0.25">
      <c r="C4991" s="210"/>
      <c r="D4991" s="210"/>
      <c r="E4991" s="210"/>
      <c r="F4991" s="210"/>
      <c r="G4991" s="210"/>
      <c r="H4991" s="210"/>
    </row>
    <row r="4992" spans="3:8" x14ac:dyDescent="0.25">
      <c r="C4992" s="210"/>
      <c r="D4992" s="210"/>
      <c r="E4992" s="210"/>
      <c r="F4992" s="210"/>
      <c r="G4992" s="210"/>
      <c r="H4992" s="210"/>
    </row>
    <row r="4993" spans="3:8" x14ac:dyDescent="0.25">
      <c r="C4993" s="210"/>
      <c r="D4993" s="210"/>
      <c r="E4993" s="210"/>
      <c r="F4993" s="210"/>
      <c r="G4993" s="210"/>
      <c r="H4993" s="210"/>
    </row>
    <row r="4994" spans="3:8" x14ac:dyDescent="0.25">
      <c r="C4994" s="210"/>
      <c r="D4994" s="210"/>
      <c r="E4994" s="210"/>
      <c r="F4994" s="210"/>
      <c r="G4994" s="210"/>
      <c r="H4994" s="210"/>
    </row>
    <row r="4995" spans="3:8" x14ac:dyDescent="0.25">
      <c r="C4995" s="210"/>
      <c r="D4995" s="210"/>
      <c r="E4995" s="210"/>
      <c r="F4995" s="210"/>
      <c r="G4995" s="210"/>
      <c r="H4995" s="210"/>
    </row>
    <row r="4996" spans="3:8" x14ac:dyDescent="0.25">
      <c r="C4996" s="210"/>
      <c r="D4996" s="210"/>
      <c r="E4996" s="210"/>
      <c r="F4996" s="210"/>
      <c r="G4996" s="210"/>
      <c r="H4996" s="210"/>
    </row>
    <row r="4997" spans="3:8" x14ac:dyDescent="0.25">
      <c r="C4997" s="210"/>
      <c r="D4997" s="210"/>
      <c r="E4997" s="210"/>
      <c r="F4997" s="210"/>
      <c r="G4997" s="210"/>
      <c r="H4997" s="210"/>
    </row>
    <row r="4998" spans="3:8" x14ac:dyDescent="0.25">
      <c r="C4998" s="210"/>
      <c r="D4998" s="210"/>
      <c r="E4998" s="210"/>
      <c r="F4998" s="210"/>
      <c r="G4998" s="210"/>
      <c r="H4998" s="210"/>
    </row>
    <row r="4999" spans="3:8" x14ac:dyDescent="0.25">
      <c r="C4999" s="210"/>
      <c r="D4999" s="210"/>
      <c r="E4999" s="210"/>
      <c r="F4999" s="210"/>
      <c r="G4999" s="210"/>
      <c r="H4999" s="210"/>
    </row>
    <row r="5000" spans="3:8" x14ac:dyDescent="0.25">
      <c r="C5000" s="210"/>
      <c r="D5000" s="210"/>
      <c r="E5000" s="210"/>
      <c r="F5000" s="210"/>
      <c r="G5000" s="210"/>
      <c r="H5000" s="210"/>
    </row>
    <row r="5001" spans="3:8" x14ac:dyDescent="0.25">
      <c r="C5001" s="210"/>
      <c r="D5001" s="210"/>
      <c r="E5001" s="210"/>
      <c r="F5001" s="210"/>
      <c r="G5001" s="210"/>
      <c r="H5001" s="210"/>
    </row>
    <row r="5002" spans="3:8" x14ac:dyDescent="0.25">
      <c r="C5002" s="210"/>
      <c r="D5002" s="210"/>
      <c r="E5002" s="210"/>
      <c r="F5002" s="210"/>
      <c r="G5002" s="210"/>
      <c r="H5002" s="210"/>
    </row>
    <row r="5003" spans="3:8" x14ac:dyDescent="0.25">
      <c r="C5003" s="210"/>
      <c r="D5003" s="210"/>
      <c r="E5003" s="210"/>
      <c r="F5003" s="210"/>
      <c r="G5003" s="210"/>
      <c r="H5003" s="210"/>
    </row>
    <row r="5004" spans="3:8" x14ac:dyDescent="0.25">
      <c r="C5004" s="210"/>
      <c r="D5004" s="210"/>
      <c r="E5004" s="210"/>
      <c r="F5004" s="210"/>
      <c r="G5004" s="210"/>
      <c r="H5004" s="210"/>
    </row>
    <row r="5005" spans="3:8" x14ac:dyDescent="0.25">
      <c r="C5005" s="210"/>
      <c r="D5005" s="210"/>
      <c r="E5005" s="210"/>
      <c r="F5005" s="210"/>
      <c r="G5005" s="210"/>
      <c r="H5005" s="210"/>
    </row>
    <row r="5006" spans="3:8" x14ac:dyDescent="0.25">
      <c r="C5006" s="210"/>
      <c r="D5006" s="210"/>
      <c r="E5006" s="210"/>
      <c r="F5006" s="210"/>
      <c r="G5006" s="210"/>
      <c r="H5006" s="210"/>
    </row>
    <row r="5007" spans="3:8" x14ac:dyDescent="0.25">
      <c r="C5007" s="210"/>
      <c r="D5007" s="210"/>
      <c r="E5007" s="210"/>
      <c r="F5007" s="210"/>
      <c r="G5007" s="210"/>
      <c r="H5007" s="210"/>
    </row>
    <row r="5008" spans="3:8" x14ac:dyDescent="0.25">
      <c r="C5008" s="210"/>
      <c r="D5008" s="210"/>
      <c r="E5008" s="210"/>
      <c r="F5008" s="210"/>
      <c r="G5008" s="210"/>
      <c r="H5008" s="210"/>
    </row>
    <row r="5009" spans="3:8" x14ac:dyDescent="0.25">
      <c r="C5009" s="210"/>
      <c r="D5009" s="210"/>
      <c r="E5009" s="210"/>
      <c r="F5009" s="210"/>
      <c r="G5009" s="210"/>
      <c r="H5009" s="210"/>
    </row>
    <row r="5010" spans="3:8" x14ac:dyDescent="0.25">
      <c r="C5010" s="210"/>
      <c r="D5010" s="210"/>
      <c r="E5010" s="210"/>
      <c r="F5010" s="210"/>
      <c r="G5010" s="210"/>
      <c r="H5010" s="210"/>
    </row>
    <row r="5011" spans="3:8" x14ac:dyDescent="0.25">
      <c r="C5011" s="210"/>
      <c r="D5011" s="210"/>
      <c r="E5011" s="210"/>
      <c r="F5011" s="210"/>
      <c r="G5011" s="210"/>
      <c r="H5011" s="210"/>
    </row>
    <row r="5012" spans="3:8" x14ac:dyDescent="0.25">
      <c r="C5012" s="210"/>
      <c r="D5012" s="210"/>
      <c r="E5012" s="210"/>
      <c r="F5012" s="210"/>
      <c r="G5012" s="210"/>
      <c r="H5012" s="210"/>
    </row>
    <row r="5013" spans="3:8" x14ac:dyDescent="0.25">
      <c r="C5013" s="210"/>
      <c r="D5013" s="210"/>
      <c r="E5013" s="210"/>
      <c r="F5013" s="210"/>
      <c r="G5013" s="210"/>
      <c r="H5013" s="210"/>
    </row>
    <row r="5014" spans="3:8" x14ac:dyDescent="0.25">
      <c r="C5014" s="210"/>
      <c r="D5014" s="210"/>
      <c r="E5014" s="210"/>
      <c r="F5014" s="210"/>
      <c r="G5014" s="210"/>
      <c r="H5014" s="210"/>
    </row>
    <row r="5015" spans="3:8" x14ac:dyDescent="0.25">
      <c r="C5015" s="210"/>
      <c r="D5015" s="210"/>
      <c r="E5015" s="210"/>
      <c r="F5015" s="210"/>
      <c r="G5015" s="210"/>
      <c r="H5015" s="210"/>
    </row>
    <row r="5016" spans="3:8" x14ac:dyDescent="0.25">
      <c r="C5016" s="210"/>
      <c r="D5016" s="210"/>
      <c r="E5016" s="210"/>
      <c r="F5016" s="210"/>
      <c r="G5016" s="210"/>
      <c r="H5016" s="210"/>
    </row>
    <row r="5017" spans="3:8" x14ac:dyDescent="0.25">
      <c r="C5017" s="210"/>
      <c r="D5017" s="210"/>
      <c r="E5017" s="210"/>
      <c r="F5017" s="210"/>
      <c r="G5017" s="210"/>
      <c r="H5017" s="210"/>
    </row>
    <row r="5018" spans="3:8" x14ac:dyDescent="0.25">
      <c r="C5018" s="210"/>
      <c r="D5018" s="210"/>
      <c r="E5018" s="210"/>
      <c r="F5018" s="210"/>
      <c r="G5018" s="210"/>
      <c r="H5018" s="210"/>
    </row>
    <row r="5019" spans="3:8" x14ac:dyDescent="0.25">
      <c r="C5019" s="210"/>
      <c r="D5019" s="210"/>
      <c r="E5019" s="210"/>
      <c r="F5019" s="210"/>
      <c r="G5019" s="210"/>
      <c r="H5019" s="210"/>
    </row>
    <row r="5020" spans="3:8" x14ac:dyDescent="0.25">
      <c r="C5020" s="210"/>
      <c r="D5020" s="210"/>
      <c r="E5020" s="210"/>
      <c r="F5020" s="210"/>
      <c r="G5020" s="210"/>
      <c r="H5020" s="210"/>
    </row>
    <row r="5021" spans="3:8" x14ac:dyDescent="0.25">
      <c r="C5021" s="210"/>
      <c r="D5021" s="210"/>
      <c r="E5021" s="210"/>
      <c r="F5021" s="210"/>
      <c r="G5021" s="210"/>
      <c r="H5021" s="210"/>
    </row>
    <row r="5022" spans="3:8" x14ac:dyDescent="0.25">
      <c r="C5022" s="210"/>
      <c r="D5022" s="210"/>
      <c r="E5022" s="210"/>
      <c r="F5022" s="210"/>
      <c r="G5022" s="210"/>
      <c r="H5022" s="210"/>
    </row>
    <row r="5023" spans="3:8" x14ac:dyDescent="0.25">
      <c r="C5023" s="210"/>
      <c r="D5023" s="210"/>
      <c r="E5023" s="210"/>
      <c r="F5023" s="210"/>
      <c r="G5023" s="210"/>
      <c r="H5023" s="210"/>
    </row>
    <row r="5024" spans="3:8" x14ac:dyDescent="0.25">
      <c r="C5024" s="210"/>
      <c r="D5024" s="210"/>
      <c r="E5024" s="210"/>
      <c r="F5024" s="210"/>
      <c r="G5024" s="210"/>
      <c r="H5024" s="210"/>
    </row>
    <row r="5025" spans="3:8" x14ac:dyDescent="0.25">
      <c r="C5025" s="210"/>
      <c r="D5025" s="210"/>
      <c r="E5025" s="210"/>
      <c r="F5025" s="210"/>
      <c r="G5025" s="210"/>
      <c r="H5025" s="210"/>
    </row>
    <row r="5026" spans="3:8" x14ac:dyDescent="0.25">
      <c r="C5026" s="210"/>
      <c r="D5026" s="210"/>
      <c r="E5026" s="210"/>
      <c r="F5026" s="210"/>
      <c r="G5026" s="210"/>
      <c r="H5026" s="210"/>
    </row>
    <row r="5027" spans="3:8" x14ac:dyDescent="0.25">
      <c r="C5027" s="210"/>
      <c r="D5027" s="210"/>
      <c r="E5027" s="210"/>
      <c r="F5027" s="210"/>
      <c r="G5027" s="210"/>
      <c r="H5027" s="210"/>
    </row>
    <row r="5028" spans="3:8" x14ac:dyDescent="0.25">
      <c r="C5028" s="210"/>
      <c r="D5028" s="210"/>
      <c r="E5028" s="210"/>
      <c r="F5028" s="210"/>
      <c r="G5028" s="210"/>
      <c r="H5028" s="210"/>
    </row>
    <row r="5029" spans="3:8" x14ac:dyDescent="0.25">
      <c r="C5029" s="210"/>
      <c r="D5029" s="210"/>
      <c r="E5029" s="210"/>
      <c r="F5029" s="210"/>
      <c r="G5029" s="210"/>
      <c r="H5029" s="210"/>
    </row>
    <row r="5030" spans="3:8" x14ac:dyDescent="0.25">
      <c r="C5030" s="210"/>
      <c r="D5030" s="210"/>
      <c r="E5030" s="210"/>
      <c r="F5030" s="210"/>
      <c r="G5030" s="210"/>
      <c r="H5030" s="210"/>
    </row>
    <row r="5031" spans="3:8" x14ac:dyDescent="0.25">
      <c r="C5031" s="210"/>
      <c r="D5031" s="210"/>
      <c r="E5031" s="210"/>
      <c r="F5031" s="210"/>
      <c r="G5031" s="210"/>
      <c r="H5031" s="210"/>
    </row>
    <row r="5032" spans="3:8" x14ac:dyDescent="0.25">
      <c r="C5032" s="210"/>
      <c r="D5032" s="210"/>
      <c r="E5032" s="210"/>
      <c r="F5032" s="210"/>
      <c r="G5032" s="210"/>
      <c r="H5032" s="210"/>
    </row>
    <row r="5033" spans="3:8" x14ac:dyDescent="0.25">
      <c r="C5033" s="210"/>
      <c r="D5033" s="210"/>
      <c r="E5033" s="210"/>
      <c r="F5033" s="210"/>
      <c r="G5033" s="210"/>
      <c r="H5033" s="210"/>
    </row>
    <row r="5034" spans="3:8" x14ac:dyDescent="0.25">
      <c r="C5034" s="210"/>
      <c r="D5034" s="210"/>
      <c r="E5034" s="210"/>
      <c r="F5034" s="210"/>
      <c r="G5034" s="210"/>
      <c r="H5034" s="210"/>
    </row>
    <row r="5035" spans="3:8" x14ac:dyDescent="0.25">
      <c r="C5035" s="210"/>
      <c r="D5035" s="210"/>
      <c r="E5035" s="210"/>
      <c r="F5035" s="210"/>
      <c r="G5035" s="210"/>
      <c r="H5035" s="210"/>
    </row>
    <row r="5036" spans="3:8" x14ac:dyDescent="0.25">
      <c r="C5036" s="210"/>
      <c r="D5036" s="210"/>
      <c r="E5036" s="210"/>
      <c r="F5036" s="210"/>
      <c r="G5036" s="210"/>
      <c r="H5036" s="210"/>
    </row>
    <row r="5037" spans="3:8" x14ac:dyDescent="0.25">
      <c r="C5037" s="210"/>
      <c r="D5037" s="210"/>
      <c r="E5037" s="210"/>
      <c r="F5037" s="210"/>
      <c r="G5037" s="210"/>
      <c r="H5037" s="210"/>
    </row>
    <row r="5038" spans="3:8" x14ac:dyDescent="0.25">
      <c r="C5038" s="210"/>
      <c r="D5038" s="210"/>
      <c r="E5038" s="210"/>
      <c r="F5038" s="210"/>
      <c r="G5038" s="210"/>
      <c r="H5038" s="210"/>
    </row>
    <row r="5039" spans="3:8" x14ac:dyDescent="0.25">
      <c r="C5039" s="210"/>
      <c r="D5039" s="210"/>
      <c r="E5039" s="210"/>
      <c r="F5039" s="210"/>
      <c r="G5039" s="210"/>
      <c r="H5039" s="210"/>
    </row>
    <row r="5040" spans="3:8" x14ac:dyDescent="0.25">
      <c r="C5040" s="210"/>
      <c r="D5040" s="210"/>
      <c r="E5040" s="210"/>
      <c r="F5040" s="210"/>
      <c r="G5040" s="210"/>
      <c r="H5040" s="210"/>
    </row>
    <row r="5041" spans="3:8" x14ac:dyDescent="0.25">
      <c r="C5041" s="210"/>
      <c r="D5041" s="210"/>
      <c r="E5041" s="210"/>
      <c r="F5041" s="210"/>
      <c r="G5041" s="210"/>
      <c r="H5041" s="210"/>
    </row>
    <row r="5042" spans="3:8" x14ac:dyDescent="0.25">
      <c r="C5042" s="210"/>
      <c r="D5042" s="210"/>
      <c r="E5042" s="210"/>
      <c r="F5042" s="210"/>
      <c r="G5042" s="210"/>
      <c r="H5042" s="210"/>
    </row>
    <row r="5043" spans="3:8" x14ac:dyDescent="0.25">
      <c r="C5043" s="210"/>
      <c r="D5043" s="210"/>
      <c r="E5043" s="210"/>
      <c r="F5043" s="210"/>
      <c r="G5043" s="210"/>
      <c r="H5043" s="210"/>
    </row>
    <row r="5044" spans="3:8" x14ac:dyDescent="0.25">
      <c r="C5044" s="210"/>
      <c r="D5044" s="210"/>
      <c r="E5044" s="210"/>
      <c r="F5044" s="210"/>
      <c r="G5044" s="210"/>
      <c r="H5044" s="210"/>
    </row>
    <row r="5045" spans="3:8" x14ac:dyDescent="0.25">
      <c r="C5045" s="210"/>
      <c r="D5045" s="210"/>
      <c r="E5045" s="210"/>
      <c r="F5045" s="210"/>
      <c r="G5045" s="210"/>
      <c r="H5045" s="210"/>
    </row>
    <row r="5046" spans="3:8" x14ac:dyDescent="0.25">
      <c r="C5046" s="210"/>
      <c r="D5046" s="210"/>
      <c r="E5046" s="210"/>
      <c r="F5046" s="210"/>
      <c r="G5046" s="210"/>
      <c r="H5046" s="210"/>
    </row>
    <row r="5047" spans="3:8" x14ac:dyDescent="0.25">
      <c r="C5047" s="210"/>
      <c r="D5047" s="210"/>
      <c r="E5047" s="210"/>
      <c r="F5047" s="210"/>
      <c r="G5047" s="210"/>
      <c r="H5047" s="210"/>
    </row>
    <row r="5048" spans="3:8" x14ac:dyDescent="0.25">
      <c r="C5048" s="210"/>
      <c r="D5048" s="210"/>
      <c r="E5048" s="210"/>
      <c r="F5048" s="210"/>
      <c r="G5048" s="210"/>
      <c r="H5048" s="210"/>
    </row>
    <row r="5049" spans="3:8" x14ac:dyDescent="0.25">
      <c r="C5049" s="210"/>
      <c r="D5049" s="210"/>
      <c r="E5049" s="210"/>
      <c r="F5049" s="210"/>
      <c r="G5049" s="210"/>
      <c r="H5049" s="210"/>
    </row>
    <row r="5050" spans="3:8" x14ac:dyDescent="0.25">
      <c r="C5050" s="210"/>
      <c r="D5050" s="210"/>
      <c r="E5050" s="210"/>
      <c r="F5050" s="210"/>
      <c r="G5050" s="210"/>
      <c r="H5050" s="210"/>
    </row>
    <row r="5051" spans="3:8" x14ac:dyDescent="0.25">
      <c r="C5051" s="210"/>
      <c r="D5051" s="210"/>
      <c r="E5051" s="210"/>
      <c r="F5051" s="210"/>
      <c r="G5051" s="210"/>
      <c r="H5051" s="210"/>
    </row>
    <row r="5052" spans="3:8" x14ac:dyDescent="0.25">
      <c r="C5052" s="210"/>
      <c r="D5052" s="210"/>
      <c r="E5052" s="210"/>
      <c r="F5052" s="210"/>
      <c r="G5052" s="210"/>
      <c r="H5052" s="210"/>
    </row>
    <row r="5053" spans="3:8" x14ac:dyDescent="0.25">
      <c r="C5053" s="210"/>
      <c r="D5053" s="210"/>
      <c r="E5053" s="210"/>
      <c r="F5053" s="210"/>
      <c r="G5053" s="210"/>
      <c r="H5053" s="210"/>
    </row>
    <row r="5054" spans="3:8" x14ac:dyDescent="0.25">
      <c r="C5054" s="210"/>
      <c r="D5054" s="210"/>
      <c r="E5054" s="210"/>
      <c r="F5054" s="210"/>
      <c r="G5054" s="210"/>
      <c r="H5054" s="210"/>
    </row>
    <row r="5055" spans="3:8" x14ac:dyDescent="0.25">
      <c r="C5055" s="210"/>
      <c r="D5055" s="210"/>
      <c r="E5055" s="210"/>
      <c r="F5055" s="210"/>
      <c r="G5055" s="210"/>
      <c r="H5055" s="210"/>
    </row>
    <row r="5056" spans="3:8" x14ac:dyDescent="0.25">
      <c r="C5056" s="210"/>
      <c r="D5056" s="210"/>
      <c r="E5056" s="210"/>
      <c r="F5056" s="210"/>
      <c r="G5056" s="210"/>
      <c r="H5056" s="210"/>
    </row>
    <row r="5057" spans="3:8" x14ac:dyDescent="0.25">
      <c r="C5057" s="210"/>
      <c r="D5057" s="210"/>
      <c r="E5057" s="210"/>
      <c r="F5057" s="210"/>
      <c r="G5057" s="210"/>
      <c r="H5057" s="210"/>
    </row>
    <row r="5058" spans="3:8" x14ac:dyDescent="0.25">
      <c r="C5058" s="210"/>
      <c r="D5058" s="210"/>
      <c r="E5058" s="210"/>
      <c r="F5058" s="210"/>
      <c r="G5058" s="210"/>
      <c r="H5058" s="210"/>
    </row>
    <row r="5059" spans="3:8" x14ac:dyDescent="0.25">
      <c r="C5059" s="210"/>
      <c r="D5059" s="210"/>
      <c r="E5059" s="210"/>
      <c r="F5059" s="210"/>
      <c r="G5059" s="210"/>
      <c r="H5059" s="210"/>
    </row>
    <row r="5060" spans="3:8" x14ac:dyDescent="0.25">
      <c r="C5060" s="210"/>
      <c r="D5060" s="210"/>
      <c r="E5060" s="210"/>
      <c r="F5060" s="210"/>
      <c r="G5060" s="210"/>
      <c r="H5060" s="210"/>
    </row>
    <row r="5061" spans="3:8" x14ac:dyDescent="0.25">
      <c r="C5061" s="210"/>
      <c r="D5061" s="210"/>
      <c r="E5061" s="210"/>
      <c r="F5061" s="210"/>
      <c r="G5061" s="210"/>
      <c r="H5061" s="210"/>
    </row>
    <row r="5062" spans="3:8" x14ac:dyDescent="0.25">
      <c r="C5062" s="210"/>
      <c r="D5062" s="210"/>
      <c r="E5062" s="210"/>
      <c r="F5062" s="210"/>
      <c r="G5062" s="210"/>
      <c r="H5062" s="210"/>
    </row>
    <row r="5063" spans="3:8" x14ac:dyDescent="0.25">
      <c r="C5063" s="210"/>
      <c r="D5063" s="210"/>
      <c r="E5063" s="210"/>
      <c r="F5063" s="210"/>
      <c r="G5063" s="210"/>
      <c r="H5063" s="210"/>
    </row>
    <row r="5064" spans="3:8" x14ac:dyDescent="0.25">
      <c r="C5064" s="210"/>
      <c r="D5064" s="210"/>
      <c r="E5064" s="210"/>
      <c r="F5064" s="210"/>
      <c r="G5064" s="210"/>
      <c r="H5064" s="210"/>
    </row>
    <row r="5065" spans="3:8" x14ac:dyDescent="0.25">
      <c r="C5065" s="210"/>
      <c r="D5065" s="210"/>
      <c r="E5065" s="210"/>
      <c r="F5065" s="210"/>
      <c r="G5065" s="210"/>
      <c r="H5065" s="210"/>
    </row>
    <row r="5066" spans="3:8" x14ac:dyDescent="0.25">
      <c r="C5066" s="210"/>
      <c r="D5066" s="210"/>
      <c r="E5066" s="210"/>
      <c r="F5066" s="210"/>
      <c r="G5066" s="210"/>
      <c r="H5066" s="210"/>
    </row>
    <row r="5067" spans="3:8" x14ac:dyDescent="0.25">
      <c r="C5067" s="210"/>
      <c r="D5067" s="210"/>
      <c r="E5067" s="210"/>
      <c r="F5067" s="210"/>
      <c r="G5067" s="210"/>
      <c r="H5067" s="210"/>
    </row>
    <row r="5068" spans="3:8" x14ac:dyDescent="0.25">
      <c r="C5068" s="210"/>
      <c r="D5068" s="210"/>
      <c r="E5068" s="210"/>
      <c r="F5068" s="210"/>
      <c r="G5068" s="210"/>
      <c r="H5068" s="210"/>
    </row>
    <row r="5069" spans="3:8" x14ac:dyDescent="0.25">
      <c r="C5069" s="210"/>
      <c r="D5069" s="210"/>
      <c r="E5069" s="210"/>
      <c r="F5069" s="210"/>
      <c r="G5069" s="210"/>
      <c r="H5069" s="210"/>
    </row>
    <row r="5070" spans="3:8" x14ac:dyDescent="0.25">
      <c r="C5070" s="210"/>
      <c r="D5070" s="210"/>
      <c r="E5070" s="210"/>
      <c r="F5070" s="210"/>
      <c r="G5070" s="210"/>
      <c r="H5070" s="210"/>
    </row>
    <row r="5071" spans="3:8" x14ac:dyDescent="0.25">
      <c r="C5071" s="210"/>
      <c r="D5071" s="210"/>
      <c r="E5071" s="210"/>
      <c r="F5071" s="210"/>
      <c r="G5071" s="210"/>
      <c r="H5071" s="210"/>
    </row>
    <row r="5072" spans="3:8" x14ac:dyDescent="0.25">
      <c r="C5072" s="210"/>
      <c r="D5072" s="210"/>
      <c r="E5072" s="210"/>
      <c r="F5072" s="210"/>
      <c r="G5072" s="210"/>
      <c r="H5072" s="210"/>
    </row>
    <row r="5073" spans="3:8" x14ac:dyDescent="0.25">
      <c r="C5073" s="210"/>
      <c r="D5073" s="210"/>
      <c r="E5073" s="210"/>
      <c r="F5073" s="210"/>
      <c r="G5073" s="210"/>
      <c r="H5073" s="210"/>
    </row>
    <row r="5074" spans="3:8" x14ac:dyDescent="0.25">
      <c r="C5074" s="210"/>
      <c r="D5074" s="210"/>
      <c r="E5074" s="210"/>
      <c r="F5074" s="210"/>
      <c r="G5074" s="210"/>
      <c r="H5074" s="210"/>
    </row>
    <row r="5075" spans="3:8" x14ac:dyDescent="0.25">
      <c r="C5075" s="210"/>
      <c r="D5075" s="210"/>
      <c r="E5075" s="210"/>
      <c r="F5075" s="210"/>
      <c r="G5075" s="210"/>
      <c r="H5075" s="210"/>
    </row>
    <row r="5076" spans="3:8" x14ac:dyDescent="0.25">
      <c r="C5076" s="210"/>
      <c r="D5076" s="210"/>
      <c r="E5076" s="210"/>
      <c r="F5076" s="210"/>
      <c r="G5076" s="210"/>
      <c r="H5076" s="210"/>
    </row>
    <row r="5077" spans="3:8" x14ac:dyDescent="0.25">
      <c r="C5077" s="210"/>
      <c r="D5077" s="210"/>
      <c r="E5077" s="210"/>
      <c r="F5077" s="210"/>
      <c r="G5077" s="210"/>
      <c r="H5077" s="210"/>
    </row>
    <row r="5078" spans="3:8" x14ac:dyDescent="0.25">
      <c r="C5078" s="210"/>
      <c r="D5078" s="210"/>
      <c r="E5078" s="210"/>
      <c r="F5078" s="210"/>
      <c r="G5078" s="210"/>
      <c r="H5078" s="210"/>
    </row>
    <row r="5079" spans="3:8" x14ac:dyDescent="0.25">
      <c r="C5079" s="210"/>
      <c r="D5079" s="210"/>
      <c r="E5079" s="210"/>
      <c r="F5079" s="210"/>
      <c r="G5079" s="210"/>
      <c r="H5079" s="210"/>
    </row>
    <row r="5080" spans="3:8" x14ac:dyDescent="0.25">
      <c r="C5080" s="210"/>
      <c r="D5080" s="210"/>
      <c r="E5080" s="210"/>
      <c r="F5080" s="210"/>
      <c r="G5080" s="210"/>
      <c r="H5080" s="210"/>
    </row>
    <row r="5081" spans="3:8" x14ac:dyDescent="0.25">
      <c r="C5081" s="210"/>
      <c r="D5081" s="210"/>
      <c r="E5081" s="210"/>
      <c r="F5081" s="210"/>
      <c r="G5081" s="210"/>
      <c r="H5081" s="210"/>
    </row>
    <row r="5082" spans="3:8" x14ac:dyDescent="0.25">
      <c r="C5082" s="210"/>
      <c r="D5082" s="210"/>
      <c r="E5082" s="210"/>
      <c r="F5082" s="210"/>
      <c r="G5082" s="210"/>
      <c r="H5082" s="210"/>
    </row>
    <row r="5083" spans="3:8" x14ac:dyDescent="0.25">
      <c r="C5083" s="210"/>
      <c r="D5083" s="210"/>
      <c r="E5083" s="210"/>
      <c r="F5083" s="210"/>
      <c r="G5083" s="210"/>
      <c r="H5083" s="210"/>
    </row>
    <row r="5084" spans="3:8" x14ac:dyDescent="0.25">
      <c r="C5084" s="210"/>
      <c r="D5084" s="210"/>
      <c r="E5084" s="210"/>
      <c r="F5084" s="210"/>
      <c r="G5084" s="210"/>
      <c r="H5084" s="210"/>
    </row>
    <row r="5085" spans="3:8" x14ac:dyDescent="0.25">
      <c r="C5085" s="210"/>
      <c r="D5085" s="210"/>
      <c r="E5085" s="210"/>
      <c r="F5085" s="210"/>
      <c r="G5085" s="210"/>
      <c r="H5085" s="210"/>
    </row>
    <row r="5086" spans="3:8" x14ac:dyDescent="0.25">
      <c r="C5086" s="210"/>
      <c r="D5086" s="210"/>
      <c r="E5086" s="210"/>
      <c r="F5086" s="210"/>
      <c r="G5086" s="210"/>
      <c r="H5086" s="210"/>
    </row>
    <row r="5087" spans="3:8" x14ac:dyDescent="0.25">
      <c r="C5087" s="210"/>
      <c r="D5087" s="210"/>
      <c r="E5087" s="210"/>
      <c r="F5087" s="210"/>
      <c r="G5087" s="210"/>
      <c r="H5087" s="210"/>
    </row>
    <row r="5088" spans="3:8" x14ac:dyDescent="0.25">
      <c r="C5088" s="210"/>
      <c r="D5088" s="210"/>
      <c r="E5088" s="210"/>
      <c r="F5088" s="210"/>
      <c r="G5088" s="210"/>
      <c r="H5088" s="210"/>
    </row>
    <row r="5089" spans="3:8" x14ac:dyDescent="0.25">
      <c r="C5089" s="210"/>
      <c r="D5089" s="210"/>
      <c r="E5089" s="210"/>
      <c r="F5089" s="210"/>
      <c r="G5089" s="210"/>
      <c r="H5089" s="210"/>
    </row>
    <row r="5090" spans="3:8" x14ac:dyDescent="0.25">
      <c r="C5090" s="210"/>
      <c r="D5090" s="210"/>
      <c r="E5090" s="210"/>
      <c r="F5090" s="210"/>
      <c r="G5090" s="210"/>
      <c r="H5090" s="210"/>
    </row>
    <row r="5091" spans="3:8" x14ac:dyDescent="0.25">
      <c r="C5091" s="210"/>
      <c r="D5091" s="210"/>
      <c r="E5091" s="210"/>
      <c r="F5091" s="210"/>
      <c r="G5091" s="210"/>
      <c r="H5091" s="210"/>
    </row>
    <row r="5092" spans="3:8" x14ac:dyDescent="0.25">
      <c r="C5092" s="210"/>
      <c r="D5092" s="210"/>
      <c r="E5092" s="210"/>
      <c r="F5092" s="210"/>
      <c r="G5092" s="210"/>
      <c r="H5092" s="210"/>
    </row>
    <row r="5093" spans="3:8" x14ac:dyDescent="0.25">
      <c r="C5093" s="210"/>
      <c r="D5093" s="210"/>
      <c r="E5093" s="210"/>
      <c r="F5093" s="210"/>
      <c r="G5093" s="210"/>
      <c r="H5093" s="210"/>
    </row>
    <row r="5094" spans="3:8" x14ac:dyDescent="0.25">
      <c r="C5094" s="210"/>
      <c r="D5094" s="210"/>
      <c r="E5094" s="210"/>
      <c r="F5094" s="210"/>
      <c r="G5094" s="210"/>
      <c r="H5094" s="210"/>
    </row>
    <row r="5095" spans="3:8" x14ac:dyDescent="0.25">
      <c r="C5095" s="210"/>
      <c r="D5095" s="210"/>
      <c r="E5095" s="210"/>
      <c r="F5095" s="210"/>
      <c r="G5095" s="210"/>
      <c r="H5095" s="210"/>
    </row>
    <row r="5096" spans="3:8" x14ac:dyDescent="0.25">
      <c r="C5096" s="210"/>
      <c r="D5096" s="210"/>
      <c r="E5096" s="210"/>
      <c r="F5096" s="210"/>
      <c r="G5096" s="210"/>
      <c r="H5096" s="210"/>
    </row>
    <row r="5097" spans="3:8" x14ac:dyDescent="0.25">
      <c r="C5097" s="210"/>
      <c r="D5097" s="210"/>
      <c r="E5097" s="210"/>
      <c r="F5097" s="210"/>
      <c r="G5097" s="210"/>
      <c r="H5097" s="210"/>
    </row>
    <row r="5098" spans="3:8" x14ac:dyDescent="0.25">
      <c r="C5098" s="210"/>
      <c r="D5098" s="210"/>
      <c r="E5098" s="210"/>
      <c r="F5098" s="210"/>
      <c r="G5098" s="210"/>
      <c r="H5098" s="210"/>
    </row>
    <row r="5099" spans="3:8" x14ac:dyDescent="0.25">
      <c r="C5099" s="210"/>
      <c r="D5099" s="210"/>
      <c r="E5099" s="210"/>
      <c r="F5099" s="210"/>
      <c r="G5099" s="210"/>
      <c r="H5099" s="210"/>
    </row>
    <row r="5100" spans="3:8" x14ac:dyDescent="0.25">
      <c r="C5100" s="210"/>
      <c r="D5100" s="210"/>
      <c r="E5100" s="210"/>
      <c r="F5100" s="210"/>
      <c r="G5100" s="210"/>
      <c r="H5100" s="210"/>
    </row>
    <row r="5101" spans="3:8" x14ac:dyDescent="0.25">
      <c r="C5101" s="210"/>
      <c r="D5101" s="210"/>
      <c r="E5101" s="210"/>
      <c r="F5101" s="210"/>
      <c r="G5101" s="210"/>
      <c r="H5101" s="210"/>
    </row>
    <row r="5102" spans="3:8" x14ac:dyDescent="0.25">
      <c r="C5102" s="210"/>
      <c r="D5102" s="210"/>
      <c r="E5102" s="210"/>
      <c r="F5102" s="210"/>
      <c r="G5102" s="210"/>
      <c r="H5102" s="210"/>
    </row>
    <row r="5103" spans="3:8" x14ac:dyDescent="0.25">
      <c r="C5103" s="210"/>
      <c r="D5103" s="210"/>
      <c r="E5103" s="210"/>
      <c r="F5103" s="210"/>
      <c r="G5103" s="210"/>
      <c r="H5103" s="210"/>
    </row>
    <row r="5104" spans="3:8" x14ac:dyDescent="0.25">
      <c r="C5104" s="210"/>
      <c r="D5104" s="210"/>
      <c r="E5104" s="210"/>
      <c r="F5104" s="210"/>
      <c r="G5104" s="210"/>
      <c r="H5104" s="210"/>
    </row>
    <row r="5105" spans="3:8" x14ac:dyDescent="0.25">
      <c r="C5105" s="210"/>
      <c r="D5105" s="210"/>
      <c r="E5105" s="210"/>
      <c r="F5105" s="210"/>
      <c r="G5105" s="210"/>
      <c r="H5105" s="210"/>
    </row>
    <row r="5106" spans="3:8" x14ac:dyDescent="0.25">
      <c r="C5106" s="210"/>
      <c r="D5106" s="210"/>
      <c r="E5106" s="210"/>
      <c r="F5106" s="210"/>
      <c r="G5106" s="210"/>
      <c r="H5106" s="210"/>
    </row>
    <row r="5107" spans="3:8" x14ac:dyDescent="0.25">
      <c r="C5107" s="210"/>
      <c r="D5107" s="210"/>
      <c r="E5107" s="210"/>
      <c r="F5107" s="210"/>
      <c r="G5107" s="210"/>
      <c r="H5107" s="210"/>
    </row>
    <row r="5108" spans="3:8" x14ac:dyDescent="0.25">
      <c r="C5108" s="210"/>
      <c r="D5108" s="210"/>
      <c r="E5108" s="210"/>
      <c r="F5108" s="210"/>
      <c r="G5108" s="210"/>
      <c r="H5108" s="210"/>
    </row>
    <row r="5109" spans="3:8" x14ac:dyDescent="0.25">
      <c r="C5109" s="210"/>
      <c r="D5109" s="210"/>
      <c r="E5109" s="210"/>
      <c r="F5109" s="210"/>
      <c r="G5109" s="210"/>
      <c r="H5109" s="210"/>
    </row>
    <row r="5110" spans="3:8" x14ac:dyDescent="0.25">
      <c r="C5110" s="210"/>
      <c r="D5110" s="210"/>
      <c r="E5110" s="210"/>
      <c r="F5110" s="210"/>
      <c r="G5110" s="210"/>
      <c r="H5110" s="210"/>
    </row>
    <row r="5111" spans="3:8" x14ac:dyDescent="0.25">
      <c r="C5111" s="210"/>
      <c r="D5111" s="210"/>
      <c r="E5111" s="210"/>
      <c r="F5111" s="210"/>
      <c r="G5111" s="210"/>
      <c r="H5111" s="210"/>
    </row>
    <row r="5112" spans="3:8" x14ac:dyDescent="0.25">
      <c r="C5112" s="210"/>
      <c r="D5112" s="210"/>
      <c r="E5112" s="210"/>
      <c r="F5112" s="210"/>
      <c r="G5112" s="210"/>
      <c r="H5112" s="210"/>
    </row>
    <row r="5113" spans="3:8" x14ac:dyDescent="0.25">
      <c r="C5113" s="210"/>
      <c r="D5113" s="210"/>
      <c r="E5113" s="210"/>
      <c r="F5113" s="210"/>
      <c r="G5113" s="210"/>
      <c r="H5113" s="210"/>
    </row>
    <row r="5114" spans="3:8" x14ac:dyDescent="0.25">
      <c r="C5114" s="210"/>
      <c r="D5114" s="210"/>
      <c r="E5114" s="210"/>
      <c r="F5114" s="210"/>
      <c r="G5114" s="210"/>
      <c r="H5114" s="210"/>
    </row>
    <row r="5115" spans="3:8" x14ac:dyDescent="0.25">
      <c r="C5115" s="210"/>
      <c r="D5115" s="210"/>
      <c r="E5115" s="210"/>
      <c r="F5115" s="210"/>
      <c r="G5115" s="210"/>
      <c r="H5115" s="210"/>
    </row>
    <row r="5116" spans="3:8" x14ac:dyDescent="0.25">
      <c r="C5116" s="210"/>
      <c r="D5116" s="210"/>
      <c r="E5116" s="210"/>
      <c r="F5116" s="210"/>
      <c r="G5116" s="210"/>
      <c r="H5116" s="210"/>
    </row>
    <row r="5117" spans="3:8" x14ac:dyDescent="0.25">
      <c r="C5117" s="210"/>
      <c r="D5117" s="210"/>
      <c r="E5117" s="210"/>
      <c r="F5117" s="210"/>
      <c r="G5117" s="210"/>
      <c r="H5117" s="210"/>
    </row>
    <row r="5118" spans="3:8" x14ac:dyDescent="0.25">
      <c r="C5118" s="210"/>
      <c r="D5118" s="210"/>
      <c r="E5118" s="210"/>
      <c r="F5118" s="210"/>
      <c r="G5118" s="210"/>
      <c r="H5118" s="210"/>
    </row>
    <row r="5119" spans="3:8" x14ac:dyDescent="0.25">
      <c r="C5119" s="210"/>
      <c r="D5119" s="210"/>
      <c r="E5119" s="210"/>
      <c r="F5119" s="210"/>
      <c r="G5119" s="210"/>
      <c r="H5119" s="210"/>
    </row>
    <row r="5120" spans="3:8" x14ac:dyDescent="0.25">
      <c r="C5120" s="210"/>
      <c r="D5120" s="210"/>
      <c r="E5120" s="210"/>
      <c r="F5120" s="210"/>
      <c r="G5120" s="210"/>
      <c r="H5120" s="210"/>
    </row>
    <row r="5121" spans="3:8" x14ac:dyDescent="0.25">
      <c r="C5121" s="210"/>
      <c r="D5121" s="210"/>
      <c r="E5121" s="210"/>
      <c r="F5121" s="210"/>
      <c r="G5121" s="210"/>
      <c r="H5121" s="210"/>
    </row>
    <row r="5122" spans="3:8" x14ac:dyDescent="0.25">
      <c r="C5122" s="210"/>
      <c r="D5122" s="210"/>
      <c r="E5122" s="210"/>
      <c r="F5122" s="210"/>
      <c r="G5122" s="210"/>
      <c r="H5122" s="210"/>
    </row>
    <row r="5123" spans="3:8" x14ac:dyDescent="0.25">
      <c r="C5123" s="210"/>
      <c r="D5123" s="210"/>
      <c r="E5123" s="210"/>
      <c r="F5123" s="210"/>
      <c r="G5123" s="210"/>
      <c r="H5123" s="210"/>
    </row>
    <row r="5124" spans="3:8" x14ac:dyDescent="0.25">
      <c r="C5124" s="210"/>
      <c r="D5124" s="210"/>
      <c r="E5124" s="210"/>
      <c r="F5124" s="210"/>
      <c r="G5124" s="210"/>
      <c r="H5124" s="210"/>
    </row>
    <row r="5125" spans="3:8" x14ac:dyDescent="0.25">
      <c r="C5125" s="210"/>
      <c r="D5125" s="210"/>
      <c r="E5125" s="210"/>
      <c r="F5125" s="210"/>
      <c r="G5125" s="210"/>
      <c r="H5125" s="210"/>
    </row>
    <row r="5126" spans="3:8" x14ac:dyDescent="0.25">
      <c r="C5126" s="210"/>
      <c r="D5126" s="210"/>
      <c r="E5126" s="210"/>
      <c r="F5126" s="210"/>
      <c r="G5126" s="210"/>
      <c r="H5126" s="210"/>
    </row>
    <row r="5127" spans="3:8" x14ac:dyDescent="0.25">
      <c r="C5127" s="210"/>
      <c r="D5127" s="210"/>
      <c r="E5127" s="210"/>
      <c r="F5127" s="210"/>
      <c r="G5127" s="210"/>
      <c r="H5127" s="210"/>
    </row>
    <row r="5128" spans="3:8" x14ac:dyDescent="0.25">
      <c r="C5128" s="210"/>
      <c r="D5128" s="210"/>
      <c r="E5128" s="210"/>
      <c r="F5128" s="210"/>
      <c r="G5128" s="210"/>
      <c r="H5128" s="210"/>
    </row>
    <row r="5129" spans="3:8" x14ac:dyDescent="0.25">
      <c r="C5129" s="210"/>
      <c r="D5129" s="210"/>
      <c r="E5129" s="210"/>
      <c r="F5129" s="210"/>
      <c r="G5129" s="210"/>
      <c r="H5129" s="210"/>
    </row>
    <row r="5130" spans="3:8" x14ac:dyDescent="0.25">
      <c r="C5130" s="210"/>
      <c r="D5130" s="210"/>
      <c r="E5130" s="210"/>
      <c r="F5130" s="210"/>
      <c r="G5130" s="210"/>
      <c r="H5130" s="210"/>
    </row>
    <row r="5131" spans="3:8" x14ac:dyDescent="0.25">
      <c r="C5131" s="210"/>
      <c r="D5131" s="210"/>
      <c r="E5131" s="210"/>
      <c r="F5131" s="210"/>
      <c r="G5131" s="210"/>
      <c r="H5131" s="210"/>
    </row>
    <row r="5132" spans="3:8" x14ac:dyDescent="0.25">
      <c r="C5132" s="210"/>
      <c r="D5132" s="210"/>
      <c r="E5132" s="210"/>
      <c r="F5132" s="210"/>
      <c r="G5132" s="210"/>
      <c r="H5132" s="210"/>
    </row>
    <row r="5133" spans="3:8" x14ac:dyDescent="0.25">
      <c r="C5133" s="210"/>
      <c r="D5133" s="210"/>
      <c r="E5133" s="210"/>
      <c r="F5133" s="210"/>
      <c r="G5133" s="210"/>
      <c r="H5133" s="210"/>
    </row>
    <row r="5134" spans="3:8" x14ac:dyDescent="0.25">
      <c r="C5134" s="210"/>
      <c r="D5134" s="210"/>
      <c r="E5134" s="210"/>
      <c r="F5134" s="210"/>
      <c r="G5134" s="210"/>
      <c r="H5134" s="210"/>
    </row>
    <row r="5135" spans="3:8" x14ac:dyDescent="0.25">
      <c r="C5135" s="210"/>
      <c r="D5135" s="210"/>
      <c r="E5135" s="210"/>
      <c r="F5135" s="210"/>
      <c r="G5135" s="210"/>
      <c r="H5135" s="210"/>
    </row>
    <row r="5136" spans="3:8" x14ac:dyDescent="0.25">
      <c r="C5136" s="210"/>
      <c r="D5136" s="210"/>
      <c r="E5136" s="210"/>
      <c r="F5136" s="210"/>
      <c r="G5136" s="210"/>
      <c r="H5136" s="210"/>
    </row>
    <row r="5137" spans="3:8" x14ac:dyDescent="0.25">
      <c r="C5137" s="210"/>
      <c r="D5137" s="210"/>
      <c r="E5137" s="210"/>
      <c r="F5137" s="210"/>
      <c r="G5137" s="210"/>
      <c r="H5137" s="210"/>
    </row>
    <row r="5138" spans="3:8" x14ac:dyDescent="0.25">
      <c r="C5138" s="210"/>
      <c r="D5138" s="210"/>
      <c r="E5138" s="210"/>
      <c r="F5138" s="210"/>
      <c r="G5138" s="210"/>
      <c r="H5138" s="210"/>
    </row>
    <row r="5139" spans="3:8" x14ac:dyDescent="0.25">
      <c r="C5139" s="210"/>
      <c r="D5139" s="210"/>
      <c r="E5139" s="210"/>
      <c r="F5139" s="210"/>
      <c r="G5139" s="210"/>
      <c r="H5139" s="210"/>
    </row>
    <row r="5140" spans="3:8" x14ac:dyDescent="0.25">
      <c r="C5140" s="210"/>
      <c r="D5140" s="210"/>
      <c r="E5140" s="210"/>
      <c r="F5140" s="210"/>
      <c r="G5140" s="210"/>
      <c r="H5140" s="210"/>
    </row>
    <row r="5141" spans="3:8" x14ac:dyDescent="0.25">
      <c r="C5141" s="210"/>
      <c r="D5141" s="210"/>
      <c r="E5141" s="210"/>
      <c r="F5141" s="210"/>
      <c r="G5141" s="210"/>
      <c r="H5141" s="210"/>
    </row>
    <row r="5142" spans="3:8" x14ac:dyDescent="0.25">
      <c r="C5142" s="210"/>
      <c r="D5142" s="210"/>
      <c r="E5142" s="210"/>
      <c r="F5142" s="210"/>
      <c r="G5142" s="210"/>
      <c r="H5142" s="210"/>
    </row>
    <row r="5143" spans="3:8" x14ac:dyDescent="0.25">
      <c r="C5143" s="210"/>
      <c r="D5143" s="210"/>
      <c r="E5143" s="210"/>
      <c r="F5143" s="210"/>
      <c r="G5143" s="210"/>
      <c r="H5143" s="210"/>
    </row>
    <row r="5144" spans="3:8" x14ac:dyDescent="0.25">
      <c r="C5144" s="210"/>
      <c r="D5144" s="210"/>
      <c r="E5144" s="210"/>
      <c r="F5144" s="210"/>
      <c r="G5144" s="210"/>
      <c r="H5144" s="210"/>
    </row>
    <row r="5145" spans="3:8" x14ac:dyDescent="0.25">
      <c r="C5145" s="210"/>
      <c r="D5145" s="210"/>
      <c r="E5145" s="210"/>
      <c r="F5145" s="210"/>
      <c r="G5145" s="210"/>
      <c r="H5145" s="210"/>
    </row>
    <row r="5146" spans="3:8" x14ac:dyDescent="0.25">
      <c r="C5146" s="210"/>
      <c r="D5146" s="210"/>
      <c r="E5146" s="210"/>
      <c r="F5146" s="210"/>
      <c r="G5146" s="210"/>
      <c r="H5146" s="210"/>
    </row>
    <row r="5147" spans="3:8" x14ac:dyDescent="0.25">
      <c r="C5147" s="210"/>
      <c r="D5147" s="210"/>
      <c r="E5147" s="210"/>
      <c r="F5147" s="210"/>
      <c r="G5147" s="210"/>
      <c r="H5147" s="210"/>
    </row>
    <row r="5148" spans="3:8" x14ac:dyDescent="0.25">
      <c r="C5148" s="210"/>
      <c r="D5148" s="210"/>
      <c r="E5148" s="210"/>
      <c r="F5148" s="210"/>
      <c r="G5148" s="210"/>
      <c r="H5148" s="210"/>
    </row>
    <row r="5149" spans="3:8" x14ac:dyDescent="0.25">
      <c r="C5149" s="210"/>
      <c r="D5149" s="210"/>
      <c r="E5149" s="210"/>
      <c r="F5149" s="210"/>
      <c r="G5149" s="210"/>
      <c r="H5149" s="210"/>
    </row>
    <row r="5150" spans="3:8" x14ac:dyDescent="0.25">
      <c r="C5150" s="210"/>
      <c r="D5150" s="210"/>
      <c r="E5150" s="210"/>
      <c r="F5150" s="210"/>
      <c r="G5150" s="210"/>
      <c r="H5150" s="210"/>
    </row>
    <row r="5151" spans="3:8" x14ac:dyDescent="0.25">
      <c r="C5151" s="210"/>
      <c r="D5151" s="210"/>
      <c r="E5151" s="210"/>
      <c r="F5151" s="210"/>
      <c r="G5151" s="210"/>
      <c r="H5151" s="210"/>
    </row>
    <row r="5152" spans="3:8" x14ac:dyDescent="0.25">
      <c r="C5152" s="210"/>
      <c r="D5152" s="210"/>
      <c r="E5152" s="210"/>
      <c r="F5152" s="210"/>
      <c r="G5152" s="210"/>
      <c r="H5152" s="210"/>
    </row>
    <row r="5153" spans="3:8" x14ac:dyDescent="0.25">
      <c r="C5153" s="210"/>
      <c r="D5153" s="210"/>
      <c r="E5153" s="210"/>
      <c r="F5153" s="210"/>
      <c r="G5153" s="210"/>
      <c r="H5153" s="210"/>
    </row>
    <row r="5154" spans="3:8" x14ac:dyDescent="0.25">
      <c r="C5154" s="210"/>
      <c r="D5154" s="210"/>
      <c r="E5154" s="210"/>
      <c r="F5154" s="210"/>
      <c r="G5154" s="210"/>
      <c r="H5154" s="210"/>
    </row>
    <row r="5155" spans="3:8" x14ac:dyDescent="0.25">
      <c r="C5155" s="210"/>
      <c r="D5155" s="210"/>
      <c r="E5155" s="210"/>
      <c r="F5155" s="210"/>
      <c r="G5155" s="210"/>
      <c r="H5155" s="210"/>
    </row>
    <row r="5156" spans="3:8" x14ac:dyDescent="0.25">
      <c r="C5156" s="210"/>
      <c r="D5156" s="210"/>
      <c r="E5156" s="210"/>
      <c r="F5156" s="210"/>
      <c r="G5156" s="210"/>
      <c r="H5156" s="210"/>
    </row>
    <row r="5157" spans="3:8" x14ac:dyDescent="0.25">
      <c r="C5157" s="210"/>
      <c r="D5157" s="210"/>
      <c r="E5157" s="210"/>
      <c r="F5157" s="210"/>
      <c r="G5157" s="210"/>
      <c r="H5157" s="210"/>
    </row>
    <row r="5158" spans="3:8" x14ac:dyDescent="0.25">
      <c r="C5158" s="210"/>
      <c r="D5158" s="210"/>
      <c r="E5158" s="210"/>
      <c r="F5158" s="210"/>
      <c r="G5158" s="210"/>
      <c r="H5158" s="210"/>
    </row>
    <row r="5159" spans="3:8" x14ac:dyDescent="0.25">
      <c r="C5159" s="210"/>
      <c r="D5159" s="210"/>
      <c r="E5159" s="210"/>
      <c r="F5159" s="210"/>
      <c r="G5159" s="210"/>
      <c r="H5159" s="210"/>
    </row>
    <row r="5160" spans="3:8" x14ac:dyDescent="0.25">
      <c r="C5160" s="210"/>
      <c r="D5160" s="210"/>
      <c r="E5160" s="210"/>
      <c r="F5160" s="210"/>
      <c r="G5160" s="210"/>
      <c r="H5160" s="210"/>
    </row>
    <row r="5161" spans="3:8" x14ac:dyDescent="0.25">
      <c r="C5161" s="210"/>
      <c r="D5161" s="210"/>
      <c r="E5161" s="210"/>
      <c r="F5161" s="210"/>
      <c r="G5161" s="210"/>
      <c r="H5161" s="210"/>
    </row>
    <row r="5162" spans="3:8" x14ac:dyDescent="0.25">
      <c r="C5162" s="210"/>
      <c r="D5162" s="210"/>
      <c r="E5162" s="210"/>
      <c r="F5162" s="210"/>
      <c r="G5162" s="210"/>
      <c r="H5162" s="210"/>
    </row>
    <row r="5163" spans="3:8" x14ac:dyDescent="0.25">
      <c r="C5163" s="210"/>
      <c r="D5163" s="210"/>
      <c r="E5163" s="210"/>
      <c r="F5163" s="210"/>
      <c r="G5163" s="210"/>
      <c r="H5163" s="210"/>
    </row>
    <row r="5164" spans="3:8" x14ac:dyDescent="0.25">
      <c r="C5164" s="210"/>
      <c r="D5164" s="210"/>
      <c r="E5164" s="210"/>
      <c r="F5164" s="210"/>
      <c r="G5164" s="210"/>
      <c r="H5164" s="210"/>
    </row>
    <row r="5165" spans="3:8" x14ac:dyDescent="0.25">
      <c r="C5165" s="210"/>
      <c r="D5165" s="210"/>
      <c r="E5165" s="210"/>
      <c r="F5165" s="210"/>
      <c r="G5165" s="210"/>
      <c r="H5165" s="210"/>
    </row>
    <row r="5166" spans="3:8" x14ac:dyDescent="0.25">
      <c r="C5166" s="210"/>
      <c r="D5166" s="210"/>
      <c r="E5166" s="210"/>
      <c r="F5166" s="210"/>
      <c r="G5166" s="210"/>
      <c r="H5166" s="210"/>
    </row>
    <row r="5167" spans="3:8" x14ac:dyDescent="0.25">
      <c r="C5167" s="210"/>
      <c r="D5167" s="210"/>
      <c r="E5167" s="210"/>
      <c r="F5167" s="210"/>
      <c r="G5167" s="210"/>
      <c r="H5167" s="210"/>
    </row>
    <row r="5168" spans="3:8" x14ac:dyDescent="0.25">
      <c r="C5168" s="210"/>
      <c r="D5168" s="210"/>
      <c r="E5168" s="210"/>
      <c r="F5168" s="210"/>
      <c r="G5168" s="210"/>
      <c r="H5168" s="210"/>
    </row>
    <row r="5169" spans="3:8" x14ac:dyDescent="0.25">
      <c r="C5169" s="210"/>
      <c r="D5169" s="210"/>
      <c r="E5169" s="210"/>
      <c r="F5169" s="210"/>
      <c r="G5169" s="210"/>
      <c r="H5169" s="210"/>
    </row>
    <row r="5170" spans="3:8" x14ac:dyDescent="0.25">
      <c r="C5170" s="210"/>
      <c r="D5170" s="210"/>
      <c r="E5170" s="210"/>
      <c r="F5170" s="210"/>
      <c r="G5170" s="210"/>
      <c r="H5170" s="210"/>
    </row>
    <row r="5171" spans="3:8" x14ac:dyDescent="0.25">
      <c r="C5171" s="210"/>
      <c r="D5171" s="210"/>
      <c r="E5171" s="210"/>
      <c r="F5171" s="210"/>
      <c r="G5171" s="210"/>
      <c r="H5171" s="210"/>
    </row>
    <row r="5172" spans="3:8" x14ac:dyDescent="0.25">
      <c r="C5172" s="210"/>
      <c r="D5172" s="210"/>
      <c r="E5172" s="210"/>
      <c r="F5172" s="210"/>
      <c r="G5172" s="210"/>
      <c r="H5172" s="210"/>
    </row>
    <row r="5173" spans="3:8" x14ac:dyDescent="0.25">
      <c r="C5173" s="210"/>
      <c r="D5173" s="210"/>
      <c r="E5173" s="210"/>
      <c r="F5173" s="210"/>
      <c r="G5173" s="210"/>
      <c r="H5173" s="210"/>
    </row>
    <row r="5174" spans="3:8" x14ac:dyDescent="0.25">
      <c r="C5174" s="210"/>
      <c r="D5174" s="210"/>
      <c r="E5174" s="210"/>
      <c r="F5174" s="210"/>
      <c r="G5174" s="210"/>
      <c r="H5174" s="210"/>
    </row>
    <row r="5175" spans="3:8" x14ac:dyDescent="0.25">
      <c r="C5175" s="210"/>
      <c r="D5175" s="210"/>
      <c r="E5175" s="210"/>
      <c r="F5175" s="210"/>
      <c r="G5175" s="210"/>
      <c r="H5175" s="210"/>
    </row>
    <row r="5176" spans="3:8" x14ac:dyDescent="0.25">
      <c r="C5176" s="210"/>
      <c r="D5176" s="210"/>
      <c r="E5176" s="210"/>
      <c r="F5176" s="210"/>
      <c r="G5176" s="210"/>
      <c r="H5176" s="210"/>
    </row>
    <row r="5177" spans="3:8" x14ac:dyDescent="0.25">
      <c r="C5177" s="210"/>
      <c r="D5177" s="210"/>
      <c r="E5177" s="210"/>
      <c r="F5177" s="210"/>
      <c r="G5177" s="210"/>
      <c r="H5177" s="210"/>
    </row>
    <row r="5178" spans="3:8" x14ac:dyDescent="0.25">
      <c r="C5178" s="210"/>
      <c r="D5178" s="210"/>
      <c r="E5178" s="210"/>
      <c r="F5178" s="210"/>
      <c r="G5178" s="210"/>
      <c r="H5178" s="210"/>
    </row>
    <row r="5179" spans="3:8" x14ac:dyDescent="0.25">
      <c r="C5179" s="210"/>
      <c r="D5179" s="210"/>
      <c r="E5179" s="210"/>
      <c r="F5179" s="210"/>
      <c r="G5179" s="210"/>
      <c r="H5179" s="210"/>
    </row>
    <row r="5180" spans="3:8" x14ac:dyDescent="0.25">
      <c r="C5180" s="210"/>
      <c r="D5180" s="210"/>
      <c r="E5180" s="210"/>
      <c r="F5180" s="210"/>
      <c r="G5180" s="210"/>
      <c r="H5180" s="210"/>
    </row>
    <row r="5181" spans="3:8" x14ac:dyDescent="0.25">
      <c r="C5181" s="210"/>
      <c r="D5181" s="210"/>
      <c r="E5181" s="210"/>
      <c r="F5181" s="210"/>
      <c r="G5181" s="210"/>
      <c r="H5181" s="210"/>
    </row>
    <row r="5182" spans="3:8" x14ac:dyDescent="0.25">
      <c r="C5182" s="210"/>
      <c r="D5182" s="210"/>
      <c r="E5182" s="210"/>
      <c r="F5182" s="210"/>
      <c r="G5182" s="210"/>
      <c r="H5182" s="210"/>
    </row>
    <row r="5183" spans="3:8" x14ac:dyDescent="0.25">
      <c r="C5183" s="210"/>
      <c r="D5183" s="210"/>
      <c r="E5183" s="210"/>
      <c r="F5183" s="210"/>
      <c r="G5183" s="210"/>
      <c r="H5183" s="210"/>
    </row>
    <row r="5184" spans="3:8" x14ac:dyDescent="0.25">
      <c r="C5184" s="210"/>
      <c r="D5184" s="210"/>
      <c r="E5184" s="210"/>
      <c r="F5184" s="210"/>
      <c r="G5184" s="210"/>
      <c r="H5184" s="210"/>
    </row>
    <row r="5185" spans="3:8" x14ac:dyDescent="0.25">
      <c r="C5185" s="210"/>
      <c r="D5185" s="210"/>
      <c r="E5185" s="210"/>
      <c r="F5185" s="210"/>
      <c r="G5185" s="210"/>
      <c r="H5185" s="210"/>
    </row>
    <row r="5186" spans="3:8" x14ac:dyDescent="0.25">
      <c r="C5186" s="210"/>
      <c r="D5186" s="210"/>
      <c r="E5186" s="210"/>
      <c r="F5186" s="210"/>
      <c r="G5186" s="210"/>
      <c r="H5186" s="210"/>
    </row>
    <row r="5187" spans="3:8" x14ac:dyDescent="0.25">
      <c r="C5187" s="210"/>
      <c r="D5187" s="210"/>
      <c r="E5187" s="210"/>
      <c r="F5187" s="210"/>
      <c r="G5187" s="210"/>
      <c r="H5187" s="210"/>
    </row>
    <row r="5188" spans="3:8" x14ac:dyDescent="0.25">
      <c r="C5188" s="210"/>
      <c r="D5188" s="210"/>
      <c r="E5188" s="210"/>
      <c r="F5188" s="210"/>
      <c r="G5188" s="210"/>
      <c r="H5188" s="210"/>
    </row>
    <row r="5189" spans="3:8" x14ac:dyDescent="0.25">
      <c r="C5189" s="210"/>
      <c r="D5189" s="210"/>
      <c r="E5189" s="210"/>
      <c r="F5189" s="210"/>
      <c r="G5189" s="210"/>
      <c r="H5189" s="210"/>
    </row>
    <row r="5190" spans="3:8" x14ac:dyDescent="0.25">
      <c r="C5190" s="210"/>
      <c r="D5190" s="210"/>
      <c r="E5190" s="210"/>
      <c r="F5190" s="210"/>
      <c r="G5190" s="210"/>
      <c r="H5190" s="210"/>
    </row>
    <row r="5191" spans="3:8" x14ac:dyDescent="0.25">
      <c r="C5191" s="210"/>
      <c r="D5191" s="210"/>
      <c r="E5191" s="210"/>
      <c r="F5191" s="210"/>
      <c r="G5191" s="210"/>
      <c r="H5191" s="210"/>
    </row>
    <row r="5192" spans="3:8" x14ac:dyDescent="0.25">
      <c r="C5192" s="210"/>
      <c r="D5192" s="210"/>
      <c r="E5192" s="210"/>
      <c r="F5192" s="210"/>
      <c r="G5192" s="210"/>
      <c r="H5192" s="210"/>
    </row>
    <row r="5193" spans="3:8" x14ac:dyDescent="0.25">
      <c r="C5193" s="210"/>
      <c r="D5193" s="210"/>
      <c r="E5193" s="210"/>
      <c r="F5193" s="210"/>
      <c r="G5193" s="210"/>
      <c r="H5193" s="210"/>
    </row>
    <row r="5194" spans="3:8" x14ac:dyDescent="0.25">
      <c r="C5194" s="210"/>
      <c r="D5194" s="210"/>
      <c r="E5194" s="210"/>
      <c r="F5194" s="210"/>
      <c r="G5194" s="210"/>
      <c r="H5194" s="210"/>
    </row>
    <row r="5195" spans="3:8" x14ac:dyDescent="0.25">
      <c r="C5195" s="210"/>
      <c r="D5195" s="210"/>
      <c r="E5195" s="210"/>
      <c r="F5195" s="210"/>
      <c r="G5195" s="210"/>
      <c r="H5195" s="210"/>
    </row>
    <row r="5196" spans="3:8" x14ac:dyDescent="0.25">
      <c r="C5196" s="210"/>
      <c r="D5196" s="210"/>
      <c r="E5196" s="210"/>
      <c r="F5196" s="210"/>
      <c r="G5196" s="210"/>
      <c r="H5196" s="210"/>
    </row>
    <row r="5197" spans="3:8" x14ac:dyDescent="0.25">
      <c r="C5197" s="210"/>
      <c r="D5197" s="210"/>
      <c r="E5197" s="210"/>
      <c r="F5197" s="210"/>
      <c r="G5197" s="210"/>
      <c r="H5197" s="210"/>
    </row>
    <row r="5198" spans="3:8" x14ac:dyDescent="0.25">
      <c r="C5198" s="210"/>
      <c r="D5198" s="210"/>
      <c r="E5198" s="210"/>
      <c r="F5198" s="210"/>
      <c r="G5198" s="210"/>
      <c r="H5198" s="210"/>
    </row>
    <row r="5199" spans="3:8" x14ac:dyDescent="0.25">
      <c r="C5199" s="210"/>
      <c r="D5199" s="210"/>
      <c r="E5199" s="210"/>
      <c r="F5199" s="210"/>
      <c r="G5199" s="210"/>
      <c r="H5199" s="210"/>
    </row>
    <row r="5200" spans="3:8" x14ac:dyDescent="0.25">
      <c r="C5200" s="210"/>
      <c r="D5200" s="210"/>
      <c r="E5200" s="210"/>
      <c r="F5200" s="210"/>
      <c r="G5200" s="210"/>
      <c r="H5200" s="210"/>
    </row>
    <row r="5201" spans="3:8" x14ac:dyDescent="0.25">
      <c r="C5201" s="210"/>
      <c r="D5201" s="210"/>
      <c r="E5201" s="210"/>
      <c r="F5201" s="210"/>
      <c r="G5201" s="210"/>
      <c r="H5201" s="210"/>
    </row>
    <row r="5202" spans="3:8" x14ac:dyDescent="0.25">
      <c r="C5202" s="210"/>
      <c r="D5202" s="210"/>
      <c r="E5202" s="210"/>
      <c r="F5202" s="210"/>
      <c r="G5202" s="210"/>
      <c r="H5202" s="210"/>
    </row>
    <row r="5203" spans="3:8" x14ac:dyDescent="0.25">
      <c r="C5203" s="210"/>
      <c r="D5203" s="210"/>
      <c r="E5203" s="210"/>
      <c r="F5203" s="210"/>
      <c r="G5203" s="210"/>
      <c r="H5203" s="210"/>
    </row>
    <row r="5204" spans="3:8" x14ac:dyDescent="0.25">
      <c r="C5204" s="210"/>
      <c r="D5204" s="210"/>
      <c r="E5204" s="210"/>
      <c r="F5204" s="210"/>
      <c r="G5204" s="210"/>
      <c r="H5204" s="210"/>
    </row>
    <row r="5205" spans="3:8" x14ac:dyDescent="0.25">
      <c r="C5205" s="210"/>
      <c r="D5205" s="210"/>
      <c r="E5205" s="210"/>
      <c r="F5205" s="210"/>
      <c r="G5205" s="210"/>
      <c r="H5205" s="210"/>
    </row>
    <row r="5206" spans="3:8" x14ac:dyDescent="0.25">
      <c r="C5206" s="210"/>
      <c r="D5206" s="210"/>
      <c r="E5206" s="210"/>
      <c r="F5206" s="210"/>
      <c r="G5206" s="210"/>
      <c r="H5206" s="210"/>
    </row>
    <row r="5207" spans="3:8" x14ac:dyDescent="0.25">
      <c r="C5207" s="210"/>
      <c r="D5207" s="210"/>
      <c r="E5207" s="210"/>
      <c r="F5207" s="210"/>
      <c r="G5207" s="210"/>
      <c r="H5207" s="210"/>
    </row>
    <row r="5208" spans="3:8" x14ac:dyDescent="0.25">
      <c r="C5208" s="210"/>
      <c r="D5208" s="210"/>
      <c r="E5208" s="210"/>
      <c r="F5208" s="210"/>
      <c r="G5208" s="210"/>
      <c r="H5208" s="210"/>
    </row>
    <row r="5209" spans="3:8" x14ac:dyDescent="0.25">
      <c r="C5209" s="210"/>
      <c r="D5209" s="210"/>
      <c r="E5209" s="210"/>
      <c r="F5209" s="210"/>
      <c r="G5209" s="210"/>
      <c r="H5209" s="210"/>
    </row>
    <row r="5210" spans="3:8" x14ac:dyDescent="0.25">
      <c r="C5210" s="210"/>
      <c r="D5210" s="210"/>
      <c r="E5210" s="210"/>
      <c r="F5210" s="210"/>
      <c r="G5210" s="210"/>
      <c r="H5210" s="210"/>
    </row>
    <row r="5211" spans="3:8" x14ac:dyDescent="0.25">
      <c r="C5211" s="210"/>
      <c r="D5211" s="210"/>
      <c r="E5211" s="210"/>
      <c r="F5211" s="210"/>
      <c r="G5211" s="210"/>
      <c r="H5211" s="210"/>
    </row>
    <row r="5212" spans="3:8" x14ac:dyDescent="0.25">
      <c r="C5212" s="210"/>
      <c r="D5212" s="210"/>
      <c r="E5212" s="210"/>
      <c r="F5212" s="210"/>
      <c r="G5212" s="210"/>
      <c r="H5212" s="210"/>
    </row>
    <row r="5213" spans="3:8" x14ac:dyDescent="0.25">
      <c r="C5213" s="210"/>
      <c r="D5213" s="210"/>
      <c r="E5213" s="210"/>
      <c r="F5213" s="210"/>
      <c r="G5213" s="210"/>
      <c r="H5213" s="210"/>
    </row>
    <row r="5214" spans="3:8" x14ac:dyDescent="0.25">
      <c r="C5214" s="210"/>
      <c r="D5214" s="210"/>
      <c r="E5214" s="210"/>
      <c r="F5214" s="210"/>
      <c r="G5214" s="210"/>
      <c r="H5214" s="210"/>
    </row>
    <row r="5215" spans="3:8" x14ac:dyDescent="0.25">
      <c r="C5215" s="210"/>
      <c r="D5215" s="210"/>
      <c r="E5215" s="210"/>
      <c r="F5215" s="210"/>
      <c r="G5215" s="210"/>
      <c r="H5215" s="210"/>
    </row>
    <row r="5216" spans="3:8" x14ac:dyDescent="0.25">
      <c r="C5216" s="210"/>
      <c r="D5216" s="210"/>
      <c r="E5216" s="210"/>
      <c r="F5216" s="210"/>
      <c r="G5216" s="210"/>
      <c r="H5216" s="210"/>
    </row>
    <row r="5217" spans="3:8" x14ac:dyDescent="0.25">
      <c r="C5217" s="210"/>
      <c r="D5217" s="210"/>
      <c r="E5217" s="210"/>
      <c r="F5217" s="210"/>
      <c r="G5217" s="210"/>
      <c r="H5217" s="210"/>
    </row>
    <row r="5218" spans="3:8" x14ac:dyDescent="0.25">
      <c r="C5218" s="210"/>
      <c r="D5218" s="210"/>
      <c r="E5218" s="210"/>
      <c r="F5218" s="210"/>
      <c r="G5218" s="210"/>
      <c r="H5218" s="210"/>
    </row>
    <row r="5219" spans="3:8" x14ac:dyDescent="0.25">
      <c r="C5219" s="210"/>
      <c r="D5219" s="210"/>
      <c r="E5219" s="210"/>
      <c r="F5219" s="210"/>
      <c r="G5219" s="210"/>
      <c r="H5219" s="210"/>
    </row>
    <row r="5220" spans="3:8" x14ac:dyDescent="0.25">
      <c r="C5220" s="210"/>
      <c r="D5220" s="210"/>
      <c r="E5220" s="210"/>
      <c r="F5220" s="210"/>
      <c r="G5220" s="210"/>
      <c r="H5220" s="210"/>
    </row>
    <row r="5221" spans="3:8" x14ac:dyDescent="0.25">
      <c r="C5221" s="210"/>
      <c r="D5221" s="210"/>
      <c r="E5221" s="210"/>
      <c r="F5221" s="210"/>
      <c r="G5221" s="210"/>
      <c r="H5221" s="210"/>
    </row>
    <row r="5222" spans="3:8" x14ac:dyDescent="0.25">
      <c r="C5222" s="210"/>
      <c r="D5222" s="210"/>
      <c r="E5222" s="210"/>
      <c r="F5222" s="210"/>
      <c r="G5222" s="210"/>
      <c r="H5222" s="210"/>
    </row>
    <row r="5223" spans="3:8" x14ac:dyDescent="0.25">
      <c r="C5223" s="210"/>
      <c r="D5223" s="210"/>
      <c r="E5223" s="210"/>
      <c r="F5223" s="210"/>
      <c r="G5223" s="210"/>
      <c r="H5223" s="210"/>
    </row>
    <row r="5224" spans="3:8" x14ac:dyDescent="0.25">
      <c r="C5224" s="210"/>
      <c r="D5224" s="210"/>
      <c r="E5224" s="210"/>
      <c r="F5224" s="210"/>
      <c r="G5224" s="210"/>
      <c r="H5224" s="210"/>
    </row>
    <row r="5225" spans="3:8" x14ac:dyDescent="0.25">
      <c r="C5225" s="210"/>
      <c r="D5225" s="210"/>
      <c r="E5225" s="210"/>
      <c r="F5225" s="210"/>
      <c r="G5225" s="210"/>
      <c r="H5225" s="210"/>
    </row>
    <row r="5226" spans="3:8" x14ac:dyDescent="0.25">
      <c r="C5226" s="210"/>
      <c r="D5226" s="210"/>
      <c r="E5226" s="210"/>
      <c r="F5226" s="210"/>
      <c r="G5226" s="210"/>
      <c r="H5226" s="210"/>
    </row>
    <row r="5227" spans="3:8" x14ac:dyDescent="0.25">
      <c r="C5227" s="210"/>
      <c r="D5227" s="210"/>
      <c r="E5227" s="210"/>
      <c r="F5227" s="210"/>
      <c r="G5227" s="210"/>
      <c r="H5227" s="210"/>
    </row>
    <row r="5228" spans="3:8" x14ac:dyDescent="0.25">
      <c r="C5228" s="210"/>
      <c r="D5228" s="210"/>
      <c r="E5228" s="210"/>
      <c r="F5228" s="210"/>
      <c r="G5228" s="210"/>
      <c r="H5228" s="210"/>
    </row>
    <row r="5229" spans="3:8" x14ac:dyDescent="0.25">
      <c r="C5229" s="210"/>
      <c r="D5229" s="210"/>
      <c r="E5229" s="210"/>
      <c r="F5229" s="210"/>
      <c r="G5229" s="210"/>
      <c r="H5229" s="210"/>
    </row>
    <row r="5230" spans="3:8" x14ac:dyDescent="0.25">
      <c r="C5230" s="210"/>
      <c r="D5230" s="210"/>
      <c r="E5230" s="210"/>
      <c r="F5230" s="210"/>
      <c r="G5230" s="210"/>
      <c r="H5230" s="210"/>
    </row>
    <row r="5231" spans="3:8" x14ac:dyDescent="0.25">
      <c r="C5231" s="210"/>
      <c r="D5231" s="210"/>
      <c r="E5231" s="210"/>
      <c r="F5231" s="210"/>
      <c r="G5231" s="210"/>
      <c r="H5231" s="210"/>
    </row>
    <row r="5232" spans="3:8" x14ac:dyDescent="0.25">
      <c r="C5232" s="210"/>
      <c r="D5232" s="210"/>
      <c r="E5232" s="210"/>
      <c r="F5232" s="210"/>
      <c r="G5232" s="210"/>
      <c r="H5232" s="210"/>
    </row>
    <row r="5233" spans="3:8" x14ac:dyDescent="0.25">
      <c r="C5233" s="210"/>
      <c r="D5233" s="210"/>
      <c r="E5233" s="210"/>
      <c r="F5233" s="210"/>
      <c r="G5233" s="210"/>
      <c r="H5233" s="210"/>
    </row>
    <row r="5234" spans="3:8" x14ac:dyDescent="0.25">
      <c r="C5234" s="210"/>
      <c r="D5234" s="210"/>
      <c r="E5234" s="210"/>
      <c r="F5234" s="210"/>
      <c r="G5234" s="210"/>
      <c r="H5234" s="210"/>
    </row>
    <row r="5235" spans="3:8" x14ac:dyDescent="0.25">
      <c r="C5235" s="210"/>
      <c r="D5235" s="210"/>
      <c r="E5235" s="210"/>
      <c r="F5235" s="210"/>
      <c r="G5235" s="210"/>
      <c r="H5235" s="210"/>
    </row>
    <row r="5236" spans="3:8" x14ac:dyDescent="0.25">
      <c r="C5236" s="210"/>
      <c r="D5236" s="210"/>
      <c r="E5236" s="210"/>
      <c r="F5236" s="210"/>
      <c r="G5236" s="210"/>
      <c r="H5236" s="210"/>
    </row>
    <row r="5237" spans="3:8" x14ac:dyDescent="0.25">
      <c r="C5237" s="210"/>
      <c r="D5237" s="210"/>
      <c r="E5237" s="210"/>
      <c r="F5237" s="210"/>
      <c r="G5237" s="210"/>
      <c r="H5237" s="210"/>
    </row>
    <row r="5238" spans="3:8" x14ac:dyDescent="0.25">
      <c r="C5238" s="210"/>
      <c r="D5238" s="210"/>
      <c r="E5238" s="210"/>
      <c r="F5238" s="210"/>
      <c r="G5238" s="210"/>
      <c r="H5238" s="210"/>
    </row>
    <row r="5239" spans="3:8" x14ac:dyDescent="0.25">
      <c r="C5239" s="210"/>
      <c r="D5239" s="210"/>
      <c r="E5239" s="210"/>
      <c r="F5239" s="210"/>
      <c r="G5239" s="210"/>
      <c r="H5239" s="210"/>
    </row>
    <row r="5240" spans="3:8" x14ac:dyDescent="0.25">
      <c r="C5240" s="210"/>
      <c r="D5240" s="210"/>
      <c r="E5240" s="210"/>
      <c r="F5240" s="210"/>
      <c r="G5240" s="210"/>
      <c r="H5240" s="210"/>
    </row>
    <row r="5241" spans="3:8" x14ac:dyDescent="0.25">
      <c r="C5241" s="210"/>
      <c r="D5241" s="210"/>
      <c r="E5241" s="210"/>
      <c r="F5241" s="210"/>
      <c r="G5241" s="210"/>
      <c r="H5241" s="210"/>
    </row>
    <row r="5242" spans="3:8" x14ac:dyDescent="0.25">
      <c r="C5242" s="210"/>
      <c r="D5242" s="210"/>
      <c r="E5242" s="210"/>
      <c r="F5242" s="210"/>
      <c r="G5242" s="210"/>
      <c r="H5242" s="210"/>
    </row>
    <row r="5243" spans="3:8" x14ac:dyDescent="0.25">
      <c r="C5243" s="210"/>
      <c r="D5243" s="210"/>
      <c r="E5243" s="210"/>
      <c r="F5243" s="210"/>
      <c r="G5243" s="210"/>
      <c r="H5243" s="210"/>
    </row>
    <row r="5244" spans="3:8" x14ac:dyDescent="0.25">
      <c r="C5244" s="210"/>
      <c r="D5244" s="210"/>
      <c r="E5244" s="210"/>
      <c r="F5244" s="210"/>
      <c r="G5244" s="210"/>
      <c r="H5244" s="210"/>
    </row>
    <row r="5245" spans="3:8" x14ac:dyDescent="0.25">
      <c r="C5245" s="210"/>
      <c r="D5245" s="210"/>
      <c r="E5245" s="210"/>
      <c r="F5245" s="210"/>
      <c r="G5245" s="210"/>
      <c r="H5245" s="210"/>
    </row>
    <row r="5246" spans="3:8" x14ac:dyDescent="0.25">
      <c r="C5246" s="210"/>
      <c r="D5246" s="210"/>
      <c r="E5246" s="210"/>
      <c r="F5246" s="210"/>
      <c r="G5246" s="210"/>
      <c r="H5246" s="210"/>
    </row>
    <row r="5247" spans="3:8" x14ac:dyDescent="0.25">
      <c r="C5247" s="210"/>
      <c r="D5247" s="210"/>
      <c r="E5247" s="210"/>
      <c r="F5247" s="210"/>
      <c r="G5247" s="210"/>
      <c r="H5247" s="210"/>
    </row>
    <row r="5248" spans="3:8" x14ac:dyDescent="0.25">
      <c r="C5248" s="210"/>
      <c r="D5248" s="210"/>
      <c r="E5248" s="210"/>
      <c r="F5248" s="210"/>
      <c r="G5248" s="210"/>
      <c r="H5248" s="210"/>
    </row>
    <row r="5249" spans="3:8" x14ac:dyDescent="0.25">
      <c r="C5249" s="210"/>
      <c r="D5249" s="210"/>
      <c r="E5249" s="210"/>
      <c r="F5249" s="210"/>
      <c r="G5249" s="210"/>
      <c r="H5249" s="210"/>
    </row>
    <row r="5250" spans="3:8" x14ac:dyDescent="0.25">
      <c r="C5250" s="210"/>
      <c r="D5250" s="210"/>
      <c r="E5250" s="210"/>
      <c r="F5250" s="210"/>
      <c r="G5250" s="210"/>
      <c r="H5250" s="210"/>
    </row>
    <row r="5251" spans="3:8" x14ac:dyDescent="0.25">
      <c r="C5251" s="210"/>
      <c r="D5251" s="210"/>
      <c r="E5251" s="210"/>
      <c r="F5251" s="210"/>
      <c r="G5251" s="210"/>
      <c r="H5251" s="210"/>
    </row>
    <row r="5252" spans="3:8" x14ac:dyDescent="0.25">
      <c r="C5252" s="210"/>
      <c r="D5252" s="210"/>
      <c r="E5252" s="210"/>
      <c r="F5252" s="210"/>
      <c r="G5252" s="210"/>
      <c r="H5252" s="210"/>
    </row>
    <row r="5253" spans="3:8" x14ac:dyDescent="0.25">
      <c r="C5253" s="210"/>
      <c r="D5253" s="210"/>
      <c r="E5253" s="210"/>
      <c r="F5253" s="210"/>
      <c r="G5253" s="210"/>
      <c r="H5253" s="210"/>
    </row>
    <row r="5254" spans="3:8" x14ac:dyDescent="0.25">
      <c r="C5254" s="210"/>
      <c r="D5254" s="210"/>
      <c r="E5254" s="210"/>
      <c r="F5254" s="210"/>
      <c r="G5254" s="210"/>
      <c r="H5254" s="210"/>
    </row>
    <row r="5255" spans="3:8" x14ac:dyDescent="0.25">
      <c r="C5255" s="210"/>
      <c r="D5255" s="210"/>
      <c r="E5255" s="210"/>
      <c r="F5255" s="210"/>
      <c r="G5255" s="210"/>
      <c r="H5255" s="210"/>
    </row>
    <row r="5256" spans="3:8" x14ac:dyDescent="0.25">
      <c r="C5256" s="210"/>
      <c r="D5256" s="210"/>
      <c r="E5256" s="210"/>
      <c r="F5256" s="210"/>
      <c r="G5256" s="210"/>
      <c r="H5256" s="210"/>
    </row>
    <row r="5257" spans="3:8" x14ac:dyDescent="0.25">
      <c r="C5257" s="210"/>
      <c r="D5257" s="210"/>
      <c r="E5257" s="210"/>
      <c r="F5257" s="210"/>
      <c r="G5257" s="210"/>
      <c r="H5257" s="210"/>
    </row>
    <row r="5258" spans="3:8" x14ac:dyDescent="0.25">
      <c r="C5258" s="210"/>
      <c r="D5258" s="210"/>
      <c r="E5258" s="210"/>
      <c r="F5258" s="210"/>
      <c r="G5258" s="210"/>
      <c r="H5258" s="210"/>
    </row>
    <row r="5259" spans="3:8" x14ac:dyDescent="0.25">
      <c r="C5259" s="210"/>
      <c r="D5259" s="210"/>
      <c r="E5259" s="210"/>
      <c r="F5259" s="210"/>
      <c r="G5259" s="210"/>
      <c r="H5259" s="210"/>
    </row>
    <row r="5260" spans="3:8" x14ac:dyDescent="0.25">
      <c r="C5260" s="210"/>
      <c r="D5260" s="210"/>
      <c r="E5260" s="210"/>
      <c r="F5260" s="210"/>
      <c r="G5260" s="210"/>
      <c r="H5260" s="210"/>
    </row>
    <row r="5261" spans="3:8" x14ac:dyDescent="0.25">
      <c r="C5261" s="210"/>
      <c r="D5261" s="210"/>
      <c r="E5261" s="210"/>
      <c r="F5261" s="210"/>
      <c r="G5261" s="210"/>
      <c r="H5261" s="210"/>
    </row>
    <row r="5262" spans="3:8" x14ac:dyDescent="0.25">
      <c r="C5262" s="210"/>
      <c r="D5262" s="210"/>
      <c r="E5262" s="210"/>
      <c r="F5262" s="210"/>
      <c r="G5262" s="210"/>
      <c r="H5262" s="210"/>
    </row>
    <row r="5263" spans="3:8" x14ac:dyDescent="0.25">
      <c r="C5263" s="210"/>
      <c r="D5263" s="210"/>
      <c r="E5263" s="210"/>
      <c r="F5263" s="210"/>
      <c r="G5263" s="210"/>
      <c r="H5263" s="210"/>
    </row>
    <row r="5264" spans="3:8" x14ac:dyDescent="0.25">
      <c r="C5264" s="210"/>
      <c r="D5264" s="210"/>
      <c r="E5264" s="210"/>
      <c r="F5264" s="210"/>
      <c r="G5264" s="210"/>
      <c r="H5264" s="210"/>
    </row>
    <row r="5265" spans="3:8" x14ac:dyDescent="0.25">
      <c r="C5265" s="210"/>
      <c r="D5265" s="210"/>
      <c r="E5265" s="210"/>
      <c r="F5265" s="210"/>
      <c r="G5265" s="210"/>
      <c r="H5265" s="210"/>
    </row>
    <row r="5266" spans="3:8" x14ac:dyDescent="0.25">
      <c r="C5266" s="210"/>
      <c r="D5266" s="210"/>
      <c r="E5266" s="210"/>
      <c r="F5266" s="210"/>
      <c r="G5266" s="210"/>
      <c r="H5266" s="210"/>
    </row>
    <row r="5267" spans="3:8" x14ac:dyDescent="0.25">
      <c r="C5267" s="210"/>
      <c r="D5267" s="210"/>
      <c r="E5267" s="210"/>
      <c r="F5267" s="210"/>
      <c r="G5267" s="210"/>
      <c r="H5267" s="210"/>
    </row>
    <row r="5268" spans="3:8" x14ac:dyDescent="0.25">
      <c r="C5268" s="210"/>
      <c r="D5268" s="210"/>
      <c r="E5268" s="210"/>
      <c r="F5268" s="210"/>
      <c r="G5268" s="210"/>
      <c r="H5268" s="210"/>
    </row>
    <row r="5269" spans="3:8" x14ac:dyDescent="0.25">
      <c r="C5269" s="210"/>
      <c r="D5269" s="210"/>
      <c r="E5269" s="210"/>
      <c r="F5269" s="210"/>
      <c r="G5269" s="210"/>
      <c r="H5269" s="210"/>
    </row>
    <row r="5270" spans="3:8" x14ac:dyDescent="0.25">
      <c r="C5270" s="210"/>
      <c r="D5270" s="210"/>
      <c r="E5270" s="210"/>
      <c r="F5270" s="210"/>
      <c r="G5270" s="210"/>
      <c r="H5270" s="210"/>
    </row>
    <row r="5271" spans="3:8" x14ac:dyDescent="0.25">
      <c r="C5271" s="210"/>
      <c r="D5271" s="210"/>
      <c r="E5271" s="210"/>
      <c r="F5271" s="210"/>
      <c r="G5271" s="210"/>
      <c r="H5271" s="210"/>
    </row>
    <row r="5272" spans="3:8" x14ac:dyDescent="0.25">
      <c r="C5272" s="210"/>
      <c r="D5272" s="210"/>
      <c r="E5272" s="210"/>
      <c r="F5272" s="210"/>
      <c r="G5272" s="210"/>
      <c r="H5272" s="210"/>
    </row>
    <row r="5273" spans="3:8" x14ac:dyDescent="0.25">
      <c r="C5273" s="210"/>
      <c r="D5273" s="210"/>
      <c r="E5273" s="210"/>
      <c r="F5273" s="210"/>
      <c r="G5273" s="210"/>
      <c r="H5273" s="210"/>
    </row>
    <row r="5274" spans="3:8" x14ac:dyDescent="0.25">
      <c r="C5274" s="210"/>
      <c r="D5274" s="210"/>
      <c r="E5274" s="210"/>
      <c r="F5274" s="210"/>
      <c r="G5274" s="210"/>
      <c r="H5274" s="210"/>
    </row>
    <row r="5275" spans="3:8" x14ac:dyDescent="0.25">
      <c r="C5275" s="210"/>
      <c r="D5275" s="210"/>
      <c r="E5275" s="210"/>
      <c r="F5275" s="210"/>
      <c r="G5275" s="210"/>
      <c r="H5275" s="210"/>
    </row>
    <row r="5276" spans="3:8" x14ac:dyDescent="0.25">
      <c r="C5276" s="210"/>
      <c r="D5276" s="210"/>
      <c r="E5276" s="210"/>
      <c r="F5276" s="210"/>
      <c r="G5276" s="210"/>
      <c r="H5276" s="210"/>
    </row>
    <row r="5277" spans="3:8" x14ac:dyDescent="0.25">
      <c r="C5277" s="210"/>
      <c r="D5277" s="210"/>
      <c r="E5277" s="210"/>
      <c r="F5277" s="210"/>
      <c r="G5277" s="210"/>
      <c r="H5277" s="210"/>
    </row>
    <row r="5278" spans="3:8" x14ac:dyDescent="0.25">
      <c r="C5278" s="210"/>
      <c r="D5278" s="210"/>
      <c r="E5278" s="210"/>
      <c r="F5278" s="210"/>
      <c r="G5278" s="210"/>
      <c r="H5278" s="210"/>
    </row>
    <row r="5279" spans="3:8" x14ac:dyDescent="0.25">
      <c r="C5279" s="210"/>
      <c r="D5279" s="210"/>
      <c r="E5279" s="210"/>
      <c r="F5279" s="210"/>
      <c r="G5279" s="210"/>
      <c r="H5279" s="210"/>
    </row>
    <row r="5280" spans="3:8" x14ac:dyDescent="0.25">
      <c r="C5280" s="210"/>
      <c r="D5280" s="210"/>
      <c r="E5280" s="210"/>
      <c r="F5280" s="210"/>
      <c r="G5280" s="210"/>
      <c r="H5280" s="210"/>
    </row>
    <row r="5281" spans="3:8" x14ac:dyDescent="0.25">
      <c r="C5281" s="210"/>
      <c r="D5281" s="210"/>
      <c r="E5281" s="210"/>
      <c r="F5281" s="210"/>
      <c r="G5281" s="210"/>
      <c r="H5281" s="210"/>
    </row>
    <row r="5282" spans="3:8" x14ac:dyDescent="0.25">
      <c r="C5282" s="210"/>
      <c r="D5282" s="210"/>
      <c r="E5282" s="210"/>
      <c r="F5282" s="210"/>
      <c r="G5282" s="210"/>
      <c r="H5282" s="210"/>
    </row>
    <row r="5283" spans="3:8" x14ac:dyDescent="0.25">
      <c r="C5283" s="210"/>
      <c r="D5283" s="210"/>
      <c r="E5283" s="210"/>
      <c r="F5283" s="210"/>
      <c r="G5283" s="210"/>
      <c r="H5283" s="210"/>
    </row>
    <row r="5284" spans="3:8" x14ac:dyDescent="0.25">
      <c r="C5284" s="210"/>
      <c r="D5284" s="210"/>
      <c r="E5284" s="210"/>
      <c r="F5284" s="210"/>
      <c r="G5284" s="210"/>
      <c r="H5284" s="210"/>
    </row>
    <row r="5285" spans="3:8" x14ac:dyDescent="0.25">
      <c r="C5285" s="210"/>
      <c r="D5285" s="210"/>
      <c r="E5285" s="210"/>
      <c r="F5285" s="210"/>
      <c r="G5285" s="210"/>
      <c r="H5285" s="210"/>
    </row>
    <row r="5286" spans="3:8" x14ac:dyDescent="0.25">
      <c r="C5286" s="210"/>
      <c r="D5286" s="210"/>
      <c r="E5286" s="210"/>
      <c r="F5286" s="210"/>
      <c r="G5286" s="210"/>
      <c r="H5286" s="210"/>
    </row>
    <row r="5287" spans="3:8" x14ac:dyDescent="0.25">
      <c r="C5287" s="210"/>
      <c r="D5287" s="210"/>
      <c r="E5287" s="210"/>
      <c r="F5287" s="210"/>
      <c r="G5287" s="210"/>
      <c r="H5287" s="210"/>
    </row>
    <row r="5288" spans="3:8" x14ac:dyDescent="0.25">
      <c r="C5288" s="210"/>
      <c r="D5288" s="210"/>
      <c r="E5288" s="210"/>
      <c r="F5288" s="210"/>
      <c r="G5288" s="210"/>
      <c r="H5288" s="210"/>
    </row>
    <row r="5289" spans="3:8" x14ac:dyDescent="0.25">
      <c r="C5289" s="210"/>
      <c r="D5289" s="210"/>
      <c r="E5289" s="210"/>
      <c r="F5289" s="210"/>
      <c r="G5289" s="210"/>
      <c r="H5289" s="210"/>
    </row>
    <row r="5290" spans="3:8" x14ac:dyDescent="0.25">
      <c r="C5290" s="210"/>
      <c r="D5290" s="210"/>
      <c r="E5290" s="210"/>
      <c r="F5290" s="210"/>
      <c r="G5290" s="210"/>
      <c r="H5290" s="210"/>
    </row>
    <row r="5291" spans="3:8" x14ac:dyDescent="0.25">
      <c r="C5291" s="210"/>
      <c r="D5291" s="210"/>
      <c r="E5291" s="210"/>
      <c r="F5291" s="210"/>
      <c r="G5291" s="210"/>
      <c r="H5291" s="210"/>
    </row>
    <row r="5292" spans="3:8" x14ac:dyDescent="0.25">
      <c r="C5292" s="210"/>
      <c r="D5292" s="210"/>
      <c r="E5292" s="210"/>
      <c r="F5292" s="210"/>
      <c r="G5292" s="210"/>
      <c r="H5292" s="210"/>
    </row>
    <row r="5293" spans="3:8" x14ac:dyDescent="0.25">
      <c r="C5293" s="210"/>
      <c r="D5293" s="210"/>
      <c r="E5293" s="210"/>
      <c r="F5293" s="210"/>
      <c r="G5293" s="210"/>
      <c r="H5293" s="210"/>
    </row>
    <row r="5294" spans="3:8" x14ac:dyDescent="0.25">
      <c r="C5294" s="210"/>
      <c r="D5294" s="210"/>
      <c r="E5294" s="210"/>
      <c r="F5294" s="210"/>
      <c r="G5294" s="210"/>
      <c r="H5294" s="210"/>
    </row>
    <row r="5295" spans="3:8" x14ac:dyDescent="0.25">
      <c r="C5295" s="210"/>
      <c r="D5295" s="210"/>
      <c r="E5295" s="210"/>
      <c r="F5295" s="210"/>
      <c r="G5295" s="210"/>
      <c r="H5295" s="210"/>
    </row>
    <row r="5296" spans="3:8" x14ac:dyDescent="0.25">
      <c r="C5296" s="210"/>
      <c r="D5296" s="210"/>
      <c r="E5296" s="210"/>
      <c r="F5296" s="210"/>
      <c r="G5296" s="210"/>
      <c r="H5296" s="210"/>
    </row>
    <row r="5297" spans="3:8" x14ac:dyDescent="0.25">
      <c r="C5297" s="210"/>
      <c r="D5297" s="210"/>
      <c r="E5297" s="210"/>
      <c r="F5297" s="210"/>
      <c r="G5297" s="210"/>
      <c r="H5297" s="210"/>
    </row>
    <row r="5298" spans="3:8" x14ac:dyDescent="0.25">
      <c r="C5298" s="210"/>
      <c r="D5298" s="210"/>
      <c r="E5298" s="210"/>
      <c r="F5298" s="210"/>
      <c r="G5298" s="210"/>
      <c r="H5298" s="210"/>
    </row>
    <row r="5299" spans="3:8" x14ac:dyDescent="0.25">
      <c r="C5299" s="210"/>
      <c r="D5299" s="210"/>
      <c r="E5299" s="210"/>
      <c r="F5299" s="210"/>
      <c r="G5299" s="210"/>
      <c r="H5299" s="210"/>
    </row>
    <row r="5300" spans="3:8" x14ac:dyDescent="0.25">
      <c r="C5300" s="210"/>
      <c r="D5300" s="210"/>
      <c r="E5300" s="210"/>
      <c r="F5300" s="210"/>
      <c r="G5300" s="210"/>
      <c r="H5300" s="210"/>
    </row>
    <row r="5301" spans="3:8" x14ac:dyDescent="0.25">
      <c r="C5301" s="210"/>
      <c r="D5301" s="210"/>
      <c r="E5301" s="210"/>
      <c r="F5301" s="210"/>
      <c r="G5301" s="210"/>
      <c r="H5301" s="210"/>
    </row>
    <row r="5302" spans="3:8" x14ac:dyDescent="0.25">
      <c r="C5302" s="210"/>
      <c r="D5302" s="210"/>
      <c r="E5302" s="210"/>
      <c r="F5302" s="210"/>
      <c r="G5302" s="210"/>
      <c r="H5302" s="210"/>
    </row>
    <row r="5303" spans="3:8" x14ac:dyDescent="0.25">
      <c r="C5303" s="210"/>
      <c r="D5303" s="210"/>
      <c r="E5303" s="210"/>
      <c r="F5303" s="210"/>
      <c r="G5303" s="210"/>
      <c r="H5303" s="210"/>
    </row>
    <row r="5304" spans="3:8" x14ac:dyDescent="0.25">
      <c r="C5304" s="210"/>
      <c r="D5304" s="210"/>
      <c r="E5304" s="210"/>
      <c r="F5304" s="210"/>
      <c r="G5304" s="210"/>
      <c r="H5304" s="210"/>
    </row>
    <row r="5305" spans="3:8" x14ac:dyDescent="0.25">
      <c r="C5305" s="210"/>
      <c r="D5305" s="210"/>
      <c r="E5305" s="210"/>
      <c r="F5305" s="210"/>
      <c r="G5305" s="210"/>
      <c r="H5305" s="210"/>
    </row>
    <row r="5306" spans="3:8" x14ac:dyDescent="0.25">
      <c r="C5306" s="210"/>
      <c r="D5306" s="210"/>
      <c r="E5306" s="210"/>
      <c r="F5306" s="210"/>
      <c r="G5306" s="210"/>
      <c r="H5306" s="210"/>
    </row>
    <row r="5307" spans="3:8" x14ac:dyDescent="0.25">
      <c r="C5307" s="210"/>
      <c r="D5307" s="210"/>
      <c r="E5307" s="210"/>
      <c r="F5307" s="210"/>
      <c r="G5307" s="210"/>
      <c r="H5307" s="210"/>
    </row>
    <row r="5308" spans="3:8" x14ac:dyDescent="0.25">
      <c r="C5308" s="210"/>
      <c r="D5308" s="210"/>
      <c r="E5308" s="210"/>
      <c r="F5308" s="210"/>
      <c r="G5308" s="210"/>
      <c r="H5308" s="210"/>
    </row>
    <row r="5309" spans="3:8" x14ac:dyDescent="0.25">
      <c r="C5309" s="210"/>
      <c r="D5309" s="210"/>
      <c r="E5309" s="210"/>
      <c r="F5309" s="210"/>
      <c r="G5309" s="210"/>
      <c r="H5309" s="210"/>
    </row>
    <row r="5310" spans="3:8" x14ac:dyDescent="0.25">
      <c r="C5310" s="210"/>
      <c r="D5310" s="210"/>
      <c r="E5310" s="210"/>
      <c r="F5310" s="210"/>
      <c r="G5310" s="210"/>
      <c r="H5310" s="210"/>
    </row>
    <row r="5311" spans="3:8" x14ac:dyDescent="0.25">
      <c r="C5311" s="210"/>
      <c r="D5311" s="210"/>
      <c r="E5311" s="210"/>
      <c r="F5311" s="210"/>
      <c r="G5311" s="210"/>
      <c r="H5311" s="210"/>
    </row>
    <row r="5312" spans="3:8" x14ac:dyDescent="0.25">
      <c r="C5312" s="210"/>
      <c r="D5312" s="210"/>
      <c r="E5312" s="210"/>
      <c r="F5312" s="210"/>
      <c r="G5312" s="210"/>
      <c r="H5312" s="210"/>
    </row>
    <row r="5313" spans="3:8" x14ac:dyDescent="0.25">
      <c r="C5313" s="210"/>
      <c r="D5313" s="210"/>
      <c r="E5313" s="210"/>
      <c r="F5313" s="210"/>
      <c r="G5313" s="210"/>
      <c r="H5313" s="210"/>
    </row>
    <row r="5314" spans="3:8" x14ac:dyDescent="0.25">
      <c r="C5314" s="210"/>
      <c r="D5314" s="210"/>
      <c r="E5314" s="210"/>
      <c r="F5314" s="210"/>
      <c r="G5314" s="210"/>
      <c r="H5314" s="210"/>
    </row>
    <row r="5315" spans="3:8" x14ac:dyDescent="0.25">
      <c r="C5315" s="210"/>
      <c r="D5315" s="210"/>
      <c r="E5315" s="210"/>
      <c r="F5315" s="210"/>
      <c r="G5315" s="210"/>
      <c r="H5315" s="210"/>
    </row>
    <row r="5316" spans="3:8" x14ac:dyDescent="0.25">
      <c r="C5316" s="210"/>
      <c r="D5316" s="210"/>
      <c r="E5316" s="210"/>
      <c r="F5316" s="210"/>
      <c r="G5316" s="210"/>
      <c r="H5316" s="210"/>
    </row>
    <row r="5317" spans="3:8" x14ac:dyDescent="0.25">
      <c r="C5317" s="210"/>
      <c r="D5317" s="210"/>
      <c r="E5317" s="210"/>
      <c r="F5317" s="210"/>
      <c r="G5317" s="210"/>
      <c r="H5317" s="210"/>
    </row>
    <row r="5318" spans="3:8" x14ac:dyDescent="0.25">
      <c r="C5318" s="210"/>
      <c r="D5318" s="210"/>
      <c r="E5318" s="210"/>
      <c r="F5318" s="210"/>
      <c r="G5318" s="210"/>
      <c r="H5318" s="210"/>
    </row>
    <row r="5319" spans="3:8" x14ac:dyDescent="0.25">
      <c r="C5319" s="210"/>
      <c r="D5319" s="210"/>
      <c r="E5319" s="210"/>
      <c r="F5319" s="210"/>
      <c r="G5319" s="210"/>
      <c r="H5319" s="210"/>
    </row>
    <row r="5320" spans="3:8" x14ac:dyDescent="0.25">
      <c r="C5320" s="210"/>
      <c r="D5320" s="210"/>
      <c r="E5320" s="210"/>
      <c r="F5320" s="210"/>
      <c r="G5320" s="210"/>
      <c r="H5320" s="210"/>
    </row>
    <row r="5321" spans="3:8" x14ac:dyDescent="0.25">
      <c r="C5321" s="210"/>
      <c r="D5321" s="210"/>
      <c r="E5321" s="210"/>
      <c r="F5321" s="210"/>
      <c r="G5321" s="210"/>
      <c r="H5321" s="210"/>
    </row>
    <row r="5322" spans="3:8" x14ac:dyDescent="0.25">
      <c r="C5322" s="210"/>
      <c r="D5322" s="210"/>
      <c r="E5322" s="210"/>
      <c r="F5322" s="210"/>
      <c r="G5322" s="210"/>
      <c r="H5322" s="210"/>
    </row>
    <row r="5323" spans="3:8" x14ac:dyDescent="0.25">
      <c r="C5323" s="210"/>
      <c r="D5323" s="210"/>
      <c r="E5323" s="210"/>
      <c r="F5323" s="210"/>
      <c r="G5323" s="210"/>
      <c r="H5323" s="210"/>
    </row>
    <row r="5324" spans="3:8" x14ac:dyDescent="0.25">
      <c r="C5324" s="210"/>
      <c r="D5324" s="210"/>
      <c r="E5324" s="210"/>
      <c r="F5324" s="210"/>
      <c r="G5324" s="210"/>
      <c r="H5324" s="210"/>
    </row>
    <row r="5325" spans="3:8" x14ac:dyDescent="0.25">
      <c r="C5325" s="210"/>
      <c r="D5325" s="210"/>
      <c r="E5325" s="210"/>
      <c r="F5325" s="210"/>
      <c r="G5325" s="210"/>
      <c r="H5325" s="210"/>
    </row>
    <row r="5326" spans="3:8" x14ac:dyDescent="0.25">
      <c r="C5326" s="210"/>
      <c r="D5326" s="210"/>
      <c r="E5326" s="210"/>
      <c r="F5326" s="210"/>
      <c r="G5326" s="210"/>
      <c r="H5326" s="210"/>
    </row>
    <row r="5327" spans="3:8" x14ac:dyDescent="0.25">
      <c r="C5327" s="210"/>
      <c r="D5327" s="210"/>
      <c r="E5327" s="210"/>
      <c r="F5327" s="210"/>
      <c r="G5327" s="210"/>
      <c r="H5327" s="210"/>
    </row>
    <row r="5328" spans="3:8" x14ac:dyDescent="0.25">
      <c r="C5328" s="210"/>
      <c r="D5328" s="210"/>
      <c r="E5328" s="210"/>
      <c r="F5328" s="210"/>
      <c r="G5328" s="210"/>
      <c r="H5328" s="210"/>
    </row>
    <row r="5329" spans="3:8" x14ac:dyDescent="0.25">
      <c r="C5329" s="210"/>
      <c r="D5329" s="210"/>
      <c r="E5329" s="210"/>
      <c r="F5329" s="210"/>
      <c r="G5329" s="210"/>
      <c r="H5329" s="210"/>
    </row>
    <row r="5330" spans="3:8" x14ac:dyDescent="0.25">
      <c r="C5330" s="210"/>
      <c r="D5330" s="210"/>
      <c r="E5330" s="210"/>
      <c r="F5330" s="210"/>
      <c r="G5330" s="210"/>
      <c r="H5330" s="210"/>
    </row>
    <row r="5331" spans="3:8" x14ac:dyDescent="0.25">
      <c r="C5331" s="210"/>
      <c r="D5331" s="210"/>
      <c r="E5331" s="210"/>
      <c r="F5331" s="210"/>
      <c r="G5331" s="210"/>
      <c r="H5331" s="210"/>
    </row>
    <row r="5332" spans="3:8" x14ac:dyDescent="0.25">
      <c r="C5332" s="210"/>
      <c r="D5332" s="210"/>
      <c r="E5332" s="210"/>
      <c r="F5332" s="210"/>
      <c r="G5332" s="210"/>
      <c r="H5332" s="210"/>
    </row>
    <row r="5333" spans="3:8" x14ac:dyDescent="0.25">
      <c r="C5333" s="210"/>
      <c r="D5333" s="210"/>
      <c r="E5333" s="210"/>
      <c r="F5333" s="210"/>
      <c r="G5333" s="210"/>
      <c r="H5333" s="210"/>
    </row>
    <row r="5334" spans="3:8" x14ac:dyDescent="0.25">
      <c r="C5334" s="210"/>
      <c r="D5334" s="210"/>
      <c r="E5334" s="210"/>
      <c r="F5334" s="210"/>
      <c r="G5334" s="210"/>
      <c r="H5334" s="210"/>
    </row>
    <row r="5335" spans="3:8" x14ac:dyDescent="0.25">
      <c r="C5335" s="210"/>
      <c r="D5335" s="210"/>
      <c r="E5335" s="210"/>
      <c r="F5335" s="210"/>
      <c r="G5335" s="210"/>
      <c r="H5335" s="210"/>
    </row>
    <row r="5336" spans="3:8" x14ac:dyDescent="0.25">
      <c r="C5336" s="210"/>
      <c r="D5336" s="210"/>
      <c r="E5336" s="210"/>
      <c r="F5336" s="210"/>
      <c r="G5336" s="210"/>
      <c r="H5336" s="210"/>
    </row>
    <row r="5337" spans="3:8" x14ac:dyDescent="0.25">
      <c r="C5337" s="210"/>
      <c r="D5337" s="210"/>
      <c r="E5337" s="210"/>
      <c r="F5337" s="210"/>
      <c r="G5337" s="210"/>
      <c r="H5337" s="210"/>
    </row>
    <row r="5338" spans="3:8" x14ac:dyDescent="0.25">
      <c r="C5338" s="210"/>
      <c r="D5338" s="210"/>
      <c r="E5338" s="210"/>
      <c r="F5338" s="210"/>
      <c r="G5338" s="210"/>
      <c r="H5338" s="210"/>
    </row>
    <row r="5339" spans="3:8" x14ac:dyDescent="0.25">
      <c r="C5339" s="210"/>
      <c r="D5339" s="210"/>
      <c r="E5339" s="210"/>
      <c r="F5339" s="210"/>
      <c r="G5339" s="210"/>
      <c r="H5339" s="210"/>
    </row>
    <row r="5340" spans="3:8" x14ac:dyDescent="0.25">
      <c r="C5340" s="210"/>
      <c r="D5340" s="210"/>
      <c r="E5340" s="210"/>
      <c r="F5340" s="210"/>
      <c r="G5340" s="210"/>
      <c r="H5340" s="210"/>
    </row>
    <row r="5341" spans="3:8" x14ac:dyDescent="0.25">
      <c r="C5341" s="210"/>
      <c r="D5341" s="210"/>
      <c r="E5341" s="210"/>
      <c r="F5341" s="210"/>
      <c r="G5341" s="210"/>
      <c r="H5341" s="210"/>
    </row>
    <row r="5342" spans="3:8" x14ac:dyDescent="0.25">
      <c r="C5342" s="210"/>
      <c r="D5342" s="210"/>
      <c r="E5342" s="210"/>
      <c r="F5342" s="210"/>
      <c r="G5342" s="210"/>
      <c r="H5342" s="210"/>
    </row>
    <row r="5343" spans="3:8" x14ac:dyDescent="0.25">
      <c r="C5343" s="210"/>
      <c r="D5343" s="210"/>
      <c r="E5343" s="210"/>
      <c r="F5343" s="210"/>
      <c r="G5343" s="210"/>
      <c r="H5343" s="210"/>
    </row>
    <row r="5344" spans="3:8" x14ac:dyDescent="0.25">
      <c r="C5344" s="210"/>
      <c r="D5344" s="210"/>
      <c r="E5344" s="210"/>
      <c r="F5344" s="210"/>
      <c r="G5344" s="210"/>
      <c r="H5344" s="210"/>
    </row>
    <row r="5345" spans="3:8" x14ac:dyDescent="0.25">
      <c r="C5345" s="210"/>
      <c r="D5345" s="210"/>
      <c r="E5345" s="210"/>
      <c r="F5345" s="210"/>
      <c r="G5345" s="210"/>
      <c r="H5345" s="210"/>
    </row>
    <row r="5346" spans="3:8" x14ac:dyDescent="0.25">
      <c r="C5346" s="210"/>
      <c r="D5346" s="210"/>
      <c r="E5346" s="210"/>
      <c r="F5346" s="210"/>
      <c r="G5346" s="210"/>
      <c r="H5346" s="210"/>
    </row>
    <row r="5347" spans="3:8" x14ac:dyDescent="0.25">
      <c r="C5347" s="210"/>
      <c r="D5347" s="210"/>
      <c r="E5347" s="210"/>
      <c r="F5347" s="210"/>
      <c r="G5347" s="210"/>
      <c r="H5347" s="210"/>
    </row>
    <row r="5348" spans="3:8" x14ac:dyDescent="0.25">
      <c r="C5348" s="210"/>
      <c r="D5348" s="210"/>
      <c r="E5348" s="210"/>
      <c r="F5348" s="210"/>
      <c r="G5348" s="210"/>
      <c r="H5348" s="210"/>
    </row>
    <row r="5349" spans="3:8" x14ac:dyDescent="0.25">
      <c r="C5349" s="210"/>
      <c r="D5349" s="210"/>
      <c r="E5349" s="210"/>
      <c r="F5349" s="210"/>
      <c r="G5349" s="210"/>
      <c r="H5349" s="210"/>
    </row>
    <row r="5350" spans="3:8" x14ac:dyDescent="0.25">
      <c r="C5350" s="210"/>
      <c r="D5350" s="210"/>
      <c r="E5350" s="210"/>
      <c r="F5350" s="210"/>
      <c r="G5350" s="210"/>
      <c r="H5350" s="210"/>
    </row>
    <row r="5351" spans="3:8" x14ac:dyDescent="0.25">
      <c r="C5351" s="210"/>
      <c r="D5351" s="210"/>
      <c r="E5351" s="210"/>
      <c r="F5351" s="210"/>
      <c r="G5351" s="210"/>
      <c r="H5351" s="210"/>
    </row>
    <row r="5352" spans="3:8" x14ac:dyDescent="0.25">
      <c r="C5352" s="210"/>
      <c r="D5352" s="210"/>
      <c r="E5352" s="210"/>
      <c r="F5352" s="210"/>
      <c r="G5352" s="210"/>
      <c r="H5352" s="210"/>
    </row>
    <row r="5353" spans="3:8" x14ac:dyDescent="0.25">
      <c r="C5353" s="210"/>
      <c r="D5353" s="210"/>
      <c r="E5353" s="210"/>
      <c r="F5353" s="210"/>
      <c r="G5353" s="210"/>
      <c r="H5353" s="210"/>
    </row>
    <row r="5354" spans="3:8" x14ac:dyDescent="0.25">
      <c r="C5354" s="210"/>
      <c r="D5354" s="210"/>
      <c r="E5354" s="210"/>
      <c r="F5354" s="210"/>
      <c r="G5354" s="210"/>
      <c r="H5354" s="210"/>
    </row>
    <row r="5355" spans="3:8" x14ac:dyDescent="0.25">
      <c r="C5355" s="210"/>
      <c r="D5355" s="210"/>
      <c r="E5355" s="210"/>
      <c r="F5355" s="210"/>
      <c r="G5355" s="210"/>
      <c r="H5355" s="210"/>
    </row>
    <row r="5356" spans="3:8" x14ac:dyDescent="0.25">
      <c r="C5356" s="210"/>
      <c r="D5356" s="210"/>
      <c r="E5356" s="210"/>
      <c r="F5356" s="210"/>
      <c r="G5356" s="210"/>
      <c r="H5356" s="210"/>
    </row>
    <row r="5357" spans="3:8" x14ac:dyDescent="0.25">
      <c r="C5357" s="210"/>
      <c r="D5357" s="210"/>
      <c r="E5357" s="210"/>
      <c r="F5357" s="210"/>
      <c r="G5357" s="210"/>
      <c r="H5357" s="210"/>
    </row>
    <row r="5358" spans="3:8" x14ac:dyDescent="0.25">
      <c r="C5358" s="210"/>
      <c r="D5358" s="210"/>
      <c r="E5358" s="210"/>
      <c r="F5358" s="210"/>
      <c r="G5358" s="210"/>
      <c r="H5358" s="210"/>
    </row>
    <row r="5359" spans="3:8" x14ac:dyDescent="0.25">
      <c r="C5359" s="210"/>
      <c r="D5359" s="210"/>
      <c r="E5359" s="210"/>
      <c r="F5359" s="210"/>
      <c r="G5359" s="210"/>
      <c r="H5359" s="210"/>
    </row>
    <row r="5360" spans="3:8" x14ac:dyDescent="0.25">
      <c r="C5360" s="210"/>
      <c r="D5360" s="210"/>
      <c r="E5360" s="210"/>
      <c r="F5360" s="210"/>
      <c r="G5360" s="210"/>
      <c r="H5360" s="210"/>
    </row>
    <row r="5361" spans="3:8" x14ac:dyDescent="0.25">
      <c r="C5361" s="210"/>
      <c r="D5361" s="210"/>
      <c r="E5361" s="210"/>
      <c r="F5361" s="210"/>
      <c r="G5361" s="210"/>
      <c r="H5361" s="210"/>
    </row>
    <row r="5362" spans="3:8" x14ac:dyDescent="0.25">
      <c r="C5362" s="210"/>
      <c r="D5362" s="210"/>
      <c r="E5362" s="210"/>
      <c r="F5362" s="210"/>
      <c r="G5362" s="210"/>
      <c r="H5362" s="210"/>
    </row>
    <row r="5363" spans="3:8" x14ac:dyDescent="0.25">
      <c r="C5363" s="210"/>
      <c r="D5363" s="210"/>
      <c r="E5363" s="210"/>
      <c r="F5363" s="210"/>
      <c r="G5363" s="210"/>
      <c r="H5363" s="210"/>
    </row>
    <row r="5364" spans="3:8" x14ac:dyDescent="0.25">
      <c r="C5364" s="210"/>
      <c r="D5364" s="210"/>
      <c r="E5364" s="210"/>
      <c r="F5364" s="210"/>
      <c r="G5364" s="210"/>
      <c r="H5364" s="210"/>
    </row>
    <row r="5365" spans="3:8" x14ac:dyDescent="0.25">
      <c r="C5365" s="210"/>
      <c r="D5365" s="210"/>
      <c r="E5365" s="210"/>
      <c r="F5365" s="210"/>
      <c r="G5365" s="210"/>
      <c r="H5365" s="210"/>
    </row>
    <row r="5366" spans="3:8" x14ac:dyDescent="0.25">
      <c r="C5366" s="210"/>
      <c r="D5366" s="210"/>
      <c r="E5366" s="210"/>
      <c r="F5366" s="210"/>
      <c r="G5366" s="210"/>
      <c r="H5366" s="210"/>
    </row>
    <row r="5367" spans="3:8" x14ac:dyDescent="0.25">
      <c r="C5367" s="210"/>
      <c r="D5367" s="210"/>
      <c r="E5367" s="210"/>
      <c r="F5367" s="210"/>
      <c r="G5367" s="210"/>
      <c r="H5367" s="210"/>
    </row>
    <row r="5368" spans="3:8" x14ac:dyDescent="0.25">
      <c r="C5368" s="210"/>
      <c r="D5368" s="210"/>
      <c r="E5368" s="210"/>
      <c r="F5368" s="210"/>
      <c r="G5368" s="210"/>
      <c r="H5368" s="210"/>
    </row>
    <row r="5369" spans="3:8" x14ac:dyDescent="0.25">
      <c r="C5369" s="210"/>
      <c r="D5369" s="210"/>
      <c r="E5369" s="210"/>
      <c r="F5369" s="210"/>
      <c r="G5369" s="210"/>
      <c r="H5369" s="210"/>
    </row>
    <row r="5370" spans="3:8" x14ac:dyDescent="0.25">
      <c r="C5370" s="210"/>
      <c r="D5370" s="210"/>
      <c r="E5370" s="210"/>
      <c r="F5370" s="210"/>
      <c r="G5370" s="210"/>
      <c r="H5370" s="210"/>
    </row>
    <row r="5371" spans="3:8" x14ac:dyDescent="0.25">
      <c r="C5371" s="210"/>
      <c r="D5371" s="210"/>
      <c r="E5371" s="210"/>
      <c r="F5371" s="210"/>
      <c r="G5371" s="210"/>
      <c r="H5371" s="210"/>
    </row>
    <row r="5372" spans="3:8" x14ac:dyDescent="0.25">
      <c r="C5372" s="210"/>
      <c r="D5372" s="210"/>
      <c r="E5372" s="210"/>
      <c r="F5372" s="210"/>
      <c r="G5372" s="210"/>
      <c r="H5372" s="210"/>
    </row>
    <row r="5373" spans="3:8" x14ac:dyDescent="0.25">
      <c r="C5373" s="210"/>
      <c r="D5373" s="210"/>
      <c r="E5373" s="210"/>
      <c r="F5373" s="210"/>
      <c r="G5373" s="210"/>
      <c r="H5373" s="210"/>
    </row>
    <row r="5374" spans="3:8" x14ac:dyDescent="0.25">
      <c r="C5374" s="210"/>
      <c r="D5374" s="210"/>
      <c r="E5374" s="210"/>
      <c r="F5374" s="210"/>
      <c r="G5374" s="210"/>
      <c r="H5374" s="210"/>
    </row>
    <row r="5375" spans="3:8" x14ac:dyDescent="0.25">
      <c r="C5375" s="210"/>
      <c r="D5375" s="210"/>
      <c r="E5375" s="210"/>
      <c r="F5375" s="210"/>
      <c r="G5375" s="210"/>
      <c r="H5375" s="210"/>
    </row>
    <row r="5376" spans="3:8" x14ac:dyDescent="0.25">
      <c r="C5376" s="210"/>
      <c r="D5376" s="210"/>
      <c r="E5376" s="210"/>
      <c r="F5376" s="210"/>
      <c r="G5376" s="210"/>
      <c r="H5376" s="210"/>
    </row>
    <row r="5377" spans="3:8" x14ac:dyDescent="0.25">
      <c r="C5377" s="210"/>
      <c r="D5377" s="210"/>
      <c r="E5377" s="210"/>
      <c r="F5377" s="210"/>
      <c r="G5377" s="210"/>
      <c r="H5377" s="210"/>
    </row>
    <row r="5378" spans="3:8" x14ac:dyDescent="0.25">
      <c r="C5378" s="210"/>
      <c r="D5378" s="210"/>
      <c r="E5378" s="210"/>
      <c r="F5378" s="210"/>
      <c r="G5378" s="210"/>
      <c r="H5378" s="210"/>
    </row>
    <row r="5379" spans="3:8" x14ac:dyDescent="0.25">
      <c r="C5379" s="210"/>
      <c r="D5379" s="210"/>
      <c r="E5379" s="210"/>
      <c r="F5379" s="210"/>
      <c r="G5379" s="210"/>
      <c r="H5379" s="210"/>
    </row>
    <row r="5380" spans="3:8" x14ac:dyDescent="0.25">
      <c r="C5380" s="210"/>
      <c r="D5380" s="210"/>
      <c r="E5380" s="210"/>
      <c r="F5380" s="210"/>
      <c r="G5380" s="210"/>
      <c r="H5380" s="210"/>
    </row>
    <row r="5381" spans="3:8" x14ac:dyDescent="0.25">
      <c r="C5381" s="210"/>
      <c r="D5381" s="210"/>
      <c r="E5381" s="210"/>
      <c r="F5381" s="210"/>
      <c r="G5381" s="210"/>
      <c r="H5381" s="210"/>
    </row>
    <row r="5382" spans="3:8" x14ac:dyDescent="0.25">
      <c r="C5382" s="210"/>
      <c r="D5382" s="210"/>
      <c r="E5382" s="210"/>
      <c r="F5382" s="210"/>
      <c r="G5382" s="210"/>
      <c r="H5382" s="210"/>
    </row>
    <row r="5383" spans="3:8" x14ac:dyDescent="0.25">
      <c r="C5383" s="210"/>
      <c r="D5383" s="210"/>
      <c r="E5383" s="210"/>
      <c r="F5383" s="210"/>
      <c r="G5383" s="210"/>
      <c r="H5383" s="210"/>
    </row>
    <row r="5384" spans="3:8" x14ac:dyDescent="0.25">
      <c r="C5384" s="210"/>
      <c r="D5384" s="210"/>
      <c r="E5384" s="210"/>
      <c r="F5384" s="210"/>
      <c r="G5384" s="210"/>
      <c r="H5384" s="210"/>
    </row>
    <row r="5385" spans="3:8" x14ac:dyDescent="0.25">
      <c r="C5385" s="210"/>
      <c r="D5385" s="210"/>
      <c r="E5385" s="210"/>
      <c r="F5385" s="210"/>
      <c r="G5385" s="210"/>
      <c r="H5385" s="210"/>
    </row>
    <row r="5386" spans="3:8" x14ac:dyDescent="0.25">
      <c r="C5386" s="210"/>
      <c r="D5386" s="210"/>
      <c r="E5386" s="210"/>
      <c r="F5386" s="210"/>
      <c r="G5386" s="210"/>
      <c r="H5386" s="210"/>
    </row>
    <row r="5387" spans="3:8" x14ac:dyDescent="0.25">
      <c r="C5387" s="210"/>
      <c r="D5387" s="210"/>
      <c r="E5387" s="210"/>
      <c r="F5387" s="210"/>
      <c r="G5387" s="210"/>
      <c r="H5387" s="210"/>
    </row>
    <row r="5388" spans="3:8" x14ac:dyDescent="0.25">
      <c r="C5388" s="210"/>
      <c r="D5388" s="210"/>
      <c r="E5388" s="210"/>
      <c r="F5388" s="210"/>
      <c r="G5388" s="210"/>
      <c r="H5388" s="210"/>
    </row>
    <row r="5389" spans="3:8" x14ac:dyDescent="0.25">
      <c r="C5389" s="210"/>
      <c r="D5389" s="210"/>
      <c r="E5389" s="210"/>
      <c r="F5389" s="210"/>
      <c r="G5389" s="210"/>
      <c r="H5389" s="210"/>
    </row>
    <row r="5390" spans="3:8" x14ac:dyDescent="0.25">
      <c r="C5390" s="210"/>
      <c r="D5390" s="210"/>
      <c r="E5390" s="210"/>
      <c r="F5390" s="210"/>
      <c r="G5390" s="210"/>
      <c r="H5390" s="210"/>
    </row>
    <row r="5391" spans="3:8" x14ac:dyDescent="0.25">
      <c r="C5391" s="210"/>
      <c r="D5391" s="210"/>
      <c r="E5391" s="210"/>
      <c r="F5391" s="210"/>
      <c r="G5391" s="210"/>
      <c r="H5391" s="210"/>
    </row>
    <row r="5392" spans="3:8" x14ac:dyDescent="0.25">
      <c r="C5392" s="210"/>
      <c r="D5392" s="210"/>
      <c r="E5392" s="210"/>
      <c r="F5392" s="210"/>
      <c r="G5392" s="210"/>
      <c r="H5392" s="210"/>
    </row>
    <row r="5393" spans="3:8" x14ac:dyDescent="0.25">
      <c r="C5393" s="210"/>
      <c r="D5393" s="210"/>
      <c r="E5393" s="210"/>
      <c r="F5393" s="210"/>
      <c r="G5393" s="210"/>
      <c r="H5393" s="210"/>
    </row>
    <row r="5394" spans="3:8" x14ac:dyDescent="0.25">
      <c r="C5394" s="210"/>
      <c r="D5394" s="210"/>
      <c r="E5394" s="210"/>
      <c r="F5394" s="210"/>
      <c r="G5394" s="210"/>
      <c r="H5394" s="210"/>
    </row>
    <row r="5395" spans="3:8" x14ac:dyDescent="0.25">
      <c r="C5395" s="210"/>
      <c r="D5395" s="210"/>
      <c r="E5395" s="210"/>
      <c r="F5395" s="210"/>
      <c r="G5395" s="210"/>
      <c r="H5395" s="210"/>
    </row>
    <row r="5396" spans="3:8" x14ac:dyDescent="0.25">
      <c r="C5396" s="210"/>
      <c r="D5396" s="210"/>
      <c r="E5396" s="210"/>
      <c r="F5396" s="210"/>
      <c r="G5396" s="210"/>
      <c r="H5396" s="210"/>
    </row>
    <row r="5397" spans="3:8" x14ac:dyDescent="0.25">
      <c r="C5397" s="210"/>
      <c r="D5397" s="210"/>
      <c r="E5397" s="210"/>
      <c r="F5397" s="210"/>
      <c r="G5397" s="210"/>
      <c r="H5397" s="210"/>
    </row>
    <row r="5398" spans="3:8" x14ac:dyDescent="0.25">
      <c r="C5398" s="210"/>
      <c r="D5398" s="210"/>
      <c r="E5398" s="210"/>
      <c r="F5398" s="210"/>
      <c r="G5398" s="210"/>
      <c r="H5398" s="210"/>
    </row>
    <row r="5399" spans="3:8" x14ac:dyDescent="0.25">
      <c r="C5399" s="210"/>
      <c r="D5399" s="210"/>
      <c r="E5399" s="210"/>
      <c r="F5399" s="210"/>
      <c r="G5399" s="210"/>
      <c r="H5399" s="210"/>
    </row>
    <row r="5400" spans="3:8" x14ac:dyDescent="0.25">
      <c r="C5400" s="210"/>
      <c r="D5400" s="210"/>
      <c r="E5400" s="210"/>
      <c r="F5400" s="210"/>
      <c r="G5400" s="210"/>
      <c r="H5400" s="210"/>
    </row>
    <row r="5401" spans="3:8" x14ac:dyDescent="0.25">
      <c r="C5401" s="210"/>
      <c r="D5401" s="210"/>
      <c r="E5401" s="210"/>
      <c r="F5401" s="210"/>
      <c r="G5401" s="210"/>
      <c r="H5401" s="210"/>
    </row>
    <row r="5402" spans="3:8" x14ac:dyDescent="0.25">
      <c r="C5402" s="210"/>
      <c r="D5402" s="210"/>
      <c r="E5402" s="210"/>
      <c r="F5402" s="210"/>
      <c r="G5402" s="210"/>
      <c r="H5402" s="210"/>
    </row>
    <row r="5403" spans="3:8" x14ac:dyDescent="0.25">
      <c r="C5403" s="210"/>
      <c r="D5403" s="210"/>
      <c r="E5403" s="210"/>
      <c r="F5403" s="210"/>
      <c r="G5403" s="210"/>
      <c r="H5403" s="210"/>
    </row>
    <row r="5404" spans="3:8" x14ac:dyDescent="0.25">
      <c r="C5404" s="210"/>
      <c r="D5404" s="210"/>
      <c r="E5404" s="210"/>
      <c r="F5404" s="210"/>
      <c r="G5404" s="210"/>
      <c r="H5404" s="210"/>
    </row>
    <row r="5405" spans="3:8" x14ac:dyDescent="0.25">
      <c r="C5405" s="210"/>
      <c r="D5405" s="210"/>
      <c r="E5405" s="210"/>
      <c r="F5405" s="210"/>
      <c r="G5405" s="210"/>
      <c r="H5405" s="210"/>
    </row>
    <row r="5406" spans="3:8" x14ac:dyDescent="0.25">
      <c r="C5406" s="210"/>
      <c r="D5406" s="210"/>
      <c r="E5406" s="210"/>
      <c r="F5406" s="210"/>
      <c r="G5406" s="210"/>
      <c r="H5406" s="210"/>
    </row>
    <row r="5407" spans="3:8" x14ac:dyDescent="0.25">
      <c r="C5407" s="210"/>
      <c r="D5407" s="210"/>
      <c r="E5407" s="210"/>
      <c r="F5407" s="210"/>
      <c r="G5407" s="210"/>
      <c r="H5407" s="210"/>
    </row>
    <row r="5408" spans="3:8" x14ac:dyDescent="0.25">
      <c r="C5408" s="210"/>
      <c r="D5408" s="210"/>
      <c r="E5408" s="210"/>
      <c r="F5408" s="210"/>
      <c r="G5408" s="210"/>
      <c r="H5408" s="210"/>
    </row>
    <row r="5409" spans="3:8" x14ac:dyDescent="0.25">
      <c r="C5409" s="210"/>
      <c r="D5409" s="210"/>
      <c r="E5409" s="210"/>
      <c r="F5409" s="210"/>
      <c r="G5409" s="210"/>
      <c r="H5409" s="210"/>
    </row>
    <row r="5410" spans="3:8" x14ac:dyDescent="0.25">
      <c r="C5410" s="210"/>
      <c r="D5410" s="210"/>
      <c r="E5410" s="210"/>
      <c r="F5410" s="210"/>
      <c r="G5410" s="210"/>
      <c r="H5410" s="210"/>
    </row>
    <row r="5411" spans="3:8" x14ac:dyDescent="0.25">
      <c r="C5411" s="210"/>
      <c r="D5411" s="210"/>
      <c r="E5411" s="210"/>
      <c r="F5411" s="210"/>
      <c r="G5411" s="210"/>
      <c r="H5411" s="210"/>
    </row>
    <row r="5412" spans="3:8" x14ac:dyDescent="0.25">
      <c r="C5412" s="210"/>
      <c r="D5412" s="210"/>
      <c r="E5412" s="210"/>
      <c r="F5412" s="210"/>
      <c r="G5412" s="210"/>
      <c r="H5412" s="210"/>
    </row>
    <row r="5413" spans="3:8" x14ac:dyDescent="0.25">
      <c r="C5413" s="210"/>
      <c r="D5413" s="210"/>
      <c r="E5413" s="210"/>
      <c r="F5413" s="210"/>
      <c r="G5413" s="210"/>
      <c r="H5413" s="210"/>
    </row>
    <row r="5414" spans="3:8" x14ac:dyDescent="0.25">
      <c r="C5414" s="210"/>
      <c r="D5414" s="210"/>
      <c r="E5414" s="210"/>
      <c r="F5414" s="210"/>
      <c r="G5414" s="210"/>
      <c r="H5414" s="210"/>
    </row>
    <row r="5415" spans="3:8" x14ac:dyDescent="0.25">
      <c r="C5415" s="210"/>
      <c r="D5415" s="210"/>
      <c r="E5415" s="210"/>
      <c r="F5415" s="210"/>
      <c r="G5415" s="210"/>
      <c r="H5415" s="210"/>
    </row>
    <row r="5416" spans="3:8" x14ac:dyDescent="0.25">
      <c r="C5416" s="210"/>
      <c r="D5416" s="210"/>
      <c r="E5416" s="210"/>
      <c r="F5416" s="210"/>
      <c r="G5416" s="210"/>
      <c r="H5416" s="210"/>
    </row>
    <row r="5417" spans="3:8" x14ac:dyDescent="0.25">
      <c r="C5417" s="210"/>
      <c r="D5417" s="210"/>
      <c r="E5417" s="210"/>
      <c r="F5417" s="210"/>
      <c r="G5417" s="210"/>
      <c r="H5417" s="210"/>
    </row>
    <row r="5418" spans="3:8" x14ac:dyDescent="0.25">
      <c r="C5418" s="210"/>
      <c r="D5418" s="210"/>
      <c r="E5418" s="210"/>
      <c r="F5418" s="210"/>
      <c r="G5418" s="210"/>
      <c r="H5418" s="210"/>
    </row>
    <row r="5419" spans="3:8" x14ac:dyDescent="0.25">
      <c r="C5419" s="210"/>
      <c r="D5419" s="210"/>
      <c r="E5419" s="210"/>
      <c r="F5419" s="210"/>
      <c r="G5419" s="210"/>
      <c r="H5419" s="210"/>
    </row>
    <row r="5420" spans="3:8" x14ac:dyDescent="0.25">
      <c r="C5420" s="210"/>
      <c r="D5420" s="210"/>
      <c r="E5420" s="210"/>
      <c r="F5420" s="210"/>
      <c r="G5420" s="210"/>
      <c r="H5420" s="210"/>
    </row>
    <row r="5421" spans="3:8" x14ac:dyDescent="0.25">
      <c r="C5421" s="210"/>
      <c r="D5421" s="210"/>
      <c r="E5421" s="210"/>
      <c r="F5421" s="210"/>
      <c r="G5421" s="210"/>
      <c r="H5421" s="210"/>
    </row>
    <row r="5422" spans="3:8" x14ac:dyDescent="0.25">
      <c r="C5422" s="210"/>
      <c r="D5422" s="210"/>
      <c r="E5422" s="210"/>
      <c r="F5422" s="210"/>
      <c r="G5422" s="210"/>
      <c r="H5422" s="210"/>
    </row>
    <row r="5423" spans="3:8" x14ac:dyDescent="0.25">
      <c r="C5423" s="210"/>
      <c r="D5423" s="210"/>
      <c r="E5423" s="210"/>
      <c r="F5423" s="210"/>
      <c r="G5423" s="210"/>
      <c r="H5423" s="210"/>
    </row>
    <row r="5424" spans="3:8" x14ac:dyDescent="0.25">
      <c r="C5424" s="210"/>
      <c r="D5424" s="210"/>
      <c r="E5424" s="210"/>
      <c r="F5424" s="210"/>
      <c r="G5424" s="210"/>
      <c r="H5424" s="210"/>
    </row>
    <row r="5425" spans="3:8" x14ac:dyDescent="0.25">
      <c r="C5425" s="210"/>
      <c r="D5425" s="210"/>
      <c r="E5425" s="210"/>
      <c r="F5425" s="210"/>
      <c r="G5425" s="210"/>
      <c r="H5425" s="210"/>
    </row>
    <row r="5426" spans="3:8" x14ac:dyDescent="0.25">
      <c r="C5426" s="210"/>
      <c r="D5426" s="210"/>
      <c r="E5426" s="210"/>
      <c r="F5426" s="210"/>
      <c r="G5426" s="210"/>
      <c r="H5426" s="210"/>
    </row>
    <row r="5427" spans="3:8" x14ac:dyDescent="0.25">
      <c r="C5427" s="210"/>
      <c r="D5427" s="210"/>
      <c r="E5427" s="210"/>
      <c r="F5427" s="210"/>
      <c r="G5427" s="210"/>
      <c r="H5427" s="210"/>
    </row>
    <row r="5428" spans="3:8" x14ac:dyDescent="0.25">
      <c r="C5428" s="210"/>
      <c r="D5428" s="210"/>
      <c r="E5428" s="210"/>
      <c r="F5428" s="210"/>
      <c r="G5428" s="210"/>
      <c r="H5428" s="210"/>
    </row>
    <row r="5429" spans="3:8" x14ac:dyDescent="0.25">
      <c r="C5429" s="210"/>
      <c r="D5429" s="210"/>
      <c r="E5429" s="210"/>
      <c r="F5429" s="210"/>
      <c r="G5429" s="210"/>
      <c r="H5429" s="210"/>
    </row>
    <row r="5430" spans="3:8" x14ac:dyDescent="0.25">
      <c r="C5430" s="210"/>
      <c r="D5430" s="210"/>
      <c r="E5430" s="210"/>
      <c r="F5430" s="210"/>
      <c r="G5430" s="210"/>
      <c r="H5430" s="210"/>
    </row>
    <row r="5431" spans="3:8" x14ac:dyDescent="0.25">
      <c r="C5431" s="210"/>
      <c r="D5431" s="210"/>
      <c r="E5431" s="210"/>
      <c r="F5431" s="210"/>
      <c r="G5431" s="210"/>
      <c r="H5431" s="210"/>
    </row>
    <row r="5432" spans="3:8" x14ac:dyDescent="0.25">
      <c r="C5432" s="210"/>
      <c r="D5432" s="210"/>
      <c r="E5432" s="210"/>
      <c r="F5432" s="210"/>
      <c r="G5432" s="210"/>
      <c r="H5432" s="210"/>
    </row>
    <row r="5433" spans="3:8" x14ac:dyDescent="0.25">
      <c r="C5433" s="210"/>
      <c r="D5433" s="210"/>
      <c r="E5433" s="210"/>
      <c r="F5433" s="210"/>
      <c r="G5433" s="210"/>
      <c r="H5433" s="210"/>
    </row>
    <row r="5434" spans="3:8" x14ac:dyDescent="0.25">
      <c r="C5434" s="210"/>
      <c r="D5434" s="210"/>
      <c r="E5434" s="210"/>
      <c r="F5434" s="210"/>
      <c r="G5434" s="210"/>
      <c r="H5434" s="210"/>
    </row>
    <row r="5435" spans="3:8" x14ac:dyDescent="0.25">
      <c r="C5435" s="210"/>
      <c r="D5435" s="210"/>
      <c r="E5435" s="210"/>
      <c r="F5435" s="210"/>
      <c r="G5435" s="210"/>
      <c r="H5435" s="210"/>
    </row>
    <row r="5436" spans="3:8" x14ac:dyDescent="0.25">
      <c r="C5436" s="210"/>
      <c r="D5436" s="210"/>
      <c r="E5436" s="210"/>
      <c r="F5436" s="210"/>
      <c r="G5436" s="210"/>
      <c r="H5436" s="210"/>
    </row>
    <row r="5437" spans="3:8" x14ac:dyDescent="0.25">
      <c r="C5437" s="210"/>
      <c r="D5437" s="210"/>
      <c r="E5437" s="210"/>
      <c r="F5437" s="210"/>
      <c r="G5437" s="210"/>
      <c r="H5437" s="210"/>
    </row>
    <row r="5438" spans="3:8" x14ac:dyDescent="0.25">
      <c r="C5438" s="210"/>
      <c r="D5438" s="210"/>
      <c r="E5438" s="210"/>
      <c r="F5438" s="210"/>
      <c r="G5438" s="210"/>
      <c r="H5438" s="210"/>
    </row>
    <row r="5439" spans="3:8" x14ac:dyDescent="0.25">
      <c r="C5439" s="210"/>
      <c r="D5439" s="210"/>
      <c r="E5439" s="210"/>
      <c r="F5439" s="210"/>
      <c r="G5439" s="210"/>
      <c r="H5439" s="210"/>
    </row>
    <row r="5440" spans="3:8" x14ac:dyDescent="0.25">
      <c r="C5440" s="210"/>
      <c r="D5440" s="210"/>
      <c r="E5440" s="210"/>
      <c r="F5440" s="210"/>
      <c r="G5440" s="210"/>
      <c r="H5440" s="210"/>
    </row>
    <row r="5441" spans="3:8" x14ac:dyDescent="0.25">
      <c r="C5441" s="210"/>
      <c r="D5441" s="210"/>
      <c r="E5441" s="210"/>
      <c r="F5441" s="210"/>
      <c r="G5441" s="210"/>
      <c r="H5441" s="210"/>
    </row>
    <row r="5442" spans="3:8" x14ac:dyDescent="0.25">
      <c r="C5442" s="210"/>
      <c r="D5442" s="210"/>
      <c r="E5442" s="210"/>
      <c r="F5442" s="210"/>
      <c r="G5442" s="210"/>
      <c r="H5442" s="210"/>
    </row>
    <row r="5443" spans="3:8" x14ac:dyDescent="0.25">
      <c r="C5443" s="210"/>
      <c r="D5443" s="210"/>
      <c r="E5443" s="210"/>
      <c r="F5443" s="210"/>
      <c r="G5443" s="210"/>
      <c r="H5443" s="210"/>
    </row>
    <row r="5444" spans="3:8" x14ac:dyDescent="0.25">
      <c r="C5444" s="210"/>
      <c r="D5444" s="210"/>
      <c r="E5444" s="210"/>
      <c r="F5444" s="210"/>
      <c r="G5444" s="210"/>
      <c r="H5444" s="210"/>
    </row>
    <row r="5445" spans="3:8" x14ac:dyDescent="0.25">
      <c r="C5445" s="210"/>
      <c r="D5445" s="210"/>
      <c r="E5445" s="210"/>
      <c r="F5445" s="210"/>
      <c r="G5445" s="210"/>
      <c r="H5445" s="210"/>
    </row>
    <row r="5446" spans="3:8" x14ac:dyDescent="0.25">
      <c r="C5446" s="210"/>
      <c r="D5446" s="210"/>
      <c r="E5446" s="210"/>
      <c r="F5446" s="210"/>
      <c r="G5446" s="210"/>
      <c r="H5446" s="210"/>
    </row>
    <row r="5447" spans="3:8" x14ac:dyDescent="0.25">
      <c r="C5447" s="210"/>
      <c r="D5447" s="210"/>
      <c r="E5447" s="210"/>
      <c r="F5447" s="210"/>
      <c r="G5447" s="210"/>
      <c r="H5447" s="210"/>
    </row>
    <row r="5448" spans="3:8" x14ac:dyDescent="0.25">
      <c r="C5448" s="210"/>
      <c r="D5448" s="210"/>
      <c r="E5448" s="210"/>
      <c r="F5448" s="210"/>
      <c r="G5448" s="210"/>
      <c r="H5448" s="210"/>
    </row>
    <row r="5449" spans="3:8" x14ac:dyDescent="0.25">
      <c r="C5449" s="210"/>
      <c r="D5449" s="210"/>
      <c r="E5449" s="210"/>
      <c r="F5449" s="210"/>
      <c r="G5449" s="210"/>
      <c r="H5449" s="210"/>
    </row>
    <row r="5450" spans="3:8" x14ac:dyDescent="0.25">
      <c r="C5450" s="210"/>
      <c r="D5450" s="210"/>
      <c r="E5450" s="210"/>
      <c r="F5450" s="210"/>
      <c r="G5450" s="210"/>
      <c r="H5450" s="210"/>
    </row>
    <row r="5451" spans="3:8" x14ac:dyDescent="0.25">
      <c r="C5451" s="210"/>
      <c r="D5451" s="210"/>
      <c r="E5451" s="210"/>
      <c r="F5451" s="210"/>
      <c r="G5451" s="210"/>
      <c r="H5451" s="210"/>
    </row>
    <row r="5452" spans="3:8" x14ac:dyDescent="0.25">
      <c r="C5452" s="210"/>
      <c r="D5452" s="210"/>
      <c r="E5452" s="210"/>
      <c r="F5452" s="210"/>
      <c r="G5452" s="210"/>
      <c r="H5452" s="210"/>
    </row>
    <row r="5453" spans="3:8" x14ac:dyDescent="0.25">
      <c r="C5453" s="210"/>
      <c r="D5453" s="210"/>
      <c r="E5453" s="210"/>
      <c r="F5453" s="210"/>
      <c r="G5453" s="210"/>
      <c r="H5453" s="210"/>
    </row>
    <row r="5454" spans="3:8" x14ac:dyDescent="0.25">
      <c r="C5454" s="210"/>
      <c r="D5454" s="210"/>
      <c r="E5454" s="210"/>
      <c r="F5454" s="210"/>
      <c r="G5454" s="210"/>
      <c r="H5454" s="210"/>
    </row>
    <row r="5455" spans="3:8" x14ac:dyDescent="0.25">
      <c r="C5455" s="210"/>
      <c r="D5455" s="210"/>
      <c r="E5455" s="210"/>
      <c r="F5455" s="210"/>
      <c r="G5455" s="210"/>
      <c r="H5455" s="210"/>
    </row>
    <row r="5456" spans="3:8" x14ac:dyDescent="0.25">
      <c r="C5456" s="210"/>
      <c r="D5456" s="210"/>
      <c r="E5456" s="210"/>
      <c r="F5456" s="210"/>
      <c r="G5456" s="210"/>
      <c r="H5456" s="210"/>
    </row>
    <row r="5457" spans="3:8" x14ac:dyDescent="0.25">
      <c r="C5457" s="210"/>
      <c r="D5457" s="210"/>
      <c r="E5457" s="210"/>
      <c r="F5457" s="210"/>
      <c r="G5457" s="210"/>
      <c r="H5457" s="210"/>
    </row>
    <row r="5458" spans="3:8" x14ac:dyDescent="0.25">
      <c r="C5458" s="210"/>
      <c r="D5458" s="210"/>
      <c r="E5458" s="210"/>
      <c r="F5458" s="210"/>
      <c r="G5458" s="210"/>
      <c r="H5458" s="210"/>
    </row>
    <row r="5459" spans="3:8" x14ac:dyDescent="0.25">
      <c r="C5459" s="210"/>
      <c r="D5459" s="210"/>
      <c r="E5459" s="210"/>
      <c r="F5459" s="210"/>
      <c r="G5459" s="210"/>
      <c r="H5459" s="210"/>
    </row>
    <row r="5460" spans="3:8" x14ac:dyDescent="0.25">
      <c r="C5460" s="210"/>
      <c r="D5460" s="210"/>
      <c r="E5460" s="210"/>
      <c r="F5460" s="210"/>
      <c r="G5460" s="210"/>
      <c r="H5460" s="210"/>
    </row>
    <row r="5461" spans="3:8" x14ac:dyDescent="0.25">
      <c r="C5461" s="210"/>
      <c r="D5461" s="210"/>
      <c r="E5461" s="210"/>
      <c r="F5461" s="210"/>
      <c r="G5461" s="210"/>
      <c r="H5461" s="210"/>
    </row>
    <row r="5462" spans="3:8" x14ac:dyDescent="0.25">
      <c r="C5462" s="210"/>
      <c r="D5462" s="210"/>
      <c r="E5462" s="210"/>
      <c r="F5462" s="210"/>
      <c r="G5462" s="210"/>
      <c r="H5462" s="210"/>
    </row>
    <row r="5463" spans="3:8" x14ac:dyDescent="0.25">
      <c r="C5463" s="210"/>
      <c r="D5463" s="210"/>
      <c r="E5463" s="210"/>
      <c r="F5463" s="210"/>
      <c r="G5463" s="210"/>
      <c r="H5463" s="210"/>
    </row>
    <row r="5464" spans="3:8" x14ac:dyDescent="0.25">
      <c r="C5464" s="210"/>
      <c r="D5464" s="210"/>
      <c r="E5464" s="210"/>
      <c r="F5464" s="210"/>
      <c r="G5464" s="210"/>
      <c r="H5464" s="210"/>
    </row>
    <row r="5465" spans="3:8" x14ac:dyDescent="0.25">
      <c r="C5465" s="210"/>
      <c r="D5465" s="210"/>
      <c r="E5465" s="210"/>
      <c r="F5465" s="210"/>
      <c r="G5465" s="210"/>
      <c r="H5465" s="210"/>
    </row>
    <row r="5466" spans="3:8" x14ac:dyDescent="0.25">
      <c r="C5466" s="210"/>
      <c r="D5466" s="210"/>
      <c r="E5466" s="210"/>
      <c r="F5466" s="210"/>
      <c r="G5466" s="210"/>
      <c r="H5466" s="210"/>
    </row>
    <row r="5467" spans="3:8" x14ac:dyDescent="0.25">
      <c r="C5467" s="210"/>
      <c r="D5467" s="210"/>
      <c r="E5467" s="210"/>
      <c r="F5467" s="210"/>
      <c r="G5467" s="210"/>
      <c r="H5467" s="210"/>
    </row>
    <row r="5468" spans="3:8" x14ac:dyDescent="0.25">
      <c r="C5468" s="210"/>
      <c r="D5468" s="210"/>
      <c r="E5468" s="210"/>
      <c r="F5468" s="210"/>
      <c r="G5468" s="210"/>
      <c r="H5468" s="210"/>
    </row>
    <row r="5469" spans="3:8" x14ac:dyDescent="0.25">
      <c r="C5469" s="210"/>
      <c r="D5469" s="210"/>
      <c r="E5469" s="210"/>
      <c r="F5469" s="210"/>
      <c r="G5469" s="210"/>
      <c r="H5469" s="210"/>
    </row>
    <row r="5470" spans="3:8" x14ac:dyDescent="0.25">
      <c r="C5470" s="210"/>
      <c r="D5470" s="210"/>
      <c r="E5470" s="210"/>
      <c r="F5470" s="210"/>
      <c r="G5470" s="210"/>
      <c r="H5470" s="210"/>
    </row>
    <row r="5471" spans="3:8" x14ac:dyDescent="0.25">
      <c r="C5471" s="210"/>
      <c r="D5471" s="210"/>
      <c r="E5471" s="210"/>
      <c r="F5471" s="210"/>
      <c r="G5471" s="210"/>
      <c r="H5471" s="210"/>
    </row>
    <row r="5472" spans="3:8" x14ac:dyDescent="0.25">
      <c r="C5472" s="210"/>
      <c r="D5472" s="210"/>
      <c r="E5472" s="210"/>
      <c r="F5472" s="210"/>
      <c r="G5472" s="210"/>
      <c r="H5472" s="210"/>
    </row>
    <row r="5473" spans="3:8" x14ac:dyDescent="0.25">
      <c r="C5473" s="210"/>
      <c r="D5473" s="210"/>
      <c r="E5473" s="210"/>
      <c r="F5473" s="210"/>
      <c r="G5473" s="210"/>
      <c r="H5473" s="210"/>
    </row>
    <row r="5474" spans="3:8" x14ac:dyDescent="0.25">
      <c r="C5474" s="210"/>
      <c r="D5474" s="210"/>
      <c r="E5474" s="210"/>
      <c r="F5474" s="210"/>
      <c r="G5474" s="210"/>
      <c r="H5474" s="210"/>
    </row>
    <row r="5475" spans="3:8" x14ac:dyDescent="0.25">
      <c r="C5475" s="210"/>
      <c r="D5475" s="210"/>
      <c r="E5475" s="210"/>
      <c r="F5475" s="210"/>
      <c r="G5475" s="210"/>
      <c r="H5475" s="210"/>
    </row>
    <row r="5476" spans="3:8" x14ac:dyDescent="0.25">
      <c r="C5476" s="210"/>
      <c r="D5476" s="210"/>
      <c r="E5476" s="210"/>
      <c r="F5476" s="210"/>
      <c r="G5476" s="210"/>
      <c r="H5476" s="210"/>
    </row>
    <row r="5477" spans="3:8" x14ac:dyDescent="0.25">
      <c r="C5477" s="210"/>
      <c r="D5477" s="210"/>
      <c r="E5477" s="210"/>
      <c r="F5477" s="210"/>
      <c r="G5477" s="210"/>
      <c r="H5477" s="210"/>
    </row>
    <row r="5478" spans="3:8" x14ac:dyDescent="0.25">
      <c r="C5478" s="210"/>
      <c r="D5478" s="210"/>
      <c r="E5478" s="210"/>
      <c r="F5478" s="210"/>
      <c r="G5478" s="210"/>
      <c r="H5478" s="210"/>
    </row>
    <row r="5479" spans="3:8" x14ac:dyDescent="0.25">
      <c r="C5479" s="210"/>
      <c r="D5479" s="210"/>
      <c r="E5479" s="210"/>
      <c r="F5479" s="210"/>
      <c r="G5479" s="210"/>
      <c r="H5479" s="210"/>
    </row>
    <row r="5480" spans="3:8" x14ac:dyDescent="0.25">
      <c r="C5480" s="210"/>
      <c r="D5480" s="210"/>
      <c r="E5480" s="210"/>
      <c r="F5480" s="210"/>
      <c r="G5480" s="210"/>
      <c r="H5480" s="210"/>
    </row>
    <row r="5481" spans="3:8" x14ac:dyDescent="0.25">
      <c r="C5481" s="210"/>
      <c r="D5481" s="210"/>
      <c r="E5481" s="210"/>
      <c r="F5481" s="210"/>
      <c r="G5481" s="210"/>
      <c r="H5481" s="210"/>
    </row>
    <row r="5482" spans="3:8" x14ac:dyDescent="0.25">
      <c r="C5482" s="210"/>
      <c r="D5482" s="210"/>
      <c r="E5482" s="210"/>
      <c r="F5482" s="210"/>
      <c r="G5482" s="210"/>
      <c r="H5482" s="210"/>
    </row>
    <row r="5483" spans="3:8" x14ac:dyDescent="0.25">
      <c r="C5483" s="210"/>
      <c r="D5483" s="210"/>
      <c r="E5483" s="210"/>
      <c r="F5483" s="210"/>
      <c r="G5483" s="210"/>
      <c r="H5483" s="210"/>
    </row>
    <row r="5484" spans="3:8" x14ac:dyDescent="0.25">
      <c r="C5484" s="210"/>
      <c r="D5484" s="210"/>
      <c r="E5484" s="210"/>
      <c r="F5484" s="210"/>
      <c r="G5484" s="210"/>
      <c r="H5484" s="210"/>
    </row>
    <row r="5485" spans="3:8" x14ac:dyDescent="0.25">
      <c r="C5485" s="210"/>
      <c r="D5485" s="210"/>
      <c r="E5485" s="210"/>
      <c r="F5485" s="210"/>
      <c r="G5485" s="210"/>
      <c r="H5485" s="210"/>
    </row>
    <row r="5486" spans="3:8" x14ac:dyDescent="0.25">
      <c r="C5486" s="210"/>
      <c r="D5486" s="210"/>
      <c r="E5486" s="210"/>
      <c r="F5486" s="210"/>
      <c r="G5486" s="210"/>
      <c r="H5486" s="210"/>
    </row>
    <row r="5487" spans="3:8" x14ac:dyDescent="0.25">
      <c r="C5487" s="210"/>
      <c r="D5487" s="210"/>
      <c r="E5487" s="210"/>
      <c r="F5487" s="210"/>
      <c r="G5487" s="210"/>
      <c r="H5487" s="210"/>
    </row>
    <row r="5488" spans="3:8" x14ac:dyDescent="0.25">
      <c r="C5488" s="210"/>
      <c r="D5488" s="210"/>
      <c r="E5488" s="210"/>
      <c r="F5488" s="210"/>
      <c r="G5488" s="210"/>
      <c r="H5488" s="210"/>
    </row>
    <row r="5489" spans="3:8" x14ac:dyDescent="0.25">
      <c r="C5489" s="210"/>
      <c r="D5489" s="210"/>
      <c r="E5489" s="210"/>
      <c r="F5489" s="210"/>
      <c r="G5489" s="210"/>
      <c r="H5489" s="210"/>
    </row>
    <row r="5490" spans="3:8" x14ac:dyDescent="0.25">
      <c r="C5490" s="210"/>
      <c r="D5490" s="210"/>
      <c r="E5490" s="210"/>
      <c r="F5490" s="210"/>
      <c r="G5490" s="210"/>
      <c r="H5490" s="210"/>
    </row>
    <row r="5491" spans="3:8" x14ac:dyDescent="0.25">
      <c r="C5491" s="210"/>
      <c r="D5491" s="210"/>
      <c r="E5491" s="210"/>
      <c r="F5491" s="210"/>
      <c r="G5491" s="210"/>
      <c r="H5491" s="210"/>
    </row>
    <row r="5492" spans="3:8" x14ac:dyDescent="0.25">
      <c r="C5492" s="210"/>
      <c r="D5492" s="210"/>
      <c r="E5492" s="210"/>
      <c r="F5492" s="210"/>
      <c r="G5492" s="210"/>
      <c r="H5492" s="210"/>
    </row>
    <row r="5493" spans="3:8" x14ac:dyDescent="0.25">
      <c r="C5493" s="210"/>
      <c r="D5493" s="210"/>
      <c r="E5493" s="210"/>
      <c r="F5493" s="210"/>
      <c r="G5493" s="210"/>
      <c r="H5493" s="210"/>
    </row>
    <row r="5494" spans="3:8" x14ac:dyDescent="0.25">
      <c r="C5494" s="210"/>
      <c r="D5494" s="210"/>
      <c r="E5494" s="210"/>
      <c r="F5494" s="210"/>
      <c r="G5494" s="210"/>
      <c r="H5494" s="210"/>
    </row>
    <row r="5495" spans="3:8" x14ac:dyDescent="0.25">
      <c r="C5495" s="210"/>
      <c r="D5495" s="210"/>
      <c r="E5495" s="210"/>
      <c r="F5495" s="210"/>
      <c r="G5495" s="210"/>
      <c r="H5495" s="210"/>
    </row>
    <row r="5496" spans="3:8" x14ac:dyDescent="0.25">
      <c r="C5496" s="210"/>
      <c r="D5496" s="210"/>
      <c r="E5496" s="210"/>
      <c r="F5496" s="210"/>
      <c r="G5496" s="210"/>
      <c r="H5496" s="210"/>
    </row>
    <row r="5497" spans="3:8" x14ac:dyDescent="0.25">
      <c r="C5497" s="210"/>
      <c r="D5497" s="210"/>
      <c r="E5497" s="210"/>
      <c r="F5497" s="210"/>
      <c r="G5497" s="210"/>
      <c r="H5497" s="210"/>
    </row>
    <row r="5498" spans="3:8" x14ac:dyDescent="0.25">
      <c r="C5498" s="210"/>
      <c r="D5498" s="210"/>
      <c r="E5498" s="210"/>
      <c r="F5498" s="210"/>
      <c r="G5498" s="210"/>
      <c r="H5498" s="210"/>
    </row>
    <row r="5499" spans="3:8" x14ac:dyDescent="0.25">
      <c r="C5499" s="210"/>
      <c r="D5499" s="210"/>
      <c r="E5499" s="210"/>
      <c r="F5499" s="210"/>
      <c r="G5499" s="210"/>
      <c r="H5499" s="210"/>
    </row>
    <row r="5500" spans="3:8" x14ac:dyDescent="0.25">
      <c r="C5500" s="210"/>
      <c r="D5500" s="210"/>
      <c r="E5500" s="210"/>
      <c r="F5500" s="210"/>
      <c r="G5500" s="210"/>
      <c r="H5500" s="210"/>
    </row>
    <row r="5501" spans="3:8" x14ac:dyDescent="0.25">
      <c r="C5501" s="210"/>
      <c r="D5501" s="210"/>
      <c r="E5501" s="210"/>
      <c r="F5501" s="210"/>
      <c r="G5501" s="210"/>
      <c r="H5501" s="210"/>
    </row>
    <row r="5502" spans="3:8" x14ac:dyDescent="0.25">
      <c r="C5502" s="210"/>
      <c r="D5502" s="210"/>
      <c r="E5502" s="210"/>
      <c r="F5502" s="210"/>
      <c r="G5502" s="210"/>
      <c r="H5502" s="210"/>
    </row>
    <row r="5503" spans="3:8" x14ac:dyDescent="0.25">
      <c r="C5503" s="210"/>
      <c r="D5503" s="210"/>
      <c r="E5503" s="210"/>
      <c r="F5503" s="210"/>
      <c r="G5503" s="210"/>
      <c r="H5503" s="210"/>
    </row>
    <row r="5504" spans="3:8" x14ac:dyDescent="0.25">
      <c r="C5504" s="210"/>
      <c r="D5504" s="210"/>
      <c r="E5504" s="210"/>
      <c r="F5504" s="210"/>
      <c r="G5504" s="210"/>
      <c r="H5504" s="210"/>
    </row>
    <row r="5505" spans="3:8" x14ac:dyDescent="0.25">
      <c r="C5505" s="210"/>
      <c r="D5505" s="210"/>
      <c r="E5505" s="210"/>
      <c r="F5505" s="210"/>
      <c r="G5505" s="210"/>
      <c r="H5505" s="210"/>
    </row>
    <row r="5506" spans="3:8" x14ac:dyDescent="0.25">
      <c r="C5506" s="210"/>
      <c r="D5506" s="210"/>
      <c r="E5506" s="210"/>
      <c r="F5506" s="210"/>
      <c r="G5506" s="210"/>
      <c r="H5506" s="210"/>
    </row>
    <row r="5507" spans="3:8" x14ac:dyDescent="0.25">
      <c r="C5507" s="210"/>
      <c r="D5507" s="210"/>
      <c r="E5507" s="210"/>
      <c r="F5507" s="210"/>
      <c r="G5507" s="210"/>
      <c r="H5507" s="210"/>
    </row>
    <row r="5508" spans="3:8" x14ac:dyDescent="0.25">
      <c r="C5508" s="210"/>
      <c r="D5508" s="210"/>
      <c r="E5508" s="210"/>
      <c r="F5508" s="210"/>
      <c r="G5508" s="210"/>
      <c r="H5508" s="210"/>
    </row>
    <row r="5509" spans="3:8" x14ac:dyDescent="0.25">
      <c r="C5509" s="210"/>
      <c r="D5509" s="210"/>
      <c r="E5509" s="210"/>
      <c r="F5509" s="210"/>
      <c r="G5509" s="210"/>
      <c r="H5509" s="210"/>
    </row>
    <row r="5510" spans="3:8" x14ac:dyDescent="0.25">
      <c r="C5510" s="210"/>
      <c r="D5510" s="210"/>
      <c r="E5510" s="210"/>
      <c r="F5510" s="210"/>
      <c r="G5510" s="210"/>
      <c r="H5510" s="210"/>
    </row>
    <row r="5511" spans="3:8" x14ac:dyDescent="0.25">
      <c r="C5511" s="210"/>
      <c r="D5511" s="210"/>
      <c r="E5511" s="210"/>
      <c r="F5511" s="210"/>
      <c r="G5511" s="210"/>
      <c r="H5511" s="210"/>
    </row>
    <row r="5512" spans="3:8" x14ac:dyDescent="0.25">
      <c r="C5512" s="210"/>
      <c r="D5512" s="210"/>
      <c r="E5512" s="210"/>
      <c r="F5512" s="210"/>
      <c r="G5512" s="210"/>
      <c r="H5512" s="210"/>
    </row>
    <row r="5513" spans="3:8" x14ac:dyDescent="0.25">
      <c r="C5513" s="210"/>
      <c r="D5513" s="210"/>
      <c r="E5513" s="210"/>
      <c r="F5513" s="210"/>
      <c r="G5513" s="210"/>
      <c r="H5513" s="210"/>
    </row>
    <row r="5514" spans="3:8" x14ac:dyDescent="0.25">
      <c r="C5514" s="210"/>
      <c r="D5514" s="210"/>
      <c r="E5514" s="210"/>
      <c r="F5514" s="210"/>
      <c r="G5514" s="210"/>
      <c r="H5514" s="210"/>
    </row>
    <row r="5515" spans="3:8" x14ac:dyDescent="0.25">
      <c r="C5515" s="210"/>
      <c r="D5515" s="210"/>
      <c r="E5515" s="210"/>
      <c r="F5515" s="210"/>
      <c r="G5515" s="210"/>
      <c r="H5515" s="210"/>
    </row>
    <row r="5516" spans="3:8" x14ac:dyDescent="0.25">
      <c r="C5516" s="210"/>
      <c r="D5516" s="210"/>
      <c r="E5516" s="210"/>
      <c r="F5516" s="210"/>
      <c r="G5516" s="210"/>
      <c r="H5516" s="210"/>
    </row>
    <row r="5517" spans="3:8" x14ac:dyDescent="0.25">
      <c r="C5517" s="210"/>
      <c r="D5517" s="210"/>
      <c r="E5517" s="210"/>
      <c r="F5517" s="210"/>
      <c r="G5517" s="210"/>
      <c r="H5517" s="210"/>
    </row>
    <row r="5518" spans="3:8" x14ac:dyDescent="0.25">
      <c r="C5518" s="210"/>
      <c r="D5518" s="210"/>
      <c r="E5518" s="210"/>
      <c r="F5518" s="210"/>
      <c r="G5518" s="210"/>
      <c r="H5518" s="210"/>
    </row>
    <row r="5519" spans="3:8" x14ac:dyDescent="0.25">
      <c r="C5519" s="210"/>
      <c r="D5519" s="210"/>
      <c r="E5519" s="210"/>
      <c r="F5519" s="210"/>
      <c r="G5519" s="210"/>
      <c r="H5519" s="210"/>
    </row>
    <row r="5520" spans="3:8" x14ac:dyDescent="0.25">
      <c r="C5520" s="210"/>
      <c r="D5520" s="210"/>
      <c r="E5520" s="210"/>
      <c r="F5520" s="210"/>
      <c r="G5520" s="210"/>
      <c r="H5520" s="210"/>
    </row>
    <row r="5521" spans="3:8" x14ac:dyDescent="0.25">
      <c r="C5521" s="210"/>
      <c r="D5521" s="210"/>
      <c r="E5521" s="210"/>
      <c r="F5521" s="210"/>
      <c r="G5521" s="210"/>
      <c r="H5521" s="210"/>
    </row>
    <row r="5522" spans="3:8" x14ac:dyDescent="0.25">
      <c r="C5522" s="210"/>
      <c r="D5522" s="210"/>
      <c r="E5522" s="210"/>
      <c r="F5522" s="210"/>
      <c r="G5522" s="210"/>
      <c r="H5522" s="210"/>
    </row>
    <row r="5523" spans="3:8" x14ac:dyDescent="0.25">
      <c r="C5523" s="210"/>
      <c r="D5523" s="210"/>
      <c r="E5523" s="210"/>
      <c r="F5523" s="210"/>
      <c r="G5523" s="210"/>
      <c r="H5523" s="210"/>
    </row>
    <row r="5524" spans="3:8" x14ac:dyDescent="0.25">
      <c r="C5524" s="210"/>
      <c r="D5524" s="210"/>
      <c r="E5524" s="210"/>
      <c r="F5524" s="210"/>
      <c r="G5524" s="210"/>
      <c r="H5524" s="210"/>
    </row>
    <row r="5525" spans="3:8" x14ac:dyDescent="0.25">
      <c r="C5525" s="210"/>
      <c r="D5525" s="210"/>
      <c r="E5525" s="210"/>
      <c r="F5525" s="210"/>
      <c r="G5525" s="210"/>
      <c r="H5525" s="210"/>
    </row>
    <row r="5526" spans="3:8" x14ac:dyDescent="0.25">
      <c r="C5526" s="210"/>
      <c r="D5526" s="210"/>
      <c r="E5526" s="210"/>
      <c r="F5526" s="210"/>
      <c r="G5526" s="210"/>
      <c r="H5526" s="210"/>
    </row>
    <row r="5527" spans="3:8" x14ac:dyDescent="0.25">
      <c r="C5527" s="210"/>
      <c r="D5527" s="210"/>
      <c r="E5527" s="210"/>
      <c r="F5527" s="210"/>
      <c r="G5527" s="210"/>
      <c r="H5527" s="210"/>
    </row>
    <row r="5528" spans="3:8" x14ac:dyDescent="0.25">
      <c r="C5528" s="210"/>
      <c r="D5528" s="210"/>
      <c r="E5528" s="210"/>
      <c r="F5528" s="210"/>
      <c r="G5528" s="210"/>
      <c r="H5528" s="210"/>
    </row>
    <row r="5529" spans="3:8" x14ac:dyDescent="0.25">
      <c r="C5529" s="210"/>
      <c r="D5529" s="210"/>
      <c r="E5529" s="210"/>
      <c r="F5529" s="210"/>
      <c r="G5529" s="210"/>
      <c r="H5529" s="210"/>
    </row>
    <row r="5530" spans="3:8" x14ac:dyDescent="0.25">
      <c r="C5530" s="210"/>
      <c r="D5530" s="210"/>
      <c r="E5530" s="210"/>
      <c r="F5530" s="210"/>
      <c r="G5530" s="210"/>
      <c r="H5530" s="210"/>
    </row>
    <row r="5531" spans="3:8" x14ac:dyDescent="0.25">
      <c r="C5531" s="210"/>
      <c r="D5531" s="210"/>
      <c r="E5531" s="210"/>
      <c r="F5531" s="210"/>
      <c r="G5531" s="210"/>
      <c r="H5531" s="210"/>
    </row>
    <row r="5532" spans="3:8" x14ac:dyDescent="0.25">
      <c r="C5532" s="210"/>
      <c r="D5532" s="210"/>
      <c r="E5532" s="210"/>
      <c r="F5532" s="210"/>
      <c r="G5532" s="210"/>
      <c r="H5532" s="210"/>
    </row>
    <row r="5533" spans="3:8" x14ac:dyDescent="0.25">
      <c r="C5533" s="210"/>
      <c r="D5533" s="210"/>
      <c r="E5533" s="210"/>
      <c r="F5533" s="210"/>
      <c r="G5533" s="210"/>
      <c r="H5533" s="210"/>
    </row>
    <row r="5534" spans="3:8" x14ac:dyDescent="0.25">
      <c r="C5534" s="210"/>
      <c r="D5534" s="210"/>
      <c r="E5534" s="210"/>
      <c r="F5534" s="210"/>
      <c r="G5534" s="210"/>
      <c r="H5534" s="210"/>
    </row>
    <row r="5535" spans="3:8" x14ac:dyDescent="0.25">
      <c r="C5535" s="210"/>
      <c r="D5535" s="210"/>
      <c r="E5535" s="210"/>
      <c r="F5535" s="210"/>
      <c r="G5535" s="210"/>
      <c r="H5535" s="210"/>
    </row>
    <row r="5536" spans="3:8" x14ac:dyDescent="0.25">
      <c r="C5536" s="210"/>
      <c r="D5536" s="210"/>
      <c r="E5536" s="210"/>
      <c r="F5536" s="210"/>
      <c r="G5536" s="210"/>
      <c r="H5536" s="210"/>
    </row>
    <row r="5537" spans="3:8" x14ac:dyDescent="0.25">
      <c r="C5537" s="210"/>
      <c r="D5537" s="210"/>
      <c r="E5537" s="210"/>
      <c r="F5537" s="210"/>
      <c r="G5537" s="210"/>
      <c r="H5537" s="210"/>
    </row>
    <row r="5538" spans="3:8" x14ac:dyDescent="0.25">
      <c r="C5538" s="210"/>
      <c r="D5538" s="210"/>
      <c r="E5538" s="210"/>
      <c r="F5538" s="210"/>
      <c r="G5538" s="210"/>
      <c r="H5538" s="210"/>
    </row>
    <row r="5539" spans="3:8" x14ac:dyDescent="0.25">
      <c r="C5539" s="210"/>
      <c r="D5539" s="210"/>
      <c r="E5539" s="210"/>
      <c r="F5539" s="210"/>
      <c r="G5539" s="210"/>
      <c r="H5539" s="210"/>
    </row>
    <row r="5540" spans="3:8" x14ac:dyDescent="0.25">
      <c r="C5540" s="210"/>
      <c r="D5540" s="210"/>
      <c r="E5540" s="210"/>
      <c r="F5540" s="210"/>
      <c r="G5540" s="210"/>
      <c r="H5540" s="210"/>
    </row>
    <row r="5541" spans="3:8" x14ac:dyDescent="0.25">
      <c r="C5541" s="210"/>
      <c r="D5541" s="210"/>
      <c r="E5541" s="210"/>
      <c r="F5541" s="210"/>
      <c r="G5541" s="210"/>
      <c r="H5541" s="210"/>
    </row>
    <row r="5542" spans="3:8" x14ac:dyDescent="0.25">
      <c r="C5542" s="210"/>
      <c r="D5542" s="210"/>
      <c r="E5542" s="210"/>
      <c r="F5542" s="210"/>
      <c r="G5542" s="210"/>
      <c r="H5542" s="210"/>
    </row>
    <row r="5543" spans="3:8" x14ac:dyDescent="0.25">
      <c r="C5543" s="210"/>
      <c r="D5543" s="210"/>
      <c r="E5543" s="210"/>
      <c r="F5543" s="210"/>
      <c r="G5543" s="210"/>
      <c r="H5543" s="210"/>
    </row>
    <row r="5544" spans="3:8" x14ac:dyDescent="0.25">
      <c r="C5544" s="210"/>
      <c r="D5544" s="210"/>
      <c r="E5544" s="210"/>
      <c r="F5544" s="210"/>
      <c r="G5544" s="210"/>
      <c r="H5544" s="210"/>
    </row>
    <row r="5545" spans="3:8" x14ac:dyDescent="0.25">
      <c r="C5545" s="210"/>
      <c r="D5545" s="210"/>
      <c r="E5545" s="210"/>
      <c r="F5545" s="210"/>
      <c r="G5545" s="210"/>
      <c r="H5545" s="210"/>
    </row>
    <row r="5546" spans="3:8" x14ac:dyDescent="0.25">
      <c r="C5546" s="210"/>
      <c r="D5546" s="210"/>
      <c r="E5546" s="210"/>
      <c r="F5546" s="210"/>
      <c r="G5546" s="210"/>
      <c r="H5546" s="210"/>
    </row>
    <row r="5547" spans="3:8" x14ac:dyDescent="0.25">
      <c r="C5547" s="210"/>
      <c r="D5547" s="210"/>
      <c r="E5547" s="210"/>
      <c r="F5547" s="210"/>
      <c r="G5547" s="210"/>
      <c r="H5547" s="210"/>
    </row>
    <row r="5548" spans="3:8" x14ac:dyDescent="0.25">
      <c r="C5548" s="210"/>
      <c r="D5548" s="210"/>
      <c r="E5548" s="210"/>
      <c r="F5548" s="210"/>
      <c r="G5548" s="210"/>
      <c r="H5548" s="210"/>
    </row>
    <row r="5549" spans="3:8" x14ac:dyDescent="0.25">
      <c r="C5549" s="210"/>
      <c r="D5549" s="210"/>
      <c r="E5549" s="210"/>
      <c r="F5549" s="210"/>
      <c r="G5549" s="210"/>
      <c r="H5549" s="210"/>
    </row>
    <row r="5550" spans="3:8" x14ac:dyDescent="0.25">
      <c r="C5550" s="210"/>
      <c r="D5550" s="210"/>
      <c r="E5550" s="210"/>
      <c r="F5550" s="210"/>
      <c r="G5550" s="210"/>
      <c r="H5550" s="210"/>
    </row>
    <row r="5551" spans="3:8" x14ac:dyDescent="0.25">
      <c r="C5551" s="210"/>
      <c r="D5551" s="210"/>
      <c r="E5551" s="210"/>
      <c r="F5551" s="210"/>
      <c r="G5551" s="210"/>
      <c r="H5551" s="210"/>
    </row>
    <row r="5552" spans="3:8" x14ac:dyDescent="0.25">
      <c r="C5552" s="210"/>
      <c r="D5552" s="210"/>
      <c r="E5552" s="210"/>
      <c r="F5552" s="210"/>
      <c r="G5552" s="210"/>
      <c r="H5552" s="210"/>
    </row>
    <row r="5553" spans="3:8" x14ac:dyDescent="0.25">
      <c r="C5553" s="210"/>
      <c r="D5553" s="210"/>
      <c r="E5553" s="210"/>
      <c r="F5553" s="210"/>
      <c r="G5553" s="210"/>
      <c r="H5553" s="210"/>
    </row>
    <row r="5554" spans="3:8" x14ac:dyDescent="0.25">
      <c r="C5554" s="210"/>
      <c r="D5554" s="210"/>
      <c r="E5554" s="210"/>
      <c r="F5554" s="210"/>
      <c r="G5554" s="210"/>
      <c r="H5554" s="210"/>
    </row>
    <row r="5555" spans="3:8" x14ac:dyDescent="0.25">
      <c r="C5555" s="210"/>
      <c r="D5555" s="210"/>
      <c r="E5555" s="210"/>
      <c r="F5555" s="210"/>
      <c r="G5555" s="210"/>
      <c r="H5555" s="210"/>
    </row>
    <row r="5556" spans="3:8" x14ac:dyDescent="0.25">
      <c r="C5556" s="210"/>
      <c r="D5556" s="210"/>
      <c r="E5556" s="210"/>
      <c r="F5556" s="210"/>
      <c r="G5556" s="210"/>
      <c r="H5556" s="210"/>
    </row>
    <row r="5557" spans="3:8" x14ac:dyDescent="0.25">
      <c r="C5557" s="210"/>
      <c r="D5557" s="210"/>
      <c r="E5557" s="210"/>
      <c r="F5557" s="210"/>
      <c r="G5557" s="210"/>
      <c r="H5557" s="210"/>
    </row>
    <row r="5558" spans="3:8" x14ac:dyDescent="0.25">
      <c r="C5558" s="210"/>
      <c r="D5558" s="210"/>
      <c r="E5558" s="210"/>
      <c r="F5558" s="210"/>
      <c r="G5558" s="210"/>
      <c r="H5558" s="210"/>
    </row>
    <row r="5559" spans="3:8" x14ac:dyDescent="0.25">
      <c r="C5559" s="210"/>
      <c r="D5559" s="210"/>
      <c r="E5559" s="210"/>
      <c r="F5559" s="210"/>
      <c r="G5559" s="210"/>
      <c r="H5559" s="210"/>
    </row>
    <row r="5560" spans="3:8" x14ac:dyDescent="0.25">
      <c r="C5560" s="210"/>
      <c r="D5560" s="210"/>
      <c r="E5560" s="210"/>
      <c r="F5560" s="210"/>
      <c r="G5560" s="210"/>
      <c r="H5560" s="210"/>
    </row>
    <row r="5561" spans="3:8" x14ac:dyDescent="0.25">
      <c r="C5561" s="210"/>
      <c r="D5561" s="210"/>
      <c r="E5561" s="210"/>
      <c r="F5561" s="210"/>
      <c r="G5561" s="210"/>
      <c r="H5561" s="210"/>
    </row>
    <row r="5562" spans="3:8" x14ac:dyDescent="0.25">
      <c r="C5562" s="210"/>
      <c r="D5562" s="210"/>
      <c r="E5562" s="210"/>
      <c r="F5562" s="210"/>
      <c r="G5562" s="210"/>
      <c r="H5562" s="210"/>
    </row>
    <row r="5563" spans="3:8" x14ac:dyDescent="0.25">
      <c r="C5563" s="210"/>
      <c r="D5563" s="210"/>
      <c r="E5563" s="210"/>
      <c r="F5563" s="210"/>
      <c r="G5563" s="210"/>
      <c r="H5563" s="210"/>
    </row>
    <row r="5564" spans="3:8" x14ac:dyDescent="0.25">
      <c r="C5564" s="210"/>
      <c r="D5564" s="210"/>
      <c r="E5564" s="210"/>
      <c r="F5564" s="210"/>
      <c r="G5564" s="210"/>
      <c r="H5564" s="210"/>
    </row>
    <row r="5565" spans="3:8" x14ac:dyDescent="0.25">
      <c r="C5565" s="210"/>
      <c r="D5565" s="210"/>
      <c r="E5565" s="210"/>
      <c r="F5565" s="210"/>
      <c r="G5565" s="210"/>
      <c r="H5565" s="210"/>
    </row>
    <row r="5566" spans="3:8" x14ac:dyDescent="0.25">
      <c r="C5566" s="210"/>
      <c r="D5566" s="210"/>
      <c r="E5566" s="210"/>
      <c r="F5566" s="210"/>
      <c r="G5566" s="210"/>
      <c r="H5566" s="210"/>
    </row>
    <row r="5567" spans="3:8" x14ac:dyDescent="0.25">
      <c r="C5567" s="210"/>
      <c r="D5567" s="210"/>
      <c r="E5567" s="210"/>
      <c r="F5567" s="210"/>
      <c r="G5567" s="210"/>
      <c r="H5567" s="210"/>
    </row>
    <row r="5568" spans="3:8" x14ac:dyDescent="0.25">
      <c r="C5568" s="210"/>
      <c r="D5568" s="210"/>
      <c r="E5568" s="210"/>
      <c r="F5568" s="210"/>
      <c r="G5568" s="210"/>
      <c r="H5568" s="210"/>
    </row>
    <row r="5569" spans="3:8" x14ac:dyDescent="0.25">
      <c r="C5569" s="210"/>
      <c r="D5569" s="210"/>
      <c r="E5569" s="210"/>
      <c r="F5569" s="210"/>
      <c r="G5569" s="210"/>
      <c r="H5569" s="210"/>
    </row>
    <row r="5570" spans="3:8" x14ac:dyDescent="0.25">
      <c r="C5570" s="210"/>
      <c r="D5570" s="210"/>
      <c r="E5570" s="210"/>
      <c r="F5570" s="210"/>
      <c r="G5570" s="210"/>
      <c r="H5570" s="210"/>
    </row>
    <row r="5571" spans="3:8" x14ac:dyDescent="0.25">
      <c r="C5571" s="210"/>
      <c r="D5571" s="210"/>
      <c r="E5571" s="210"/>
      <c r="F5571" s="210"/>
      <c r="G5571" s="210"/>
      <c r="H5571" s="210"/>
    </row>
    <row r="5572" spans="3:8" x14ac:dyDescent="0.25">
      <c r="C5572" s="210"/>
      <c r="D5572" s="210"/>
      <c r="E5572" s="210"/>
      <c r="F5572" s="210"/>
      <c r="G5572" s="210"/>
      <c r="H5572" s="210"/>
    </row>
    <row r="5573" spans="3:8" x14ac:dyDescent="0.25">
      <c r="C5573" s="210"/>
      <c r="D5573" s="210"/>
      <c r="E5573" s="210"/>
      <c r="F5573" s="210"/>
      <c r="G5573" s="210"/>
      <c r="H5573" s="210"/>
    </row>
    <row r="5574" spans="3:8" x14ac:dyDescent="0.25">
      <c r="C5574" s="210"/>
      <c r="D5574" s="210"/>
      <c r="E5574" s="210"/>
      <c r="F5574" s="210"/>
      <c r="G5574" s="210"/>
      <c r="H5574" s="210"/>
    </row>
    <row r="5575" spans="3:8" x14ac:dyDescent="0.25">
      <c r="C5575" s="210"/>
      <c r="D5575" s="210"/>
      <c r="E5575" s="210"/>
      <c r="F5575" s="210"/>
      <c r="G5575" s="210"/>
      <c r="H5575" s="210"/>
    </row>
    <row r="5576" spans="3:8" x14ac:dyDescent="0.25">
      <c r="C5576" s="210"/>
      <c r="D5576" s="210"/>
      <c r="E5576" s="210"/>
      <c r="F5576" s="210"/>
      <c r="G5576" s="210"/>
      <c r="H5576" s="210"/>
    </row>
    <row r="5577" spans="3:8" x14ac:dyDescent="0.25">
      <c r="C5577" s="210"/>
      <c r="D5577" s="210"/>
      <c r="E5577" s="210"/>
      <c r="F5577" s="210"/>
      <c r="G5577" s="210"/>
      <c r="H5577" s="210"/>
    </row>
    <row r="5578" spans="3:8" x14ac:dyDescent="0.25">
      <c r="C5578" s="210"/>
      <c r="D5578" s="210"/>
      <c r="E5578" s="210"/>
      <c r="F5578" s="210"/>
      <c r="G5578" s="210"/>
      <c r="H5578" s="210"/>
    </row>
    <row r="5579" spans="3:8" x14ac:dyDescent="0.25">
      <c r="C5579" s="210"/>
      <c r="D5579" s="210"/>
      <c r="E5579" s="210"/>
      <c r="F5579" s="210"/>
      <c r="G5579" s="210"/>
      <c r="H5579" s="210"/>
    </row>
    <row r="5580" spans="3:8" x14ac:dyDescent="0.25">
      <c r="C5580" s="210"/>
      <c r="D5580" s="210"/>
      <c r="E5580" s="210"/>
      <c r="F5580" s="210"/>
      <c r="G5580" s="210"/>
      <c r="H5580" s="210"/>
    </row>
    <row r="5581" spans="3:8" x14ac:dyDescent="0.25">
      <c r="C5581" s="210"/>
      <c r="D5581" s="210"/>
      <c r="E5581" s="210"/>
      <c r="F5581" s="210"/>
      <c r="G5581" s="210"/>
      <c r="H5581" s="210"/>
    </row>
    <row r="5582" spans="3:8" x14ac:dyDescent="0.25">
      <c r="C5582" s="210"/>
      <c r="D5582" s="210"/>
      <c r="E5582" s="210"/>
      <c r="F5582" s="210"/>
      <c r="G5582" s="210"/>
      <c r="H5582" s="210"/>
    </row>
    <row r="5583" spans="3:8" x14ac:dyDescent="0.25">
      <c r="C5583" s="210"/>
      <c r="D5583" s="210"/>
      <c r="E5583" s="210"/>
      <c r="F5583" s="210"/>
      <c r="G5583" s="210"/>
      <c r="H5583" s="210"/>
    </row>
    <row r="5584" spans="3:8" x14ac:dyDescent="0.25">
      <c r="C5584" s="210"/>
      <c r="D5584" s="210"/>
      <c r="E5584" s="210"/>
      <c r="F5584" s="210"/>
      <c r="G5584" s="210"/>
      <c r="H5584" s="210"/>
    </row>
    <row r="5585" spans="3:8" x14ac:dyDescent="0.25">
      <c r="C5585" s="210"/>
      <c r="D5585" s="210"/>
      <c r="E5585" s="210"/>
      <c r="F5585" s="210"/>
      <c r="G5585" s="210"/>
      <c r="H5585" s="210"/>
    </row>
    <row r="5586" spans="3:8" x14ac:dyDescent="0.25">
      <c r="C5586" s="210"/>
      <c r="D5586" s="210"/>
      <c r="E5586" s="210"/>
      <c r="F5586" s="210"/>
      <c r="G5586" s="210"/>
      <c r="H5586" s="210"/>
    </row>
    <row r="5587" spans="3:8" x14ac:dyDescent="0.25">
      <c r="C5587" s="210"/>
      <c r="D5587" s="210"/>
      <c r="E5587" s="210"/>
      <c r="F5587" s="210"/>
      <c r="G5587" s="210"/>
      <c r="H5587" s="210"/>
    </row>
    <row r="5588" spans="3:8" x14ac:dyDescent="0.25">
      <c r="C5588" s="210"/>
      <c r="D5588" s="210"/>
      <c r="E5588" s="210"/>
      <c r="F5588" s="210"/>
      <c r="G5588" s="210"/>
      <c r="H5588" s="210"/>
    </row>
    <row r="5589" spans="3:8" x14ac:dyDescent="0.25">
      <c r="C5589" s="210"/>
      <c r="D5589" s="210"/>
      <c r="E5589" s="210"/>
      <c r="F5589" s="210"/>
      <c r="G5589" s="210"/>
      <c r="H5589" s="210"/>
    </row>
    <row r="5590" spans="3:8" x14ac:dyDescent="0.25">
      <c r="C5590" s="210"/>
      <c r="D5590" s="210"/>
      <c r="E5590" s="210"/>
      <c r="F5590" s="210"/>
      <c r="G5590" s="210"/>
      <c r="H5590" s="210"/>
    </row>
    <row r="5591" spans="3:8" x14ac:dyDescent="0.25">
      <c r="C5591" s="210"/>
      <c r="D5591" s="210"/>
      <c r="E5591" s="210"/>
      <c r="F5591" s="210"/>
      <c r="G5591" s="210"/>
      <c r="H5591" s="210"/>
    </row>
    <row r="5592" spans="3:8" x14ac:dyDescent="0.25">
      <c r="C5592" s="210"/>
      <c r="D5592" s="210"/>
      <c r="E5592" s="210"/>
      <c r="F5592" s="210"/>
      <c r="G5592" s="210"/>
      <c r="H5592" s="210"/>
    </row>
    <row r="5593" spans="3:8" x14ac:dyDescent="0.25">
      <c r="C5593" s="210"/>
      <c r="D5593" s="210"/>
      <c r="E5593" s="210"/>
      <c r="F5593" s="210"/>
      <c r="G5593" s="210"/>
      <c r="H5593" s="210"/>
    </row>
    <row r="5594" spans="3:8" x14ac:dyDescent="0.25">
      <c r="C5594" s="210"/>
      <c r="D5594" s="210"/>
      <c r="E5594" s="210"/>
      <c r="F5594" s="210"/>
      <c r="G5594" s="210"/>
      <c r="H5594" s="210"/>
    </row>
    <row r="5595" spans="3:8" x14ac:dyDescent="0.25">
      <c r="C5595" s="210"/>
      <c r="D5595" s="210"/>
      <c r="E5595" s="210"/>
      <c r="F5595" s="210"/>
      <c r="G5595" s="210"/>
      <c r="H5595" s="210"/>
    </row>
    <row r="5596" spans="3:8" x14ac:dyDescent="0.25">
      <c r="C5596" s="210"/>
      <c r="D5596" s="210"/>
      <c r="E5596" s="210"/>
      <c r="F5596" s="210"/>
      <c r="G5596" s="210"/>
      <c r="H5596" s="210"/>
    </row>
    <row r="5597" spans="3:8" x14ac:dyDescent="0.25">
      <c r="C5597" s="210"/>
      <c r="D5597" s="210"/>
      <c r="E5597" s="210"/>
      <c r="F5597" s="210"/>
      <c r="G5597" s="210"/>
      <c r="H5597" s="210"/>
    </row>
    <row r="5598" spans="3:8" x14ac:dyDescent="0.25">
      <c r="C5598" s="210"/>
      <c r="D5598" s="210"/>
      <c r="E5598" s="210"/>
      <c r="F5598" s="210"/>
      <c r="G5598" s="210"/>
      <c r="H5598" s="210"/>
    </row>
    <row r="5599" spans="3:8" x14ac:dyDescent="0.25">
      <c r="C5599" s="210"/>
      <c r="D5599" s="210"/>
      <c r="E5599" s="210"/>
      <c r="F5599" s="210"/>
      <c r="G5599" s="210"/>
      <c r="H5599" s="210"/>
    </row>
    <row r="5600" spans="3:8" x14ac:dyDescent="0.25">
      <c r="C5600" s="210"/>
      <c r="D5600" s="210"/>
      <c r="E5600" s="210"/>
      <c r="F5600" s="210"/>
      <c r="G5600" s="210"/>
      <c r="H5600" s="210"/>
    </row>
    <row r="5601" spans="3:8" x14ac:dyDescent="0.25">
      <c r="C5601" s="210"/>
      <c r="D5601" s="210"/>
      <c r="E5601" s="210"/>
      <c r="F5601" s="210"/>
      <c r="G5601" s="210"/>
      <c r="H5601" s="210"/>
    </row>
    <row r="5602" spans="3:8" x14ac:dyDescent="0.25">
      <c r="C5602" s="210"/>
      <c r="D5602" s="210"/>
      <c r="E5602" s="210"/>
      <c r="F5602" s="210"/>
      <c r="G5602" s="210"/>
      <c r="H5602" s="210"/>
    </row>
    <row r="5603" spans="3:8" x14ac:dyDescent="0.25">
      <c r="C5603" s="210"/>
      <c r="D5603" s="210"/>
      <c r="E5603" s="210"/>
      <c r="F5603" s="210"/>
      <c r="G5603" s="210"/>
      <c r="H5603" s="210"/>
    </row>
    <row r="5604" spans="3:8" x14ac:dyDescent="0.25">
      <c r="C5604" s="210"/>
      <c r="D5604" s="210"/>
      <c r="E5604" s="210"/>
      <c r="F5604" s="210"/>
      <c r="G5604" s="210"/>
      <c r="H5604" s="210"/>
    </row>
    <row r="5605" spans="3:8" x14ac:dyDescent="0.25">
      <c r="C5605" s="210"/>
      <c r="D5605" s="210"/>
      <c r="E5605" s="210"/>
      <c r="F5605" s="210"/>
      <c r="G5605" s="210"/>
      <c r="H5605" s="210"/>
    </row>
    <row r="5606" spans="3:8" x14ac:dyDescent="0.25">
      <c r="C5606" s="210"/>
      <c r="D5606" s="210"/>
      <c r="E5606" s="210"/>
      <c r="F5606" s="210"/>
      <c r="G5606" s="210"/>
      <c r="H5606" s="210"/>
    </row>
    <row r="5607" spans="3:8" x14ac:dyDescent="0.25">
      <c r="C5607" s="210"/>
      <c r="D5607" s="210"/>
      <c r="E5607" s="210"/>
      <c r="F5607" s="210"/>
      <c r="G5607" s="210"/>
      <c r="H5607" s="210"/>
    </row>
    <row r="5608" spans="3:8" x14ac:dyDescent="0.25">
      <c r="C5608" s="210"/>
      <c r="D5608" s="210"/>
      <c r="E5608" s="210"/>
      <c r="F5608" s="210"/>
      <c r="G5608" s="210"/>
      <c r="H5608" s="210"/>
    </row>
    <row r="5609" spans="3:8" x14ac:dyDescent="0.25">
      <c r="C5609" s="210"/>
      <c r="D5609" s="210"/>
      <c r="E5609" s="210"/>
      <c r="F5609" s="210"/>
      <c r="G5609" s="210"/>
      <c r="H5609" s="210"/>
    </row>
    <row r="5610" spans="3:8" x14ac:dyDescent="0.25">
      <c r="C5610" s="210"/>
      <c r="D5610" s="210"/>
      <c r="E5610" s="210"/>
      <c r="F5610" s="210"/>
      <c r="G5610" s="210"/>
      <c r="H5610" s="210"/>
    </row>
    <row r="5611" spans="3:8" x14ac:dyDescent="0.25">
      <c r="C5611" s="210"/>
      <c r="D5611" s="210"/>
      <c r="E5611" s="210"/>
      <c r="F5611" s="210"/>
      <c r="G5611" s="210"/>
      <c r="H5611" s="210"/>
    </row>
    <row r="5612" spans="3:8" x14ac:dyDescent="0.25">
      <c r="C5612" s="210"/>
      <c r="D5612" s="210"/>
      <c r="E5612" s="210"/>
      <c r="F5612" s="210"/>
      <c r="G5612" s="210"/>
      <c r="H5612" s="210"/>
    </row>
    <row r="5613" spans="3:8" x14ac:dyDescent="0.25">
      <c r="C5613" s="210"/>
      <c r="D5613" s="210"/>
      <c r="E5613" s="210"/>
      <c r="F5613" s="210"/>
      <c r="G5613" s="210"/>
      <c r="H5613" s="210"/>
    </row>
    <row r="5614" spans="3:8" x14ac:dyDescent="0.25">
      <c r="C5614" s="210"/>
      <c r="D5614" s="210"/>
      <c r="E5614" s="210"/>
      <c r="F5614" s="210"/>
      <c r="G5614" s="210"/>
      <c r="H5614" s="210"/>
    </row>
    <row r="5615" spans="3:8" x14ac:dyDescent="0.25">
      <c r="C5615" s="210"/>
      <c r="D5615" s="210"/>
      <c r="E5615" s="210"/>
      <c r="F5615" s="210"/>
      <c r="G5615" s="210"/>
      <c r="H5615" s="210"/>
    </row>
    <row r="5616" spans="3:8" x14ac:dyDescent="0.25">
      <c r="C5616" s="210"/>
      <c r="D5616" s="210"/>
      <c r="E5616" s="210"/>
      <c r="F5616" s="210"/>
      <c r="G5616" s="210"/>
      <c r="H5616" s="210"/>
    </row>
    <row r="5617" spans="3:8" x14ac:dyDescent="0.25">
      <c r="C5617" s="210"/>
      <c r="D5617" s="210"/>
      <c r="E5617" s="210"/>
      <c r="F5617" s="210"/>
      <c r="G5617" s="210"/>
      <c r="H5617" s="210"/>
    </row>
    <row r="5618" spans="3:8" x14ac:dyDescent="0.25">
      <c r="C5618" s="210"/>
      <c r="D5618" s="210"/>
      <c r="E5618" s="210"/>
      <c r="F5618" s="210"/>
      <c r="G5618" s="210"/>
      <c r="H5618" s="210"/>
    </row>
    <row r="5619" spans="3:8" x14ac:dyDescent="0.25">
      <c r="C5619" s="210"/>
      <c r="D5619" s="210"/>
      <c r="E5619" s="210"/>
      <c r="F5619" s="210"/>
      <c r="G5619" s="210"/>
      <c r="H5619" s="210"/>
    </row>
    <row r="5620" spans="3:8" x14ac:dyDescent="0.25">
      <c r="C5620" s="210"/>
      <c r="D5620" s="210"/>
      <c r="E5620" s="210"/>
      <c r="F5620" s="210"/>
      <c r="G5620" s="210"/>
      <c r="H5620" s="210"/>
    </row>
    <row r="5621" spans="3:8" x14ac:dyDescent="0.25">
      <c r="C5621" s="210"/>
      <c r="D5621" s="210"/>
      <c r="E5621" s="210"/>
      <c r="F5621" s="210"/>
      <c r="G5621" s="210"/>
      <c r="H5621" s="210"/>
    </row>
    <row r="5622" spans="3:8" x14ac:dyDescent="0.25">
      <c r="C5622" s="210"/>
      <c r="D5622" s="210"/>
      <c r="E5622" s="210"/>
      <c r="F5622" s="210"/>
      <c r="G5622" s="210"/>
      <c r="H5622" s="210"/>
    </row>
    <row r="5623" spans="3:8" x14ac:dyDescent="0.25">
      <c r="C5623" s="210"/>
      <c r="D5623" s="210"/>
      <c r="E5623" s="210"/>
      <c r="F5623" s="210"/>
      <c r="G5623" s="210"/>
      <c r="H5623" s="210"/>
    </row>
    <row r="5624" spans="3:8" x14ac:dyDescent="0.25">
      <c r="C5624" s="210"/>
      <c r="D5624" s="210"/>
      <c r="E5624" s="210"/>
      <c r="F5624" s="210"/>
      <c r="G5624" s="210"/>
      <c r="H5624" s="210"/>
    </row>
    <row r="5625" spans="3:8" x14ac:dyDescent="0.25">
      <c r="C5625" s="210"/>
      <c r="D5625" s="210"/>
      <c r="E5625" s="210"/>
      <c r="F5625" s="210"/>
      <c r="G5625" s="210"/>
      <c r="H5625" s="210"/>
    </row>
    <row r="5626" spans="3:8" x14ac:dyDescent="0.25">
      <c r="C5626" s="210"/>
      <c r="D5626" s="210"/>
      <c r="E5626" s="210"/>
      <c r="F5626" s="210"/>
      <c r="G5626" s="210"/>
      <c r="H5626" s="210"/>
    </row>
    <row r="5627" spans="3:8" x14ac:dyDescent="0.25">
      <c r="C5627" s="210"/>
      <c r="D5627" s="210"/>
      <c r="E5627" s="210"/>
      <c r="F5627" s="210"/>
      <c r="G5627" s="210"/>
      <c r="H5627" s="210"/>
    </row>
    <row r="5628" spans="3:8" x14ac:dyDescent="0.25">
      <c r="C5628" s="210"/>
      <c r="D5628" s="210"/>
      <c r="E5628" s="210"/>
      <c r="F5628" s="210"/>
      <c r="G5628" s="210"/>
      <c r="H5628" s="210"/>
    </row>
    <row r="5629" spans="3:8" x14ac:dyDescent="0.25">
      <c r="C5629" s="210"/>
      <c r="D5629" s="210"/>
      <c r="E5629" s="210"/>
      <c r="F5629" s="210"/>
      <c r="G5629" s="210"/>
      <c r="H5629" s="210"/>
    </row>
    <row r="5630" spans="3:8" x14ac:dyDescent="0.25">
      <c r="C5630" s="210"/>
      <c r="D5630" s="210"/>
      <c r="E5630" s="210"/>
      <c r="F5630" s="210"/>
      <c r="G5630" s="210"/>
      <c r="H5630" s="210"/>
    </row>
    <row r="5631" spans="3:8" x14ac:dyDescent="0.25">
      <c r="C5631" s="210"/>
      <c r="D5631" s="210"/>
      <c r="E5631" s="210"/>
      <c r="F5631" s="210"/>
      <c r="G5631" s="210"/>
      <c r="H5631" s="210"/>
    </row>
    <row r="5632" spans="3:8" x14ac:dyDescent="0.25">
      <c r="C5632" s="210"/>
      <c r="D5632" s="210"/>
      <c r="E5632" s="210"/>
      <c r="F5632" s="210"/>
      <c r="G5632" s="210"/>
      <c r="H5632" s="210"/>
    </row>
    <row r="5633" spans="3:8" x14ac:dyDescent="0.25">
      <c r="C5633" s="210"/>
      <c r="D5633" s="210"/>
      <c r="E5633" s="210"/>
      <c r="F5633" s="210"/>
      <c r="G5633" s="210"/>
      <c r="H5633" s="210"/>
    </row>
    <row r="5634" spans="3:8" x14ac:dyDescent="0.25">
      <c r="C5634" s="210"/>
      <c r="D5634" s="210"/>
      <c r="E5634" s="210"/>
      <c r="F5634" s="210"/>
      <c r="G5634" s="210"/>
      <c r="H5634" s="210"/>
    </row>
    <row r="5635" spans="3:8" x14ac:dyDescent="0.25">
      <c r="C5635" s="210"/>
      <c r="D5635" s="210"/>
      <c r="E5635" s="210"/>
      <c r="F5635" s="210"/>
      <c r="G5635" s="210"/>
      <c r="H5635" s="210"/>
    </row>
    <row r="5636" spans="3:8" x14ac:dyDescent="0.25">
      <c r="C5636" s="210"/>
      <c r="D5636" s="210"/>
      <c r="E5636" s="210"/>
      <c r="F5636" s="210"/>
      <c r="G5636" s="210"/>
      <c r="H5636" s="210"/>
    </row>
    <row r="5637" spans="3:8" x14ac:dyDescent="0.25">
      <c r="C5637" s="210"/>
      <c r="D5637" s="210"/>
      <c r="E5637" s="210"/>
      <c r="F5637" s="210"/>
      <c r="G5637" s="210"/>
      <c r="H5637" s="210"/>
    </row>
    <row r="5638" spans="3:8" x14ac:dyDescent="0.25">
      <c r="C5638" s="210"/>
      <c r="D5638" s="210"/>
      <c r="E5638" s="210"/>
      <c r="F5638" s="210"/>
      <c r="G5638" s="210"/>
      <c r="H5638" s="210"/>
    </row>
    <row r="5639" spans="3:8" x14ac:dyDescent="0.25">
      <c r="C5639" s="210"/>
      <c r="D5639" s="210"/>
      <c r="E5639" s="210"/>
      <c r="F5639" s="210"/>
      <c r="G5639" s="210"/>
      <c r="H5639" s="210"/>
    </row>
    <row r="5640" spans="3:8" x14ac:dyDescent="0.25">
      <c r="C5640" s="210"/>
      <c r="D5640" s="210"/>
      <c r="E5640" s="210"/>
      <c r="F5640" s="210"/>
      <c r="G5640" s="210"/>
      <c r="H5640" s="210"/>
    </row>
    <row r="5641" spans="3:8" x14ac:dyDescent="0.25">
      <c r="C5641" s="210"/>
      <c r="D5641" s="210"/>
      <c r="E5641" s="210"/>
      <c r="F5641" s="210"/>
      <c r="G5641" s="210"/>
      <c r="H5641" s="210"/>
    </row>
    <row r="5642" spans="3:8" x14ac:dyDescent="0.25">
      <c r="C5642" s="210"/>
      <c r="D5642" s="210"/>
      <c r="E5642" s="210"/>
      <c r="F5642" s="210"/>
      <c r="G5642" s="210"/>
      <c r="H5642" s="210"/>
    </row>
    <row r="5643" spans="3:8" x14ac:dyDescent="0.25">
      <c r="C5643" s="210"/>
      <c r="D5643" s="210"/>
      <c r="E5643" s="210"/>
      <c r="F5643" s="210"/>
      <c r="G5643" s="210"/>
      <c r="H5643" s="210"/>
    </row>
    <row r="5644" spans="3:8" x14ac:dyDescent="0.25">
      <c r="C5644" s="210"/>
      <c r="D5644" s="210"/>
      <c r="E5644" s="210"/>
      <c r="F5644" s="210"/>
      <c r="G5644" s="210"/>
      <c r="H5644" s="210"/>
    </row>
    <row r="5645" spans="3:8" x14ac:dyDescent="0.25">
      <c r="C5645" s="210"/>
      <c r="D5645" s="210"/>
      <c r="E5645" s="210"/>
      <c r="F5645" s="210"/>
      <c r="G5645" s="210"/>
      <c r="H5645" s="210"/>
    </row>
    <row r="5646" spans="3:8" x14ac:dyDescent="0.25">
      <c r="C5646" s="210"/>
      <c r="D5646" s="210"/>
      <c r="E5646" s="210"/>
      <c r="F5646" s="210"/>
      <c r="G5646" s="210"/>
      <c r="H5646" s="210"/>
    </row>
    <row r="5647" spans="3:8" x14ac:dyDescent="0.25">
      <c r="C5647" s="210"/>
      <c r="D5647" s="210"/>
      <c r="E5647" s="210"/>
      <c r="F5647" s="210"/>
      <c r="G5647" s="210"/>
      <c r="H5647" s="210"/>
    </row>
    <row r="5648" spans="3:8" x14ac:dyDescent="0.25">
      <c r="C5648" s="210"/>
      <c r="D5648" s="210"/>
      <c r="E5648" s="210"/>
      <c r="F5648" s="210"/>
      <c r="G5648" s="210"/>
      <c r="H5648" s="210"/>
    </row>
    <row r="5649" spans="3:8" x14ac:dyDescent="0.25">
      <c r="C5649" s="210"/>
      <c r="D5649" s="210"/>
      <c r="E5649" s="210"/>
      <c r="F5649" s="210"/>
      <c r="G5649" s="210"/>
      <c r="H5649" s="210"/>
    </row>
    <row r="5650" spans="3:8" x14ac:dyDescent="0.25">
      <c r="C5650" s="210"/>
      <c r="D5650" s="210"/>
      <c r="E5650" s="210"/>
      <c r="F5650" s="210"/>
      <c r="G5650" s="210"/>
      <c r="H5650" s="210"/>
    </row>
    <row r="5651" spans="3:8" x14ac:dyDescent="0.25">
      <c r="C5651" s="210"/>
      <c r="D5651" s="210"/>
      <c r="E5651" s="210"/>
      <c r="F5651" s="210"/>
      <c r="G5651" s="210"/>
      <c r="H5651" s="210"/>
    </row>
    <row r="5652" spans="3:8" x14ac:dyDescent="0.25">
      <c r="C5652" s="210"/>
      <c r="D5652" s="210"/>
      <c r="E5652" s="210"/>
      <c r="F5652" s="210"/>
      <c r="G5652" s="210"/>
      <c r="H5652" s="210"/>
    </row>
    <row r="5653" spans="3:8" x14ac:dyDescent="0.25">
      <c r="C5653" s="210"/>
      <c r="D5653" s="210"/>
      <c r="E5653" s="210"/>
      <c r="F5653" s="210"/>
      <c r="G5653" s="210"/>
      <c r="H5653" s="210"/>
    </row>
    <row r="5654" spans="3:8" x14ac:dyDescent="0.25">
      <c r="C5654" s="210"/>
      <c r="D5654" s="210"/>
      <c r="E5654" s="210"/>
      <c r="F5654" s="210"/>
      <c r="G5654" s="210"/>
      <c r="H5654" s="210"/>
    </row>
    <row r="5655" spans="3:8" x14ac:dyDescent="0.25">
      <c r="C5655" s="210"/>
      <c r="D5655" s="210"/>
      <c r="E5655" s="210"/>
      <c r="F5655" s="210"/>
      <c r="G5655" s="210"/>
      <c r="H5655" s="210"/>
    </row>
    <row r="5656" spans="3:8" x14ac:dyDescent="0.25">
      <c r="C5656" s="210"/>
      <c r="D5656" s="210"/>
      <c r="E5656" s="210"/>
      <c r="F5656" s="210"/>
      <c r="G5656" s="210"/>
      <c r="H5656" s="210"/>
    </row>
    <row r="5657" spans="3:8" x14ac:dyDescent="0.25">
      <c r="C5657" s="210"/>
      <c r="D5657" s="210"/>
      <c r="E5657" s="210"/>
      <c r="F5657" s="210"/>
      <c r="G5657" s="210"/>
      <c r="H5657" s="210"/>
    </row>
    <row r="5658" spans="3:8" x14ac:dyDescent="0.25">
      <c r="C5658" s="210"/>
      <c r="D5658" s="210"/>
      <c r="E5658" s="210"/>
      <c r="F5658" s="210"/>
      <c r="G5658" s="210"/>
      <c r="H5658" s="210"/>
    </row>
    <row r="5659" spans="3:8" x14ac:dyDescent="0.25">
      <c r="C5659" s="210"/>
      <c r="D5659" s="210"/>
      <c r="E5659" s="210"/>
      <c r="F5659" s="210"/>
      <c r="G5659" s="210"/>
      <c r="H5659" s="210"/>
    </row>
    <row r="5660" spans="3:8" x14ac:dyDescent="0.25">
      <c r="C5660" s="210"/>
      <c r="D5660" s="210"/>
      <c r="E5660" s="210"/>
      <c r="F5660" s="210"/>
      <c r="G5660" s="210"/>
      <c r="H5660" s="210"/>
    </row>
    <row r="5661" spans="3:8" x14ac:dyDescent="0.25">
      <c r="C5661" s="210"/>
      <c r="D5661" s="210"/>
      <c r="E5661" s="210"/>
      <c r="F5661" s="210"/>
      <c r="G5661" s="210"/>
      <c r="H5661" s="210"/>
    </row>
    <row r="5662" spans="3:8" x14ac:dyDescent="0.25">
      <c r="C5662" s="210"/>
      <c r="D5662" s="210"/>
      <c r="E5662" s="210"/>
      <c r="F5662" s="210"/>
      <c r="G5662" s="210"/>
      <c r="H5662" s="210"/>
    </row>
    <row r="5663" spans="3:8" x14ac:dyDescent="0.25">
      <c r="C5663" s="210"/>
      <c r="D5663" s="210"/>
      <c r="E5663" s="210"/>
      <c r="F5663" s="210"/>
      <c r="G5663" s="210"/>
      <c r="H5663" s="210"/>
    </row>
    <row r="5664" spans="3:8" x14ac:dyDescent="0.25">
      <c r="C5664" s="210"/>
      <c r="D5664" s="210"/>
      <c r="E5664" s="210"/>
      <c r="F5664" s="210"/>
      <c r="G5664" s="210"/>
      <c r="H5664" s="210"/>
    </row>
    <row r="5665" spans="3:8" x14ac:dyDescent="0.25">
      <c r="C5665" s="210"/>
      <c r="D5665" s="210"/>
      <c r="E5665" s="210"/>
      <c r="F5665" s="210"/>
      <c r="G5665" s="210"/>
      <c r="H5665" s="210"/>
    </row>
    <row r="5666" spans="3:8" x14ac:dyDescent="0.25">
      <c r="C5666" s="210"/>
      <c r="D5666" s="210"/>
      <c r="E5666" s="210"/>
      <c r="F5666" s="210"/>
      <c r="G5666" s="210"/>
      <c r="H5666" s="210"/>
    </row>
    <row r="5667" spans="3:8" x14ac:dyDescent="0.25">
      <c r="C5667" s="210"/>
      <c r="D5667" s="210"/>
      <c r="E5667" s="210"/>
      <c r="F5667" s="210"/>
      <c r="G5667" s="210"/>
      <c r="H5667" s="210"/>
    </row>
    <row r="5668" spans="3:8" x14ac:dyDescent="0.25">
      <c r="C5668" s="210"/>
      <c r="D5668" s="210"/>
      <c r="E5668" s="210"/>
      <c r="F5668" s="210"/>
      <c r="G5668" s="210"/>
      <c r="H5668" s="210"/>
    </row>
    <row r="5669" spans="3:8" x14ac:dyDescent="0.25">
      <c r="C5669" s="210"/>
      <c r="D5669" s="210"/>
      <c r="E5669" s="210"/>
      <c r="F5669" s="210"/>
      <c r="G5669" s="210"/>
      <c r="H5669" s="210"/>
    </row>
    <row r="5670" spans="3:8" x14ac:dyDescent="0.25">
      <c r="C5670" s="210"/>
      <c r="D5670" s="210"/>
      <c r="E5670" s="210"/>
      <c r="F5670" s="210"/>
      <c r="G5670" s="210"/>
      <c r="H5670" s="210"/>
    </row>
    <row r="5671" spans="3:8" x14ac:dyDescent="0.25">
      <c r="C5671" s="210"/>
      <c r="D5671" s="210"/>
      <c r="E5671" s="210"/>
      <c r="F5671" s="210"/>
      <c r="G5671" s="210"/>
      <c r="H5671" s="210"/>
    </row>
    <row r="5672" spans="3:8" x14ac:dyDescent="0.25">
      <c r="C5672" s="210"/>
      <c r="D5672" s="210"/>
      <c r="E5672" s="210"/>
      <c r="F5672" s="210"/>
      <c r="G5672" s="210"/>
      <c r="H5672" s="210"/>
    </row>
    <row r="5673" spans="3:8" x14ac:dyDescent="0.25">
      <c r="C5673" s="210"/>
      <c r="D5673" s="210"/>
      <c r="E5673" s="210"/>
      <c r="F5673" s="210"/>
      <c r="G5673" s="210"/>
      <c r="H5673" s="210"/>
    </row>
    <row r="5674" spans="3:8" x14ac:dyDescent="0.25">
      <c r="C5674" s="210"/>
      <c r="D5674" s="210"/>
      <c r="E5674" s="210"/>
      <c r="F5674" s="210"/>
      <c r="G5674" s="210"/>
      <c r="H5674" s="210"/>
    </row>
    <row r="5675" spans="3:8" x14ac:dyDescent="0.25">
      <c r="C5675" s="210"/>
      <c r="D5675" s="210"/>
      <c r="E5675" s="210"/>
      <c r="F5675" s="210"/>
      <c r="G5675" s="210"/>
      <c r="H5675" s="210"/>
    </row>
    <row r="5676" spans="3:8" x14ac:dyDescent="0.25">
      <c r="C5676" s="210"/>
      <c r="D5676" s="210"/>
      <c r="E5676" s="210"/>
      <c r="F5676" s="210"/>
      <c r="G5676" s="210"/>
      <c r="H5676" s="210"/>
    </row>
    <row r="5677" spans="3:8" x14ac:dyDescent="0.25">
      <c r="C5677" s="210"/>
      <c r="D5677" s="210"/>
      <c r="E5677" s="210"/>
      <c r="F5677" s="210"/>
      <c r="G5677" s="210"/>
      <c r="H5677" s="210"/>
    </row>
    <row r="5678" spans="3:8" x14ac:dyDescent="0.25">
      <c r="C5678" s="210"/>
      <c r="D5678" s="210"/>
      <c r="E5678" s="210"/>
      <c r="F5678" s="210"/>
      <c r="G5678" s="210"/>
      <c r="H5678" s="210"/>
    </row>
    <row r="5679" spans="3:8" x14ac:dyDescent="0.25">
      <c r="C5679" s="210"/>
      <c r="D5679" s="210"/>
      <c r="E5679" s="210"/>
      <c r="F5679" s="210"/>
      <c r="G5679" s="210"/>
      <c r="H5679" s="210"/>
    </row>
    <row r="5680" spans="3:8" x14ac:dyDescent="0.25">
      <c r="C5680" s="210"/>
      <c r="D5680" s="210"/>
      <c r="E5680" s="210"/>
      <c r="F5680" s="210"/>
      <c r="G5680" s="210"/>
      <c r="H5680" s="210"/>
    </row>
    <row r="5681" spans="3:8" x14ac:dyDescent="0.25">
      <c r="C5681" s="210"/>
      <c r="D5681" s="210"/>
      <c r="E5681" s="210"/>
      <c r="F5681" s="210"/>
      <c r="G5681" s="210"/>
      <c r="H5681" s="210"/>
    </row>
    <row r="5682" spans="3:8" x14ac:dyDescent="0.25">
      <c r="C5682" s="210"/>
      <c r="D5682" s="210"/>
      <c r="E5682" s="210"/>
      <c r="F5682" s="210"/>
      <c r="G5682" s="210"/>
      <c r="H5682" s="210"/>
    </row>
    <row r="5683" spans="3:8" x14ac:dyDescent="0.25">
      <c r="C5683" s="210"/>
      <c r="D5683" s="210"/>
      <c r="E5683" s="210"/>
      <c r="F5683" s="210"/>
      <c r="G5683" s="210"/>
      <c r="H5683" s="210"/>
    </row>
    <row r="5684" spans="3:8" x14ac:dyDescent="0.25">
      <c r="C5684" s="210"/>
      <c r="D5684" s="210"/>
      <c r="E5684" s="210"/>
      <c r="F5684" s="210"/>
      <c r="G5684" s="210"/>
      <c r="H5684" s="210"/>
    </row>
    <row r="5685" spans="3:8" x14ac:dyDescent="0.25">
      <c r="C5685" s="210"/>
      <c r="D5685" s="210"/>
      <c r="E5685" s="210"/>
      <c r="F5685" s="210"/>
      <c r="G5685" s="210"/>
      <c r="H5685" s="210"/>
    </row>
    <row r="5686" spans="3:8" x14ac:dyDescent="0.25">
      <c r="C5686" s="210"/>
      <c r="D5686" s="210"/>
      <c r="E5686" s="210"/>
      <c r="F5686" s="210"/>
      <c r="G5686" s="210"/>
      <c r="H5686" s="210"/>
    </row>
    <row r="5687" spans="3:8" x14ac:dyDescent="0.25">
      <c r="C5687" s="210"/>
      <c r="D5687" s="210"/>
      <c r="E5687" s="210"/>
      <c r="F5687" s="210"/>
      <c r="G5687" s="210"/>
      <c r="H5687" s="210"/>
    </row>
    <row r="5688" spans="3:8" x14ac:dyDescent="0.25">
      <c r="C5688" s="210"/>
      <c r="D5688" s="210"/>
      <c r="E5688" s="210"/>
      <c r="F5688" s="210"/>
      <c r="G5688" s="210"/>
      <c r="H5688" s="210"/>
    </row>
    <row r="5689" spans="3:8" x14ac:dyDescent="0.25">
      <c r="C5689" s="210"/>
      <c r="D5689" s="210"/>
      <c r="E5689" s="210"/>
      <c r="F5689" s="210"/>
      <c r="G5689" s="210"/>
      <c r="H5689" s="210"/>
    </row>
    <row r="5690" spans="3:8" x14ac:dyDescent="0.25">
      <c r="C5690" s="210"/>
      <c r="D5690" s="210"/>
      <c r="E5690" s="210"/>
      <c r="F5690" s="210"/>
      <c r="G5690" s="210"/>
      <c r="H5690" s="210"/>
    </row>
    <row r="5691" spans="3:8" x14ac:dyDescent="0.25">
      <c r="C5691" s="210"/>
      <c r="D5691" s="210"/>
      <c r="E5691" s="210"/>
      <c r="F5691" s="210"/>
      <c r="G5691" s="210"/>
      <c r="H5691" s="210"/>
    </row>
    <row r="5692" spans="3:8" x14ac:dyDescent="0.25">
      <c r="C5692" s="210"/>
      <c r="D5692" s="210"/>
      <c r="E5692" s="210"/>
      <c r="F5692" s="210"/>
      <c r="G5692" s="210"/>
      <c r="H5692" s="210"/>
    </row>
    <row r="5693" spans="3:8" x14ac:dyDescent="0.25">
      <c r="C5693" s="210"/>
      <c r="D5693" s="210"/>
      <c r="E5693" s="210"/>
      <c r="F5693" s="210"/>
      <c r="G5693" s="210"/>
      <c r="H5693" s="210"/>
    </row>
    <row r="5694" spans="3:8" x14ac:dyDescent="0.25">
      <c r="C5694" s="210"/>
      <c r="D5694" s="210"/>
      <c r="E5694" s="210"/>
      <c r="F5694" s="210"/>
      <c r="G5694" s="210"/>
      <c r="H5694" s="210"/>
    </row>
    <row r="5695" spans="3:8" x14ac:dyDescent="0.25">
      <c r="C5695" s="210"/>
      <c r="D5695" s="210"/>
      <c r="E5695" s="210"/>
      <c r="F5695" s="210"/>
      <c r="G5695" s="210"/>
      <c r="H5695" s="210"/>
    </row>
    <row r="5696" spans="3:8" x14ac:dyDescent="0.25">
      <c r="C5696" s="210"/>
      <c r="D5696" s="210"/>
      <c r="E5696" s="210"/>
      <c r="F5696" s="210"/>
      <c r="G5696" s="210"/>
      <c r="H5696" s="210"/>
    </row>
    <row r="5697" spans="3:8" x14ac:dyDescent="0.25">
      <c r="C5697" s="210"/>
      <c r="D5697" s="210"/>
      <c r="E5697" s="210"/>
      <c r="F5697" s="210"/>
      <c r="G5697" s="210"/>
      <c r="H5697" s="210"/>
    </row>
    <row r="5698" spans="3:8" x14ac:dyDescent="0.25">
      <c r="C5698" s="210"/>
      <c r="D5698" s="210"/>
      <c r="E5698" s="210"/>
      <c r="F5698" s="210"/>
      <c r="G5698" s="210"/>
      <c r="H5698" s="210"/>
    </row>
    <row r="5699" spans="3:8" x14ac:dyDescent="0.25">
      <c r="C5699" s="210"/>
      <c r="D5699" s="210"/>
      <c r="E5699" s="210"/>
      <c r="F5699" s="210"/>
      <c r="G5699" s="210"/>
      <c r="H5699" s="210"/>
    </row>
    <row r="5700" spans="3:8" x14ac:dyDescent="0.25">
      <c r="C5700" s="210"/>
      <c r="D5700" s="210"/>
      <c r="E5700" s="210"/>
      <c r="F5700" s="210"/>
      <c r="G5700" s="210"/>
      <c r="H5700" s="210"/>
    </row>
    <row r="5701" spans="3:8" x14ac:dyDescent="0.25">
      <c r="C5701" s="210"/>
      <c r="D5701" s="210"/>
      <c r="E5701" s="210"/>
      <c r="F5701" s="210"/>
      <c r="G5701" s="210"/>
      <c r="H5701" s="210"/>
    </row>
    <row r="5702" spans="3:8" x14ac:dyDescent="0.25">
      <c r="C5702" s="210"/>
      <c r="D5702" s="210"/>
      <c r="E5702" s="210"/>
      <c r="F5702" s="210"/>
      <c r="G5702" s="210"/>
      <c r="H5702" s="210"/>
    </row>
    <row r="5703" spans="3:8" x14ac:dyDescent="0.25">
      <c r="C5703" s="210"/>
      <c r="D5703" s="210"/>
      <c r="E5703" s="210"/>
      <c r="F5703" s="210"/>
      <c r="G5703" s="210"/>
      <c r="H5703" s="210"/>
    </row>
    <row r="5704" spans="3:8" x14ac:dyDescent="0.25">
      <c r="C5704" s="210"/>
      <c r="D5704" s="210"/>
      <c r="E5704" s="210"/>
      <c r="F5704" s="210"/>
      <c r="G5704" s="210"/>
      <c r="H5704" s="210"/>
    </row>
    <row r="5705" spans="3:8" x14ac:dyDescent="0.25">
      <c r="C5705" s="210"/>
      <c r="D5705" s="210"/>
      <c r="E5705" s="210"/>
      <c r="F5705" s="210"/>
      <c r="G5705" s="210"/>
      <c r="H5705" s="210"/>
    </row>
    <row r="5706" spans="3:8" x14ac:dyDescent="0.25">
      <c r="C5706" s="210"/>
      <c r="D5706" s="210"/>
      <c r="E5706" s="210"/>
      <c r="F5706" s="210"/>
      <c r="G5706" s="210"/>
      <c r="H5706" s="210"/>
    </row>
    <row r="5707" spans="3:8" x14ac:dyDescent="0.25">
      <c r="C5707" s="210"/>
      <c r="D5707" s="210"/>
      <c r="E5707" s="210"/>
      <c r="F5707" s="210"/>
      <c r="G5707" s="210"/>
      <c r="H5707" s="210"/>
    </row>
    <row r="5708" spans="3:8" x14ac:dyDescent="0.25">
      <c r="C5708" s="210"/>
      <c r="D5708" s="210"/>
      <c r="E5708" s="210"/>
      <c r="F5708" s="210"/>
      <c r="G5708" s="210"/>
      <c r="H5708" s="210"/>
    </row>
    <row r="5709" spans="3:8" x14ac:dyDescent="0.25">
      <c r="C5709" s="210"/>
      <c r="D5709" s="210"/>
      <c r="E5709" s="210"/>
      <c r="F5709" s="210"/>
      <c r="G5709" s="210"/>
      <c r="H5709" s="210"/>
    </row>
    <row r="5710" spans="3:8" x14ac:dyDescent="0.25">
      <c r="C5710" s="210"/>
      <c r="D5710" s="210"/>
      <c r="E5710" s="210"/>
      <c r="F5710" s="210"/>
      <c r="G5710" s="210"/>
      <c r="H5710" s="210"/>
    </row>
    <row r="5711" spans="3:8" x14ac:dyDescent="0.25">
      <c r="C5711" s="210"/>
      <c r="D5711" s="210"/>
      <c r="E5711" s="210"/>
      <c r="F5711" s="210"/>
      <c r="G5711" s="210"/>
      <c r="H5711" s="210"/>
    </row>
    <row r="5712" spans="3:8" x14ac:dyDescent="0.25">
      <c r="C5712" s="210"/>
      <c r="D5712" s="210"/>
      <c r="E5712" s="210"/>
      <c r="F5712" s="210"/>
      <c r="G5712" s="210"/>
      <c r="H5712" s="210"/>
    </row>
    <row r="5713" spans="3:8" x14ac:dyDescent="0.25">
      <c r="C5713" s="210"/>
      <c r="D5713" s="210"/>
      <c r="E5713" s="210"/>
      <c r="F5713" s="210"/>
      <c r="G5713" s="210"/>
      <c r="H5713" s="210"/>
    </row>
    <row r="5714" spans="3:8" x14ac:dyDescent="0.25">
      <c r="C5714" s="210"/>
      <c r="D5714" s="210"/>
      <c r="E5714" s="210"/>
      <c r="F5714" s="210"/>
      <c r="G5714" s="210"/>
      <c r="H5714" s="210"/>
    </row>
    <row r="5715" spans="3:8" x14ac:dyDescent="0.25">
      <c r="C5715" s="210"/>
      <c r="D5715" s="210"/>
      <c r="E5715" s="210"/>
      <c r="F5715" s="210"/>
      <c r="G5715" s="210"/>
      <c r="H5715" s="210"/>
    </row>
    <row r="5716" spans="3:8" x14ac:dyDescent="0.25">
      <c r="C5716" s="210"/>
      <c r="D5716" s="210"/>
      <c r="E5716" s="210"/>
      <c r="F5716" s="210"/>
      <c r="G5716" s="210"/>
      <c r="H5716" s="210"/>
    </row>
    <row r="5717" spans="3:8" x14ac:dyDescent="0.25">
      <c r="C5717" s="210"/>
      <c r="D5717" s="210"/>
      <c r="E5717" s="210"/>
      <c r="F5717" s="210"/>
      <c r="G5717" s="210"/>
      <c r="H5717" s="210"/>
    </row>
    <row r="5718" spans="3:8" x14ac:dyDescent="0.25">
      <c r="C5718" s="210"/>
      <c r="D5718" s="210"/>
      <c r="E5718" s="210"/>
      <c r="F5718" s="210"/>
      <c r="G5718" s="210"/>
      <c r="H5718" s="210"/>
    </row>
    <row r="5719" spans="3:8" x14ac:dyDescent="0.25">
      <c r="C5719" s="210"/>
      <c r="D5719" s="210"/>
      <c r="E5719" s="210"/>
      <c r="F5719" s="210"/>
      <c r="G5719" s="210"/>
      <c r="H5719" s="210"/>
    </row>
    <row r="5720" spans="3:8" x14ac:dyDescent="0.25">
      <c r="C5720" s="210"/>
      <c r="D5720" s="210"/>
      <c r="E5720" s="210"/>
      <c r="F5720" s="210"/>
      <c r="G5720" s="210"/>
      <c r="H5720" s="210"/>
    </row>
    <row r="5721" spans="3:8" x14ac:dyDescent="0.25">
      <c r="C5721" s="210"/>
      <c r="D5721" s="210"/>
      <c r="E5721" s="210"/>
      <c r="F5721" s="210"/>
      <c r="G5721" s="210"/>
      <c r="H5721" s="210"/>
    </row>
    <row r="5722" spans="3:8" x14ac:dyDescent="0.25">
      <c r="C5722" s="210"/>
      <c r="D5722" s="210"/>
      <c r="E5722" s="210"/>
      <c r="F5722" s="210"/>
      <c r="G5722" s="210"/>
      <c r="H5722" s="210"/>
    </row>
    <row r="5723" spans="3:8" x14ac:dyDescent="0.25">
      <c r="C5723" s="210"/>
      <c r="D5723" s="210"/>
      <c r="E5723" s="210"/>
      <c r="F5723" s="210"/>
      <c r="G5723" s="210"/>
      <c r="H5723" s="210"/>
    </row>
    <row r="5724" spans="3:8" x14ac:dyDescent="0.25">
      <c r="C5724" s="210"/>
      <c r="D5724" s="210"/>
      <c r="E5724" s="210"/>
      <c r="F5724" s="210"/>
      <c r="G5724" s="210"/>
      <c r="H5724" s="210"/>
    </row>
    <row r="5725" spans="3:8" x14ac:dyDescent="0.25">
      <c r="C5725" s="210"/>
      <c r="D5725" s="210"/>
      <c r="E5725" s="210"/>
      <c r="F5725" s="210"/>
      <c r="G5725" s="210"/>
      <c r="H5725" s="210"/>
    </row>
    <row r="5726" spans="3:8" x14ac:dyDescent="0.25">
      <c r="C5726" s="210"/>
      <c r="D5726" s="210"/>
      <c r="E5726" s="210"/>
      <c r="F5726" s="210"/>
      <c r="G5726" s="210"/>
      <c r="H5726" s="210"/>
    </row>
    <row r="5727" spans="3:8" x14ac:dyDescent="0.25">
      <c r="C5727" s="210"/>
      <c r="D5727" s="210"/>
      <c r="E5727" s="210"/>
      <c r="F5727" s="210"/>
      <c r="G5727" s="210"/>
      <c r="H5727" s="210"/>
    </row>
    <row r="5728" spans="3:8" x14ac:dyDescent="0.25">
      <c r="C5728" s="210"/>
      <c r="D5728" s="210"/>
      <c r="E5728" s="210"/>
      <c r="F5728" s="210"/>
      <c r="G5728" s="210"/>
      <c r="H5728" s="210"/>
    </row>
    <row r="5729" spans="3:8" x14ac:dyDescent="0.25">
      <c r="C5729" s="210"/>
      <c r="D5729" s="210"/>
      <c r="E5729" s="210"/>
      <c r="F5729" s="210"/>
      <c r="G5729" s="210"/>
      <c r="H5729" s="210"/>
    </row>
    <row r="5730" spans="3:8" x14ac:dyDescent="0.25">
      <c r="C5730" s="210"/>
      <c r="D5730" s="210"/>
      <c r="E5730" s="210"/>
      <c r="F5730" s="210"/>
      <c r="G5730" s="210"/>
      <c r="H5730" s="210"/>
    </row>
    <row r="5731" spans="3:8" x14ac:dyDescent="0.25">
      <c r="C5731" s="210"/>
      <c r="D5731" s="210"/>
      <c r="E5731" s="210"/>
      <c r="F5731" s="210"/>
      <c r="G5731" s="210"/>
      <c r="H5731" s="210"/>
    </row>
    <row r="5732" spans="3:8" x14ac:dyDescent="0.25">
      <c r="C5732" s="210"/>
      <c r="D5732" s="210"/>
      <c r="E5732" s="210"/>
      <c r="F5732" s="210"/>
      <c r="G5732" s="210"/>
      <c r="H5732" s="210"/>
    </row>
    <row r="5733" spans="3:8" x14ac:dyDescent="0.25">
      <c r="C5733" s="210"/>
      <c r="D5733" s="210"/>
      <c r="E5733" s="210"/>
      <c r="F5733" s="210"/>
      <c r="G5733" s="210"/>
      <c r="H5733" s="210"/>
    </row>
    <row r="5734" spans="3:8" x14ac:dyDescent="0.25">
      <c r="C5734" s="210"/>
      <c r="D5734" s="210"/>
      <c r="E5734" s="210"/>
      <c r="F5734" s="210"/>
      <c r="G5734" s="210"/>
      <c r="H5734" s="210"/>
    </row>
    <row r="5735" spans="3:8" x14ac:dyDescent="0.25">
      <c r="C5735" s="210"/>
      <c r="D5735" s="210"/>
      <c r="E5735" s="210"/>
      <c r="F5735" s="210"/>
      <c r="G5735" s="210"/>
      <c r="H5735" s="210"/>
    </row>
    <row r="5736" spans="3:8" x14ac:dyDescent="0.25">
      <c r="C5736" s="210"/>
      <c r="D5736" s="210"/>
      <c r="E5736" s="210"/>
      <c r="F5736" s="210"/>
      <c r="G5736" s="210"/>
      <c r="H5736" s="210"/>
    </row>
    <row r="5737" spans="3:8" x14ac:dyDescent="0.25">
      <c r="C5737" s="210"/>
      <c r="D5737" s="210"/>
      <c r="E5737" s="210"/>
      <c r="F5737" s="210"/>
      <c r="G5737" s="210"/>
      <c r="H5737" s="210"/>
    </row>
    <row r="5738" spans="3:8" x14ac:dyDescent="0.25">
      <c r="C5738" s="210"/>
      <c r="D5738" s="210"/>
      <c r="E5738" s="210"/>
      <c r="F5738" s="210"/>
      <c r="G5738" s="210"/>
      <c r="H5738" s="210"/>
    </row>
    <row r="5739" spans="3:8" x14ac:dyDescent="0.25">
      <c r="C5739" s="210"/>
      <c r="D5739" s="210"/>
      <c r="E5739" s="210"/>
      <c r="F5739" s="210"/>
      <c r="G5739" s="210"/>
      <c r="H5739" s="210"/>
    </row>
    <row r="5740" spans="3:8" x14ac:dyDescent="0.25">
      <c r="C5740" s="210"/>
      <c r="D5740" s="210"/>
      <c r="E5740" s="210"/>
      <c r="F5740" s="210"/>
      <c r="G5740" s="210"/>
      <c r="H5740" s="210"/>
    </row>
    <row r="5741" spans="3:8" x14ac:dyDescent="0.25">
      <c r="C5741" s="210"/>
      <c r="D5741" s="210"/>
      <c r="E5741" s="210"/>
      <c r="F5741" s="210"/>
      <c r="G5741" s="210"/>
      <c r="H5741" s="210"/>
    </row>
    <row r="5742" spans="3:8" x14ac:dyDescent="0.25">
      <c r="C5742" s="210"/>
      <c r="D5742" s="210"/>
      <c r="E5742" s="210"/>
      <c r="F5742" s="210"/>
      <c r="G5742" s="210"/>
      <c r="H5742" s="210"/>
    </row>
    <row r="5743" spans="3:8" x14ac:dyDescent="0.25">
      <c r="C5743" s="210"/>
      <c r="D5743" s="210"/>
      <c r="E5743" s="210"/>
      <c r="F5743" s="210"/>
      <c r="G5743" s="210"/>
      <c r="H5743" s="210"/>
    </row>
    <row r="5744" spans="3:8" x14ac:dyDescent="0.25">
      <c r="C5744" s="210"/>
      <c r="D5744" s="210"/>
      <c r="E5744" s="210"/>
      <c r="F5744" s="210"/>
      <c r="G5744" s="210"/>
      <c r="H5744" s="210"/>
    </row>
    <row r="5745" spans="3:8" x14ac:dyDescent="0.25">
      <c r="C5745" s="210"/>
      <c r="D5745" s="210"/>
      <c r="E5745" s="210"/>
      <c r="F5745" s="210"/>
      <c r="G5745" s="210"/>
      <c r="H5745" s="210"/>
    </row>
    <row r="5746" spans="3:8" x14ac:dyDescent="0.25">
      <c r="C5746" s="210"/>
      <c r="D5746" s="210"/>
      <c r="E5746" s="210"/>
      <c r="F5746" s="210"/>
      <c r="G5746" s="210"/>
      <c r="H5746" s="210"/>
    </row>
    <row r="5747" spans="3:8" x14ac:dyDescent="0.25">
      <c r="C5747" s="210"/>
      <c r="D5747" s="210"/>
      <c r="E5747" s="210"/>
      <c r="F5747" s="210"/>
      <c r="G5747" s="210"/>
      <c r="H5747" s="210"/>
    </row>
    <row r="5748" spans="3:8" x14ac:dyDescent="0.25">
      <c r="C5748" s="210"/>
      <c r="D5748" s="210"/>
      <c r="E5748" s="210"/>
      <c r="F5748" s="210"/>
      <c r="G5748" s="210"/>
      <c r="H5748" s="210"/>
    </row>
    <row r="5749" spans="3:8" x14ac:dyDescent="0.25">
      <c r="C5749" s="210"/>
      <c r="D5749" s="210"/>
      <c r="E5749" s="210"/>
      <c r="F5749" s="210"/>
      <c r="G5749" s="210"/>
      <c r="H5749" s="210"/>
    </row>
    <row r="5750" spans="3:8" x14ac:dyDescent="0.25">
      <c r="C5750" s="210"/>
      <c r="D5750" s="210"/>
      <c r="E5750" s="210"/>
      <c r="F5750" s="210"/>
      <c r="G5750" s="210"/>
      <c r="H5750" s="210"/>
    </row>
    <row r="5751" spans="3:8" x14ac:dyDescent="0.25">
      <c r="C5751" s="210"/>
      <c r="D5751" s="210"/>
      <c r="E5751" s="210"/>
      <c r="F5751" s="210"/>
      <c r="G5751" s="210"/>
      <c r="H5751" s="210"/>
    </row>
    <row r="5752" spans="3:8" x14ac:dyDescent="0.25">
      <c r="C5752" s="210"/>
      <c r="D5752" s="210"/>
      <c r="E5752" s="210"/>
      <c r="F5752" s="210"/>
      <c r="G5752" s="210"/>
      <c r="H5752" s="210"/>
    </row>
    <row r="5753" spans="3:8" x14ac:dyDescent="0.25">
      <c r="C5753" s="210"/>
      <c r="D5753" s="210"/>
      <c r="E5753" s="210"/>
      <c r="F5753" s="210"/>
      <c r="G5753" s="210"/>
      <c r="H5753" s="210"/>
    </row>
    <row r="5754" spans="3:8" x14ac:dyDescent="0.25">
      <c r="C5754" s="210"/>
      <c r="D5754" s="210"/>
      <c r="E5754" s="210"/>
      <c r="F5754" s="210"/>
      <c r="G5754" s="210"/>
      <c r="H5754" s="210"/>
    </row>
    <row r="5755" spans="3:8" x14ac:dyDescent="0.25">
      <c r="C5755" s="210"/>
      <c r="D5755" s="210"/>
      <c r="E5755" s="210"/>
      <c r="F5755" s="210"/>
      <c r="G5755" s="210"/>
      <c r="H5755" s="210"/>
    </row>
    <row r="5756" spans="3:8" x14ac:dyDescent="0.25">
      <c r="C5756" s="210"/>
      <c r="D5756" s="210"/>
      <c r="E5756" s="210"/>
      <c r="F5756" s="210"/>
      <c r="G5756" s="210"/>
      <c r="H5756" s="210"/>
    </row>
    <row r="5757" spans="3:8" x14ac:dyDescent="0.25">
      <c r="C5757" s="210"/>
      <c r="D5757" s="210"/>
      <c r="E5757" s="210"/>
      <c r="F5757" s="210"/>
      <c r="G5757" s="210"/>
      <c r="H5757" s="210"/>
    </row>
    <row r="5758" spans="3:8" x14ac:dyDescent="0.25">
      <c r="C5758" s="210"/>
      <c r="D5758" s="210"/>
      <c r="E5758" s="210"/>
      <c r="F5758" s="210"/>
      <c r="G5758" s="210"/>
      <c r="H5758" s="210"/>
    </row>
    <row r="5759" spans="3:8" x14ac:dyDescent="0.25">
      <c r="C5759" s="210"/>
      <c r="D5759" s="210"/>
      <c r="E5759" s="210"/>
      <c r="F5759" s="210"/>
      <c r="G5759" s="210"/>
      <c r="H5759" s="210"/>
    </row>
    <row r="5760" spans="3:8" x14ac:dyDescent="0.25">
      <c r="C5760" s="210"/>
      <c r="D5760" s="210"/>
      <c r="E5760" s="210"/>
      <c r="F5760" s="210"/>
      <c r="G5760" s="210"/>
      <c r="H5760" s="210"/>
    </row>
    <row r="5761" spans="3:8" x14ac:dyDescent="0.25">
      <c r="C5761" s="210"/>
      <c r="D5761" s="210"/>
      <c r="E5761" s="210"/>
      <c r="F5761" s="210"/>
      <c r="G5761" s="210"/>
      <c r="H5761" s="210"/>
    </row>
    <row r="5762" spans="3:8" x14ac:dyDescent="0.25">
      <c r="C5762" s="210"/>
      <c r="D5762" s="210"/>
      <c r="E5762" s="210"/>
      <c r="F5762" s="210"/>
      <c r="G5762" s="210"/>
      <c r="H5762" s="210"/>
    </row>
    <row r="5763" spans="3:8" x14ac:dyDescent="0.25">
      <c r="C5763" s="210"/>
      <c r="D5763" s="210"/>
      <c r="E5763" s="210"/>
      <c r="F5763" s="210"/>
      <c r="G5763" s="210"/>
      <c r="H5763" s="210"/>
    </row>
    <row r="5764" spans="3:8" x14ac:dyDescent="0.25">
      <c r="C5764" s="210"/>
      <c r="D5764" s="210"/>
      <c r="E5764" s="210"/>
      <c r="F5764" s="210"/>
      <c r="G5764" s="210"/>
      <c r="H5764" s="210"/>
    </row>
    <row r="5765" spans="3:8" x14ac:dyDescent="0.25">
      <c r="C5765" s="210"/>
      <c r="D5765" s="210"/>
      <c r="E5765" s="210"/>
      <c r="F5765" s="210"/>
      <c r="G5765" s="210"/>
      <c r="H5765" s="210"/>
    </row>
    <row r="5766" spans="3:8" x14ac:dyDescent="0.25">
      <c r="C5766" s="210"/>
      <c r="D5766" s="210"/>
      <c r="E5766" s="210"/>
      <c r="F5766" s="210"/>
      <c r="G5766" s="210"/>
      <c r="H5766" s="210"/>
    </row>
    <row r="5767" spans="3:8" x14ac:dyDescent="0.25">
      <c r="C5767" s="210"/>
      <c r="D5767" s="210"/>
      <c r="E5767" s="210"/>
      <c r="F5767" s="210"/>
      <c r="G5767" s="210"/>
      <c r="H5767" s="210"/>
    </row>
    <row r="5768" spans="3:8" x14ac:dyDescent="0.25">
      <c r="C5768" s="210"/>
      <c r="D5768" s="210"/>
      <c r="E5768" s="210"/>
      <c r="F5768" s="210"/>
      <c r="G5768" s="210"/>
      <c r="H5768" s="210"/>
    </row>
    <row r="5769" spans="3:8" x14ac:dyDescent="0.25">
      <c r="C5769" s="210"/>
      <c r="D5769" s="210"/>
      <c r="E5769" s="210"/>
      <c r="F5769" s="210"/>
      <c r="G5769" s="210"/>
      <c r="H5769" s="210"/>
    </row>
    <row r="5770" spans="3:8" x14ac:dyDescent="0.25">
      <c r="C5770" s="210"/>
      <c r="D5770" s="210"/>
      <c r="E5770" s="210"/>
      <c r="F5770" s="210"/>
      <c r="G5770" s="210"/>
      <c r="H5770" s="210"/>
    </row>
    <row r="5771" spans="3:8" x14ac:dyDescent="0.25">
      <c r="C5771" s="210"/>
      <c r="D5771" s="210"/>
      <c r="E5771" s="210"/>
      <c r="F5771" s="210"/>
      <c r="G5771" s="210"/>
      <c r="H5771" s="210"/>
    </row>
    <row r="5772" spans="3:8" x14ac:dyDescent="0.25">
      <c r="C5772" s="210"/>
      <c r="D5772" s="210"/>
      <c r="E5772" s="210"/>
      <c r="F5772" s="210"/>
      <c r="G5772" s="210"/>
      <c r="H5772" s="210"/>
    </row>
    <row r="5773" spans="3:8" x14ac:dyDescent="0.25">
      <c r="C5773" s="210"/>
      <c r="D5773" s="210"/>
      <c r="E5773" s="210"/>
      <c r="F5773" s="210"/>
      <c r="G5773" s="210"/>
      <c r="H5773" s="210"/>
    </row>
    <row r="5774" spans="3:8" x14ac:dyDescent="0.25">
      <c r="C5774" s="210"/>
      <c r="D5774" s="210"/>
      <c r="E5774" s="210"/>
      <c r="F5774" s="210"/>
      <c r="G5774" s="210"/>
      <c r="H5774" s="210"/>
    </row>
    <row r="5775" spans="3:8" x14ac:dyDescent="0.25">
      <c r="C5775" s="210"/>
      <c r="D5775" s="210"/>
      <c r="E5775" s="210"/>
      <c r="F5775" s="210"/>
      <c r="G5775" s="210"/>
      <c r="H5775" s="210"/>
    </row>
    <row r="5776" spans="3:8" x14ac:dyDescent="0.25">
      <c r="C5776" s="210"/>
      <c r="D5776" s="210"/>
      <c r="E5776" s="210"/>
      <c r="F5776" s="210"/>
      <c r="G5776" s="210"/>
      <c r="H5776" s="210"/>
    </row>
    <row r="5777" spans="3:8" x14ac:dyDescent="0.25">
      <c r="C5777" s="210"/>
      <c r="D5777" s="210"/>
      <c r="E5777" s="210"/>
      <c r="F5777" s="210"/>
      <c r="G5777" s="210"/>
      <c r="H5777" s="210"/>
    </row>
    <row r="5778" spans="3:8" x14ac:dyDescent="0.25">
      <c r="C5778" s="210"/>
      <c r="D5778" s="210"/>
      <c r="E5778" s="210"/>
      <c r="F5778" s="210"/>
      <c r="G5778" s="210"/>
      <c r="H5778" s="210"/>
    </row>
    <row r="5779" spans="3:8" x14ac:dyDescent="0.25">
      <c r="C5779" s="210"/>
      <c r="D5779" s="210"/>
      <c r="E5779" s="210"/>
      <c r="F5779" s="210"/>
      <c r="G5779" s="210"/>
      <c r="H5779" s="210"/>
    </row>
    <row r="5780" spans="3:8" x14ac:dyDescent="0.25">
      <c r="C5780" s="210"/>
      <c r="D5780" s="210"/>
      <c r="E5780" s="210"/>
      <c r="F5780" s="210"/>
      <c r="G5780" s="210"/>
      <c r="H5780" s="210"/>
    </row>
    <row r="5781" spans="3:8" x14ac:dyDescent="0.25">
      <c r="C5781" s="210"/>
      <c r="D5781" s="210"/>
      <c r="E5781" s="210"/>
      <c r="F5781" s="210"/>
      <c r="G5781" s="210"/>
      <c r="H5781" s="210"/>
    </row>
    <row r="5782" spans="3:8" x14ac:dyDescent="0.25">
      <c r="C5782" s="210"/>
      <c r="D5782" s="210"/>
      <c r="E5782" s="210"/>
      <c r="F5782" s="210"/>
      <c r="G5782" s="210"/>
      <c r="H5782" s="210"/>
    </row>
    <row r="5783" spans="3:8" x14ac:dyDescent="0.25">
      <c r="C5783" s="210"/>
      <c r="D5783" s="210"/>
      <c r="E5783" s="210"/>
      <c r="F5783" s="210"/>
      <c r="G5783" s="210"/>
      <c r="H5783" s="210"/>
    </row>
    <row r="5784" spans="3:8" x14ac:dyDescent="0.25">
      <c r="C5784" s="210"/>
      <c r="D5784" s="210"/>
      <c r="E5784" s="210"/>
      <c r="F5784" s="210"/>
      <c r="G5784" s="210"/>
      <c r="H5784" s="210"/>
    </row>
    <row r="5785" spans="3:8" x14ac:dyDescent="0.25">
      <c r="C5785" s="210"/>
      <c r="D5785" s="210"/>
      <c r="E5785" s="210"/>
      <c r="F5785" s="210"/>
      <c r="G5785" s="210"/>
      <c r="H5785" s="210"/>
    </row>
    <row r="5786" spans="3:8" x14ac:dyDescent="0.25">
      <c r="C5786" s="210"/>
      <c r="D5786" s="210"/>
      <c r="E5786" s="210"/>
      <c r="F5786" s="210"/>
      <c r="G5786" s="210"/>
      <c r="H5786" s="210"/>
    </row>
    <row r="5787" spans="3:8" x14ac:dyDescent="0.25">
      <c r="C5787" s="210"/>
      <c r="D5787" s="210"/>
      <c r="E5787" s="210"/>
      <c r="F5787" s="210"/>
      <c r="G5787" s="210"/>
      <c r="H5787" s="210"/>
    </row>
    <row r="5788" spans="3:8" x14ac:dyDescent="0.25">
      <c r="C5788" s="210"/>
      <c r="D5788" s="210"/>
      <c r="E5788" s="210"/>
      <c r="F5788" s="210"/>
      <c r="G5788" s="210"/>
      <c r="H5788" s="210"/>
    </row>
    <row r="5789" spans="3:8" x14ac:dyDescent="0.25">
      <c r="C5789" s="210"/>
      <c r="D5789" s="210"/>
      <c r="E5789" s="210"/>
      <c r="F5789" s="210"/>
      <c r="G5789" s="210"/>
      <c r="H5789" s="210"/>
    </row>
    <row r="5790" spans="3:8" x14ac:dyDescent="0.25">
      <c r="C5790" s="210"/>
      <c r="D5790" s="210"/>
      <c r="E5790" s="210"/>
      <c r="F5790" s="210"/>
      <c r="G5790" s="210"/>
      <c r="H5790" s="210"/>
    </row>
    <row r="5791" spans="3:8" x14ac:dyDescent="0.25">
      <c r="C5791" s="210"/>
      <c r="D5791" s="210"/>
      <c r="E5791" s="210"/>
      <c r="F5791" s="210"/>
      <c r="G5791" s="210"/>
      <c r="H5791" s="210"/>
    </row>
    <row r="5792" spans="3:8" x14ac:dyDescent="0.25">
      <c r="C5792" s="210"/>
      <c r="D5792" s="210"/>
      <c r="E5792" s="210"/>
      <c r="F5792" s="210"/>
      <c r="G5792" s="210"/>
      <c r="H5792" s="210"/>
    </row>
    <row r="5793" spans="3:8" x14ac:dyDescent="0.25">
      <c r="C5793" s="210"/>
      <c r="D5793" s="210"/>
      <c r="E5793" s="210"/>
      <c r="F5793" s="210"/>
      <c r="G5793" s="210"/>
      <c r="H5793" s="210"/>
    </row>
    <row r="5794" spans="3:8" x14ac:dyDescent="0.25">
      <c r="C5794" s="210"/>
      <c r="D5794" s="210"/>
      <c r="E5794" s="210"/>
      <c r="F5794" s="210"/>
      <c r="G5794" s="210"/>
      <c r="H5794" s="210"/>
    </row>
    <row r="5795" spans="3:8" x14ac:dyDescent="0.25">
      <c r="C5795" s="210"/>
      <c r="D5795" s="210"/>
      <c r="E5795" s="210"/>
      <c r="F5795" s="210"/>
      <c r="G5795" s="210"/>
      <c r="H5795" s="210"/>
    </row>
    <row r="5796" spans="3:8" x14ac:dyDescent="0.25">
      <c r="C5796" s="210"/>
      <c r="D5796" s="210"/>
      <c r="E5796" s="210"/>
      <c r="F5796" s="210"/>
      <c r="G5796" s="210"/>
      <c r="H5796" s="210"/>
    </row>
    <row r="5797" spans="3:8" x14ac:dyDescent="0.25">
      <c r="C5797" s="210"/>
      <c r="D5797" s="210"/>
      <c r="E5797" s="210"/>
      <c r="F5797" s="210"/>
      <c r="G5797" s="210"/>
      <c r="H5797" s="210"/>
    </row>
    <row r="5798" spans="3:8" x14ac:dyDescent="0.25">
      <c r="C5798" s="210"/>
      <c r="D5798" s="210"/>
      <c r="E5798" s="210"/>
      <c r="F5798" s="210"/>
      <c r="G5798" s="210"/>
      <c r="H5798" s="210"/>
    </row>
    <row r="5799" spans="3:8" x14ac:dyDescent="0.25">
      <c r="C5799" s="210"/>
      <c r="D5799" s="210"/>
      <c r="E5799" s="210"/>
      <c r="F5799" s="210"/>
      <c r="G5799" s="210"/>
      <c r="H5799" s="210"/>
    </row>
    <row r="5800" spans="3:8" x14ac:dyDescent="0.25">
      <c r="C5800" s="210"/>
      <c r="D5800" s="210"/>
      <c r="E5800" s="210"/>
      <c r="F5800" s="210"/>
      <c r="G5800" s="210"/>
      <c r="H5800" s="210"/>
    </row>
    <row r="5801" spans="3:8" x14ac:dyDescent="0.25">
      <c r="C5801" s="210"/>
      <c r="D5801" s="210"/>
      <c r="E5801" s="210"/>
      <c r="F5801" s="210"/>
      <c r="G5801" s="210"/>
      <c r="H5801" s="210"/>
    </row>
    <row r="5802" spans="3:8" x14ac:dyDescent="0.25">
      <c r="C5802" s="210"/>
      <c r="D5802" s="210"/>
      <c r="E5802" s="210"/>
      <c r="F5802" s="210"/>
      <c r="G5802" s="210"/>
      <c r="H5802" s="210"/>
    </row>
    <row r="5803" spans="3:8" x14ac:dyDescent="0.25">
      <c r="C5803" s="210"/>
      <c r="D5803" s="210"/>
      <c r="E5803" s="210"/>
      <c r="F5803" s="210"/>
      <c r="G5803" s="210"/>
      <c r="H5803" s="210"/>
    </row>
    <row r="5804" spans="3:8" x14ac:dyDescent="0.25">
      <c r="C5804" s="210"/>
      <c r="D5804" s="210"/>
      <c r="E5804" s="210"/>
      <c r="F5804" s="210"/>
      <c r="G5804" s="210"/>
      <c r="H5804" s="210"/>
    </row>
    <row r="5805" spans="3:8" x14ac:dyDescent="0.25">
      <c r="C5805" s="210"/>
      <c r="D5805" s="210"/>
      <c r="E5805" s="210"/>
      <c r="F5805" s="210"/>
      <c r="G5805" s="210"/>
      <c r="H5805" s="210"/>
    </row>
    <row r="5806" spans="3:8" x14ac:dyDescent="0.25">
      <c r="C5806" s="210"/>
      <c r="D5806" s="210"/>
      <c r="E5806" s="210"/>
      <c r="F5806" s="210"/>
      <c r="G5806" s="210"/>
      <c r="H5806" s="210"/>
    </row>
    <row r="5807" spans="3:8" x14ac:dyDescent="0.25">
      <c r="C5807" s="210"/>
      <c r="D5807" s="210"/>
      <c r="E5807" s="210"/>
      <c r="F5807" s="210"/>
      <c r="G5807" s="210"/>
      <c r="H5807" s="210"/>
    </row>
    <row r="5808" spans="3:8" x14ac:dyDescent="0.25">
      <c r="C5808" s="210"/>
      <c r="D5808" s="210"/>
      <c r="E5808" s="210"/>
      <c r="F5808" s="210"/>
      <c r="G5808" s="210"/>
      <c r="H5808" s="210"/>
    </row>
    <row r="5809" spans="3:8" x14ac:dyDescent="0.25">
      <c r="C5809" s="210"/>
      <c r="D5809" s="210"/>
      <c r="E5809" s="210"/>
      <c r="F5809" s="210"/>
      <c r="G5809" s="210"/>
      <c r="H5809" s="210"/>
    </row>
    <row r="5810" spans="3:8" x14ac:dyDescent="0.25">
      <c r="C5810" s="210"/>
      <c r="D5810" s="210"/>
      <c r="E5810" s="210"/>
      <c r="F5810" s="210"/>
      <c r="G5810" s="210"/>
      <c r="H5810" s="210"/>
    </row>
    <row r="5811" spans="3:8" x14ac:dyDescent="0.25">
      <c r="C5811" s="210"/>
      <c r="D5811" s="210"/>
      <c r="E5811" s="210"/>
      <c r="F5811" s="210"/>
      <c r="G5811" s="210"/>
      <c r="H5811" s="210"/>
    </row>
    <row r="5812" spans="3:8" x14ac:dyDescent="0.25">
      <c r="C5812" s="210"/>
      <c r="D5812" s="210"/>
      <c r="E5812" s="210"/>
      <c r="F5812" s="210"/>
      <c r="G5812" s="210"/>
      <c r="H5812" s="210"/>
    </row>
    <row r="5813" spans="3:8" x14ac:dyDescent="0.25">
      <c r="C5813" s="210"/>
      <c r="D5813" s="210"/>
      <c r="E5813" s="210"/>
      <c r="F5813" s="210"/>
      <c r="G5813" s="210"/>
      <c r="H5813" s="210"/>
    </row>
    <row r="5814" spans="3:8" x14ac:dyDescent="0.25">
      <c r="C5814" s="210"/>
      <c r="D5814" s="210"/>
      <c r="E5814" s="210"/>
      <c r="F5814" s="210"/>
      <c r="G5814" s="210"/>
      <c r="H5814" s="210"/>
    </row>
    <row r="5815" spans="3:8" x14ac:dyDescent="0.25">
      <c r="C5815" s="210"/>
      <c r="D5815" s="210"/>
      <c r="E5815" s="210"/>
      <c r="F5815" s="210"/>
      <c r="G5815" s="210"/>
      <c r="H5815" s="210"/>
    </row>
    <row r="5816" spans="3:8" x14ac:dyDescent="0.25">
      <c r="C5816" s="210"/>
      <c r="D5816" s="210"/>
      <c r="E5816" s="210"/>
      <c r="F5816" s="210"/>
      <c r="G5816" s="210"/>
      <c r="H5816" s="210"/>
    </row>
    <row r="5817" spans="3:8" x14ac:dyDescent="0.25">
      <c r="C5817" s="210"/>
      <c r="D5817" s="210"/>
      <c r="E5817" s="210"/>
      <c r="F5817" s="210"/>
      <c r="G5817" s="210"/>
      <c r="H5817" s="210"/>
    </row>
    <row r="5818" spans="3:8" x14ac:dyDescent="0.25">
      <c r="C5818" s="210"/>
      <c r="D5818" s="210"/>
      <c r="E5818" s="210"/>
      <c r="F5818" s="210"/>
      <c r="G5818" s="210"/>
      <c r="H5818" s="210"/>
    </row>
    <row r="5819" spans="3:8" x14ac:dyDescent="0.25">
      <c r="C5819" s="210"/>
      <c r="D5819" s="210"/>
      <c r="E5819" s="210"/>
      <c r="F5819" s="210"/>
      <c r="G5819" s="210"/>
      <c r="H5819" s="210"/>
    </row>
    <row r="5820" spans="3:8" x14ac:dyDescent="0.25">
      <c r="C5820" s="210"/>
      <c r="D5820" s="210"/>
      <c r="E5820" s="210"/>
      <c r="F5820" s="210"/>
      <c r="G5820" s="210"/>
      <c r="H5820" s="210"/>
    </row>
    <row r="5821" spans="3:8" x14ac:dyDescent="0.25">
      <c r="C5821" s="210"/>
      <c r="D5821" s="210"/>
      <c r="E5821" s="210"/>
      <c r="F5821" s="210"/>
      <c r="G5821" s="210"/>
      <c r="H5821" s="210"/>
    </row>
    <row r="5822" spans="3:8" x14ac:dyDescent="0.25">
      <c r="C5822" s="210"/>
      <c r="D5822" s="210"/>
      <c r="E5822" s="210"/>
      <c r="F5822" s="210"/>
      <c r="G5822" s="210"/>
      <c r="H5822" s="210"/>
    </row>
    <row r="5823" spans="3:8" x14ac:dyDescent="0.25">
      <c r="C5823" s="210"/>
      <c r="D5823" s="210"/>
      <c r="E5823" s="210"/>
      <c r="F5823" s="210"/>
      <c r="G5823" s="210"/>
      <c r="H5823" s="210"/>
    </row>
    <row r="5824" spans="3:8" x14ac:dyDescent="0.25">
      <c r="C5824" s="210"/>
      <c r="D5824" s="210"/>
      <c r="E5824" s="210"/>
      <c r="F5824" s="210"/>
      <c r="G5824" s="210"/>
      <c r="H5824" s="210"/>
    </row>
    <row r="5825" spans="3:8" x14ac:dyDescent="0.25">
      <c r="C5825" s="210"/>
      <c r="D5825" s="210"/>
      <c r="E5825" s="210"/>
      <c r="F5825" s="210"/>
      <c r="G5825" s="210"/>
      <c r="H5825" s="210"/>
    </row>
    <row r="5826" spans="3:8" x14ac:dyDescent="0.25">
      <c r="C5826" s="210"/>
      <c r="D5826" s="210"/>
      <c r="E5826" s="210"/>
      <c r="F5826" s="210"/>
      <c r="G5826" s="210"/>
      <c r="H5826" s="210"/>
    </row>
    <row r="5827" spans="3:8" x14ac:dyDescent="0.25">
      <c r="C5827" s="210"/>
      <c r="D5827" s="210"/>
      <c r="E5827" s="210"/>
      <c r="F5827" s="210"/>
      <c r="G5827" s="210"/>
      <c r="H5827" s="210"/>
    </row>
    <row r="5828" spans="3:8" x14ac:dyDescent="0.25">
      <c r="C5828" s="210"/>
      <c r="D5828" s="210"/>
      <c r="E5828" s="210"/>
      <c r="F5828" s="210"/>
      <c r="G5828" s="210"/>
      <c r="H5828" s="210"/>
    </row>
    <row r="5829" spans="3:8" x14ac:dyDescent="0.25">
      <c r="C5829" s="210"/>
      <c r="D5829" s="210"/>
      <c r="E5829" s="210"/>
      <c r="F5829" s="210"/>
      <c r="G5829" s="210"/>
      <c r="H5829" s="210"/>
    </row>
    <row r="5830" spans="3:8" x14ac:dyDescent="0.25">
      <c r="C5830" s="210"/>
      <c r="D5830" s="210"/>
      <c r="E5830" s="210"/>
      <c r="F5830" s="210"/>
      <c r="G5830" s="210"/>
      <c r="H5830" s="210"/>
    </row>
    <row r="5831" spans="3:8" x14ac:dyDescent="0.25">
      <c r="C5831" s="210"/>
      <c r="D5831" s="210"/>
      <c r="E5831" s="210"/>
      <c r="F5831" s="210"/>
      <c r="G5831" s="210"/>
      <c r="H5831" s="210"/>
    </row>
    <row r="5832" spans="3:8" x14ac:dyDescent="0.25">
      <c r="C5832" s="210"/>
      <c r="D5832" s="210"/>
      <c r="E5832" s="210"/>
      <c r="F5832" s="210"/>
      <c r="G5832" s="210"/>
      <c r="H5832" s="210"/>
    </row>
    <row r="5833" spans="3:8" x14ac:dyDescent="0.25">
      <c r="C5833" s="210"/>
      <c r="D5833" s="210"/>
      <c r="E5833" s="210"/>
      <c r="F5833" s="210"/>
      <c r="G5833" s="210"/>
      <c r="H5833" s="210"/>
    </row>
    <row r="5834" spans="3:8" x14ac:dyDescent="0.25">
      <c r="C5834" s="210"/>
      <c r="D5834" s="210"/>
      <c r="E5834" s="210"/>
      <c r="F5834" s="210"/>
      <c r="G5834" s="210"/>
      <c r="H5834" s="210"/>
    </row>
    <row r="5835" spans="3:8" x14ac:dyDescent="0.25">
      <c r="C5835" s="210"/>
      <c r="D5835" s="210"/>
      <c r="E5835" s="210"/>
      <c r="F5835" s="210"/>
      <c r="G5835" s="210"/>
      <c r="H5835" s="210"/>
    </row>
    <row r="5836" spans="3:8" x14ac:dyDescent="0.25">
      <c r="C5836" s="210"/>
      <c r="D5836" s="210"/>
      <c r="E5836" s="210"/>
      <c r="F5836" s="210"/>
      <c r="G5836" s="210"/>
      <c r="H5836" s="210"/>
    </row>
    <row r="5837" spans="3:8" x14ac:dyDescent="0.25">
      <c r="C5837" s="210"/>
      <c r="D5837" s="210"/>
      <c r="E5837" s="210"/>
      <c r="F5837" s="210"/>
      <c r="G5837" s="210"/>
      <c r="H5837" s="210"/>
    </row>
    <row r="5838" spans="3:8" x14ac:dyDescent="0.25">
      <c r="C5838" s="210"/>
      <c r="D5838" s="210"/>
      <c r="E5838" s="210"/>
      <c r="F5838" s="210"/>
      <c r="G5838" s="210"/>
      <c r="H5838" s="210"/>
    </row>
    <row r="5839" spans="3:8" x14ac:dyDescent="0.25">
      <c r="C5839" s="210"/>
      <c r="D5839" s="210"/>
      <c r="E5839" s="210"/>
      <c r="F5839" s="210"/>
      <c r="G5839" s="210"/>
      <c r="H5839" s="210"/>
    </row>
    <row r="5840" spans="3:8" x14ac:dyDescent="0.25">
      <c r="C5840" s="210"/>
      <c r="D5840" s="210"/>
      <c r="E5840" s="210"/>
      <c r="F5840" s="210"/>
      <c r="G5840" s="210"/>
      <c r="H5840" s="210"/>
    </row>
    <row r="5841" spans="3:8" x14ac:dyDescent="0.25">
      <c r="C5841" s="210"/>
      <c r="D5841" s="210"/>
      <c r="E5841" s="210"/>
      <c r="F5841" s="210"/>
      <c r="G5841" s="210"/>
      <c r="H5841" s="210"/>
    </row>
    <row r="5842" spans="3:8" x14ac:dyDescent="0.25">
      <c r="C5842" s="210"/>
      <c r="D5842" s="210"/>
      <c r="E5842" s="210"/>
      <c r="F5842" s="210"/>
      <c r="G5842" s="210"/>
      <c r="H5842" s="210"/>
    </row>
    <row r="5843" spans="3:8" x14ac:dyDescent="0.25">
      <c r="C5843" s="210"/>
      <c r="D5843" s="210"/>
      <c r="E5843" s="210"/>
      <c r="F5843" s="210"/>
      <c r="G5843" s="210"/>
      <c r="H5843" s="210"/>
    </row>
    <row r="5844" spans="3:8" x14ac:dyDescent="0.25">
      <c r="C5844" s="210"/>
      <c r="D5844" s="210"/>
      <c r="E5844" s="210"/>
      <c r="F5844" s="210"/>
      <c r="G5844" s="210"/>
      <c r="H5844" s="210"/>
    </row>
    <row r="5845" spans="3:8" x14ac:dyDescent="0.25">
      <c r="C5845" s="210"/>
      <c r="D5845" s="210"/>
      <c r="E5845" s="210"/>
      <c r="F5845" s="210"/>
      <c r="G5845" s="210"/>
      <c r="H5845" s="210"/>
    </row>
    <row r="5846" spans="3:8" x14ac:dyDescent="0.25">
      <c r="C5846" s="210"/>
      <c r="D5846" s="210"/>
      <c r="E5846" s="210"/>
      <c r="F5846" s="210"/>
      <c r="G5846" s="210"/>
      <c r="H5846" s="210"/>
    </row>
    <row r="5847" spans="3:8" x14ac:dyDescent="0.25">
      <c r="C5847" s="210"/>
      <c r="D5847" s="210"/>
      <c r="E5847" s="210"/>
      <c r="F5847" s="210"/>
      <c r="G5847" s="210"/>
      <c r="H5847" s="210"/>
    </row>
    <row r="5848" spans="3:8" x14ac:dyDescent="0.25">
      <c r="C5848" s="210"/>
      <c r="D5848" s="210"/>
      <c r="E5848" s="210"/>
      <c r="F5848" s="210"/>
      <c r="G5848" s="210"/>
      <c r="H5848" s="210"/>
    </row>
    <row r="5849" spans="3:8" x14ac:dyDescent="0.25">
      <c r="C5849" s="210"/>
      <c r="D5849" s="210"/>
      <c r="E5849" s="210"/>
      <c r="F5849" s="210"/>
      <c r="G5849" s="210"/>
      <c r="H5849" s="210"/>
    </row>
    <row r="5850" spans="3:8" x14ac:dyDescent="0.25">
      <c r="C5850" s="210"/>
      <c r="D5850" s="210"/>
      <c r="E5850" s="210"/>
      <c r="F5850" s="210"/>
      <c r="G5850" s="210"/>
      <c r="H5850" s="210"/>
    </row>
    <row r="5851" spans="3:8" x14ac:dyDescent="0.25">
      <c r="C5851" s="210"/>
      <c r="D5851" s="210"/>
      <c r="E5851" s="210"/>
      <c r="F5851" s="210"/>
      <c r="G5851" s="210"/>
      <c r="H5851" s="210"/>
    </row>
    <row r="5852" spans="3:8" x14ac:dyDescent="0.25">
      <c r="C5852" s="210"/>
      <c r="D5852" s="210"/>
      <c r="E5852" s="210"/>
      <c r="F5852" s="210"/>
      <c r="G5852" s="210"/>
      <c r="H5852" s="210"/>
    </row>
    <row r="5853" spans="3:8" x14ac:dyDescent="0.25">
      <c r="C5853" s="210"/>
      <c r="D5853" s="210"/>
      <c r="E5853" s="210"/>
      <c r="F5853" s="210"/>
      <c r="G5853" s="210"/>
      <c r="H5853" s="210"/>
    </row>
    <row r="5854" spans="3:8" x14ac:dyDescent="0.25">
      <c r="C5854" s="210"/>
      <c r="D5854" s="210"/>
      <c r="E5854" s="210"/>
      <c r="F5854" s="210"/>
      <c r="G5854" s="210"/>
      <c r="H5854" s="210"/>
    </row>
    <row r="5855" spans="3:8" x14ac:dyDescent="0.25">
      <c r="C5855" s="210"/>
      <c r="D5855" s="210"/>
      <c r="E5855" s="210"/>
      <c r="F5855" s="210"/>
      <c r="G5855" s="210"/>
      <c r="H5855" s="210"/>
    </row>
    <row r="5856" spans="3:8" x14ac:dyDescent="0.25">
      <c r="C5856" s="210"/>
      <c r="D5856" s="210"/>
      <c r="E5856" s="210"/>
      <c r="F5856" s="210"/>
      <c r="G5856" s="210"/>
      <c r="H5856" s="210"/>
    </row>
    <row r="5857" spans="3:8" x14ac:dyDescent="0.25">
      <c r="C5857" s="210"/>
      <c r="D5857" s="210"/>
      <c r="E5857" s="210"/>
      <c r="F5857" s="210"/>
      <c r="G5857" s="210"/>
      <c r="H5857" s="210"/>
    </row>
    <row r="5858" spans="3:8" x14ac:dyDescent="0.25">
      <c r="C5858" s="210"/>
      <c r="D5858" s="210"/>
      <c r="E5858" s="210"/>
      <c r="F5858" s="210"/>
      <c r="G5858" s="210"/>
      <c r="H5858" s="210"/>
    </row>
    <row r="5859" spans="3:8" x14ac:dyDescent="0.25">
      <c r="C5859" s="210"/>
      <c r="D5859" s="210"/>
      <c r="E5859" s="210"/>
      <c r="F5859" s="210"/>
      <c r="G5859" s="210"/>
      <c r="H5859" s="210"/>
    </row>
    <row r="5860" spans="3:8" x14ac:dyDescent="0.25">
      <c r="C5860" s="210"/>
      <c r="D5860" s="210"/>
      <c r="E5860" s="210"/>
      <c r="F5860" s="210"/>
      <c r="G5860" s="210"/>
      <c r="H5860" s="210"/>
    </row>
    <row r="5861" spans="3:8" x14ac:dyDescent="0.25">
      <c r="C5861" s="210"/>
      <c r="D5861" s="210"/>
      <c r="E5861" s="210"/>
      <c r="F5861" s="210"/>
      <c r="G5861" s="210"/>
      <c r="H5861" s="210"/>
    </row>
    <row r="5862" spans="3:8" x14ac:dyDescent="0.25">
      <c r="C5862" s="210"/>
      <c r="D5862" s="210"/>
      <c r="E5862" s="210"/>
      <c r="F5862" s="210"/>
      <c r="G5862" s="210"/>
      <c r="H5862" s="210"/>
    </row>
    <row r="5863" spans="3:8" x14ac:dyDescent="0.25">
      <c r="C5863" s="210"/>
      <c r="D5863" s="210"/>
      <c r="E5863" s="210"/>
      <c r="F5863" s="210"/>
      <c r="G5863" s="210"/>
      <c r="H5863" s="210"/>
    </row>
    <row r="5864" spans="3:8" x14ac:dyDescent="0.25">
      <c r="C5864" s="210"/>
      <c r="D5864" s="210"/>
      <c r="E5864" s="210"/>
      <c r="F5864" s="210"/>
      <c r="G5864" s="210"/>
      <c r="H5864" s="210"/>
    </row>
    <row r="5865" spans="3:8" x14ac:dyDescent="0.25">
      <c r="C5865" s="210"/>
      <c r="D5865" s="210"/>
      <c r="E5865" s="210"/>
      <c r="F5865" s="210"/>
      <c r="G5865" s="210"/>
      <c r="H5865" s="210"/>
    </row>
    <row r="5866" spans="3:8" x14ac:dyDescent="0.25">
      <c r="C5866" s="210"/>
      <c r="D5866" s="210"/>
      <c r="E5866" s="210"/>
      <c r="F5866" s="210"/>
      <c r="G5866" s="210"/>
      <c r="H5866" s="210"/>
    </row>
    <row r="5867" spans="3:8" x14ac:dyDescent="0.25">
      <c r="C5867" s="210"/>
      <c r="D5867" s="210"/>
      <c r="E5867" s="210"/>
      <c r="F5867" s="210"/>
      <c r="G5867" s="210"/>
      <c r="H5867" s="210"/>
    </row>
    <row r="5868" spans="3:8" x14ac:dyDescent="0.25">
      <c r="C5868" s="210"/>
      <c r="D5868" s="210"/>
      <c r="E5868" s="210"/>
      <c r="F5868" s="210"/>
      <c r="G5868" s="210"/>
      <c r="H5868" s="210"/>
    </row>
    <row r="5869" spans="3:8" x14ac:dyDescent="0.25">
      <c r="C5869" s="210"/>
      <c r="D5869" s="210"/>
      <c r="E5869" s="210"/>
      <c r="F5869" s="210"/>
      <c r="G5869" s="210"/>
      <c r="H5869" s="210"/>
    </row>
    <row r="5870" spans="3:8" x14ac:dyDescent="0.25">
      <c r="C5870" s="210"/>
      <c r="D5870" s="210"/>
      <c r="E5870" s="210"/>
      <c r="F5870" s="210"/>
      <c r="G5870" s="210"/>
      <c r="H5870" s="210"/>
    </row>
    <row r="5871" spans="3:8" x14ac:dyDescent="0.25">
      <c r="C5871" s="210"/>
      <c r="D5871" s="210"/>
      <c r="E5871" s="210"/>
      <c r="F5871" s="210"/>
      <c r="G5871" s="210"/>
      <c r="H5871" s="210"/>
    </row>
    <row r="5872" spans="3:8" x14ac:dyDescent="0.25">
      <c r="C5872" s="210"/>
      <c r="D5872" s="210"/>
      <c r="E5872" s="210"/>
      <c r="F5872" s="210"/>
      <c r="G5872" s="210"/>
      <c r="H5872" s="210"/>
    </row>
    <row r="5873" spans="3:8" x14ac:dyDescent="0.25">
      <c r="C5873" s="210"/>
      <c r="D5873" s="210"/>
      <c r="E5873" s="210"/>
      <c r="F5873" s="210"/>
      <c r="G5873" s="210"/>
      <c r="H5873" s="210"/>
    </row>
    <row r="5874" spans="3:8" x14ac:dyDescent="0.25">
      <c r="C5874" s="210"/>
      <c r="D5874" s="210"/>
      <c r="E5874" s="210"/>
      <c r="F5874" s="210"/>
      <c r="G5874" s="210"/>
      <c r="H5874" s="210"/>
    </row>
    <row r="5875" spans="3:8" x14ac:dyDescent="0.25">
      <c r="C5875" s="210"/>
      <c r="D5875" s="210"/>
      <c r="E5875" s="210"/>
      <c r="F5875" s="210"/>
      <c r="G5875" s="210"/>
      <c r="H5875" s="210"/>
    </row>
    <row r="5876" spans="3:8" x14ac:dyDescent="0.25">
      <c r="C5876" s="210"/>
      <c r="D5876" s="210"/>
      <c r="E5876" s="210"/>
      <c r="F5876" s="210"/>
      <c r="G5876" s="210"/>
      <c r="H5876" s="210"/>
    </row>
    <row r="5877" spans="3:8" x14ac:dyDescent="0.25">
      <c r="C5877" s="210"/>
      <c r="D5877" s="210"/>
      <c r="E5877" s="210"/>
      <c r="F5877" s="210"/>
      <c r="G5877" s="210"/>
      <c r="H5877" s="210"/>
    </row>
    <row r="5878" spans="3:8" x14ac:dyDescent="0.25">
      <c r="C5878" s="210"/>
      <c r="D5878" s="210"/>
      <c r="E5878" s="210"/>
      <c r="F5878" s="210"/>
      <c r="G5878" s="210"/>
      <c r="H5878" s="210"/>
    </row>
    <row r="5879" spans="3:8" x14ac:dyDescent="0.25">
      <c r="C5879" s="210"/>
      <c r="D5879" s="210"/>
      <c r="E5879" s="210"/>
      <c r="F5879" s="210"/>
      <c r="G5879" s="210"/>
      <c r="H5879" s="210"/>
    </row>
    <row r="5880" spans="3:8" x14ac:dyDescent="0.25">
      <c r="C5880" s="210"/>
      <c r="D5880" s="210"/>
      <c r="E5880" s="210"/>
      <c r="F5880" s="210"/>
      <c r="G5880" s="210"/>
      <c r="H5880" s="210"/>
    </row>
    <row r="5881" spans="3:8" x14ac:dyDescent="0.25">
      <c r="C5881" s="210"/>
      <c r="D5881" s="210"/>
      <c r="E5881" s="210"/>
      <c r="F5881" s="210"/>
      <c r="G5881" s="210"/>
      <c r="H5881" s="210"/>
    </row>
    <row r="5882" spans="3:8" x14ac:dyDescent="0.25">
      <c r="C5882" s="210"/>
      <c r="D5882" s="210"/>
      <c r="E5882" s="210"/>
      <c r="F5882" s="210"/>
      <c r="G5882" s="210"/>
      <c r="H5882" s="210"/>
    </row>
    <row r="5883" spans="3:8" x14ac:dyDescent="0.25">
      <c r="C5883" s="210"/>
      <c r="D5883" s="210"/>
      <c r="E5883" s="210"/>
      <c r="F5883" s="210"/>
      <c r="G5883" s="210"/>
      <c r="H5883" s="210"/>
    </row>
    <row r="5884" spans="3:8" x14ac:dyDescent="0.25">
      <c r="C5884" s="210"/>
      <c r="D5884" s="210"/>
      <c r="E5884" s="210"/>
      <c r="F5884" s="210"/>
      <c r="G5884" s="210"/>
      <c r="H5884" s="210"/>
    </row>
    <row r="5885" spans="3:8" x14ac:dyDescent="0.25">
      <c r="C5885" s="210"/>
      <c r="D5885" s="210"/>
      <c r="E5885" s="210"/>
      <c r="F5885" s="210"/>
      <c r="G5885" s="210"/>
      <c r="H5885" s="210"/>
    </row>
    <row r="5886" spans="3:8" x14ac:dyDescent="0.25">
      <c r="C5886" s="210"/>
      <c r="D5886" s="210"/>
      <c r="E5886" s="210"/>
      <c r="F5886" s="210"/>
      <c r="G5886" s="210"/>
      <c r="H5886" s="210"/>
    </row>
    <row r="5887" spans="3:8" x14ac:dyDescent="0.25">
      <c r="C5887" s="210"/>
      <c r="D5887" s="210"/>
      <c r="E5887" s="210"/>
      <c r="F5887" s="210"/>
      <c r="G5887" s="210"/>
      <c r="H5887" s="210"/>
    </row>
    <row r="5888" spans="3:8" x14ac:dyDescent="0.25">
      <c r="C5888" s="210"/>
      <c r="D5888" s="210"/>
      <c r="E5888" s="210"/>
      <c r="F5888" s="210"/>
      <c r="G5888" s="210"/>
      <c r="H5888" s="210"/>
    </row>
    <row r="5889" spans="3:8" x14ac:dyDescent="0.25">
      <c r="C5889" s="210"/>
      <c r="D5889" s="210"/>
      <c r="E5889" s="210"/>
      <c r="F5889" s="210"/>
      <c r="G5889" s="210"/>
      <c r="H5889" s="210"/>
    </row>
    <row r="5890" spans="3:8" x14ac:dyDescent="0.25">
      <c r="C5890" s="210"/>
      <c r="D5890" s="210"/>
      <c r="E5890" s="210"/>
      <c r="F5890" s="210"/>
      <c r="G5890" s="210"/>
      <c r="H5890" s="210"/>
    </row>
    <row r="5891" spans="3:8" x14ac:dyDescent="0.25">
      <c r="C5891" s="210"/>
      <c r="D5891" s="210"/>
      <c r="E5891" s="210"/>
      <c r="F5891" s="210"/>
      <c r="G5891" s="210"/>
      <c r="H5891" s="210"/>
    </row>
    <row r="5892" spans="3:8" x14ac:dyDescent="0.25">
      <c r="C5892" s="210"/>
      <c r="D5892" s="210"/>
      <c r="E5892" s="210"/>
      <c r="F5892" s="210"/>
      <c r="G5892" s="210"/>
      <c r="H5892" s="210"/>
    </row>
    <row r="5893" spans="3:8" x14ac:dyDescent="0.25">
      <c r="C5893" s="210"/>
      <c r="D5893" s="210"/>
      <c r="E5893" s="210"/>
      <c r="F5893" s="210"/>
      <c r="G5893" s="210"/>
      <c r="H5893" s="210"/>
    </row>
    <row r="5894" spans="3:8" x14ac:dyDescent="0.25">
      <c r="C5894" s="210"/>
      <c r="D5894" s="210"/>
      <c r="E5894" s="210"/>
      <c r="F5894" s="210"/>
      <c r="G5894" s="210"/>
      <c r="H5894" s="210"/>
    </row>
    <row r="5895" spans="3:8" x14ac:dyDescent="0.25">
      <c r="C5895" s="210"/>
      <c r="D5895" s="210"/>
      <c r="E5895" s="210"/>
      <c r="F5895" s="210"/>
      <c r="G5895" s="210"/>
      <c r="H5895" s="210"/>
    </row>
    <row r="5896" spans="3:8" x14ac:dyDescent="0.25">
      <c r="C5896" s="210"/>
      <c r="D5896" s="210"/>
      <c r="E5896" s="210"/>
      <c r="F5896" s="210"/>
      <c r="G5896" s="210"/>
      <c r="H5896" s="210"/>
    </row>
    <row r="5897" spans="3:8" x14ac:dyDescent="0.25">
      <c r="C5897" s="210"/>
      <c r="D5897" s="210"/>
      <c r="E5897" s="210"/>
      <c r="F5897" s="210"/>
      <c r="G5897" s="210"/>
      <c r="H5897" s="210"/>
    </row>
    <row r="5898" spans="3:8" x14ac:dyDescent="0.25">
      <c r="C5898" s="210"/>
      <c r="D5898" s="210"/>
      <c r="E5898" s="210"/>
      <c r="F5898" s="210"/>
      <c r="G5898" s="210"/>
      <c r="H5898" s="210"/>
    </row>
    <row r="5899" spans="3:8" x14ac:dyDescent="0.25">
      <c r="C5899" s="210"/>
      <c r="D5899" s="210"/>
      <c r="E5899" s="210"/>
      <c r="F5899" s="210"/>
      <c r="G5899" s="210"/>
      <c r="H5899" s="210"/>
    </row>
    <row r="5900" spans="3:8" x14ac:dyDescent="0.25">
      <c r="C5900" s="210"/>
      <c r="D5900" s="210"/>
      <c r="E5900" s="210"/>
      <c r="F5900" s="210"/>
      <c r="G5900" s="210"/>
      <c r="H5900" s="210"/>
    </row>
    <row r="5901" spans="3:8" x14ac:dyDescent="0.25">
      <c r="C5901" s="210"/>
      <c r="D5901" s="210"/>
      <c r="E5901" s="210"/>
      <c r="F5901" s="210"/>
      <c r="G5901" s="210"/>
      <c r="H5901" s="210"/>
    </row>
    <row r="5902" spans="3:8" x14ac:dyDescent="0.25">
      <c r="C5902" s="210"/>
      <c r="D5902" s="210"/>
      <c r="E5902" s="210"/>
      <c r="F5902" s="210"/>
      <c r="G5902" s="210"/>
      <c r="H5902" s="210"/>
    </row>
    <row r="5903" spans="3:8" x14ac:dyDescent="0.25">
      <c r="C5903" s="210"/>
      <c r="D5903" s="210"/>
      <c r="E5903" s="210"/>
      <c r="F5903" s="210"/>
      <c r="G5903" s="210"/>
      <c r="H5903" s="210"/>
    </row>
    <row r="5904" spans="3:8" x14ac:dyDescent="0.25">
      <c r="C5904" s="210"/>
      <c r="D5904" s="210"/>
      <c r="E5904" s="210"/>
      <c r="F5904" s="210"/>
      <c r="G5904" s="210"/>
      <c r="H5904" s="210"/>
    </row>
    <row r="5905" spans="3:8" x14ac:dyDescent="0.25">
      <c r="C5905" s="210"/>
      <c r="D5905" s="210"/>
      <c r="E5905" s="210"/>
      <c r="F5905" s="210"/>
      <c r="G5905" s="210"/>
      <c r="H5905" s="210"/>
    </row>
    <row r="5906" spans="3:8" x14ac:dyDescent="0.25">
      <c r="C5906" s="210"/>
      <c r="D5906" s="210"/>
      <c r="E5906" s="210"/>
      <c r="F5906" s="210"/>
      <c r="G5906" s="210"/>
      <c r="H5906" s="210"/>
    </row>
    <row r="5907" spans="3:8" x14ac:dyDescent="0.25">
      <c r="C5907" s="210"/>
      <c r="D5907" s="210"/>
      <c r="E5907" s="210"/>
      <c r="F5907" s="210"/>
      <c r="G5907" s="210"/>
      <c r="H5907" s="210"/>
    </row>
    <row r="5908" spans="3:8" x14ac:dyDescent="0.25">
      <c r="C5908" s="210"/>
      <c r="D5908" s="210"/>
      <c r="E5908" s="210"/>
      <c r="F5908" s="210"/>
      <c r="G5908" s="210"/>
      <c r="H5908" s="210"/>
    </row>
    <row r="5909" spans="3:8" x14ac:dyDescent="0.25">
      <c r="C5909" s="210"/>
      <c r="D5909" s="210"/>
      <c r="E5909" s="210"/>
      <c r="F5909" s="210"/>
      <c r="G5909" s="210"/>
      <c r="H5909" s="210"/>
    </row>
    <row r="5910" spans="3:8" x14ac:dyDescent="0.25">
      <c r="C5910" s="210"/>
      <c r="D5910" s="210"/>
      <c r="E5910" s="210"/>
      <c r="F5910" s="210"/>
      <c r="G5910" s="210"/>
      <c r="H5910" s="210"/>
    </row>
    <row r="5911" spans="3:8" x14ac:dyDescent="0.25">
      <c r="C5911" s="210"/>
      <c r="D5911" s="210"/>
      <c r="E5911" s="210"/>
      <c r="F5911" s="210"/>
      <c r="G5911" s="210"/>
      <c r="H5911" s="210"/>
    </row>
    <row r="5912" spans="3:8" x14ac:dyDescent="0.25">
      <c r="C5912" s="210"/>
      <c r="D5912" s="210"/>
      <c r="E5912" s="210"/>
      <c r="F5912" s="210"/>
      <c r="G5912" s="210"/>
      <c r="H5912" s="210"/>
    </row>
    <row r="5913" spans="3:8" x14ac:dyDescent="0.25">
      <c r="C5913" s="210"/>
      <c r="D5913" s="210"/>
      <c r="E5913" s="210"/>
      <c r="F5913" s="210"/>
      <c r="G5913" s="210"/>
      <c r="H5913" s="210"/>
    </row>
    <row r="5914" spans="3:8" x14ac:dyDescent="0.25">
      <c r="C5914" s="210"/>
      <c r="D5914" s="210"/>
      <c r="E5914" s="210"/>
      <c r="F5914" s="210"/>
      <c r="G5914" s="210"/>
      <c r="H5914" s="210"/>
    </row>
    <row r="5915" spans="3:8" x14ac:dyDescent="0.25">
      <c r="C5915" s="210"/>
      <c r="D5915" s="210"/>
      <c r="E5915" s="210"/>
      <c r="F5915" s="210"/>
      <c r="G5915" s="210"/>
      <c r="H5915" s="210"/>
    </row>
    <row r="5916" spans="3:8" x14ac:dyDescent="0.25">
      <c r="C5916" s="210"/>
      <c r="D5916" s="210"/>
      <c r="E5916" s="210"/>
      <c r="F5916" s="210"/>
      <c r="G5916" s="210"/>
      <c r="H5916" s="210"/>
    </row>
    <row r="5917" spans="3:8" x14ac:dyDescent="0.25">
      <c r="C5917" s="210"/>
      <c r="D5917" s="210"/>
      <c r="E5917" s="210"/>
      <c r="F5917" s="210"/>
      <c r="G5917" s="210"/>
      <c r="H5917" s="210"/>
    </row>
    <row r="5918" spans="3:8" x14ac:dyDescent="0.25">
      <c r="C5918" s="210"/>
      <c r="D5918" s="210"/>
      <c r="E5918" s="210"/>
      <c r="F5918" s="210"/>
      <c r="G5918" s="210"/>
      <c r="H5918" s="210"/>
    </row>
    <row r="5919" spans="3:8" x14ac:dyDescent="0.25">
      <c r="C5919" s="210"/>
      <c r="D5919" s="210"/>
      <c r="E5919" s="210"/>
      <c r="F5919" s="210"/>
      <c r="G5919" s="210"/>
      <c r="H5919" s="210"/>
    </row>
    <row r="5920" spans="3:8" x14ac:dyDescent="0.25">
      <c r="C5920" s="210"/>
      <c r="D5920" s="210"/>
      <c r="E5920" s="210"/>
      <c r="F5920" s="210"/>
      <c r="G5920" s="210"/>
      <c r="H5920" s="210"/>
    </row>
    <row r="5921" spans="3:8" x14ac:dyDescent="0.25">
      <c r="C5921" s="210"/>
      <c r="D5921" s="210"/>
      <c r="E5921" s="210"/>
      <c r="F5921" s="210"/>
      <c r="G5921" s="210"/>
      <c r="H5921" s="210"/>
    </row>
    <row r="5922" spans="3:8" x14ac:dyDescent="0.25">
      <c r="C5922" s="210"/>
      <c r="D5922" s="210"/>
      <c r="E5922" s="210"/>
      <c r="F5922" s="210"/>
      <c r="G5922" s="210"/>
      <c r="H5922" s="210"/>
    </row>
    <row r="5923" spans="3:8" x14ac:dyDescent="0.25">
      <c r="C5923" s="210"/>
      <c r="D5923" s="210"/>
      <c r="E5923" s="210"/>
      <c r="F5923" s="210"/>
      <c r="G5923" s="210"/>
      <c r="H5923" s="210"/>
    </row>
    <row r="5924" spans="3:8" x14ac:dyDescent="0.25">
      <c r="C5924" s="210"/>
      <c r="D5924" s="210"/>
      <c r="E5924" s="210"/>
      <c r="F5924" s="210"/>
      <c r="G5924" s="210"/>
      <c r="H5924" s="210"/>
    </row>
    <row r="5925" spans="3:8" x14ac:dyDescent="0.25">
      <c r="C5925" s="210"/>
      <c r="D5925" s="210"/>
      <c r="E5925" s="210"/>
      <c r="F5925" s="210"/>
      <c r="G5925" s="210"/>
      <c r="H5925" s="210"/>
    </row>
    <row r="5926" spans="3:8" x14ac:dyDescent="0.25">
      <c r="C5926" s="210"/>
      <c r="D5926" s="210"/>
      <c r="E5926" s="210"/>
      <c r="F5926" s="210"/>
      <c r="G5926" s="210"/>
      <c r="H5926" s="210"/>
    </row>
    <row r="5927" spans="3:8" x14ac:dyDescent="0.25">
      <c r="C5927" s="210"/>
      <c r="D5927" s="210"/>
      <c r="E5927" s="210"/>
      <c r="F5927" s="210"/>
      <c r="G5927" s="210"/>
      <c r="H5927" s="210"/>
    </row>
    <row r="5928" spans="3:8" x14ac:dyDescent="0.25">
      <c r="C5928" s="210"/>
      <c r="D5928" s="210"/>
      <c r="E5928" s="210"/>
      <c r="F5928" s="210"/>
      <c r="G5928" s="210"/>
      <c r="H5928" s="210"/>
    </row>
    <row r="5929" spans="3:8" x14ac:dyDescent="0.25">
      <c r="C5929" s="210"/>
      <c r="D5929" s="210"/>
      <c r="E5929" s="210"/>
      <c r="F5929" s="210"/>
      <c r="G5929" s="210"/>
      <c r="H5929" s="210"/>
    </row>
    <row r="5930" spans="3:8" x14ac:dyDescent="0.25">
      <c r="C5930" s="210"/>
      <c r="D5930" s="210"/>
      <c r="E5930" s="210"/>
      <c r="F5930" s="210"/>
      <c r="G5930" s="210"/>
      <c r="H5930" s="210"/>
    </row>
    <row r="5931" spans="3:8" x14ac:dyDescent="0.25">
      <c r="C5931" s="210"/>
      <c r="D5931" s="210"/>
      <c r="E5931" s="210"/>
      <c r="F5931" s="210"/>
      <c r="G5931" s="210"/>
      <c r="H5931" s="210"/>
    </row>
    <row r="5932" spans="3:8" x14ac:dyDescent="0.25">
      <c r="C5932" s="210"/>
      <c r="D5932" s="210"/>
      <c r="E5932" s="210"/>
      <c r="F5932" s="210"/>
      <c r="G5932" s="210"/>
      <c r="H5932" s="210"/>
    </row>
    <row r="5933" spans="3:8" x14ac:dyDescent="0.25">
      <c r="C5933" s="210"/>
      <c r="D5933" s="210"/>
      <c r="E5933" s="210"/>
      <c r="F5933" s="210"/>
      <c r="G5933" s="210"/>
      <c r="H5933" s="210"/>
    </row>
    <row r="5934" spans="3:8" x14ac:dyDescent="0.25">
      <c r="C5934" s="210"/>
      <c r="D5934" s="210"/>
      <c r="E5934" s="210"/>
      <c r="F5934" s="210"/>
      <c r="G5934" s="210"/>
      <c r="H5934" s="210"/>
    </row>
    <row r="5935" spans="3:8" x14ac:dyDescent="0.25">
      <c r="C5935" s="210"/>
      <c r="D5935" s="210"/>
      <c r="E5935" s="210"/>
      <c r="F5935" s="210"/>
      <c r="G5935" s="210"/>
      <c r="H5935" s="210"/>
    </row>
    <row r="5936" spans="3:8" x14ac:dyDescent="0.25">
      <c r="C5936" s="210"/>
      <c r="D5936" s="210"/>
      <c r="E5936" s="210"/>
      <c r="F5936" s="210"/>
      <c r="G5936" s="210"/>
      <c r="H5936" s="210"/>
    </row>
    <row r="5937" spans="3:8" x14ac:dyDescent="0.25">
      <c r="C5937" s="210"/>
      <c r="D5937" s="210"/>
      <c r="E5937" s="210"/>
      <c r="F5937" s="210"/>
      <c r="G5937" s="210"/>
      <c r="H5937" s="210"/>
    </row>
    <row r="5938" spans="3:8" x14ac:dyDescent="0.25">
      <c r="C5938" s="210"/>
      <c r="D5938" s="210"/>
      <c r="E5938" s="210"/>
      <c r="F5938" s="210"/>
      <c r="G5938" s="210"/>
      <c r="H5938" s="210"/>
    </row>
    <row r="5939" spans="3:8" x14ac:dyDescent="0.25">
      <c r="C5939" s="210"/>
      <c r="D5939" s="210"/>
      <c r="E5939" s="210"/>
      <c r="F5939" s="210"/>
      <c r="G5939" s="210"/>
      <c r="H5939" s="210"/>
    </row>
    <row r="5940" spans="3:8" x14ac:dyDescent="0.25">
      <c r="C5940" s="210"/>
      <c r="D5940" s="210"/>
      <c r="E5940" s="210"/>
      <c r="F5940" s="210"/>
      <c r="G5940" s="210"/>
      <c r="H5940" s="210"/>
    </row>
    <row r="5941" spans="3:8" x14ac:dyDescent="0.25">
      <c r="C5941" s="210"/>
      <c r="D5941" s="210"/>
      <c r="E5941" s="210"/>
      <c r="F5941" s="210"/>
      <c r="G5941" s="210"/>
      <c r="H5941" s="210"/>
    </row>
    <row r="5942" spans="3:8" x14ac:dyDescent="0.25">
      <c r="C5942" s="210"/>
      <c r="D5942" s="210"/>
      <c r="E5942" s="210"/>
      <c r="F5942" s="210"/>
      <c r="G5942" s="210"/>
      <c r="H5942" s="210"/>
    </row>
    <row r="5943" spans="3:8" x14ac:dyDescent="0.25">
      <c r="C5943" s="210"/>
      <c r="D5943" s="210"/>
      <c r="E5943" s="210"/>
      <c r="F5943" s="210"/>
      <c r="G5943" s="210"/>
      <c r="H5943" s="210"/>
    </row>
    <row r="5944" spans="3:8" x14ac:dyDescent="0.25">
      <c r="C5944" s="210"/>
      <c r="D5944" s="210"/>
      <c r="E5944" s="210"/>
      <c r="F5944" s="210"/>
      <c r="G5944" s="210"/>
      <c r="H5944" s="210"/>
    </row>
    <row r="5945" spans="3:8" x14ac:dyDescent="0.25">
      <c r="C5945" s="210"/>
      <c r="D5945" s="210"/>
      <c r="E5945" s="210"/>
      <c r="F5945" s="210"/>
      <c r="G5945" s="210"/>
      <c r="H5945" s="210"/>
    </row>
    <row r="5946" spans="3:8" x14ac:dyDescent="0.25">
      <c r="C5946" s="210"/>
      <c r="D5946" s="210"/>
      <c r="E5946" s="210"/>
      <c r="F5946" s="210"/>
      <c r="G5946" s="210"/>
      <c r="H5946" s="210"/>
    </row>
    <row r="5947" spans="3:8" x14ac:dyDescent="0.25">
      <c r="C5947" s="210"/>
      <c r="D5947" s="210"/>
      <c r="E5947" s="210"/>
      <c r="F5947" s="210"/>
      <c r="G5947" s="210"/>
      <c r="H5947" s="210"/>
    </row>
    <row r="5948" spans="3:8" x14ac:dyDescent="0.25">
      <c r="C5948" s="210"/>
      <c r="D5948" s="210"/>
      <c r="E5948" s="210"/>
      <c r="F5948" s="210"/>
      <c r="G5948" s="210"/>
      <c r="H5948" s="210"/>
    </row>
    <row r="5949" spans="3:8" x14ac:dyDescent="0.25">
      <c r="C5949" s="210"/>
      <c r="D5949" s="210"/>
      <c r="E5949" s="210"/>
      <c r="F5949" s="210"/>
      <c r="G5949" s="210"/>
      <c r="H5949" s="210"/>
    </row>
    <row r="5950" spans="3:8" x14ac:dyDescent="0.25">
      <c r="C5950" s="210"/>
      <c r="D5950" s="210"/>
      <c r="E5950" s="210"/>
      <c r="F5950" s="210"/>
      <c r="G5950" s="210"/>
      <c r="H5950" s="210"/>
    </row>
    <row r="5951" spans="3:8" x14ac:dyDescent="0.25">
      <c r="C5951" s="210"/>
      <c r="D5951" s="210"/>
      <c r="E5951" s="210"/>
      <c r="F5951" s="210"/>
      <c r="G5951" s="210"/>
      <c r="H5951" s="210"/>
    </row>
    <row r="5952" spans="3:8" x14ac:dyDescent="0.25">
      <c r="C5952" s="210"/>
      <c r="D5952" s="210"/>
      <c r="E5952" s="210"/>
      <c r="F5952" s="210"/>
      <c r="G5952" s="210"/>
      <c r="H5952" s="210"/>
    </row>
    <row r="5953" spans="3:8" x14ac:dyDescent="0.25">
      <c r="C5953" s="210"/>
      <c r="D5953" s="210"/>
      <c r="E5953" s="210"/>
      <c r="F5953" s="210"/>
      <c r="G5953" s="210"/>
      <c r="H5953" s="210"/>
    </row>
    <row r="5954" spans="3:8" x14ac:dyDescent="0.25">
      <c r="C5954" s="210"/>
      <c r="D5954" s="210"/>
      <c r="E5954" s="210"/>
      <c r="F5954" s="210"/>
      <c r="G5954" s="210"/>
      <c r="H5954" s="210"/>
    </row>
    <row r="5955" spans="3:8" x14ac:dyDescent="0.25">
      <c r="C5955" s="210"/>
      <c r="D5955" s="210"/>
      <c r="E5955" s="210"/>
      <c r="F5955" s="210"/>
      <c r="G5955" s="210"/>
      <c r="H5955" s="210"/>
    </row>
    <row r="5956" spans="3:8" x14ac:dyDescent="0.25">
      <c r="C5956" s="210"/>
      <c r="D5956" s="210"/>
      <c r="E5956" s="210"/>
      <c r="F5956" s="210"/>
      <c r="G5956" s="210"/>
      <c r="H5956" s="210"/>
    </row>
    <row r="5957" spans="3:8" x14ac:dyDescent="0.25">
      <c r="C5957" s="210"/>
      <c r="D5957" s="210"/>
      <c r="E5957" s="210"/>
      <c r="F5957" s="210"/>
      <c r="G5957" s="210"/>
      <c r="H5957" s="210"/>
    </row>
    <row r="5958" spans="3:8" x14ac:dyDescent="0.25">
      <c r="C5958" s="210"/>
      <c r="D5958" s="210"/>
      <c r="E5958" s="210"/>
      <c r="F5958" s="210"/>
      <c r="G5958" s="210"/>
      <c r="H5958" s="210"/>
    </row>
    <row r="5959" spans="3:8" x14ac:dyDescent="0.25">
      <c r="C5959" s="210"/>
      <c r="D5959" s="210"/>
      <c r="E5959" s="210"/>
      <c r="F5959" s="210"/>
      <c r="G5959" s="210"/>
      <c r="H5959" s="210"/>
    </row>
    <row r="5960" spans="3:8" x14ac:dyDescent="0.25">
      <c r="C5960" s="210"/>
      <c r="D5960" s="210"/>
      <c r="E5960" s="210"/>
      <c r="F5960" s="210"/>
      <c r="G5960" s="210"/>
      <c r="H5960" s="210"/>
    </row>
    <row r="5961" spans="3:8" x14ac:dyDescent="0.25">
      <c r="C5961" s="210"/>
      <c r="D5961" s="210"/>
      <c r="E5961" s="210"/>
      <c r="F5961" s="210"/>
      <c r="G5961" s="210"/>
      <c r="H5961" s="210"/>
    </row>
    <row r="5962" spans="3:8" x14ac:dyDescent="0.25">
      <c r="C5962" s="210"/>
      <c r="D5962" s="210"/>
      <c r="E5962" s="210"/>
      <c r="F5962" s="210"/>
      <c r="G5962" s="210"/>
      <c r="H5962" s="210"/>
    </row>
    <row r="5963" spans="3:8" x14ac:dyDescent="0.25">
      <c r="C5963" s="210"/>
      <c r="D5963" s="210"/>
      <c r="E5963" s="210"/>
      <c r="F5963" s="210"/>
      <c r="G5963" s="210"/>
      <c r="H5963" s="210"/>
    </row>
    <row r="5964" spans="3:8" x14ac:dyDescent="0.25">
      <c r="C5964" s="210"/>
      <c r="D5964" s="210"/>
      <c r="E5964" s="210"/>
      <c r="F5964" s="210"/>
      <c r="G5964" s="210"/>
      <c r="H5964" s="210"/>
    </row>
    <row r="5965" spans="3:8" x14ac:dyDescent="0.25">
      <c r="C5965" s="210"/>
      <c r="D5965" s="210"/>
      <c r="E5965" s="210"/>
      <c r="F5965" s="210"/>
      <c r="G5965" s="210"/>
      <c r="H5965" s="210"/>
    </row>
    <row r="5966" spans="3:8" x14ac:dyDescent="0.25">
      <c r="C5966" s="210"/>
      <c r="D5966" s="210"/>
      <c r="E5966" s="210"/>
      <c r="F5966" s="210"/>
      <c r="G5966" s="210"/>
      <c r="H5966" s="210"/>
    </row>
    <row r="5967" spans="3:8" x14ac:dyDescent="0.25">
      <c r="C5967" s="210"/>
      <c r="D5967" s="210"/>
      <c r="E5967" s="210"/>
      <c r="F5967" s="210"/>
      <c r="G5967" s="210"/>
      <c r="H5967" s="210"/>
    </row>
    <row r="5968" spans="3:8" x14ac:dyDescent="0.25">
      <c r="C5968" s="210"/>
      <c r="D5968" s="210"/>
      <c r="E5968" s="210"/>
      <c r="F5968" s="210"/>
      <c r="G5968" s="210"/>
      <c r="H5968" s="210"/>
    </row>
    <row r="5969" spans="3:8" x14ac:dyDescent="0.25">
      <c r="C5969" s="210"/>
      <c r="D5969" s="210"/>
      <c r="E5969" s="210"/>
      <c r="F5969" s="210"/>
      <c r="G5969" s="210"/>
      <c r="H5969" s="210"/>
    </row>
    <row r="5970" spans="3:8" x14ac:dyDescent="0.25">
      <c r="C5970" s="210"/>
      <c r="D5970" s="210"/>
      <c r="E5970" s="210"/>
      <c r="F5970" s="210"/>
      <c r="G5970" s="210"/>
      <c r="H5970" s="210"/>
    </row>
    <row r="5971" spans="3:8" x14ac:dyDescent="0.25">
      <c r="C5971" s="210"/>
      <c r="D5971" s="210"/>
      <c r="E5971" s="210"/>
      <c r="F5971" s="210"/>
      <c r="G5971" s="210"/>
      <c r="H5971" s="210"/>
    </row>
    <row r="5972" spans="3:8" x14ac:dyDescent="0.25">
      <c r="C5972" s="210"/>
      <c r="D5972" s="210"/>
      <c r="E5972" s="210"/>
      <c r="F5972" s="210"/>
      <c r="G5972" s="210"/>
      <c r="H5972" s="210"/>
    </row>
    <row r="5973" spans="3:8" x14ac:dyDescent="0.25">
      <c r="C5973" s="210"/>
      <c r="D5973" s="210"/>
      <c r="E5973" s="210"/>
      <c r="F5973" s="210"/>
      <c r="G5973" s="210"/>
      <c r="H5973" s="210"/>
    </row>
    <row r="5974" spans="3:8" x14ac:dyDescent="0.25">
      <c r="C5974" s="210"/>
      <c r="D5974" s="210"/>
      <c r="E5974" s="210"/>
      <c r="F5974" s="210"/>
      <c r="G5974" s="210"/>
      <c r="H5974" s="210"/>
    </row>
    <row r="5975" spans="3:8" x14ac:dyDescent="0.25">
      <c r="C5975" s="210"/>
      <c r="D5975" s="210"/>
      <c r="E5975" s="210"/>
      <c r="F5975" s="210"/>
      <c r="G5975" s="210"/>
      <c r="H5975" s="210"/>
    </row>
    <row r="5976" spans="3:8" x14ac:dyDescent="0.25">
      <c r="C5976" s="210"/>
      <c r="D5976" s="210"/>
      <c r="E5976" s="210"/>
      <c r="F5976" s="210"/>
      <c r="G5976" s="210"/>
      <c r="H5976" s="210"/>
    </row>
    <row r="5977" spans="3:8" x14ac:dyDescent="0.25">
      <c r="C5977" s="210"/>
      <c r="D5977" s="210"/>
      <c r="E5977" s="210"/>
      <c r="F5977" s="210"/>
      <c r="G5977" s="210"/>
      <c r="H5977" s="210"/>
    </row>
    <row r="5978" spans="3:8" x14ac:dyDescent="0.25">
      <c r="C5978" s="210"/>
      <c r="D5978" s="210"/>
      <c r="E5978" s="210"/>
      <c r="F5978" s="210"/>
      <c r="G5978" s="210"/>
      <c r="H5978" s="210"/>
    </row>
    <row r="5979" spans="3:8" x14ac:dyDescent="0.25">
      <c r="C5979" s="210"/>
      <c r="D5979" s="210"/>
      <c r="E5979" s="210"/>
      <c r="F5979" s="210"/>
      <c r="G5979" s="210"/>
      <c r="H5979" s="210"/>
    </row>
    <row r="5980" spans="3:8" x14ac:dyDescent="0.25">
      <c r="C5980" s="210"/>
      <c r="D5980" s="210"/>
      <c r="E5980" s="210"/>
      <c r="F5980" s="210"/>
      <c r="G5980" s="210"/>
      <c r="H5980" s="210"/>
    </row>
    <row r="5981" spans="3:8" x14ac:dyDescent="0.25">
      <c r="C5981" s="210"/>
      <c r="D5981" s="210"/>
      <c r="E5981" s="210"/>
      <c r="F5981" s="210"/>
      <c r="G5981" s="210"/>
      <c r="H5981" s="210"/>
    </row>
    <row r="5982" spans="3:8" x14ac:dyDescent="0.25">
      <c r="C5982" s="210"/>
      <c r="D5982" s="210"/>
      <c r="E5982" s="210"/>
      <c r="F5982" s="210"/>
      <c r="G5982" s="210"/>
      <c r="H5982" s="210"/>
    </row>
    <row r="5983" spans="3:8" x14ac:dyDescent="0.25">
      <c r="C5983" s="210"/>
      <c r="D5983" s="210"/>
      <c r="E5983" s="210"/>
      <c r="F5983" s="210"/>
      <c r="G5983" s="210"/>
      <c r="H5983" s="210"/>
    </row>
    <row r="5984" spans="3:8" x14ac:dyDescent="0.25">
      <c r="C5984" s="210"/>
      <c r="D5984" s="210"/>
      <c r="E5984" s="210"/>
      <c r="F5984" s="210"/>
      <c r="G5984" s="210"/>
      <c r="H5984" s="210"/>
    </row>
    <row r="5985" spans="3:8" x14ac:dyDescent="0.25">
      <c r="C5985" s="210"/>
      <c r="D5985" s="210"/>
      <c r="E5985" s="210"/>
      <c r="F5985" s="210"/>
      <c r="G5985" s="210"/>
      <c r="H5985" s="210"/>
    </row>
    <row r="5986" spans="3:8" x14ac:dyDescent="0.25">
      <c r="C5986" s="210"/>
      <c r="D5986" s="210"/>
      <c r="E5986" s="210"/>
      <c r="F5986" s="210"/>
      <c r="G5986" s="210"/>
      <c r="H5986" s="210"/>
    </row>
    <row r="5987" spans="3:8" x14ac:dyDescent="0.25">
      <c r="C5987" s="210"/>
      <c r="D5987" s="210"/>
      <c r="E5987" s="210"/>
      <c r="F5987" s="210"/>
      <c r="G5987" s="210"/>
      <c r="H5987" s="210"/>
    </row>
    <row r="5988" spans="3:8" x14ac:dyDescent="0.25">
      <c r="C5988" s="210"/>
      <c r="D5988" s="210"/>
      <c r="E5988" s="210"/>
      <c r="F5988" s="210"/>
      <c r="G5988" s="210"/>
      <c r="H5988" s="210"/>
    </row>
    <row r="5989" spans="3:8" x14ac:dyDescent="0.25">
      <c r="C5989" s="210"/>
      <c r="D5989" s="210"/>
      <c r="E5989" s="210"/>
      <c r="F5989" s="210"/>
      <c r="G5989" s="210"/>
      <c r="H5989" s="210"/>
    </row>
    <row r="5990" spans="3:8" x14ac:dyDescent="0.25">
      <c r="C5990" s="210"/>
      <c r="D5990" s="210"/>
      <c r="E5990" s="210"/>
      <c r="F5990" s="210"/>
      <c r="G5990" s="210"/>
      <c r="H5990" s="210"/>
    </row>
    <row r="5991" spans="3:8" x14ac:dyDescent="0.25">
      <c r="C5991" s="210"/>
      <c r="D5991" s="210"/>
      <c r="E5991" s="210"/>
      <c r="F5991" s="210"/>
      <c r="G5991" s="210"/>
      <c r="H5991" s="210"/>
    </row>
    <row r="5992" spans="3:8" x14ac:dyDescent="0.25">
      <c r="C5992" s="210"/>
      <c r="D5992" s="210"/>
      <c r="E5992" s="210"/>
      <c r="F5992" s="210"/>
      <c r="G5992" s="210"/>
      <c r="H5992" s="210"/>
    </row>
    <row r="5993" spans="3:8" x14ac:dyDescent="0.25">
      <c r="C5993" s="210"/>
      <c r="D5993" s="210"/>
      <c r="E5993" s="210"/>
      <c r="F5993" s="210"/>
      <c r="G5993" s="210"/>
      <c r="H5993" s="210"/>
    </row>
    <row r="5994" spans="3:8" x14ac:dyDescent="0.25">
      <c r="C5994" s="210"/>
      <c r="D5994" s="210"/>
      <c r="E5994" s="210"/>
      <c r="F5994" s="210"/>
      <c r="G5994" s="210"/>
      <c r="H5994" s="210"/>
    </row>
    <row r="5995" spans="3:8" x14ac:dyDescent="0.25">
      <c r="C5995" s="210"/>
      <c r="D5995" s="210"/>
      <c r="E5995" s="210"/>
      <c r="F5995" s="210"/>
      <c r="G5995" s="210"/>
      <c r="H5995" s="210"/>
    </row>
    <row r="5996" spans="3:8" x14ac:dyDescent="0.25">
      <c r="C5996" s="210"/>
      <c r="D5996" s="210"/>
      <c r="E5996" s="210"/>
      <c r="F5996" s="210"/>
      <c r="G5996" s="210"/>
      <c r="H5996" s="210"/>
    </row>
    <row r="5997" spans="3:8" x14ac:dyDescent="0.25">
      <c r="C5997" s="210"/>
      <c r="D5997" s="210"/>
      <c r="E5997" s="210"/>
      <c r="F5997" s="210"/>
      <c r="G5997" s="210"/>
      <c r="H5997" s="210"/>
    </row>
    <row r="5998" spans="3:8" x14ac:dyDescent="0.25">
      <c r="C5998" s="210"/>
      <c r="D5998" s="210"/>
      <c r="E5998" s="210"/>
      <c r="F5998" s="210"/>
      <c r="G5998" s="210"/>
      <c r="H5998" s="210"/>
    </row>
    <row r="5999" spans="3:8" x14ac:dyDescent="0.25">
      <c r="C5999" s="210"/>
      <c r="D5999" s="210"/>
      <c r="E5999" s="210"/>
      <c r="F5999" s="210"/>
      <c r="G5999" s="210"/>
      <c r="H5999" s="210"/>
    </row>
    <row r="6000" spans="3:8" x14ac:dyDescent="0.25">
      <c r="C6000" s="210"/>
      <c r="D6000" s="210"/>
      <c r="E6000" s="210"/>
      <c r="F6000" s="210"/>
      <c r="G6000" s="210"/>
      <c r="H6000" s="210"/>
    </row>
    <row r="6001" spans="3:8" x14ac:dyDescent="0.25">
      <c r="C6001" s="210"/>
      <c r="D6001" s="210"/>
      <c r="E6001" s="210"/>
      <c r="F6001" s="210"/>
      <c r="G6001" s="210"/>
      <c r="H6001" s="210"/>
    </row>
    <row r="6002" spans="3:8" x14ac:dyDescent="0.25">
      <c r="C6002" s="210"/>
      <c r="D6002" s="210"/>
      <c r="E6002" s="210"/>
      <c r="F6002" s="210"/>
      <c r="G6002" s="210"/>
      <c r="H6002" s="210"/>
    </row>
    <row r="6003" spans="3:8" x14ac:dyDescent="0.25">
      <c r="C6003" s="210"/>
      <c r="D6003" s="210"/>
      <c r="E6003" s="210"/>
      <c r="F6003" s="210"/>
      <c r="G6003" s="210"/>
      <c r="H6003" s="210"/>
    </row>
    <row r="6004" spans="3:8" x14ac:dyDescent="0.25">
      <c r="C6004" s="210"/>
      <c r="D6004" s="210"/>
      <c r="E6004" s="210"/>
      <c r="F6004" s="210"/>
      <c r="G6004" s="210"/>
      <c r="H6004" s="210"/>
    </row>
    <row r="6005" spans="3:8" x14ac:dyDescent="0.25">
      <c r="C6005" s="210"/>
      <c r="D6005" s="210"/>
      <c r="E6005" s="210"/>
      <c r="F6005" s="210"/>
      <c r="G6005" s="210"/>
      <c r="H6005" s="210"/>
    </row>
    <row r="6006" spans="3:8" x14ac:dyDescent="0.25">
      <c r="C6006" s="210"/>
      <c r="D6006" s="210"/>
      <c r="E6006" s="210"/>
      <c r="F6006" s="210"/>
      <c r="G6006" s="210"/>
      <c r="H6006" s="210"/>
    </row>
    <row r="6007" spans="3:8" x14ac:dyDescent="0.25">
      <c r="C6007" s="210"/>
      <c r="D6007" s="210"/>
      <c r="E6007" s="210"/>
      <c r="F6007" s="210"/>
      <c r="G6007" s="210"/>
      <c r="H6007" s="210"/>
    </row>
    <row r="6008" spans="3:8" x14ac:dyDescent="0.25">
      <c r="C6008" s="210"/>
      <c r="D6008" s="210"/>
      <c r="E6008" s="210"/>
      <c r="F6008" s="210"/>
      <c r="G6008" s="210"/>
      <c r="H6008" s="210"/>
    </row>
    <row r="6009" spans="3:8" x14ac:dyDescent="0.25">
      <c r="C6009" s="210"/>
      <c r="D6009" s="210"/>
      <c r="E6009" s="210"/>
      <c r="F6009" s="210"/>
      <c r="G6009" s="210"/>
      <c r="H6009" s="210"/>
    </row>
    <row r="6010" spans="3:8" x14ac:dyDescent="0.25">
      <c r="C6010" s="210"/>
      <c r="D6010" s="210"/>
      <c r="E6010" s="210"/>
      <c r="F6010" s="210"/>
      <c r="G6010" s="210"/>
      <c r="H6010" s="210"/>
    </row>
    <row r="6011" spans="3:8" x14ac:dyDescent="0.25">
      <c r="C6011" s="210"/>
      <c r="D6011" s="210"/>
      <c r="E6011" s="210"/>
      <c r="F6011" s="210"/>
      <c r="G6011" s="210"/>
      <c r="H6011" s="210"/>
    </row>
    <row r="6012" spans="3:8" x14ac:dyDescent="0.25">
      <c r="C6012" s="210"/>
      <c r="D6012" s="210"/>
      <c r="E6012" s="210"/>
      <c r="F6012" s="210"/>
      <c r="G6012" s="210"/>
      <c r="H6012" s="210"/>
    </row>
    <row r="6013" spans="3:8" x14ac:dyDescent="0.25">
      <c r="C6013" s="210"/>
      <c r="D6013" s="210"/>
      <c r="E6013" s="210"/>
      <c r="F6013" s="210"/>
      <c r="G6013" s="210"/>
      <c r="H6013" s="210"/>
    </row>
    <row r="6014" spans="3:8" x14ac:dyDescent="0.25">
      <c r="C6014" s="210"/>
      <c r="D6014" s="210"/>
      <c r="E6014" s="210"/>
      <c r="F6014" s="210"/>
      <c r="G6014" s="210"/>
      <c r="H6014" s="210"/>
    </row>
    <row r="6015" spans="3:8" x14ac:dyDescent="0.25">
      <c r="C6015" s="210"/>
      <c r="D6015" s="210"/>
      <c r="E6015" s="210"/>
      <c r="F6015" s="210"/>
      <c r="G6015" s="210"/>
      <c r="H6015" s="210"/>
    </row>
    <row r="6016" spans="3:8" x14ac:dyDescent="0.25">
      <c r="C6016" s="210"/>
      <c r="D6016" s="210"/>
      <c r="E6016" s="210"/>
      <c r="F6016" s="210"/>
      <c r="G6016" s="210"/>
      <c r="H6016" s="210"/>
    </row>
    <row r="6017" spans="3:8" x14ac:dyDescent="0.25">
      <c r="C6017" s="210"/>
      <c r="D6017" s="210"/>
      <c r="E6017" s="210"/>
      <c r="F6017" s="210"/>
      <c r="G6017" s="210"/>
      <c r="H6017" s="210"/>
    </row>
    <row r="6018" spans="3:8" x14ac:dyDescent="0.25">
      <c r="C6018" s="210"/>
      <c r="D6018" s="210"/>
      <c r="E6018" s="210"/>
      <c r="F6018" s="210"/>
      <c r="G6018" s="210"/>
      <c r="H6018" s="210"/>
    </row>
    <row r="6019" spans="3:8" x14ac:dyDescent="0.25">
      <c r="C6019" s="210"/>
      <c r="D6019" s="210"/>
      <c r="E6019" s="210"/>
      <c r="F6019" s="210"/>
      <c r="G6019" s="210"/>
      <c r="H6019" s="210"/>
    </row>
    <row r="6020" spans="3:8" x14ac:dyDescent="0.25">
      <c r="C6020" s="210"/>
      <c r="D6020" s="210"/>
      <c r="E6020" s="210"/>
      <c r="F6020" s="210"/>
      <c r="G6020" s="210"/>
      <c r="H6020" s="210"/>
    </row>
    <row r="6021" spans="3:8" x14ac:dyDescent="0.25">
      <c r="C6021" s="210"/>
      <c r="D6021" s="210"/>
      <c r="E6021" s="210"/>
      <c r="F6021" s="210"/>
      <c r="G6021" s="210"/>
      <c r="H6021" s="210"/>
    </row>
    <row r="6022" spans="3:8" x14ac:dyDescent="0.25">
      <c r="C6022" s="210"/>
      <c r="D6022" s="210"/>
      <c r="E6022" s="210"/>
      <c r="F6022" s="210"/>
      <c r="G6022" s="210"/>
      <c r="H6022" s="210"/>
    </row>
    <row r="6023" spans="3:8" x14ac:dyDescent="0.25">
      <c r="C6023" s="210"/>
      <c r="D6023" s="210"/>
      <c r="E6023" s="210"/>
      <c r="F6023" s="210"/>
      <c r="G6023" s="210"/>
      <c r="H6023" s="210"/>
    </row>
    <row r="6024" spans="3:8" x14ac:dyDescent="0.25">
      <c r="C6024" s="210"/>
      <c r="D6024" s="210"/>
      <c r="E6024" s="210"/>
      <c r="F6024" s="210"/>
      <c r="G6024" s="210"/>
      <c r="H6024" s="210"/>
    </row>
    <row r="6025" spans="3:8" x14ac:dyDescent="0.25">
      <c r="C6025" s="210"/>
      <c r="D6025" s="210"/>
      <c r="E6025" s="210"/>
      <c r="F6025" s="210"/>
      <c r="G6025" s="210"/>
      <c r="H6025" s="210"/>
    </row>
    <row r="6026" spans="3:8" x14ac:dyDescent="0.25">
      <c r="C6026" s="210"/>
      <c r="D6026" s="210"/>
      <c r="E6026" s="210"/>
      <c r="F6026" s="210"/>
      <c r="G6026" s="210"/>
      <c r="H6026" s="210"/>
    </row>
    <row r="6027" spans="3:8" x14ac:dyDescent="0.25">
      <c r="C6027" s="210"/>
      <c r="D6027" s="210"/>
      <c r="E6027" s="210"/>
      <c r="F6027" s="210"/>
      <c r="G6027" s="210"/>
      <c r="H6027" s="210"/>
    </row>
    <row r="6028" spans="3:8" x14ac:dyDescent="0.25">
      <c r="C6028" s="210"/>
      <c r="D6028" s="210"/>
      <c r="E6028" s="210"/>
      <c r="F6028" s="210"/>
      <c r="G6028" s="210"/>
      <c r="H6028" s="210"/>
    </row>
    <row r="6029" spans="3:8" x14ac:dyDescent="0.25">
      <c r="C6029" s="210"/>
      <c r="D6029" s="210"/>
      <c r="E6029" s="210"/>
      <c r="F6029" s="210"/>
      <c r="G6029" s="210"/>
      <c r="H6029" s="210"/>
    </row>
    <row r="6030" spans="3:8" x14ac:dyDescent="0.25">
      <c r="C6030" s="210"/>
      <c r="D6030" s="210"/>
      <c r="E6030" s="210"/>
      <c r="F6030" s="210"/>
      <c r="G6030" s="210"/>
      <c r="H6030" s="210"/>
    </row>
    <row r="6031" spans="3:8" x14ac:dyDescent="0.25">
      <c r="C6031" s="210"/>
      <c r="D6031" s="210"/>
      <c r="E6031" s="210"/>
      <c r="F6031" s="210"/>
      <c r="G6031" s="210"/>
      <c r="H6031" s="210"/>
    </row>
    <row r="6032" spans="3:8" x14ac:dyDescent="0.25">
      <c r="C6032" s="210"/>
      <c r="D6032" s="210"/>
      <c r="E6032" s="210"/>
      <c r="F6032" s="210"/>
      <c r="G6032" s="210"/>
      <c r="H6032" s="210"/>
    </row>
    <row r="6033" spans="3:8" x14ac:dyDescent="0.25">
      <c r="C6033" s="210"/>
      <c r="D6033" s="210"/>
      <c r="E6033" s="210"/>
      <c r="F6033" s="210"/>
      <c r="G6033" s="210"/>
      <c r="H6033" s="210"/>
    </row>
    <row r="6034" spans="3:8" x14ac:dyDescent="0.25">
      <c r="C6034" s="210"/>
      <c r="D6034" s="210"/>
      <c r="E6034" s="210"/>
      <c r="F6034" s="210"/>
      <c r="G6034" s="210"/>
      <c r="H6034" s="210"/>
    </row>
    <row r="6035" spans="3:8" x14ac:dyDescent="0.25">
      <c r="C6035" s="210"/>
      <c r="D6035" s="210"/>
      <c r="E6035" s="210"/>
      <c r="F6035" s="210"/>
      <c r="G6035" s="210"/>
      <c r="H6035" s="210"/>
    </row>
    <row r="6036" spans="3:8" x14ac:dyDescent="0.25">
      <c r="C6036" s="210"/>
      <c r="D6036" s="210"/>
      <c r="E6036" s="210"/>
      <c r="F6036" s="210"/>
      <c r="G6036" s="210"/>
      <c r="H6036" s="210"/>
    </row>
    <row r="6037" spans="3:8" x14ac:dyDescent="0.25">
      <c r="C6037" s="210"/>
      <c r="D6037" s="210"/>
      <c r="E6037" s="210"/>
      <c r="F6037" s="210"/>
      <c r="G6037" s="210"/>
      <c r="H6037" s="210"/>
    </row>
    <row r="6038" spans="3:8" x14ac:dyDescent="0.25">
      <c r="C6038" s="210"/>
      <c r="D6038" s="210"/>
      <c r="E6038" s="210"/>
      <c r="F6038" s="210"/>
      <c r="G6038" s="210"/>
      <c r="H6038" s="210"/>
    </row>
    <row r="6039" spans="3:8" x14ac:dyDescent="0.25">
      <c r="C6039" s="210"/>
      <c r="D6039" s="210"/>
      <c r="E6039" s="210"/>
      <c r="F6039" s="210"/>
      <c r="G6039" s="210"/>
      <c r="H6039" s="210"/>
    </row>
    <row r="6040" spans="3:8" x14ac:dyDescent="0.25">
      <c r="C6040" s="210"/>
      <c r="D6040" s="210"/>
      <c r="E6040" s="210"/>
      <c r="F6040" s="210"/>
      <c r="G6040" s="210"/>
      <c r="H6040" s="210"/>
    </row>
    <row r="6041" spans="3:8" x14ac:dyDescent="0.25">
      <c r="C6041" s="210"/>
      <c r="D6041" s="210"/>
      <c r="E6041" s="210"/>
      <c r="F6041" s="210"/>
      <c r="G6041" s="210"/>
      <c r="H6041" s="210"/>
    </row>
    <row r="6042" spans="3:8" x14ac:dyDescent="0.25">
      <c r="C6042" s="210"/>
      <c r="D6042" s="210"/>
      <c r="E6042" s="210"/>
      <c r="F6042" s="210"/>
      <c r="G6042" s="210"/>
      <c r="H6042" s="210"/>
    </row>
    <row r="6043" spans="3:8" x14ac:dyDescent="0.25">
      <c r="C6043" s="210"/>
      <c r="D6043" s="210"/>
      <c r="E6043" s="210"/>
      <c r="F6043" s="210"/>
      <c r="G6043" s="210"/>
      <c r="H6043" s="210"/>
    </row>
    <row r="6044" spans="3:8" x14ac:dyDescent="0.25">
      <c r="C6044" s="210"/>
      <c r="D6044" s="210"/>
      <c r="E6044" s="210"/>
      <c r="F6044" s="210"/>
      <c r="G6044" s="210"/>
      <c r="H6044" s="210"/>
    </row>
    <row r="6045" spans="3:8" x14ac:dyDescent="0.25">
      <c r="C6045" s="210"/>
      <c r="D6045" s="210"/>
      <c r="E6045" s="210"/>
      <c r="F6045" s="210"/>
      <c r="G6045" s="210"/>
      <c r="H6045" s="210"/>
    </row>
    <row r="6046" spans="3:8" x14ac:dyDescent="0.25">
      <c r="C6046" s="210"/>
      <c r="D6046" s="210"/>
      <c r="E6046" s="210"/>
      <c r="F6046" s="210"/>
      <c r="G6046" s="210"/>
      <c r="H6046" s="210"/>
    </row>
    <row r="6047" spans="3:8" x14ac:dyDescent="0.25">
      <c r="C6047" s="210"/>
      <c r="D6047" s="210"/>
      <c r="E6047" s="210"/>
      <c r="F6047" s="210"/>
      <c r="G6047" s="210"/>
      <c r="H6047" s="210"/>
    </row>
    <row r="6048" spans="3:8" x14ac:dyDescent="0.25">
      <c r="C6048" s="210"/>
      <c r="D6048" s="210"/>
      <c r="E6048" s="210"/>
      <c r="F6048" s="210"/>
      <c r="G6048" s="210"/>
      <c r="H6048" s="210"/>
    </row>
    <row r="6049" spans="3:8" x14ac:dyDescent="0.25">
      <c r="C6049" s="210"/>
      <c r="D6049" s="210"/>
      <c r="E6049" s="210"/>
      <c r="F6049" s="210"/>
      <c r="G6049" s="210"/>
      <c r="H6049" s="210"/>
    </row>
    <row r="6050" spans="3:8" x14ac:dyDescent="0.25">
      <c r="C6050" s="210"/>
      <c r="D6050" s="210"/>
      <c r="E6050" s="210"/>
      <c r="F6050" s="210"/>
      <c r="G6050" s="210"/>
      <c r="H6050" s="210"/>
    </row>
    <row r="6051" spans="3:8" x14ac:dyDescent="0.25">
      <c r="C6051" s="210"/>
      <c r="D6051" s="210"/>
      <c r="E6051" s="210"/>
      <c r="F6051" s="210"/>
      <c r="G6051" s="210"/>
      <c r="H6051" s="210"/>
    </row>
    <row r="6052" spans="3:8" x14ac:dyDescent="0.25">
      <c r="C6052" s="210"/>
      <c r="D6052" s="210"/>
      <c r="E6052" s="210"/>
      <c r="F6052" s="210"/>
      <c r="G6052" s="210"/>
      <c r="H6052" s="210"/>
    </row>
    <row r="6053" spans="3:8" x14ac:dyDescent="0.25">
      <c r="C6053" s="210"/>
      <c r="D6053" s="210"/>
      <c r="E6053" s="210"/>
      <c r="F6053" s="210"/>
      <c r="G6053" s="210"/>
      <c r="H6053" s="210"/>
    </row>
    <row r="6054" spans="3:8" x14ac:dyDescent="0.25">
      <c r="C6054" s="210"/>
      <c r="D6054" s="210"/>
      <c r="E6054" s="210"/>
      <c r="F6054" s="210"/>
      <c r="G6054" s="210"/>
      <c r="H6054" s="210"/>
    </row>
    <row r="6055" spans="3:8" x14ac:dyDescent="0.25">
      <c r="C6055" s="210"/>
      <c r="D6055" s="210"/>
      <c r="E6055" s="210"/>
      <c r="F6055" s="210"/>
      <c r="G6055" s="210"/>
      <c r="H6055" s="210"/>
    </row>
    <row r="6056" spans="3:8" x14ac:dyDescent="0.25">
      <c r="C6056" s="210"/>
      <c r="D6056" s="210"/>
      <c r="E6056" s="210"/>
      <c r="F6056" s="210"/>
      <c r="G6056" s="210"/>
      <c r="H6056" s="210"/>
    </row>
    <row r="6057" spans="3:8" x14ac:dyDescent="0.25">
      <c r="C6057" s="210"/>
      <c r="D6057" s="210"/>
      <c r="E6057" s="210"/>
      <c r="F6057" s="210"/>
      <c r="G6057" s="210"/>
      <c r="H6057" s="210"/>
    </row>
    <row r="6058" spans="3:8" x14ac:dyDescent="0.25">
      <c r="C6058" s="210"/>
      <c r="D6058" s="210"/>
      <c r="E6058" s="210"/>
      <c r="F6058" s="210"/>
      <c r="G6058" s="210"/>
      <c r="H6058" s="210"/>
    </row>
    <row r="6059" spans="3:8" x14ac:dyDescent="0.25">
      <c r="C6059" s="210"/>
      <c r="D6059" s="210"/>
      <c r="E6059" s="210"/>
      <c r="F6059" s="210"/>
      <c r="G6059" s="210"/>
      <c r="H6059" s="210"/>
    </row>
    <row r="6060" spans="3:8" x14ac:dyDescent="0.25">
      <c r="C6060" s="210"/>
      <c r="D6060" s="210"/>
      <c r="E6060" s="210"/>
      <c r="F6060" s="210"/>
      <c r="G6060" s="210"/>
      <c r="H6060" s="210"/>
    </row>
    <row r="6061" spans="3:8" x14ac:dyDescent="0.25">
      <c r="C6061" s="210"/>
      <c r="D6061" s="210"/>
      <c r="E6061" s="210"/>
      <c r="F6061" s="210"/>
      <c r="G6061" s="210"/>
      <c r="H6061" s="210"/>
    </row>
    <row r="6062" spans="3:8" x14ac:dyDescent="0.25">
      <c r="C6062" s="210"/>
      <c r="D6062" s="210"/>
      <c r="E6062" s="210"/>
      <c r="F6062" s="210"/>
      <c r="G6062" s="210"/>
      <c r="H6062" s="210"/>
    </row>
    <row r="6063" spans="3:8" x14ac:dyDescent="0.25">
      <c r="C6063" s="210"/>
      <c r="D6063" s="210"/>
      <c r="E6063" s="210"/>
      <c r="F6063" s="210"/>
      <c r="G6063" s="210"/>
      <c r="H6063" s="210"/>
    </row>
    <row r="6064" spans="3:8" x14ac:dyDescent="0.25">
      <c r="C6064" s="210"/>
      <c r="D6064" s="210"/>
      <c r="E6064" s="210"/>
      <c r="F6064" s="210"/>
      <c r="G6064" s="210"/>
      <c r="H6064" s="210"/>
    </row>
    <row r="6065" spans="3:8" x14ac:dyDescent="0.25">
      <c r="C6065" s="210"/>
      <c r="D6065" s="210"/>
      <c r="E6065" s="210"/>
      <c r="F6065" s="210"/>
      <c r="G6065" s="210"/>
      <c r="H6065" s="210"/>
    </row>
    <row r="6066" spans="3:8" x14ac:dyDescent="0.25">
      <c r="C6066" s="210"/>
      <c r="D6066" s="210"/>
      <c r="E6066" s="210"/>
      <c r="F6066" s="210"/>
      <c r="G6066" s="210"/>
      <c r="H6066" s="210"/>
    </row>
    <row r="6067" spans="3:8" x14ac:dyDescent="0.25">
      <c r="C6067" s="210"/>
      <c r="D6067" s="210"/>
      <c r="E6067" s="210"/>
      <c r="F6067" s="210"/>
      <c r="G6067" s="210"/>
      <c r="H6067" s="210"/>
    </row>
    <row r="6068" spans="3:8" x14ac:dyDescent="0.25">
      <c r="C6068" s="210"/>
      <c r="D6068" s="210"/>
      <c r="E6068" s="210"/>
      <c r="F6068" s="210"/>
      <c r="G6068" s="210"/>
      <c r="H6068" s="210"/>
    </row>
    <row r="6069" spans="3:8" x14ac:dyDescent="0.25">
      <c r="C6069" s="210"/>
      <c r="D6069" s="210"/>
      <c r="E6069" s="210"/>
      <c r="F6069" s="210"/>
      <c r="G6069" s="210"/>
      <c r="H6069" s="210"/>
    </row>
    <row r="6070" spans="3:8" x14ac:dyDescent="0.25">
      <c r="C6070" s="210"/>
      <c r="D6070" s="210"/>
      <c r="E6070" s="210"/>
      <c r="F6070" s="210"/>
      <c r="G6070" s="210"/>
      <c r="H6070" s="210"/>
    </row>
    <row r="6071" spans="3:8" x14ac:dyDescent="0.25">
      <c r="C6071" s="210"/>
      <c r="D6071" s="210"/>
      <c r="E6071" s="210"/>
      <c r="F6071" s="210"/>
      <c r="G6071" s="210"/>
      <c r="H6071" s="210"/>
    </row>
    <row r="6072" spans="3:8" x14ac:dyDescent="0.25">
      <c r="C6072" s="210"/>
      <c r="D6072" s="210"/>
      <c r="E6072" s="210"/>
      <c r="F6072" s="210"/>
      <c r="G6072" s="210"/>
      <c r="H6072" s="210"/>
    </row>
    <row r="6073" spans="3:8" x14ac:dyDescent="0.25">
      <c r="C6073" s="210"/>
      <c r="D6073" s="210"/>
      <c r="E6073" s="210"/>
      <c r="F6073" s="210"/>
      <c r="G6073" s="210"/>
      <c r="H6073" s="210"/>
    </row>
    <row r="6074" spans="3:8" x14ac:dyDescent="0.25">
      <c r="C6074" s="210"/>
      <c r="D6074" s="210"/>
      <c r="E6074" s="210"/>
      <c r="F6074" s="210"/>
      <c r="G6074" s="210"/>
      <c r="H6074" s="210"/>
    </row>
    <row r="6075" spans="3:8" x14ac:dyDescent="0.25">
      <c r="C6075" s="210"/>
      <c r="D6075" s="210"/>
      <c r="E6075" s="210"/>
      <c r="F6075" s="210"/>
      <c r="G6075" s="210"/>
      <c r="H6075" s="210"/>
    </row>
    <row r="6076" spans="3:8" x14ac:dyDescent="0.25">
      <c r="C6076" s="210"/>
      <c r="D6076" s="210"/>
      <c r="E6076" s="210"/>
      <c r="F6076" s="210"/>
      <c r="G6076" s="210"/>
      <c r="H6076" s="210"/>
    </row>
    <row r="6077" spans="3:8" x14ac:dyDescent="0.25">
      <c r="C6077" s="210"/>
      <c r="D6077" s="210"/>
      <c r="E6077" s="210"/>
      <c r="F6077" s="210"/>
      <c r="G6077" s="210"/>
      <c r="H6077" s="210"/>
    </row>
    <row r="6078" spans="3:8" x14ac:dyDescent="0.25">
      <c r="C6078" s="210"/>
      <c r="D6078" s="210"/>
      <c r="E6078" s="210"/>
      <c r="F6078" s="210"/>
      <c r="G6078" s="210"/>
      <c r="H6078" s="210"/>
    </row>
    <row r="6079" spans="3:8" x14ac:dyDescent="0.25">
      <c r="C6079" s="210"/>
      <c r="D6079" s="210"/>
      <c r="E6079" s="210"/>
      <c r="F6079" s="210"/>
      <c r="G6079" s="210"/>
      <c r="H6079" s="210"/>
    </row>
    <row r="6080" spans="3:8" x14ac:dyDescent="0.25">
      <c r="C6080" s="210"/>
      <c r="D6080" s="210"/>
      <c r="E6080" s="210"/>
      <c r="F6080" s="210"/>
      <c r="G6080" s="210"/>
      <c r="H6080" s="210"/>
    </row>
    <row r="6081" spans="3:8" x14ac:dyDescent="0.25">
      <c r="C6081" s="210"/>
      <c r="D6081" s="210"/>
      <c r="E6081" s="210"/>
      <c r="F6081" s="210"/>
      <c r="G6081" s="210"/>
      <c r="H6081" s="210"/>
    </row>
    <row r="6082" spans="3:8" x14ac:dyDescent="0.25">
      <c r="C6082" s="210"/>
      <c r="D6082" s="210"/>
      <c r="E6082" s="210"/>
      <c r="F6082" s="210"/>
      <c r="G6082" s="210"/>
      <c r="H6082" s="210"/>
    </row>
    <row r="6083" spans="3:8" x14ac:dyDescent="0.25">
      <c r="C6083" s="210"/>
      <c r="D6083" s="210"/>
      <c r="E6083" s="210"/>
      <c r="F6083" s="210"/>
      <c r="G6083" s="210"/>
      <c r="H6083" s="210"/>
    </row>
    <row r="6084" spans="3:8" x14ac:dyDescent="0.25">
      <c r="C6084" s="210"/>
      <c r="D6084" s="210"/>
      <c r="E6084" s="210"/>
      <c r="F6084" s="210"/>
      <c r="G6084" s="210"/>
      <c r="H6084" s="210"/>
    </row>
    <row r="6085" spans="3:8" x14ac:dyDescent="0.25">
      <c r="C6085" s="210"/>
      <c r="D6085" s="210"/>
      <c r="E6085" s="210"/>
      <c r="F6085" s="210"/>
      <c r="G6085" s="210"/>
      <c r="H6085" s="210"/>
    </row>
    <row r="6086" spans="3:8" x14ac:dyDescent="0.25">
      <c r="C6086" s="210"/>
      <c r="D6086" s="210"/>
      <c r="E6086" s="210"/>
      <c r="F6086" s="210"/>
      <c r="G6086" s="210"/>
      <c r="H6086" s="210"/>
    </row>
    <row r="6087" spans="3:8" x14ac:dyDescent="0.25">
      <c r="C6087" s="210"/>
      <c r="D6087" s="210"/>
      <c r="E6087" s="210"/>
      <c r="F6087" s="210"/>
      <c r="G6087" s="210"/>
      <c r="H6087" s="210"/>
    </row>
    <row r="6088" spans="3:8" x14ac:dyDescent="0.25">
      <c r="C6088" s="210"/>
      <c r="D6088" s="210"/>
      <c r="E6088" s="210"/>
      <c r="F6088" s="210"/>
      <c r="G6088" s="210"/>
      <c r="H6088" s="210"/>
    </row>
    <row r="6089" spans="3:8" x14ac:dyDescent="0.25">
      <c r="C6089" s="210"/>
      <c r="D6089" s="210"/>
      <c r="E6089" s="210"/>
      <c r="F6089" s="210"/>
      <c r="G6089" s="210"/>
      <c r="H6089" s="210"/>
    </row>
    <row r="6090" spans="3:8" x14ac:dyDescent="0.25">
      <c r="C6090" s="210"/>
      <c r="D6090" s="210"/>
      <c r="E6090" s="210"/>
      <c r="F6090" s="210"/>
      <c r="G6090" s="210"/>
      <c r="H6090" s="210"/>
    </row>
    <row r="6091" spans="3:8" x14ac:dyDescent="0.25">
      <c r="C6091" s="210"/>
      <c r="D6091" s="210"/>
      <c r="E6091" s="210"/>
      <c r="F6091" s="210"/>
      <c r="G6091" s="210"/>
      <c r="H6091" s="210"/>
    </row>
    <row r="6092" spans="3:8" x14ac:dyDescent="0.25">
      <c r="C6092" s="210"/>
      <c r="D6092" s="210"/>
      <c r="E6092" s="210"/>
      <c r="F6092" s="210"/>
      <c r="G6092" s="210"/>
      <c r="H6092" s="210"/>
    </row>
    <row r="6093" spans="3:8" x14ac:dyDescent="0.25">
      <c r="C6093" s="210"/>
      <c r="D6093" s="210"/>
      <c r="E6093" s="210"/>
      <c r="F6093" s="210"/>
      <c r="G6093" s="210"/>
      <c r="H6093" s="210"/>
    </row>
    <row r="6094" spans="3:8" x14ac:dyDescent="0.25">
      <c r="C6094" s="210"/>
      <c r="D6094" s="210"/>
      <c r="E6094" s="210"/>
      <c r="F6094" s="210"/>
      <c r="G6094" s="210"/>
      <c r="H6094" s="210"/>
    </row>
    <row r="6095" spans="3:8" x14ac:dyDescent="0.25">
      <c r="C6095" s="210"/>
      <c r="D6095" s="210"/>
      <c r="E6095" s="210"/>
      <c r="F6095" s="210"/>
      <c r="G6095" s="210"/>
      <c r="H6095" s="210"/>
    </row>
    <row r="6096" spans="3:8" x14ac:dyDescent="0.25">
      <c r="C6096" s="210"/>
      <c r="D6096" s="210"/>
      <c r="E6096" s="210"/>
      <c r="F6096" s="210"/>
      <c r="G6096" s="210"/>
      <c r="H6096" s="210"/>
    </row>
    <row r="6097" spans="3:8" x14ac:dyDescent="0.25">
      <c r="C6097" s="210"/>
      <c r="D6097" s="210"/>
      <c r="E6097" s="210"/>
      <c r="F6097" s="210"/>
      <c r="G6097" s="210"/>
      <c r="H6097" s="210"/>
    </row>
    <row r="6098" spans="3:8" x14ac:dyDescent="0.25">
      <c r="C6098" s="210"/>
      <c r="D6098" s="210"/>
      <c r="E6098" s="210"/>
      <c r="F6098" s="210"/>
      <c r="G6098" s="210"/>
      <c r="H6098" s="210"/>
    </row>
    <row r="6099" spans="3:8" x14ac:dyDescent="0.25">
      <c r="C6099" s="210"/>
      <c r="D6099" s="210"/>
      <c r="E6099" s="210"/>
      <c r="F6099" s="210"/>
      <c r="G6099" s="210"/>
      <c r="H6099" s="210"/>
    </row>
    <row r="6100" spans="3:8" x14ac:dyDescent="0.25">
      <c r="C6100" s="210"/>
      <c r="D6100" s="210"/>
      <c r="E6100" s="210"/>
      <c r="F6100" s="210"/>
      <c r="G6100" s="210"/>
      <c r="H6100" s="210"/>
    </row>
    <row r="6101" spans="3:8" x14ac:dyDescent="0.25">
      <c r="C6101" s="210"/>
      <c r="D6101" s="210"/>
      <c r="E6101" s="210"/>
      <c r="F6101" s="210"/>
      <c r="G6101" s="210"/>
      <c r="H6101" s="210"/>
    </row>
    <row r="6102" spans="3:8" x14ac:dyDescent="0.25">
      <c r="C6102" s="210"/>
      <c r="D6102" s="210"/>
      <c r="E6102" s="210"/>
      <c r="F6102" s="210"/>
      <c r="G6102" s="210"/>
      <c r="H6102" s="210"/>
    </row>
    <row r="6103" spans="3:8" x14ac:dyDescent="0.25">
      <c r="C6103" s="210"/>
      <c r="D6103" s="210"/>
      <c r="E6103" s="210"/>
      <c r="F6103" s="210"/>
      <c r="G6103" s="210"/>
      <c r="H6103" s="210"/>
    </row>
    <row r="6104" spans="3:8" x14ac:dyDescent="0.25">
      <c r="C6104" s="210"/>
      <c r="D6104" s="210"/>
      <c r="E6104" s="210"/>
      <c r="F6104" s="210"/>
      <c r="G6104" s="210"/>
      <c r="H6104" s="210"/>
    </row>
    <row r="6105" spans="3:8" x14ac:dyDescent="0.25">
      <c r="C6105" s="210"/>
      <c r="D6105" s="210"/>
      <c r="E6105" s="210"/>
      <c r="F6105" s="210"/>
      <c r="G6105" s="210"/>
      <c r="H6105" s="210"/>
    </row>
    <row r="6106" spans="3:8" x14ac:dyDescent="0.25">
      <c r="C6106" s="210"/>
      <c r="D6106" s="210"/>
      <c r="E6106" s="210"/>
      <c r="F6106" s="210"/>
      <c r="G6106" s="210"/>
      <c r="H6106" s="210"/>
    </row>
    <row r="6107" spans="3:8" x14ac:dyDescent="0.25">
      <c r="C6107" s="210"/>
      <c r="D6107" s="210"/>
      <c r="E6107" s="210"/>
      <c r="F6107" s="210"/>
      <c r="G6107" s="210"/>
      <c r="H6107" s="210"/>
    </row>
    <row r="6108" spans="3:8" x14ac:dyDescent="0.25">
      <c r="C6108" s="210"/>
      <c r="D6108" s="210"/>
      <c r="E6108" s="210"/>
      <c r="F6108" s="210"/>
      <c r="G6108" s="210"/>
      <c r="H6108" s="210"/>
    </row>
    <row r="6109" spans="3:8" x14ac:dyDescent="0.25">
      <c r="C6109" s="210"/>
      <c r="D6109" s="210"/>
      <c r="E6109" s="210"/>
      <c r="F6109" s="210"/>
      <c r="G6109" s="210"/>
      <c r="H6109" s="210"/>
    </row>
    <row r="6110" spans="3:8" x14ac:dyDescent="0.25">
      <c r="C6110" s="210"/>
      <c r="D6110" s="210"/>
      <c r="E6110" s="210"/>
      <c r="F6110" s="210"/>
      <c r="G6110" s="210"/>
      <c r="H6110" s="210"/>
    </row>
    <row r="6111" spans="3:8" x14ac:dyDescent="0.25">
      <c r="C6111" s="210"/>
      <c r="D6111" s="210"/>
      <c r="E6111" s="210"/>
      <c r="F6111" s="210"/>
      <c r="G6111" s="210"/>
      <c r="H6111" s="210"/>
    </row>
    <row r="6112" spans="3:8" x14ac:dyDescent="0.25">
      <c r="C6112" s="210"/>
      <c r="D6112" s="210"/>
      <c r="E6112" s="210"/>
      <c r="F6112" s="210"/>
      <c r="G6112" s="210"/>
      <c r="H6112" s="210"/>
    </row>
    <row r="6113" spans="3:8" x14ac:dyDescent="0.25">
      <c r="C6113" s="210"/>
      <c r="D6113" s="210"/>
      <c r="E6113" s="210"/>
      <c r="F6113" s="210"/>
      <c r="G6113" s="210"/>
      <c r="H6113" s="210"/>
    </row>
    <row r="6114" spans="3:8" x14ac:dyDescent="0.25">
      <c r="C6114" s="210"/>
      <c r="D6114" s="210"/>
      <c r="E6114" s="210"/>
      <c r="F6114" s="210"/>
      <c r="G6114" s="210"/>
      <c r="H6114" s="210"/>
    </row>
    <row r="6115" spans="3:8" x14ac:dyDescent="0.25">
      <c r="C6115" s="210"/>
      <c r="D6115" s="210"/>
      <c r="E6115" s="210"/>
      <c r="F6115" s="210"/>
      <c r="G6115" s="210"/>
      <c r="H6115" s="210"/>
    </row>
    <row r="6116" spans="3:8" x14ac:dyDescent="0.25">
      <c r="C6116" s="210"/>
      <c r="D6116" s="210"/>
      <c r="E6116" s="210"/>
      <c r="F6116" s="210"/>
      <c r="G6116" s="210"/>
      <c r="H6116" s="210"/>
    </row>
    <row r="6117" spans="3:8" x14ac:dyDescent="0.25">
      <c r="C6117" s="210"/>
      <c r="D6117" s="210"/>
      <c r="E6117" s="210"/>
      <c r="F6117" s="210"/>
      <c r="G6117" s="210"/>
      <c r="H6117" s="210"/>
    </row>
    <row r="6118" spans="3:8" x14ac:dyDescent="0.25">
      <c r="C6118" s="210"/>
      <c r="D6118" s="210"/>
      <c r="E6118" s="210"/>
      <c r="F6118" s="210"/>
      <c r="G6118" s="210"/>
      <c r="H6118" s="210"/>
    </row>
    <row r="6119" spans="3:8" x14ac:dyDescent="0.25">
      <c r="C6119" s="210"/>
      <c r="D6119" s="210"/>
      <c r="E6119" s="210"/>
      <c r="F6119" s="210"/>
      <c r="G6119" s="210"/>
      <c r="H6119" s="210"/>
    </row>
    <row r="6120" spans="3:8" x14ac:dyDescent="0.25">
      <c r="C6120" s="210"/>
      <c r="D6120" s="210"/>
      <c r="E6120" s="210"/>
      <c r="F6120" s="210"/>
      <c r="G6120" s="210"/>
      <c r="H6120" s="210"/>
    </row>
    <row r="6121" spans="3:8" x14ac:dyDescent="0.25">
      <c r="C6121" s="210"/>
      <c r="D6121" s="210"/>
      <c r="E6121" s="210"/>
      <c r="F6121" s="210"/>
      <c r="G6121" s="210"/>
      <c r="H6121" s="210"/>
    </row>
    <row r="6122" spans="3:8" x14ac:dyDescent="0.25">
      <c r="C6122" s="210"/>
      <c r="D6122" s="210"/>
      <c r="E6122" s="210"/>
      <c r="F6122" s="210"/>
      <c r="G6122" s="210"/>
      <c r="H6122" s="210"/>
    </row>
    <row r="6123" spans="3:8" x14ac:dyDescent="0.25">
      <c r="C6123" s="210"/>
      <c r="D6123" s="210"/>
      <c r="E6123" s="210"/>
      <c r="F6123" s="210"/>
      <c r="G6123" s="210"/>
      <c r="H6123" s="210"/>
    </row>
    <row r="6124" spans="3:8" x14ac:dyDescent="0.25">
      <c r="C6124" s="210"/>
      <c r="D6124" s="210"/>
      <c r="E6124" s="210"/>
      <c r="F6124" s="210"/>
      <c r="G6124" s="210"/>
      <c r="H6124" s="210"/>
    </row>
    <row r="6125" spans="3:8" x14ac:dyDescent="0.25">
      <c r="C6125" s="210"/>
      <c r="D6125" s="210"/>
      <c r="E6125" s="210"/>
      <c r="F6125" s="210"/>
      <c r="G6125" s="210"/>
      <c r="H6125" s="210"/>
    </row>
    <row r="6126" spans="3:8" x14ac:dyDescent="0.25">
      <c r="C6126" s="210"/>
      <c r="D6126" s="210"/>
      <c r="E6126" s="210"/>
      <c r="F6126" s="210"/>
      <c r="G6126" s="210"/>
      <c r="H6126" s="210"/>
    </row>
    <row r="6127" spans="3:8" x14ac:dyDescent="0.25">
      <c r="C6127" s="210"/>
      <c r="D6127" s="210"/>
      <c r="E6127" s="210"/>
      <c r="F6127" s="210"/>
      <c r="G6127" s="210"/>
      <c r="H6127" s="210"/>
    </row>
    <row r="6128" spans="3:8" x14ac:dyDescent="0.25">
      <c r="C6128" s="210"/>
      <c r="D6128" s="210"/>
      <c r="E6128" s="210"/>
      <c r="F6128" s="210"/>
      <c r="G6128" s="210"/>
      <c r="H6128" s="210"/>
    </row>
    <row r="6129" spans="3:8" x14ac:dyDescent="0.25">
      <c r="C6129" s="210"/>
      <c r="D6129" s="210"/>
      <c r="E6129" s="210"/>
      <c r="F6129" s="210"/>
      <c r="G6129" s="210"/>
      <c r="H6129" s="210"/>
    </row>
    <row r="6130" spans="3:8" x14ac:dyDescent="0.25">
      <c r="C6130" s="210"/>
      <c r="D6130" s="210"/>
      <c r="E6130" s="210"/>
      <c r="F6130" s="210"/>
      <c r="G6130" s="210"/>
      <c r="H6130" s="210"/>
    </row>
    <row r="6131" spans="3:8" x14ac:dyDescent="0.25">
      <c r="C6131" s="210"/>
      <c r="D6131" s="210"/>
      <c r="E6131" s="210"/>
      <c r="F6131" s="210"/>
      <c r="G6131" s="210"/>
      <c r="H6131" s="210"/>
    </row>
    <row r="6132" spans="3:8" x14ac:dyDescent="0.25">
      <c r="C6132" s="210"/>
      <c r="D6132" s="210"/>
      <c r="E6132" s="210"/>
      <c r="F6132" s="210"/>
      <c r="G6132" s="210"/>
      <c r="H6132" s="210"/>
    </row>
    <row r="6133" spans="3:8" x14ac:dyDescent="0.25">
      <c r="C6133" s="210"/>
      <c r="D6133" s="210"/>
      <c r="E6133" s="210"/>
      <c r="F6133" s="210"/>
      <c r="G6133" s="210"/>
      <c r="H6133" s="210"/>
    </row>
    <row r="6134" spans="3:8" x14ac:dyDescent="0.25">
      <c r="C6134" s="210"/>
      <c r="D6134" s="210"/>
      <c r="E6134" s="210"/>
      <c r="F6134" s="210"/>
      <c r="G6134" s="210"/>
      <c r="H6134" s="210"/>
    </row>
    <row r="6135" spans="3:8" x14ac:dyDescent="0.25">
      <c r="C6135" s="210"/>
      <c r="D6135" s="210"/>
      <c r="E6135" s="210"/>
      <c r="F6135" s="210"/>
      <c r="G6135" s="210"/>
      <c r="H6135" s="210"/>
    </row>
    <row r="6136" spans="3:8" x14ac:dyDescent="0.25">
      <c r="C6136" s="210"/>
      <c r="D6136" s="210"/>
      <c r="E6136" s="210"/>
      <c r="F6136" s="210"/>
      <c r="G6136" s="210"/>
      <c r="H6136" s="210"/>
    </row>
    <row r="6137" spans="3:8" x14ac:dyDescent="0.25">
      <c r="C6137" s="210"/>
      <c r="D6137" s="210"/>
      <c r="E6137" s="210"/>
      <c r="F6137" s="210"/>
      <c r="G6137" s="210"/>
      <c r="H6137" s="210"/>
    </row>
    <row r="6138" spans="3:8" x14ac:dyDescent="0.25">
      <c r="C6138" s="210"/>
      <c r="D6138" s="210"/>
      <c r="E6138" s="210"/>
      <c r="F6138" s="210"/>
      <c r="G6138" s="210"/>
      <c r="H6138" s="210"/>
    </row>
    <row r="6139" spans="3:8" x14ac:dyDescent="0.25">
      <c r="C6139" s="210"/>
      <c r="D6139" s="210"/>
      <c r="E6139" s="210"/>
      <c r="F6139" s="210"/>
      <c r="G6139" s="210"/>
      <c r="H6139" s="210"/>
    </row>
    <row r="6140" spans="3:8" x14ac:dyDescent="0.25">
      <c r="C6140" s="210"/>
      <c r="D6140" s="210"/>
      <c r="E6140" s="210"/>
      <c r="F6140" s="210"/>
      <c r="G6140" s="210"/>
      <c r="H6140" s="210"/>
    </row>
    <row r="6141" spans="3:8" x14ac:dyDescent="0.25">
      <c r="C6141" s="210"/>
      <c r="D6141" s="210"/>
      <c r="E6141" s="210"/>
      <c r="F6141" s="210"/>
      <c r="G6141" s="210"/>
      <c r="H6141" s="210"/>
    </row>
    <row r="6142" spans="3:8" x14ac:dyDescent="0.25">
      <c r="C6142" s="210"/>
      <c r="D6142" s="210"/>
      <c r="E6142" s="210"/>
      <c r="F6142" s="210"/>
      <c r="G6142" s="210"/>
      <c r="H6142" s="210"/>
    </row>
    <row r="6143" spans="3:8" x14ac:dyDescent="0.25">
      <c r="C6143" s="210"/>
      <c r="D6143" s="210"/>
      <c r="E6143" s="210"/>
      <c r="F6143" s="210"/>
      <c r="G6143" s="210"/>
      <c r="H6143" s="210"/>
    </row>
    <row r="6144" spans="3:8" x14ac:dyDescent="0.25">
      <c r="C6144" s="210"/>
      <c r="D6144" s="210"/>
      <c r="E6144" s="210"/>
      <c r="F6144" s="210"/>
      <c r="G6144" s="210"/>
      <c r="H6144" s="210"/>
    </row>
    <row r="6145" spans="3:8" x14ac:dyDescent="0.25">
      <c r="C6145" s="210"/>
      <c r="D6145" s="210"/>
      <c r="E6145" s="210"/>
      <c r="F6145" s="210"/>
      <c r="G6145" s="210"/>
      <c r="H6145" s="210"/>
    </row>
    <row r="6146" spans="3:8" x14ac:dyDescent="0.25">
      <c r="C6146" s="210"/>
      <c r="D6146" s="210"/>
      <c r="E6146" s="210"/>
      <c r="F6146" s="210"/>
      <c r="G6146" s="210"/>
      <c r="H6146" s="210"/>
    </row>
    <row r="6147" spans="3:8" x14ac:dyDescent="0.25">
      <c r="C6147" s="210"/>
      <c r="D6147" s="210"/>
      <c r="E6147" s="210"/>
      <c r="F6147" s="210"/>
      <c r="G6147" s="210"/>
      <c r="H6147" s="210"/>
    </row>
    <row r="6148" spans="3:8" x14ac:dyDescent="0.25">
      <c r="C6148" s="210"/>
      <c r="D6148" s="210"/>
      <c r="E6148" s="210"/>
      <c r="F6148" s="210"/>
      <c r="G6148" s="210"/>
      <c r="H6148" s="210"/>
    </row>
    <row r="6149" spans="3:8" x14ac:dyDescent="0.25">
      <c r="C6149" s="210"/>
      <c r="D6149" s="210"/>
      <c r="E6149" s="210"/>
      <c r="F6149" s="210"/>
      <c r="G6149" s="210"/>
      <c r="H6149" s="210"/>
    </row>
    <row r="6150" spans="3:8" x14ac:dyDescent="0.25">
      <c r="C6150" s="210"/>
      <c r="D6150" s="210"/>
      <c r="E6150" s="210"/>
      <c r="F6150" s="210"/>
      <c r="G6150" s="210"/>
      <c r="H6150" s="210"/>
    </row>
    <row r="6151" spans="3:8" x14ac:dyDescent="0.25">
      <c r="C6151" s="210"/>
      <c r="D6151" s="210"/>
      <c r="E6151" s="210"/>
      <c r="F6151" s="210"/>
      <c r="G6151" s="210"/>
      <c r="H6151" s="210"/>
    </row>
    <row r="6152" spans="3:8" x14ac:dyDescent="0.25">
      <c r="C6152" s="210"/>
      <c r="D6152" s="210"/>
      <c r="E6152" s="210"/>
      <c r="F6152" s="210"/>
      <c r="G6152" s="210"/>
      <c r="H6152" s="210"/>
    </row>
    <row r="6153" spans="3:8" x14ac:dyDescent="0.25">
      <c r="C6153" s="210"/>
      <c r="D6153" s="210"/>
      <c r="E6153" s="210"/>
      <c r="F6153" s="210"/>
      <c r="G6153" s="210"/>
      <c r="H6153" s="210"/>
    </row>
    <row r="6154" spans="3:8" x14ac:dyDescent="0.25">
      <c r="C6154" s="210"/>
      <c r="D6154" s="210"/>
      <c r="E6154" s="210"/>
      <c r="F6154" s="210"/>
      <c r="G6154" s="210"/>
      <c r="H6154" s="210"/>
    </row>
    <row r="6155" spans="3:8" x14ac:dyDescent="0.25">
      <c r="C6155" s="210"/>
      <c r="D6155" s="210"/>
      <c r="E6155" s="210"/>
      <c r="F6155" s="210"/>
      <c r="G6155" s="210"/>
      <c r="H6155" s="210"/>
    </row>
    <row r="6156" spans="3:8" x14ac:dyDescent="0.25">
      <c r="C6156" s="210"/>
      <c r="D6156" s="210"/>
      <c r="E6156" s="210"/>
      <c r="F6156" s="210"/>
      <c r="G6156" s="210"/>
      <c r="H6156" s="210"/>
    </row>
    <row r="6157" spans="3:8" x14ac:dyDescent="0.25">
      <c r="C6157" s="210"/>
      <c r="D6157" s="210"/>
      <c r="E6157" s="210"/>
      <c r="F6157" s="210"/>
      <c r="G6157" s="210"/>
      <c r="H6157" s="210"/>
    </row>
    <row r="6158" spans="3:8" x14ac:dyDescent="0.25">
      <c r="C6158" s="210"/>
      <c r="D6158" s="210"/>
      <c r="E6158" s="210"/>
      <c r="F6158" s="210"/>
      <c r="G6158" s="210"/>
      <c r="H6158" s="210"/>
    </row>
    <row r="6159" spans="3:8" x14ac:dyDescent="0.25">
      <c r="C6159" s="210"/>
      <c r="D6159" s="210"/>
      <c r="E6159" s="210"/>
      <c r="F6159" s="210"/>
      <c r="G6159" s="210"/>
      <c r="H6159" s="210"/>
    </row>
    <row r="6160" spans="3:8" x14ac:dyDescent="0.25">
      <c r="C6160" s="210"/>
      <c r="D6160" s="210"/>
      <c r="E6160" s="210"/>
      <c r="F6160" s="210"/>
      <c r="G6160" s="210"/>
      <c r="H6160" s="210"/>
    </row>
    <row r="6161" spans="3:8" x14ac:dyDescent="0.25">
      <c r="C6161" s="210"/>
      <c r="D6161" s="210"/>
      <c r="E6161" s="210"/>
      <c r="F6161" s="210"/>
      <c r="G6161" s="210"/>
      <c r="H6161" s="210"/>
    </row>
    <row r="6162" spans="3:8" x14ac:dyDescent="0.25">
      <c r="C6162" s="210"/>
      <c r="D6162" s="210"/>
      <c r="E6162" s="210"/>
      <c r="F6162" s="210"/>
      <c r="G6162" s="210"/>
      <c r="H6162" s="210"/>
    </row>
    <row r="6163" spans="3:8" x14ac:dyDescent="0.25">
      <c r="C6163" s="210"/>
      <c r="D6163" s="210"/>
      <c r="E6163" s="210"/>
      <c r="F6163" s="210"/>
      <c r="G6163" s="210"/>
      <c r="H6163" s="210"/>
    </row>
    <row r="6164" spans="3:8" x14ac:dyDescent="0.25">
      <c r="C6164" s="210"/>
      <c r="D6164" s="210"/>
      <c r="E6164" s="210"/>
      <c r="F6164" s="210"/>
      <c r="G6164" s="210"/>
      <c r="H6164" s="210"/>
    </row>
    <row r="6165" spans="3:8" x14ac:dyDescent="0.25">
      <c r="C6165" s="210"/>
      <c r="D6165" s="210"/>
      <c r="E6165" s="210"/>
      <c r="F6165" s="210"/>
      <c r="G6165" s="210"/>
      <c r="H6165" s="210"/>
    </row>
    <row r="6166" spans="3:8" x14ac:dyDescent="0.25">
      <c r="C6166" s="210"/>
      <c r="D6166" s="210"/>
      <c r="E6166" s="210"/>
      <c r="F6166" s="210"/>
      <c r="G6166" s="210"/>
      <c r="H6166" s="210"/>
    </row>
    <row r="6167" spans="3:8" x14ac:dyDescent="0.25">
      <c r="C6167" s="210"/>
      <c r="D6167" s="210"/>
      <c r="E6167" s="210"/>
      <c r="F6167" s="210"/>
      <c r="G6167" s="210"/>
      <c r="H6167" s="210"/>
    </row>
    <row r="6168" spans="3:8" x14ac:dyDescent="0.25">
      <c r="C6168" s="210"/>
      <c r="D6168" s="210"/>
      <c r="E6168" s="210"/>
      <c r="F6168" s="210"/>
      <c r="G6168" s="210"/>
      <c r="H6168" s="210"/>
    </row>
    <row r="6169" spans="3:8" x14ac:dyDescent="0.25">
      <c r="C6169" s="210"/>
      <c r="D6169" s="210"/>
      <c r="E6169" s="210"/>
      <c r="F6169" s="210"/>
      <c r="G6169" s="210"/>
      <c r="H6169" s="210"/>
    </row>
    <row r="6170" spans="3:8" x14ac:dyDescent="0.25">
      <c r="C6170" s="210"/>
      <c r="D6170" s="210"/>
      <c r="E6170" s="210"/>
      <c r="F6170" s="210"/>
      <c r="G6170" s="210"/>
      <c r="H6170" s="210"/>
    </row>
    <row r="6171" spans="3:8" x14ac:dyDescent="0.25">
      <c r="C6171" s="210"/>
      <c r="D6171" s="210"/>
      <c r="E6171" s="210"/>
      <c r="F6171" s="210"/>
      <c r="G6171" s="210"/>
      <c r="H6171" s="210"/>
    </row>
    <row r="6172" spans="3:8" x14ac:dyDescent="0.25">
      <c r="C6172" s="210"/>
      <c r="D6172" s="210"/>
      <c r="E6172" s="210"/>
      <c r="F6172" s="210"/>
      <c r="G6172" s="210"/>
      <c r="H6172" s="210"/>
    </row>
    <row r="6173" spans="3:8" x14ac:dyDescent="0.25">
      <c r="C6173" s="210"/>
      <c r="D6173" s="210"/>
      <c r="E6173" s="210"/>
      <c r="F6173" s="210"/>
      <c r="G6173" s="210"/>
      <c r="H6173" s="210"/>
    </row>
    <row r="6174" spans="3:8" x14ac:dyDescent="0.25">
      <c r="C6174" s="210"/>
      <c r="D6174" s="210"/>
      <c r="E6174" s="210"/>
      <c r="F6174" s="210"/>
      <c r="G6174" s="210"/>
      <c r="H6174" s="210"/>
    </row>
    <row r="6175" spans="3:8" x14ac:dyDescent="0.25">
      <c r="C6175" s="210"/>
      <c r="D6175" s="210"/>
      <c r="E6175" s="210"/>
      <c r="F6175" s="210"/>
      <c r="G6175" s="210"/>
      <c r="H6175" s="210"/>
    </row>
    <row r="6176" spans="3:8" x14ac:dyDescent="0.25">
      <c r="C6176" s="210"/>
      <c r="D6176" s="210"/>
      <c r="E6176" s="210"/>
      <c r="F6176" s="210"/>
      <c r="G6176" s="210"/>
      <c r="H6176" s="210"/>
    </row>
    <row r="6177" spans="3:8" x14ac:dyDescent="0.25">
      <c r="C6177" s="210"/>
      <c r="D6177" s="210"/>
      <c r="E6177" s="210"/>
      <c r="F6177" s="210"/>
      <c r="G6177" s="210"/>
      <c r="H6177" s="210"/>
    </row>
    <row r="6178" spans="3:8" x14ac:dyDescent="0.25">
      <c r="C6178" s="210"/>
      <c r="D6178" s="210"/>
      <c r="E6178" s="210"/>
      <c r="F6178" s="210"/>
      <c r="G6178" s="210"/>
      <c r="H6178" s="210"/>
    </row>
    <row r="6179" spans="3:8" x14ac:dyDescent="0.25">
      <c r="C6179" s="210"/>
      <c r="D6179" s="210"/>
      <c r="E6179" s="210"/>
      <c r="F6179" s="210"/>
      <c r="G6179" s="210"/>
      <c r="H6179" s="210"/>
    </row>
    <row r="6180" spans="3:8" x14ac:dyDescent="0.25">
      <c r="C6180" s="210"/>
      <c r="D6180" s="210"/>
      <c r="E6180" s="210"/>
      <c r="F6180" s="210"/>
      <c r="G6180" s="210"/>
      <c r="H6180" s="210"/>
    </row>
    <row r="6181" spans="3:8" x14ac:dyDescent="0.25">
      <c r="C6181" s="210"/>
      <c r="D6181" s="210"/>
      <c r="E6181" s="210"/>
      <c r="F6181" s="210"/>
      <c r="G6181" s="210"/>
      <c r="H6181" s="210"/>
    </row>
    <row r="6182" spans="3:8" x14ac:dyDescent="0.25">
      <c r="C6182" s="210"/>
      <c r="D6182" s="210"/>
      <c r="E6182" s="210"/>
      <c r="F6182" s="210"/>
      <c r="G6182" s="210"/>
      <c r="H6182" s="210"/>
    </row>
    <row r="6183" spans="3:8" x14ac:dyDescent="0.25">
      <c r="C6183" s="210"/>
      <c r="D6183" s="210"/>
      <c r="E6183" s="210"/>
      <c r="F6183" s="210"/>
      <c r="G6183" s="210"/>
      <c r="H6183" s="210"/>
    </row>
    <row r="6184" spans="3:8" x14ac:dyDescent="0.25">
      <c r="C6184" s="210"/>
      <c r="D6184" s="210"/>
      <c r="E6184" s="210"/>
      <c r="F6184" s="210"/>
      <c r="G6184" s="210"/>
      <c r="H6184" s="210"/>
    </row>
    <row r="6185" spans="3:8" x14ac:dyDescent="0.25">
      <c r="C6185" s="210"/>
      <c r="D6185" s="210"/>
      <c r="E6185" s="210"/>
      <c r="F6185" s="210"/>
      <c r="G6185" s="210"/>
      <c r="H6185" s="210"/>
    </row>
    <row r="6186" spans="3:8" x14ac:dyDescent="0.25">
      <c r="C6186" s="210"/>
      <c r="D6186" s="210"/>
      <c r="E6186" s="210"/>
      <c r="F6186" s="210"/>
      <c r="G6186" s="210"/>
      <c r="H6186" s="210"/>
    </row>
    <row r="6187" spans="3:8" x14ac:dyDescent="0.25">
      <c r="C6187" s="210"/>
      <c r="D6187" s="210"/>
      <c r="E6187" s="210"/>
      <c r="F6187" s="210"/>
      <c r="G6187" s="210"/>
      <c r="H6187" s="210"/>
    </row>
    <row r="6188" spans="3:8" x14ac:dyDescent="0.25">
      <c r="C6188" s="210"/>
      <c r="D6188" s="210"/>
      <c r="E6188" s="210"/>
      <c r="F6188" s="210"/>
      <c r="G6188" s="210"/>
      <c r="H6188" s="210"/>
    </row>
    <row r="6189" spans="3:8" x14ac:dyDescent="0.25">
      <c r="C6189" s="210"/>
      <c r="D6189" s="210"/>
      <c r="E6189" s="210"/>
      <c r="F6189" s="210"/>
      <c r="G6189" s="210"/>
      <c r="H6189" s="210"/>
    </row>
    <row r="6190" spans="3:8" x14ac:dyDescent="0.25">
      <c r="C6190" s="210"/>
      <c r="D6190" s="210"/>
      <c r="E6190" s="210"/>
      <c r="F6190" s="210"/>
      <c r="G6190" s="210"/>
      <c r="H6190" s="210"/>
    </row>
    <row r="6191" spans="3:8" x14ac:dyDescent="0.25">
      <c r="C6191" s="210"/>
      <c r="D6191" s="210"/>
      <c r="E6191" s="210"/>
      <c r="F6191" s="210"/>
      <c r="G6191" s="210"/>
      <c r="H6191" s="210"/>
    </row>
    <row r="6192" spans="3:8" x14ac:dyDescent="0.25">
      <c r="C6192" s="210"/>
      <c r="D6192" s="210"/>
      <c r="E6192" s="210"/>
      <c r="F6192" s="210"/>
      <c r="G6192" s="210"/>
      <c r="H6192" s="210"/>
    </row>
    <row r="6193" spans="3:8" x14ac:dyDescent="0.25">
      <c r="C6193" s="210"/>
      <c r="D6193" s="210"/>
      <c r="E6193" s="210"/>
      <c r="F6193" s="210"/>
      <c r="G6193" s="210"/>
      <c r="H6193" s="210"/>
    </row>
    <row r="6194" spans="3:8" x14ac:dyDescent="0.25">
      <c r="C6194" s="210"/>
      <c r="D6194" s="210"/>
      <c r="E6194" s="210"/>
      <c r="F6194" s="210"/>
      <c r="G6194" s="210"/>
      <c r="H6194" s="210"/>
    </row>
    <row r="6195" spans="3:8" x14ac:dyDescent="0.25">
      <c r="C6195" s="210"/>
      <c r="D6195" s="210"/>
      <c r="E6195" s="210"/>
      <c r="F6195" s="210"/>
      <c r="G6195" s="210"/>
      <c r="H6195" s="210"/>
    </row>
    <row r="6196" spans="3:8" x14ac:dyDescent="0.25">
      <c r="C6196" s="210"/>
      <c r="D6196" s="210"/>
      <c r="E6196" s="210"/>
      <c r="F6196" s="210"/>
      <c r="G6196" s="210"/>
      <c r="H6196" s="210"/>
    </row>
    <row r="6197" spans="3:8" x14ac:dyDescent="0.25">
      <c r="C6197" s="210"/>
      <c r="D6197" s="210"/>
      <c r="E6197" s="210"/>
      <c r="F6197" s="210"/>
      <c r="G6197" s="210"/>
      <c r="H6197" s="210"/>
    </row>
    <row r="6198" spans="3:8" x14ac:dyDescent="0.25">
      <c r="C6198" s="210"/>
      <c r="D6198" s="210"/>
      <c r="E6198" s="210"/>
      <c r="F6198" s="210"/>
      <c r="G6198" s="210"/>
      <c r="H6198" s="210"/>
    </row>
    <row r="6199" spans="3:8" x14ac:dyDescent="0.25">
      <c r="C6199" s="210"/>
      <c r="D6199" s="210"/>
      <c r="E6199" s="210"/>
      <c r="F6199" s="210"/>
      <c r="G6199" s="210"/>
      <c r="H6199" s="210"/>
    </row>
    <row r="6200" spans="3:8" x14ac:dyDescent="0.25">
      <c r="C6200" s="210"/>
      <c r="D6200" s="210"/>
      <c r="E6200" s="210"/>
      <c r="F6200" s="210"/>
      <c r="G6200" s="210"/>
      <c r="H6200" s="210"/>
    </row>
    <row r="6201" spans="3:8" x14ac:dyDescent="0.25">
      <c r="C6201" s="210"/>
      <c r="D6201" s="210"/>
      <c r="E6201" s="210"/>
      <c r="F6201" s="210"/>
      <c r="G6201" s="210"/>
      <c r="H6201" s="210"/>
    </row>
    <row r="6202" spans="3:8" x14ac:dyDescent="0.25">
      <c r="C6202" s="210"/>
      <c r="D6202" s="210"/>
      <c r="E6202" s="210"/>
      <c r="F6202" s="210"/>
      <c r="G6202" s="210"/>
      <c r="H6202" s="210"/>
    </row>
    <row r="6203" spans="3:8" x14ac:dyDescent="0.25">
      <c r="C6203" s="210"/>
      <c r="D6203" s="210"/>
      <c r="E6203" s="210"/>
      <c r="F6203" s="210"/>
      <c r="G6203" s="210"/>
      <c r="H6203" s="210"/>
    </row>
    <row r="6204" spans="3:8" x14ac:dyDescent="0.25">
      <c r="C6204" s="210"/>
      <c r="D6204" s="210"/>
      <c r="E6204" s="210"/>
      <c r="F6204" s="210"/>
      <c r="G6204" s="210"/>
      <c r="H6204" s="210"/>
    </row>
    <row r="6205" spans="3:8" x14ac:dyDescent="0.25">
      <c r="C6205" s="210"/>
      <c r="D6205" s="210"/>
      <c r="E6205" s="210"/>
      <c r="F6205" s="210"/>
      <c r="G6205" s="210"/>
      <c r="H6205" s="210"/>
    </row>
    <row r="6206" spans="3:8" x14ac:dyDescent="0.25">
      <c r="C6206" s="210"/>
      <c r="D6206" s="210"/>
      <c r="E6206" s="210"/>
      <c r="F6206" s="210"/>
      <c r="G6206" s="210"/>
      <c r="H6206" s="210"/>
    </row>
    <row r="6207" spans="3:8" x14ac:dyDescent="0.25">
      <c r="C6207" s="210"/>
      <c r="D6207" s="210"/>
      <c r="E6207" s="210"/>
      <c r="F6207" s="210"/>
      <c r="G6207" s="210"/>
      <c r="H6207" s="210"/>
    </row>
    <row r="6208" spans="3:8" x14ac:dyDescent="0.25">
      <c r="C6208" s="210"/>
      <c r="D6208" s="210"/>
      <c r="E6208" s="210"/>
      <c r="F6208" s="210"/>
      <c r="G6208" s="210"/>
      <c r="H6208" s="210"/>
    </row>
    <row r="6209" spans="3:8" x14ac:dyDescent="0.25">
      <c r="C6209" s="210"/>
      <c r="D6209" s="210"/>
      <c r="E6209" s="210"/>
      <c r="F6209" s="210"/>
      <c r="G6209" s="210"/>
      <c r="H6209" s="210"/>
    </row>
    <row r="6210" spans="3:8" x14ac:dyDescent="0.25">
      <c r="C6210" s="210"/>
      <c r="D6210" s="210"/>
      <c r="E6210" s="210"/>
      <c r="F6210" s="210"/>
      <c r="G6210" s="210"/>
      <c r="H6210" s="210"/>
    </row>
    <row r="6211" spans="3:8" x14ac:dyDescent="0.25">
      <c r="C6211" s="210"/>
      <c r="D6211" s="210"/>
      <c r="E6211" s="210"/>
      <c r="F6211" s="210"/>
      <c r="G6211" s="210"/>
      <c r="H6211" s="210"/>
    </row>
    <row r="6212" spans="3:8" x14ac:dyDescent="0.25">
      <c r="C6212" s="210"/>
      <c r="D6212" s="210"/>
      <c r="E6212" s="210"/>
      <c r="F6212" s="210"/>
      <c r="G6212" s="210"/>
      <c r="H6212" s="210"/>
    </row>
    <row r="6213" spans="3:8" x14ac:dyDescent="0.25">
      <c r="C6213" s="210"/>
      <c r="D6213" s="210"/>
      <c r="E6213" s="210"/>
      <c r="F6213" s="210"/>
      <c r="G6213" s="210"/>
      <c r="H6213" s="210"/>
    </row>
    <row r="6214" spans="3:8" x14ac:dyDescent="0.25">
      <c r="C6214" s="210"/>
      <c r="D6214" s="210"/>
      <c r="E6214" s="210"/>
      <c r="F6214" s="210"/>
      <c r="G6214" s="210"/>
      <c r="H6214" s="210"/>
    </row>
    <row r="6215" spans="3:8" x14ac:dyDescent="0.25">
      <c r="C6215" s="210"/>
      <c r="D6215" s="210"/>
      <c r="E6215" s="210"/>
      <c r="F6215" s="210"/>
      <c r="G6215" s="210"/>
      <c r="H6215" s="210"/>
    </row>
    <row r="6216" spans="3:8" x14ac:dyDescent="0.25">
      <c r="C6216" s="210"/>
      <c r="D6216" s="210"/>
      <c r="E6216" s="210"/>
      <c r="F6216" s="210"/>
      <c r="G6216" s="210"/>
      <c r="H6216" s="210"/>
    </row>
    <row r="6217" spans="3:8" x14ac:dyDescent="0.25">
      <c r="C6217" s="210"/>
      <c r="D6217" s="210"/>
      <c r="E6217" s="210"/>
      <c r="F6217" s="210"/>
      <c r="G6217" s="210"/>
      <c r="H6217" s="210"/>
    </row>
    <row r="6218" spans="3:8" x14ac:dyDescent="0.25">
      <c r="C6218" s="210"/>
      <c r="D6218" s="210"/>
      <c r="E6218" s="210"/>
      <c r="F6218" s="210"/>
      <c r="G6218" s="210"/>
      <c r="H6218" s="210"/>
    </row>
    <row r="6219" spans="3:8" x14ac:dyDescent="0.25">
      <c r="C6219" s="210"/>
      <c r="D6219" s="210"/>
      <c r="E6219" s="210"/>
      <c r="F6219" s="210"/>
      <c r="G6219" s="210"/>
      <c r="H6219" s="210"/>
    </row>
    <row r="6220" spans="3:8" x14ac:dyDescent="0.25">
      <c r="C6220" s="210"/>
      <c r="D6220" s="210"/>
      <c r="E6220" s="210"/>
      <c r="F6220" s="210"/>
      <c r="G6220" s="210"/>
      <c r="H6220" s="210"/>
    </row>
    <row r="6221" spans="3:8" x14ac:dyDescent="0.25">
      <c r="C6221" s="210"/>
      <c r="D6221" s="210"/>
      <c r="E6221" s="210"/>
      <c r="F6221" s="210"/>
      <c r="G6221" s="210"/>
      <c r="H6221" s="210"/>
    </row>
    <row r="6222" spans="3:8" x14ac:dyDescent="0.25">
      <c r="C6222" s="210"/>
      <c r="D6222" s="210"/>
      <c r="E6222" s="210"/>
      <c r="F6222" s="210"/>
      <c r="G6222" s="210"/>
      <c r="H6222" s="210"/>
    </row>
    <row r="6223" spans="3:8" x14ac:dyDescent="0.25">
      <c r="C6223" s="210"/>
      <c r="D6223" s="210"/>
      <c r="E6223" s="210"/>
      <c r="F6223" s="210"/>
      <c r="G6223" s="210"/>
      <c r="H6223" s="210"/>
    </row>
    <row r="6224" spans="3:8" x14ac:dyDescent="0.25">
      <c r="C6224" s="210"/>
      <c r="D6224" s="210"/>
      <c r="E6224" s="210"/>
      <c r="F6224" s="210"/>
      <c r="G6224" s="210"/>
      <c r="H6224" s="210"/>
    </row>
    <row r="6225" spans="3:8" x14ac:dyDescent="0.25">
      <c r="C6225" s="210"/>
      <c r="D6225" s="210"/>
      <c r="E6225" s="210"/>
      <c r="F6225" s="210"/>
      <c r="G6225" s="210"/>
      <c r="H6225" s="210"/>
    </row>
    <row r="6226" spans="3:8" x14ac:dyDescent="0.25">
      <c r="C6226" s="210"/>
      <c r="D6226" s="210"/>
      <c r="E6226" s="210"/>
      <c r="F6226" s="210"/>
      <c r="G6226" s="210"/>
      <c r="H6226" s="210"/>
    </row>
    <row r="6227" spans="3:8" x14ac:dyDescent="0.25">
      <c r="C6227" s="210"/>
      <c r="D6227" s="210"/>
      <c r="E6227" s="210"/>
      <c r="F6227" s="210"/>
      <c r="G6227" s="210"/>
      <c r="H6227" s="210"/>
    </row>
    <row r="6228" spans="3:8" x14ac:dyDescent="0.25">
      <c r="C6228" s="210"/>
      <c r="D6228" s="210"/>
      <c r="E6228" s="210"/>
      <c r="F6228" s="210"/>
      <c r="G6228" s="210"/>
      <c r="H6228" s="210"/>
    </row>
    <row r="6229" spans="3:8" x14ac:dyDescent="0.25">
      <c r="C6229" s="210"/>
      <c r="D6229" s="210"/>
      <c r="E6229" s="210"/>
      <c r="F6229" s="210"/>
      <c r="G6229" s="210"/>
      <c r="H6229" s="210"/>
    </row>
    <row r="6230" spans="3:8" x14ac:dyDescent="0.25">
      <c r="C6230" s="210"/>
      <c r="D6230" s="210"/>
      <c r="E6230" s="210"/>
      <c r="F6230" s="210"/>
      <c r="G6230" s="210"/>
      <c r="H6230" s="210"/>
    </row>
    <row r="6231" spans="3:8" x14ac:dyDescent="0.25">
      <c r="C6231" s="210"/>
      <c r="D6231" s="210"/>
      <c r="E6231" s="210"/>
      <c r="F6231" s="210"/>
      <c r="G6231" s="210"/>
      <c r="H6231" s="210"/>
    </row>
    <row r="6232" spans="3:8" x14ac:dyDescent="0.25">
      <c r="C6232" s="210"/>
      <c r="D6232" s="210"/>
      <c r="E6232" s="210"/>
      <c r="F6232" s="210"/>
      <c r="G6232" s="210"/>
      <c r="H6232" s="210"/>
    </row>
    <row r="6233" spans="3:8" x14ac:dyDescent="0.25">
      <c r="C6233" s="210"/>
      <c r="D6233" s="210"/>
      <c r="E6233" s="210"/>
      <c r="F6233" s="210"/>
      <c r="G6233" s="210"/>
      <c r="H6233" s="210"/>
    </row>
    <row r="6234" spans="3:8" x14ac:dyDescent="0.25">
      <c r="C6234" s="210"/>
      <c r="D6234" s="210"/>
      <c r="E6234" s="210"/>
      <c r="F6234" s="210"/>
      <c r="G6234" s="210"/>
      <c r="H6234" s="210"/>
    </row>
    <row r="6235" spans="3:8" x14ac:dyDescent="0.25">
      <c r="C6235" s="210"/>
      <c r="D6235" s="210"/>
      <c r="E6235" s="210"/>
      <c r="F6235" s="210"/>
      <c r="G6235" s="210"/>
      <c r="H6235" s="210"/>
    </row>
    <row r="6236" spans="3:8" x14ac:dyDescent="0.25">
      <c r="C6236" s="210"/>
      <c r="D6236" s="210"/>
      <c r="E6236" s="210"/>
      <c r="F6236" s="210"/>
      <c r="G6236" s="210"/>
      <c r="H6236" s="210"/>
    </row>
    <row r="6237" spans="3:8" x14ac:dyDescent="0.25">
      <c r="C6237" s="210"/>
      <c r="D6237" s="210"/>
      <c r="E6237" s="210"/>
      <c r="F6237" s="210"/>
      <c r="G6237" s="210"/>
      <c r="H6237" s="210"/>
    </row>
    <row r="6238" spans="3:8" x14ac:dyDescent="0.25">
      <c r="C6238" s="210"/>
      <c r="D6238" s="210"/>
      <c r="E6238" s="210"/>
      <c r="F6238" s="210"/>
      <c r="G6238" s="210"/>
      <c r="H6238" s="210"/>
    </row>
    <row r="6239" spans="3:8" x14ac:dyDescent="0.25">
      <c r="C6239" s="210"/>
      <c r="D6239" s="210"/>
      <c r="E6239" s="210"/>
      <c r="F6239" s="210"/>
      <c r="G6239" s="210"/>
      <c r="H6239" s="210"/>
    </row>
    <row r="6240" spans="3:8" x14ac:dyDescent="0.25">
      <c r="C6240" s="210"/>
      <c r="D6240" s="210"/>
      <c r="E6240" s="210"/>
      <c r="F6240" s="210"/>
      <c r="G6240" s="210"/>
      <c r="H6240" s="210"/>
    </row>
    <row r="6241" spans="3:8" x14ac:dyDescent="0.25">
      <c r="C6241" s="210"/>
      <c r="D6241" s="210"/>
      <c r="E6241" s="210"/>
      <c r="F6241" s="210"/>
      <c r="G6241" s="210"/>
      <c r="H6241" s="210"/>
    </row>
    <row r="6242" spans="3:8" x14ac:dyDescent="0.25">
      <c r="C6242" s="210"/>
      <c r="D6242" s="210"/>
      <c r="E6242" s="210"/>
      <c r="F6242" s="210"/>
      <c r="G6242" s="210"/>
      <c r="H6242" s="210"/>
    </row>
    <row r="6243" spans="3:8" x14ac:dyDescent="0.25">
      <c r="C6243" s="210"/>
      <c r="D6243" s="210"/>
      <c r="E6243" s="210"/>
      <c r="F6243" s="210"/>
      <c r="G6243" s="210"/>
      <c r="H6243" s="210"/>
    </row>
    <row r="6244" spans="3:8" x14ac:dyDescent="0.25">
      <c r="C6244" s="210"/>
      <c r="D6244" s="210"/>
      <c r="E6244" s="210"/>
      <c r="F6244" s="210"/>
      <c r="G6244" s="210"/>
      <c r="H6244" s="210"/>
    </row>
    <row r="6245" spans="3:8" x14ac:dyDescent="0.25">
      <c r="C6245" s="210"/>
      <c r="D6245" s="210"/>
      <c r="E6245" s="210"/>
      <c r="F6245" s="210"/>
      <c r="G6245" s="210"/>
      <c r="H6245" s="210"/>
    </row>
    <row r="6246" spans="3:8" x14ac:dyDescent="0.25">
      <c r="C6246" s="210"/>
      <c r="D6246" s="210"/>
      <c r="E6246" s="210"/>
      <c r="F6246" s="210"/>
      <c r="G6246" s="210"/>
      <c r="H6246" s="210"/>
    </row>
    <row r="6247" spans="3:8" x14ac:dyDescent="0.25">
      <c r="C6247" s="210"/>
      <c r="D6247" s="210"/>
      <c r="E6247" s="210"/>
      <c r="F6247" s="210"/>
      <c r="G6247" s="210"/>
      <c r="H6247" s="210"/>
    </row>
    <row r="6248" spans="3:8" x14ac:dyDescent="0.25">
      <c r="C6248" s="210"/>
      <c r="D6248" s="210"/>
      <c r="E6248" s="210"/>
      <c r="F6248" s="210"/>
      <c r="G6248" s="210"/>
      <c r="H6248" s="210"/>
    </row>
    <row r="6249" spans="3:8" x14ac:dyDescent="0.25">
      <c r="C6249" s="210"/>
      <c r="D6249" s="210"/>
      <c r="E6249" s="210"/>
      <c r="F6249" s="210"/>
      <c r="G6249" s="210"/>
      <c r="H6249" s="210"/>
    </row>
    <row r="6250" spans="3:8" x14ac:dyDescent="0.25">
      <c r="C6250" s="210"/>
      <c r="D6250" s="210"/>
      <c r="E6250" s="210"/>
      <c r="F6250" s="210"/>
      <c r="G6250" s="210"/>
      <c r="H6250" s="210"/>
    </row>
    <row r="6251" spans="3:8" x14ac:dyDescent="0.25">
      <c r="C6251" s="210"/>
      <c r="D6251" s="210"/>
      <c r="E6251" s="210"/>
      <c r="F6251" s="210"/>
      <c r="G6251" s="210"/>
      <c r="H6251" s="210"/>
    </row>
    <row r="6252" spans="3:8" x14ac:dyDescent="0.25">
      <c r="C6252" s="210"/>
      <c r="D6252" s="210"/>
      <c r="E6252" s="210"/>
      <c r="F6252" s="210"/>
      <c r="G6252" s="210"/>
      <c r="H6252" s="210"/>
    </row>
    <row r="6253" spans="3:8" x14ac:dyDescent="0.25">
      <c r="C6253" s="210"/>
      <c r="D6253" s="210"/>
      <c r="E6253" s="210"/>
      <c r="F6253" s="210"/>
      <c r="G6253" s="210"/>
      <c r="H6253" s="210"/>
    </row>
    <row r="6254" spans="3:8" x14ac:dyDescent="0.25">
      <c r="C6254" s="210"/>
      <c r="D6254" s="210"/>
      <c r="E6254" s="210"/>
      <c r="F6254" s="210"/>
      <c r="G6254" s="210"/>
      <c r="H6254" s="210"/>
    </row>
    <row r="6255" spans="3:8" x14ac:dyDescent="0.25">
      <c r="C6255" s="210"/>
      <c r="D6255" s="210"/>
      <c r="E6255" s="210"/>
      <c r="F6255" s="210"/>
      <c r="G6255" s="210"/>
      <c r="H6255" s="210"/>
    </row>
    <row r="6256" spans="3:8" x14ac:dyDescent="0.25">
      <c r="C6256" s="210"/>
      <c r="D6256" s="210"/>
      <c r="E6256" s="210"/>
      <c r="F6256" s="210"/>
      <c r="G6256" s="210"/>
      <c r="H6256" s="210"/>
    </row>
    <row r="6257" spans="3:8" x14ac:dyDescent="0.25">
      <c r="C6257" s="210"/>
      <c r="D6257" s="210"/>
      <c r="E6257" s="210"/>
      <c r="F6257" s="210"/>
      <c r="G6257" s="210"/>
      <c r="H6257" s="210"/>
    </row>
    <row r="6258" spans="3:8" x14ac:dyDescent="0.25">
      <c r="C6258" s="210"/>
      <c r="D6258" s="210"/>
      <c r="E6258" s="210"/>
      <c r="F6258" s="210"/>
      <c r="G6258" s="210"/>
      <c r="H6258" s="210"/>
    </row>
    <row r="6259" spans="3:8" x14ac:dyDescent="0.25">
      <c r="C6259" s="210"/>
      <c r="D6259" s="210"/>
      <c r="E6259" s="210"/>
      <c r="F6259" s="210"/>
      <c r="G6259" s="210"/>
      <c r="H6259" s="210"/>
    </row>
    <row r="6260" spans="3:8" x14ac:dyDescent="0.25">
      <c r="C6260" s="210"/>
      <c r="D6260" s="210"/>
      <c r="E6260" s="210"/>
      <c r="F6260" s="210"/>
      <c r="G6260" s="210"/>
      <c r="H6260" s="210"/>
    </row>
    <row r="6261" spans="3:8" x14ac:dyDescent="0.25">
      <c r="C6261" s="210"/>
      <c r="D6261" s="210"/>
      <c r="E6261" s="210"/>
      <c r="F6261" s="210"/>
      <c r="G6261" s="210"/>
      <c r="H6261" s="210"/>
    </row>
    <row r="6262" spans="3:8" x14ac:dyDescent="0.25">
      <c r="C6262" s="210"/>
      <c r="D6262" s="210"/>
      <c r="E6262" s="210"/>
      <c r="F6262" s="210"/>
      <c r="G6262" s="210"/>
      <c r="H6262" s="210"/>
    </row>
    <row r="6263" spans="3:8" x14ac:dyDescent="0.25">
      <c r="C6263" s="210"/>
      <c r="D6263" s="210"/>
      <c r="E6263" s="210"/>
      <c r="F6263" s="210"/>
      <c r="G6263" s="210"/>
      <c r="H6263" s="210"/>
    </row>
    <row r="6264" spans="3:8" x14ac:dyDescent="0.25">
      <c r="C6264" s="210"/>
      <c r="D6264" s="210"/>
      <c r="E6264" s="210"/>
      <c r="F6264" s="210"/>
      <c r="G6264" s="210"/>
      <c r="H6264" s="210"/>
    </row>
    <row r="6265" spans="3:8" x14ac:dyDescent="0.25">
      <c r="C6265" s="210"/>
      <c r="D6265" s="210"/>
      <c r="E6265" s="210"/>
      <c r="F6265" s="210"/>
      <c r="G6265" s="210"/>
      <c r="H6265" s="210"/>
    </row>
    <row r="6266" spans="3:8" x14ac:dyDescent="0.25">
      <c r="C6266" s="210"/>
      <c r="D6266" s="210"/>
      <c r="E6266" s="210"/>
      <c r="F6266" s="210"/>
      <c r="G6266" s="210"/>
      <c r="H6266" s="210"/>
    </row>
    <row r="6267" spans="3:8" x14ac:dyDescent="0.25">
      <c r="C6267" s="210"/>
      <c r="D6267" s="210"/>
      <c r="E6267" s="210"/>
      <c r="F6267" s="210"/>
      <c r="G6267" s="210"/>
      <c r="H6267" s="210"/>
    </row>
    <row r="6268" spans="3:8" x14ac:dyDescent="0.25">
      <c r="C6268" s="210"/>
      <c r="D6268" s="210"/>
      <c r="E6268" s="210"/>
      <c r="F6268" s="210"/>
      <c r="G6268" s="210"/>
      <c r="H6268" s="210"/>
    </row>
    <row r="6269" spans="3:8" x14ac:dyDescent="0.25">
      <c r="C6269" s="210"/>
      <c r="D6269" s="210"/>
      <c r="E6269" s="210"/>
      <c r="F6269" s="210"/>
      <c r="G6269" s="210"/>
      <c r="H6269" s="210"/>
    </row>
    <row r="6270" spans="3:8" x14ac:dyDescent="0.25">
      <c r="C6270" s="210"/>
      <c r="D6270" s="210"/>
      <c r="E6270" s="210"/>
      <c r="F6270" s="210"/>
      <c r="G6270" s="210"/>
      <c r="H6270" s="210"/>
    </row>
    <row r="6271" spans="3:8" x14ac:dyDescent="0.25">
      <c r="C6271" s="210"/>
      <c r="D6271" s="210"/>
      <c r="E6271" s="210"/>
      <c r="F6271" s="210"/>
      <c r="G6271" s="210"/>
      <c r="H6271" s="210"/>
    </row>
    <row r="6272" spans="3:8" x14ac:dyDescent="0.25">
      <c r="C6272" s="210"/>
      <c r="D6272" s="210"/>
      <c r="E6272" s="210"/>
      <c r="F6272" s="210"/>
      <c r="G6272" s="210"/>
      <c r="H6272" s="210"/>
    </row>
    <row r="6273" spans="3:8" x14ac:dyDescent="0.25">
      <c r="C6273" s="210"/>
      <c r="D6273" s="210"/>
      <c r="E6273" s="210"/>
      <c r="F6273" s="210"/>
      <c r="G6273" s="210"/>
      <c r="H6273" s="210"/>
    </row>
    <row r="6274" spans="3:8" x14ac:dyDescent="0.25">
      <c r="C6274" s="210"/>
      <c r="D6274" s="210"/>
      <c r="E6274" s="210"/>
      <c r="F6274" s="210"/>
      <c r="G6274" s="210"/>
      <c r="H6274" s="210"/>
    </row>
    <row r="6275" spans="3:8" x14ac:dyDescent="0.25">
      <c r="C6275" s="210"/>
      <c r="D6275" s="210"/>
      <c r="E6275" s="210"/>
      <c r="F6275" s="210"/>
      <c r="G6275" s="210"/>
      <c r="H6275" s="210"/>
    </row>
    <row r="6276" spans="3:8" x14ac:dyDescent="0.25">
      <c r="C6276" s="210"/>
      <c r="D6276" s="210"/>
      <c r="E6276" s="210"/>
      <c r="F6276" s="210"/>
      <c r="G6276" s="210"/>
      <c r="H6276" s="210"/>
    </row>
    <row r="6277" spans="3:8" x14ac:dyDescent="0.25">
      <c r="C6277" s="210"/>
      <c r="D6277" s="210"/>
      <c r="E6277" s="210"/>
      <c r="F6277" s="210"/>
      <c r="G6277" s="210"/>
      <c r="H6277" s="210"/>
    </row>
    <row r="6278" spans="3:8" x14ac:dyDescent="0.25">
      <c r="C6278" s="210"/>
      <c r="D6278" s="210"/>
      <c r="E6278" s="210"/>
      <c r="F6278" s="210"/>
      <c r="G6278" s="210"/>
      <c r="H6278" s="210"/>
    </row>
    <row r="6279" spans="3:8" x14ac:dyDescent="0.25">
      <c r="C6279" s="210"/>
      <c r="D6279" s="210"/>
      <c r="E6279" s="210"/>
      <c r="F6279" s="210"/>
      <c r="G6279" s="210"/>
      <c r="H6279" s="210"/>
    </row>
    <row r="6280" spans="3:8" x14ac:dyDescent="0.25">
      <c r="C6280" s="210"/>
      <c r="D6280" s="210"/>
      <c r="E6280" s="210"/>
      <c r="F6280" s="210"/>
      <c r="G6280" s="210"/>
      <c r="H6280" s="210"/>
    </row>
    <row r="6281" spans="3:8" x14ac:dyDescent="0.25">
      <c r="C6281" s="210"/>
      <c r="D6281" s="210"/>
      <c r="E6281" s="210"/>
      <c r="F6281" s="210"/>
      <c r="G6281" s="210"/>
      <c r="H6281" s="210"/>
    </row>
    <row r="6282" spans="3:8" x14ac:dyDescent="0.25">
      <c r="C6282" s="210"/>
      <c r="D6282" s="210"/>
      <c r="E6282" s="210"/>
      <c r="F6282" s="210"/>
      <c r="G6282" s="210"/>
      <c r="H6282" s="210"/>
    </row>
    <row r="6283" spans="3:8" x14ac:dyDescent="0.25">
      <c r="C6283" s="210"/>
      <c r="D6283" s="210"/>
      <c r="E6283" s="210"/>
      <c r="F6283" s="210"/>
      <c r="G6283" s="210"/>
      <c r="H6283" s="210"/>
    </row>
    <row r="6284" spans="3:8" x14ac:dyDescent="0.25">
      <c r="C6284" s="210"/>
      <c r="D6284" s="210"/>
      <c r="E6284" s="210"/>
      <c r="F6284" s="210"/>
      <c r="G6284" s="210"/>
      <c r="H6284" s="210"/>
    </row>
    <row r="6285" spans="3:8" x14ac:dyDescent="0.25">
      <c r="C6285" s="210"/>
      <c r="D6285" s="210"/>
      <c r="E6285" s="210"/>
      <c r="F6285" s="210"/>
      <c r="G6285" s="210"/>
      <c r="H6285" s="210"/>
    </row>
    <row r="6286" spans="3:8" x14ac:dyDescent="0.25">
      <c r="C6286" s="210"/>
      <c r="D6286" s="210"/>
      <c r="E6286" s="210"/>
      <c r="F6286" s="210"/>
      <c r="G6286" s="210"/>
      <c r="H6286" s="210"/>
    </row>
    <row r="6287" spans="3:8" x14ac:dyDescent="0.25">
      <c r="C6287" s="210"/>
      <c r="D6287" s="210"/>
      <c r="E6287" s="210"/>
      <c r="F6287" s="210"/>
      <c r="G6287" s="210"/>
      <c r="H6287" s="210"/>
    </row>
    <row r="6288" spans="3:8" x14ac:dyDescent="0.25">
      <c r="C6288" s="210"/>
      <c r="D6288" s="210"/>
      <c r="E6288" s="210"/>
      <c r="F6288" s="210"/>
      <c r="G6288" s="210"/>
      <c r="H6288" s="210"/>
    </row>
    <row r="6289" spans="3:8" x14ac:dyDescent="0.25">
      <c r="C6289" s="210"/>
      <c r="D6289" s="210"/>
      <c r="E6289" s="210"/>
      <c r="F6289" s="210"/>
      <c r="G6289" s="210"/>
      <c r="H6289" s="210"/>
    </row>
    <row r="6290" spans="3:8" x14ac:dyDescent="0.25">
      <c r="C6290" s="210"/>
      <c r="D6290" s="210"/>
      <c r="E6290" s="210"/>
      <c r="F6290" s="210"/>
      <c r="G6290" s="210"/>
      <c r="H6290" s="210"/>
    </row>
    <row r="6291" spans="3:8" x14ac:dyDescent="0.25">
      <c r="C6291" s="210"/>
      <c r="D6291" s="210"/>
      <c r="E6291" s="210"/>
      <c r="F6291" s="210"/>
      <c r="G6291" s="210"/>
      <c r="H6291" s="210"/>
    </row>
    <row r="6292" spans="3:8" x14ac:dyDescent="0.25">
      <c r="C6292" s="210"/>
      <c r="D6292" s="210"/>
      <c r="E6292" s="210"/>
      <c r="F6292" s="210"/>
      <c r="G6292" s="210"/>
      <c r="H6292" s="210"/>
    </row>
    <row r="6293" spans="3:8" x14ac:dyDescent="0.25">
      <c r="C6293" s="210"/>
      <c r="D6293" s="210"/>
      <c r="E6293" s="210"/>
      <c r="F6293" s="210"/>
      <c r="G6293" s="210"/>
      <c r="H6293" s="210"/>
    </row>
    <row r="6294" spans="3:8" x14ac:dyDescent="0.25">
      <c r="C6294" s="210"/>
      <c r="D6294" s="210"/>
      <c r="E6294" s="210"/>
      <c r="F6294" s="210"/>
      <c r="G6294" s="210"/>
      <c r="H6294" s="210"/>
    </row>
    <row r="6295" spans="3:8" x14ac:dyDescent="0.25">
      <c r="C6295" s="210"/>
      <c r="D6295" s="210"/>
      <c r="E6295" s="210"/>
      <c r="F6295" s="210"/>
      <c r="G6295" s="210"/>
      <c r="H6295" s="210"/>
    </row>
    <row r="6296" spans="3:8" x14ac:dyDescent="0.25">
      <c r="C6296" s="210"/>
      <c r="D6296" s="210"/>
      <c r="E6296" s="210"/>
      <c r="F6296" s="210"/>
      <c r="G6296" s="210"/>
      <c r="H6296" s="210"/>
    </row>
    <row r="6297" spans="3:8" x14ac:dyDescent="0.25">
      <c r="C6297" s="210"/>
      <c r="D6297" s="210"/>
      <c r="E6297" s="210"/>
      <c r="F6297" s="210"/>
      <c r="G6297" s="210"/>
      <c r="H6297" s="210"/>
    </row>
    <row r="6298" spans="3:8" x14ac:dyDescent="0.25">
      <c r="C6298" s="210"/>
      <c r="D6298" s="210"/>
      <c r="E6298" s="210"/>
      <c r="F6298" s="210"/>
      <c r="G6298" s="210"/>
      <c r="H6298" s="210"/>
    </row>
    <row r="6299" spans="3:8" x14ac:dyDescent="0.25">
      <c r="C6299" s="210"/>
      <c r="D6299" s="210"/>
      <c r="E6299" s="210"/>
      <c r="F6299" s="210"/>
      <c r="G6299" s="210"/>
      <c r="H6299" s="210"/>
    </row>
    <row r="6300" spans="3:8" x14ac:dyDescent="0.25">
      <c r="C6300" s="210"/>
      <c r="D6300" s="210"/>
      <c r="E6300" s="210"/>
      <c r="F6300" s="210"/>
      <c r="G6300" s="210"/>
      <c r="H6300" s="210"/>
    </row>
    <row r="6301" spans="3:8" x14ac:dyDescent="0.25">
      <c r="C6301" s="210"/>
      <c r="D6301" s="210"/>
      <c r="E6301" s="210"/>
      <c r="F6301" s="210"/>
      <c r="G6301" s="210"/>
      <c r="H6301" s="210"/>
    </row>
    <row r="6302" spans="3:8" x14ac:dyDescent="0.25">
      <c r="C6302" s="210"/>
      <c r="D6302" s="210"/>
      <c r="E6302" s="210"/>
      <c r="F6302" s="210"/>
      <c r="G6302" s="210"/>
      <c r="H6302" s="210"/>
    </row>
    <row r="6303" spans="3:8" x14ac:dyDescent="0.25">
      <c r="C6303" s="210"/>
      <c r="D6303" s="210"/>
      <c r="E6303" s="210"/>
      <c r="F6303" s="210"/>
      <c r="G6303" s="210"/>
      <c r="H6303" s="210"/>
    </row>
    <row r="6304" spans="3:8" x14ac:dyDescent="0.25">
      <c r="C6304" s="210"/>
      <c r="D6304" s="210"/>
      <c r="E6304" s="210"/>
      <c r="F6304" s="210"/>
      <c r="G6304" s="210"/>
      <c r="H6304" s="210"/>
    </row>
    <row r="6305" spans="3:8" x14ac:dyDescent="0.25">
      <c r="C6305" s="210"/>
      <c r="D6305" s="210"/>
      <c r="E6305" s="210"/>
      <c r="F6305" s="210"/>
      <c r="G6305" s="210"/>
      <c r="H6305" s="210"/>
    </row>
    <row r="6306" spans="3:8" x14ac:dyDescent="0.25">
      <c r="C6306" s="210"/>
      <c r="D6306" s="210"/>
      <c r="E6306" s="210"/>
      <c r="F6306" s="210"/>
      <c r="G6306" s="210"/>
      <c r="H6306" s="210"/>
    </row>
    <row r="6307" spans="3:8" x14ac:dyDescent="0.25">
      <c r="C6307" s="210"/>
      <c r="D6307" s="210"/>
      <c r="E6307" s="210"/>
      <c r="F6307" s="210"/>
      <c r="G6307" s="210"/>
      <c r="H6307" s="210"/>
    </row>
    <row r="6308" spans="3:8" x14ac:dyDescent="0.25">
      <c r="C6308" s="210"/>
      <c r="D6308" s="210"/>
      <c r="E6308" s="210"/>
      <c r="F6308" s="210"/>
      <c r="G6308" s="210"/>
      <c r="H6308" s="210"/>
    </row>
    <row r="6309" spans="3:8" x14ac:dyDescent="0.25">
      <c r="C6309" s="210"/>
      <c r="D6309" s="210"/>
      <c r="E6309" s="210"/>
      <c r="F6309" s="210"/>
      <c r="G6309" s="210"/>
      <c r="H6309" s="210"/>
    </row>
    <row r="6310" spans="3:8" x14ac:dyDescent="0.25">
      <c r="C6310" s="210"/>
      <c r="D6310" s="210"/>
      <c r="E6310" s="210"/>
      <c r="F6310" s="210"/>
      <c r="G6310" s="210"/>
      <c r="H6310" s="210"/>
    </row>
    <row r="6311" spans="3:8" x14ac:dyDescent="0.25">
      <c r="C6311" s="210"/>
      <c r="D6311" s="210"/>
      <c r="E6311" s="210"/>
      <c r="F6311" s="210"/>
      <c r="G6311" s="210"/>
      <c r="H6311" s="210"/>
    </row>
    <row r="6312" spans="3:8" x14ac:dyDescent="0.25">
      <c r="C6312" s="210"/>
      <c r="D6312" s="210"/>
      <c r="E6312" s="210"/>
      <c r="F6312" s="210"/>
      <c r="G6312" s="210"/>
      <c r="H6312" s="210"/>
    </row>
    <row r="6313" spans="3:8" x14ac:dyDescent="0.25">
      <c r="C6313" s="210"/>
      <c r="D6313" s="210"/>
      <c r="E6313" s="210"/>
      <c r="F6313" s="210"/>
      <c r="G6313" s="210"/>
      <c r="H6313" s="210"/>
    </row>
    <row r="6314" spans="3:8" x14ac:dyDescent="0.25">
      <c r="C6314" s="210"/>
      <c r="D6314" s="210"/>
      <c r="E6314" s="210"/>
      <c r="F6314" s="210"/>
      <c r="G6314" s="210"/>
      <c r="H6314" s="210"/>
    </row>
    <row r="6315" spans="3:8" x14ac:dyDescent="0.25">
      <c r="C6315" s="210"/>
      <c r="D6315" s="210"/>
      <c r="E6315" s="210"/>
      <c r="F6315" s="210"/>
      <c r="G6315" s="210"/>
      <c r="H6315" s="210"/>
    </row>
    <row r="6316" spans="3:8" x14ac:dyDescent="0.25">
      <c r="C6316" s="210"/>
      <c r="D6316" s="210"/>
      <c r="E6316" s="210"/>
      <c r="F6316" s="210"/>
      <c r="G6316" s="210"/>
      <c r="H6316" s="210"/>
    </row>
    <row r="6317" spans="3:8" x14ac:dyDescent="0.25">
      <c r="C6317" s="210"/>
      <c r="D6317" s="210"/>
      <c r="E6317" s="210"/>
      <c r="F6317" s="210"/>
      <c r="G6317" s="210"/>
      <c r="H6317" s="210"/>
    </row>
    <row r="6318" spans="3:8" x14ac:dyDescent="0.25">
      <c r="C6318" s="210"/>
      <c r="D6318" s="210"/>
      <c r="E6318" s="210"/>
      <c r="F6318" s="210"/>
      <c r="G6318" s="210"/>
      <c r="H6318" s="210"/>
    </row>
    <row r="6319" spans="3:8" x14ac:dyDescent="0.25">
      <c r="C6319" s="210"/>
      <c r="D6319" s="210"/>
      <c r="E6319" s="210"/>
      <c r="F6319" s="210"/>
      <c r="G6319" s="210"/>
      <c r="H6319" s="210"/>
    </row>
    <row r="6320" spans="3:8" x14ac:dyDescent="0.25">
      <c r="C6320" s="210"/>
      <c r="D6320" s="210"/>
      <c r="E6320" s="210"/>
      <c r="F6320" s="210"/>
      <c r="G6320" s="210"/>
      <c r="H6320" s="210"/>
    </row>
    <row r="6321" spans="3:8" x14ac:dyDescent="0.25">
      <c r="C6321" s="210"/>
      <c r="D6321" s="210"/>
      <c r="E6321" s="210"/>
      <c r="F6321" s="210"/>
      <c r="G6321" s="210"/>
      <c r="H6321" s="210"/>
    </row>
    <row r="6322" spans="3:8" x14ac:dyDescent="0.25">
      <c r="C6322" s="210"/>
      <c r="D6322" s="210"/>
      <c r="E6322" s="210"/>
      <c r="F6322" s="210"/>
      <c r="G6322" s="210"/>
      <c r="H6322" s="210"/>
    </row>
    <row r="6323" spans="3:8" x14ac:dyDescent="0.25">
      <c r="C6323" s="210"/>
      <c r="D6323" s="210"/>
      <c r="E6323" s="210"/>
      <c r="F6323" s="210"/>
      <c r="G6323" s="210"/>
      <c r="H6323" s="210"/>
    </row>
    <row r="6324" spans="3:8" x14ac:dyDescent="0.25">
      <c r="C6324" s="210"/>
      <c r="D6324" s="210"/>
      <c r="E6324" s="210"/>
      <c r="F6324" s="210"/>
      <c r="G6324" s="210"/>
      <c r="H6324" s="210"/>
    </row>
    <row r="6325" spans="3:8" x14ac:dyDescent="0.25">
      <c r="C6325" s="210"/>
      <c r="D6325" s="210"/>
      <c r="E6325" s="210"/>
      <c r="F6325" s="210"/>
      <c r="G6325" s="210"/>
      <c r="H6325" s="210"/>
    </row>
    <row r="6326" spans="3:8" x14ac:dyDescent="0.25">
      <c r="C6326" s="210"/>
      <c r="D6326" s="210"/>
      <c r="E6326" s="210"/>
      <c r="F6326" s="210"/>
      <c r="G6326" s="210"/>
      <c r="H6326" s="210"/>
    </row>
    <row r="6327" spans="3:8" x14ac:dyDescent="0.25">
      <c r="C6327" s="210"/>
      <c r="D6327" s="210"/>
      <c r="E6327" s="210"/>
      <c r="F6327" s="210"/>
      <c r="G6327" s="210"/>
      <c r="H6327" s="210"/>
    </row>
    <row r="6328" spans="3:8" x14ac:dyDescent="0.25">
      <c r="C6328" s="210"/>
      <c r="D6328" s="210"/>
      <c r="E6328" s="210"/>
      <c r="F6328" s="210"/>
      <c r="G6328" s="210"/>
      <c r="H6328" s="210"/>
    </row>
    <row r="6329" spans="3:8" x14ac:dyDescent="0.25">
      <c r="C6329" s="210"/>
      <c r="D6329" s="210"/>
      <c r="E6329" s="210"/>
      <c r="F6329" s="210"/>
      <c r="G6329" s="210"/>
      <c r="H6329" s="210"/>
    </row>
    <row r="6330" spans="3:8" x14ac:dyDescent="0.25">
      <c r="C6330" s="210"/>
      <c r="D6330" s="210"/>
      <c r="E6330" s="210"/>
      <c r="F6330" s="210"/>
      <c r="G6330" s="210"/>
      <c r="H6330" s="210"/>
    </row>
    <row r="6331" spans="3:8" x14ac:dyDescent="0.25">
      <c r="C6331" s="210"/>
      <c r="D6331" s="210"/>
      <c r="E6331" s="210"/>
      <c r="F6331" s="210"/>
      <c r="G6331" s="210"/>
      <c r="H6331" s="210"/>
    </row>
    <row r="6332" spans="3:8" x14ac:dyDescent="0.25">
      <c r="C6332" s="210"/>
      <c r="D6332" s="210"/>
      <c r="E6332" s="210"/>
      <c r="F6332" s="210"/>
      <c r="G6332" s="210"/>
      <c r="H6332" s="210"/>
    </row>
    <row r="6333" spans="3:8" x14ac:dyDescent="0.25">
      <c r="C6333" s="210"/>
      <c r="D6333" s="210"/>
      <c r="E6333" s="210"/>
      <c r="F6333" s="210"/>
      <c r="G6333" s="210"/>
      <c r="H6333" s="210"/>
    </row>
    <row r="6334" spans="3:8" x14ac:dyDescent="0.25">
      <c r="C6334" s="210"/>
      <c r="D6334" s="210"/>
      <c r="E6334" s="210"/>
      <c r="F6334" s="210"/>
      <c r="G6334" s="210"/>
      <c r="H6334" s="210"/>
    </row>
    <row r="6335" spans="3:8" x14ac:dyDescent="0.25">
      <c r="C6335" s="210"/>
      <c r="D6335" s="210"/>
      <c r="E6335" s="210"/>
      <c r="F6335" s="210"/>
      <c r="G6335" s="210"/>
      <c r="H6335" s="210"/>
    </row>
    <row r="6336" spans="3:8" x14ac:dyDescent="0.25">
      <c r="C6336" s="210"/>
      <c r="D6336" s="210"/>
      <c r="E6336" s="210"/>
      <c r="F6336" s="210"/>
      <c r="G6336" s="210"/>
      <c r="H6336" s="210"/>
    </row>
    <row r="6337" spans="3:8" x14ac:dyDescent="0.25">
      <c r="C6337" s="210"/>
      <c r="D6337" s="210"/>
      <c r="E6337" s="210"/>
      <c r="F6337" s="210"/>
      <c r="G6337" s="210"/>
      <c r="H6337" s="210"/>
    </row>
    <row r="6338" spans="3:8" x14ac:dyDescent="0.25">
      <c r="C6338" s="210"/>
      <c r="D6338" s="210"/>
      <c r="E6338" s="210"/>
      <c r="F6338" s="210"/>
      <c r="G6338" s="210"/>
      <c r="H6338" s="210"/>
    </row>
    <row r="6339" spans="3:8" x14ac:dyDescent="0.25">
      <c r="C6339" s="210"/>
      <c r="D6339" s="210"/>
      <c r="E6339" s="210"/>
      <c r="F6339" s="210"/>
      <c r="G6339" s="210"/>
      <c r="H6339" s="210"/>
    </row>
    <row r="6340" spans="3:8" x14ac:dyDescent="0.25">
      <c r="C6340" s="210"/>
      <c r="D6340" s="210"/>
      <c r="E6340" s="210"/>
      <c r="F6340" s="210"/>
      <c r="G6340" s="210"/>
      <c r="H6340" s="210"/>
    </row>
    <row r="6341" spans="3:8" x14ac:dyDescent="0.25">
      <c r="C6341" s="210"/>
      <c r="D6341" s="210"/>
      <c r="E6341" s="210"/>
      <c r="F6341" s="210"/>
      <c r="G6341" s="210"/>
      <c r="H6341" s="210"/>
    </row>
    <row r="6342" spans="3:8" x14ac:dyDescent="0.25">
      <c r="C6342" s="210"/>
      <c r="D6342" s="210"/>
      <c r="E6342" s="210"/>
      <c r="F6342" s="210"/>
      <c r="G6342" s="210"/>
      <c r="H6342" s="210"/>
    </row>
    <row r="6343" spans="3:8" x14ac:dyDescent="0.25">
      <c r="C6343" s="210"/>
      <c r="D6343" s="210"/>
      <c r="E6343" s="210"/>
      <c r="F6343" s="210"/>
      <c r="G6343" s="210"/>
      <c r="H6343" s="210"/>
    </row>
    <row r="6344" spans="3:8" x14ac:dyDescent="0.25">
      <c r="C6344" s="210"/>
      <c r="D6344" s="210"/>
      <c r="E6344" s="210"/>
      <c r="F6344" s="210"/>
      <c r="G6344" s="210"/>
      <c r="H6344" s="210"/>
    </row>
    <row r="6345" spans="3:8" x14ac:dyDescent="0.25">
      <c r="C6345" s="210"/>
      <c r="D6345" s="210"/>
      <c r="E6345" s="210"/>
      <c r="F6345" s="210"/>
      <c r="G6345" s="210"/>
      <c r="H6345" s="210"/>
    </row>
    <row r="6346" spans="3:8" x14ac:dyDescent="0.25">
      <c r="C6346" s="210"/>
      <c r="D6346" s="210"/>
      <c r="E6346" s="210"/>
      <c r="F6346" s="210"/>
      <c r="G6346" s="210"/>
      <c r="H6346" s="210"/>
    </row>
    <row r="6347" spans="3:8" x14ac:dyDescent="0.25">
      <c r="C6347" s="210"/>
      <c r="D6347" s="210"/>
      <c r="E6347" s="210"/>
      <c r="F6347" s="210"/>
      <c r="G6347" s="210"/>
      <c r="H6347" s="210"/>
    </row>
    <row r="6348" spans="3:8" x14ac:dyDescent="0.25">
      <c r="C6348" s="210"/>
      <c r="D6348" s="210"/>
      <c r="E6348" s="210"/>
      <c r="F6348" s="210"/>
      <c r="G6348" s="210"/>
      <c r="H6348" s="210"/>
    </row>
    <row r="6349" spans="3:8" x14ac:dyDescent="0.25">
      <c r="C6349" s="210"/>
      <c r="D6349" s="210"/>
      <c r="E6349" s="210"/>
      <c r="F6349" s="210"/>
      <c r="G6349" s="210"/>
      <c r="H6349" s="210"/>
    </row>
    <row r="6350" spans="3:8" x14ac:dyDescent="0.25">
      <c r="C6350" s="210"/>
      <c r="D6350" s="210"/>
      <c r="E6350" s="210"/>
      <c r="F6350" s="210"/>
      <c r="G6350" s="210"/>
      <c r="H6350" s="210"/>
    </row>
    <row r="6351" spans="3:8" x14ac:dyDescent="0.25">
      <c r="C6351" s="210"/>
      <c r="D6351" s="210"/>
      <c r="E6351" s="210"/>
      <c r="F6351" s="210"/>
      <c r="G6351" s="210"/>
      <c r="H6351" s="210"/>
    </row>
    <row r="6352" spans="3:8" x14ac:dyDescent="0.25">
      <c r="C6352" s="210"/>
      <c r="D6352" s="210"/>
      <c r="E6352" s="210"/>
      <c r="F6352" s="210"/>
      <c r="G6352" s="210"/>
      <c r="H6352" s="210"/>
    </row>
    <row r="6353" spans="3:8" x14ac:dyDescent="0.25">
      <c r="C6353" s="210"/>
      <c r="D6353" s="210"/>
      <c r="E6353" s="210"/>
      <c r="F6353" s="210"/>
      <c r="G6353" s="210"/>
      <c r="H6353" s="210"/>
    </row>
    <row r="6354" spans="3:8" x14ac:dyDescent="0.25">
      <c r="C6354" s="210"/>
      <c r="D6354" s="210"/>
      <c r="E6354" s="210"/>
      <c r="F6354" s="210"/>
      <c r="G6354" s="210"/>
      <c r="H6354" s="210"/>
    </row>
    <row r="6355" spans="3:8" x14ac:dyDescent="0.25">
      <c r="C6355" s="210"/>
      <c r="D6355" s="210"/>
      <c r="E6355" s="210"/>
      <c r="F6355" s="210"/>
      <c r="G6355" s="210"/>
      <c r="H6355" s="210"/>
    </row>
    <row r="6356" spans="3:8" x14ac:dyDescent="0.25">
      <c r="C6356" s="210"/>
      <c r="D6356" s="210"/>
      <c r="E6356" s="210"/>
      <c r="F6356" s="210"/>
      <c r="G6356" s="210"/>
      <c r="H6356" s="210"/>
    </row>
    <row r="6357" spans="3:8" x14ac:dyDescent="0.25">
      <c r="C6357" s="210"/>
      <c r="D6357" s="210"/>
      <c r="E6357" s="210"/>
      <c r="F6357" s="210"/>
      <c r="G6357" s="210"/>
      <c r="H6357" s="210"/>
    </row>
    <row r="6358" spans="3:8" x14ac:dyDescent="0.25">
      <c r="C6358" s="210"/>
      <c r="D6358" s="210"/>
      <c r="E6358" s="210"/>
      <c r="F6358" s="210"/>
      <c r="G6358" s="210"/>
      <c r="H6358" s="210"/>
    </row>
    <row r="6359" spans="3:8" x14ac:dyDescent="0.25">
      <c r="C6359" s="210"/>
      <c r="D6359" s="210"/>
      <c r="E6359" s="210"/>
      <c r="F6359" s="210"/>
      <c r="G6359" s="210"/>
      <c r="H6359" s="210"/>
    </row>
    <row r="6360" spans="3:8" x14ac:dyDescent="0.25">
      <c r="C6360" s="210"/>
      <c r="D6360" s="210"/>
      <c r="E6360" s="210"/>
      <c r="F6360" s="210"/>
      <c r="G6360" s="210"/>
      <c r="H6360" s="210"/>
    </row>
    <row r="6361" spans="3:8" x14ac:dyDescent="0.25">
      <c r="C6361" s="210"/>
      <c r="D6361" s="210"/>
      <c r="E6361" s="210"/>
      <c r="F6361" s="210"/>
      <c r="G6361" s="210"/>
      <c r="H6361" s="210"/>
    </row>
    <row r="6362" spans="3:8" x14ac:dyDescent="0.25">
      <c r="C6362" s="210"/>
      <c r="D6362" s="210"/>
      <c r="E6362" s="210"/>
      <c r="F6362" s="210"/>
      <c r="G6362" s="210"/>
      <c r="H6362" s="210"/>
    </row>
    <row r="6363" spans="3:8" x14ac:dyDescent="0.25">
      <c r="C6363" s="210"/>
      <c r="D6363" s="210"/>
      <c r="E6363" s="210"/>
      <c r="F6363" s="210"/>
      <c r="G6363" s="210"/>
      <c r="H6363" s="210"/>
    </row>
    <row r="6364" spans="3:8" x14ac:dyDescent="0.25">
      <c r="C6364" s="210"/>
      <c r="D6364" s="210"/>
      <c r="E6364" s="210"/>
      <c r="F6364" s="210"/>
      <c r="G6364" s="210"/>
      <c r="H6364" s="210"/>
    </row>
    <row r="6365" spans="3:8" x14ac:dyDescent="0.25">
      <c r="C6365" s="210"/>
      <c r="D6365" s="210"/>
      <c r="E6365" s="210"/>
      <c r="F6365" s="210"/>
      <c r="G6365" s="210"/>
      <c r="H6365" s="210"/>
    </row>
    <row r="6366" spans="3:8" x14ac:dyDescent="0.25">
      <c r="C6366" s="210"/>
      <c r="D6366" s="210"/>
      <c r="E6366" s="210"/>
      <c r="F6366" s="210"/>
      <c r="G6366" s="210"/>
      <c r="H6366" s="210"/>
    </row>
    <row r="6367" spans="3:8" x14ac:dyDescent="0.25">
      <c r="C6367" s="210"/>
      <c r="D6367" s="210"/>
      <c r="E6367" s="210"/>
      <c r="F6367" s="210"/>
      <c r="G6367" s="210"/>
      <c r="H6367" s="210"/>
    </row>
    <row r="6368" spans="3:8" x14ac:dyDescent="0.25">
      <c r="C6368" s="210"/>
      <c r="D6368" s="210"/>
      <c r="E6368" s="210"/>
      <c r="F6368" s="210"/>
      <c r="G6368" s="210"/>
      <c r="H6368" s="210"/>
    </row>
    <row r="6369" spans="3:8" x14ac:dyDescent="0.25">
      <c r="C6369" s="210"/>
      <c r="D6369" s="210"/>
      <c r="E6369" s="210"/>
      <c r="F6369" s="210"/>
      <c r="G6369" s="210"/>
      <c r="H6369" s="210"/>
    </row>
    <row r="6370" spans="3:8" x14ac:dyDescent="0.25">
      <c r="C6370" s="210"/>
      <c r="D6370" s="210"/>
      <c r="E6370" s="210"/>
      <c r="F6370" s="210"/>
      <c r="G6370" s="210"/>
      <c r="H6370" s="210"/>
    </row>
    <row r="6371" spans="3:8" x14ac:dyDescent="0.25">
      <c r="C6371" s="210"/>
      <c r="D6371" s="210"/>
      <c r="E6371" s="210"/>
      <c r="F6371" s="210"/>
      <c r="G6371" s="210"/>
      <c r="H6371" s="210"/>
    </row>
    <row r="6372" spans="3:8" x14ac:dyDescent="0.25">
      <c r="C6372" s="210"/>
      <c r="D6372" s="210"/>
      <c r="E6372" s="210"/>
      <c r="F6372" s="210"/>
      <c r="G6372" s="210"/>
      <c r="H6372" s="210"/>
    </row>
    <row r="6373" spans="3:8" x14ac:dyDescent="0.25">
      <c r="C6373" s="210"/>
      <c r="D6373" s="210"/>
      <c r="E6373" s="210"/>
      <c r="F6373" s="210"/>
      <c r="G6373" s="210"/>
      <c r="H6373" s="210"/>
    </row>
    <row r="6374" spans="3:8" x14ac:dyDescent="0.25">
      <c r="C6374" s="210"/>
      <c r="D6374" s="210"/>
      <c r="E6374" s="210"/>
      <c r="F6374" s="210"/>
      <c r="G6374" s="210"/>
      <c r="H6374" s="210"/>
    </row>
    <row r="6375" spans="3:8" x14ac:dyDescent="0.25">
      <c r="C6375" s="210"/>
      <c r="D6375" s="210"/>
      <c r="E6375" s="210"/>
      <c r="F6375" s="210"/>
      <c r="G6375" s="210"/>
      <c r="H6375" s="210"/>
    </row>
    <row r="6376" spans="3:8" x14ac:dyDescent="0.25">
      <c r="C6376" s="210"/>
      <c r="D6376" s="210"/>
      <c r="E6376" s="210"/>
      <c r="F6376" s="210"/>
      <c r="G6376" s="210"/>
      <c r="H6376" s="210"/>
    </row>
    <row r="6377" spans="3:8" x14ac:dyDescent="0.25">
      <c r="C6377" s="210"/>
      <c r="D6377" s="210"/>
      <c r="E6377" s="210"/>
      <c r="F6377" s="210"/>
      <c r="G6377" s="210"/>
      <c r="H6377" s="210"/>
    </row>
    <row r="6378" spans="3:8" x14ac:dyDescent="0.25">
      <c r="C6378" s="210"/>
      <c r="D6378" s="210"/>
      <c r="E6378" s="210"/>
      <c r="F6378" s="210"/>
      <c r="G6378" s="210"/>
      <c r="H6378" s="210"/>
    </row>
    <row r="6379" spans="3:8" x14ac:dyDescent="0.25">
      <c r="C6379" s="210"/>
      <c r="D6379" s="210"/>
      <c r="E6379" s="210"/>
      <c r="F6379" s="210"/>
      <c r="G6379" s="210"/>
      <c r="H6379" s="210"/>
    </row>
    <row r="6380" spans="3:8" x14ac:dyDescent="0.25">
      <c r="C6380" s="210"/>
      <c r="D6380" s="210"/>
      <c r="E6380" s="210"/>
      <c r="F6380" s="210"/>
      <c r="G6380" s="210"/>
      <c r="H6380" s="210"/>
    </row>
    <row r="6381" spans="3:8" x14ac:dyDescent="0.25">
      <c r="C6381" s="210"/>
      <c r="D6381" s="210"/>
      <c r="E6381" s="210"/>
      <c r="F6381" s="210"/>
      <c r="G6381" s="210"/>
      <c r="H6381" s="210"/>
    </row>
    <row r="6382" spans="3:8" x14ac:dyDescent="0.25">
      <c r="C6382" s="210"/>
      <c r="D6382" s="210"/>
      <c r="E6382" s="210"/>
      <c r="F6382" s="210"/>
      <c r="G6382" s="210"/>
      <c r="H6382" s="210"/>
    </row>
    <row r="6383" spans="3:8" x14ac:dyDescent="0.25">
      <c r="C6383" s="210"/>
      <c r="D6383" s="210"/>
      <c r="E6383" s="210"/>
      <c r="F6383" s="210"/>
      <c r="G6383" s="210"/>
      <c r="H6383" s="210"/>
    </row>
    <row r="6384" spans="3:8" x14ac:dyDescent="0.25">
      <c r="C6384" s="210"/>
      <c r="D6384" s="210"/>
      <c r="E6384" s="210"/>
      <c r="F6384" s="210"/>
      <c r="G6384" s="210"/>
      <c r="H6384" s="210"/>
    </row>
    <row r="6385" spans="3:8" x14ac:dyDescent="0.25">
      <c r="C6385" s="210"/>
      <c r="D6385" s="210"/>
      <c r="E6385" s="210"/>
      <c r="F6385" s="210"/>
      <c r="G6385" s="210"/>
      <c r="H6385" s="210"/>
    </row>
    <row r="6386" spans="3:8" x14ac:dyDescent="0.25">
      <c r="C6386" s="210"/>
      <c r="D6386" s="210"/>
      <c r="E6386" s="210"/>
      <c r="F6386" s="210"/>
      <c r="G6386" s="210"/>
      <c r="H6386" s="210"/>
    </row>
    <row r="6387" spans="3:8" x14ac:dyDescent="0.25">
      <c r="C6387" s="210"/>
      <c r="D6387" s="210"/>
      <c r="E6387" s="210"/>
      <c r="F6387" s="210"/>
      <c r="G6387" s="210"/>
      <c r="H6387" s="210"/>
    </row>
    <row r="6388" spans="3:8" x14ac:dyDescent="0.25">
      <c r="C6388" s="210"/>
      <c r="D6388" s="210"/>
      <c r="E6388" s="210"/>
      <c r="F6388" s="210"/>
      <c r="G6388" s="210"/>
      <c r="H6388" s="210"/>
    </row>
    <row r="6389" spans="3:8" x14ac:dyDescent="0.25">
      <c r="C6389" s="210"/>
      <c r="D6389" s="210"/>
      <c r="E6389" s="210"/>
      <c r="F6389" s="210"/>
      <c r="G6389" s="210"/>
      <c r="H6389" s="210"/>
    </row>
    <row r="6390" spans="3:8" x14ac:dyDescent="0.25">
      <c r="C6390" s="210"/>
      <c r="D6390" s="210"/>
      <c r="E6390" s="210"/>
      <c r="F6390" s="210"/>
      <c r="G6390" s="210"/>
      <c r="H6390" s="210"/>
    </row>
    <row r="6391" spans="3:8" x14ac:dyDescent="0.25">
      <c r="C6391" s="210"/>
      <c r="D6391" s="210"/>
      <c r="E6391" s="210"/>
      <c r="F6391" s="210"/>
      <c r="G6391" s="210"/>
      <c r="H6391" s="210"/>
    </row>
    <row r="6392" spans="3:8" x14ac:dyDescent="0.25">
      <c r="C6392" s="210"/>
      <c r="D6392" s="210"/>
      <c r="E6392" s="210"/>
      <c r="F6392" s="210"/>
      <c r="G6392" s="210"/>
      <c r="H6392" s="210"/>
    </row>
    <row r="6393" spans="3:8" x14ac:dyDescent="0.25">
      <c r="C6393" s="210"/>
      <c r="D6393" s="210"/>
      <c r="E6393" s="210"/>
      <c r="F6393" s="210"/>
      <c r="G6393" s="210"/>
      <c r="H6393" s="210"/>
    </row>
    <row r="6394" spans="3:8" x14ac:dyDescent="0.25">
      <c r="C6394" s="210"/>
      <c r="D6394" s="210"/>
      <c r="E6394" s="210"/>
      <c r="F6394" s="210"/>
      <c r="G6394" s="210"/>
      <c r="H6394" s="210"/>
    </row>
    <row r="6395" spans="3:8" x14ac:dyDescent="0.25">
      <c r="C6395" s="210"/>
      <c r="D6395" s="210"/>
      <c r="E6395" s="210"/>
      <c r="F6395" s="210"/>
      <c r="G6395" s="210"/>
      <c r="H6395" s="210"/>
    </row>
    <row r="6396" spans="3:8" x14ac:dyDescent="0.25">
      <c r="C6396" s="210"/>
      <c r="D6396" s="210"/>
      <c r="E6396" s="210"/>
      <c r="F6396" s="210"/>
      <c r="G6396" s="210"/>
      <c r="H6396" s="210"/>
    </row>
    <row r="6397" spans="3:8" x14ac:dyDescent="0.25">
      <c r="C6397" s="210"/>
      <c r="D6397" s="210"/>
      <c r="E6397" s="210"/>
      <c r="F6397" s="210"/>
      <c r="G6397" s="210"/>
      <c r="H6397" s="210"/>
    </row>
    <row r="6398" spans="3:8" x14ac:dyDescent="0.25">
      <c r="C6398" s="210"/>
      <c r="D6398" s="210"/>
      <c r="E6398" s="210"/>
      <c r="F6398" s="210"/>
      <c r="G6398" s="210"/>
      <c r="H6398" s="210"/>
    </row>
    <row r="6399" spans="3:8" x14ac:dyDescent="0.25">
      <c r="C6399" s="210"/>
      <c r="D6399" s="210"/>
      <c r="E6399" s="210"/>
      <c r="F6399" s="210"/>
      <c r="G6399" s="210"/>
      <c r="H6399" s="210"/>
    </row>
    <row r="6400" spans="3:8" x14ac:dyDescent="0.25">
      <c r="C6400" s="210"/>
      <c r="D6400" s="210"/>
      <c r="E6400" s="210"/>
      <c r="F6400" s="210"/>
      <c r="G6400" s="210"/>
      <c r="H6400" s="210"/>
    </row>
    <row r="6401" spans="3:8" x14ac:dyDescent="0.25">
      <c r="C6401" s="210"/>
      <c r="D6401" s="210"/>
      <c r="E6401" s="210"/>
      <c r="F6401" s="210"/>
      <c r="G6401" s="210"/>
      <c r="H6401" s="210"/>
    </row>
    <row r="6402" spans="3:8" x14ac:dyDescent="0.25">
      <c r="C6402" s="210"/>
      <c r="D6402" s="210"/>
      <c r="E6402" s="210"/>
      <c r="F6402" s="210"/>
      <c r="G6402" s="210"/>
      <c r="H6402" s="210"/>
    </row>
    <row r="6403" spans="3:8" x14ac:dyDescent="0.25">
      <c r="C6403" s="210"/>
      <c r="D6403" s="210"/>
      <c r="E6403" s="210"/>
      <c r="F6403" s="210"/>
      <c r="G6403" s="210"/>
      <c r="H6403" s="210"/>
    </row>
    <row r="6404" spans="3:8" x14ac:dyDescent="0.25">
      <c r="C6404" s="210"/>
      <c r="D6404" s="210"/>
      <c r="E6404" s="210"/>
      <c r="F6404" s="210"/>
      <c r="G6404" s="210"/>
      <c r="H6404" s="210"/>
    </row>
    <row r="6405" spans="3:8" x14ac:dyDescent="0.25">
      <c r="C6405" s="210"/>
      <c r="D6405" s="210"/>
      <c r="E6405" s="210"/>
      <c r="F6405" s="210"/>
      <c r="G6405" s="210"/>
      <c r="H6405" s="210"/>
    </row>
    <row r="6406" spans="3:8" x14ac:dyDescent="0.25">
      <c r="C6406" s="210"/>
      <c r="D6406" s="210"/>
      <c r="E6406" s="210"/>
      <c r="F6406" s="210"/>
      <c r="G6406" s="210"/>
      <c r="H6406" s="210"/>
    </row>
    <row r="6407" spans="3:8" x14ac:dyDescent="0.25">
      <c r="C6407" s="210"/>
      <c r="D6407" s="210"/>
      <c r="E6407" s="210"/>
      <c r="F6407" s="210"/>
      <c r="G6407" s="210"/>
      <c r="H6407" s="210"/>
    </row>
    <row r="6408" spans="3:8" x14ac:dyDescent="0.25">
      <c r="C6408" s="210"/>
      <c r="D6408" s="210"/>
      <c r="E6408" s="210"/>
      <c r="F6408" s="210"/>
      <c r="G6408" s="210"/>
      <c r="H6408" s="210"/>
    </row>
    <row r="6409" spans="3:8" x14ac:dyDescent="0.25">
      <c r="C6409" s="210"/>
      <c r="D6409" s="210"/>
      <c r="E6409" s="210"/>
      <c r="F6409" s="210"/>
      <c r="G6409" s="210"/>
      <c r="H6409" s="210"/>
    </row>
    <row r="6410" spans="3:8" x14ac:dyDescent="0.25">
      <c r="C6410" s="210"/>
      <c r="D6410" s="210"/>
      <c r="E6410" s="210"/>
      <c r="F6410" s="210"/>
      <c r="G6410" s="210"/>
      <c r="H6410" s="210"/>
    </row>
    <row r="6411" spans="3:8" x14ac:dyDescent="0.25">
      <c r="C6411" s="210"/>
      <c r="D6411" s="210"/>
      <c r="E6411" s="210"/>
      <c r="F6411" s="210"/>
      <c r="G6411" s="210"/>
      <c r="H6411" s="210"/>
    </row>
    <row r="6412" spans="3:8" x14ac:dyDescent="0.25">
      <c r="C6412" s="210"/>
      <c r="D6412" s="210"/>
      <c r="E6412" s="210"/>
      <c r="F6412" s="210"/>
      <c r="G6412" s="210"/>
      <c r="H6412" s="210"/>
    </row>
    <row r="6413" spans="3:8" x14ac:dyDescent="0.25">
      <c r="C6413" s="210"/>
      <c r="D6413" s="210"/>
      <c r="E6413" s="210"/>
      <c r="F6413" s="210"/>
      <c r="G6413" s="210"/>
      <c r="H6413" s="210"/>
    </row>
    <row r="6414" spans="3:8" x14ac:dyDescent="0.25">
      <c r="C6414" s="210"/>
      <c r="D6414" s="210"/>
      <c r="E6414" s="210"/>
      <c r="F6414" s="210"/>
      <c r="G6414" s="210"/>
      <c r="H6414" s="210"/>
    </row>
    <row r="6415" spans="3:8" x14ac:dyDescent="0.25">
      <c r="C6415" s="210"/>
      <c r="D6415" s="210"/>
      <c r="E6415" s="210"/>
      <c r="F6415" s="210"/>
      <c r="G6415" s="210"/>
      <c r="H6415" s="210"/>
    </row>
    <row r="6416" spans="3:8" x14ac:dyDescent="0.25">
      <c r="C6416" s="210"/>
      <c r="D6416" s="210"/>
      <c r="E6416" s="210"/>
      <c r="F6416" s="210"/>
      <c r="G6416" s="210"/>
      <c r="H6416" s="210"/>
    </row>
    <row r="6417" spans="3:8" x14ac:dyDescent="0.25">
      <c r="C6417" s="210"/>
      <c r="D6417" s="210"/>
      <c r="E6417" s="210"/>
      <c r="F6417" s="210"/>
      <c r="G6417" s="210"/>
      <c r="H6417" s="210"/>
    </row>
    <row r="6418" spans="3:8" x14ac:dyDescent="0.25">
      <c r="C6418" s="210"/>
      <c r="D6418" s="210"/>
      <c r="E6418" s="210"/>
      <c r="F6418" s="210"/>
      <c r="G6418" s="210"/>
      <c r="H6418" s="210"/>
    </row>
    <row r="6419" spans="3:8" x14ac:dyDescent="0.25">
      <c r="C6419" s="210"/>
      <c r="D6419" s="210"/>
      <c r="E6419" s="210"/>
      <c r="F6419" s="210"/>
      <c r="G6419" s="210"/>
      <c r="H6419" s="210"/>
    </row>
    <row r="6420" spans="3:8" x14ac:dyDescent="0.25">
      <c r="C6420" s="210"/>
      <c r="D6420" s="210"/>
      <c r="E6420" s="210"/>
      <c r="F6420" s="210"/>
      <c r="G6420" s="210"/>
      <c r="H6420" s="210"/>
    </row>
    <row r="6421" spans="3:8" x14ac:dyDescent="0.25">
      <c r="C6421" s="210"/>
      <c r="D6421" s="210"/>
      <c r="E6421" s="210"/>
      <c r="F6421" s="210"/>
      <c r="G6421" s="210"/>
      <c r="H6421" s="210"/>
    </row>
    <row r="6422" spans="3:8" x14ac:dyDescent="0.25">
      <c r="C6422" s="210"/>
      <c r="D6422" s="210"/>
      <c r="E6422" s="210"/>
      <c r="F6422" s="210"/>
      <c r="G6422" s="210"/>
      <c r="H6422" s="210"/>
    </row>
    <row r="6423" spans="3:8" x14ac:dyDescent="0.25">
      <c r="C6423" s="210"/>
      <c r="D6423" s="210"/>
      <c r="E6423" s="210"/>
      <c r="F6423" s="210"/>
      <c r="G6423" s="210"/>
      <c r="H6423" s="210"/>
    </row>
    <row r="6424" spans="3:8" x14ac:dyDescent="0.25">
      <c r="C6424" s="210"/>
      <c r="D6424" s="210"/>
      <c r="E6424" s="210"/>
      <c r="F6424" s="210"/>
      <c r="G6424" s="210"/>
      <c r="H6424" s="210"/>
    </row>
    <row r="6425" spans="3:8" x14ac:dyDescent="0.25">
      <c r="C6425" s="210"/>
      <c r="D6425" s="210"/>
      <c r="E6425" s="210"/>
      <c r="F6425" s="210"/>
      <c r="G6425" s="210"/>
      <c r="H6425" s="210"/>
    </row>
    <row r="6426" spans="3:8" x14ac:dyDescent="0.25">
      <c r="C6426" s="210"/>
      <c r="D6426" s="210"/>
      <c r="E6426" s="210"/>
      <c r="F6426" s="210"/>
      <c r="G6426" s="210"/>
      <c r="H6426" s="210"/>
    </row>
    <row r="6427" spans="3:8" x14ac:dyDescent="0.25">
      <c r="C6427" s="210"/>
      <c r="D6427" s="210"/>
      <c r="E6427" s="210"/>
      <c r="F6427" s="210"/>
      <c r="G6427" s="210"/>
      <c r="H6427" s="210"/>
    </row>
    <row r="6428" spans="3:8" x14ac:dyDescent="0.25">
      <c r="C6428" s="210"/>
      <c r="D6428" s="210"/>
      <c r="E6428" s="210"/>
      <c r="F6428" s="210"/>
      <c r="G6428" s="210"/>
      <c r="H6428" s="210"/>
    </row>
    <row r="6429" spans="3:8" x14ac:dyDescent="0.25">
      <c r="C6429" s="210"/>
      <c r="D6429" s="210"/>
      <c r="E6429" s="210"/>
      <c r="F6429" s="210"/>
      <c r="G6429" s="210"/>
      <c r="H6429" s="210"/>
    </row>
    <row r="6430" spans="3:8" x14ac:dyDescent="0.25">
      <c r="C6430" s="210"/>
      <c r="D6430" s="210"/>
      <c r="E6430" s="210"/>
      <c r="F6430" s="210"/>
      <c r="G6430" s="210"/>
      <c r="H6430" s="210"/>
    </row>
    <row r="6431" spans="3:8" x14ac:dyDescent="0.25">
      <c r="C6431" s="210"/>
      <c r="D6431" s="210"/>
      <c r="E6431" s="210"/>
      <c r="F6431" s="210"/>
      <c r="G6431" s="210"/>
      <c r="H6431" s="210"/>
    </row>
    <row r="6432" spans="3:8" x14ac:dyDescent="0.25">
      <c r="C6432" s="210"/>
      <c r="D6432" s="210"/>
      <c r="E6432" s="210"/>
      <c r="F6432" s="210"/>
      <c r="G6432" s="210"/>
      <c r="H6432" s="210"/>
    </row>
    <row r="6433" spans="3:8" x14ac:dyDescent="0.25">
      <c r="C6433" s="210"/>
      <c r="D6433" s="210"/>
      <c r="E6433" s="210"/>
      <c r="F6433" s="210"/>
      <c r="G6433" s="210"/>
      <c r="H6433" s="210"/>
    </row>
    <row r="6434" spans="3:8" x14ac:dyDescent="0.25">
      <c r="C6434" s="210"/>
      <c r="D6434" s="210"/>
      <c r="E6434" s="210"/>
      <c r="F6434" s="210"/>
      <c r="G6434" s="210"/>
      <c r="H6434" s="210"/>
    </row>
    <row r="6435" spans="3:8" x14ac:dyDescent="0.25">
      <c r="C6435" s="210"/>
      <c r="D6435" s="210"/>
      <c r="E6435" s="210"/>
      <c r="F6435" s="210"/>
      <c r="G6435" s="210"/>
      <c r="H6435" s="210"/>
    </row>
    <row r="6436" spans="3:8" x14ac:dyDescent="0.25">
      <c r="C6436" s="210"/>
      <c r="D6436" s="210"/>
      <c r="E6436" s="210"/>
      <c r="F6436" s="210"/>
      <c r="G6436" s="210"/>
      <c r="H6436" s="210"/>
    </row>
    <row r="6437" spans="3:8" x14ac:dyDescent="0.25">
      <c r="C6437" s="210"/>
      <c r="D6437" s="210"/>
      <c r="E6437" s="210"/>
      <c r="F6437" s="210"/>
      <c r="G6437" s="210"/>
      <c r="H6437" s="210"/>
    </row>
    <row r="6438" spans="3:8" x14ac:dyDescent="0.25">
      <c r="C6438" s="210"/>
      <c r="D6438" s="210"/>
      <c r="E6438" s="210"/>
      <c r="F6438" s="210"/>
      <c r="G6438" s="210"/>
      <c r="H6438" s="210"/>
    </row>
    <row r="6439" spans="3:8" x14ac:dyDescent="0.25">
      <c r="C6439" s="210"/>
      <c r="D6439" s="210"/>
      <c r="E6439" s="210"/>
      <c r="F6439" s="210"/>
      <c r="G6439" s="210"/>
      <c r="H6439" s="210"/>
    </row>
    <row r="6440" spans="3:8" x14ac:dyDescent="0.25">
      <c r="C6440" s="210"/>
      <c r="D6440" s="210"/>
      <c r="E6440" s="210"/>
      <c r="F6440" s="210"/>
      <c r="G6440" s="210"/>
      <c r="H6440" s="210"/>
    </row>
    <row r="6441" spans="3:8" x14ac:dyDescent="0.25">
      <c r="C6441" s="210"/>
      <c r="D6441" s="210"/>
      <c r="E6441" s="210"/>
      <c r="F6441" s="210"/>
      <c r="G6441" s="210"/>
      <c r="H6441" s="210"/>
    </row>
    <row r="6442" spans="3:8" x14ac:dyDescent="0.25">
      <c r="C6442" s="210"/>
      <c r="D6442" s="210"/>
      <c r="E6442" s="210"/>
      <c r="F6442" s="210"/>
      <c r="G6442" s="210"/>
      <c r="H6442" s="210"/>
    </row>
    <row r="6443" spans="3:8" x14ac:dyDescent="0.25">
      <c r="C6443" s="210"/>
      <c r="D6443" s="210"/>
      <c r="E6443" s="210"/>
      <c r="F6443" s="210"/>
      <c r="G6443" s="210"/>
      <c r="H6443" s="210"/>
    </row>
    <row r="6444" spans="3:8" x14ac:dyDescent="0.25">
      <c r="C6444" s="210"/>
      <c r="D6444" s="210"/>
      <c r="E6444" s="210"/>
      <c r="F6444" s="210"/>
      <c r="G6444" s="210"/>
      <c r="H6444" s="210"/>
    </row>
    <row r="6445" spans="3:8" x14ac:dyDescent="0.25">
      <c r="C6445" s="210"/>
      <c r="D6445" s="210"/>
      <c r="E6445" s="210"/>
      <c r="F6445" s="210"/>
      <c r="G6445" s="210"/>
      <c r="H6445" s="210"/>
    </row>
    <row r="6446" spans="3:8" x14ac:dyDescent="0.25">
      <c r="C6446" s="210"/>
      <c r="D6446" s="210"/>
      <c r="E6446" s="210"/>
      <c r="F6446" s="210"/>
      <c r="G6446" s="210"/>
      <c r="H6446" s="210"/>
    </row>
    <row r="6447" spans="3:8" x14ac:dyDescent="0.25">
      <c r="C6447" s="210"/>
      <c r="D6447" s="210"/>
      <c r="E6447" s="210"/>
      <c r="F6447" s="210"/>
      <c r="G6447" s="210"/>
      <c r="H6447" s="210"/>
    </row>
    <row r="6448" spans="3:8" x14ac:dyDescent="0.25">
      <c r="C6448" s="210"/>
      <c r="D6448" s="210"/>
      <c r="E6448" s="210"/>
      <c r="F6448" s="210"/>
      <c r="G6448" s="210"/>
      <c r="H6448" s="210"/>
    </row>
    <row r="6449" spans="3:8" x14ac:dyDescent="0.25">
      <c r="C6449" s="210"/>
      <c r="D6449" s="210"/>
      <c r="E6449" s="210"/>
      <c r="F6449" s="210"/>
      <c r="G6449" s="210"/>
      <c r="H6449" s="210"/>
    </row>
    <row r="6450" spans="3:8" x14ac:dyDescent="0.25">
      <c r="C6450" s="210"/>
      <c r="D6450" s="210"/>
      <c r="E6450" s="210"/>
      <c r="F6450" s="210"/>
      <c r="G6450" s="210"/>
      <c r="H6450" s="210"/>
    </row>
    <row r="6451" spans="3:8" x14ac:dyDescent="0.25">
      <c r="C6451" s="210"/>
      <c r="D6451" s="210"/>
      <c r="E6451" s="210"/>
      <c r="F6451" s="210"/>
      <c r="G6451" s="210"/>
      <c r="H6451" s="210"/>
    </row>
    <row r="6452" spans="3:8" x14ac:dyDescent="0.25">
      <c r="C6452" s="210"/>
      <c r="D6452" s="210"/>
      <c r="E6452" s="210"/>
      <c r="F6452" s="210"/>
      <c r="G6452" s="210"/>
      <c r="H6452" s="210"/>
    </row>
    <row r="6453" spans="3:8" x14ac:dyDescent="0.25">
      <c r="C6453" s="210"/>
      <c r="D6453" s="210"/>
      <c r="E6453" s="210"/>
      <c r="F6453" s="210"/>
      <c r="G6453" s="210"/>
      <c r="H6453" s="210"/>
    </row>
    <row r="6454" spans="3:8" x14ac:dyDescent="0.25">
      <c r="C6454" s="210"/>
      <c r="D6454" s="210"/>
      <c r="E6454" s="210"/>
      <c r="F6454" s="210"/>
      <c r="G6454" s="210"/>
      <c r="H6454" s="210"/>
    </row>
    <row r="6455" spans="3:8" x14ac:dyDescent="0.25">
      <c r="C6455" s="210"/>
      <c r="D6455" s="210"/>
      <c r="E6455" s="210"/>
      <c r="F6455" s="210"/>
      <c r="G6455" s="210"/>
      <c r="H6455" s="210"/>
    </row>
    <row r="6456" spans="3:8" x14ac:dyDescent="0.25">
      <c r="C6456" s="210"/>
      <c r="D6456" s="210"/>
      <c r="E6456" s="210"/>
      <c r="F6456" s="210"/>
      <c r="G6456" s="210"/>
      <c r="H6456" s="210"/>
    </row>
    <row r="6457" spans="3:8" x14ac:dyDescent="0.25">
      <c r="C6457" s="210"/>
      <c r="D6457" s="210"/>
      <c r="E6457" s="210"/>
      <c r="F6457" s="210"/>
      <c r="G6457" s="210"/>
      <c r="H6457" s="210"/>
    </row>
    <row r="6458" spans="3:8" x14ac:dyDescent="0.25">
      <c r="C6458" s="210"/>
      <c r="D6458" s="210"/>
      <c r="E6458" s="210"/>
      <c r="F6458" s="210"/>
      <c r="G6458" s="210"/>
      <c r="H6458" s="210"/>
    </row>
    <row r="6459" spans="3:8" x14ac:dyDescent="0.25">
      <c r="C6459" s="210"/>
      <c r="D6459" s="210"/>
      <c r="E6459" s="210"/>
      <c r="F6459" s="210"/>
      <c r="G6459" s="210"/>
      <c r="H6459" s="210"/>
    </row>
    <row r="6460" spans="3:8" x14ac:dyDescent="0.25">
      <c r="C6460" s="210"/>
      <c r="D6460" s="210"/>
      <c r="E6460" s="210"/>
      <c r="F6460" s="210"/>
      <c r="G6460" s="210"/>
      <c r="H6460" s="210"/>
    </row>
    <row r="6461" spans="3:8" x14ac:dyDescent="0.25">
      <c r="C6461" s="210"/>
      <c r="D6461" s="210"/>
      <c r="E6461" s="210"/>
      <c r="F6461" s="210"/>
      <c r="G6461" s="210"/>
      <c r="H6461" s="210"/>
    </row>
    <row r="6462" spans="3:8" x14ac:dyDescent="0.25">
      <c r="C6462" s="210"/>
      <c r="D6462" s="210"/>
      <c r="E6462" s="210"/>
      <c r="F6462" s="210"/>
      <c r="G6462" s="210"/>
      <c r="H6462" s="210"/>
    </row>
    <row r="6463" spans="3:8" x14ac:dyDescent="0.25">
      <c r="C6463" s="210"/>
      <c r="D6463" s="210"/>
      <c r="E6463" s="210"/>
      <c r="F6463" s="210"/>
      <c r="G6463" s="210"/>
      <c r="H6463" s="210"/>
    </row>
    <row r="6464" spans="3:8" x14ac:dyDescent="0.25">
      <c r="C6464" s="210"/>
      <c r="D6464" s="210"/>
      <c r="E6464" s="210"/>
      <c r="F6464" s="210"/>
      <c r="G6464" s="210"/>
      <c r="H6464" s="210"/>
    </row>
    <row r="6465" spans="3:8" x14ac:dyDescent="0.25">
      <c r="C6465" s="210"/>
      <c r="D6465" s="210"/>
      <c r="E6465" s="210"/>
      <c r="F6465" s="210"/>
      <c r="G6465" s="210"/>
      <c r="H6465" s="210"/>
    </row>
    <row r="6466" spans="3:8" x14ac:dyDescent="0.25">
      <c r="C6466" s="210"/>
      <c r="D6466" s="210"/>
      <c r="E6466" s="210"/>
      <c r="F6466" s="210"/>
      <c r="G6466" s="210"/>
      <c r="H6466" s="210"/>
    </row>
    <row r="6467" spans="3:8" x14ac:dyDescent="0.25">
      <c r="C6467" s="210"/>
      <c r="D6467" s="210"/>
      <c r="E6467" s="210"/>
      <c r="F6467" s="210"/>
      <c r="G6467" s="210"/>
      <c r="H6467" s="210"/>
    </row>
    <row r="6468" spans="3:8" x14ac:dyDescent="0.25">
      <c r="C6468" s="210"/>
      <c r="D6468" s="210"/>
      <c r="E6468" s="210"/>
      <c r="F6468" s="210"/>
      <c r="G6468" s="210"/>
      <c r="H6468" s="210"/>
    </row>
    <row r="6469" spans="3:8" x14ac:dyDescent="0.25">
      <c r="C6469" s="210"/>
      <c r="D6469" s="210"/>
      <c r="E6469" s="210"/>
      <c r="F6469" s="210"/>
      <c r="G6469" s="210"/>
      <c r="H6469" s="210"/>
    </row>
    <row r="6470" spans="3:8" x14ac:dyDescent="0.25">
      <c r="C6470" s="210"/>
      <c r="D6470" s="210"/>
      <c r="E6470" s="210"/>
      <c r="F6470" s="210"/>
      <c r="G6470" s="210"/>
      <c r="H6470" s="210"/>
    </row>
    <row r="6471" spans="3:8" x14ac:dyDescent="0.25">
      <c r="C6471" s="210"/>
      <c r="D6471" s="210"/>
      <c r="E6471" s="210"/>
      <c r="F6471" s="210"/>
      <c r="G6471" s="210"/>
      <c r="H6471" s="210"/>
    </row>
    <row r="6472" spans="3:8" x14ac:dyDescent="0.25">
      <c r="C6472" s="210"/>
      <c r="D6472" s="210"/>
      <c r="E6472" s="210"/>
      <c r="F6472" s="210"/>
      <c r="G6472" s="210"/>
      <c r="H6472" s="210"/>
    </row>
    <row r="6473" spans="3:8" x14ac:dyDescent="0.25">
      <c r="C6473" s="210"/>
      <c r="D6473" s="210"/>
      <c r="E6473" s="210"/>
      <c r="F6473" s="210"/>
      <c r="G6473" s="210"/>
      <c r="H6473" s="210"/>
    </row>
    <row r="6474" spans="3:8" x14ac:dyDescent="0.25">
      <c r="C6474" s="210"/>
      <c r="D6474" s="210"/>
      <c r="E6474" s="210"/>
      <c r="F6474" s="210"/>
      <c r="G6474" s="210"/>
      <c r="H6474" s="210"/>
    </row>
    <row r="6475" spans="3:8" x14ac:dyDescent="0.25">
      <c r="C6475" s="210"/>
      <c r="D6475" s="210"/>
      <c r="E6475" s="210"/>
      <c r="F6475" s="210"/>
      <c r="G6475" s="210"/>
      <c r="H6475" s="210"/>
    </row>
    <row r="6476" spans="3:8" x14ac:dyDescent="0.25">
      <c r="C6476" s="210"/>
      <c r="D6476" s="210"/>
      <c r="E6476" s="210"/>
      <c r="F6476" s="210"/>
      <c r="G6476" s="210"/>
      <c r="H6476" s="210"/>
    </row>
    <row r="6477" spans="3:8" x14ac:dyDescent="0.25">
      <c r="C6477" s="210"/>
      <c r="D6477" s="210"/>
      <c r="E6477" s="210"/>
      <c r="F6477" s="210"/>
      <c r="G6477" s="210"/>
      <c r="H6477" s="210"/>
    </row>
    <row r="6478" spans="3:8" x14ac:dyDescent="0.25">
      <c r="C6478" s="210"/>
      <c r="D6478" s="210"/>
      <c r="E6478" s="210"/>
      <c r="F6478" s="210"/>
      <c r="G6478" s="210"/>
      <c r="H6478" s="210"/>
    </row>
    <row r="6479" spans="3:8" x14ac:dyDescent="0.25">
      <c r="C6479" s="210"/>
      <c r="D6479" s="210"/>
      <c r="E6479" s="210"/>
      <c r="F6479" s="210"/>
      <c r="G6479" s="210"/>
      <c r="H6479" s="210"/>
    </row>
    <row r="6480" spans="3:8" x14ac:dyDescent="0.25">
      <c r="C6480" s="210"/>
      <c r="D6480" s="210"/>
      <c r="E6480" s="210"/>
      <c r="F6480" s="210"/>
      <c r="G6480" s="210"/>
      <c r="H6480" s="210"/>
    </row>
    <row r="6481" spans="3:8" x14ac:dyDescent="0.25">
      <c r="C6481" s="210"/>
      <c r="D6481" s="210"/>
      <c r="E6481" s="210"/>
      <c r="F6481" s="210"/>
      <c r="G6481" s="210"/>
      <c r="H6481" s="210"/>
    </row>
    <row r="6482" spans="3:8" x14ac:dyDescent="0.25">
      <c r="C6482" s="210"/>
      <c r="D6482" s="210"/>
      <c r="E6482" s="210"/>
      <c r="F6482" s="210"/>
      <c r="G6482" s="210"/>
      <c r="H6482" s="210"/>
    </row>
    <row r="6483" spans="3:8" x14ac:dyDescent="0.25">
      <c r="C6483" s="210"/>
      <c r="D6483" s="210"/>
      <c r="E6483" s="210"/>
      <c r="F6483" s="210"/>
      <c r="G6483" s="210"/>
      <c r="H6483" s="210"/>
    </row>
    <row r="6484" spans="3:8" x14ac:dyDescent="0.25">
      <c r="C6484" s="210"/>
      <c r="D6484" s="210"/>
      <c r="E6484" s="210"/>
      <c r="F6484" s="210"/>
      <c r="G6484" s="210"/>
      <c r="H6484" s="210"/>
    </row>
    <row r="6485" spans="3:8" x14ac:dyDescent="0.25">
      <c r="C6485" s="210"/>
      <c r="D6485" s="210"/>
      <c r="E6485" s="210"/>
      <c r="F6485" s="210"/>
      <c r="G6485" s="210"/>
      <c r="H6485" s="210"/>
    </row>
    <row r="6486" spans="3:8" x14ac:dyDescent="0.25">
      <c r="C6486" s="210"/>
      <c r="D6486" s="210"/>
      <c r="E6486" s="210"/>
      <c r="F6486" s="210"/>
      <c r="G6486" s="210"/>
      <c r="H6486" s="210"/>
    </row>
    <row r="6487" spans="3:8" x14ac:dyDescent="0.25">
      <c r="C6487" s="210"/>
      <c r="D6487" s="210"/>
      <c r="E6487" s="210"/>
      <c r="F6487" s="210"/>
      <c r="G6487" s="210"/>
      <c r="H6487" s="210"/>
    </row>
    <row r="6488" spans="3:8" x14ac:dyDescent="0.25">
      <c r="C6488" s="210"/>
      <c r="D6488" s="210"/>
      <c r="E6488" s="210"/>
      <c r="F6488" s="210"/>
      <c r="G6488" s="210"/>
      <c r="H6488" s="210"/>
    </row>
    <row r="6489" spans="3:8" x14ac:dyDescent="0.25">
      <c r="C6489" s="210"/>
      <c r="D6489" s="210"/>
      <c r="E6489" s="210"/>
      <c r="F6489" s="210"/>
      <c r="G6489" s="210"/>
      <c r="H6489" s="210"/>
    </row>
    <row r="6490" spans="3:8" x14ac:dyDescent="0.25">
      <c r="C6490" s="210"/>
      <c r="D6490" s="210"/>
      <c r="E6490" s="210"/>
      <c r="F6490" s="210"/>
      <c r="G6490" s="210"/>
      <c r="H6490" s="210"/>
    </row>
    <row r="6491" spans="3:8" x14ac:dyDescent="0.25">
      <c r="C6491" s="210"/>
      <c r="D6491" s="210"/>
      <c r="E6491" s="210"/>
      <c r="F6491" s="210"/>
      <c r="G6491" s="210"/>
      <c r="H6491" s="210"/>
    </row>
    <row r="6492" spans="3:8" x14ac:dyDescent="0.25">
      <c r="C6492" s="210"/>
      <c r="D6492" s="210"/>
      <c r="E6492" s="210"/>
      <c r="F6492" s="210"/>
      <c r="G6492" s="210"/>
      <c r="H6492" s="210"/>
    </row>
    <row r="6493" spans="3:8" x14ac:dyDescent="0.25">
      <c r="C6493" s="210"/>
      <c r="D6493" s="210"/>
      <c r="E6493" s="210"/>
      <c r="F6493" s="210"/>
      <c r="G6493" s="210"/>
      <c r="H6493" s="210"/>
    </row>
    <row r="6494" spans="3:8" x14ac:dyDescent="0.25">
      <c r="C6494" s="210"/>
      <c r="D6494" s="210"/>
      <c r="E6494" s="210"/>
      <c r="F6494" s="210"/>
      <c r="G6494" s="210"/>
      <c r="H6494" s="210"/>
    </row>
    <row r="6495" spans="3:8" x14ac:dyDescent="0.25">
      <c r="C6495" s="210"/>
      <c r="D6495" s="210"/>
      <c r="E6495" s="210"/>
      <c r="F6495" s="210"/>
      <c r="G6495" s="210"/>
      <c r="H6495" s="210"/>
    </row>
    <row r="6496" spans="3:8" x14ac:dyDescent="0.25">
      <c r="C6496" s="210"/>
      <c r="D6496" s="210"/>
      <c r="E6496" s="210"/>
      <c r="F6496" s="210"/>
      <c r="G6496" s="210"/>
      <c r="H6496" s="210"/>
    </row>
    <row r="6497" spans="3:8" x14ac:dyDescent="0.25">
      <c r="C6497" s="210"/>
      <c r="D6497" s="210"/>
      <c r="E6497" s="210"/>
      <c r="F6497" s="210"/>
      <c r="G6497" s="210"/>
      <c r="H6497" s="210"/>
    </row>
    <row r="6498" spans="3:8" x14ac:dyDescent="0.25">
      <c r="C6498" s="210"/>
      <c r="D6498" s="210"/>
      <c r="E6498" s="210"/>
      <c r="F6498" s="210"/>
      <c r="G6498" s="210"/>
      <c r="H6498" s="210"/>
    </row>
    <row r="6499" spans="3:8" x14ac:dyDescent="0.25">
      <c r="C6499" s="210"/>
      <c r="D6499" s="210"/>
      <c r="E6499" s="210"/>
      <c r="F6499" s="210"/>
      <c r="G6499" s="210"/>
      <c r="H6499" s="210"/>
    </row>
    <row r="6500" spans="3:8" x14ac:dyDescent="0.25">
      <c r="C6500" s="210"/>
      <c r="D6500" s="210"/>
      <c r="E6500" s="210"/>
      <c r="F6500" s="210"/>
      <c r="G6500" s="210"/>
      <c r="H6500" s="210"/>
    </row>
    <row r="6501" spans="3:8" x14ac:dyDescent="0.25">
      <c r="C6501" s="210"/>
      <c r="D6501" s="210"/>
      <c r="E6501" s="210"/>
      <c r="F6501" s="210"/>
      <c r="G6501" s="210"/>
      <c r="H6501" s="210"/>
    </row>
    <row r="6502" spans="3:8" x14ac:dyDescent="0.25">
      <c r="C6502" s="210"/>
      <c r="D6502" s="210"/>
      <c r="E6502" s="210"/>
      <c r="F6502" s="210"/>
      <c r="G6502" s="210"/>
      <c r="H6502" s="210"/>
    </row>
    <row r="6503" spans="3:8" x14ac:dyDescent="0.25">
      <c r="C6503" s="210"/>
      <c r="D6503" s="210"/>
      <c r="E6503" s="210"/>
      <c r="F6503" s="210"/>
      <c r="G6503" s="210"/>
      <c r="H6503" s="210"/>
    </row>
    <row r="6504" spans="3:8" x14ac:dyDescent="0.25">
      <c r="C6504" s="210"/>
      <c r="D6504" s="210"/>
      <c r="E6504" s="210"/>
      <c r="F6504" s="210"/>
      <c r="G6504" s="210"/>
      <c r="H6504" s="210"/>
    </row>
    <row r="6505" spans="3:8" x14ac:dyDescent="0.25">
      <c r="C6505" s="210"/>
      <c r="D6505" s="210"/>
      <c r="E6505" s="210"/>
      <c r="F6505" s="210"/>
      <c r="G6505" s="210"/>
      <c r="H6505" s="210"/>
    </row>
    <row r="6506" spans="3:8" x14ac:dyDescent="0.25">
      <c r="C6506" s="210"/>
      <c r="D6506" s="210"/>
      <c r="E6506" s="210"/>
      <c r="F6506" s="210"/>
      <c r="G6506" s="210"/>
      <c r="H6506" s="210"/>
    </row>
    <row r="6507" spans="3:8" x14ac:dyDescent="0.25">
      <c r="C6507" s="210"/>
      <c r="D6507" s="210"/>
      <c r="E6507" s="210"/>
      <c r="F6507" s="210"/>
      <c r="G6507" s="210"/>
      <c r="H6507" s="210"/>
    </row>
    <row r="6508" spans="3:8" x14ac:dyDescent="0.25">
      <c r="C6508" s="210"/>
      <c r="D6508" s="210"/>
      <c r="E6508" s="210"/>
      <c r="F6508" s="210"/>
      <c r="G6508" s="210"/>
      <c r="H6508" s="210"/>
    </row>
    <row r="6509" spans="3:8" x14ac:dyDescent="0.25">
      <c r="C6509" s="210"/>
      <c r="D6509" s="210"/>
      <c r="E6509" s="210"/>
      <c r="F6509" s="210"/>
      <c r="G6509" s="210"/>
      <c r="H6509" s="210"/>
    </row>
    <row r="6510" spans="3:8" x14ac:dyDescent="0.25">
      <c r="C6510" s="210"/>
      <c r="D6510" s="210"/>
      <c r="E6510" s="210"/>
      <c r="F6510" s="210"/>
      <c r="G6510" s="210"/>
      <c r="H6510" s="210"/>
    </row>
    <row r="6511" spans="3:8" x14ac:dyDescent="0.25">
      <c r="C6511" s="210"/>
      <c r="D6511" s="210"/>
      <c r="E6511" s="210"/>
      <c r="F6511" s="210"/>
      <c r="G6511" s="210"/>
      <c r="H6511" s="210"/>
    </row>
    <row r="6512" spans="3:8" x14ac:dyDescent="0.25">
      <c r="C6512" s="210"/>
      <c r="D6512" s="210"/>
      <c r="E6512" s="210"/>
      <c r="F6512" s="210"/>
      <c r="G6512" s="210"/>
      <c r="H6512" s="210"/>
    </row>
    <row r="6513" spans="3:8" x14ac:dyDescent="0.25">
      <c r="C6513" s="210"/>
      <c r="D6513" s="210"/>
      <c r="E6513" s="210"/>
      <c r="F6513" s="210"/>
      <c r="G6513" s="210"/>
      <c r="H6513" s="210"/>
    </row>
    <row r="6514" spans="3:8" x14ac:dyDescent="0.25">
      <c r="C6514" s="210"/>
      <c r="D6514" s="210"/>
      <c r="E6514" s="210"/>
      <c r="F6514" s="210"/>
      <c r="G6514" s="210"/>
      <c r="H6514" s="210"/>
    </row>
    <row r="6515" spans="3:8" x14ac:dyDescent="0.25">
      <c r="C6515" s="210"/>
      <c r="D6515" s="210"/>
      <c r="E6515" s="210"/>
      <c r="F6515" s="210"/>
      <c r="G6515" s="210"/>
      <c r="H6515" s="210"/>
    </row>
    <row r="6516" spans="3:8" x14ac:dyDescent="0.25">
      <c r="C6516" s="210"/>
      <c r="D6516" s="210"/>
      <c r="E6516" s="210"/>
      <c r="F6516" s="210"/>
      <c r="G6516" s="210"/>
      <c r="H6516" s="210"/>
    </row>
    <row r="6517" spans="3:8" x14ac:dyDescent="0.25">
      <c r="C6517" s="210"/>
      <c r="D6517" s="210"/>
      <c r="E6517" s="210"/>
      <c r="F6517" s="210"/>
      <c r="G6517" s="210"/>
      <c r="H6517" s="210"/>
    </row>
    <row r="6518" spans="3:8" x14ac:dyDescent="0.25">
      <c r="C6518" s="210"/>
      <c r="D6518" s="210"/>
      <c r="E6518" s="210"/>
      <c r="F6518" s="210"/>
      <c r="G6518" s="210"/>
      <c r="H6518" s="210"/>
    </row>
    <row r="6519" spans="3:8" x14ac:dyDescent="0.25">
      <c r="C6519" s="210"/>
      <c r="D6519" s="210"/>
      <c r="E6519" s="210"/>
      <c r="F6519" s="210"/>
      <c r="G6519" s="210"/>
      <c r="H6519" s="210"/>
    </row>
    <row r="6520" spans="3:8" x14ac:dyDescent="0.25">
      <c r="C6520" s="210"/>
      <c r="D6520" s="210"/>
      <c r="E6520" s="210"/>
      <c r="F6520" s="210"/>
      <c r="G6520" s="210"/>
      <c r="H6520" s="210"/>
    </row>
    <row r="6521" spans="3:8" x14ac:dyDescent="0.25">
      <c r="C6521" s="210"/>
      <c r="D6521" s="210"/>
      <c r="E6521" s="210"/>
      <c r="F6521" s="210"/>
      <c r="G6521" s="210"/>
      <c r="H6521" s="210"/>
    </row>
    <row r="6522" spans="3:8" x14ac:dyDescent="0.25">
      <c r="C6522" s="210"/>
      <c r="D6522" s="210"/>
      <c r="E6522" s="210"/>
      <c r="F6522" s="210"/>
      <c r="G6522" s="210"/>
      <c r="H6522" s="210"/>
    </row>
    <row r="6523" spans="3:8" x14ac:dyDescent="0.25">
      <c r="C6523" s="210"/>
      <c r="D6523" s="210"/>
      <c r="E6523" s="210"/>
      <c r="F6523" s="210"/>
      <c r="G6523" s="210"/>
      <c r="H6523" s="210"/>
    </row>
    <row r="6524" spans="3:8" x14ac:dyDescent="0.25">
      <c r="C6524" s="210"/>
      <c r="D6524" s="210"/>
      <c r="E6524" s="210"/>
      <c r="F6524" s="210"/>
      <c r="G6524" s="210"/>
      <c r="H6524" s="210"/>
    </row>
    <row r="6525" spans="3:8" x14ac:dyDescent="0.25">
      <c r="C6525" s="210"/>
      <c r="D6525" s="210"/>
      <c r="E6525" s="210"/>
      <c r="F6525" s="210"/>
      <c r="G6525" s="210"/>
      <c r="H6525" s="210"/>
    </row>
    <row r="6526" spans="3:8" x14ac:dyDescent="0.25">
      <c r="C6526" s="210"/>
      <c r="D6526" s="210"/>
      <c r="E6526" s="210"/>
      <c r="F6526" s="210"/>
      <c r="G6526" s="210"/>
      <c r="H6526" s="210"/>
    </row>
    <row r="6527" spans="3:8" x14ac:dyDescent="0.25">
      <c r="C6527" s="210"/>
      <c r="D6527" s="210"/>
      <c r="E6527" s="210"/>
      <c r="F6527" s="210"/>
      <c r="G6527" s="210"/>
      <c r="H6527" s="210"/>
    </row>
    <row r="6528" spans="3:8" x14ac:dyDescent="0.25">
      <c r="C6528" s="210"/>
      <c r="D6528" s="210"/>
      <c r="E6528" s="210"/>
      <c r="F6528" s="210"/>
      <c r="G6528" s="210"/>
      <c r="H6528" s="210"/>
    </row>
    <row r="6529" spans="3:8" x14ac:dyDescent="0.25">
      <c r="C6529" s="210"/>
      <c r="D6529" s="210"/>
      <c r="E6529" s="210"/>
      <c r="F6529" s="210"/>
      <c r="G6529" s="210"/>
      <c r="H6529" s="210"/>
    </row>
    <row r="6530" spans="3:8" x14ac:dyDescent="0.25">
      <c r="C6530" s="210"/>
      <c r="D6530" s="210"/>
      <c r="E6530" s="210"/>
      <c r="F6530" s="210"/>
      <c r="G6530" s="210"/>
      <c r="H6530" s="210"/>
    </row>
    <row r="6531" spans="3:8" x14ac:dyDescent="0.25">
      <c r="C6531" s="210"/>
      <c r="D6531" s="210"/>
      <c r="E6531" s="210"/>
      <c r="F6531" s="210"/>
      <c r="G6531" s="210"/>
      <c r="H6531" s="210"/>
    </row>
    <row r="6532" spans="3:8" x14ac:dyDescent="0.25">
      <c r="C6532" s="210"/>
      <c r="D6532" s="210"/>
      <c r="E6532" s="210"/>
      <c r="F6532" s="210"/>
      <c r="G6532" s="210"/>
      <c r="H6532" s="210"/>
    </row>
    <row r="6533" spans="3:8" x14ac:dyDescent="0.25">
      <c r="C6533" s="210"/>
      <c r="D6533" s="210"/>
      <c r="E6533" s="210"/>
      <c r="F6533" s="210"/>
      <c r="G6533" s="210"/>
      <c r="H6533" s="210"/>
    </row>
    <row r="6534" spans="3:8" x14ac:dyDescent="0.25">
      <c r="C6534" s="210"/>
      <c r="D6534" s="210"/>
      <c r="E6534" s="210"/>
      <c r="F6534" s="210"/>
      <c r="G6534" s="210"/>
      <c r="H6534" s="210"/>
    </row>
    <row r="6535" spans="3:8" x14ac:dyDescent="0.25">
      <c r="C6535" s="210"/>
      <c r="D6535" s="210"/>
      <c r="E6535" s="210"/>
      <c r="F6535" s="210"/>
      <c r="G6535" s="210"/>
      <c r="H6535" s="210"/>
    </row>
    <row r="6536" spans="3:8" x14ac:dyDescent="0.25">
      <c r="C6536" s="210"/>
      <c r="D6536" s="210"/>
      <c r="E6536" s="210"/>
      <c r="F6536" s="210"/>
      <c r="G6536" s="210"/>
      <c r="H6536" s="210"/>
    </row>
    <row r="6537" spans="3:8" x14ac:dyDescent="0.25">
      <c r="C6537" s="210"/>
      <c r="D6537" s="210"/>
      <c r="E6537" s="210"/>
      <c r="F6537" s="210"/>
      <c r="G6537" s="210"/>
      <c r="H6537" s="210"/>
    </row>
    <row r="6538" spans="3:8" x14ac:dyDescent="0.25">
      <c r="C6538" s="210"/>
      <c r="D6538" s="210"/>
      <c r="E6538" s="210"/>
      <c r="F6538" s="210"/>
      <c r="G6538" s="210"/>
      <c r="H6538" s="210"/>
    </row>
    <row r="6539" spans="3:8" x14ac:dyDescent="0.25">
      <c r="C6539" s="210"/>
      <c r="D6539" s="210"/>
      <c r="E6539" s="210"/>
      <c r="F6539" s="210"/>
      <c r="G6539" s="210"/>
      <c r="H6539" s="210"/>
    </row>
    <row r="6540" spans="3:8" x14ac:dyDescent="0.25">
      <c r="C6540" s="210"/>
      <c r="D6540" s="210"/>
      <c r="E6540" s="210"/>
      <c r="F6540" s="210"/>
      <c r="G6540" s="210"/>
      <c r="H6540" s="210"/>
    </row>
    <row r="6541" spans="3:8" x14ac:dyDescent="0.25">
      <c r="C6541" s="210"/>
      <c r="D6541" s="210"/>
      <c r="E6541" s="210"/>
      <c r="F6541" s="210"/>
      <c r="G6541" s="210"/>
      <c r="H6541" s="210"/>
    </row>
    <row r="6542" spans="3:8" x14ac:dyDescent="0.25">
      <c r="C6542" s="210"/>
      <c r="D6542" s="210"/>
      <c r="E6542" s="210"/>
      <c r="F6542" s="210"/>
      <c r="G6542" s="210"/>
      <c r="H6542" s="210"/>
    </row>
    <row r="6543" spans="3:8" x14ac:dyDescent="0.25">
      <c r="C6543" s="210"/>
      <c r="D6543" s="210"/>
      <c r="E6543" s="210"/>
      <c r="F6543" s="210"/>
      <c r="G6543" s="210"/>
      <c r="H6543" s="210"/>
    </row>
    <row r="6544" spans="3:8" x14ac:dyDescent="0.25">
      <c r="C6544" s="210"/>
      <c r="D6544" s="210"/>
      <c r="E6544" s="210"/>
      <c r="F6544" s="210"/>
      <c r="G6544" s="210"/>
      <c r="H6544" s="210"/>
    </row>
    <row r="6545" spans="3:8" x14ac:dyDescent="0.25">
      <c r="C6545" s="210"/>
      <c r="D6545" s="210"/>
      <c r="E6545" s="210"/>
      <c r="F6545" s="210"/>
      <c r="G6545" s="210"/>
      <c r="H6545" s="210"/>
    </row>
    <row r="6546" spans="3:8" x14ac:dyDescent="0.25">
      <c r="C6546" s="210"/>
      <c r="D6546" s="210"/>
      <c r="E6546" s="210"/>
      <c r="F6546" s="210"/>
      <c r="G6546" s="210"/>
      <c r="H6546" s="210"/>
    </row>
    <row r="6547" spans="3:8" x14ac:dyDescent="0.25">
      <c r="C6547" s="210"/>
      <c r="D6547" s="210"/>
      <c r="E6547" s="210"/>
      <c r="F6547" s="210"/>
      <c r="G6547" s="210"/>
      <c r="H6547" s="210"/>
    </row>
    <row r="6548" spans="3:8" x14ac:dyDescent="0.25">
      <c r="C6548" s="210"/>
      <c r="D6548" s="210"/>
      <c r="E6548" s="210"/>
      <c r="F6548" s="210"/>
      <c r="G6548" s="210"/>
      <c r="H6548" s="210"/>
    </row>
    <row r="6549" spans="3:8" x14ac:dyDescent="0.25">
      <c r="C6549" s="210"/>
      <c r="D6549" s="210"/>
      <c r="E6549" s="210"/>
      <c r="F6549" s="210"/>
      <c r="G6549" s="210"/>
      <c r="H6549" s="210"/>
    </row>
    <row r="6550" spans="3:8" x14ac:dyDescent="0.25">
      <c r="C6550" s="210"/>
      <c r="D6550" s="210"/>
      <c r="E6550" s="210"/>
      <c r="F6550" s="210"/>
      <c r="G6550" s="210"/>
      <c r="H6550" s="210"/>
    </row>
    <row r="6551" spans="3:8" x14ac:dyDescent="0.25">
      <c r="C6551" s="210"/>
      <c r="D6551" s="210"/>
      <c r="E6551" s="210"/>
      <c r="F6551" s="210"/>
      <c r="G6551" s="210"/>
      <c r="H6551" s="210"/>
    </row>
    <row r="6552" spans="3:8" x14ac:dyDescent="0.25">
      <c r="C6552" s="210"/>
      <c r="D6552" s="210"/>
      <c r="E6552" s="210"/>
      <c r="F6552" s="210"/>
      <c r="G6552" s="210"/>
      <c r="H6552" s="210"/>
    </row>
    <row r="6553" spans="3:8" x14ac:dyDescent="0.25">
      <c r="C6553" s="210"/>
      <c r="D6553" s="210"/>
      <c r="E6553" s="210"/>
      <c r="F6553" s="210"/>
      <c r="G6553" s="210"/>
      <c r="H6553" s="210"/>
    </row>
    <row r="6554" spans="3:8" x14ac:dyDescent="0.25">
      <c r="C6554" s="210"/>
      <c r="D6554" s="210"/>
      <c r="E6554" s="210"/>
      <c r="F6554" s="210"/>
      <c r="G6554" s="210"/>
      <c r="H6554" s="210"/>
    </row>
    <row r="6555" spans="3:8" x14ac:dyDescent="0.25">
      <c r="C6555" s="210"/>
      <c r="D6555" s="210"/>
      <c r="E6555" s="210"/>
      <c r="F6555" s="210"/>
      <c r="G6555" s="210"/>
      <c r="H6555" s="210"/>
    </row>
    <row r="6556" spans="3:8" x14ac:dyDescent="0.25">
      <c r="C6556" s="210"/>
      <c r="D6556" s="210"/>
      <c r="E6556" s="210"/>
      <c r="F6556" s="210"/>
      <c r="G6556" s="210"/>
      <c r="H6556" s="210"/>
    </row>
    <row r="6557" spans="3:8" x14ac:dyDescent="0.25">
      <c r="C6557" s="210"/>
      <c r="D6557" s="210"/>
      <c r="E6557" s="210"/>
      <c r="F6557" s="210"/>
      <c r="G6557" s="210"/>
      <c r="H6557" s="210"/>
    </row>
    <row r="6558" spans="3:8" x14ac:dyDescent="0.25">
      <c r="C6558" s="210"/>
      <c r="D6558" s="210"/>
      <c r="E6558" s="210"/>
      <c r="F6558" s="210"/>
      <c r="G6558" s="210"/>
      <c r="H6558" s="210"/>
    </row>
    <row r="6559" spans="3:8" x14ac:dyDescent="0.25">
      <c r="C6559" s="210"/>
      <c r="D6559" s="210"/>
      <c r="E6559" s="210"/>
      <c r="F6559" s="210"/>
      <c r="G6559" s="210"/>
      <c r="H6559" s="210"/>
    </row>
    <row r="6560" spans="3:8" x14ac:dyDescent="0.25">
      <c r="C6560" s="210"/>
      <c r="D6560" s="210"/>
      <c r="E6560" s="210"/>
      <c r="F6560" s="210"/>
      <c r="G6560" s="210"/>
      <c r="H6560" s="210"/>
    </row>
    <row r="6561" spans="3:8" x14ac:dyDescent="0.25">
      <c r="C6561" s="210"/>
      <c r="D6561" s="210"/>
      <c r="E6561" s="210"/>
      <c r="F6561" s="210"/>
      <c r="G6561" s="210"/>
      <c r="H6561" s="210"/>
    </row>
    <row r="6562" spans="3:8" x14ac:dyDescent="0.25">
      <c r="C6562" s="210"/>
      <c r="D6562" s="210"/>
      <c r="E6562" s="210"/>
      <c r="F6562" s="210"/>
      <c r="G6562" s="210"/>
      <c r="H6562" s="210"/>
    </row>
    <row r="6563" spans="3:8" x14ac:dyDescent="0.25">
      <c r="C6563" s="210"/>
      <c r="D6563" s="210"/>
      <c r="E6563" s="210"/>
      <c r="F6563" s="210"/>
      <c r="G6563" s="210"/>
      <c r="H6563" s="210"/>
    </row>
    <row r="6564" spans="3:8" x14ac:dyDescent="0.25">
      <c r="C6564" s="210"/>
      <c r="D6564" s="210"/>
      <c r="E6564" s="210"/>
      <c r="F6564" s="210"/>
      <c r="G6564" s="210"/>
      <c r="H6564" s="210"/>
    </row>
    <row r="6565" spans="3:8" x14ac:dyDescent="0.25">
      <c r="C6565" s="210"/>
      <c r="D6565" s="210"/>
      <c r="E6565" s="210"/>
      <c r="F6565" s="210"/>
      <c r="G6565" s="210"/>
      <c r="H6565" s="210"/>
    </row>
    <row r="6566" spans="3:8" x14ac:dyDescent="0.25">
      <c r="C6566" s="210"/>
      <c r="D6566" s="210"/>
      <c r="E6566" s="210"/>
      <c r="F6566" s="210"/>
      <c r="G6566" s="210"/>
      <c r="H6566" s="210"/>
    </row>
    <row r="6567" spans="3:8" x14ac:dyDescent="0.25">
      <c r="C6567" s="210"/>
      <c r="D6567" s="210"/>
      <c r="E6567" s="210"/>
      <c r="F6567" s="210"/>
      <c r="G6567" s="210"/>
      <c r="H6567" s="210"/>
    </row>
    <row r="6568" spans="3:8" x14ac:dyDescent="0.25">
      <c r="C6568" s="210"/>
      <c r="D6568" s="210"/>
      <c r="E6568" s="210"/>
      <c r="F6568" s="210"/>
      <c r="G6568" s="210"/>
      <c r="H6568" s="210"/>
    </row>
    <row r="6569" spans="3:8" x14ac:dyDescent="0.25">
      <c r="C6569" s="210"/>
      <c r="D6569" s="210"/>
      <c r="E6569" s="210"/>
      <c r="F6569" s="210"/>
      <c r="G6569" s="210"/>
      <c r="H6569" s="210"/>
    </row>
    <row r="6570" spans="3:8" x14ac:dyDescent="0.25">
      <c r="C6570" s="210"/>
      <c r="D6570" s="210"/>
      <c r="E6570" s="210"/>
      <c r="F6570" s="210"/>
      <c r="G6570" s="210"/>
      <c r="H6570" s="210"/>
    </row>
    <row r="6571" spans="3:8" x14ac:dyDescent="0.25">
      <c r="C6571" s="210"/>
      <c r="D6571" s="210"/>
      <c r="E6571" s="210"/>
      <c r="F6571" s="210"/>
      <c r="G6571" s="210"/>
      <c r="H6571" s="210"/>
    </row>
    <row r="6572" spans="3:8" x14ac:dyDescent="0.25">
      <c r="C6572" s="210"/>
      <c r="D6572" s="210"/>
      <c r="E6572" s="210"/>
      <c r="F6572" s="210"/>
      <c r="G6572" s="210"/>
      <c r="H6572" s="210"/>
    </row>
    <row r="6573" spans="3:8" x14ac:dyDescent="0.25">
      <c r="C6573" s="210"/>
      <c r="D6573" s="210"/>
      <c r="E6573" s="210"/>
      <c r="F6573" s="210"/>
      <c r="G6573" s="210"/>
      <c r="H6573" s="210"/>
    </row>
    <row r="6574" spans="3:8" x14ac:dyDescent="0.25">
      <c r="C6574" s="210"/>
      <c r="D6574" s="210"/>
      <c r="E6574" s="210"/>
      <c r="F6574" s="210"/>
      <c r="G6574" s="210"/>
      <c r="H6574" s="210"/>
    </row>
    <row r="6575" spans="3:8" x14ac:dyDescent="0.25">
      <c r="C6575" s="210"/>
      <c r="D6575" s="210"/>
      <c r="E6575" s="210"/>
      <c r="F6575" s="210"/>
      <c r="G6575" s="210"/>
      <c r="H6575" s="210"/>
    </row>
    <row r="6576" spans="3:8" x14ac:dyDescent="0.25">
      <c r="C6576" s="210"/>
      <c r="D6576" s="210"/>
      <c r="E6576" s="210"/>
      <c r="F6576" s="210"/>
      <c r="G6576" s="210"/>
      <c r="H6576" s="210"/>
    </row>
    <row r="6577" spans="3:8" x14ac:dyDescent="0.25">
      <c r="C6577" s="210"/>
      <c r="D6577" s="210"/>
      <c r="E6577" s="210"/>
      <c r="F6577" s="210"/>
      <c r="G6577" s="210"/>
      <c r="H6577" s="210"/>
    </row>
    <row r="6578" spans="3:8" x14ac:dyDescent="0.25">
      <c r="C6578" s="210"/>
      <c r="D6578" s="210"/>
      <c r="E6578" s="210"/>
      <c r="F6578" s="210"/>
      <c r="G6578" s="210"/>
      <c r="H6578" s="210"/>
    </row>
    <row r="6579" spans="3:8" x14ac:dyDescent="0.25">
      <c r="C6579" s="210"/>
      <c r="D6579" s="210"/>
      <c r="E6579" s="210"/>
      <c r="F6579" s="210"/>
      <c r="G6579" s="210"/>
      <c r="H6579" s="210"/>
    </row>
    <row r="6580" spans="3:8" x14ac:dyDescent="0.25">
      <c r="C6580" s="210"/>
      <c r="D6580" s="210"/>
      <c r="E6580" s="210"/>
      <c r="F6580" s="210"/>
      <c r="G6580" s="210"/>
      <c r="H6580" s="210"/>
    </row>
    <row r="6581" spans="3:8" x14ac:dyDescent="0.25">
      <c r="C6581" s="210"/>
      <c r="D6581" s="210"/>
      <c r="E6581" s="210"/>
      <c r="F6581" s="210"/>
      <c r="G6581" s="210"/>
      <c r="H6581" s="210"/>
    </row>
    <row r="6582" spans="3:8" x14ac:dyDescent="0.25">
      <c r="C6582" s="210"/>
      <c r="D6582" s="210"/>
      <c r="E6582" s="210"/>
      <c r="F6582" s="210"/>
      <c r="G6582" s="210"/>
      <c r="H6582" s="210"/>
    </row>
    <row r="6583" spans="3:8" x14ac:dyDescent="0.25">
      <c r="C6583" s="210"/>
      <c r="D6583" s="210"/>
      <c r="E6583" s="210"/>
      <c r="F6583" s="210"/>
      <c r="G6583" s="210"/>
      <c r="H6583" s="210"/>
    </row>
    <row r="6584" spans="3:8" x14ac:dyDescent="0.25">
      <c r="C6584" s="210"/>
      <c r="D6584" s="210"/>
      <c r="E6584" s="210"/>
      <c r="F6584" s="210"/>
      <c r="G6584" s="210"/>
      <c r="H6584" s="210"/>
    </row>
    <row r="6585" spans="3:8" x14ac:dyDescent="0.25">
      <c r="C6585" s="210"/>
      <c r="D6585" s="210"/>
      <c r="E6585" s="210"/>
      <c r="F6585" s="210"/>
      <c r="G6585" s="210"/>
      <c r="H6585" s="210"/>
    </row>
    <row r="6586" spans="3:8" x14ac:dyDescent="0.25">
      <c r="C6586" s="210"/>
      <c r="D6586" s="210"/>
      <c r="E6586" s="210"/>
      <c r="F6586" s="210"/>
      <c r="G6586" s="210"/>
      <c r="H6586" s="210"/>
    </row>
    <row r="6587" spans="3:8" x14ac:dyDescent="0.25">
      <c r="C6587" s="210"/>
      <c r="D6587" s="210"/>
      <c r="E6587" s="210"/>
      <c r="F6587" s="210"/>
      <c r="G6587" s="210"/>
      <c r="H6587" s="210"/>
    </row>
    <row r="6588" spans="3:8" x14ac:dyDescent="0.25">
      <c r="C6588" s="210"/>
      <c r="D6588" s="210"/>
      <c r="E6588" s="210"/>
      <c r="F6588" s="210"/>
      <c r="G6588" s="210"/>
      <c r="H6588" s="210"/>
    </row>
    <row r="6589" spans="3:8" x14ac:dyDescent="0.25">
      <c r="C6589" s="210"/>
      <c r="D6589" s="210"/>
      <c r="E6589" s="210"/>
      <c r="F6589" s="210"/>
      <c r="G6589" s="210"/>
      <c r="H6589" s="210"/>
    </row>
    <row r="6590" spans="3:8" x14ac:dyDescent="0.25">
      <c r="C6590" s="210"/>
      <c r="D6590" s="210"/>
      <c r="E6590" s="210"/>
      <c r="F6590" s="210"/>
      <c r="G6590" s="210"/>
      <c r="H6590" s="210"/>
    </row>
    <row r="6591" spans="3:8" x14ac:dyDescent="0.25">
      <c r="C6591" s="210"/>
      <c r="D6591" s="210"/>
      <c r="E6591" s="210"/>
      <c r="F6591" s="210"/>
      <c r="G6591" s="210"/>
      <c r="H6591" s="210"/>
    </row>
    <row r="6592" spans="3:8" x14ac:dyDescent="0.25">
      <c r="C6592" s="210"/>
      <c r="D6592" s="210"/>
      <c r="E6592" s="210"/>
      <c r="F6592" s="210"/>
      <c r="G6592" s="210"/>
      <c r="H6592" s="210"/>
    </row>
    <row r="6593" spans="3:8" x14ac:dyDescent="0.25">
      <c r="C6593" s="210"/>
      <c r="D6593" s="210"/>
      <c r="E6593" s="210"/>
      <c r="F6593" s="210"/>
      <c r="G6593" s="210"/>
      <c r="H6593" s="210"/>
    </row>
    <row r="6594" spans="3:8" x14ac:dyDescent="0.25">
      <c r="C6594" s="210"/>
      <c r="D6594" s="210"/>
      <c r="E6594" s="210"/>
      <c r="F6594" s="210"/>
      <c r="G6594" s="210"/>
      <c r="H6594" s="210"/>
    </row>
    <row r="6595" spans="3:8" x14ac:dyDescent="0.25">
      <c r="C6595" s="210"/>
      <c r="D6595" s="210"/>
      <c r="E6595" s="210"/>
      <c r="F6595" s="210"/>
      <c r="G6595" s="210"/>
      <c r="H6595" s="210"/>
    </row>
    <row r="6596" spans="3:8" x14ac:dyDescent="0.25">
      <c r="C6596" s="210"/>
      <c r="D6596" s="210"/>
      <c r="E6596" s="210"/>
      <c r="F6596" s="210"/>
      <c r="G6596" s="210"/>
      <c r="H6596" s="210"/>
    </row>
    <row r="6597" spans="3:8" x14ac:dyDescent="0.25">
      <c r="C6597" s="210"/>
      <c r="D6597" s="210"/>
      <c r="E6597" s="210"/>
      <c r="F6597" s="210"/>
      <c r="G6597" s="210"/>
      <c r="H6597" s="210"/>
    </row>
    <row r="6598" spans="3:8" x14ac:dyDescent="0.25">
      <c r="C6598" s="210"/>
      <c r="D6598" s="210"/>
      <c r="E6598" s="210"/>
      <c r="F6598" s="210"/>
      <c r="G6598" s="210"/>
      <c r="H6598" s="210"/>
    </row>
    <row r="6599" spans="3:8" x14ac:dyDescent="0.25">
      <c r="C6599" s="210"/>
      <c r="D6599" s="210"/>
      <c r="E6599" s="210"/>
      <c r="F6599" s="210"/>
      <c r="G6599" s="210"/>
      <c r="H6599" s="210"/>
    </row>
    <row r="6600" spans="3:8" x14ac:dyDescent="0.25">
      <c r="C6600" s="210"/>
      <c r="D6600" s="210"/>
      <c r="E6600" s="210"/>
      <c r="F6600" s="210"/>
      <c r="G6600" s="210"/>
      <c r="H6600" s="210"/>
    </row>
    <row r="6601" spans="3:8" x14ac:dyDescent="0.25">
      <c r="C6601" s="210"/>
      <c r="D6601" s="210"/>
      <c r="E6601" s="210"/>
      <c r="F6601" s="210"/>
      <c r="G6601" s="210"/>
      <c r="H6601" s="210"/>
    </row>
    <row r="6602" spans="3:8" x14ac:dyDescent="0.25">
      <c r="C6602" s="210"/>
      <c r="D6602" s="210"/>
      <c r="E6602" s="210"/>
      <c r="F6602" s="210"/>
      <c r="G6602" s="210"/>
      <c r="H6602" s="210"/>
    </row>
    <row r="6603" spans="3:8" x14ac:dyDescent="0.25">
      <c r="C6603" s="210"/>
      <c r="D6603" s="210"/>
      <c r="E6603" s="210"/>
      <c r="F6603" s="210"/>
      <c r="G6603" s="210"/>
      <c r="H6603" s="210"/>
    </row>
    <row r="6604" spans="3:8" x14ac:dyDescent="0.25">
      <c r="C6604" s="210"/>
      <c r="D6604" s="210"/>
      <c r="E6604" s="210"/>
      <c r="F6604" s="210"/>
      <c r="G6604" s="210"/>
      <c r="H6604" s="210"/>
    </row>
    <row r="6605" spans="3:8" x14ac:dyDescent="0.25">
      <c r="C6605" s="210"/>
      <c r="D6605" s="210"/>
      <c r="E6605" s="210"/>
      <c r="F6605" s="210"/>
      <c r="G6605" s="210"/>
      <c r="H6605" s="210"/>
    </row>
    <row r="6606" spans="3:8" x14ac:dyDescent="0.25">
      <c r="C6606" s="210"/>
      <c r="D6606" s="210"/>
      <c r="E6606" s="210"/>
      <c r="F6606" s="210"/>
      <c r="G6606" s="210"/>
      <c r="H6606" s="210"/>
    </row>
    <row r="6607" spans="3:8" x14ac:dyDescent="0.25">
      <c r="C6607" s="210"/>
      <c r="D6607" s="210"/>
      <c r="E6607" s="210"/>
      <c r="F6607" s="210"/>
      <c r="G6607" s="210"/>
      <c r="H6607" s="210"/>
    </row>
    <row r="6608" spans="3:8" x14ac:dyDescent="0.25">
      <c r="C6608" s="210"/>
      <c r="D6608" s="210"/>
      <c r="E6608" s="210"/>
      <c r="F6608" s="210"/>
      <c r="G6608" s="210"/>
      <c r="H6608" s="210"/>
    </row>
    <row r="6609" spans="3:8" x14ac:dyDescent="0.25">
      <c r="C6609" s="210"/>
      <c r="D6609" s="210"/>
      <c r="E6609" s="210"/>
      <c r="F6609" s="210"/>
      <c r="G6609" s="210"/>
      <c r="H6609" s="210"/>
    </row>
    <row r="6610" spans="3:8" x14ac:dyDescent="0.25">
      <c r="C6610" s="210"/>
      <c r="D6610" s="210"/>
      <c r="E6610" s="210"/>
      <c r="F6610" s="210"/>
      <c r="G6610" s="210"/>
      <c r="H6610" s="210"/>
    </row>
    <row r="6611" spans="3:8" x14ac:dyDescent="0.25">
      <c r="C6611" s="210"/>
      <c r="D6611" s="210"/>
      <c r="E6611" s="210"/>
      <c r="F6611" s="210"/>
      <c r="G6611" s="210"/>
      <c r="H6611" s="210"/>
    </row>
    <row r="6612" spans="3:8" x14ac:dyDescent="0.25">
      <c r="C6612" s="210"/>
      <c r="D6612" s="210"/>
      <c r="E6612" s="210"/>
      <c r="F6612" s="210"/>
      <c r="G6612" s="210"/>
      <c r="H6612" s="210"/>
    </row>
    <row r="6613" spans="3:8" x14ac:dyDescent="0.25">
      <c r="C6613" s="210"/>
      <c r="D6613" s="210"/>
      <c r="E6613" s="210"/>
      <c r="F6613" s="210"/>
      <c r="G6613" s="210"/>
      <c r="H6613" s="210"/>
    </row>
    <row r="6614" spans="3:8" x14ac:dyDescent="0.25">
      <c r="C6614" s="210"/>
      <c r="D6614" s="210"/>
      <c r="E6614" s="210"/>
      <c r="F6614" s="210"/>
      <c r="G6614" s="210"/>
      <c r="H6614" s="210"/>
    </row>
    <row r="6615" spans="3:8" x14ac:dyDescent="0.25">
      <c r="C6615" s="210"/>
      <c r="D6615" s="210"/>
      <c r="E6615" s="210"/>
      <c r="F6615" s="210"/>
      <c r="G6615" s="210"/>
      <c r="H6615" s="210"/>
    </row>
    <row r="6616" spans="3:8" x14ac:dyDescent="0.25">
      <c r="C6616" s="210"/>
      <c r="D6616" s="210"/>
      <c r="E6616" s="210"/>
      <c r="F6616" s="210"/>
      <c r="G6616" s="210"/>
      <c r="H6616" s="210"/>
    </row>
    <row r="6617" spans="3:8" x14ac:dyDescent="0.25">
      <c r="C6617" s="210"/>
      <c r="D6617" s="210"/>
      <c r="E6617" s="210"/>
      <c r="F6617" s="210"/>
      <c r="G6617" s="210"/>
      <c r="H6617" s="210"/>
    </row>
    <row r="6618" spans="3:8" x14ac:dyDescent="0.25">
      <c r="C6618" s="210"/>
      <c r="D6618" s="210"/>
      <c r="E6618" s="210"/>
      <c r="F6618" s="210"/>
      <c r="G6618" s="210"/>
      <c r="H6618" s="210"/>
    </row>
    <row r="6619" spans="3:8" x14ac:dyDescent="0.25">
      <c r="C6619" s="210"/>
      <c r="D6619" s="210"/>
      <c r="E6619" s="210"/>
      <c r="F6619" s="210"/>
      <c r="G6619" s="210"/>
      <c r="H6619" s="210"/>
    </row>
    <row r="6620" spans="3:8" x14ac:dyDescent="0.25">
      <c r="C6620" s="210"/>
      <c r="D6620" s="210"/>
      <c r="E6620" s="210"/>
      <c r="F6620" s="210"/>
      <c r="G6620" s="210"/>
      <c r="H6620" s="210"/>
    </row>
    <row r="6621" spans="3:8" x14ac:dyDescent="0.25">
      <c r="C6621" s="210"/>
      <c r="D6621" s="210"/>
      <c r="E6621" s="210"/>
      <c r="F6621" s="210"/>
      <c r="G6621" s="210"/>
      <c r="H6621" s="210"/>
    </row>
    <row r="6622" spans="3:8" x14ac:dyDescent="0.25">
      <c r="C6622" s="210"/>
      <c r="D6622" s="210"/>
      <c r="E6622" s="210"/>
      <c r="F6622" s="210"/>
      <c r="G6622" s="210"/>
      <c r="H6622" s="210"/>
    </row>
    <row r="6623" spans="3:8" x14ac:dyDescent="0.25">
      <c r="C6623" s="210"/>
      <c r="D6623" s="210"/>
      <c r="E6623" s="210"/>
      <c r="F6623" s="210"/>
      <c r="G6623" s="210"/>
      <c r="H6623" s="210"/>
    </row>
    <row r="6624" spans="3:8" x14ac:dyDescent="0.25">
      <c r="C6624" s="210"/>
      <c r="D6624" s="210"/>
      <c r="E6624" s="210"/>
      <c r="F6624" s="210"/>
      <c r="G6624" s="210"/>
      <c r="H6624" s="210"/>
    </row>
    <row r="6625" spans="3:8" x14ac:dyDescent="0.25">
      <c r="C6625" s="210"/>
      <c r="D6625" s="210"/>
      <c r="E6625" s="210"/>
      <c r="F6625" s="210"/>
      <c r="G6625" s="210"/>
      <c r="H6625" s="210"/>
    </row>
    <row r="6626" spans="3:8" x14ac:dyDescent="0.25">
      <c r="C6626" s="210"/>
      <c r="D6626" s="210"/>
      <c r="E6626" s="210"/>
      <c r="F6626" s="210"/>
      <c r="G6626" s="210"/>
      <c r="H6626" s="210"/>
    </row>
    <row r="6627" spans="3:8" x14ac:dyDescent="0.25">
      <c r="C6627" s="210"/>
      <c r="D6627" s="210"/>
      <c r="E6627" s="210"/>
      <c r="F6627" s="210"/>
      <c r="G6627" s="210"/>
      <c r="H6627" s="210"/>
    </row>
    <row r="6628" spans="3:8" x14ac:dyDescent="0.25">
      <c r="C6628" s="210"/>
      <c r="D6628" s="210"/>
      <c r="E6628" s="210"/>
      <c r="F6628" s="210"/>
      <c r="G6628" s="210"/>
      <c r="H6628" s="210"/>
    </row>
    <row r="6629" spans="3:8" x14ac:dyDescent="0.25">
      <c r="C6629" s="210"/>
      <c r="D6629" s="210"/>
      <c r="E6629" s="210"/>
      <c r="F6629" s="210"/>
      <c r="G6629" s="210"/>
      <c r="H6629" s="210"/>
    </row>
    <row r="6630" spans="3:8" x14ac:dyDescent="0.25">
      <c r="C6630" s="210"/>
      <c r="D6630" s="210"/>
      <c r="E6630" s="210"/>
      <c r="F6630" s="210"/>
      <c r="G6630" s="210"/>
      <c r="H6630" s="210"/>
    </row>
    <row r="6631" spans="3:8" x14ac:dyDescent="0.25">
      <c r="C6631" s="210"/>
      <c r="D6631" s="210"/>
      <c r="E6631" s="210"/>
      <c r="F6631" s="210"/>
      <c r="G6631" s="210"/>
      <c r="H6631" s="210"/>
    </row>
    <row r="6632" spans="3:8" x14ac:dyDescent="0.25">
      <c r="C6632" s="210"/>
      <c r="D6632" s="210"/>
      <c r="E6632" s="210"/>
      <c r="F6632" s="210"/>
      <c r="G6632" s="210"/>
      <c r="H6632" s="210"/>
    </row>
    <row r="6633" spans="3:8" x14ac:dyDescent="0.25">
      <c r="C6633" s="210"/>
      <c r="D6633" s="210"/>
      <c r="E6633" s="210"/>
      <c r="F6633" s="210"/>
      <c r="G6633" s="210"/>
      <c r="H6633" s="210"/>
    </row>
    <row r="6634" spans="3:8" x14ac:dyDescent="0.25">
      <c r="C6634" s="210"/>
      <c r="D6634" s="210"/>
      <c r="E6634" s="210"/>
      <c r="F6634" s="210"/>
      <c r="G6634" s="210"/>
      <c r="H6634" s="210"/>
    </row>
    <row r="6635" spans="3:8" x14ac:dyDescent="0.25">
      <c r="C6635" s="210"/>
      <c r="D6635" s="210"/>
      <c r="E6635" s="210"/>
      <c r="F6635" s="210"/>
      <c r="G6635" s="210"/>
      <c r="H6635" s="210"/>
    </row>
    <row r="6636" spans="3:8" x14ac:dyDescent="0.25">
      <c r="C6636" s="210"/>
      <c r="D6636" s="210"/>
      <c r="E6636" s="210"/>
      <c r="F6636" s="210"/>
      <c r="G6636" s="210"/>
      <c r="H6636" s="210"/>
    </row>
    <row r="6637" spans="3:8" x14ac:dyDescent="0.25">
      <c r="C6637" s="210"/>
      <c r="D6637" s="210"/>
      <c r="E6637" s="210"/>
      <c r="F6637" s="210"/>
      <c r="G6637" s="210"/>
      <c r="H6637" s="210"/>
    </row>
    <row r="6638" spans="3:8" x14ac:dyDescent="0.25">
      <c r="C6638" s="210"/>
      <c r="D6638" s="210"/>
      <c r="E6638" s="210"/>
      <c r="F6638" s="210"/>
      <c r="G6638" s="210"/>
      <c r="H6638" s="210"/>
    </row>
    <row r="6639" spans="3:8" x14ac:dyDescent="0.25">
      <c r="C6639" s="210"/>
      <c r="D6639" s="210"/>
      <c r="E6639" s="210"/>
      <c r="F6639" s="210"/>
      <c r="G6639" s="210"/>
      <c r="H6639" s="210"/>
    </row>
    <row r="6640" spans="3:8" x14ac:dyDescent="0.25">
      <c r="C6640" s="210"/>
      <c r="D6640" s="210"/>
      <c r="E6640" s="210"/>
      <c r="F6640" s="210"/>
      <c r="G6640" s="210"/>
      <c r="H6640" s="210"/>
    </row>
    <row r="6641" spans="3:8" x14ac:dyDescent="0.25">
      <c r="C6641" s="210"/>
      <c r="D6641" s="210"/>
      <c r="E6641" s="210"/>
      <c r="F6641" s="210"/>
      <c r="G6641" s="210"/>
      <c r="H6641" s="210"/>
    </row>
    <row r="6642" spans="3:8" x14ac:dyDescent="0.25">
      <c r="C6642" s="210"/>
      <c r="D6642" s="210"/>
      <c r="E6642" s="210"/>
      <c r="F6642" s="210"/>
      <c r="G6642" s="210"/>
      <c r="H6642" s="210"/>
    </row>
    <row r="6643" spans="3:8" x14ac:dyDescent="0.25">
      <c r="C6643" s="210"/>
      <c r="D6643" s="210"/>
      <c r="E6643" s="210"/>
      <c r="F6643" s="210"/>
      <c r="G6643" s="210"/>
      <c r="H6643" s="210"/>
    </row>
    <row r="6644" spans="3:8" x14ac:dyDescent="0.25">
      <c r="C6644" s="210"/>
      <c r="D6644" s="210"/>
      <c r="E6644" s="210"/>
      <c r="F6644" s="210"/>
      <c r="G6644" s="210"/>
      <c r="H6644" s="210"/>
    </row>
    <row r="6645" spans="3:8" x14ac:dyDescent="0.25">
      <c r="C6645" s="210"/>
      <c r="D6645" s="210"/>
      <c r="E6645" s="210"/>
      <c r="F6645" s="210"/>
      <c r="G6645" s="210"/>
      <c r="H6645" s="210"/>
    </row>
    <row r="6646" spans="3:8" x14ac:dyDescent="0.25">
      <c r="C6646" s="210"/>
      <c r="D6646" s="210"/>
      <c r="E6646" s="210"/>
      <c r="F6646" s="210"/>
      <c r="G6646" s="210"/>
      <c r="H6646" s="210"/>
    </row>
    <row r="6647" spans="3:8" x14ac:dyDescent="0.25">
      <c r="C6647" s="210"/>
      <c r="D6647" s="210"/>
      <c r="E6647" s="210"/>
      <c r="F6647" s="210"/>
      <c r="G6647" s="210"/>
      <c r="H6647" s="210"/>
    </row>
    <row r="6648" spans="3:8" x14ac:dyDescent="0.25">
      <c r="C6648" s="210"/>
      <c r="D6648" s="210"/>
      <c r="E6648" s="210"/>
      <c r="F6648" s="210"/>
      <c r="G6648" s="210"/>
      <c r="H6648" s="210"/>
    </row>
    <row r="6649" spans="3:8" x14ac:dyDescent="0.25">
      <c r="C6649" s="210"/>
      <c r="D6649" s="210"/>
      <c r="E6649" s="210"/>
      <c r="F6649" s="210"/>
      <c r="G6649" s="210"/>
      <c r="H6649" s="210"/>
    </row>
    <row r="6650" spans="3:8" x14ac:dyDescent="0.25">
      <c r="C6650" s="210"/>
      <c r="D6650" s="210"/>
      <c r="E6650" s="210"/>
      <c r="F6650" s="210"/>
      <c r="G6650" s="210"/>
      <c r="H6650" s="210"/>
    </row>
    <row r="6651" spans="3:8" x14ac:dyDescent="0.25">
      <c r="C6651" s="210"/>
      <c r="D6651" s="210"/>
      <c r="E6651" s="210"/>
      <c r="F6651" s="210"/>
      <c r="G6651" s="210"/>
      <c r="H6651" s="210"/>
    </row>
    <row r="6652" spans="3:8" x14ac:dyDescent="0.25">
      <c r="C6652" s="210"/>
      <c r="D6652" s="210"/>
      <c r="E6652" s="210"/>
      <c r="F6652" s="210"/>
      <c r="G6652" s="210"/>
      <c r="H6652" s="210"/>
    </row>
    <row r="6653" spans="3:8" x14ac:dyDescent="0.25">
      <c r="C6653" s="210"/>
      <c r="D6653" s="210"/>
      <c r="E6653" s="210"/>
      <c r="F6653" s="210"/>
      <c r="G6653" s="210"/>
      <c r="H6653" s="210"/>
    </row>
    <row r="6654" spans="3:8" x14ac:dyDescent="0.25">
      <c r="C6654" s="210"/>
      <c r="D6654" s="210"/>
      <c r="E6654" s="210"/>
      <c r="F6654" s="210"/>
      <c r="G6654" s="210"/>
      <c r="H6654" s="210"/>
    </row>
    <row r="6655" spans="3:8" x14ac:dyDescent="0.25">
      <c r="C6655" s="210"/>
      <c r="D6655" s="210"/>
      <c r="E6655" s="210"/>
      <c r="F6655" s="210"/>
      <c r="G6655" s="210"/>
      <c r="H6655" s="210"/>
    </row>
    <row r="6656" spans="3:8" x14ac:dyDescent="0.25">
      <c r="C6656" s="210"/>
      <c r="D6656" s="210"/>
      <c r="E6656" s="210"/>
      <c r="F6656" s="210"/>
      <c r="G6656" s="210"/>
      <c r="H6656" s="210"/>
    </row>
    <row r="6657" spans="3:8" x14ac:dyDescent="0.25">
      <c r="C6657" s="210"/>
      <c r="D6657" s="210"/>
      <c r="E6657" s="210"/>
      <c r="F6657" s="210"/>
      <c r="G6657" s="210"/>
      <c r="H6657" s="210"/>
    </row>
    <row r="6658" spans="3:8" x14ac:dyDescent="0.25">
      <c r="C6658" s="210"/>
      <c r="D6658" s="210"/>
      <c r="E6658" s="210"/>
      <c r="F6658" s="210"/>
      <c r="G6658" s="210"/>
      <c r="H6658" s="210"/>
    </row>
    <row r="6659" spans="3:8" x14ac:dyDescent="0.25">
      <c r="C6659" s="210"/>
      <c r="D6659" s="210"/>
      <c r="E6659" s="210"/>
      <c r="F6659" s="210"/>
      <c r="G6659" s="210"/>
      <c r="H6659" s="210"/>
    </row>
    <row r="6660" spans="3:8" x14ac:dyDescent="0.25">
      <c r="C6660" s="210"/>
      <c r="D6660" s="210"/>
      <c r="E6660" s="210"/>
      <c r="F6660" s="210"/>
      <c r="G6660" s="210"/>
      <c r="H6660" s="210"/>
    </row>
    <row r="6661" spans="3:8" x14ac:dyDescent="0.25">
      <c r="C6661" s="210"/>
      <c r="D6661" s="210"/>
      <c r="E6661" s="210"/>
      <c r="F6661" s="210"/>
      <c r="G6661" s="210"/>
      <c r="H6661" s="210"/>
    </row>
    <row r="6662" spans="3:8" x14ac:dyDescent="0.25">
      <c r="C6662" s="210"/>
      <c r="D6662" s="210"/>
      <c r="E6662" s="210"/>
      <c r="F6662" s="210"/>
      <c r="G6662" s="210"/>
      <c r="H6662" s="210"/>
    </row>
    <row r="6663" spans="3:8" x14ac:dyDescent="0.25">
      <c r="C6663" s="210"/>
      <c r="D6663" s="210"/>
      <c r="E6663" s="210"/>
      <c r="F6663" s="210"/>
      <c r="G6663" s="210"/>
      <c r="H6663" s="210"/>
    </row>
    <row r="6664" spans="3:8" x14ac:dyDescent="0.25">
      <c r="C6664" s="210"/>
      <c r="D6664" s="210"/>
      <c r="E6664" s="210"/>
      <c r="F6664" s="210"/>
      <c r="G6664" s="210"/>
      <c r="H6664" s="210"/>
    </row>
    <row r="6665" spans="3:8" x14ac:dyDescent="0.25">
      <c r="C6665" s="210"/>
      <c r="D6665" s="210"/>
      <c r="E6665" s="210"/>
      <c r="F6665" s="210"/>
      <c r="G6665" s="210"/>
      <c r="H6665" s="210"/>
    </row>
    <row r="6666" spans="3:8" x14ac:dyDescent="0.25">
      <c r="C6666" s="210"/>
      <c r="D6666" s="210"/>
      <c r="E6666" s="210"/>
      <c r="F6666" s="210"/>
      <c r="G6666" s="210"/>
      <c r="H6666" s="210"/>
    </row>
    <row r="6667" spans="3:8" x14ac:dyDescent="0.25">
      <c r="C6667" s="210"/>
      <c r="D6667" s="210"/>
      <c r="E6667" s="210"/>
      <c r="F6667" s="210"/>
      <c r="G6667" s="210"/>
      <c r="H6667" s="210"/>
    </row>
    <row r="6668" spans="3:8" x14ac:dyDescent="0.25">
      <c r="C6668" s="210"/>
      <c r="D6668" s="210"/>
      <c r="E6668" s="210"/>
      <c r="F6668" s="210"/>
      <c r="G6668" s="210"/>
      <c r="H6668" s="210"/>
    </row>
    <row r="6669" spans="3:8" x14ac:dyDescent="0.25">
      <c r="C6669" s="210"/>
      <c r="D6669" s="210"/>
      <c r="E6669" s="210"/>
      <c r="F6669" s="210"/>
      <c r="G6669" s="210"/>
      <c r="H6669" s="210"/>
    </row>
    <row r="6670" spans="3:8" x14ac:dyDescent="0.25">
      <c r="C6670" s="210"/>
      <c r="D6670" s="210"/>
      <c r="E6670" s="210"/>
      <c r="F6670" s="210"/>
      <c r="G6670" s="210"/>
      <c r="H6670" s="210"/>
    </row>
    <row r="6671" spans="3:8" x14ac:dyDescent="0.25">
      <c r="C6671" s="210"/>
      <c r="D6671" s="210"/>
      <c r="E6671" s="210"/>
      <c r="F6671" s="210"/>
      <c r="G6671" s="210"/>
      <c r="H6671" s="210"/>
    </row>
    <row r="6672" spans="3:8" x14ac:dyDescent="0.25">
      <c r="C6672" s="210"/>
      <c r="D6672" s="210"/>
      <c r="E6672" s="210"/>
      <c r="F6672" s="210"/>
      <c r="G6672" s="210"/>
      <c r="H6672" s="210"/>
    </row>
    <row r="6673" spans="3:8" x14ac:dyDescent="0.25">
      <c r="C6673" s="210"/>
      <c r="D6673" s="210"/>
      <c r="E6673" s="210"/>
      <c r="F6673" s="210"/>
      <c r="G6673" s="210"/>
      <c r="H6673" s="210"/>
    </row>
    <row r="6674" spans="3:8" x14ac:dyDescent="0.25">
      <c r="C6674" s="210"/>
      <c r="D6674" s="210"/>
      <c r="E6674" s="210"/>
      <c r="F6674" s="210"/>
      <c r="G6674" s="210"/>
      <c r="H6674" s="210"/>
    </row>
    <row r="6675" spans="3:8" x14ac:dyDescent="0.25">
      <c r="C6675" s="210"/>
      <c r="D6675" s="210"/>
      <c r="E6675" s="210"/>
      <c r="F6675" s="210"/>
      <c r="G6675" s="210"/>
      <c r="H6675" s="210"/>
    </row>
    <row r="6676" spans="3:8" x14ac:dyDescent="0.25">
      <c r="C6676" s="210"/>
      <c r="D6676" s="210"/>
      <c r="E6676" s="210"/>
      <c r="F6676" s="210"/>
      <c r="G6676" s="210"/>
      <c r="H6676" s="210"/>
    </row>
    <row r="6677" spans="3:8" x14ac:dyDescent="0.25">
      <c r="C6677" s="210"/>
      <c r="D6677" s="210"/>
      <c r="E6677" s="210"/>
      <c r="F6677" s="210"/>
      <c r="G6677" s="210"/>
      <c r="H6677" s="210"/>
    </row>
    <row r="6678" spans="3:8" x14ac:dyDescent="0.25">
      <c r="C6678" s="210"/>
      <c r="D6678" s="210"/>
      <c r="E6678" s="210"/>
      <c r="F6678" s="210"/>
      <c r="G6678" s="210"/>
      <c r="H6678" s="210"/>
    </row>
    <row r="6679" spans="3:8" x14ac:dyDescent="0.25">
      <c r="C6679" s="210"/>
      <c r="D6679" s="210"/>
      <c r="E6679" s="210"/>
      <c r="F6679" s="210"/>
      <c r="G6679" s="210"/>
      <c r="H6679" s="210"/>
    </row>
    <row r="6680" spans="3:8" x14ac:dyDescent="0.25">
      <c r="C6680" s="210"/>
      <c r="D6680" s="210"/>
      <c r="E6680" s="210"/>
      <c r="F6680" s="210"/>
      <c r="G6680" s="210"/>
      <c r="H6680" s="210"/>
    </row>
    <row r="6681" spans="3:8" x14ac:dyDescent="0.25">
      <c r="C6681" s="210"/>
      <c r="D6681" s="210"/>
      <c r="E6681" s="210"/>
      <c r="F6681" s="210"/>
      <c r="G6681" s="210"/>
      <c r="H6681" s="210"/>
    </row>
    <row r="6682" spans="3:8" x14ac:dyDescent="0.25">
      <c r="C6682" s="210"/>
      <c r="D6682" s="210"/>
      <c r="E6682" s="210"/>
      <c r="F6682" s="210"/>
      <c r="G6682" s="210"/>
      <c r="H6682" s="210"/>
    </row>
    <row r="6683" spans="3:8" x14ac:dyDescent="0.25">
      <c r="C6683" s="210"/>
      <c r="D6683" s="210"/>
      <c r="E6683" s="210"/>
      <c r="F6683" s="210"/>
      <c r="G6683" s="210"/>
      <c r="H6683" s="210"/>
    </row>
    <row r="6684" spans="3:8" x14ac:dyDescent="0.25">
      <c r="C6684" s="210"/>
      <c r="D6684" s="210"/>
      <c r="E6684" s="210"/>
      <c r="F6684" s="210"/>
      <c r="G6684" s="210"/>
      <c r="H6684" s="210"/>
    </row>
    <row r="6685" spans="3:8" x14ac:dyDescent="0.25">
      <c r="C6685" s="210"/>
      <c r="D6685" s="210"/>
      <c r="E6685" s="210"/>
      <c r="F6685" s="210"/>
      <c r="G6685" s="210"/>
      <c r="H6685" s="210"/>
    </row>
    <row r="6686" spans="3:8" x14ac:dyDescent="0.25">
      <c r="C6686" s="210"/>
      <c r="D6686" s="210"/>
      <c r="E6686" s="210"/>
      <c r="F6686" s="210"/>
      <c r="G6686" s="210"/>
      <c r="H6686" s="210"/>
    </row>
    <row r="6687" spans="3:8" x14ac:dyDescent="0.25">
      <c r="C6687" s="210"/>
      <c r="D6687" s="210"/>
      <c r="E6687" s="210"/>
      <c r="F6687" s="210"/>
      <c r="G6687" s="210"/>
      <c r="H6687" s="210"/>
    </row>
    <row r="6688" spans="3:8" x14ac:dyDescent="0.25">
      <c r="C6688" s="210"/>
      <c r="D6688" s="210"/>
      <c r="E6688" s="210"/>
      <c r="F6688" s="210"/>
      <c r="G6688" s="210"/>
      <c r="H6688" s="210"/>
    </row>
    <row r="6689" spans="3:8" x14ac:dyDescent="0.25">
      <c r="C6689" s="210"/>
      <c r="D6689" s="210"/>
      <c r="E6689" s="210"/>
      <c r="F6689" s="210"/>
      <c r="G6689" s="210"/>
      <c r="H6689" s="210"/>
    </row>
    <row r="6690" spans="3:8" x14ac:dyDescent="0.25">
      <c r="C6690" s="210"/>
      <c r="D6690" s="210"/>
      <c r="E6690" s="210"/>
      <c r="F6690" s="210"/>
      <c r="G6690" s="210"/>
      <c r="H6690" s="210"/>
    </row>
    <row r="6691" spans="3:8" x14ac:dyDescent="0.25">
      <c r="C6691" s="210"/>
      <c r="D6691" s="210"/>
      <c r="E6691" s="210"/>
      <c r="F6691" s="210"/>
      <c r="G6691" s="210"/>
      <c r="H6691" s="210"/>
    </row>
    <row r="6692" spans="3:8" x14ac:dyDescent="0.25">
      <c r="C6692" s="210"/>
      <c r="D6692" s="210"/>
      <c r="E6692" s="210"/>
      <c r="F6692" s="210"/>
      <c r="G6692" s="210"/>
      <c r="H6692" s="210"/>
    </row>
    <row r="6693" spans="3:8" x14ac:dyDescent="0.25">
      <c r="C6693" s="210"/>
      <c r="D6693" s="210"/>
      <c r="E6693" s="210"/>
      <c r="F6693" s="210"/>
      <c r="G6693" s="210"/>
      <c r="H6693" s="210"/>
    </row>
    <row r="6694" spans="3:8" x14ac:dyDescent="0.25">
      <c r="C6694" s="210"/>
      <c r="D6694" s="210"/>
      <c r="E6694" s="210"/>
      <c r="F6694" s="210"/>
      <c r="G6694" s="210"/>
      <c r="H6694" s="210"/>
    </row>
    <row r="6695" spans="3:8" x14ac:dyDescent="0.25">
      <c r="C6695" s="210"/>
      <c r="D6695" s="210"/>
      <c r="E6695" s="210"/>
      <c r="F6695" s="210"/>
      <c r="G6695" s="210"/>
      <c r="H6695" s="210"/>
    </row>
    <row r="6696" spans="3:8" x14ac:dyDescent="0.25">
      <c r="C6696" s="210"/>
      <c r="D6696" s="210"/>
      <c r="E6696" s="210"/>
      <c r="F6696" s="210"/>
      <c r="G6696" s="210"/>
      <c r="H6696" s="210"/>
    </row>
    <row r="6697" spans="3:8" x14ac:dyDescent="0.25">
      <c r="C6697" s="210"/>
      <c r="D6697" s="210"/>
      <c r="E6697" s="210"/>
      <c r="F6697" s="210"/>
      <c r="G6697" s="210"/>
      <c r="H6697" s="210"/>
    </row>
    <row r="6698" spans="3:8" x14ac:dyDescent="0.25">
      <c r="C6698" s="210"/>
      <c r="D6698" s="210"/>
      <c r="E6698" s="210"/>
      <c r="F6698" s="210"/>
      <c r="G6698" s="210"/>
      <c r="H6698" s="210"/>
    </row>
    <row r="6699" spans="3:8" x14ac:dyDescent="0.25">
      <c r="C6699" s="210"/>
      <c r="D6699" s="210"/>
      <c r="E6699" s="210"/>
      <c r="F6699" s="210"/>
      <c r="G6699" s="210"/>
      <c r="H6699" s="210"/>
    </row>
    <row r="6700" spans="3:8" x14ac:dyDescent="0.25">
      <c r="C6700" s="210"/>
      <c r="D6700" s="210"/>
      <c r="E6700" s="210"/>
      <c r="F6700" s="210"/>
      <c r="G6700" s="210"/>
      <c r="H6700" s="210"/>
    </row>
    <row r="6701" spans="3:8" x14ac:dyDescent="0.25">
      <c r="C6701" s="210"/>
      <c r="D6701" s="210"/>
      <c r="E6701" s="210"/>
      <c r="F6701" s="210"/>
      <c r="G6701" s="210"/>
      <c r="H6701" s="210"/>
    </row>
    <row r="6702" spans="3:8" x14ac:dyDescent="0.25">
      <c r="C6702" s="210"/>
      <c r="D6702" s="210"/>
      <c r="E6702" s="210"/>
      <c r="F6702" s="210"/>
      <c r="G6702" s="210"/>
      <c r="H6702" s="210"/>
    </row>
    <row r="6703" spans="3:8" x14ac:dyDescent="0.25">
      <c r="C6703" s="210"/>
      <c r="D6703" s="210"/>
      <c r="E6703" s="210"/>
      <c r="F6703" s="210"/>
      <c r="G6703" s="210"/>
      <c r="H6703" s="210"/>
    </row>
    <row r="6704" spans="3:8" x14ac:dyDescent="0.25">
      <c r="C6704" s="210"/>
      <c r="D6704" s="210"/>
      <c r="E6704" s="210"/>
      <c r="F6704" s="210"/>
      <c r="G6704" s="210"/>
      <c r="H6704" s="210"/>
    </row>
    <row r="6705" spans="3:8" x14ac:dyDescent="0.25">
      <c r="C6705" s="210"/>
      <c r="D6705" s="210"/>
      <c r="E6705" s="210"/>
      <c r="F6705" s="210"/>
      <c r="G6705" s="210"/>
      <c r="H6705" s="210"/>
    </row>
    <row r="6706" spans="3:8" x14ac:dyDescent="0.25">
      <c r="C6706" s="210"/>
      <c r="D6706" s="210"/>
      <c r="E6706" s="210"/>
      <c r="F6706" s="210"/>
      <c r="G6706" s="210"/>
      <c r="H6706" s="210"/>
    </row>
    <row r="6707" spans="3:8" x14ac:dyDescent="0.25">
      <c r="C6707" s="210"/>
      <c r="D6707" s="210"/>
      <c r="E6707" s="210"/>
      <c r="F6707" s="210"/>
      <c r="G6707" s="210"/>
      <c r="H6707" s="210"/>
    </row>
    <row r="6708" spans="3:8" x14ac:dyDescent="0.25">
      <c r="C6708" s="210"/>
      <c r="D6708" s="210"/>
      <c r="E6708" s="210"/>
      <c r="F6708" s="210"/>
      <c r="G6708" s="210"/>
      <c r="H6708" s="210"/>
    </row>
    <row r="6709" spans="3:8" x14ac:dyDescent="0.25">
      <c r="C6709" s="210"/>
      <c r="D6709" s="210"/>
      <c r="E6709" s="210"/>
      <c r="F6709" s="210"/>
      <c r="G6709" s="210"/>
      <c r="H6709" s="210"/>
    </row>
    <row r="6710" spans="3:8" x14ac:dyDescent="0.25">
      <c r="C6710" s="210"/>
      <c r="D6710" s="210"/>
      <c r="E6710" s="210"/>
      <c r="F6710" s="210"/>
      <c r="G6710" s="210"/>
      <c r="H6710" s="210"/>
    </row>
    <row r="6711" spans="3:8" x14ac:dyDescent="0.25">
      <c r="C6711" s="210"/>
      <c r="D6711" s="210"/>
      <c r="E6711" s="210"/>
      <c r="F6711" s="210"/>
      <c r="G6711" s="210"/>
      <c r="H6711" s="210"/>
    </row>
    <row r="6712" spans="3:8" x14ac:dyDescent="0.25">
      <c r="C6712" s="210"/>
      <c r="D6712" s="210"/>
      <c r="E6712" s="210"/>
      <c r="F6712" s="210"/>
      <c r="G6712" s="210"/>
      <c r="H6712" s="210"/>
    </row>
    <row r="6713" spans="3:8" x14ac:dyDescent="0.25">
      <c r="C6713" s="210"/>
      <c r="D6713" s="210"/>
      <c r="E6713" s="210"/>
      <c r="F6713" s="210"/>
      <c r="G6713" s="210"/>
      <c r="H6713" s="210"/>
    </row>
    <row r="6714" spans="3:8" x14ac:dyDescent="0.25">
      <c r="C6714" s="210"/>
      <c r="D6714" s="210"/>
      <c r="E6714" s="210"/>
      <c r="F6714" s="210"/>
      <c r="G6714" s="210"/>
      <c r="H6714" s="210"/>
    </row>
    <row r="6715" spans="3:8" x14ac:dyDescent="0.25">
      <c r="C6715" s="210"/>
      <c r="D6715" s="210"/>
      <c r="E6715" s="210"/>
      <c r="F6715" s="210"/>
      <c r="G6715" s="210"/>
      <c r="H6715" s="210"/>
    </row>
    <row r="6716" spans="3:8" x14ac:dyDescent="0.25">
      <c r="C6716" s="210"/>
      <c r="D6716" s="210"/>
      <c r="E6716" s="210"/>
      <c r="F6716" s="210"/>
      <c r="G6716" s="210"/>
      <c r="H6716" s="210"/>
    </row>
    <row r="6717" spans="3:8" x14ac:dyDescent="0.25">
      <c r="C6717" s="210"/>
      <c r="D6717" s="210"/>
      <c r="E6717" s="210"/>
      <c r="F6717" s="210"/>
      <c r="G6717" s="210"/>
      <c r="H6717" s="210"/>
    </row>
    <row r="6718" spans="3:8" x14ac:dyDescent="0.25">
      <c r="C6718" s="210"/>
      <c r="D6718" s="210"/>
      <c r="E6718" s="210"/>
      <c r="F6718" s="210"/>
      <c r="G6718" s="210"/>
      <c r="H6718" s="210"/>
    </row>
    <row r="6719" spans="3:8" x14ac:dyDescent="0.25">
      <c r="C6719" s="210"/>
      <c r="D6719" s="210"/>
      <c r="E6719" s="210"/>
      <c r="F6719" s="210"/>
      <c r="G6719" s="210"/>
      <c r="H6719" s="210"/>
    </row>
    <row r="6720" spans="3:8" x14ac:dyDescent="0.25">
      <c r="C6720" s="210"/>
      <c r="D6720" s="210"/>
      <c r="E6720" s="210"/>
      <c r="F6720" s="210"/>
      <c r="G6720" s="210"/>
      <c r="H6720" s="210"/>
    </row>
    <row r="6721" spans="3:8" x14ac:dyDescent="0.25">
      <c r="C6721" s="210"/>
      <c r="D6721" s="210"/>
      <c r="E6721" s="210"/>
      <c r="F6721" s="210"/>
      <c r="G6721" s="210"/>
      <c r="H6721" s="210"/>
    </row>
    <row r="6722" spans="3:8" x14ac:dyDescent="0.25">
      <c r="C6722" s="210"/>
      <c r="D6722" s="210"/>
      <c r="E6722" s="210"/>
      <c r="F6722" s="210"/>
      <c r="G6722" s="210"/>
      <c r="H6722" s="210"/>
    </row>
    <row r="6723" spans="3:8" x14ac:dyDescent="0.25">
      <c r="C6723" s="210"/>
      <c r="D6723" s="210"/>
      <c r="E6723" s="210"/>
      <c r="F6723" s="210"/>
      <c r="G6723" s="210"/>
      <c r="H6723" s="210"/>
    </row>
    <row r="6724" spans="3:8" x14ac:dyDescent="0.25">
      <c r="C6724" s="210"/>
      <c r="D6724" s="210"/>
      <c r="E6724" s="210"/>
      <c r="F6724" s="210"/>
      <c r="G6724" s="210"/>
      <c r="H6724" s="210"/>
    </row>
    <row r="6725" spans="3:8" x14ac:dyDescent="0.25">
      <c r="C6725" s="210"/>
      <c r="D6725" s="210"/>
      <c r="E6725" s="210"/>
      <c r="F6725" s="210"/>
      <c r="G6725" s="210"/>
      <c r="H6725" s="210"/>
    </row>
    <row r="6726" spans="3:8" x14ac:dyDescent="0.25">
      <c r="C6726" s="210"/>
      <c r="D6726" s="210"/>
      <c r="E6726" s="210"/>
      <c r="F6726" s="210"/>
      <c r="G6726" s="210"/>
      <c r="H6726" s="210"/>
    </row>
    <row r="6727" spans="3:8" x14ac:dyDescent="0.25">
      <c r="C6727" s="210"/>
      <c r="D6727" s="210"/>
      <c r="E6727" s="210"/>
      <c r="F6727" s="210"/>
      <c r="G6727" s="210"/>
      <c r="H6727" s="210"/>
    </row>
    <row r="6728" spans="3:8" x14ac:dyDescent="0.25">
      <c r="C6728" s="210"/>
      <c r="D6728" s="210"/>
      <c r="E6728" s="210"/>
      <c r="F6728" s="210"/>
      <c r="G6728" s="210"/>
      <c r="H6728" s="210"/>
    </row>
    <row r="6729" spans="3:8" x14ac:dyDescent="0.25">
      <c r="C6729" s="210"/>
      <c r="D6729" s="210"/>
      <c r="E6729" s="210"/>
      <c r="F6729" s="210"/>
      <c r="G6729" s="210"/>
      <c r="H6729" s="210"/>
    </row>
    <row r="6730" spans="3:8" x14ac:dyDescent="0.25">
      <c r="C6730" s="210"/>
      <c r="D6730" s="210"/>
      <c r="E6730" s="210"/>
      <c r="F6730" s="210"/>
      <c r="G6730" s="210"/>
      <c r="H6730" s="210"/>
    </row>
    <row r="6731" spans="3:8" x14ac:dyDescent="0.25">
      <c r="C6731" s="210"/>
      <c r="D6731" s="210"/>
      <c r="E6731" s="210"/>
      <c r="F6731" s="210"/>
      <c r="G6731" s="210"/>
      <c r="H6731" s="210"/>
    </row>
    <row r="6732" spans="3:8" x14ac:dyDescent="0.25">
      <c r="C6732" s="210"/>
      <c r="D6732" s="210"/>
      <c r="E6732" s="210"/>
      <c r="F6732" s="210"/>
      <c r="G6732" s="210"/>
      <c r="H6732" s="210"/>
    </row>
    <row r="6733" spans="3:8" x14ac:dyDescent="0.25">
      <c r="C6733" s="210"/>
      <c r="D6733" s="210"/>
      <c r="E6733" s="210"/>
      <c r="F6733" s="210"/>
      <c r="G6733" s="210"/>
      <c r="H6733" s="210"/>
    </row>
    <row r="6734" spans="3:8" x14ac:dyDescent="0.25">
      <c r="C6734" s="210"/>
      <c r="D6734" s="210"/>
      <c r="E6734" s="210"/>
      <c r="F6734" s="210"/>
      <c r="G6734" s="210"/>
      <c r="H6734" s="210"/>
    </row>
    <row r="6735" spans="3:8" x14ac:dyDescent="0.25">
      <c r="C6735" s="210"/>
      <c r="D6735" s="210"/>
      <c r="E6735" s="210"/>
      <c r="F6735" s="210"/>
      <c r="G6735" s="210"/>
      <c r="H6735" s="210"/>
    </row>
    <row r="6736" spans="3:8" x14ac:dyDescent="0.25">
      <c r="C6736" s="210"/>
      <c r="D6736" s="210"/>
      <c r="E6736" s="210"/>
      <c r="F6736" s="210"/>
      <c r="G6736" s="210"/>
      <c r="H6736" s="210"/>
    </row>
    <row r="6737" spans="3:8" x14ac:dyDescent="0.25">
      <c r="C6737" s="210"/>
      <c r="D6737" s="210"/>
      <c r="E6737" s="210"/>
      <c r="F6737" s="210"/>
      <c r="G6737" s="210"/>
      <c r="H6737" s="210"/>
    </row>
    <row r="6738" spans="3:8" x14ac:dyDescent="0.25">
      <c r="C6738" s="210"/>
      <c r="D6738" s="210"/>
      <c r="E6738" s="210"/>
      <c r="F6738" s="210"/>
      <c r="G6738" s="210"/>
      <c r="H6738" s="210"/>
    </row>
    <row r="6739" spans="3:8" x14ac:dyDescent="0.25">
      <c r="C6739" s="210"/>
      <c r="D6739" s="210"/>
      <c r="E6739" s="210"/>
      <c r="F6739" s="210"/>
      <c r="G6739" s="210"/>
      <c r="H6739" s="210"/>
    </row>
    <row r="6740" spans="3:8" x14ac:dyDescent="0.25">
      <c r="C6740" s="210"/>
      <c r="D6740" s="210"/>
      <c r="E6740" s="210"/>
      <c r="F6740" s="210"/>
      <c r="G6740" s="210"/>
      <c r="H6740" s="210"/>
    </row>
    <row r="6741" spans="3:8" x14ac:dyDescent="0.25">
      <c r="C6741" s="210"/>
      <c r="D6741" s="210"/>
      <c r="E6741" s="210"/>
      <c r="F6741" s="210"/>
      <c r="G6741" s="210"/>
      <c r="H6741" s="210"/>
    </row>
    <row r="6742" spans="3:8" x14ac:dyDescent="0.25">
      <c r="C6742" s="210"/>
      <c r="D6742" s="210"/>
      <c r="E6742" s="210"/>
      <c r="F6742" s="210"/>
      <c r="G6742" s="210"/>
      <c r="H6742" s="210"/>
    </row>
    <row r="6743" spans="3:8" x14ac:dyDescent="0.25">
      <c r="C6743" s="210"/>
      <c r="D6743" s="210"/>
      <c r="E6743" s="210"/>
      <c r="F6743" s="210"/>
      <c r="G6743" s="210"/>
      <c r="H6743" s="210"/>
    </row>
    <row r="6744" spans="3:8" x14ac:dyDescent="0.25">
      <c r="C6744" s="210"/>
      <c r="D6744" s="210"/>
      <c r="E6744" s="210"/>
      <c r="F6744" s="210"/>
      <c r="G6744" s="210"/>
      <c r="H6744" s="210"/>
    </row>
    <row r="6745" spans="3:8" x14ac:dyDescent="0.25">
      <c r="C6745" s="210"/>
      <c r="D6745" s="210"/>
      <c r="E6745" s="210"/>
      <c r="F6745" s="210"/>
      <c r="G6745" s="210"/>
      <c r="H6745" s="210"/>
    </row>
    <row r="6746" spans="3:8" x14ac:dyDescent="0.25">
      <c r="C6746" s="210"/>
      <c r="D6746" s="210"/>
      <c r="E6746" s="210"/>
      <c r="F6746" s="210"/>
      <c r="G6746" s="210"/>
      <c r="H6746" s="210"/>
    </row>
    <row r="6747" spans="3:8" x14ac:dyDescent="0.25">
      <c r="C6747" s="210"/>
      <c r="D6747" s="210"/>
      <c r="E6747" s="210"/>
      <c r="F6747" s="210"/>
      <c r="G6747" s="210"/>
      <c r="H6747" s="210"/>
    </row>
    <row r="6748" spans="3:8" x14ac:dyDescent="0.25">
      <c r="C6748" s="210"/>
      <c r="D6748" s="210"/>
      <c r="E6748" s="210"/>
      <c r="F6748" s="210"/>
      <c r="G6748" s="210"/>
      <c r="H6748" s="210"/>
    </row>
    <row r="6749" spans="3:8" x14ac:dyDescent="0.25">
      <c r="C6749" s="210"/>
      <c r="D6749" s="210"/>
      <c r="E6749" s="210"/>
      <c r="F6749" s="210"/>
      <c r="G6749" s="210"/>
      <c r="H6749" s="210"/>
    </row>
    <row r="6750" spans="3:8" x14ac:dyDescent="0.25">
      <c r="C6750" s="210"/>
      <c r="D6750" s="210"/>
      <c r="E6750" s="210"/>
      <c r="F6750" s="210"/>
      <c r="G6750" s="210"/>
      <c r="H6750" s="210"/>
    </row>
    <row r="6751" spans="3:8" x14ac:dyDescent="0.25">
      <c r="C6751" s="210"/>
      <c r="D6751" s="210"/>
      <c r="E6751" s="210"/>
      <c r="F6751" s="210"/>
      <c r="G6751" s="210"/>
      <c r="H6751" s="210"/>
    </row>
    <row r="6752" spans="3:8" x14ac:dyDescent="0.25">
      <c r="C6752" s="210"/>
      <c r="D6752" s="210"/>
      <c r="E6752" s="210"/>
      <c r="F6752" s="210"/>
      <c r="G6752" s="210"/>
      <c r="H6752" s="210"/>
    </row>
    <row r="6753" spans="3:8" x14ac:dyDescent="0.25">
      <c r="C6753" s="210"/>
      <c r="D6753" s="210"/>
      <c r="E6753" s="210"/>
      <c r="F6753" s="210"/>
      <c r="G6753" s="210"/>
      <c r="H6753" s="210"/>
    </row>
    <row r="6754" spans="3:8" x14ac:dyDescent="0.25">
      <c r="C6754" s="210"/>
      <c r="D6754" s="210"/>
      <c r="E6754" s="210"/>
      <c r="F6754" s="210"/>
      <c r="G6754" s="210"/>
      <c r="H6754" s="210"/>
    </row>
    <row r="6755" spans="3:8" x14ac:dyDescent="0.25">
      <c r="C6755" s="210"/>
      <c r="D6755" s="210"/>
      <c r="E6755" s="210"/>
      <c r="F6755" s="210"/>
      <c r="G6755" s="210"/>
      <c r="H6755" s="210"/>
    </row>
    <row r="6756" spans="3:8" x14ac:dyDescent="0.25">
      <c r="C6756" s="210"/>
      <c r="D6756" s="210"/>
      <c r="E6756" s="210"/>
      <c r="F6756" s="210"/>
      <c r="G6756" s="210"/>
      <c r="H6756" s="210"/>
    </row>
    <row r="6757" spans="3:8" x14ac:dyDescent="0.25">
      <c r="C6757" s="210"/>
      <c r="D6757" s="210"/>
      <c r="E6757" s="210"/>
      <c r="F6757" s="210"/>
      <c r="G6757" s="210"/>
      <c r="H6757" s="210"/>
    </row>
    <row r="6758" spans="3:8" x14ac:dyDescent="0.25">
      <c r="C6758" s="210"/>
      <c r="D6758" s="210"/>
      <c r="E6758" s="210"/>
      <c r="F6758" s="210"/>
      <c r="G6758" s="210"/>
      <c r="H6758" s="210"/>
    </row>
    <row r="6759" spans="3:8" x14ac:dyDescent="0.25">
      <c r="C6759" s="210"/>
      <c r="D6759" s="210"/>
      <c r="E6759" s="210"/>
      <c r="F6759" s="210"/>
      <c r="G6759" s="210"/>
      <c r="H6759" s="210"/>
    </row>
    <row r="6760" spans="3:8" x14ac:dyDescent="0.25">
      <c r="C6760" s="210"/>
      <c r="D6760" s="210"/>
      <c r="E6760" s="210"/>
      <c r="F6760" s="210"/>
      <c r="G6760" s="210"/>
      <c r="H6760" s="210"/>
    </row>
    <row r="6761" spans="3:8" x14ac:dyDescent="0.25">
      <c r="C6761" s="210"/>
      <c r="D6761" s="210"/>
      <c r="E6761" s="210"/>
      <c r="F6761" s="210"/>
      <c r="G6761" s="210"/>
      <c r="H6761" s="210"/>
    </row>
    <row r="6762" spans="3:8" x14ac:dyDescent="0.25">
      <c r="C6762" s="210"/>
      <c r="D6762" s="210"/>
      <c r="E6762" s="210"/>
      <c r="F6762" s="210"/>
      <c r="G6762" s="210"/>
      <c r="H6762" s="210"/>
    </row>
    <row r="6763" spans="3:8" x14ac:dyDescent="0.25">
      <c r="C6763" s="210"/>
      <c r="D6763" s="210"/>
      <c r="E6763" s="210"/>
      <c r="F6763" s="210"/>
      <c r="G6763" s="210"/>
      <c r="H6763" s="210"/>
    </row>
    <row r="6764" spans="3:8" x14ac:dyDescent="0.25">
      <c r="C6764" s="210"/>
      <c r="D6764" s="210"/>
      <c r="E6764" s="210"/>
      <c r="F6764" s="210"/>
      <c r="G6764" s="210"/>
      <c r="H6764" s="210"/>
    </row>
    <row r="6765" spans="3:8" x14ac:dyDescent="0.25">
      <c r="C6765" s="210"/>
      <c r="D6765" s="210"/>
      <c r="E6765" s="210"/>
      <c r="F6765" s="210"/>
      <c r="G6765" s="210"/>
      <c r="H6765" s="210"/>
    </row>
    <row r="6766" spans="3:8" x14ac:dyDescent="0.25">
      <c r="C6766" s="210"/>
      <c r="D6766" s="210"/>
      <c r="E6766" s="210"/>
      <c r="F6766" s="210"/>
      <c r="G6766" s="210"/>
      <c r="H6766" s="210"/>
    </row>
    <row r="6767" spans="3:8" x14ac:dyDescent="0.25">
      <c r="C6767" s="210"/>
      <c r="D6767" s="210"/>
      <c r="E6767" s="210"/>
      <c r="F6767" s="210"/>
      <c r="G6767" s="210"/>
      <c r="H6767" s="210"/>
    </row>
    <row r="6768" spans="3:8" x14ac:dyDescent="0.25">
      <c r="C6768" s="210"/>
      <c r="D6768" s="210"/>
      <c r="E6768" s="210"/>
      <c r="F6768" s="210"/>
      <c r="G6768" s="210"/>
      <c r="H6768" s="210"/>
    </row>
    <row r="6769" spans="3:8" x14ac:dyDescent="0.25">
      <c r="C6769" s="210"/>
      <c r="D6769" s="210"/>
      <c r="E6769" s="210"/>
      <c r="F6769" s="210"/>
      <c r="G6769" s="210"/>
      <c r="H6769" s="210"/>
    </row>
    <row r="6770" spans="3:8" x14ac:dyDescent="0.25">
      <c r="C6770" s="210"/>
      <c r="D6770" s="210"/>
      <c r="E6770" s="210"/>
      <c r="F6770" s="210"/>
      <c r="G6770" s="210"/>
      <c r="H6770" s="210"/>
    </row>
    <row r="6771" spans="3:8" x14ac:dyDescent="0.25">
      <c r="C6771" s="210"/>
      <c r="D6771" s="210"/>
      <c r="E6771" s="210"/>
      <c r="F6771" s="210"/>
      <c r="G6771" s="210"/>
      <c r="H6771" s="210"/>
    </row>
    <row r="6772" spans="3:8" x14ac:dyDescent="0.25">
      <c r="C6772" s="210"/>
      <c r="D6772" s="210"/>
      <c r="E6772" s="210"/>
      <c r="F6772" s="210"/>
      <c r="G6772" s="210"/>
      <c r="H6772" s="210"/>
    </row>
    <row r="6773" spans="3:8" x14ac:dyDescent="0.25">
      <c r="C6773" s="210"/>
      <c r="D6773" s="210"/>
      <c r="E6773" s="210"/>
      <c r="F6773" s="210"/>
      <c r="G6773" s="210"/>
      <c r="H6773" s="210"/>
    </row>
    <row r="6774" spans="3:8" x14ac:dyDescent="0.25">
      <c r="C6774" s="210"/>
      <c r="D6774" s="210"/>
      <c r="E6774" s="210"/>
      <c r="F6774" s="210"/>
      <c r="G6774" s="210"/>
      <c r="H6774" s="210"/>
    </row>
    <row r="6775" spans="3:8" x14ac:dyDescent="0.25">
      <c r="C6775" s="210"/>
      <c r="D6775" s="210"/>
      <c r="E6775" s="210"/>
      <c r="F6775" s="210"/>
      <c r="G6775" s="210"/>
      <c r="H6775" s="210"/>
    </row>
    <row r="6776" spans="3:8" x14ac:dyDescent="0.25">
      <c r="C6776" s="210"/>
      <c r="D6776" s="210"/>
      <c r="E6776" s="210"/>
      <c r="F6776" s="210"/>
      <c r="G6776" s="210"/>
      <c r="H6776" s="210"/>
    </row>
    <row r="6777" spans="3:8" x14ac:dyDescent="0.25">
      <c r="C6777" s="210"/>
      <c r="D6777" s="210"/>
      <c r="E6777" s="210"/>
      <c r="F6777" s="210"/>
      <c r="G6777" s="210"/>
      <c r="H6777" s="210"/>
    </row>
    <row r="6778" spans="3:8" x14ac:dyDescent="0.25">
      <c r="C6778" s="210"/>
      <c r="D6778" s="210"/>
      <c r="E6778" s="210"/>
      <c r="F6778" s="210"/>
      <c r="G6778" s="210"/>
      <c r="H6778" s="210"/>
    </row>
    <row r="6779" spans="3:8" x14ac:dyDescent="0.25">
      <c r="C6779" s="210"/>
      <c r="D6779" s="210"/>
      <c r="E6779" s="210"/>
      <c r="F6779" s="210"/>
      <c r="G6779" s="210"/>
      <c r="H6779" s="210"/>
    </row>
    <row r="6780" spans="3:8" x14ac:dyDescent="0.25">
      <c r="C6780" s="210"/>
      <c r="D6780" s="210"/>
      <c r="E6780" s="210"/>
      <c r="F6780" s="210"/>
      <c r="G6780" s="210"/>
      <c r="H6780" s="210"/>
    </row>
    <row r="6781" spans="3:8" x14ac:dyDescent="0.25">
      <c r="C6781" s="210"/>
      <c r="D6781" s="210"/>
      <c r="E6781" s="210"/>
      <c r="F6781" s="210"/>
      <c r="G6781" s="210"/>
      <c r="H6781" s="210"/>
    </row>
    <row r="6782" spans="3:8" x14ac:dyDescent="0.25">
      <c r="C6782" s="210"/>
      <c r="D6782" s="210"/>
      <c r="E6782" s="210"/>
      <c r="F6782" s="210"/>
      <c r="G6782" s="210"/>
      <c r="H6782" s="210"/>
    </row>
    <row r="6783" spans="3:8" x14ac:dyDescent="0.25">
      <c r="C6783" s="210"/>
      <c r="D6783" s="210"/>
      <c r="E6783" s="210"/>
      <c r="F6783" s="210"/>
      <c r="G6783" s="210"/>
      <c r="H6783" s="210"/>
    </row>
    <row r="6784" spans="3:8" x14ac:dyDescent="0.25">
      <c r="C6784" s="210"/>
      <c r="D6784" s="210"/>
      <c r="E6784" s="210"/>
      <c r="F6784" s="210"/>
      <c r="G6784" s="210"/>
      <c r="H6784" s="210"/>
    </row>
    <row r="6785" spans="3:8" x14ac:dyDescent="0.25">
      <c r="C6785" s="210"/>
      <c r="D6785" s="210"/>
      <c r="E6785" s="210"/>
      <c r="F6785" s="210"/>
      <c r="G6785" s="210"/>
      <c r="H6785" s="210"/>
    </row>
    <row r="6786" spans="3:8" x14ac:dyDescent="0.25">
      <c r="C6786" s="210"/>
      <c r="D6786" s="210"/>
      <c r="E6786" s="210"/>
      <c r="F6786" s="210"/>
      <c r="G6786" s="210"/>
      <c r="H6786" s="210"/>
    </row>
    <row r="6787" spans="3:8" x14ac:dyDescent="0.25">
      <c r="C6787" s="210"/>
      <c r="D6787" s="210"/>
      <c r="E6787" s="210"/>
      <c r="F6787" s="210"/>
      <c r="G6787" s="210"/>
      <c r="H6787" s="210"/>
    </row>
    <row r="6788" spans="3:8" x14ac:dyDescent="0.25">
      <c r="C6788" s="210"/>
      <c r="D6788" s="210"/>
      <c r="E6788" s="210"/>
      <c r="F6788" s="210"/>
      <c r="G6788" s="210"/>
      <c r="H6788" s="210"/>
    </row>
    <row r="6789" spans="3:8" x14ac:dyDescent="0.25">
      <c r="C6789" s="210"/>
      <c r="D6789" s="210"/>
      <c r="E6789" s="210"/>
      <c r="F6789" s="210"/>
      <c r="G6789" s="210"/>
      <c r="H6789" s="210"/>
    </row>
    <row r="6790" spans="3:8" x14ac:dyDescent="0.25">
      <c r="C6790" s="210"/>
      <c r="D6790" s="210"/>
      <c r="E6790" s="210"/>
      <c r="F6790" s="210"/>
      <c r="G6790" s="210"/>
      <c r="H6790" s="210"/>
    </row>
    <row r="6791" spans="3:8" x14ac:dyDescent="0.25">
      <c r="C6791" s="210"/>
      <c r="D6791" s="210"/>
      <c r="E6791" s="210"/>
      <c r="F6791" s="210"/>
      <c r="G6791" s="210"/>
      <c r="H6791" s="210"/>
    </row>
    <row r="6792" spans="3:8" x14ac:dyDescent="0.25">
      <c r="C6792" s="210"/>
      <c r="D6792" s="210"/>
      <c r="E6792" s="210"/>
      <c r="F6792" s="210"/>
      <c r="G6792" s="210"/>
      <c r="H6792" s="210"/>
    </row>
    <row r="6793" spans="3:8" x14ac:dyDescent="0.25">
      <c r="C6793" s="210"/>
      <c r="D6793" s="210"/>
      <c r="E6793" s="210"/>
      <c r="F6793" s="210"/>
      <c r="G6793" s="210"/>
      <c r="H6793" s="210"/>
    </row>
    <row r="6794" spans="3:8" x14ac:dyDescent="0.25">
      <c r="C6794" s="210"/>
      <c r="D6794" s="210"/>
      <c r="E6794" s="210"/>
      <c r="F6794" s="210"/>
      <c r="G6794" s="210"/>
      <c r="H6794" s="210"/>
    </row>
    <row r="6795" spans="3:8" x14ac:dyDescent="0.25">
      <c r="C6795" s="210"/>
      <c r="D6795" s="210"/>
      <c r="E6795" s="210"/>
      <c r="F6795" s="210"/>
      <c r="G6795" s="210"/>
      <c r="H6795" s="210"/>
    </row>
    <row r="6796" spans="3:8" x14ac:dyDescent="0.25">
      <c r="C6796" s="210"/>
      <c r="D6796" s="210"/>
      <c r="E6796" s="210"/>
      <c r="F6796" s="210"/>
      <c r="G6796" s="210"/>
      <c r="H6796" s="210"/>
    </row>
    <row r="6797" spans="3:8" x14ac:dyDescent="0.25">
      <c r="C6797" s="210"/>
      <c r="D6797" s="210"/>
      <c r="E6797" s="210"/>
      <c r="F6797" s="210"/>
      <c r="G6797" s="210"/>
      <c r="H6797" s="210"/>
    </row>
    <row r="6798" spans="3:8" x14ac:dyDescent="0.25">
      <c r="C6798" s="210"/>
      <c r="D6798" s="210"/>
      <c r="E6798" s="210"/>
      <c r="F6798" s="210"/>
      <c r="G6798" s="210"/>
      <c r="H6798" s="210"/>
    </row>
    <row r="6799" spans="3:8" x14ac:dyDescent="0.25">
      <c r="C6799" s="210"/>
      <c r="D6799" s="210"/>
      <c r="E6799" s="210"/>
      <c r="F6799" s="210"/>
      <c r="G6799" s="210"/>
      <c r="H6799" s="210"/>
    </row>
    <row r="6800" spans="3:8" x14ac:dyDescent="0.25">
      <c r="C6800" s="210"/>
      <c r="D6800" s="210"/>
      <c r="E6800" s="210"/>
      <c r="F6800" s="210"/>
      <c r="G6800" s="210"/>
      <c r="H6800" s="210"/>
    </row>
    <row r="6801" spans="3:8" x14ac:dyDescent="0.25">
      <c r="C6801" s="210"/>
      <c r="D6801" s="210"/>
      <c r="E6801" s="210"/>
      <c r="F6801" s="210"/>
      <c r="G6801" s="210"/>
      <c r="H6801" s="210"/>
    </row>
    <row r="6802" spans="3:8" x14ac:dyDescent="0.25">
      <c r="C6802" s="210"/>
      <c r="D6802" s="210"/>
      <c r="E6802" s="210"/>
      <c r="F6802" s="210"/>
      <c r="G6802" s="210"/>
      <c r="H6802" s="210"/>
    </row>
    <row r="6803" spans="3:8" x14ac:dyDescent="0.25">
      <c r="C6803" s="210"/>
      <c r="D6803" s="210"/>
      <c r="E6803" s="210"/>
      <c r="F6803" s="210"/>
      <c r="G6803" s="210"/>
      <c r="H6803" s="210"/>
    </row>
    <row r="6804" spans="3:8" x14ac:dyDescent="0.25">
      <c r="C6804" s="210"/>
      <c r="D6804" s="210"/>
      <c r="E6804" s="210"/>
      <c r="F6804" s="210"/>
      <c r="G6804" s="210"/>
      <c r="H6804" s="210"/>
    </row>
    <row r="6805" spans="3:8" x14ac:dyDescent="0.25">
      <c r="C6805" s="210"/>
      <c r="D6805" s="210"/>
      <c r="E6805" s="210"/>
      <c r="F6805" s="210"/>
      <c r="G6805" s="210"/>
      <c r="H6805" s="210"/>
    </row>
    <row r="6806" spans="3:8" x14ac:dyDescent="0.25">
      <c r="C6806" s="210"/>
      <c r="D6806" s="210"/>
      <c r="E6806" s="210"/>
      <c r="F6806" s="210"/>
      <c r="G6806" s="210"/>
      <c r="H6806" s="210"/>
    </row>
    <row r="6807" spans="3:8" x14ac:dyDescent="0.25">
      <c r="C6807" s="210"/>
      <c r="D6807" s="210"/>
      <c r="E6807" s="210"/>
      <c r="F6807" s="210"/>
      <c r="G6807" s="210"/>
      <c r="H6807" s="210"/>
    </row>
    <row r="6808" spans="3:8" x14ac:dyDescent="0.25">
      <c r="C6808" s="210"/>
      <c r="D6808" s="210"/>
      <c r="E6808" s="210"/>
      <c r="F6808" s="210"/>
      <c r="G6808" s="210"/>
      <c r="H6808" s="210"/>
    </row>
    <row r="6809" spans="3:8" x14ac:dyDescent="0.25">
      <c r="C6809" s="210"/>
      <c r="D6809" s="210"/>
      <c r="E6809" s="210"/>
      <c r="F6809" s="210"/>
      <c r="G6809" s="210"/>
      <c r="H6809" s="210"/>
    </row>
    <row r="6810" spans="3:8" x14ac:dyDescent="0.25">
      <c r="C6810" s="210"/>
      <c r="D6810" s="210"/>
      <c r="E6810" s="210"/>
      <c r="F6810" s="210"/>
      <c r="G6810" s="210"/>
      <c r="H6810" s="210"/>
    </row>
    <row r="6811" spans="3:8" x14ac:dyDescent="0.25">
      <c r="C6811" s="210"/>
      <c r="D6811" s="210"/>
      <c r="E6811" s="210"/>
      <c r="F6811" s="210"/>
      <c r="G6811" s="210"/>
      <c r="H6811" s="210"/>
    </row>
    <row r="6812" spans="3:8" x14ac:dyDescent="0.25">
      <c r="C6812" s="210"/>
      <c r="D6812" s="210"/>
      <c r="E6812" s="210"/>
      <c r="F6812" s="210"/>
      <c r="G6812" s="210"/>
      <c r="H6812" s="210"/>
    </row>
    <row r="6813" spans="3:8" x14ac:dyDescent="0.25">
      <c r="C6813" s="210"/>
      <c r="D6813" s="210"/>
      <c r="E6813" s="210"/>
      <c r="F6813" s="210"/>
      <c r="G6813" s="210"/>
      <c r="H6813" s="210"/>
    </row>
    <row r="6814" spans="3:8" x14ac:dyDescent="0.25">
      <c r="C6814" s="210"/>
      <c r="D6814" s="210"/>
      <c r="E6814" s="210"/>
      <c r="F6814" s="210"/>
      <c r="G6814" s="210"/>
      <c r="H6814" s="210"/>
    </row>
    <row r="6815" spans="3:8" x14ac:dyDescent="0.25">
      <c r="C6815" s="210"/>
      <c r="D6815" s="210"/>
      <c r="E6815" s="210"/>
      <c r="F6815" s="210"/>
      <c r="G6815" s="210"/>
      <c r="H6815" s="210"/>
    </row>
    <row r="6816" spans="3:8" x14ac:dyDescent="0.25">
      <c r="C6816" s="210"/>
      <c r="D6816" s="210"/>
      <c r="E6816" s="210"/>
      <c r="F6816" s="210"/>
      <c r="G6816" s="210"/>
      <c r="H6816" s="210"/>
    </row>
    <row r="6817" spans="3:8" x14ac:dyDescent="0.25">
      <c r="C6817" s="210"/>
      <c r="D6817" s="210"/>
      <c r="E6817" s="210"/>
      <c r="F6817" s="210"/>
      <c r="G6817" s="210"/>
      <c r="H6817" s="210"/>
    </row>
    <row r="6818" spans="3:8" x14ac:dyDescent="0.25">
      <c r="C6818" s="210"/>
      <c r="D6818" s="210"/>
      <c r="E6818" s="210"/>
      <c r="F6818" s="210"/>
      <c r="G6818" s="210"/>
      <c r="H6818" s="210"/>
    </row>
    <row r="6819" spans="3:8" x14ac:dyDescent="0.25">
      <c r="C6819" s="210"/>
      <c r="D6819" s="210"/>
      <c r="E6819" s="210"/>
      <c r="F6819" s="210"/>
      <c r="G6819" s="210"/>
      <c r="H6819" s="210"/>
    </row>
    <row r="6820" spans="3:8" x14ac:dyDescent="0.25">
      <c r="C6820" s="210"/>
      <c r="D6820" s="210"/>
      <c r="E6820" s="210"/>
      <c r="F6820" s="210"/>
      <c r="G6820" s="210"/>
      <c r="H6820" s="210"/>
    </row>
    <row r="6821" spans="3:8" x14ac:dyDescent="0.25">
      <c r="C6821" s="210"/>
      <c r="D6821" s="210"/>
      <c r="E6821" s="210"/>
      <c r="F6821" s="210"/>
      <c r="G6821" s="210"/>
      <c r="H6821" s="210"/>
    </row>
    <row r="6822" spans="3:8" x14ac:dyDescent="0.25">
      <c r="C6822" s="210"/>
      <c r="D6822" s="210"/>
      <c r="E6822" s="210"/>
      <c r="F6822" s="210"/>
      <c r="G6822" s="210"/>
      <c r="H6822" s="210"/>
    </row>
    <row r="6823" spans="3:8" x14ac:dyDescent="0.25">
      <c r="C6823" s="210"/>
      <c r="D6823" s="210"/>
      <c r="E6823" s="210"/>
      <c r="F6823" s="210"/>
      <c r="G6823" s="210"/>
      <c r="H6823" s="210"/>
    </row>
    <row r="6824" spans="3:8" x14ac:dyDescent="0.25">
      <c r="C6824" s="210"/>
      <c r="D6824" s="210"/>
      <c r="E6824" s="210"/>
      <c r="F6824" s="210"/>
      <c r="G6824" s="210"/>
      <c r="H6824" s="210"/>
    </row>
    <row r="6825" spans="3:8" x14ac:dyDescent="0.25">
      <c r="C6825" s="210"/>
      <c r="D6825" s="210"/>
      <c r="E6825" s="210"/>
      <c r="F6825" s="210"/>
      <c r="G6825" s="210"/>
      <c r="H6825" s="210"/>
    </row>
    <row r="6826" spans="3:8" x14ac:dyDescent="0.25">
      <c r="C6826" s="210"/>
      <c r="D6826" s="210"/>
      <c r="E6826" s="210"/>
      <c r="F6826" s="210"/>
      <c r="G6826" s="210"/>
      <c r="H6826" s="210"/>
    </row>
    <row r="6827" spans="3:8" x14ac:dyDescent="0.25">
      <c r="C6827" s="210"/>
      <c r="D6827" s="210"/>
      <c r="E6827" s="210"/>
      <c r="F6827" s="210"/>
      <c r="G6827" s="210"/>
      <c r="H6827" s="210"/>
    </row>
    <row r="6828" spans="3:8" x14ac:dyDescent="0.25">
      <c r="C6828" s="210"/>
      <c r="D6828" s="210"/>
      <c r="E6828" s="210"/>
      <c r="F6828" s="210"/>
      <c r="G6828" s="210"/>
      <c r="H6828" s="210"/>
    </row>
    <row r="6829" spans="3:8" x14ac:dyDescent="0.25">
      <c r="C6829" s="210"/>
      <c r="D6829" s="210"/>
      <c r="E6829" s="210"/>
      <c r="F6829" s="210"/>
      <c r="G6829" s="210"/>
      <c r="H6829" s="210"/>
    </row>
    <row r="6830" spans="3:8" x14ac:dyDescent="0.25">
      <c r="C6830" s="210"/>
      <c r="D6830" s="210"/>
      <c r="E6830" s="210"/>
      <c r="F6830" s="210"/>
      <c r="G6830" s="210"/>
      <c r="H6830" s="210"/>
    </row>
    <row r="6831" spans="3:8" x14ac:dyDescent="0.25">
      <c r="C6831" s="210"/>
      <c r="D6831" s="210"/>
      <c r="E6831" s="210"/>
      <c r="F6831" s="210"/>
      <c r="G6831" s="210"/>
      <c r="H6831" s="210"/>
    </row>
    <row r="6832" spans="3:8" x14ac:dyDescent="0.25">
      <c r="C6832" s="210"/>
      <c r="D6832" s="210"/>
      <c r="E6832" s="210"/>
      <c r="F6832" s="210"/>
      <c r="G6832" s="210"/>
      <c r="H6832" s="210"/>
    </row>
    <row r="6833" spans="3:8" x14ac:dyDescent="0.25">
      <c r="C6833" s="210"/>
      <c r="D6833" s="210"/>
      <c r="E6833" s="210"/>
      <c r="F6833" s="210"/>
      <c r="G6833" s="210"/>
      <c r="H6833" s="210"/>
    </row>
    <row r="6834" spans="3:8" x14ac:dyDescent="0.25">
      <c r="C6834" s="210"/>
      <c r="D6834" s="210"/>
      <c r="E6834" s="210"/>
      <c r="F6834" s="210"/>
      <c r="G6834" s="210"/>
      <c r="H6834" s="210"/>
    </row>
    <row r="6835" spans="3:8" x14ac:dyDescent="0.25">
      <c r="C6835" s="210"/>
      <c r="D6835" s="210"/>
      <c r="E6835" s="210"/>
      <c r="F6835" s="210"/>
      <c r="G6835" s="210"/>
      <c r="H6835" s="210"/>
    </row>
    <row r="6836" spans="3:8" x14ac:dyDescent="0.25">
      <c r="C6836" s="210"/>
      <c r="D6836" s="210"/>
      <c r="E6836" s="210"/>
      <c r="F6836" s="210"/>
      <c r="G6836" s="210"/>
      <c r="H6836" s="210"/>
    </row>
    <row r="6837" spans="3:8" x14ac:dyDescent="0.25">
      <c r="C6837" s="210"/>
      <c r="D6837" s="210"/>
      <c r="E6837" s="210"/>
      <c r="F6837" s="210"/>
      <c r="G6837" s="210"/>
      <c r="H6837" s="210"/>
    </row>
    <row r="6838" spans="3:8" x14ac:dyDescent="0.25">
      <c r="C6838" s="210"/>
      <c r="D6838" s="210"/>
      <c r="E6838" s="210"/>
      <c r="F6838" s="210"/>
      <c r="G6838" s="210"/>
      <c r="H6838" s="210"/>
    </row>
    <row r="6839" spans="3:8" x14ac:dyDescent="0.25">
      <c r="C6839" s="210"/>
      <c r="D6839" s="210"/>
      <c r="E6839" s="210"/>
      <c r="F6839" s="210"/>
      <c r="G6839" s="210"/>
      <c r="H6839" s="210"/>
    </row>
    <row r="6840" spans="3:8" x14ac:dyDescent="0.25">
      <c r="C6840" s="210"/>
      <c r="D6840" s="210"/>
      <c r="E6840" s="210"/>
      <c r="F6840" s="210"/>
      <c r="G6840" s="210"/>
      <c r="H6840" s="210"/>
    </row>
    <row r="6841" spans="3:8" x14ac:dyDescent="0.25">
      <c r="C6841" s="210"/>
      <c r="D6841" s="210"/>
      <c r="E6841" s="210"/>
      <c r="F6841" s="210"/>
      <c r="G6841" s="210"/>
      <c r="H6841" s="210"/>
    </row>
    <row r="6842" spans="3:8" x14ac:dyDescent="0.25">
      <c r="C6842" s="210"/>
      <c r="D6842" s="210"/>
      <c r="E6842" s="210"/>
      <c r="F6842" s="210"/>
      <c r="G6842" s="210"/>
      <c r="H6842" s="210"/>
    </row>
    <row r="6843" spans="3:8" x14ac:dyDescent="0.25">
      <c r="C6843" s="210"/>
      <c r="D6843" s="210"/>
      <c r="E6843" s="210"/>
      <c r="F6843" s="210"/>
      <c r="G6843" s="210"/>
      <c r="H6843" s="210"/>
    </row>
    <row r="6844" spans="3:8" x14ac:dyDescent="0.25">
      <c r="C6844" s="210"/>
      <c r="D6844" s="210"/>
      <c r="E6844" s="210"/>
      <c r="F6844" s="210"/>
      <c r="G6844" s="210"/>
      <c r="H6844" s="210"/>
    </row>
    <row r="6845" spans="3:8" x14ac:dyDescent="0.25">
      <c r="C6845" s="210"/>
      <c r="D6845" s="210"/>
      <c r="E6845" s="210"/>
      <c r="F6845" s="210"/>
      <c r="G6845" s="210"/>
      <c r="H6845" s="210"/>
    </row>
    <row r="6846" spans="3:8" x14ac:dyDescent="0.25">
      <c r="C6846" s="210"/>
      <c r="D6846" s="210"/>
      <c r="E6846" s="210"/>
      <c r="F6846" s="210"/>
      <c r="G6846" s="210"/>
      <c r="H6846" s="210"/>
    </row>
    <row r="6847" spans="3:8" x14ac:dyDescent="0.25">
      <c r="C6847" s="210"/>
      <c r="D6847" s="210"/>
      <c r="E6847" s="210"/>
      <c r="F6847" s="210"/>
      <c r="G6847" s="210"/>
      <c r="H6847" s="210"/>
    </row>
    <row r="6848" spans="3:8" x14ac:dyDescent="0.25">
      <c r="C6848" s="210"/>
      <c r="D6848" s="210"/>
      <c r="E6848" s="210"/>
      <c r="F6848" s="210"/>
      <c r="G6848" s="210"/>
      <c r="H6848" s="210"/>
    </row>
    <row r="6849" spans="3:8" x14ac:dyDescent="0.25">
      <c r="C6849" s="210"/>
      <c r="D6849" s="210"/>
      <c r="E6849" s="210"/>
      <c r="F6849" s="210"/>
      <c r="G6849" s="210"/>
      <c r="H6849" s="210"/>
    </row>
    <row r="6850" spans="3:8" x14ac:dyDescent="0.25">
      <c r="C6850" s="210"/>
      <c r="D6850" s="210"/>
      <c r="E6850" s="210"/>
      <c r="F6850" s="210"/>
      <c r="G6850" s="210"/>
      <c r="H6850" s="210"/>
    </row>
    <row r="6851" spans="3:8" x14ac:dyDescent="0.25">
      <c r="C6851" s="210"/>
      <c r="D6851" s="210"/>
      <c r="E6851" s="210"/>
      <c r="F6851" s="210"/>
      <c r="G6851" s="210"/>
      <c r="H6851" s="210"/>
    </row>
    <row r="6852" spans="3:8" x14ac:dyDescent="0.25">
      <c r="C6852" s="210"/>
      <c r="D6852" s="210"/>
      <c r="E6852" s="210"/>
      <c r="F6852" s="210"/>
      <c r="G6852" s="210"/>
      <c r="H6852" s="210"/>
    </row>
    <row r="6853" spans="3:8" x14ac:dyDescent="0.25">
      <c r="C6853" s="210"/>
      <c r="D6853" s="210"/>
      <c r="E6853" s="210"/>
      <c r="F6853" s="210"/>
      <c r="G6853" s="210"/>
      <c r="H6853" s="210"/>
    </row>
    <row r="6854" spans="3:8" x14ac:dyDescent="0.25">
      <c r="C6854" s="210"/>
      <c r="D6854" s="210"/>
      <c r="E6854" s="210"/>
      <c r="F6854" s="210"/>
      <c r="G6854" s="210"/>
      <c r="H6854" s="210"/>
    </row>
    <row r="6855" spans="3:8" x14ac:dyDescent="0.25">
      <c r="C6855" s="210"/>
      <c r="D6855" s="210"/>
      <c r="E6855" s="210"/>
      <c r="F6855" s="210"/>
      <c r="G6855" s="210"/>
      <c r="H6855" s="210"/>
    </row>
    <row r="6856" spans="3:8" x14ac:dyDescent="0.25">
      <c r="C6856" s="210"/>
      <c r="D6856" s="210"/>
      <c r="E6856" s="210"/>
      <c r="F6856" s="210"/>
      <c r="G6856" s="210"/>
      <c r="H6856" s="210"/>
    </row>
    <row r="6857" spans="3:8" x14ac:dyDescent="0.25">
      <c r="C6857" s="210"/>
      <c r="D6857" s="210"/>
      <c r="E6857" s="210"/>
      <c r="F6857" s="210"/>
      <c r="G6857" s="210"/>
      <c r="H6857" s="210"/>
    </row>
    <row r="6858" spans="3:8" x14ac:dyDescent="0.25">
      <c r="C6858" s="210"/>
      <c r="D6858" s="210"/>
      <c r="E6858" s="210"/>
      <c r="F6858" s="210"/>
      <c r="G6858" s="210"/>
      <c r="H6858" s="210"/>
    </row>
    <row r="6859" spans="3:8" x14ac:dyDescent="0.25">
      <c r="C6859" s="210"/>
      <c r="D6859" s="210"/>
      <c r="E6859" s="210"/>
      <c r="F6859" s="210"/>
      <c r="G6859" s="210"/>
      <c r="H6859" s="210"/>
    </row>
    <row r="6860" spans="3:8" x14ac:dyDescent="0.25">
      <c r="C6860" s="210"/>
      <c r="D6860" s="210"/>
      <c r="E6860" s="210"/>
      <c r="F6860" s="210"/>
      <c r="G6860" s="210"/>
      <c r="H6860" s="210"/>
    </row>
    <row r="6861" spans="3:8" x14ac:dyDescent="0.25">
      <c r="C6861" s="210"/>
      <c r="D6861" s="210"/>
      <c r="E6861" s="210"/>
      <c r="F6861" s="210"/>
      <c r="G6861" s="210"/>
      <c r="H6861" s="210"/>
    </row>
    <row r="6862" spans="3:8" x14ac:dyDescent="0.25">
      <c r="C6862" s="210"/>
      <c r="D6862" s="210"/>
      <c r="E6862" s="210"/>
      <c r="F6862" s="210"/>
      <c r="G6862" s="210"/>
      <c r="H6862" s="210"/>
    </row>
    <row r="6863" spans="3:8" x14ac:dyDescent="0.25">
      <c r="C6863" s="210"/>
      <c r="D6863" s="210"/>
      <c r="E6863" s="210"/>
      <c r="F6863" s="210"/>
      <c r="G6863" s="210"/>
      <c r="H6863" s="210"/>
    </row>
    <row r="6864" spans="3:8" x14ac:dyDescent="0.25">
      <c r="C6864" s="210"/>
      <c r="D6864" s="210"/>
      <c r="E6864" s="210"/>
      <c r="F6864" s="210"/>
      <c r="G6864" s="210"/>
      <c r="H6864" s="210"/>
    </row>
    <row r="6865" spans="3:8" x14ac:dyDescent="0.25">
      <c r="C6865" s="210"/>
      <c r="D6865" s="210"/>
      <c r="E6865" s="210"/>
      <c r="F6865" s="210"/>
      <c r="G6865" s="210"/>
      <c r="H6865" s="210"/>
    </row>
    <row r="6866" spans="3:8" x14ac:dyDescent="0.25">
      <c r="C6866" s="210"/>
      <c r="D6866" s="210"/>
      <c r="E6866" s="210"/>
      <c r="F6866" s="210"/>
      <c r="G6866" s="210"/>
      <c r="H6866" s="210"/>
    </row>
    <row r="6867" spans="3:8" x14ac:dyDescent="0.25">
      <c r="C6867" s="210"/>
      <c r="D6867" s="210"/>
      <c r="E6867" s="210"/>
      <c r="F6867" s="210"/>
      <c r="G6867" s="210"/>
      <c r="H6867" s="210"/>
    </row>
    <row r="6868" spans="3:8" x14ac:dyDescent="0.25">
      <c r="C6868" s="210"/>
      <c r="D6868" s="210"/>
      <c r="E6868" s="210"/>
      <c r="F6868" s="210"/>
      <c r="G6868" s="210"/>
      <c r="H6868" s="210"/>
    </row>
    <row r="6869" spans="3:8" x14ac:dyDescent="0.25">
      <c r="C6869" s="210"/>
      <c r="D6869" s="210"/>
      <c r="E6869" s="210"/>
      <c r="F6869" s="210"/>
      <c r="G6869" s="210"/>
      <c r="H6869" s="210"/>
    </row>
    <row r="6870" spans="3:8" x14ac:dyDescent="0.25">
      <c r="C6870" s="210"/>
      <c r="D6870" s="210"/>
      <c r="E6870" s="210"/>
      <c r="F6870" s="210"/>
      <c r="G6870" s="210"/>
      <c r="H6870" s="210"/>
    </row>
    <row r="6871" spans="3:8" x14ac:dyDescent="0.25">
      <c r="C6871" s="210"/>
      <c r="D6871" s="210"/>
      <c r="E6871" s="210"/>
      <c r="F6871" s="210"/>
      <c r="G6871" s="210"/>
      <c r="H6871" s="210"/>
    </row>
    <row r="6872" spans="3:8" x14ac:dyDescent="0.25">
      <c r="C6872" s="210"/>
      <c r="D6872" s="210"/>
      <c r="E6872" s="210"/>
      <c r="F6872" s="210"/>
      <c r="G6872" s="210"/>
      <c r="H6872" s="210"/>
    </row>
    <row r="6873" spans="3:8" x14ac:dyDescent="0.25">
      <c r="C6873" s="210"/>
      <c r="D6873" s="210"/>
      <c r="E6873" s="210"/>
      <c r="F6873" s="210"/>
      <c r="G6873" s="210"/>
      <c r="H6873" s="210"/>
    </row>
    <row r="6874" spans="3:8" x14ac:dyDescent="0.25">
      <c r="C6874" s="210"/>
      <c r="D6874" s="210"/>
      <c r="E6874" s="210"/>
      <c r="F6874" s="210"/>
      <c r="G6874" s="210"/>
      <c r="H6874" s="210"/>
    </row>
    <row r="6875" spans="3:8" x14ac:dyDescent="0.25">
      <c r="C6875" s="210"/>
      <c r="D6875" s="210"/>
      <c r="E6875" s="210"/>
      <c r="F6875" s="210"/>
      <c r="G6875" s="210"/>
      <c r="H6875" s="210"/>
    </row>
    <row r="6876" spans="3:8" x14ac:dyDescent="0.25">
      <c r="C6876" s="210"/>
      <c r="D6876" s="210"/>
      <c r="E6876" s="210"/>
      <c r="F6876" s="210"/>
      <c r="G6876" s="210"/>
      <c r="H6876" s="210"/>
    </row>
    <row r="6877" spans="3:8" x14ac:dyDescent="0.25">
      <c r="C6877" s="210"/>
      <c r="D6877" s="210"/>
      <c r="E6877" s="210"/>
      <c r="F6877" s="210"/>
      <c r="G6877" s="210"/>
      <c r="H6877" s="210"/>
    </row>
    <row r="6878" spans="3:8" x14ac:dyDescent="0.25">
      <c r="C6878" s="210"/>
      <c r="D6878" s="210"/>
      <c r="E6878" s="210"/>
      <c r="F6878" s="210"/>
      <c r="G6878" s="210"/>
      <c r="H6878" s="210"/>
    </row>
    <row r="6879" spans="3:8" x14ac:dyDescent="0.25">
      <c r="C6879" s="210"/>
      <c r="D6879" s="210"/>
      <c r="E6879" s="210"/>
      <c r="F6879" s="210"/>
      <c r="G6879" s="210"/>
      <c r="H6879" s="210"/>
    </row>
    <row r="6880" spans="3:8" x14ac:dyDescent="0.25">
      <c r="C6880" s="210"/>
      <c r="D6880" s="210"/>
      <c r="E6880" s="210"/>
      <c r="F6880" s="210"/>
      <c r="G6880" s="210"/>
      <c r="H6880" s="210"/>
    </row>
    <row r="6881" spans="3:8" x14ac:dyDescent="0.25">
      <c r="C6881" s="210"/>
      <c r="D6881" s="210"/>
      <c r="E6881" s="210"/>
      <c r="F6881" s="210"/>
      <c r="G6881" s="210"/>
      <c r="H6881" s="210"/>
    </row>
    <row r="6882" spans="3:8" x14ac:dyDescent="0.25">
      <c r="C6882" s="210"/>
      <c r="D6882" s="210"/>
      <c r="E6882" s="210"/>
      <c r="F6882" s="210"/>
      <c r="G6882" s="210"/>
      <c r="H6882" s="210"/>
    </row>
    <row r="6883" spans="3:8" x14ac:dyDescent="0.25">
      <c r="C6883" s="210"/>
      <c r="D6883" s="210"/>
      <c r="E6883" s="210"/>
      <c r="F6883" s="210"/>
      <c r="G6883" s="210"/>
      <c r="H6883" s="210"/>
    </row>
    <row r="6884" spans="3:8" x14ac:dyDescent="0.25">
      <c r="C6884" s="210"/>
      <c r="D6884" s="210"/>
      <c r="E6884" s="210"/>
      <c r="F6884" s="210"/>
      <c r="G6884" s="210"/>
      <c r="H6884" s="210"/>
    </row>
    <row r="6885" spans="3:8" x14ac:dyDescent="0.25">
      <c r="C6885" s="210"/>
      <c r="D6885" s="210"/>
      <c r="E6885" s="210"/>
      <c r="F6885" s="210"/>
      <c r="G6885" s="210"/>
      <c r="H6885" s="210"/>
    </row>
    <row r="6886" spans="3:8" x14ac:dyDescent="0.25">
      <c r="C6886" s="210"/>
      <c r="D6886" s="210"/>
      <c r="E6886" s="210"/>
      <c r="F6886" s="210"/>
      <c r="G6886" s="210"/>
      <c r="H6886" s="210"/>
    </row>
    <row r="6887" spans="3:8" x14ac:dyDescent="0.25">
      <c r="C6887" s="210"/>
      <c r="D6887" s="210"/>
      <c r="E6887" s="210"/>
      <c r="F6887" s="210"/>
      <c r="G6887" s="210"/>
      <c r="H6887" s="210"/>
    </row>
    <row r="6888" spans="3:8" x14ac:dyDescent="0.25">
      <c r="C6888" s="210"/>
      <c r="D6888" s="210"/>
      <c r="E6888" s="210"/>
      <c r="F6888" s="210"/>
      <c r="G6888" s="210"/>
      <c r="H6888" s="210"/>
    </row>
    <row r="6889" spans="3:8" x14ac:dyDescent="0.25">
      <c r="C6889" s="210"/>
      <c r="D6889" s="210"/>
      <c r="E6889" s="210"/>
      <c r="F6889" s="210"/>
      <c r="G6889" s="210"/>
      <c r="H6889" s="210"/>
    </row>
    <row r="6890" spans="3:8" x14ac:dyDescent="0.25">
      <c r="C6890" s="210"/>
      <c r="D6890" s="210"/>
      <c r="E6890" s="210"/>
      <c r="F6890" s="210"/>
      <c r="G6890" s="210"/>
      <c r="H6890" s="210"/>
    </row>
    <row r="6891" spans="3:8" x14ac:dyDescent="0.25">
      <c r="C6891" s="210"/>
      <c r="D6891" s="210"/>
      <c r="E6891" s="210"/>
      <c r="F6891" s="210"/>
      <c r="G6891" s="210"/>
      <c r="H6891" s="210"/>
    </row>
    <row r="6892" spans="3:8" x14ac:dyDescent="0.25">
      <c r="C6892" s="210"/>
      <c r="D6892" s="210"/>
      <c r="E6892" s="210"/>
      <c r="F6892" s="210"/>
      <c r="G6892" s="210"/>
      <c r="H6892" s="210"/>
    </row>
    <row r="6893" spans="3:8" x14ac:dyDescent="0.25">
      <c r="C6893" s="210"/>
      <c r="D6893" s="210"/>
      <c r="E6893" s="210"/>
      <c r="F6893" s="210"/>
      <c r="G6893" s="210"/>
      <c r="H6893" s="210"/>
    </row>
    <row r="6894" spans="3:8" x14ac:dyDescent="0.25">
      <c r="C6894" s="210"/>
      <c r="D6894" s="210"/>
      <c r="E6894" s="210"/>
      <c r="F6894" s="210"/>
      <c r="G6894" s="210"/>
      <c r="H6894" s="210"/>
    </row>
    <row r="6895" spans="3:8" x14ac:dyDescent="0.25">
      <c r="C6895" s="210"/>
      <c r="D6895" s="210"/>
      <c r="E6895" s="210"/>
      <c r="F6895" s="210"/>
      <c r="G6895" s="210"/>
      <c r="H6895" s="210"/>
    </row>
    <row r="6896" spans="3:8" x14ac:dyDescent="0.25">
      <c r="C6896" s="210"/>
      <c r="D6896" s="210"/>
      <c r="E6896" s="210"/>
      <c r="F6896" s="210"/>
      <c r="G6896" s="210"/>
      <c r="H6896" s="210"/>
    </row>
    <row r="6897" spans="3:8" x14ac:dyDescent="0.25">
      <c r="C6897" s="210"/>
      <c r="D6897" s="210"/>
      <c r="E6897" s="210"/>
      <c r="F6897" s="210"/>
      <c r="G6897" s="210"/>
      <c r="H6897" s="210"/>
    </row>
    <row r="6898" spans="3:8" x14ac:dyDescent="0.25">
      <c r="C6898" s="210"/>
      <c r="D6898" s="210"/>
      <c r="E6898" s="210"/>
      <c r="F6898" s="210"/>
      <c r="G6898" s="210"/>
      <c r="H6898" s="210"/>
    </row>
    <row r="6899" spans="3:8" x14ac:dyDescent="0.25">
      <c r="C6899" s="210"/>
      <c r="D6899" s="210"/>
      <c r="E6899" s="210"/>
      <c r="F6899" s="210"/>
      <c r="G6899" s="210"/>
      <c r="H6899" s="210"/>
    </row>
    <row r="6900" spans="3:8" x14ac:dyDescent="0.25">
      <c r="C6900" s="210"/>
      <c r="D6900" s="210"/>
      <c r="E6900" s="210"/>
      <c r="F6900" s="210"/>
      <c r="G6900" s="210"/>
      <c r="H6900" s="210"/>
    </row>
    <row r="6901" spans="3:8" x14ac:dyDescent="0.25">
      <c r="C6901" s="210"/>
      <c r="D6901" s="210"/>
      <c r="E6901" s="210"/>
      <c r="F6901" s="210"/>
      <c r="G6901" s="210"/>
      <c r="H6901" s="210"/>
    </row>
    <row r="6902" spans="3:8" x14ac:dyDescent="0.25">
      <c r="C6902" s="210"/>
      <c r="D6902" s="210"/>
      <c r="E6902" s="210"/>
      <c r="F6902" s="210"/>
      <c r="G6902" s="210"/>
      <c r="H6902" s="210"/>
    </row>
    <row r="6903" spans="3:8" x14ac:dyDescent="0.25">
      <c r="C6903" s="210"/>
      <c r="D6903" s="210"/>
      <c r="E6903" s="210"/>
      <c r="F6903" s="210"/>
      <c r="G6903" s="210"/>
      <c r="H6903" s="210"/>
    </row>
    <row r="6904" spans="3:8" x14ac:dyDescent="0.25">
      <c r="C6904" s="210"/>
      <c r="D6904" s="210"/>
      <c r="E6904" s="210"/>
      <c r="F6904" s="210"/>
      <c r="G6904" s="210"/>
      <c r="H6904" s="210"/>
    </row>
    <row r="6905" spans="3:8" x14ac:dyDescent="0.25">
      <c r="C6905" s="210"/>
      <c r="D6905" s="210"/>
      <c r="E6905" s="210"/>
      <c r="F6905" s="210"/>
      <c r="G6905" s="210"/>
      <c r="H6905" s="210"/>
    </row>
    <row r="6906" spans="3:8" x14ac:dyDescent="0.25">
      <c r="C6906" s="210"/>
      <c r="D6906" s="210"/>
      <c r="E6906" s="210"/>
      <c r="F6906" s="210"/>
      <c r="G6906" s="210"/>
      <c r="H6906" s="210"/>
    </row>
    <row r="6907" spans="3:8" x14ac:dyDescent="0.25">
      <c r="C6907" s="210"/>
      <c r="D6907" s="210"/>
      <c r="E6907" s="210"/>
      <c r="F6907" s="210"/>
      <c r="G6907" s="210"/>
      <c r="H6907" s="210"/>
    </row>
    <row r="6908" spans="3:8" x14ac:dyDescent="0.25">
      <c r="C6908" s="210"/>
      <c r="D6908" s="210"/>
      <c r="E6908" s="210"/>
      <c r="F6908" s="210"/>
      <c r="G6908" s="210"/>
      <c r="H6908" s="210"/>
    </row>
    <row r="6909" spans="3:8" x14ac:dyDescent="0.25">
      <c r="C6909" s="210"/>
      <c r="D6909" s="210"/>
      <c r="E6909" s="210"/>
      <c r="F6909" s="210"/>
      <c r="G6909" s="210"/>
      <c r="H6909" s="210"/>
    </row>
    <row r="6910" spans="3:8" x14ac:dyDescent="0.25">
      <c r="C6910" s="210"/>
      <c r="D6910" s="210"/>
      <c r="E6910" s="210"/>
      <c r="F6910" s="210"/>
      <c r="G6910" s="210"/>
      <c r="H6910" s="210"/>
    </row>
    <row r="6911" spans="3:8" x14ac:dyDescent="0.25">
      <c r="C6911" s="210"/>
      <c r="D6911" s="210"/>
      <c r="E6911" s="210"/>
      <c r="F6911" s="210"/>
      <c r="G6911" s="210"/>
      <c r="H6911" s="210"/>
    </row>
    <row r="6912" spans="3:8" x14ac:dyDescent="0.25">
      <c r="C6912" s="210"/>
      <c r="D6912" s="210"/>
      <c r="E6912" s="210"/>
      <c r="F6912" s="210"/>
      <c r="G6912" s="210"/>
      <c r="H6912" s="210"/>
    </row>
    <row r="6913" spans="3:8" x14ac:dyDescent="0.25">
      <c r="C6913" s="210"/>
      <c r="D6913" s="210"/>
      <c r="E6913" s="210"/>
      <c r="F6913" s="210"/>
      <c r="G6913" s="210"/>
      <c r="H6913" s="210"/>
    </row>
    <row r="6914" spans="3:8" x14ac:dyDescent="0.25">
      <c r="C6914" s="210"/>
      <c r="D6914" s="210"/>
      <c r="E6914" s="210"/>
      <c r="F6914" s="210"/>
      <c r="G6914" s="210"/>
      <c r="H6914" s="210"/>
    </row>
    <row r="6915" spans="3:8" x14ac:dyDescent="0.25">
      <c r="C6915" s="210"/>
      <c r="D6915" s="210"/>
      <c r="E6915" s="210"/>
      <c r="F6915" s="210"/>
      <c r="G6915" s="210"/>
      <c r="H6915" s="210"/>
    </row>
    <row r="6916" spans="3:8" x14ac:dyDescent="0.25">
      <c r="C6916" s="210"/>
      <c r="D6916" s="210"/>
      <c r="E6916" s="210"/>
      <c r="F6916" s="210"/>
      <c r="G6916" s="210"/>
      <c r="H6916" s="210"/>
    </row>
    <row r="6917" spans="3:8" x14ac:dyDescent="0.25">
      <c r="C6917" s="210"/>
      <c r="D6917" s="210"/>
      <c r="E6917" s="210"/>
      <c r="F6917" s="210"/>
      <c r="G6917" s="210"/>
      <c r="H6917" s="210"/>
    </row>
    <row r="6918" spans="3:8" x14ac:dyDescent="0.25">
      <c r="C6918" s="210"/>
      <c r="D6918" s="210"/>
      <c r="E6918" s="210"/>
      <c r="F6918" s="210"/>
      <c r="G6918" s="210"/>
      <c r="H6918" s="210"/>
    </row>
    <row r="6919" spans="3:8" x14ac:dyDescent="0.25">
      <c r="C6919" s="210"/>
      <c r="D6919" s="210"/>
      <c r="E6919" s="210"/>
      <c r="F6919" s="210"/>
      <c r="G6919" s="210"/>
      <c r="H6919" s="210"/>
    </row>
    <row r="6920" spans="3:8" x14ac:dyDescent="0.25">
      <c r="C6920" s="210"/>
      <c r="D6920" s="210"/>
      <c r="E6920" s="210"/>
      <c r="F6920" s="210"/>
      <c r="G6920" s="210"/>
      <c r="H6920" s="210"/>
    </row>
    <row r="6921" spans="3:8" x14ac:dyDescent="0.25">
      <c r="C6921" s="210"/>
      <c r="D6921" s="210"/>
      <c r="E6921" s="210"/>
      <c r="F6921" s="210"/>
      <c r="G6921" s="210"/>
      <c r="H6921" s="210"/>
    </row>
    <row r="6922" spans="3:8" x14ac:dyDescent="0.25">
      <c r="C6922" s="210"/>
      <c r="D6922" s="210"/>
      <c r="E6922" s="210"/>
      <c r="F6922" s="210"/>
      <c r="G6922" s="210"/>
      <c r="H6922" s="210"/>
    </row>
    <row r="6923" spans="3:8" x14ac:dyDescent="0.25">
      <c r="C6923" s="210"/>
      <c r="D6923" s="210"/>
      <c r="E6923" s="210"/>
      <c r="F6923" s="210"/>
      <c r="G6923" s="210"/>
      <c r="H6923" s="210"/>
    </row>
    <row r="6924" spans="3:8" x14ac:dyDescent="0.25">
      <c r="C6924" s="210"/>
      <c r="D6924" s="210"/>
      <c r="E6924" s="210"/>
      <c r="F6924" s="210"/>
      <c r="G6924" s="210"/>
      <c r="H6924" s="210"/>
    </row>
    <row r="6925" spans="3:8" x14ac:dyDescent="0.25">
      <c r="C6925" s="210"/>
      <c r="D6925" s="210"/>
      <c r="E6925" s="210"/>
      <c r="F6925" s="210"/>
      <c r="G6925" s="210"/>
      <c r="H6925" s="210"/>
    </row>
    <row r="6926" spans="3:8" x14ac:dyDescent="0.25">
      <c r="C6926" s="210"/>
      <c r="D6926" s="210"/>
      <c r="E6926" s="210"/>
      <c r="F6926" s="210"/>
      <c r="G6926" s="210"/>
      <c r="H6926" s="210"/>
    </row>
    <row r="6927" spans="3:8" x14ac:dyDescent="0.25">
      <c r="C6927" s="210"/>
      <c r="D6927" s="210"/>
      <c r="E6927" s="210"/>
      <c r="F6927" s="210"/>
      <c r="G6927" s="210"/>
      <c r="H6927" s="210"/>
    </row>
    <row r="6928" spans="3:8" x14ac:dyDescent="0.25">
      <c r="C6928" s="210"/>
      <c r="D6928" s="210"/>
      <c r="E6928" s="210"/>
      <c r="F6928" s="210"/>
      <c r="G6928" s="210"/>
      <c r="H6928" s="210"/>
    </row>
    <row r="6929" spans="3:8" x14ac:dyDescent="0.25">
      <c r="C6929" s="210"/>
      <c r="D6929" s="210"/>
      <c r="E6929" s="210"/>
      <c r="F6929" s="210"/>
      <c r="G6929" s="210"/>
      <c r="H6929" s="210"/>
    </row>
    <row r="6930" spans="3:8" x14ac:dyDescent="0.25">
      <c r="C6930" s="210"/>
      <c r="D6930" s="210"/>
      <c r="E6930" s="210"/>
      <c r="F6930" s="210"/>
      <c r="G6930" s="210"/>
      <c r="H6930" s="210"/>
    </row>
    <row r="6931" spans="3:8" x14ac:dyDescent="0.25">
      <c r="C6931" s="210"/>
      <c r="D6931" s="210"/>
      <c r="E6931" s="210"/>
      <c r="F6931" s="210"/>
      <c r="G6931" s="210"/>
      <c r="H6931" s="210"/>
    </row>
    <row r="6932" spans="3:8" x14ac:dyDescent="0.25">
      <c r="C6932" s="210"/>
      <c r="D6932" s="210"/>
      <c r="E6932" s="210"/>
      <c r="F6932" s="210"/>
      <c r="G6932" s="210"/>
      <c r="H6932" s="210"/>
    </row>
    <row r="6933" spans="3:8" x14ac:dyDescent="0.25">
      <c r="C6933" s="210"/>
      <c r="D6933" s="210"/>
      <c r="E6933" s="210"/>
      <c r="F6933" s="210"/>
      <c r="G6933" s="210"/>
      <c r="H6933" s="210"/>
    </row>
    <row r="6934" spans="3:8" x14ac:dyDescent="0.25">
      <c r="C6934" s="210"/>
      <c r="D6934" s="210"/>
      <c r="E6934" s="210"/>
      <c r="F6934" s="210"/>
      <c r="G6934" s="210"/>
      <c r="H6934" s="210"/>
    </row>
    <row r="6935" spans="3:8" x14ac:dyDescent="0.25">
      <c r="C6935" s="210"/>
      <c r="D6935" s="210"/>
      <c r="E6935" s="210"/>
      <c r="F6935" s="210"/>
      <c r="G6935" s="210"/>
      <c r="H6935" s="210"/>
    </row>
    <row r="6936" spans="3:8" x14ac:dyDescent="0.25">
      <c r="C6936" s="210"/>
      <c r="D6936" s="210"/>
      <c r="E6936" s="210"/>
      <c r="F6936" s="210"/>
      <c r="G6936" s="210"/>
      <c r="H6936" s="210"/>
    </row>
    <row r="6937" spans="3:8" x14ac:dyDescent="0.25">
      <c r="C6937" s="210"/>
      <c r="D6937" s="210"/>
      <c r="E6937" s="210"/>
      <c r="F6937" s="210"/>
      <c r="G6937" s="210"/>
      <c r="H6937" s="210"/>
    </row>
    <row r="6938" spans="3:8" x14ac:dyDescent="0.25">
      <c r="C6938" s="210"/>
      <c r="D6938" s="210"/>
      <c r="E6938" s="210"/>
      <c r="F6938" s="210"/>
      <c r="G6938" s="210"/>
      <c r="H6938" s="210"/>
    </row>
    <row r="6939" spans="3:8" x14ac:dyDescent="0.25">
      <c r="C6939" s="210"/>
      <c r="D6939" s="210"/>
      <c r="E6939" s="210"/>
      <c r="F6939" s="210"/>
      <c r="G6939" s="210"/>
      <c r="H6939" s="210"/>
    </row>
    <row r="6940" spans="3:8" x14ac:dyDescent="0.25">
      <c r="C6940" s="210"/>
      <c r="D6940" s="210"/>
      <c r="E6940" s="210"/>
      <c r="F6940" s="210"/>
      <c r="G6940" s="210"/>
      <c r="H6940" s="210"/>
    </row>
    <row r="6941" spans="3:8" x14ac:dyDescent="0.25">
      <c r="C6941" s="210"/>
      <c r="D6941" s="210"/>
      <c r="E6941" s="210"/>
      <c r="F6941" s="210"/>
      <c r="G6941" s="210"/>
      <c r="H6941" s="210"/>
    </row>
    <row r="6942" spans="3:8" x14ac:dyDescent="0.25">
      <c r="C6942" s="210"/>
      <c r="D6942" s="210"/>
      <c r="E6942" s="210"/>
      <c r="F6942" s="210"/>
      <c r="G6942" s="210"/>
      <c r="H6942" s="210"/>
    </row>
    <row r="6943" spans="3:8" x14ac:dyDescent="0.25">
      <c r="C6943" s="210"/>
      <c r="D6943" s="210"/>
      <c r="E6943" s="210"/>
      <c r="F6943" s="210"/>
      <c r="G6943" s="210"/>
      <c r="H6943" s="210"/>
    </row>
    <row r="6944" spans="3:8" x14ac:dyDescent="0.25">
      <c r="C6944" s="210"/>
      <c r="D6944" s="210"/>
      <c r="E6944" s="210"/>
      <c r="F6944" s="210"/>
      <c r="G6944" s="210"/>
      <c r="H6944" s="210"/>
    </row>
    <row r="6945" spans="3:8" x14ac:dyDescent="0.25">
      <c r="C6945" s="210"/>
      <c r="D6945" s="210"/>
      <c r="E6945" s="210"/>
      <c r="F6945" s="210"/>
      <c r="G6945" s="210"/>
      <c r="H6945" s="210"/>
    </row>
    <row r="6946" spans="3:8" x14ac:dyDescent="0.25">
      <c r="C6946" s="210"/>
      <c r="D6946" s="210"/>
      <c r="E6946" s="210"/>
      <c r="F6946" s="210"/>
      <c r="G6946" s="210"/>
      <c r="H6946" s="210"/>
    </row>
    <row r="6947" spans="3:8" x14ac:dyDescent="0.25">
      <c r="C6947" s="210"/>
      <c r="D6947" s="210"/>
      <c r="E6947" s="210"/>
      <c r="F6947" s="210"/>
      <c r="G6947" s="210"/>
      <c r="H6947" s="210"/>
    </row>
    <row r="6948" spans="3:8" x14ac:dyDescent="0.25">
      <c r="C6948" s="210"/>
      <c r="D6948" s="210"/>
      <c r="E6948" s="210"/>
      <c r="F6948" s="210"/>
      <c r="G6948" s="210"/>
      <c r="H6948" s="210"/>
    </row>
    <row r="6949" spans="3:8" x14ac:dyDescent="0.25">
      <c r="C6949" s="210"/>
      <c r="D6949" s="210"/>
      <c r="E6949" s="210"/>
      <c r="F6949" s="210"/>
      <c r="G6949" s="210"/>
      <c r="H6949" s="210"/>
    </row>
    <row r="6950" spans="3:8" x14ac:dyDescent="0.25">
      <c r="C6950" s="210"/>
      <c r="D6950" s="210"/>
      <c r="E6950" s="210"/>
      <c r="F6950" s="210"/>
      <c r="G6950" s="210"/>
      <c r="H6950" s="210"/>
    </row>
    <row r="6951" spans="3:8" x14ac:dyDescent="0.25">
      <c r="C6951" s="210"/>
      <c r="D6951" s="210"/>
      <c r="E6951" s="210"/>
      <c r="F6951" s="210"/>
      <c r="G6951" s="210"/>
      <c r="H6951" s="210"/>
    </row>
    <row r="6952" spans="3:8" x14ac:dyDescent="0.25">
      <c r="C6952" s="210"/>
      <c r="D6952" s="210"/>
      <c r="E6952" s="210"/>
      <c r="F6952" s="210"/>
      <c r="G6952" s="210"/>
      <c r="H6952" s="210"/>
    </row>
    <row r="6953" spans="3:8" x14ac:dyDescent="0.25">
      <c r="C6953" s="210"/>
      <c r="D6953" s="210"/>
      <c r="E6953" s="210"/>
      <c r="F6953" s="210"/>
      <c r="G6953" s="210"/>
      <c r="H6953" s="210"/>
    </row>
    <row r="6954" spans="3:8" x14ac:dyDescent="0.25">
      <c r="C6954" s="210"/>
      <c r="D6954" s="210"/>
      <c r="E6954" s="210"/>
      <c r="F6954" s="210"/>
      <c r="G6954" s="210"/>
      <c r="H6954" s="210"/>
    </row>
    <row r="6955" spans="3:8" x14ac:dyDescent="0.25">
      <c r="C6955" s="210"/>
      <c r="D6955" s="210"/>
      <c r="E6955" s="210"/>
      <c r="F6955" s="210"/>
      <c r="G6955" s="210"/>
      <c r="H6955" s="210"/>
    </row>
    <row r="6956" spans="3:8" x14ac:dyDescent="0.25">
      <c r="C6956" s="210"/>
      <c r="D6956" s="210"/>
      <c r="E6956" s="210"/>
      <c r="F6956" s="210"/>
      <c r="G6956" s="210"/>
      <c r="H6956" s="210"/>
    </row>
    <row r="6957" spans="3:8" x14ac:dyDescent="0.25">
      <c r="C6957" s="210"/>
      <c r="D6957" s="210"/>
      <c r="E6957" s="210"/>
      <c r="F6957" s="210"/>
      <c r="G6957" s="210"/>
      <c r="H6957" s="210"/>
    </row>
    <row r="6958" spans="3:8" x14ac:dyDescent="0.25">
      <c r="C6958" s="210"/>
      <c r="D6958" s="210"/>
      <c r="E6958" s="210"/>
      <c r="F6958" s="210"/>
      <c r="G6958" s="210"/>
      <c r="H6958" s="210"/>
    </row>
    <row r="6959" spans="3:8" x14ac:dyDescent="0.25">
      <c r="C6959" s="210"/>
      <c r="D6959" s="210"/>
      <c r="E6959" s="210"/>
      <c r="F6959" s="210"/>
      <c r="G6959" s="210"/>
      <c r="H6959" s="210"/>
    </row>
    <row r="6960" spans="3:8" x14ac:dyDescent="0.25">
      <c r="C6960" s="210"/>
      <c r="D6960" s="210"/>
      <c r="E6960" s="210"/>
      <c r="F6960" s="210"/>
      <c r="G6960" s="210"/>
      <c r="H6960" s="210"/>
    </row>
    <row r="6961" spans="3:8" x14ac:dyDescent="0.25">
      <c r="C6961" s="210"/>
      <c r="D6961" s="210"/>
      <c r="E6961" s="210"/>
      <c r="F6961" s="210"/>
      <c r="G6961" s="210"/>
      <c r="H6961" s="210"/>
    </row>
    <row r="6962" spans="3:8" x14ac:dyDescent="0.25">
      <c r="C6962" s="210"/>
      <c r="D6962" s="210"/>
      <c r="E6962" s="210"/>
      <c r="F6962" s="210"/>
      <c r="G6962" s="210"/>
      <c r="H6962" s="210"/>
    </row>
    <row r="6963" spans="3:8" x14ac:dyDescent="0.25">
      <c r="C6963" s="210"/>
      <c r="D6963" s="210"/>
      <c r="E6963" s="210"/>
      <c r="F6963" s="210"/>
      <c r="G6963" s="210"/>
      <c r="H6963" s="210"/>
    </row>
    <row r="6964" spans="3:8" x14ac:dyDescent="0.25">
      <c r="C6964" s="210"/>
      <c r="D6964" s="210"/>
      <c r="E6964" s="210"/>
      <c r="F6964" s="210"/>
      <c r="G6964" s="210"/>
      <c r="H6964" s="210"/>
    </row>
    <row r="6965" spans="3:8" x14ac:dyDescent="0.25">
      <c r="C6965" s="210"/>
      <c r="D6965" s="210"/>
      <c r="E6965" s="210"/>
      <c r="F6965" s="210"/>
      <c r="G6965" s="210"/>
      <c r="H6965" s="210"/>
    </row>
    <row r="6966" spans="3:8" x14ac:dyDescent="0.25">
      <c r="C6966" s="210"/>
      <c r="D6966" s="210"/>
      <c r="E6966" s="210"/>
      <c r="F6966" s="210"/>
      <c r="G6966" s="210"/>
      <c r="H6966" s="210"/>
    </row>
    <row r="6967" spans="3:8" x14ac:dyDescent="0.25">
      <c r="C6967" s="210"/>
      <c r="D6967" s="210"/>
      <c r="E6967" s="210"/>
      <c r="F6967" s="210"/>
      <c r="G6967" s="210"/>
      <c r="H6967" s="210"/>
    </row>
    <row r="6968" spans="3:8" x14ac:dyDescent="0.25">
      <c r="C6968" s="210"/>
      <c r="D6968" s="210"/>
      <c r="E6968" s="210"/>
      <c r="F6968" s="210"/>
      <c r="G6968" s="210"/>
      <c r="H6968" s="210"/>
    </row>
    <row r="6969" spans="3:8" x14ac:dyDescent="0.25">
      <c r="C6969" s="210"/>
      <c r="D6969" s="210"/>
      <c r="E6969" s="210"/>
      <c r="F6969" s="210"/>
      <c r="G6969" s="210"/>
      <c r="H6969" s="210"/>
    </row>
    <row r="6970" spans="3:8" x14ac:dyDescent="0.25">
      <c r="C6970" s="210"/>
      <c r="D6970" s="210"/>
      <c r="E6970" s="210"/>
      <c r="F6970" s="210"/>
      <c r="G6970" s="210"/>
      <c r="H6970" s="210"/>
    </row>
    <row r="6971" spans="3:8" x14ac:dyDescent="0.25">
      <c r="C6971" s="210"/>
      <c r="D6971" s="210"/>
      <c r="E6971" s="210"/>
      <c r="F6971" s="210"/>
      <c r="G6971" s="210"/>
      <c r="H6971" s="210"/>
    </row>
    <row r="6972" spans="3:8" x14ac:dyDescent="0.25">
      <c r="C6972" s="210"/>
      <c r="D6972" s="210"/>
      <c r="E6972" s="210"/>
      <c r="F6972" s="210"/>
      <c r="G6972" s="210"/>
      <c r="H6972" s="210"/>
    </row>
    <row r="6973" spans="3:8" x14ac:dyDescent="0.25">
      <c r="C6973" s="210"/>
      <c r="D6973" s="210"/>
      <c r="E6973" s="210"/>
      <c r="F6973" s="210"/>
      <c r="G6973" s="210"/>
      <c r="H6973" s="210"/>
    </row>
    <row r="6974" spans="3:8" x14ac:dyDescent="0.25">
      <c r="C6974" s="210"/>
      <c r="D6974" s="210"/>
      <c r="E6974" s="210"/>
      <c r="F6974" s="210"/>
      <c r="G6974" s="210"/>
      <c r="H6974" s="210"/>
    </row>
    <row r="6975" spans="3:8" x14ac:dyDescent="0.25">
      <c r="C6975" s="210"/>
      <c r="D6975" s="210"/>
      <c r="E6975" s="210"/>
      <c r="F6975" s="210"/>
      <c r="G6975" s="210"/>
      <c r="H6975" s="210"/>
    </row>
    <row r="6976" spans="3:8" x14ac:dyDescent="0.25">
      <c r="C6976" s="210"/>
      <c r="D6976" s="210"/>
      <c r="E6976" s="210"/>
      <c r="F6976" s="210"/>
      <c r="G6976" s="210"/>
      <c r="H6976" s="210"/>
    </row>
    <row r="6977" spans="3:8" x14ac:dyDescent="0.25">
      <c r="C6977" s="210"/>
      <c r="D6977" s="210"/>
      <c r="E6977" s="210"/>
      <c r="F6977" s="210"/>
      <c r="G6977" s="210"/>
      <c r="H6977" s="210"/>
    </row>
    <row r="6978" spans="3:8" x14ac:dyDescent="0.25">
      <c r="C6978" s="210"/>
      <c r="D6978" s="210"/>
      <c r="E6978" s="210"/>
      <c r="F6978" s="210"/>
      <c r="G6978" s="210"/>
      <c r="H6978" s="210"/>
    </row>
    <row r="6979" spans="3:8" x14ac:dyDescent="0.25">
      <c r="C6979" s="210"/>
      <c r="D6979" s="210"/>
      <c r="E6979" s="210"/>
      <c r="F6979" s="210"/>
      <c r="G6979" s="210"/>
      <c r="H6979" s="210"/>
    </row>
    <row r="6980" spans="3:8" x14ac:dyDescent="0.25">
      <c r="C6980" s="210"/>
      <c r="D6980" s="210"/>
      <c r="E6980" s="210"/>
      <c r="F6980" s="210"/>
      <c r="G6980" s="210"/>
      <c r="H6980" s="210"/>
    </row>
    <row r="6981" spans="3:8" x14ac:dyDescent="0.25">
      <c r="C6981" s="210"/>
      <c r="D6981" s="210"/>
      <c r="E6981" s="210"/>
      <c r="F6981" s="210"/>
      <c r="G6981" s="210"/>
      <c r="H6981" s="210"/>
    </row>
    <row r="6982" spans="3:8" x14ac:dyDescent="0.25">
      <c r="C6982" s="210"/>
      <c r="D6982" s="210"/>
      <c r="E6982" s="210"/>
      <c r="F6982" s="210"/>
      <c r="G6982" s="210"/>
      <c r="H6982" s="210"/>
    </row>
    <row r="6983" spans="3:8" x14ac:dyDescent="0.25">
      <c r="C6983" s="210"/>
      <c r="D6983" s="210"/>
      <c r="E6983" s="210"/>
      <c r="F6983" s="210"/>
      <c r="G6983" s="210"/>
      <c r="H6983" s="210"/>
    </row>
    <row r="6984" spans="3:8" x14ac:dyDescent="0.25">
      <c r="C6984" s="210"/>
      <c r="D6984" s="210"/>
      <c r="E6984" s="210"/>
      <c r="F6984" s="210"/>
      <c r="G6984" s="210"/>
      <c r="H6984" s="210"/>
    </row>
    <row r="6985" spans="3:8" x14ac:dyDescent="0.25">
      <c r="C6985" s="210"/>
      <c r="D6985" s="210"/>
      <c r="E6985" s="210"/>
      <c r="F6985" s="210"/>
      <c r="G6985" s="210"/>
      <c r="H6985" s="210"/>
    </row>
    <row r="6986" spans="3:8" x14ac:dyDescent="0.25">
      <c r="C6986" s="210"/>
      <c r="D6986" s="210"/>
      <c r="E6986" s="210"/>
      <c r="F6986" s="210"/>
      <c r="G6986" s="210"/>
      <c r="H6986" s="210"/>
    </row>
    <row r="6987" spans="3:8" x14ac:dyDescent="0.25">
      <c r="C6987" s="210"/>
      <c r="D6987" s="210"/>
      <c r="E6987" s="210"/>
      <c r="F6987" s="210"/>
      <c r="G6987" s="210"/>
      <c r="H6987" s="210"/>
    </row>
    <row r="6988" spans="3:8" x14ac:dyDescent="0.25">
      <c r="C6988" s="210"/>
      <c r="D6988" s="210"/>
      <c r="E6988" s="210"/>
      <c r="F6988" s="210"/>
      <c r="G6988" s="210"/>
      <c r="H6988" s="210"/>
    </row>
    <row r="6989" spans="3:8" x14ac:dyDescent="0.25">
      <c r="C6989" s="210"/>
      <c r="D6989" s="210"/>
      <c r="E6989" s="210"/>
      <c r="F6989" s="210"/>
      <c r="G6989" s="210"/>
      <c r="H6989" s="210"/>
    </row>
    <row r="6990" spans="3:8" x14ac:dyDescent="0.25">
      <c r="C6990" s="210"/>
      <c r="D6990" s="210"/>
      <c r="E6990" s="210"/>
      <c r="F6990" s="210"/>
      <c r="G6990" s="210"/>
      <c r="H6990" s="210"/>
    </row>
    <row r="6991" spans="3:8" x14ac:dyDescent="0.25">
      <c r="C6991" s="210"/>
      <c r="D6991" s="210"/>
      <c r="E6991" s="210"/>
      <c r="F6991" s="210"/>
      <c r="G6991" s="210"/>
      <c r="H6991" s="210"/>
    </row>
    <row r="6992" spans="3:8" x14ac:dyDescent="0.25">
      <c r="C6992" s="210"/>
      <c r="D6992" s="210"/>
      <c r="E6992" s="210"/>
      <c r="F6992" s="210"/>
      <c r="G6992" s="210"/>
      <c r="H6992" s="210"/>
    </row>
    <row r="6993" spans="3:8" x14ac:dyDescent="0.25">
      <c r="C6993" s="210"/>
      <c r="D6993" s="210"/>
      <c r="E6993" s="210"/>
      <c r="F6993" s="210"/>
      <c r="G6993" s="210"/>
      <c r="H6993" s="210"/>
    </row>
    <row r="6994" spans="3:8" x14ac:dyDescent="0.25">
      <c r="C6994" s="210"/>
      <c r="D6994" s="210"/>
      <c r="E6994" s="210"/>
      <c r="F6994" s="210"/>
      <c r="G6994" s="210"/>
      <c r="H6994" s="210"/>
    </row>
    <row r="6995" spans="3:8" x14ac:dyDescent="0.25">
      <c r="C6995" s="210"/>
      <c r="D6995" s="210"/>
      <c r="E6995" s="210"/>
      <c r="F6995" s="210"/>
      <c r="G6995" s="210"/>
      <c r="H6995" s="210"/>
    </row>
    <row r="6996" spans="3:8" x14ac:dyDescent="0.25">
      <c r="C6996" s="210"/>
      <c r="D6996" s="210"/>
      <c r="E6996" s="210"/>
      <c r="F6996" s="210"/>
      <c r="G6996" s="210"/>
      <c r="H6996" s="210"/>
    </row>
    <row r="6997" spans="3:8" x14ac:dyDescent="0.25">
      <c r="C6997" s="210"/>
      <c r="D6997" s="210"/>
      <c r="E6997" s="210"/>
      <c r="F6997" s="210"/>
      <c r="G6997" s="210"/>
      <c r="H6997" s="210"/>
    </row>
    <row r="6998" spans="3:8" x14ac:dyDescent="0.25">
      <c r="C6998" s="210"/>
      <c r="D6998" s="210"/>
      <c r="E6998" s="210"/>
      <c r="F6998" s="210"/>
      <c r="G6998" s="210"/>
      <c r="H6998" s="210"/>
    </row>
    <row r="6999" spans="3:8" x14ac:dyDescent="0.25">
      <c r="C6999" s="210"/>
      <c r="D6999" s="210"/>
      <c r="E6999" s="210"/>
      <c r="F6999" s="210"/>
      <c r="G6999" s="210"/>
      <c r="H6999" s="210"/>
    </row>
    <row r="7000" spans="3:8" x14ac:dyDescent="0.25">
      <c r="C7000" s="210"/>
      <c r="D7000" s="210"/>
      <c r="E7000" s="210"/>
      <c r="F7000" s="210"/>
      <c r="G7000" s="210"/>
      <c r="H7000" s="210"/>
    </row>
    <row r="7001" spans="3:8" x14ac:dyDescent="0.25">
      <c r="C7001" s="210"/>
      <c r="D7001" s="210"/>
      <c r="E7001" s="210"/>
      <c r="F7001" s="210"/>
      <c r="G7001" s="210"/>
      <c r="H7001" s="210"/>
    </row>
    <row r="7002" spans="3:8" x14ac:dyDescent="0.25">
      <c r="C7002" s="210"/>
      <c r="D7002" s="210"/>
      <c r="E7002" s="210"/>
      <c r="F7002" s="210"/>
      <c r="G7002" s="210"/>
      <c r="H7002" s="210"/>
    </row>
    <row r="7003" spans="3:8" x14ac:dyDescent="0.25">
      <c r="C7003" s="210"/>
      <c r="D7003" s="210"/>
      <c r="E7003" s="210"/>
      <c r="F7003" s="210"/>
      <c r="G7003" s="210"/>
      <c r="H7003" s="210"/>
    </row>
    <row r="7004" spans="3:8" x14ac:dyDescent="0.25">
      <c r="C7004" s="210"/>
      <c r="D7004" s="210"/>
      <c r="E7004" s="210"/>
      <c r="F7004" s="210"/>
      <c r="G7004" s="210"/>
      <c r="H7004" s="210"/>
    </row>
    <row r="7005" spans="3:8" x14ac:dyDescent="0.25">
      <c r="C7005" s="210"/>
      <c r="D7005" s="210"/>
      <c r="E7005" s="210"/>
      <c r="F7005" s="210"/>
      <c r="G7005" s="210"/>
      <c r="H7005" s="210"/>
    </row>
    <row r="7006" spans="3:8" x14ac:dyDescent="0.25">
      <c r="C7006" s="210"/>
      <c r="D7006" s="210"/>
      <c r="E7006" s="210"/>
      <c r="F7006" s="210"/>
      <c r="G7006" s="210"/>
      <c r="H7006" s="210"/>
    </row>
    <row r="7007" spans="3:8" x14ac:dyDescent="0.25">
      <c r="C7007" s="210"/>
      <c r="D7007" s="210"/>
      <c r="E7007" s="210"/>
      <c r="F7007" s="210"/>
      <c r="G7007" s="210"/>
      <c r="H7007" s="210"/>
    </row>
    <row r="7008" spans="3:8" x14ac:dyDescent="0.25">
      <c r="C7008" s="210"/>
      <c r="D7008" s="210"/>
      <c r="E7008" s="210"/>
      <c r="F7008" s="210"/>
      <c r="G7008" s="210"/>
      <c r="H7008" s="210"/>
    </row>
    <row r="7009" spans="3:8" x14ac:dyDescent="0.25">
      <c r="C7009" s="210"/>
      <c r="D7009" s="210"/>
      <c r="E7009" s="210"/>
      <c r="F7009" s="210"/>
      <c r="G7009" s="210"/>
      <c r="H7009" s="210"/>
    </row>
    <row r="7010" spans="3:8" x14ac:dyDescent="0.25">
      <c r="C7010" s="210"/>
      <c r="D7010" s="210"/>
      <c r="E7010" s="210"/>
      <c r="F7010" s="210"/>
      <c r="G7010" s="210"/>
      <c r="H7010" s="210"/>
    </row>
    <row r="7011" spans="3:8" x14ac:dyDescent="0.25">
      <c r="C7011" s="210"/>
      <c r="D7011" s="210"/>
      <c r="E7011" s="210"/>
      <c r="F7011" s="210"/>
      <c r="G7011" s="210"/>
      <c r="H7011" s="210"/>
    </row>
    <row r="7012" spans="3:8" x14ac:dyDescent="0.25">
      <c r="C7012" s="210"/>
      <c r="D7012" s="210"/>
      <c r="E7012" s="210"/>
      <c r="F7012" s="210"/>
      <c r="G7012" s="210"/>
      <c r="H7012" s="210"/>
    </row>
    <row r="7013" spans="3:8" x14ac:dyDescent="0.25">
      <c r="C7013" s="210"/>
      <c r="D7013" s="210"/>
      <c r="E7013" s="210"/>
      <c r="F7013" s="210"/>
      <c r="G7013" s="210"/>
      <c r="H7013" s="210"/>
    </row>
    <row r="7014" spans="3:8" x14ac:dyDescent="0.25">
      <c r="C7014" s="210"/>
      <c r="D7014" s="210"/>
      <c r="E7014" s="210"/>
      <c r="F7014" s="210"/>
      <c r="G7014" s="210"/>
      <c r="H7014" s="210"/>
    </row>
    <row r="7015" spans="3:8" x14ac:dyDescent="0.25">
      <c r="C7015" s="210"/>
      <c r="D7015" s="210"/>
      <c r="E7015" s="210"/>
      <c r="F7015" s="210"/>
      <c r="G7015" s="210"/>
      <c r="H7015" s="210"/>
    </row>
    <row r="7016" spans="3:8" x14ac:dyDescent="0.25">
      <c r="C7016" s="210"/>
      <c r="D7016" s="210"/>
      <c r="E7016" s="210"/>
      <c r="F7016" s="210"/>
      <c r="G7016" s="210"/>
      <c r="H7016" s="210"/>
    </row>
    <row r="7017" spans="3:8" x14ac:dyDescent="0.25">
      <c r="C7017" s="210"/>
      <c r="D7017" s="210"/>
      <c r="E7017" s="210"/>
      <c r="F7017" s="210"/>
      <c r="G7017" s="210"/>
      <c r="H7017" s="210"/>
    </row>
    <row r="7018" spans="3:8" x14ac:dyDescent="0.25">
      <c r="C7018" s="210"/>
      <c r="D7018" s="210"/>
      <c r="E7018" s="210"/>
      <c r="F7018" s="210"/>
      <c r="G7018" s="210"/>
      <c r="H7018" s="210"/>
    </row>
    <row r="7019" spans="3:8" x14ac:dyDescent="0.25">
      <c r="C7019" s="210"/>
      <c r="D7019" s="210"/>
      <c r="E7019" s="210"/>
      <c r="F7019" s="210"/>
      <c r="G7019" s="210"/>
      <c r="H7019" s="210"/>
    </row>
    <row r="7020" spans="3:8" x14ac:dyDescent="0.25">
      <c r="C7020" s="210"/>
      <c r="D7020" s="210"/>
      <c r="E7020" s="210"/>
      <c r="F7020" s="210"/>
      <c r="G7020" s="210"/>
      <c r="H7020" s="210"/>
    </row>
    <row r="7021" spans="3:8" x14ac:dyDescent="0.25">
      <c r="C7021" s="210"/>
      <c r="D7021" s="210"/>
      <c r="E7021" s="210"/>
      <c r="F7021" s="210"/>
      <c r="G7021" s="210"/>
      <c r="H7021" s="210"/>
    </row>
    <row r="7022" spans="3:8" x14ac:dyDescent="0.25">
      <c r="C7022" s="210"/>
      <c r="D7022" s="210"/>
      <c r="E7022" s="210"/>
      <c r="F7022" s="210"/>
      <c r="G7022" s="210"/>
      <c r="H7022" s="210"/>
    </row>
    <row r="7023" spans="3:8" x14ac:dyDescent="0.25">
      <c r="C7023" s="210"/>
      <c r="D7023" s="210"/>
      <c r="E7023" s="210"/>
      <c r="F7023" s="210"/>
      <c r="G7023" s="210"/>
      <c r="H7023" s="210"/>
    </row>
    <row r="7024" spans="3:8" x14ac:dyDescent="0.25">
      <c r="C7024" s="210"/>
      <c r="D7024" s="210"/>
      <c r="E7024" s="210"/>
      <c r="F7024" s="210"/>
      <c r="G7024" s="210"/>
      <c r="H7024" s="210"/>
    </row>
    <row r="7025" spans="3:8" x14ac:dyDescent="0.25">
      <c r="C7025" s="210"/>
      <c r="D7025" s="210"/>
      <c r="E7025" s="210"/>
      <c r="F7025" s="210"/>
      <c r="G7025" s="210"/>
      <c r="H7025" s="210"/>
    </row>
    <row r="7026" spans="3:8" x14ac:dyDescent="0.25">
      <c r="C7026" s="210"/>
      <c r="D7026" s="210"/>
      <c r="E7026" s="210"/>
      <c r="F7026" s="210"/>
      <c r="G7026" s="210"/>
      <c r="H7026" s="210"/>
    </row>
    <row r="7027" spans="3:8" x14ac:dyDescent="0.25">
      <c r="C7027" s="210"/>
      <c r="D7027" s="210"/>
      <c r="E7027" s="210"/>
      <c r="F7027" s="210"/>
      <c r="G7027" s="210"/>
      <c r="H7027" s="210"/>
    </row>
    <row r="7028" spans="3:8" x14ac:dyDescent="0.25">
      <c r="C7028" s="210"/>
      <c r="D7028" s="210"/>
      <c r="E7028" s="210"/>
      <c r="F7028" s="210"/>
      <c r="G7028" s="210"/>
      <c r="H7028" s="210"/>
    </row>
    <row r="7029" spans="3:8" x14ac:dyDescent="0.25">
      <c r="C7029" s="210"/>
      <c r="D7029" s="210"/>
      <c r="E7029" s="210"/>
      <c r="F7029" s="210"/>
      <c r="G7029" s="210"/>
      <c r="H7029" s="210"/>
    </row>
    <row r="7030" spans="3:8" x14ac:dyDescent="0.25">
      <c r="C7030" s="210"/>
      <c r="D7030" s="210"/>
      <c r="E7030" s="210"/>
      <c r="F7030" s="210"/>
      <c r="G7030" s="210"/>
      <c r="H7030" s="210"/>
    </row>
    <row r="7031" spans="3:8" x14ac:dyDescent="0.25">
      <c r="C7031" s="210"/>
      <c r="D7031" s="210"/>
      <c r="E7031" s="210"/>
      <c r="F7031" s="210"/>
      <c r="G7031" s="210"/>
      <c r="H7031" s="210"/>
    </row>
    <row r="7032" spans="3:8" x14ac:dyDescent="0.25">
      <c r="C7032" s="210"/>
      <c r="D7032" s="210"/>
      <c r="E7032" s="210"/>
      <c r="F7032" s="210"/>
      <c r="G7032" s="210"/>
      <c r="H7032" s="210"/>
    </row>
    <row r="7033" spans="3:8" x14ac:dyDescent="0.25">
      <c r="C7033" s="210"/>
      <c r="D7033" s="210"/>
      <c r="E7033" s="210"/>
      <c r="F7033" s="210"/>
      <c r="G7033" s="210"/>
      <c r="H7033" s="210"/>
    </row>
    <row r="7034" spans="3:8" x14ac:dyDescent="0.25">
      <c r="C7034" s="210"/>
      <c r="D7034" s="210"/>
      <c r="E7034" s="210"/>
      <c r="F7034" s="210"/>
      <c r="G7034" s="210"/>
      <c r="H7034" s="210"/>
    </row>
    <row r="7035" spans="3:8" x14ac:dyDescent="0.25">
      <c r="C7035" s="210"/>
      <c r="D7035" s="210"/>
      <c r="E7035" s="210"/>
      <c r="F7035" s="210"/>
      <c r="G7035" s="210"/>
      <c r="H7035" s="210"/>
    </row>
    <row r="7036" spans="3:8" x14ac:dyDescent="0.25">
      <c r="C7036" s="210"/>
      <c r="D7036" s="210"/>
      <c r="E7036" s="210"/>
      <c r="F7036" s="210"/>
      <c r="G7036" s="210"/>
      <c r="H7036" s="210"/>
    </row>
    <row r="7037" spans="3:8" x14ac:dyDescent="0.25">
      <c r="C7037" s="210"/>
      <c r="D7037" s="210"/>
      <c r="E7037" s="210"/>
      <c r="F7037" s="210"/>
      <c r="G7037" s="210"/>
      <c r="H7037" s="210"/>
    </row>
    <row r="7038" spans="3:8" x14ac:dyDescent="0.25">
      <c r="C7038" s="210"/>
      <c r="D7038" s="210"/>
      <c r="E7038" s="210"/>
      <c r="F7038" s="210"/>
      <c r="G7038" s="210"/>
      <c r="H7038" s="210"/>
    </row>
    <row r="7039" spans="3:8" x14ac:dyDescent="0.25">
      <c r="C7039" s="210"/>
      <c r="D7039" s="210"/>
      <c r="E7039" s="210"/>
      <c r="F7039" s="210"/>
      <c r="G7039" s="210"/>
      <c r="H7039" s="210"/>
    </row>
    <row r="7040" spans="3:8" x14ac:dyDescent="0.25">
      <c r="C7040" s="210"/>
      <c r="D7040" s="210"/>
      <c r="E7040" s="210"/>
      <c r="F7040" s="210"/>
      <c r="G7040" s="210"/>
      <c r="H7040" s="210"/>
    </row>
    <row r="7041" spans="3:8" x14ac:dyDescent="0.25">
      <c r="C7041" s="210"/>
      <c r="D7041" s="210"/>
      <c r="E7041" s="210"/>
      <c r="F7041" s="210"/>
      <c r="G7041" s="210"/>
      <c r="H7041" s="210"/>
    </row>
    <row r="7042" spans="3:8" x14ac:dyDescent="0.25">
      <c r="C7042" s="210"/>
      <c r="D7042" s="210"/>
      <c r="E7042" s="210"/>
      <c r="F7042" s="210"/>
      <c r="G7042" s="210"/>
      <c r="H7042" s="210"/>
    </row>
    <row r="7043" spans="3:8" x14ac:dyDescent="0.25">
      <c r="C7043" s="210"/>
      <c r="D7043" s="210"/>
      <c r="E7043" s="210"/>
      <c r="F7043" s="210"/>
      <c r="G7043" s="210"/>
      <c r="H7043" s="210"/>
    </row>
    <row r="7044" spans="3:8" x14ac:dyDescent="0.25">
      <c r="C7044" s="210"/>
      <c r="D7044" s="210"/>
      <c r="E7044" s="210"/>
      <c r="F7044" s="210"/>
      <c r="G7044" s="210"/>
      <c r="H7044" s="210"/>
    </row>
    <row r="7045" spans="3:8" x14ac:dyDescent="0.25">
      <c r="C7045" s="210"/>
      <c r="D7045" s="210"/>
      <c r="E7045" s="210"/>
      <c r="F7045" s="210"/>
      <c r="G7045" s="210"/>
      <c r="H7045" s="210"/>
    </row>
    <row r="7046" spans="3:8" x14ac:dyDescent="0.25">
      <c r="C7046" s="210"/>
      <c r="D7046" s="210"/>
      <c r="E7046" s="210"/>
      <c r="F7046" s="210"/>
      <c r="G7046" s="210"/>
      <c r="H7046" s="210"/>
    </row>
    <row r="7047" spans="3:8" x14ac:dyDescent="0.25">
      <c r="C7047" s="210"/>
      <c r="D7047" s="210"/>
      <c r="E7047" s="210"/>
      <c r="F7047" s="210"/>
      <c r="G7047" s="210"/>
      <c r="H7047" s="210"/>
    </row>
    <row r="7048" spans="3:8" x14ac:dyDescent="0.25">
      <c r="C7048" s="210"/>
      <c r="D7048" s="210"/>
      <c r="E7048" s="210"/>
      <c r="F7048" s="210"/>
      <c r="G7048" s="210"/>
      <c r="H7048" s="210"/>
    </row>
    <row r="7049" spans="3:8" x14ac:dyDescent="0.25">
      <c r="C7049" s="210"/>
      <c r="D7049" s="210"/>
      <c r="E7049" s="210"/>
      <c r="F7049" s="210"/>
      <c r="G7049" s="210"/>
      <c r="H7049" s="210"/>
    </row>
    <row r="7050" spans="3:8" x14ac:dyDescent="0.25">
      <c r="C7050" s="210"/>
      <c r="D7050" s="210"/>
      <c r="E7050" s="210"/>
      <c r="F7050" s="210"/>
      <c r="G7050" s="210"/>
      <c r="H7050" s="210"/>
    </row>
    <row r="7051" spans="3:8" x14ac:dyDescent="0.25">
      <c r="C7051" s="210"/>
      <c r="D7051" s="210"/>
      <c r="E7051" s="210"/>
      <c r="F7051" s="210"/>
      <c r="G7051" s="210"/>
      <c r="H7051" s="210"/>
    </row>
    <row r="7052" spans="3:8" x14ac:dyDescent="0.25">
      <c r="C7052" s="210"/>
      <c r="D7052" s="210"/>
      <c r="E7052" s="210"/>
      <c r="F7052" s="210"/>
      <c r="G7052" s="210"/>
      <c r="H7052" s="210"/>
    </row>
    <row r="7053" spans="3:8" x14ac:dyDescent="0.25">
      <c r="C7053" s="210"/>
      <c r="D7053" s="210"/>
      <c r="E7053" s="210"/>
      <c r="F7053" s="210"/>
      <c r="G7053" s="210"/>
      <c r="H7053" s="210"/>
    </row>
    <row r="7054" spans="3:8" x14ac:dyDescent="0.25">
      <c r="C7054" s="210"/>
      <c r="D7054" s="210"/>
      <c r="E7054" s="210"/>
      <c r="F7054" s="210"/>
      <c r="G7054" s="210"/>
      <c r="H7054" s="210"/>
    </row>
    <row r="7055" spans="3:8" x14ac:dyDescent="0.25">
      <c r="C7055" s="210"/>
      <c r="D7055" s="210"/>
      <c r="E7055" s="210"/>
      <c r="F7055" s="210"/>
      <c r="G7055" s="210"/>
      <c r="H7055" s="210"/>
    </row>
    <row r="7056" spans="3:8" x14ac:dyDescent="0.25">
      <c r="C7056" s="210"/>
      <c r="D7056" s="210"/>
      <c r="E7056" s="210"/>
      <c r="F7056" s="210"/>
      <c r="G7056" s="210"/>
      <c r="H7056" s="210"/>
    </row>
    <row r="7057" spans="3:8" x14ac:dyDescent="0.25">
      <c r="C7057" s="210"/>
      <c r="D7057" s="210"/>
      <c r="E7057" s="210"/>
      <c r="F7057" s="210"/>
      <c r="G7057" s="210"/>
      <c r="H7057" s="210"/>
    </row>
    <row r="7058" spans="3:8" x14ac:dyDescent="0.25">
      <c r="C7058" s="210"/>
      <c r="D7058" s="210"/>
      <c r="E7058" s="210"/>
      <c r="F7058" s="210"/>
      <c r="G7058" s="210"/>
      <c r="H7058" s="210"/>
    </row>
    <row r="7059" spans="3:8" x14ac:dyDescent="0.25">
      <c r="C7059" s="210"/>
      <c r="D7059" s="210"/>
      <c r="E7059" s="210"/>
      <c r="F7059" s="210"/>
      <c r="G7059" s="210"/>
      <c r="H7059" s="210"/>
    </row>
    <row r="7060" spans="3:8" x14ac:dyDescent="0.25">
      <c r="C7060" s="210"/>
      <c r="D7060" s="210"/>
      <c r="E7060" s="210"/>
      <c r="F7060" s="210"/>
      <c r="G7060" s="210"/>
      <c r="H7060" s="210"/>
    </row>
    <row r="7061" spans="3:8" x14ac:dyDescent="0.25">
      <c r="C7061" s="210"/>
      <c r="D7061" s="210"/>
      <c r="E7061" s="210"/>
      <c r="F7061" s="210"/>
      <c r="G7061" s="210"/>
      <c r="H7061" s="210"/>
    </row>
    <row r="7062" spans="3:8" x14ac:dyDescent="0.25">
      <c r="C7062" s="210"/>
      <c r="D7062" s="210"/>
      <c r="E7062" s="210"/>
      <c r="F7062" s="210"/>
      <c r="G7062" s="210"/>
      <c r="H7062" s="210"/>
    </row>
    <row r="7063" spans="3:8" x14ac:dyDescent="0.25">
      <c r="C7063" s="210"/>
      <c r="D7063" s="210"/>
      <c r="E7063" s="210"/>
      <c r="F7063" s="210"/>
      <c r="G7063" s="210"/>
      <c r="H7063" s="210"/>
    </row>
    <row r="7064" spans="3:8" x14ac:dyDescent="0.25">
      <c r="C7064" s="210"/>
      <c r="D7064" s="210"/>
      <c r="E7064" s="210"/>
      <c r="F7064" s="210"/>
      <c r="G7064" s="210"/>
      <c r="H7064" s="210"/>
    </row>
    <row r="7065" spans="3:8" x14ac:dyDescent="0.25">
      <c r="C7065" s="210"/>
      <c r="D7065" s="210"/>
      <c r="E7065" s="210"/>
      <c r="F7065" s="210"/>
      <c r="G7065" s="210"/>
      <c r="H7065" s="210"/>
    </row>
    <row r="7066" spans="3:8" x14ac:dyDescent="0.25">
      <c r="C7066" s="210"/>
      <c r="D7066" s="210"/>
      <c r="E7066" s="210"/>
      <c r="F7066" s="210"/>
      <c r="G7066" s="210"/>
      <c r="H7066" s="210"/>
    </row>
    <row r="7067" spans="3:8" x14ac:dyDescent="0.25">
      <c r="C7067" s="210"/>
      <c r="D7067" s="210"/>
      <c r="E7067" s="210"/>
      <c r="F7067" s="210"/>
      <c r="G7067" s="210"/>
      <c r="H7067" s="210"/>
    </row>
    <row r="7068" spans="3:8" x14ac:dyDescent="0.25">
      <c r="C7068" s="210"/>
      <c r="D7068" s="210"/>
      <c r="E7068" s="210"/>
      <c r="F7068" s="210"/>
      <c r="G7068" s="210"/>
      <c r="H7068" s="210"/>
    </row>
    <row r="7069" spans="3:8" x14ac:dyDescent="0.25">
      <c r="C7069" s="210"/>
      <c r="D7069" s="210"/>
      <c r="E7069" s="210"/>
      <c r="F7069" s="210"/>
      <c r="G7069" s="210"/>
      <c r="H7069" s="210"/>
    </row>
    <row r="7070" spans="3:8" x14ac:dyDescent="0.25">
      <c r="C7070" s="210"/>
      <c r="D7070" s="210"/>
      <c r="E7070" s="210"/>
      <c r="F7070" s="210"/>
      <c r="G7070" s="210"/>
      <c r="H7070" s="210"/>
    </row>
    <row r="7071" spans="3:8" x14ac:dyDescent="0.25">
      <c r="C7071" s="210"/>
      <c r="D7071" s="210"/>
      <c r="E7071" s="210"/>
      <c r="F7071" s="210"/>
      <c r="G7071" s="210"/>
      <c r="H7071" s="210"/>
    </row>
    <row r="7072" spans="3:8" x14ac:dyDescent="0.25">
      <c r="C7072" s="210"/>
      <c r="D7072" s="210"/>
      <c r="E7072" s="210"/>
      <c r="F7072" s="210"/>
      <c r="G7072" s="210"/>
      <c r="H7072" s="210"/>
    </row>
    <row r="7073" spans="3:8" x14ac:dyDescent="0.25">
      <c r="C7073" s="210"/>
      <c r="D7073" s="210"/>
      <c r="E7073" s="210"/>
      <c r="F7073" s="210"/>
      <c r="G7073" s="210"/>
      <c r="H7073" s="210"/>
    </row>
    <row r="7074" spans="3:8" x14ac:dyDescent="0.25">
      <c r="C7074" s="210"/>
      <c r="D7074" s="210"/>
      <c r="E7074" s="210"/>
      <c r="F7074" s="210"/>
      <c r="G7074" s="210"/>
      <c r="H7074" s="210"/>
    </row>
    <row r="7075" spans="3:8" x14ac:dyDescent="0.25">
      <c r="C7075" s="210"/>
      <c r="D7075" s="210"/>
      <c r="E7075" s="210"/>
      <c r="F7075" s="210"/>
      <c r="G7075" s="210"/>
      <c r="H7075" s="210"/>
    </row>
    <row r="7076" spans="3:8" x14ac:dyDescent="0.25">
      <c r="C7076" s="210"/>
      <c r="D7076" s="210"/>
      <c r="E7076" s="210"/>
      <c r="F7076" s="210"/>
      <c r="G7076" s="210"/>
      <c r="H7076" s="210"/>
    </row>
    <row r="7077" spans="3:8" x14ac:dyDescent="0.25">
      <c r="C7077" s="210"/>
      <c r="D7077" s="210"/>
      <c r="E7077" s="210"/>
      <c r="F7077" s="210"/>
      <c r="G7077" s="210"/>
      <c r="H7077" s="210"/>
    </row>
    <row r="7078" spans="3:8" x14ac:dyDescent="0.25">
      <c r="C7078" s="210"/>
      <c r="D7078" s="210"/>
      <c r="E7078" s="210"/>
      <c r="F7078" s="210"/>
      <c r="G7078" s="210"/>
      <c r="H7078" s="210"/>
    </row>
    <row r="7079" spans="3:8" x14ac:dyDescent="0.25">
      <c r="C7079" s="210"/>
      <c r="D7079" s="210"/>
      <c r="E7079" s="210"/>
      <c r="F7079" s="210"/>
      <c r="G7079" s="210"/>
      <c r="H7079" s="210"/>
    </row>
    <row r="7080" spans="3:8" x14ac:dyDescent="0.25">
      <c r="C7080" s="210"/>
      <c r="D7080" s="210"/>
      <c r="E7080" s="210"/>
      <c r="F7080" s="210"/>
      <c r="G7080" s="210"/>
      <c r="H7080" s="210"/>
    </row>
    <row r="7081" spans="3:8" x14ac:dyDescent="0.25">
      <c r="C7081" s="210"/>
      <c r="D7081" s="210"/>
      <c r="E7081" s="210"/>
      <c r="F7081" s="210"/>
      <c r="G7081" s="210"/>
      <c r="H7081" s="210"/>
    </row>
    <row r="7082" spans="3:8" x14ac:dyDescent="0.25">
      <c r="C7082" s="210"/>
      <c r="D7082" s="210"/>
      <c r="E7082" s="210"/>
      <c r="F7082" s="210"/>
      <c r="G7082" s="210"/>
      <c r="H7082" s="210"/>
    </row>
    <row r="7083" spans="3:8" x14ac:dyDescent="0.25">
      <c r="C7083" s="210"/>
      <c r="D7083" s="210"/>
      <c r="E7083" s="210"/>
      <c r="F7083" s="210"/>
      <c r="G7083" s="210"/>
      <c r="H7083" s="210"/>
    </row>
    <row r="7084" spans="3:8" x14ac:dyDescent="0.25">
      <c r="C7084" s="210"/>
      <c r="D7084" s="210"/>
      <c r="E7084" s="210"/>
      <c r="F7084" s="210"/>
      <c r="G7084" s="210"/>
      <c r="H7084" s="210"/>
    </row>
    <row r="7085" spans="3:8" x14ac:dyDescent="0.25">
      <c r="C7085" s="210"/>
      <c r="D7085" s="210"/>
      <c r="E7085" s="210"/>
      <c r="F7085" s="210"/>
      <c r="G7085" s="210"/>
      <c r="H7085" s="210"/>
    </row>
    <row r="7086" spans="3:8" x14ac:dyDescent="0.25">
      <c r="C7086" s="210"/>
      <c r="D7086" s="210"/>
      <c r="E7086" s="210"/>
      <c r="F7086" s="210"/>
      <c r="G7086" s="210"/>
      <c r="H7086" s="210"/>
    </row>
    <row r="7087" spans="3:8" x14ac:dyDescent="0.25">
      <c r="C7087" s="210"/>
      <c r="D7087" s="210"/>
      <c r="E7087" s="210"/>
      <c r="F7087" s="210"/>
      <c r="G7087" s="210"/>
      <c r="H7087" s="210"/>
    </row>
    <row r="7088" spans="3:8" x14ac:dyDescent="0.25">
      <c r="C7088" s="210"/>
      <c r="D7088" s="210"/>
      <c r="E7088" s="210"/>
      <c r="F7088" s="210"/>
      <c r="G7088" s="210"/>
      <c r="H7088" s="210"/>
    </row>
    <row r="7089" spans="3:8" x14ac:dyDescent="0.25">
      <c r="C7089" s="210"/>
      <c r="D7089" s="210"/>
      <c r="E7089" s="210"/>
      <c r="F7089" s="210"/>
      <c r="G7089" s="210"/>
      <c r="H7089" s="210"/>
    </row>
    <row r="7090" spans="3:8" x14ac:dyDescent="0.25">
      <c r="C7090" s="210"/>
      <c r="D7090" s="210"/>
      <c r="E7090" s="210"/>
      <c r="F7090" s="210"/>
      <c r="G7090" s="210"/>
      <c r="H7090" s="210"/>
    </row>
    <row r="7091" spans="3:8" x14ac:dyDescent="0.25">
      <c r="C7091" s="210"/>
      <c r="D7091" s="210"/>
      <c r="E7091" s="210"/>
      <c r="F7091" s="210"/>
      <c r="G7091" s="210"/>
      <c r="H7091" s="210"/>
    </row>
    <row r="7092" spans="3:8" x14ac:dyDescent="0.25">
      <c r="C7092" s="210"/>
      <c r="D7092" s="210"/>
      <c r="E7092" s="210"/>
      <c r="F7092" s="210"/>
      <c r="G7092" s="210"/>
      <c r="H7092" s="210"/>
    </row>
    <row r="7093" spans="3:8" x14ac:dyDescent="0.25">
      <c r="C7093" s="210"/>
      <c r="D7093" s="210"/>
      <c r="E7093" s="210"/>
      <c r="F7093" s="210"/>
      <c r="G7093" s="210"/>
      <c r="H7093" s="210"/>
    </row>
    <row r="7094" spans="3:8" x14ac:dyDescent="0.25">
      <c r="C7094" s="210"/>
      <c r="D7094" s="210"/>
      <c r="E7094" s="210"/>
      <c r="F7094" s="210"/>
      <c r="G7094" s="210"/>
      <c r="H7094" s="210"/>
    </row>
    <row r="7095" spans="3:8" x14ac:dyDescent="0.25">
      <c r="C7095" s="210"/>
      <c r="D7095" s="210"/>
      <c r="E7095" s="210"/>
      <c r="F7095" s="210"/>
      <c r="G7095" s="210"/>
      <c r="H7095" s="210"/>
    </row>
    <row r="7096" spans="3:8" x14ac:dyDescent="0.25">
      <c r="C7096" s="210"/>
      <c r="D7096" s="210"/>
      <c r="E7096" s="210"/>
      <c r="F7096" s="210"/>
      <c r="G7096" s="210"/>
      <c r="H7096" s="210"/>
    </row>
    <row r="7097" spans="3:8" x14ac:dyDescent="0.25">
      <c r="C7097" s="210"/>
      <c r="D7097" s="210"/>
      <c r="E7097" s="210"/>
      <c r="F7097" s="210"/>
      <c r="G7097" s="210"/>
      <c r="H7097" s="210"/>
    </row>
    <row r="7098" spans="3:8" x14ac:dyDescent="0.25">
      <c r="C7098" s="210"/>
      <c r="D7098" s="210"/>
      <c r="E7098" s="210"/>
      <c r="F7098" s="210"/>
      <c r="G7098" s="210"/>
      <c r="H7098" s="210"/>
    </row>
    <row r="7099" spans="3:8" x14ac:dyDescent="0.25">
      <c r="C7099" s="210"/>
      <c r="D7099" s="210"/>
      <c r="E7099" s="210"/>
      <c r="F7099" s="210"/>
      <c r="G7099" s="210"/>
      <c r="H7099" s="210"/>
    </row>
    <row r="7100" spans="3:8" x14ac:dyDescent="0.25">
      <c r="C7100" s="210"/>
      <c r="D7100" s="210"/>
      <c r="E7100" s="210"/>
      <c r="F7100" s="210"/>
      <c r="G7100" s="210"/>
      <c r="H7100" s="210"/>
    </row>
    <row r="7101" spans="3:8" x14ac:dyDescent="0.25">
      <c r="C7101" s="210"/>
      <c r="D7101" s="210"/>
      <c r="E7101" s="210"/>
      <c r="F7101" s="210"/>
      <c r="G7101" s="210"/>
      <c r="H7101" s="210"/>
    </row>
    <row r="7102" spans="3:8" x14ac:dyDescent="0.25">
      <c r="C7102" s="210"/>
      <c r="D7102" s="210"/>
      <c r="E7102" s="210"/>
      <c r="F7102" s="210"/>
      <c r="G7102" s="210"/>
      <c r="H7102" s="210"/>
    </row>
    <row r="7103" spans="3:8" x14ac:dyDescent="0.25">
      <c r="C7103" s="210"/>
      <c r="D7103" s="210"/>
      <c r="E7103" s="210"/>
      <c r="F7103" s="210"/>
      <c r="G7103" s="210"/>
      <c r="H7103" s="210"/>
    </row>
    <row r="7104" spans="3:8" x14ac:dyDescent="0.25">
      <c r="C7104" s="210"/>
      <c r="D7104" s="210"/>
      <c r="E7104" s="210"/>
      <c r="F7104" s="210"/>
      <c r="G7104" s="210"/>
      <c r="H7104" s="210"/>
    </row>
    <row r="7105" spans="3:8" x14ac:dyDescent="0.25">
      <c r="C7105" s="210"/>
      <c r="D7105" s="210"/>
      <c r="E7105" s="210"/>
      <c r="F7105" s="210"/>
      <c r="G7105" s="210"/>
      <c r="H7105" s="210"/>
    </row>
    <row r="7106" spans="3:8" x14ac:dyDescent="0.25">
      <c r="C7106" s="210"/>
      <c r="D7106" s="210"/>
      <c r="E7106" s="210"/>
      <c r="F7106" s="210"/>
      <c r="G7106" s="210"/>
      <c r="H7106" s="210"/>
    </row>
    <row r="7107" spans="3:8" x14ac:dyDescent="0.25">
      <c r="C7107" s="210"/>
      <c r="D7107" s="210"/>
      <c r="E7107" s="210"/>
      <c r="F7107" s="210"/>
      <c r="G7107" s="210"/>
      <c r="H7107" s="210"/>
    </row>
    <row r="7108" spans="3:8" x14ac:dyDescent="0.25">
      <c r="C7108" s="210"/>
      <c r="D7108" s="210"/>
      <c r="E7108" s="210"/>
      <c r="F7108" s="210"/>
      <c r="G7108" s="210"/>
      <c r="H7108" s="210"/>
    </row>
    <row r="7109" spans="3:8" x14ac:dyDescent="0.25">
      <c r="C7109" s="210"/>
      <c r="D7109" s="210"/>
      <c r="E7109" s="210"/>
      <c r="F7109" s="210"/>
      <c r="G7109" s="210"/>
      <c r="H7109" s="210"/>
    </row>
    <row r="7110" spans="3:8" x14ac:dyDescent="0.25">
      <c r="C7110" s="210"/>
      <c r="D7110" s="210"/>
      <c r="E7110" s="210"/>
      <c r="F7110" s="210"/>
      <c r="G7110" s="210"/>
      <c r="H7110" s="210"/>
    </row>
    <row r="7111" spans="3:8" x14ac:dyDescent="0.25">
      <c r="C7111" s="210"/>
      <c r="D7111" s="210"/>
      <c r="E7111" s="210"/>
      <c r="F7111" s="210"/>
      <c r="G7111" s="210"/>
      <c r="H7111" s="210"/>
    </row>
    <row r="7112" spans="3:8" x14ac:dyDescent="0.25">
      <c r="C7112" s="210"/>
      <c r="D7112" s="210"/>
      <c r="E7112" s="210"/>
      <c r="F7112" s="210"/>
      <c r="G7112" s="210"/>
      <c r="H7112" s="210"/>
    </row>
    <row r="7113" spans="3:8" x14ac:dyDescent="0.25">
      <c r="C7113" s="210"/>
      <c r="D7113" s="210"/>
      <c r="E7113" s="210"/>
      <c r="F7113" s="210"/>
      <c r="G7113" s="210"/>
      <c r="H7113" s="210"/>
    </row>
    <row r="7114" spans="3:8" x14ac:dyDescent="0.25">
      <c r="C7114" s="210"/>
      <c r="D7114" s="210"/>
      <c r="E7114" s="210"/>
      <c r="F7114" s="210"/>
      <c r="G7114" s="210"/>
      <c r="H7114" s="210"/>
    </row>
    <row r="7115" spans="3:8" x14ac:dyDescent="0.25">
      <c r="C7115" s="210"/>
      <c r="D7115" s="210"/>
      <c r="E7115" s="210"/>
      <c r="F7115" s="210"/>
      <c r="G7115" s="210"/>
      <c r="H7115" s="210"/>
    </row>
    <row r="7116" spans="3:8" x14ac:dyDescent="0.25">
      <c r="C7116" s="210"/>
      <c r="D7116" s="210"/>
      <c r="E7116" s="210"/>
      <c r="F7116" s="210"/>
      <c r="G7116" s="210"/>
      <c r="H7116" s="210"/>
    </row>
    <row r="7117" spans="3:8" x14ac:dyDescent="0.25">
      <c r="C7117" s="210"/>
      <c r="D7117" s="210"/>
      <c r="E7117" s="210"/>
      <c r="F7117" s="210"/>
      <c r="G7117" s="210"/>
      <c r="H7117" s="210"/>
    </row>
    <row r="7118" spans="3:8" x14ac:dyDescent="0.25">
      <c r="C7118" s="210"/>
      <c r="D7118" s="210"/>
      <c r="E7118" s="210"/>
      <c r="F7118" s="210"/>
      <c r="G7118" s="210"/>
      <c r="H7118" s="210"/>
    </row>
    <row r="7119" spans="3:8" x14ac:dyDescent="0.25">
      <c r="C7119" s="210"/>
      <c r="D7119" s="210"/>
      <c r="E7119" s="210"/>
      <c r="F7119" s="210"/>
      <c r="G7119" s="210"/>
      <c r="H7119" s="210"/>
    </row>
    <row r="7120" spans="3:8" x14ac:dyDescent="0.25">
      <c r="C7120" s="210"/>
      <c r="D7120" s="210"/>
      <c r="E7120" s="210"/>
      <c r="F7120" s="210"/>
      <c r="G7120" s="210"/>
      <c r="H7120" s="210"/>
    </row>
    <row r="7121" spans="3:8" x14ac:dyDescent="0.25">
      <c r="C7121" s="210"/>
      <c r="D7121" s="210"/>
      <c r="E7121" s="210"/>
      <c r="F7121" s="210"/>
      <c r="G7121" s="210"/>
      <c r="H7121" s="210"/>
    </row>
    <row r="7122" spans="3:8" x14ac:dyDescent="0.25">
      <c r="C7122" s="210"/>
      <c r="D7122" s="210"/>
      <c r="E7122" s="210"/>
      <c r="F7122" s="210"/>
      <c r="G7122" s="210"/>
      <c r="H7122" s="210"/>
    </row>
    <row r="7123" spans="3:8" x14ac:dyDescent="0.25">
      <c r="C7123" s="210"/>
      <c r="D7123" s="210"/>
      <c r="E7123" s="210"/>
      <c r="F7123" s="210"/>
      <c r="G7123" s="210"/>
      <c r="H7123" s="210"/>
    </row>
    <row r="7124" spans="3:8" x14ac:dyDescent="0.25">
      <c r="C7124" s="210"/>
      <c r="D7124" s="210"/>
      <c r="E7124" s="210"/>
      <c r="F7124" s="210"/>
      <c r="G7124" s="210"/>
      <c r="H7124" s="210"/>
    </row>
    <row r="7125" spans="3:8" x14ac:dyDescent="0.25">
      <c r="C7125" s="210"/>
      <c r="D7125" s="210"/>
      <c r="E7125" s="210"/>
      <c r="F7125" s="210"/>
      <c r="G7125" s="210"/>
      <c r="H7125" s="210"/>
    </row>
    <row r="7126" spans="3:8" x14ac:dyDescent="0.25">
      <c r="C7126" s="210"/>
      <c r="D7126" s="210"/>
      <c r="E7126" s="210"/>
      <c r="F7126" s="210"/>
      <c r="G7126" s="210"/>
      <c r="H7126" s="210"/>
    </row>
    <row r="7127" spans="3:8" x14ac:dyDescent="0.25">
      <c r="C7127" s="210"/>
      <c r="D7127" s="210"/>
      <c r="E7127" s="210"/>
      <c r="F7127" s="210"/>
      <c r="G7127" s="210"/>
      <c r="H7127" s="210"/>
    </row>
    <row r="7128" spans="3:8" x14ac:dyDescent="0.25">
      <c r="C7128" s="210"/>
      <c r="D7128" s="210"/>
      <c r="E7128" s="210"/>
      <c r="F7128" s="210"/>
      <c r="G7128" s="210"/>
      <c r="H7128" s="210"/>
    </row>
    <row r="7129" spans="3:8" x14ac:dyDescent="0.25">
      <c r="C7129" s="210"/>
      <c r="D7129" s="210"/>
      <c r="E7129" s="210"/>
      <c r="F7129" s="210"/>
      <c r="G7129" s="210"/>
      <c r="H7129" s="210"/>
    </row>
    <row r="7130" spans="3:8" x14ac:dyDescent="0.25">
      <c r="C7130" s="210"/>
      <c r="D7130" s="210"/>
      <c r="E7130" s="210"/>
      <c r="F7130" s="210"/>
      <c r="G7130" s="210"/>
      <c r="H7130" s="210"/>
    </row>
    <row r="7131" spans="3:8" x14ac:dyDescent="0.25">
      <c r="C7131" s="210"/>
      <c r="D7131" s="210"/>
      <c r="E7131" s="210"/>
      <c r="F7131" s="210"/>
      <c r="G7131" s="210"/>
      <c r="H7131" s="210"/>
    </row>
    <row r="7132" spans="3:8" x14ac:dyDescent="0.25">
      <c r="C7132" s="210"/>
      <c r="D7132" s="210"/>
      <c r="E7132" s="210"/>
      <c r="F7132" s="210"/>
      <c r="G7132" s="210"/>
      <c r="H7132" s="210"/>
    </row>
    <row r="7133" spans="3:8" x14ac:dyDescent="0.25">
      <c r="C7133" s="210"/>
      <c r="D7133" s="210"/>
      <c r="E7133" s="210"/>
      <c r="F7133" s="210"/>
      <c r="G7133" s="210"/>
      <c r="H7133" s="210"/>
    </row>
    <row r="7134" spans="3:8" x14ac:dyDescent="0.25">
      <c r="C7134" s="210"/>
      <c r="D7134" s="210"/>
      <c r="E7134" s="210"/>
      <c r="F7134" s="210"/>
      <c r="G7134" s="210"/>
      <c r="H7134" s="210"/>
    </row>
    <row r="7135" spans="3:8" x14ac:dyDescent="0.25">
      <c r="C7135" s="210"/>
      <c r="D7135" s="210"/>
      <c r="E7135" s="210"/>
      <c r="F7135" s="210"/>
      <c r="G7135" s="210"/>
      <c r="H7135" s="210"/>
    </row>
    <row r="7136" spans="3:8" x14ac:dyDescent="0.25">
      <c r="C7136" s="210"/>
      <c r="D7136" s="210"/>
      <c r="E7136" s="210"/>
      <c r="F7136" s="210"/>
      <c r="G7136" s="210"/>
      <c r="H7136" s="210"/>
    </row>
    <row r="7137" spans="3:8" x14ac:dyDescent="0.25">
      <c r="C7137" s="210"/>
      <c r="D7137" s="210"/>
      <c r="E7137" s="210"/>
      <c r="F7137" s="210"/>
      <c r="G7137" s="210"/>
      <c r="H7137" s="210"/>
    </row>
    <row r="7138" spans="3:8" x14ac:dyDescent="0.25">
      <c r="C7138" s="210"/>
      <c r="D7138" s="210"/>
      <c r="E7138" s="210"/>
      <c r="F7138" s="210"/>
      <c r="G7138" s="210"/>
      <c r="H7138" s="210"/>
    </row>
    <row r="7139" spans="3:8" x14ac:dyDescent="0.25">
      <c r="C7139" s="210"/>
      <c r="D7139" s="210"/>
      <c r="E7139" s="210"/>
      <c r="F7139" s="210"/>
      <c r="G7139" s="210"/>
      <c r="H7139" s="210"/>
    </row>
    <row r="7140" spans="3:8" x14ac:dyDescent="0.25">
      <c r="C7140" s="210"/>
      <c r="D7140" s="210"/>
      <c r="E7140" s="210"/>
      <c r="F7140" s="210"/>
      <c r="G7140" s="210"/>
      <c r="H7140" s="210"/>
    </row>
    <row r="7141" spans="3:8" x14ac:dyDescent="0.25">
      <c r="C7141" s="210"/>
      <c r="D7141" s="210"/>
      <c r="E7141" s="210"/>
      <c r="F7141" s="210"/>
      <c r="G7141" s="210"/>
      <c r="H7141" s="210"/>
    </row>
    <row r="7142" spans="3:8" x14ac:dyDescent="0.25">
      <c r="C7142" s="210"/>
      <c r="D7142" s="210"/>
      <c r="E7142" s="210"/>
      <c r="F7142" s="210"/>
      <c r="G7142" s="210"/>
      <c r="H7142" s="210"/>
    </row>
    <row r="7143" spans="3:8" x14ac:dyDescent="0.25">
      <c r="C7143" s="210"/>
      <c r="D7143" s="210"/>
      <c r="E7143" s="210"/>
      <c r="F7143" s="210"/>
      <c r="G7143" s="210"/>
      <c r="H7143" s="210"/>
    </row>
    <row r="7144" spans="3:8" x14ac:dyDescent="0.25">
      <c r="C7144" s="210"/>
      <c r="D7144" s="210"/>
      <c r="E7144" s="210"/>
      <c r="F7144" s="210"/>
      <c r="G7144" s="210"/>
      <c r="H7144" s="210"/>
    </row>
    <row r="7145" spans="3:8" x14ac:dyDescent="0.25">
      <c r="C7145" s="210"/>
      <c r="D7145" s="210"/>
      <c r="E7145" s="210"/>
      <c r="F7145" s="210"/>
      <c r="G7145" s="210"/>
      <c r="H7145" s="210"/>
    </row>
    <row r="7146" spans="3:8" x14ac:dyDescent="0.25">
      <c r="C7146" s="210"/>
      <c r="D7146" s="210"/>
      <c r="E7146" s="210"/>
      <c r="F7146" s="210"/>
      <c r="G7146" s="210"/>
      <c r="H7146" s="210"/>
    </row>
    <row r="7147" spans="3:8" x14ac:dyDescent="0.25">
      <c r="C7147" s="210"/>
      <c r="D7147" s="210"/>
      <c r="E7147" s="210"/>
      <c r="F7147" s="210"/>
      <c r="G7147" s="210"/>
      <c r="H7147" s="210"/>
    </row>
    <row r="7148" spans="3:8" x14ac:dyDescent="0.25">
      <c r="C7148" s="210"/>
      <c r="D7148" s="210"/>
      <c r="E7148" s="210"/>
      <c r="F7148" s="210"/>
      <c r="G7148" s="210"/>
      <c r="H7148" s="210"/>
    </row>
    <row r="7149" spans="3:8" x14ac:dyDescent="0.25">
      <c r="C7149" s="210"/>
      <c r="D7149" s="210"/>
      <c r="E7149" s="210"/>
      <c r="F7149" s="210"/>
      <c r="G7149" s="210"/>
      <c r="H7149" s="210"/>
    </row>
    <row r="7150" spans="3:8" x14ac:dyDescent="0.25">
      <c r="C7150" s="210"/>
      <c r="D7150" s="210"/>
      <c r="E7150" s="210"/>
      <c r="F7150" s="210"/>
      <c r="G7150" s="210"/>
      <c r="H7150" s="210"/>
    </row>
    <row r="7151" spans="3:8" x14ac:dyDescent="0.25">
      <c r="C7151" s="210"/>
      <c r="D7151" s="210"/>
      <c r="E7151" s="210"/>
      <c r="F7151" s="210"/>
      <c r="G7151" s="210"/>
      <c r="H7151" s="210"/>
    </row>
    <row r="7152" spans="3:8" x14ac:dyDescent="0.25">
      <c r="C7152" s="210"/>
      <c r="D7152" s="210"/>
      <c r="E7152" s="210"/>
      <c r="F7152" s="210"/>
      <c r="G7152" s="210"/>
      <c r="H7152" s="210"/>
    </row>
    <row r="7153" spans="3:8" x14ac:dyDescent="0.25">
      <c r="C7153" s="210"/>
      <c r="D7153" s="210"/>
      <c r="E7153" s="210"/>
      <c r="F7153" s="210"/>
      <c r="G7153" s="210"/>
      <c r="H7153" s="210"/>
    </row>
    <row r="7154" spans="3:8" x14ac:dyDescent="0.25">
      <c r="C7154" s="210"/>
      <c r="D7154" s="210"/>
      <c r="E7154" s="210"/>
      <c r="F7154" s="210"/>
      <c r="G7154" s="210"/>
      <c r="H7154" s="210"/>
    </row>
    <row r="7155" spans="3:8" x14ac:dyDescent="0.25">
      <c r="C7155" s="210"/>
      <c r="D7155" s="210"/>
      <c r="E7155" s="210"/>
      <c r="F7155" s="210"/>
      <c r="G7155" s="210"/>
      <c r="H7155" s="210"/>
    </row>
    <row r="7156" spans="3:8" x14ac:dyDescent="0.25">
      <c r="C7156" s="210"/>
      <c r="D7156" s="210"/>
      <c r="E7156" s="210"/>
      <c r="F7156" s="210"/>
      <c r="G7156" s="210"/>
      <c r="H7156" s="210"/>
    </row>
    <row r="7157" spans="3:8" x14ac:dyDescent="0.25">
      <c r="C7157" s="210"/>
      <c r="D7157" s="210"/>
      <c r="E7157" s="210"/>
      <c r="F7157" s="210"/>
      <c r="G7157" s="210"/>
      <c r="H7157" s="210"/>
    </row>
    <row r="7158" spans="3:8" x14ac:dyDescent="0.25">
      <c r="C7158" s="210"/>
      <c r="D7158" s="210"/>
      <c r="E7158" s="210"/>
      <c r="F7158" s="210"/>
      <c r="G7158" s="210"/>
      <c r="H7158" s="210"/>
    </row>
    <row r="7159" spans="3:8" x14ac:dyDescent="0.25">
      <c r="C7159" s="210"/>
      <c r="D7159" s="210"/>
      <c r="E7159" s="210"/>
      <c r="F7159" s="210"/>
      <c r="G7159" s="210"/>
      <c r="H7159" s="210"/>
    </row>
    <row r="7160" spans="3:8" x14ac:dyDescent="0.25">
      <c r="C7160" s="210"/>
      <c r="D7160" s="210"/>
      <c r="E7160" s="210"/>
      <c r="F7160" s="210"/>
      <c r="G7160" s="210"/>
      <c r="H7160" s="210"/>
    </row>
    <row r="7161" spans="3:8" x14ac:dyDescent="0.25">
      <c r="C7161" s="210"/>
      <c r="D7161" s="210"/>
      <c r="E7161" s="210"/>
      <c r="F7161" s="210"/>
      <c r="G7161" s="210"/>
      <c r="H7161" s="210"/>
    </row>
    <row r="7162" spans="3:8" x14ac:dyDescent="0.25">
      <c r="C7162" s="210"/>
      <c r="D7162" s="210"/>
      <c r="E7162" s="210"/>
      <c r="F7162" s="210"/>
      <c r="G7162" s="210"/>
      <c r="H7162" s="210"/>
    </row>
    <row r="7163" spans="3:8" x14ac:dyDescent="0.25">
      <c r="C7163" s="210"/>
      <c r="D7163" s="210"/>
      <c r="E7163" s="210"/>
      <c r="F7163" s="210"/>
      <c r="G7163" s="210"/>
      <c r="H7163" s="210"/>
    </row>
    <row r="7164" spans="3:8" x14ac:dyDescent="0.25">
      <c r="C7164" s="210"/>
      <c r="D7164" s="210"/>
      <c r="E7164" s="210"/>
      <c r="F7164" s="210"/>
      <c r="G7164" s="210"/>
      <c r="H7164" s="210"/>
    </row>
    <row r="7165" spans="3:8" x14ac:dyDescent="0.25">
      <c r="C7165" s="210"/>
      <c r="D7165" s="210"/>
      <c r="E7165" s="210"/>
      <c r="F7165" s="210"/>
      <c r="G7165" s="210"/>
      <c r="H7165" s="210"/>
    </row>
    <row r="7166" spans="3:8" x14ac:dyDescent="0.25">
      <c r="C7166" s="210"/>
      <c r="D7166" s="210"/>
      <c r="E7166" s="210"/>
      <c r="F7166" s="210"/>
      <c r="G7166" s="210"/>
      <c r="H7166" s="210"/>
    </row>
    <row r="7167" spans="3:8" x14ac:dyDescent="0.25">
      <c r="C7167" s="210"/>
      <c r="D7167" s="210"/>
      <c r="E7167" s="210"/>
      <c r="F7167" s="210"/>
      <c r="G7167" s="210"/>
      <c r="H7167" s="210"/>
    </row>
    <row r="7168" spans="3:8" x14ac:dyDescent="0.25">
      <c r="C7168" s="210"/>
      <c r="D7168" s="210"/>
      <c r="E7168" s="210"/>
      <c r="F7168" s="210"/>
      <c r="G7168" s="210"/>
      <c r="H7168" s="210"/>
    </row>
    <row r="7169" spans="3:8" x14ac:dyDescent="0.25">
      <c r="C7169" s="210"/>
      <c r="D7169" s="210"/>
      <c r="E7169" s="210"/>
      <c r="F7169" s="210"/>
      <c r="G7169" s="210"/>
      <c r="H7169" s="210"/>
    </row>
    <row r="7170" spans="3:8" x14ac:dyDescent="0.25">
      <c r="C7170" s="210"/>
      <c r="D7170" s="210"/>
      <c r="E7170" s="210"/>
      <c r="F7170" s="210"/>
      <c r="G7170" s="210"/>
      <c r="H7170" s="210"/>
    </row>
    <row r="7171" spans="3:8" x14ac:dyDescent="0.25">
      <c r="C7171" s="210"/>
      <c r="D7171" s="210"/>
      <c r="E7171" s="210"/>
      <c r="F7171" s="210"/>
      <c r="G7171" s="210"/>
      <c r="H7171" s="210"/>
    </row>
    <row r="7172" spans="3:8" x14ac:dyDescent="0.25">
      <c r="C7172" s="210"/>
      <c r="D7172" s="210"/>
      <c r="E7172" s="210"/>
      <c r="F7172" s="210"/>
      <c r="G7172" s="210"/>
      <c r="H7172" s="210"/>
    </row>
    <row r="7173" spans="3:8" x14ac:dyDescent="0.25">
      <c r="C7173" s="210"/>
      <c r="D7173" s="210"/>
      <c r="E7173" s="210"/>
      <c r="F7173" s="210"/>
      <c r="G7173" s="210"/>
      <c r="H7173" s="210"/>
    </row>
    <row r="7174" spans="3:8" x14ac:dyDescent="0.25">
      <c r="C7174" s="210"/>
      <c r="D7174" s="210"/>
      <c r="E7174" s="210"/>
      <c r="F7174" s="210"/>
      <c r="G7174" s="210"/>
      <c r="H7174" s="210"/>
    </row>
    <row r="7175" spans="3:8" x14ac:dyDescent="0.25">
      <c r="C7175" s="210"/>
      <c r="D7175" s="210"/>
      <c r="E7175" s="210"/>
      <c r="F7175" s="210"/>
      <c r="G7175" s="210"/>
      <c r="H7175" s="210"/>
    </row>
    <row r="7176" spans="3:8" x14ac:dyDescent="0.25">
      <c r="C7176" s="210"/>
      <c r="D7176" s="210"/>
      <c r="E7176" s="210"/>
      <c r="F7176" s="210"/>
      <c r="G7176" s="210"/>
      <c r="H7176" s="210"/>
    </row>
    <row r="7177" spans="3:8" x14ac:dyDescent="0.25">
      <c r="C7177" s="210"/>
      <c r="D7177" s="210"/>
      <c r="E7177" s="210"/>
      <c r="F7177" s="210"/>
      <c r="G7177" s="210"/>
      <c r="H7177" s="210"/>
    </row>
    <row r="7178" spans="3:8" x14ac:dyDescent="0.25">
      <c r="C7178" s="210"/>
      <c r="D7178" s="210"/>
      <c r="E7178" s="210"/>
      <c r="F7178" s="210"/>
      <c r="G7178" s="210"/>
      <c r="H7178" s="210"/>
    </row>
    <row r="7179" spans="3:8" x14ac:dyDescent="0.25">
      <c r="C7179" s="210"/>
      <c r="D7179" s="210"/>
      <c r="E7179" s="210"/>
      <c r="F7179" s="210"/>
      <c r="G7179" s="210"/>
      <c r="H7179" s="210"/>
    </row>
    <row r="7180" spans="3:8" x14ac:dyDescent="0.25">
      <c r="C7180" s="210"/>
      <c r="D7180" s="210"/>
      <c r="E7180" s="210"/>
      <c r="F7180" s="210"/>
      <c r="G7180" s="210"/>
      <c r="H7180" s="210"/>
    </row>
    <row r="7181" spans="3:8" x14ac:dyDescent="0.25">
      <c r="C7181" s="210"/>
      <c r="D7181" s="210"/>
      <c r="E7181" s="210"/>
      <c r="F7181" s="210"/>
      <c r="G7181" s="210"/>
      <c r="H7181" s="210"/>
    </row>
    <row r="7182" spans="3:8" x14ac:dyDescent="0.25">
      <c r="C7182" s="210"/>
      <c r="D7182" s="210"/>
      <c r="E7182" s="210"/>
      <c r="F7182" s="210"/>
      <c r="G7182" s="210"/>
      <c r="H7182" s="210"/>
    </row>
    <row r="7183" spans="3:8" x14ac:dyDescent="0.25">
      <c r="C7183" s="210"/>
      <c r="D7183" s="210"/>
      <c r="E7183" s="210"/>
      <c r="F7183" s="210"/>
      <c r="G7183" s="210"/>
      <c r="H7183" s="210"/>
    </row>
    <row r="7184" spans="3:8" x14ac:dyDescent="0.25">
      <c r="C7184" s="210"/>
      <c r="D7184" s="210"/>
      <c r="E7184" s="210"/>
      <c r="F7184" s="210"/>
      <c r="G7184" s="210"/>
      <c r="H7184" s="210"/>
    </row>
    <row r="7185" spans="3:8" x14ac:dyDescent="0.25">
      <c r="C7185" s="210"/>
      <c r="D7185" s="210"/>
      <c r="E7185" s="210"/>
      <c r="F7185" s="210"/>
      <c r="G7185" s="210"/>
      <c r="H7185" s="210"/>
    </row>
    <row r="7186" spans="3:8" x14ac:dyDescent="0.25">
      <c r="C7186" s="210"/>
      <c r="D7186" s="210"/>
      <c r="E7186" s="210"/>
      <c r="F7186" s="210"/>
      <c r="G7186" s="210"/>
      <c r="H7186" s="210"/>
    </row>
    <row r="7187" spans="3:8" x14ac:dyDescent="0.25">
      <c r="C7187" s="210"/>
      <c r="D7187" s="210"/>
      <c r="E7187" s="210"/>
      <c r="F7187" s="210"/>
      <c r="G7187" s="210"/>
      <c r="H7187" s="210"/>
    </row>
    <row r="7188" spans="3:8" x14ac:dyDescent="0.25">
      <c r="C7188" s="210"/>
      <c r="D7188" s="210"/>
      <c r="E7188" s="210"/>
      <c r="F7188" s="210"/>
      <c r="G7188" s="210"/>
      <c r="H7188" s="210"/>
    </row>
    <row r="7189" spans="3:8" x14ac:dyDescent="0.25">
      <c r="C7189" s="210"/>
      <c r="D7189" s="210"/>
      <c r="E7189" s="210"/>
      <c r="F7189" s="210"/>
      <c r="G7189" s="210"/>
      <c r="H7189" s="210"/>
    </row>
    <row r="7190" spans="3:8" x14ac:dyDescent="0.25">
      <c r="C7190" s="210"/>
      <c r="D7190" s="210"/>
      <c r="E7190" s="210"/>
      <c r="F7190" s="210"/>
      <c r="G7190" s="210"/>
      <c r="H7190" s="210"/>
    </row>
    <row r="7191" spans="3:8" x14ac:dyDescent="0.25">
      <c r="C7191" s="210"/>
      <c r="D7191" s="210"/>
      <c r="E7191" s="210"/>
      <c r="F7191" s="210"/>
      <c r="G7191" s="210"/>
      <c r="H7191" s="210"/>
    </row>
    <row r="7192" spans="3:8" x14ac:dyDescent="0.25">
      <c r="C7192" s="210"/>
      <c r="D7192" s="210"/>
      <c r="E7192" s="210"/>
      <c r="F7192" s="210"/>
      <c r="G7192" s="210"/>
      <c r="H7192" s="210"/>
    </row>
    <row r="7193" spans="3:8" x14ac:dyDescent="0.25">
      <c r="C7193" s="210"/>
      <c r="D7193" s="210"/>
      <c r="E7193" s="210"/>
      <c r="F7193" s="210"/>
      <c r="G7193" s="210"/>
      <c r="H7193" s="210"/>
    </row>
    <row r="7194" spans="3:8" x14ac:dyDescent="0.25">
      <c r="C7194" s="210"/>
      <c r="D7194" s="210"/>
      <c r="E7194" s="210"/>
      <c r="F7194" s="210"/>
      <c r="G7194" s="210"/>
      <c r="H7194" s="210"/>
    </row>
    <row r="7195" spans="3:8" x14ac:dyDescent="0.25">
      <c r="C7195" s="210"/>
      <c r="D7195" s="210"/>
      <c r="E7195" s="210"/>
      <c r="F7195" s="210"/>
      <c r="G7195" s="210"/>
      <c r="H7195" s="210"/>
    </row>
    <row r="7196" spans="3:8" x14ac:dyDescent="0.25">
      <c r="C7196" s="210"/>
      <c r="D7196" s="210"/>
      <c r="E7196" s="210"/>
      <c r="F7196" s="210"/>
      <c r="G7196" s="210"/>
      <c r="H7196" s="210"/>
    </row>
    <row r="7197" spans="3:8" x14ac:dyDescent="0.25">
      <c r="C7197" s="210"/>
      <c r="D7197" s="210"/>
      <c r="E7197" s="210"/>
      <c r="F7197" s="210"/>
      <c r="G7197" s="210"/>
      <c r="H7197" s="210"/>
    </row>
    <row r="7198" spans="3:8" x14ac:dyDescent="0.25">
      <c r="C7198" s="210"/>
      <c r="D7198" s="210"/>
      <c r="E7198" s="210"/>
      <c r="F7198" s="210"/>
      <c r="G7198" s="210"/>
      <c r="H7198" s="210"/>
    </row>
    <row r="7199" spans="3:8" x14ac:dyDescent="0.25">
      <c r="C7199" s="210"/>
      <c r="D7199" s="210"/>
      <c r="E7199" s="210"/>
      <c r="F7199" s="210"/>
      <c r="G7199" s="210"/>
      <c r="H7199" s="210"/>
    </row>
    <row r="7200" spans="3:8" x14ac:dyDescent="0.25">
      <c r="C7200" s="210"/>
      <c r="D7200" s="210"/>
      <c r="E7200" s="210"/>
      <c r="F7200" s="210"/>
      <c r="G7200" s="210"/>
      <c r="H7200" s="210"/>
    </row>
    <row r="7201" spans="3:8" x14ac:dyDescent="0.25">
      <c r="C7201" s="210"/>
      <c r="D7201" s="210"/>
      <c r="E7201" s="210"/>
      <c r="F7201" s="210"/>
      <c r="G7201" s="210"/>
      <c r="H7201" s="210"/>
    </row>
    <row r="7202" spans="3:8" x14ac:dyDescent="0.25">
      <c r="C7202" s="210"/>
      <c r="D7202" s="210"/>
      <c r="E7202" s="210"/>
      <c r="F7202" s="210"/>
      <c r="G7202" s="210"/>
      <c r="H7202" s="210"/>
    </row>
    <row r="7203" spans="3:8" x14ac:dyDescent="0.25">
      <c r="C7203" s="210"/>
      <c r="D7203" s="210"/>
      <c r="E7203" s="210"/>
      <c r="F7203" s="210"/>
      <c r="G7203" s="210"/>
      <c r="H7203" s="210"/>
    </row>
    <row r="7204" spans="3:8" x14ac:dyDescent="0.25">
      <c r="C7204" s="210"/>
      <c r="D7204" s="210"/>
      <c r="E7204" s="210"/>
      <c r="F7204" s="210"/>
      <c r="G7204" s="210"/>
      <c r="H7204" s="210"/>
    </row>
    <row r="7205" spans="3:8" x14ac:dyDescent="0.25">
      <c r="C7205" s="210"/>
      <c r="D7205" s="210"/>
      <c r="E7205" s="210"/>
      <c r="F7205" s="210"/>
      <c r="G7205" s="210"/>
      <c r="H7205" s="210"/>
    </row>
    <row r="7206" spans="3:8" x14ac:dyDescent="0.25">
      <c r="C7206" s="210"/>
      <c r="D7206" s="210"/>
      <c r="E7206" s="210"/>
      <c r="F7206" s="210"/>
      <c r="G7206" s="210"/>
      <c r="H7206" s="210"/>
    </row>
    <row r="7207" spans="3:8" x14ac:dyDescent="0.25">
      <c r="C7207" s="210"/>
      <c r="D7207" s="210"/>
      <c r="E7207" s="210"/>
      <c r="F7207" s="210"/>
      <c r="G7207" s="210"/>
      <c r="H7207" s="210"/>
    </row>
    <row r="7208" spans="3:8" x14ac:dyDescent="0.25">
      <c r="C7208" s="210"/>
      <c r="D7208" s="210"/>
      <c r="E7208" s="210"/>
      <c r="F7208" s="210"/>
      <c r="G7208" s="210"/>
      <c r="H7208" s="210"/>
    </row>
    <row r="7209" spans="3:8" x14ac:dyDescent="0.25">
      <c r="C7209" s="210"/>
      <c r="D7209" s="210"/>
      <c r="E7209" s="210"/>
      <c r="F7209" s="210"/>
      <c r="G7209" s="210"/>
      <c r="H7209" s="210"/>
    </row>
    <row r="7210" spans="3:8" x14ac:dyDescent="0.25">
      <c r="C7210" s="210"/>
      <c r="D7210" s="210"/>
      <c r="E7210" s="210"/>
      <c r="F7210" s="210"/>
      <c r="G7210" s="210"/>
      <c r="H7210" s="210"/>
    </row>
    <row r="7211" spans="3:8" x14ac:dyDescent="0.25">
      <c r="C7211" s="210"/>
      <c r="D7211" s="210"/>
      <c r="E7211" s="210"/>
      <c r="F7211" s="210"/>
      <c r="G7211" s="210"/>
      <c r="H7211" s="210"/>
    </row>
    <row r="7212" spans="3:8" x14ac:dyDescent="0.25">
      <c r="C7212" s="210"/>
      <c r="D7212" s="210"/>
      <c r="E7212" s="210"/>
      <c r="F7212" s="210"/>
      <c r="G7212" s="210"/>
      <c r="H7212" s="210"/>
    </row>
    <row r="7213" spans="3:8" x14ac:dyDescent="0.25">
      <c r="C7213" s="210"/>
      <c r="D7213" s="210"/>
      <c r="E7213" s="210"/>
      <c r="F7213" s="210"/>
      <c r="G7213" s="210"/>
      <c r="H7213" s="210"/>
    </row>
    <row r="7214" spans="3:8" x14ac:dyDescent="0.25">
      <c r="C7214" s="210"/>
      <c r="D7214" s="210"/>
      <c r="E7214" s="210"/>
      <c r="F7214" s="210"/>
      <c r="G7214" s="210"/>
      <c r="H7214" s="210"/>
    </row>
    <row r="7215" spans="3:8" x14ac:dyDescent="0.25">
      <c r="C7215" s="210"/>
      <c r="D7215" s="210"/>
      <c r="E7215" s="210"/>
      <c r="F7215" s="210"/>
      <c r="G7215" s="210"/>
      <c r="H7215" s="210"/>
    </row>
    <row r="7216" spans="3:8" x14ac:dyDescent="0.25">
      <c r="C7216" s="210"/>
      <c r="D7216" s="210"/>
      <c r="E7216" s="210"/>
      <c r="F7216" s="210"/>
      <c r="G7216" s="210"/>
      <c r="H7216" s="210"/>
    </row>
    <row r="7217" spans="3:8" x14ac:dyDescent="0.25">
      <c r="C7217" s="210"/>
      <c r="D7217" s="210"/>
      <c r="E7217" s="210"/>
      <c r="F7217" s="210"/>
      <c r="G7217" s="210"/>
      <c r="H7217" s="210"/>
    </row>
    <row r="7218" spans="3:8" x14ac:dyDescent="0.25">
      <c r="C7218" s="210"/>
      <c r="D7218" s="210"/>
      <c r="E7218" s="210"/>
      <c r="F7218" s="210"/>
      <c r="G7218" s="210"/>
      <c r="H7218" s="210"/>
    </row>
    <row r="7219" spans="3:8" x14ac:dyDescent="0.25">
      <c r="C7219" s="210"/>
      <c r="D7219" s="210"/>
      <c r="E7219" s="210"/>
      <c r="F7219" s="210"/>
      <c r="G7219" s="210"/>
      <c r="H7219" s="210"/>
    </row>
    <row r="7220" spans="3:8" x14ac:dyDescent="0.25">
      <c r="C7220" s="210"/>
      <c r="D7220" s="210"/>
      <c r="E7220" s="210"/>
      <c r="F7220" s="210"/>
      <c r="G7220" s="210"/>
      <c r="H7220" s="210"/>
    </row>
    <row r="7221" spans="3:8" x14ac:dyDescent="0.25">
      <c r="C7221" s="210"/>
      <c r="D7221" s="210"/>
      <c r="E7221" s="210"/>
      <c r="F7221" s="210"/>
      <c r="G7221" s="210"/>
      <c r="H7221" s="210"/>
    </row>
    <row r="7222" spans="3:8" x14ac:dyDescent="0.25">
      <c r="C7222" s="210"/>
      <c r="D7222" s="210"/>
      <c r="E7222" s="210"/>
      <c r="F7222" s="210"/>
      <c r="G7222" s="210"/>
      <c r="H7222" s="210"/>
    </row>
    <row r="7223" spans="3:8" x14ac:dyDescent="0.25">
      <c r="C7223" s="210"/>
      <c r="D7223" s="210"/>
      <c r="E7223" s="210"/>
      <c r="F7223" s="210"/>
      <c r="G7223" s="210"/>
      <c r="H7223" s="210"/>
    </row>
    <row r="7224" spans="3:8" x14ac:dyDescent="0.25">
      <c r="C7224" s="210"/>
      <c r="D7224" s="210"/>
      <c r="E7224" s="210"/>
      <c r="F7224" s="210"/>
      <c r="G7224" s="210"/>
      <c r="H7224" s="210"/>
    </row>
    <row r="7225" spans="3:8" x14ac:dyDescent="0.25">
      <c r="C7225" s="210"/>
      <c r="D7225" s="210"/>
      <c r="E7225" s="210"/>
      <c r="F7225" s="210"/>
      <c r="G7225" s="210"/>
      <c r="H7225" s="210"/>
    </row>
    <row r="7226" spans="3:8" x14ac:dyDescent="0.25">
      <c r="C7226" s="210"/>
      <c r="D7226" s="210"/>
      <c r="E7226" s="210"/>
      <c r="F7226" s="210"/>
      <c r="G7226" s="210"/>
      <c r="H7226" s="210"/>
    </row>
    <row r="7227" spans="3:8" x14ac:dyDescent="0.25">
      <c r="C7227" s="210"/>
      <c r="D7227" s="210"/>
      <c r="E7227" s="210"/>
      <c r="F7227" s="210"/>
      <c r="G7227" s="210"/>
      <c r="H7227" s="210"/>
    </row>
    <row r="7228" spans="3:8" x14ac:dyDescent="0.25">
      <c r="C7228" s="210"/>
      <c r="D7228" s="210"/>
      <c r="E7228" s="210"/>
      <c r="F7228" s="210"/>
      <c r="G7228" s="210"/>
      <c r="H7228" s="210"/>
    </row>
    <row r="7229" spans="3:8" x14ac:dyDescent="0.25">
      <c r="C7229" s="210"/>
      <c r="D7229" s="210"/>
      <c r="E7229" s="210"/>
      <c r="F7229" s="210"/>
      <c r="G7229" s="210"/>
      <c r="H7229" s="210"/>
    </row>
    <row r="7230" spans="3:8" x14ac:dyDescent="0.25">
      <c r="C7230" s="210"/>
      <c r="D7230" s="210"/>
      <c r="E7230" s="210"/>
      <c r="F7230" s="210"/>
      <c r="G7230" s="210"/>
      <c r="H7230" s="210"/>
    </row>
    <row r="7231" spans="3:8" x14ac:dyDescent="0.25">
      <c r="C7231" s="210"/>
      <c r="D7231" s="210"/>
      <c r="E7231" s="210"/>
      <c r="F7231" s="210"/>
      <c r="G7231" s="210"/>
      <c r="H7231" s="210"/>
    </row>
    <row r="7232" spans="3:8" x14ac:dyDescent="0.25">
      <c r="C7232" s="210"/>
      <c r="D7232" s="210"/>
      <c r="E7232" s="210"/>
      <c r="F7232" s="210"/>
      <c r="G7232" s="210"/>
      <c r="H7232" s="210"/>
    </row>
    <row r="7233" spans="3:8" x14ac:dyDescent="0.25">
      <c r="C7233" s="210"/>
      <c r="D7233" s="210"/>
      <c r="E7233" s="210"/>
      <c r="F7233" s="210"/>
      <c r="G7233" s="210"/>
      <c r="H7233" s="210"/>
    </row>
    <row r="7234" spans="3:8" x14ac:dyDescent="0.25">
      <c r="C7234" s="210"/>
      <c r="D7234" s="210"/>
      <c r="E7234" s="210"/>
      <c r="F7234" s="210"/>
      <c r="G7234" s="210"/>
      <c r="H7234" s="210"/>
    </row>
    <row r="7235" spans="3:8" x14ac:dyDescent="0.25">
      <c r="C7235" s="210"/>
      <c r="D7235" s="210"/>
      <c r="E7235" s="210"/>
      <c r="F7235" s="210"/>
      <c r="G7235" s="210"/>
      <c r="H7235" s="210"/>
    </row>
    <row r="7236" spans="3:8" x14ac:dyDescent="0.25">
      <c r="C7236" s="210"/>
      <c r="D7236" s="210"/>
      <c r="E7236" s="210"/>
      <c r="F7236" s="210"/>
      <c r="G7236" s="210"/>
      <c r="H7236" s="210"/>
    </row>
    <row r="7237" spans="3:8" x14ac:dyDescent="0.25">
      <c r="C7237" s="210"/>
      <c r="D7237" s="210"/>
      <c r="E7237" s="210"/>
      <c r="F7237" s="210"/>
      <c r="G7237" s="210"/>
      <c r="H7237" s="210"/>
    </row>
    <row r="7238" spans="3:8" x14ac:dyDescent="0.25">
      <c r="C7238" s="210"/>
      <c r="D7238" s="210"/>
      <c r="E7238" s="210"/>
      <c r="F7238" s="210"/>
      <c r="G7238" s="210"/>
      <c r="H7238" s="210"/>
    </row>
    <row r="7239" spans="3:8" x14ac:dyDescent="0.25">
      <c r="C7239" s="210"/>
      <c r="D7239" s="210"/>
      <c r="E7239" s="210"/>
      <c r="F7239" s="210"/>
      <c r="G7239" s="210"/>
      <c r="H7239" s="210"/>
    </row>
    <row r="7240" spans="3:8" x14ac:dyDescent="0.25">
      <c r="C7240" s="210"/>
      <c r="D7240" s="210"/>
      <c r="E7240" s="210"/>
      <c r="F7240" s="210"/>
      <c r="G7240" s="210"/>
      <c r="H7240" s="210"/>
    </row>
    <row r="7241" spans="3:8" x14ac:dyDescent="0.25">
      <c r="C7241" s="210"/>
      <c r="D7241" s="210"/>
      <c r="E7241" s="210"/>
      <c r="F7241" s="210"/>
      <c r="G7241" s="210"/>
      <c r="H7241" s="210"/>
    </row>
    <row r="7242" spans="3:8" x14ac:dyDescent="0.25">
      <c r="C7242" s="210"/>
      <c r="D7242" s="210"/>
      <c r="E7242" s="210"/>
      <c r="F7242" s="210"/>
      <c r="G7242" s="210"/>
      <c r="H7242" s="210"/>
    </row>
    <row r="7243" spans="3:8" x14ac:dyDescent="0.25">
      <c r="C7243" s="210"/>
      <c r="D7243" s="210"/>
      <c r="E7243" s="210"/>
      <c r="F7243" s="210"/>
      <c r="G7243" s="210"/>
      <c r="H7243" s="210"/>
    </row>
    <row r="7244" spans="3:8" x14ac:dyDescent="0.25">
      <c r="C7244" s="210"/>
      <c r="D7244" s="210"/>
      <c r="E7244" s="210"/>
      <c r="F7244" s="210"/>
      <c r="G7244" s="210"/>
      <c r="H7244" s="210"/>
    </row>
    <row r="7245" spans="3:8" x14ac:dyDescent="0.25">
      <c r="C7245" s="210"/>
      <c r="D7245" s="210"/>
      <c r="E7245" s="210"/>
      <c r="F7245" s="210"/>
      <c r="G7245" s="210"/>
      <c r="H7245" s="210"/>
    </row>
    <row r="7246" spans="3:8" x14ac:dyDescent="0.25">
      <c r="C7246" s="210"/>
      <c r="D7246" s="210"/>
      <c r="E7246" s="210"/>
      <c r="F7246" s="210"/>
      <c r="G7246" s="210"/>
      <c r="H7246" s="210"/>
    </row>
    <row r="7247" spans="3:8" x14ac:dyDescent="0.25">
      <c r="C7247" s="210"/>
      <c r="D7247" s="210"/>
      <c r="E7247" s="210"/>
      <c r="F7247" s="210"/>
      <c r="G7247" s="210"/>
      <c r="H7247" s="210"/>
    </row>
    <row r="7248" spans="3:8" x14ac:dyDescent="0.25">
      <c r="C7248" s="210"/>
      <c r="D7248" s="210"/>
      <c r="E7248" s="210"/>
      <c r="F7248" s="210"/>
      <c r="G7248" s="210"/>
      <c r="H7248" s="210"/>
    </row>
    <row r="7249" spans="3:8" x14ac:dyDescent="0.25">
      <c r="C7249" s="210"/>
      <c r="D7249" s="210"/>
      <c r="E7249" s="210"/>
      <c r="F7249" s="210"/>
      <c r="G7249" s="210"/>
      <c r="H7249" s="210"/>
    </row>
    <row r="7250" spans="3:8" x14ac:dyDescent="0.25">
      <c r="C7250" s="210"/>
      <c r="D7250" s="210"/>
      <c r="E7250" s="210"/>
      <c r="F7250" s="210"/>
      <c r="G7250" s="210"/>
      <c r="H7250" s="210"/>
    </row>
    <row r="7251" spans="3:8" x14ac:dyDescent="0.25">
      <c r="C7251" s="210"/>
      <c r="D7251" s="210"/>
      <c r="E7251" s="210"/>
      <c r="F7251" s="210"/>
      <c r="G7251" s="210"/>
      <c r="H7251" s="210"/>
    </row>
    <row r="7252" spans="3:8" x14ac:dyDescent="0.25">
      <c r="C7252" s="210"/>
      <c r="D7252" s="210"/>
      <c r="E7252" s="210"/>
      <c r="F7252" s="210"/>
      <c r="G7252" s="210"/>
      <c r="H7252" s="210"/>
    </row>
    <row r="7253" spans="3:8" x14ac:dyDescent="0.25">
      <c r="C7253" s="210"/>
      <c r="D7253" s="210"/>
      <c r="E7253" s="210"/>
      <c r="F7253" s="210"/>
      <c r="G7253" s="210"/>
      <c r="H7253" s="210"/>
    </row>
    <row r="7254" spans="3:8" x14ac:dyDescent="0.25">
      <c r="C7254" s="210"/>
      <c r="D7254" s="210"/>
      <c r="E7254" s="210"/>
      <c r="F7254" s="210"/>
      <c r="G7254" s="210"/>
      <c r="H7254" s="210"/>
    </row>
    <row r="7255" spans="3:8" x14ac:dyDescent="0.25">
      <c r="C7255" s="210"/>
      <c r="D7255" s="210"/>
      <c r="E7255" s="210"/>
      <c r="F7255" s="210"/>
      <c r="G7255" s="210"/>
      <c r="H7255" s="210"/>
    </row>
    <row r="7256" spans="3:8" x14ac:dyDescent="0.25">
      <c r="C7256" s="210"/>
      <c r="D7256" s="210"/>
      <c r="E7256" s="210"/>
      <c r="F7256" s="210"/>
      <c r="G7256" s="210"/>
      <c r="H7256" s="210"/>
    </row>
    <row r="7257" spans="3:8" x14ac:dyDescent="0.25">
      <c r="C7257" s="210"/>
      <c r="D7257" s="210"/>
      <c r="E7257" s="210"/>
      <c r="F7257" s="210"/>
      <c r="G7257" s="210"/>
      <c r="H7257" s="210"/>
    </row>
    <row r="7258" spans="3:8" x14ac:dyDescent="0.25">
      <c r="C7258" s="210"/>
      <c r="D7258" s="210"/>
      <c r="E7258" s="210"/>
      <c r="F7258" s="210"/>
      <c r="G7258" s="210"/>
      <c r="H7258" s="210"/>
    </row>
    <row r="7259" spans="3:8" x14ac:dyDescent="0.25">
      <c r="C7259" s="210"/>
      <c r="D7259" s="210"/>
      <c r="E7259" s="210"/>
      <c r="F7259" s="210"/>
      <c r="G7259" s="210"/>
      <c r="H7259" s="210"/>
    </row>
    <row r="7260" spans="3:8" x14ac:dyDescent="0.25">
      <c r="C7260" s="210"/>
      <c r="D7260" s="210"/>
      <c r="E7260" s="210"/>
      <c r="F7260" s="210"/>
      <c r="G7260" s="210"/>
      <c r="H7260" s="210"/>
    </row>
    <row r="7261" spans="3:8" x14ac:dyDescent="0.25">
      <c r="C7261" s="210"/>
      <c r="D7261" s="210"/>
      <c r="E7261" s="210"/>
      <c r="F7261" s="210"/>
      <c r="G7261" s="210"/>
      <c r="H7261" s="210"/>
    </row>
    <row r="7262" spans="3:8" x14ac:dyDescent="0.25">
      <c r="C7262" s="210"/>
      <c r="D7262" s="210"/>
      <c r="E7262" s="210"/>
      <c r="F7262" s="210"/>
      <c r="G7262" s="210"/>
      <c r="H7262" s="210"/>
    </row>
    <row r="7263" spans="3:8" x14ac:dyDescent="0.25">
      <c r="C7263" s="210"/>
      <c r="D7263" s="210"/>
      <c r="E7263" s="210"/>
      <c r="F7263" s="210"/>
      <c r="G7263" s="210"/>
      <c r="H7263" s="210"/>
    </row>
    <row r="7264" spans="3:8" x14ac:dyDescent="0.25">
      <c r="C7264" s="210"/>
      <c r="D7264" s="210"/>
      <c r="E7264" s="210"/>
      <c r="F7264" s="210"/>
      <c r="G7264" s="210"/>
      <c r="H7264" s="210"/>
    </row>
    <row r="7265" spans="3:8" x14ac:dyDescent="0.25">
      <c r="C7265" s="210"/>
      <c r="D7265" s="210"/>
      <c r="E7265" s="210"/>
      <c r="F7265" s="210"/>
      <c r="G7265" s="210"/>
      <c r="H7265" s="210"/>
    </row>
    <row r="7266" spans="3:8" x14ac:dyDescent="0.25">
      <c r="C7266" s="210"/>
      <c r="D7266" s="210"/>
      <c r="E7266" s="210"/>
      <c r="F7266" s="210"/>
      <c r="G7266" s="210"/>
      <c r="H7266" s="210"/>
    </row>
    <row r="7267" spans="3:8" x14ac:dyDescent="0.25">
      <c r="C7267" s="210"/>
      <c r="D7267" s="210"/>
      <c r="E7267" s="210"/>
      <c r="F7267" s="210"/>
      <c r="G7267" s="210"/>
      <c r="H7267" s="210"/>
    </row>
    <row r="7268" spans="3:8" x14ac:dyDescent="0.25">
      <c r="C7268" s="210"/>
      <c r="D7268" s="210"/>
      <c r="E7268" s="210"/>
      <c r="F7268" s="210"/>
      <c r="G7268" s="210"/>
      <c r="H7268" s="210"/>
    </row>
    <row r="7269" spans="3:8" x14ac:dyDescent="0.25">
      <c r="C7269" s="210"/>
      <c r="D7269" s="210"/>
      <c r="E7269" s="210"/>
      <c r="F7269" s="210"/>
      <c r="G7269" s="210"/>
      <c r="H7269" s="210"/>
    </row>
    <row r="7270" spans="3:8" x14ac:dyDescent="0.25">
      <c r="C7270" s="210"/>
      <c r="D7270" s="210"/>
      <c r="E7270" s="210"/>
      <c r="F7270" s="210"/>
      <c r="G7270" s="210"/>
      <c r="H7270" s="210"/>
    </row>
    <row r="7271" spans="3:8" x14ac:dyDescent="0.25">
      <c r="C7271" s="210"/>
      <c r="D7271" s="210"/>
      <c r="E7271" s="210"/>
      <c r="F7271" s="210"/>
      <c r="G7271" s="210"/>
      <c r="H7271" s="210"/>
    </row>
    <row r="7272" spans="3:8" x14ac:dyDescent="0.25">
      <c r="C7272" s="210"/>
      <c r="D7272" s="210"/>
      <c r="E7272" s="210"/>
      <c r="F7272" s="210"/>
      <c r="G7272" s="210"/>
      <c r="H7272" s="210"/>
    </row>
    <row r="7273" spans="3:8" x14ac:dyDescent="0.25">
      <c r="C7273" s="210"/>
      <c r="D7273" s="210"/>
      <c r="E7273" s="210"/>
      <c r="F7273" s="210"/>
      <c r="G7273" s="210"/>
      <c r="H7273" s="210"/>
    </row>
    <row r="7274" spans="3:8" x14ac:dyDescent="0.25">
      <c r="C7274" s="210"/>
      <c r="D7274" s="210"/>
      <c r="E7274" s="210"/>
      <c r="F7274" s="210"/>
      <c r="G7274" s="210"/>
      <c r="H7274" s="210"/>
    </row>
    <row r="7275" spans="3:8" x14ac:dyDescent="0.25">
      <c r="C7275" s="210"/>
      <c r="D7275" s="210"/>
      <c r="E7275" s="210"/>
      <c r="F7275" s="210"/>
      <c r="G7275" s="210"/>
      <c r="H7275" s="210"/>
    </row>
    <row r="7276" spans="3:8" x14ac:dyDescent="0.25">
      <c r="C7276" s="210"/>
      <c r="D7276" s="210"/>
      <c r="E7276" s="210"/>
      <c r="F7276" s="210"/>
      <c r="G7276" s="210"/>
      <c r="H7276" s="210"/>
    </row>
    <row r="7277" spans="3:8" x14ac:dyDescent="0.25">
      <c r="C7277" s="210"/>
      <c r="D7277" s="210"/>
      <c r="E7277" s="210"/>
      <c r="F7277" s="210"/>
      <c r="G7277" s="210"/>
      <c r="H7277" s="210"/>
    </row>
    <row r="7278" spans="3:8" x14ac:dyDescent="0.25">
      <c r="C7278" s="210"/>
      <c r="D7278" s="210"/>
      <c r="E7278" s="210"/>
      <c r="F7278" s="210"/>
      <c r="G7278" s="210"/>
      <c r="H7278" s="210"/>
    </row>
    <row r="7279" spans="3:8" x14ac:dyDescent="0.25">
      <c r="C7279" s="210"/>
      <c r="D7279" s="210"/>
      <c r="E7279" s="210"/>
      <c r="F7279" s="210"/>
      <c r="G7279" s="210"/>
      <c r="H7279" s="210"/>
    </row>
    <row r="7280" spans="3:8" x14ac:dyDescent="0.25">
      <c r="C7280" s="210"/>
      <c r="D7280" s="210"/>
      <c r="E7280" s="210"/>
      <c r="F7280" s="210"/>
      <c r="G7280" s="210"/>
      <c r="H7280" s="210"/>
    </row>
    <row r="7281" spans="3:8" x14ac:dyDescent="0.25">
      <c r="C7281" s="210"/>
      <c r="D7281" s="210"/>
      <c r="E7281" s="210"/>
      <c r="F7281" s="210"/>
      <c r="G7281" s="210"/>
      <c r="H7281" s="210"/>
    </row>
    <row r="7282" spans="3:8" x14ac:dyDescent="0.25">
      <c r="C7282" s="210"/>
      <c r="D7282" s="210"/>
      <c r="E7282" s="210"/>
      <c r="F7282" s="210"/>
      <c r="G7282" s="210"/>
      <c r="H7282" s="210"/>
    </row>
    <row r="7283" spans="3:8" x14ac:dyDescent="0.25">
      <c r="C7283" s="210"/>
      <c r="D7283" s="210"/>
      <c r="E7283" s="210"/>
      <c r="F7283" s="210"/>
      <c r="G7283" s="210"/>
      <c r="H7283" s="210"/>
    </row>
    <row r="7284" spans="3:8" x14ac:dyDescent="0.25">
      <c r="C7284" s="210"/>
      <c r="D7284" s="210"/>
      <c r="E7284" s="210"/>
      <c r="F7284" s="210"/>
      <c r="G7284" s="210"/>
      <c r="H7284" s="210"/>
    </row>
    <row r="7285" spans="3:8" x14ac:dyDescent="0.25">
      <c r="C7285" s="210"/>
      <c r="D7285" s="210"/>
      <c r="E7285" s="210"/>
      <c r="F7285" s="210"/>
      <c r="G7285" s="210"/>
      <c r="H7285" s="210"/>
    </row>
    <row r="7286" spans="3:8" x14ac:dyDescent="0.25">
      <c r="C7286" s="210"/>
      <c r="D7286" s="210"/>
      <c r="E7286" s="210"/>
      <c r="F7286" s="210"/>
      <c r="G7286" s="210"/>
      <c r="H7286" s="210"/>
    </row>
    <row r="7287" spans="3:8" x14ac:dyDescent="0.25">
      <c r="C7287" s="210"/>
      <c r="D7287" s="210"/>
      <c r="E7287" s="210"/>
      <c r="F7287" s="210"/>
      <c r="G7287" s="210"/>
      <c r="H7287" s="210"/>
    </row>
    <row r="7288" spans="3:8" x14ac:dyDescent="0.25">
      <c r="C7288" s="210"/>
      <c r="D7288" s="210"/>
      <c r="E7288" s="210"/>
      <c r="F7288" s="210"/>
      <c r="G7288" s="210"/>
      <c r="H7288" s="210"/>
    </row>
    <row r="7289" spans="3:8" x14ac:dyDescent="0.25">
      <c r="C7289" s="210"/>
      <c r="D7289" s="210"/>
      <c r="E7289" s="210"/>
      <c r="F7289" s="210"/>
      <c r="G7289" s="210"/>
      <c r="H7289" s="210"/>
    </row>
    <row r="7290" spans="3:8" x14ac:dyDescent="0.25">
      <c r="C7290" s="210"/>
      <c r="D7290" s="210"/>
      <c r="E7290" s="210"/>
      <c r="F7290" s="210"/>
      <c r="G7290" s="210"/>
      <c r="H7290" s="210"/>
    </row>
    <row r="7291" spans="3:8" x14ac:dyDescent="0.25">
      <c r="C7291" s="210"/>
      <c r="D7291" s="210"/>
      <c r="E7291" s="210"/>
      <c r="F7291" s="210"/>
      <c r="G7291" s="210"/>
      <c r="H7291" s="210"/>
    </row>
    <row r="7292" spans="3:8" x14ac:dyDescent="0.25">
      <c r="C7292" s="210"/>
      <c r="D7292" s="210"/>
      <c r="E7292" s="210"/>
      <c r="F7292" s="210"/>
      <c r="G7292" s="210"/>
      <c r="H7292" s="210"/>
    </row>
    <row r="7293" spans="3:8" x14ac:dyDescent="0.25">
      <c r="C7293" s="210"/>
      <c r="D7293" s="210"/>
      <c r="E7293" s="210"/>
      <c r="F7293" s="210"/>
      <c r="G7293" s="210"/>
      <c r="H7293" s="210"/>
    </row>
    <row r="7294" spans="3:8" x14ac:dyDescent="0.25">
      <c r="C7294" s="210"/>
      <c r="D7294" s="210"/>
      <c r="E7294" s="210"/>
      <c r="F7294" s="210"/>
      <c r="G7294" s="210"/>
      <c r="H7294" s="210"/>
    </row>
    <row r="7295" spans="3:8" x14ac:dyDescent="0.25">
      <c r="C7295" s="210"/>
      <c r="D7295" s="210"/>
      <c r="E7295" s="210"/>
      <c r="F7295" s="210"/>
      <c r="G7295" s="210"/>
      <c r="H7295" s="210"/>
    </row>
    <row r="7296" spans="3:8" x14ac:dyDescent="0.25">
      <c r="C7296" s="210"/>
      <c r="D7296" s="210"/>
      <c r="E7296" s="210"/>
      <c r="F7296" s="210"/>
      <c r="G7296" s="210"/>
      <c r="H7296" s="210"/>
    </row>
    <row r="7297" spans="3:8" x14ac:dyDescent="0.25">
      <c r="C7297" s="210"/>
      <c r="D7297" s="210"/>
      <c r="E7297" s="210"/>
      <c r="F7297" s="210"/>
      <c r="G7297" s="210"/>
      <c r="H7297" s="210"/>
    </row>
    <row r="7298" spans="3:8" x14ac:dyDescent="0.25">
      <c r="C7298" s="210"/>
      <c r="D7298" s="210"/>
      <c r="E7298" s="210"/>
      <c r="F7298" s="210"/>
      <c r="G7298" s="210"/>
      <c r="H7298" s="210"/>
    </row>
    <row r="7299" spans="3:8" x14ac:dyDescent="0.25">
      <c r="C7299" s="210"/>
      <c r="D7299" s="210"/>
      <c r="E7299" s="210"/>
      <c r="F7299" s="210"/>
      <c r="G7299" s="210"/>
      <c r="H7299" s="210"/>
    </row>
    <row r="7300" spans="3:8" x14ac:dyDescent="0.25">
      <c r="C7300" s="210"/>
      <c r="D7300" s="210"/>
      <c r="E7300" s="210"/>
      <c r="F7300" s="210"/>
      <c r="G7300" s="210"/>
      <c r="H7300" s="210"/>
    </row>
    <row r="7301" spans="3:8" x14ac:dyDescent="0.25">
      <c r="C7301" s="210"/>
      <c r="D7301" s="210"/>
      <c r="E7301" s="210"/>
      <c r="F7301" s="210"/>
      <c r="G7301" s="210"/>
      <c r="H7301" s="210"/>
    </row>
    <row r="7302" spans="3:8" x14ac:dyDescent="0.25">
      <c r="C7302" s="210"/>
      <c r="D7302" s="210"/>
      <c r="E7302" s="210"/>
      <c r="F7302" s="210"/>
      <c r="G7302" s="210"/>
      <c r="H7302" s="210"/>
    </row>
    <row r="7303" spans="3:8" x14ac:dyDescent="0.25">
      <c r="C7303" s="210"/>
      <c r="D7303" s="210"/>
      <c r="E7303" s="210"/>
      <c r="F7303" s="210"/>
      <c r="G7303" s="210"/>
      <c r="H7303" s="210"/>
    </row>
    <row r="7304" spans="3:8" x14ac:dyDescent="0.25">
      <c r="C7304" s="210"/>
      <c r="D7304" s="210"/>
      <c r="E7304" s="210"/>
      <c r="F7304" s="210"/>
      <c r="G7304" s="210"/>
      <c r="H7304" s="210"/>
    </row>
    <row r="7305" spans="3:8" x14ac:dyDescent="0.25">
      <c r="C7305" s="210"/>
      <c r="D7305" s="210"/>
      <c r="E7305" s="210"/>
      <c r="F7305" s="210"/>
      <c r="G7305" s="210"/>
      <c r="H7305" s="210"/>
    </row>
    <row r="7306" spans="3:8" x14ac:dyDescent="0.25">
      <c r="C7306" s="210"/>
      <c r="D7306" s="210"/>
      <c r="E7306" s="210"/>
      <c r="F7306" s="210"/>
      <c r="G7306" s="210"/>
      <c r="H7306" s="210"/>
    </row>
    <row r="7307" spans="3:8" x14ac:dyDescent="0.25">
      <c r="C7307" s="210"/>
      <c r="D7307" s="210"/>
      <c r="E7307" s="210"/>
      <c r="F7307" s="210"/>
      <c r="G7307" s="210"/>
      <c r="H7307" s="210"/>
    </row>
    <row r="7308" spans="3:8" x14ac:dyDescent="0.25">
      <c r="C7308" s="210"/>
      <c r="D7308" s="210"/>
      <c r="E7308" s="210"/>
      <c r="F7308" s="210"/>
      <c r="G7308" s="210"/>
      <c r="H7308" s="210"/>
    </row>
    <row r="7309" spans="3:8" x14ac:dyDescent="0.25">
      <c r="C7309" s="210"/>
      <c r="D7309" s="210"/>
      <c r="E7309" s="210"/>
      <c r="F7309" s="210"/>
      <c r="G7309" s="210"/>
      <c r="H7309" s="210"/>
    </row>
    <row r="7310" spans="3:8" x14ac:dyDescent="0.25">
      <c r="C7310" s="210"/>
      <c r="D7310" s="210"/>
      <c r="E7310" s="210"/>
      <c r="F7310" s="210"/>
      <c r="G7310" s="210"/>
      <c r="H7310" s="210"/>
    </row>
    <row r="7311" spans="3:8" x14ac:dyDescent="0.25">
      <c r="C7311" s="210"/>
      <c r="D7311" s="210"/>
      <c r="E7311" s="210"/>
      <c r="F7311" s="210"/>
      <c r="G7311" s="210"/>
      <c r="H7311" s="210"/>
    </row>
    <row r="7312" spans="3:8" x14ac:dyDescent="0.25">
      <c r="C7312" s="210"/>
      <c r="D7312" s="210"/>
      <c r="E7312" s="210"/>
      <c r="F7312" s="210"/>
      <c r="G7312" s="210"/>
      <c r="H7312" s="210"/>
    </row>
    <row r="7313" spans="3:8" x14ac:dyDescent="0.25">
      <c r="C7313" s="210"/>
      <c r="D7313" s="210"/>
      <c r="E7313" s="210"/>
      <c r="F7313" s="210"/>
      <c r="G7313" s="210"/>
      <c r="H7313" s="210"/>
    </row>
    <row r="7314" spans="3:8" x14ac:dyDescent="0.25">
      <c r="C7314" s="210"/>
      <c r="D7314" s="210"/>
      <c r="E7314" s="210"/>
      <c r="F7314" s="210"/>
      <c r="G7314" s="210"/>
      <c r="H7314" s="210"/>
    </row>
    <row r="7315" spans="3:8" x14ac:dyDescent="0.25">
      <c r="C7315" s="210"/>
      <c r="D7315" s="210"/>
      <c r="E7315" s="210"/>
      <c r="F7315" s="210"/>
      <c r="G7315" s="210"/>
      <c r="H7315" s="210"/>
    </row>
    <row r="7316" spans="3:8" x14ac:dyDescent="0.25">
      <c r="C7316" s="210"/>
      <c r="D7316" s="210"/>
      <c r="E7316" s="210"/>
      <c r="F7316" s="210"/>
      <c r="G7316" s="210"/>
      <c r="H7316" s="210"/>
    </row>
    <row r="7317" spans="3:8" x14ac:dyDescent="0.25">
      <c r="C7317" s="210"/>
      <c r="D7317" s="210"/>
      <c r="E7317" s="210"/>
      <c r="F7317" s="210"/>
      <c r="G7317" s="210"/>
      <c r="H7317" s="210"/>
    </row>
    <row r="7318" spans="3:8" x14ac:dyDescent="0.25">
      <c r="C7318" s="210"/>
      <c r="D7318" s="210"/>
      <c r="E7318" s="210"/>
      <c r="F7318" s="210"/>
      <c r="G7318" s="210"/>
      <c r="H7318" s="210"/>
    </row>
    <row r="7319" spans="3:8" x14ac:dyDescent="0.25">
      <c r="C7319" s="210"/>
      <c r="D7319" s="210"/>
      <c r="E7319" s="210"/>
      <c r="F7319" s="210"/>
      <c r="G7319" s="210"/>
      <c r="H7319" s="210"/>
    </row>
    <row r="7320" spans="3:8" x14ac:dyDescent="0.25">
      <c r="C7320" s="210"/>
      <c r="D7320" s="210"/>
      <c r="E7320" s="210"/>
      <c r="F7320" s="210"/>
      <c r="G7320" s="210"/>
      <c r="H7320" s="210"/>
    </row>
    <row r="7321" spans="3:8" x14ac:dyDescent="0.25">
      <c r="C7321" s="210"/>
      <c r="D7321" s="210"/>
      <c r="E7321" s="210"/>
      <c r="F7321" s="210"/>
      <c r="G7321" s="210"/>
      <c r="H7321" s="210"/>
    </row>
    <row r="7322" spans="3:8" x14ac:dyDescent="0.25">
      <c r="C7322" s="210"/>
      <c r="D7322" s="210"/>
      <c r="E7322" s="210"/>
      <c r="F7322" s="210"/>
      <c r="G7322" s="210"/>
      <c r="H7322" s="210"/>
    </row>
    <row r="7323" spans="3:8" x14ac:dyDescent="0.25">
      <c r="C7323" s="210"/>
      <c r="D7323" s="210"/>
      <c r="E7323" s="210"/>
      <c r="F7323" s="210"/>
      <c r="G7323" s="210"/>
      <c r="H7323" s="210"/>
    </row>
    <row r="7324" spans="3:8" x14ac:dyDescent="0.25">
      <c r="C7324" s="210"/>
      <c r="D7324" s="210"/>
      <c r="E7324" s="210"/>
      <c r="F7324" s="210"/>
      <c r="G7324" s="210"/>
      <c r="H7324" s="210"/>
    </row>
    <row r="7325" spans="3:8" x14ac:dyDescent="0.25">
      <c r="C7325" s="210"/>
      <c r="D7325" s="210"/>
      <c r="E7325" s="210"/>
      <c r="F7325" s="210"/>
      <c r="G7325" s="210"/>
      <c r="H7325" s="210"/>
    </row>
    <row r="7326" spans="3:8" x14ac:dyDescent="0.25">
      <c r="C7326" s="210"/>
      <c r="D7326" s="210"/>
      <c r="E7326" s="210"/>
      <c r="F7326" s="210"/>
      <c r="G7326" s="210"/>
      <c r="H7326" s="210"/>
    </row>
    <row r="7327" spans="3:8" x14ac:dyDescent="0.25">
      <c r="C7327" s="210"/>
      <c r="D7327" s="210"/>
      <c r="E7327" s="210"/>
      <c r="F7327" s="210"/>
      <c r="G7327" s="210"/>
      <c r="H7327" s="210"/>
    </row>
    <row r="7328" spans="3:8" x14ac:dyDescent="0.25">
      <c r="C7328" s="210"/>
      <c r="D7328" s="210"/>
      <c r="E7328" s="210"/>
      <c r="F7328" s="210"/>
      <c r="G7328" s="210"/>
      <c r="H7328" s="210"/>
    </row>
    <row r="7329" spans="3:8" x14ac:dyDescent="0.25">
      <c r="C7329" s="210"/>
      <c r="D7329" s="210"/>
      <c r="E7329" s="210"/>
      <c r="F7329" s="210"/>
      <c r="G7329" s="210"/>
      <c r="H7329" s="210"/>
    </row>
    <row r="7330" spans="3:8" x14ac:dyDescent="0.25">
      <c r="C7330" s="210"/>
      <c r="D7330" s="210"/>
      <c r="E7330" s="210"/>
      <c r="F7330" s="210"/>
      <c r="G7330" s="210"/>
      <c r="H7330" s="210"/>
    </row>
    <row r="7331" spans="3:8" x14ac:dyDescent="0.25">
      <c r="C7331" s="210"/>
      <c r="D7331" s="210"/>
      <c r="E7331" s="210"/>
      <c r="F7331" s="210"/>
      <c r="G7331" s="210"/>
      <c r="H7331" s="210"/>
    </row>
    <row r="7332" spans="3:8" x14ac:dyDescent="0.25">
      <c r="C7332" s="210"/>
      <c r="D7332" s="210"/>
      <c r="E7332" s="210"/>
      <c r="F7332" s="210"/>
      <c r="G7332" s="210"/>
      <c r="H7332" s="210"/>
    </row>
    <row r="7333" spans="3:8" x14ac:dyDescent="0.25">
      <c r="C7333" s="210"/>
      <c r="D7333" s="210"/>
      <c r="E7333" s="210"/>
      <c r="F7333" s="210"/>
      <c r="G7333" s="210"/>
      <c r="H7333" s="210"/>
    </row>
    <row r="7334" spans="3:8" x14ac:dyDescent="0.25">
      <c r="C7334" s="210"/>
      <c r="D7334" s="210"/>
      <c r="E7334" s="210"/>
      <c r="F7334" s="210"/>
      <c r="G7334" s="210"/>
      <c r="H7334" s="210"/>
    </row>
    <row r="7335" spans="3:8" x14ac:dyDescent="0.25">
      <c r="C7335" s="210"/>
      <c r="D7335" s="210"/>
      <c r="E7335" s="210"/>
      <c r="F7335" s="210"/>
      <c r="G7335" s="210"/>
      <c r="H7335" s="210"/>
    </row>
    <row r="7336" spans="3:8" x14ac:dyDescent="0.25">
      <c r="C7336" s="210"/>
      <c r="D7336" s="210"/>
      <c r="E7336" s="210"/>
      <c r="F7336" s="210"/>
      <c r="G7336" s="210"/>
      <c r="H7336" s="210"/>
    </row>
    <row r="7337" spans="3:8" x14ac:dyDescent="0.25">
      <c r="C7337" s="210"/>
      <c r="D7337" s="210"/>
      <c r="E7337" s="210"/>
      <c r="F7337" s="210"/>
      <c r="G7337" s="210"/>
      <c r="H7337" s="210"/>
    </row>
    <row r="7338" spans="3:8" x14ac:dyDescent="0.25">
      <c r="C7338" s="210"/>
      <c r="D7338" s="210"/>
      <c r="E7338" s="210"/>
      <c r="F7338" s="210"/>
      <c r="G7338" s="210"/>
      <c r="H7338" s="210"/>
    </row>
    <row r="7339" spans="3:8" x14ac:dyDescent="0.25">
      <c r="C7339" s="210"/>
      <c r="D7339" s="210"/>
      <c r="E7339" s="210"/>
      <c r="F7339" s="210"/>
      <c r="G7339" s="210"/>
      <c r="H7339" s="210"/>
    </row>
    <row r="7340" spans="3:8" x14ac:dyDescent="0.25">
      <c r="C7340" s="210"/>
      <c r="D7340" s="210"/>
      <c r="E7340" s="210"/>
      <c r="F7340" s="210"/>
      <c r="G7340" s="210"/>
      <c r="H7340" s="210"/>
    </row>
    <row r="7341" spans="3:8" x14ac:dyDescent="0.25">
      <c r="C7341" s="210"/>
      <c r="D7341" s="210"/>
      <c r="E7341" s="210"/>
      <c r="F7341" s="210"/>
      <c r="G7341" s="210"/>
      <c r="H7341" s="210"/>
    </row>
    <row r="7342" spans="3:8" x14ac:dyDescent="0.25">
      <c r="C7342" s="210"/>
      <c r="D7342" s="210"/>
      <c r="E7342" s="210"/>
      <c r="F7342" s="210"/>
      <c r="G7342" s="210"/>
      <c r="H7342" s="210"/>
    </row>
    <row r="7343" spans="3:8" x14ac:dyDescent="0.25">
      <c r="C7343" s="210"/>
      <c r="D7343" s="210"/>
      <c r="E7343" s="210"/>
      <c r="F7343" s="210"/>
      <c r="G7343" s="210"/>
      <c r="H7343" s="210"/>
    </row>
    <row r="7344" spans="3:8" x14ac:dyDescent="0.25">
      <c r="C7344" s="210"/>
      <c r="D7344" s="210"/>
      <c r="E7344" s="210"/>
      <c r="F7344" s="210"/>
      <c r="G7344" s="210"/>
      <c r="H7344" s="210"/>
    </row>
    <row r="7345" spans="3:8" x14ac:dyDescent="0.25">
      <c r="C7345" s="210"/>
      <c r="D7345" s="210"/>
      <c r="E7345" s="210"/>
      <c r="F7345" s="210"/>
      <c r="G7345" s="210"/>
      <c r="H7345" s="210"/>
    </row>
    <row r="7346" spans="3:8" x14ac:dyDescent="0.25">
      <c r="C7346" s="210"/>
      <c r="D7346" s="210"/>
      <c r="E7346" s="210"/>
      <c r="F7346" s="210"/>
      <c r="G7346" s="210"/>
      <c r="H7346" s="210"/>
    </row>
    <row r="7347" spans="3:8" x14ac:dyDescent="0.25">
      <c r="C7347" s="210"/>
      <c r="D7347" s="210"/>
      <c r="E7347" s="210"/>
      <c r="F7347" s="210"/>
      <c r="G7347" s="210"/>
      <c r="H7347" s="210"/>
    </row>
    <row r="7348" spans="3:8" x14ac:dyDescent="0.25">
      <c r="C7348" s="210"/>
      <c r="D7348" s="210"/>
      <c r="E7348" s="210"/>
      <c r="F7348" s="210"/>
      <c r="G7348" s="210"/>
      <c r="H7348" s="210"/>
    </row>
    <row r="7349" spans="3:8" x14ac:dyDescent="0.25">
      <c r="C7349" s="210"/>
      <c r="D7349" s="210"/>
      <c r="E7349" s="210"/>
      <c r="F7349" s="210"/>
      <c r="G7349" s="210"/>
      <c r="H7349" s="210"/>
    </row>
    <row r="7350" spans="3:8" x14ac:dyDescent="0.25">
      <c r="C7350" s="210"/>
      <c r="D7350" s="210"/>
      <c r="E7350" s="210"/>
      <c r="F7350" s="210"/>
      <c r="G7350" s="210"/>
      <c r="H7350" s="210"/>
    </row>
    <row r="7351" spans="3:8" x14ac:dyDescent="0.25">
      <c r="C7351" s="210"/>
      <c r="D7351" s="210"/>
      <c r="E7351" s="210"/>
      <c r="F7351" s="210"/>
      <c r="G7351" s="210"/>
      <c r="H7351" s="210"/>
    </row>
    <row r="7352" spans="3:8" x14ac:dyDescent="0.25">
      <c r="C7352" s="210"/>
      <c r="D7352" s="210"/>
      <c r="E7352" s="210"/>
      <c r="F7352" s="210"/>
      <c r="G7352" s="210"/>
      <c r="H7352" s="210"/>
    </row>
    <row r="7353" spans="3:8" x14ac:dyDescent="0.25">
      <c r="C7353" s="210"/>
      <c r="D7353" s="210"/>
      <c r="E7353" s="210"/>
      <c r="F7353" s="210"/>
      <c r="G7353" s="210"/>
      <c r="H7353" s="210"/>
    </row>
    <row r="7354" spans="3:8" x14ac:dyDescent="0.25">
      <c r="C7354" s="210"/>
      <c r="D7354" s="210"/>
      <c r="E7354" s="210"/>
      <c r="F7354" s="210"/>
      <c r="G7354" s="210"/>
      <c r="H7354" s="210"/>
    </row>
    <row r="7355" spans="3:8" x14ac:dyDescent="0.25">
      <c r="C7355" s="210"/>
      <c r="D7355" s="210"/>
      <c r="E7355" s="210"/>
      <c r="F7355" s="210"/>
      <c r="G7355" s="210"/>
      <c r="H7355" s="210"/>
    </row>
    <row r="7356" spans="3:8" x14ac:dyDescent="0.25">
      <c r="C7356" s="210"/>
      <c r="D7356" s="210"/>
      <c r="E7356" s="210"/>
      <c r="F7356" s="210"/>
      <c r="G7356" s="210"/>
      <c r="H7356" s="210"/>
    </row>
    <row r="7357" spans="3:8" x14ac:dyDescent="0.25">
      <c r="C7357" s="210"/>
      <c r="D7357" s="210"/>
      <c r="E7357" s="210"/>
      <c r="F7357" s="210"/>
      <c r="G7357" s="210"/>
      <c r="H7357" s="210"/>
    </row>
    <row r="7358" spans="3:8" x14ac:dyDescent="0.25">
      <c r="C7358" s="210"/>
      <c r="D7358" s="210"/>
      <c r="E7358" s="210"/>
      <c r="F7358" s="210"/>
      <c r="G7358" s="210"/>
      <c r="H7358" s="210"/>
    </row>
    <row r="7359" spans="3:8" x14ac:dyDescent="0.25">
      <c r="C7359" s="210"/>
      <c r="D7359" s="210"/>
      <c r="E7359" s="210"/>
      <c r="F7359" s="210"/>
      <c r="G7359" s="210"/>
      <c r="H7359" s="210"/>
    </row>
    <row r="7360" spans="3:8" x14ac:dyDescent="0.25">
      <c r="C7360" s="210"/>
      <c r="D7360" s="210"/>
      <c r="E7360" s="210"/>
      <c r="F7360" s="210"/>
      <c r="G7360" s="210"/>
      <c r="H7360" s="210"/>
    </row>
    <row r="7361" spans="3:8" x14ac:dyDescent="0.25">
      <c r="C7361" s="210"/>
      <c r="D7361" s="210"/>
      <c r="E7361" s="210"/>
      <c r="F7361" s="210"/>
      <c r="G7361" s="210"/>
      <c r="H7361" s="210"/>
    </row>
    <row r="7362" spans="3:8" x14ac:dyDescent="0.25">
      <c r="C7362" s="210"/>
      <c r="D7362" s="210"/>
      <c r="E7362" s="210"/>
      <c r="F7362" s="210"/>
      <c r="G7362" s="210"/>
      <c r="H7362" s="210"/>
    </row>
    <row r="7363" spans="3:8" x14ac:dyDescent="0.25">
      <c r="C7363" s="210"/>
      <c r="D7363" s="210"/>
      <c r="E7363" s="210"/>
      <c r="F7363" s="210"/>
      <c r="G7363" s="210"/>
      <c r="H7363" s="210"/>
    </row>
    <row r="7364" spans="3:8" x14ac:dyDescent="0.25">
      <c r="C7364" s="210"/>
      <c r="D7364" s="210"/>
      <c r="E7364" s="210"/>
      <c r="F7364" s="210"/>
      <c r="G7364" s="210"/>
      <c r="H7364" s="210"/>
    </row>
    <row r="7365" spans="3:8" x14ac:dyDescent="0.25">
      <c r="C7365" s="210"/>
      <c r="D7365" s="210"/>
      <c r="E7365" s="210"/>
      <c r="F7365" s="210"/>
      <c r="G7365" s="210"/>
      <c r="H7365" s="210"/>
    </row>
    <row r="7366" spans="3:8" x14ac:dyDescent="0.25">
      <c r="C7366" s="210"/>
      <c r="D7366" s="210"/>
      <c r="E7366" s="210"/>
      <c r="F7366" s="210"/>
      <c r="G7366" s="210"/>
      <c r="H7366" s="210"/>
    </row>
    <row r="7367" spans="3:8" x14ac:dyDescent="0.25">
      <c r="C7367" s="210"/>
      <c r="D7367" s="210"/>
      <c r="E7367" s="210"/>
      <c r="F7367" s="210"/>
      <c r="G7367" s="210"/>
      <c r="H7367" s="210"/>
    </row>
    <row r="7368" spans="3:8" x14ac:dyDescent="0.25">
      <c r="C7368" s="210"/>
      <c r="D7368" s="210"/>
      <c r="E7368" s="210"/>
      <c r="F7368" s="210"/>
      <c r="G7368" s="210"/>
      <c r="H7368" s="210"/>
    </row>
    <row r="7369" spans="3:8" x14ac:dyDescent="0.25">
      <c r="C7369" s="210"/>
      <c r="D7369" s="210"/>
      <c r="E7369" s="210"/>
      <c r="F7369" s="210"/>
      <c r="G7369" s="210"/>
      <c r="H7369" s="210"/>
    </row>
    <row r="7370" spans="3:8" x14ac:dyDescent="0.25">
      <c r="C7370" s="210"/>
      <c r="D7370" s="210"/>
      <c r="E7370" s="210"/>
      <c r="F7370" s="210"/>
      <c r="G7370" s="210"/>
      <c r="H7370" s="210"/>
    </row>
    <row r="7371" spans="3:8" x14ac:dyDescent="0.25">
      <c r="C7371" s="210"/>
      <c r="D7371" s="210"/>
      <c r="E7371" s="210"/>
      <c r="F7371" s="210"/>
      <c r="G7371" s="210"/>
      <c r="H7371" s="210"/>
    </row>
    <row r="7372" spans="3:8" x14ac:dyDescent="0.25">
      <c r="C7372" s="210"/>
      <c r="D7372" s="210"/>
      <c r="E7372" s="210"/>
      <c r="F7372" s="210"/>
      <c r="G7372" s="210"/>
      <c r="H7372" s="210"/>
    </row>
    <row r="7373" spans="3:8" x14ac:dyDescent="0.25">
      <c r="C7373" s="210"/>
      <c r="D7373" s="210"/>
      <c r="E7373" s="210"/>
      <c r="F7373" s="210"/>
      <c r="G7373" s="210"/>
      <c r="H7373" s="210"/>
    </row>
    <row r="7374" spans="3:8" x14ac:dyDescent="0.25">
      <c r="C7374" s="210"/>
      <c r="D7374" s="210"/>
      <c r="E7374" s="210"/>
      <c r="F7374" s="210"/>
      <c r="G7374" s="210"/>
      <c r="H7374" s="210"/>
    </row>
    <row r="7375" spans="3:8" x14ac:dyDescent="0.25">
      <c r="C7375" s="210"/>
      <c r="D7375" s="210"/>
      <c r="E7375" s="210"/>
      <c r="F7375" s="210"/>
      <c r="G7375" s="210"/>
      <c r="H7375" s="210"/>
    </row>
    <row r="7376" spans="3:8" x14ac:dyDescent="0.25">
      <c r="C7376" s="210"/>
      <c r="D7376" s="210"/>
      <c r="E7376" s="210"/>
      <c r="F7376" s="210"/>
      <c r="G7376" s="210"/>
      <c r="H7376" s="210"/>
    </row>
    <row r="7377" spans="3:8" x14ac:dyDescent="0.25">
      <c r="C7377" s="210"/>
      <c r="D7377" s="210"/>
      <c r="E7377" s="210"/>
      <c r="F7377" s="210"/>
      <c r="G7377" s="210"/>
      <c r="H7377" s="210"/>
    </row>
    <row r="7378" spans="3:8" x14ac:dyDescent="0.25">
      <c r="C7378" s="210"/>
      <c r="D7378" s="210"/>
      <c r="E7378" s="210"/>
      <c r="F7378" s="210"/>
      <c r="G7378" s="210"/>
      <c r="H7378" s="210"/>
    </row>
    <row r="7379" spans="3:8" x14ac:dyDescent="0.25">
      <c r="C7379" s="210"/>
      <c r="D7379" s="210"/>
      <c r="E7379" s="210"/>
      <c r="F7379" s="210"/>
      <c r="G7379" s="210"/>
      <c r="H7379" s="210"/>
    </row>
    <row r="7380" spans="3:8" x14ac:dyDescent="0.25">
      <c r="C7380" s="210"/>
      <c r="D7380" s="210"/>
      <c r="E7380" s="210"/>
      <c r="F7380" s="210"/>
      <c r="G7380" s="210"/>
      <c r="H7380" s="210"/>
    </row>
    <row r="7381" spans="3:8" x14ac:dyDescent="0.25">
      <c r="C7381" s="210"/>
      <c r="D7381" s="210"/>
      <c r="E7381" s="210"/>
      <c r="F7381" s="210"/>
      <c r="G7381" s="210"/>
      <c r="H7381" s="210"/>
    </row>
    <row r="7382" spans="3:8" x14ac:dyDescent="0.25">
      <c r="C7382" s="210"/>
      <c r="D7382" s="210"/>
      <c r="E7382" s="210"/>
      <c r="F7382" s="210"/>
      <c r="G7382" s="210"/>
      <c r="H7382" s="210"/>
    </row>
    <row r="7383" spans="3:8" x14ac:dyDescent="0.25">
      <c r="C7383" s="210"/>
      <c r="D7383" s="210"/>
      <c r="E7383" s="210"/>
      <c r="F7383" s="210"/>
      <c r="G7383" s="210"/>
      <c r="H7383" s="210"/>
    </row>
    <row r="7384" spans="3:8" x14ac:dyDescent="0.25">
      <c r="C7384" s="210"/>
      <c r="D7384" s="210"/>
      <c r="E7384" s="210"/>
      <c r="F7384" s="210"/>
      <c r="G7384" s="210"/>
      <c r="H7384" s="210"/>
    </row>
    <row r="7385" spans="3:8" x14ac:dyDescent="0.25">
      <c r="C7385" s="210"/>
      <c r="D7385" s="210"/>
      <c r="E7385" s="210"/>
      <c r="F7385" s="210"/>
      <c r="G7385" s="210"/>
      <c r="H7385" s="210"/>
    </row>
    <row r="7386" spans="3:8" x14ac:dyDescent="0.25">
      <c r="C7386" s="210"/>
      <c r="D7386" s="210"/>
      <c r="E7386" s="210"/>
      <c r="F7386" s="210"/>
      <c r="G7386" s="210"/>
      <c r="H7386" s="210"/>
    </row>
    <row r="7387" spans="3:8" x14ac:dyDescent="0.25">
      <c r="C7387" s="210"/>
      <c r="D7387" s="210"/>
      <c r="E7387" s="210"/>
      <c r="F7387" s="210"/>
      <c r="G7387" s="210"/>
      <c r="H7387" s="210"/>
    </row>
    <row r="7388" spans="3:8" x14ac:dyDescent="0.25">
      <c r="C7388" s="210"/>
      <c r="D7388" s="210"/>
      <c r="E7388" s="210"/>
      <c r="F7388" s="210"/>
      <c r="G7388" s="210"/>
      <c r="H7388" s="210"/>
    </row>
    <row r="7389" spans="3:8" x14ac:dyDescent="0.25">
      <c r="C7389" s="210"/>
      <c r="D7389" s="210"/>
      <c r="E7389" s="210"/>
      <c r="F7389" s="210"/>
      <c r="G7389" s="210"/>
      <c r="H7389" s="210"/>
    </row>
    <row r="7390" spans="3:8" x14ac:dyDescent="0.25">
      <c r="C7390" s="210"/>
      <c r="D7390" s="210"/>
      <c r="E7390" s="210"/>
      <c r="F7390" s="210"/>
      <c r="G7390" s="210"/>
      <c r="H7390" s="210"/>
    </row>
    <row r="7391" spans="3:8" x14ac:dyDescent="0.25">
      <c r="C7391" s="210"/>
      <c r="D7391" s="210"/>
      <c r="E7391" s="210"/>
      <c r="F7391" s="210"/>
      <c r="G7391" s="210"/>
      <c r="H7391" s="210"/>
    </row>
    <row r="7392" spans="3:8" x14ac:dyDescent="0.25">
      <c r="C7392" s="210"/>
      <c r="D7392" s="210"/>
      <c r="E7392" s="210"/>
      <c r="F7392" s="210"/>
      <c r="G7392" s="210"/>
      <c r="H7392" s="210"/>
    </row>
    <row r="7393" spans="3:8" x14ac:dyDescent="0.25">
      <c r="C7393" s="210"/>
      <c r="D7393" s="210"/>
      <c r="E7393" s="210"/>
      <c r="F7393" s="210"/>
      <c r="G7393" s="210"/>
      <c r="H7393" s="210"/>
    </row>
    <row r="7394" spans="3:8" x14ac:dyDescent="0.25">
      <c r="C7394" s="210"/>
      <c r="D7394" s="210"/>
      <c r="E7394" s="210"/>
      <c r="F7394" s="210"/>
      <c r="G7394" s="210"/>
      <c r="H7394" s="210"/>
    </row>
    <row r="7395" spans="3:8" x14ac:dyDescent="0.25">
      <c r="C7395" s="210"/>
      <c r="D7395" s="210"/>
      <c r="E7395" s="210"/>
      <c r="F7395" s="210"/>
      <c r="G7395" s="210"/>
      <c r="H7395" s="210"/>
    </row>
    <row r="7396" spans="3:8" x14ac:dyDescent="0.25">
      <c r="C7396" s="210"/>
      <c r="D7396" s="210"/>
      <c r="E7396" s="210"/>
      <c r="F7396" s="210"/>
      <c r="G7396" s="210"/>
      <c r="H7396" s="210"/>
    </row>
    <row r="7397" spans="3:8" x14ac:dyDescent="0.25">
      <c r="C7397" s="210"/>
      <c r="D7397" s="210"/>
      <c r="E7397" s="210"/>
      <c r="F7397" s="210"/>
      <c r="G7397" s="210"/>
      <c r="H7397" s="210"/>
    </row>
    <row r="7398" spans="3:8" x14ac:dyDescent="0.25">
      <c r="C7398" s="210"/>
      <c r="D7398" s="210"/>
      <c r="E7398" s="210"/>
      <c r="F7398" s="210"/>
      <c r="G7398" s="210"/>
      <c r="H7398" s="210"/>
    </row>
    <row r="7399" spans="3:8" x14ac:dyDescent="0.25">
      <c r="C7399" s="210"/>
      <c r="D7399" s="210"/>
      <c r="E7399" s="210"/>
      <c r="F7399" s="210"/>
      <c r="G7399" s="210"/>
      <c r="H7399" s="210"/>
    </row>
    <row r="7400" spans="3:8" x14ac:dyDescent="0.25">
      <c r="C7400" s="210"/>
      <c r="D7400" s="210"/>
      <c r="E7400" s="210"/>
      <c r="F7400" s="210"/>
      <c r="G7400" s="210"/>
      <c r="H7400" s="210"/>
    </row>
    <row r="7401" spans="3:8" x14ac:dyDescent="0.25">
      <c r="C7401" s="210"/>
      <c r="D7401" s="210"/>
      <c r="E7401" s="210"/>
      <c r="F7401" s="210"/>
      <c r="G7401" s="210"/>
      <c r="H7401" s="210"/>
    </row>
    <row r="7402" spans="3:8" x14ac:dyDescent="0.25">
      <c r="C7402" s="210"/>
      <c r="D7402" s="210"/>
      <c r="E7402" s="210"/>
      <c r="F7402" s="210"/>
      <c r="G7402" s="210"/>
      <c r="H7402" s="210"/>
    </row>
    <row r="7403" spans="3:8" x14ac:dyDescent="0.25">
      <c r="C7403" s="210"/>
      <c r="D7403" s="210"/>
      <c r="E7403" s="210"/>
      <c r="F7403" s="210"/>
      <c r="G7403" s="210"/>
      <c r="H7403" s="210"/>
    </row>
    <row r="7404" spans="3:8" x14ac:dyDescent="0.25">
      <c r="C7404" s="210"/>
      <c r="D7404" s="210"/>
      <c r="E7404" s="210"/>
      <c r="F7404" s="210"/>
      <c r="G7404" s="210"/>
      <c r="H7404" s="210"/>
    </row>
    <row r="7405" spans="3:8" x14ac:dyDescent="0.25">
      <c r="C7405" s="210"/>
      <c r="D7405" s="210"/>
      <c r="E7405" s="210"/>
      <c r="F7405" s="210"/>
      <c r="G7405" s="210"/>
      <c r="H7405" s="210"/>
    </row>
    <row r="7406" spans="3:8" x14ac:dyDescent="0.25">
      <c r="C7406" s="210"/>
      <c r="D7406" s="210"/>
      <c r="E7406" s="210"/>
      <c r="F7406" s="210"/>
      <c r="G7406" s="210"/>
      <c r="H7406" s="210"/>
    </row>
    <row r="7407" spans="3:8" x14ac:dyDescent="0.25">
      <c r="C7407" s="210"/>
      <c r="D7407" s="210"/>
      <c r="E7407" s="210"/>
      <c r="F7407" s="210"/>
      <c r="G7407" s="210"/>
      <c r="H7407" s="210"/>
    </row>
    <row r="7408" spans="3:8" x14ac:dyDescent="0.25">
      <c r="C7408" s="210"/>
      <c r="D7408" s="210"/>
      <c r="E7408" s="210"/>
      <c r="F7408" s="210"/>
      <c r="G7408" s="210"/>
      <c r="H7408" s="210"/>
    </row>
    <row r="7409" spans="3:8" x14ac:dyDescent="0.25">
      <c r="C7409" s="210"/>
      <c r="D7409" s="210"/>
      <c r="E7409" s="210"/>
      <c r="F7409" s="210"/>
      <c r="G7409" s="210"/>
      <c r="H7409" s="210"/>
    </row>
    <row r="7410" spans="3:8" x14ac:dyDescent="0.25">
      <c r="C7410" s="210"/>
      <c r="D7410" s="210"/>
      <c r="E7410" s="210"/>
      <c r="F7410" s="210"/>
      <c r="G7410" s="210"/>
      <c r="H7410" s="210"/>
    </row>
    <row r="7411" spans="3:8" x14ac:dyDescent="0.25">
      <c r="C7411" s="210"/>
      <c r="D7411" s="210"/>
      <c r="E7411" s="210"/>
      <c r="F7411" s="210"/>
      <c r="G7411" s="210"/>
      <c r="H7411" s="210"/>
    </row>
    <row r="7412" spans="3:8" x14ac:dyDescent="0.25">
      <c r="C7412" s="210"/>
      <c r="D7412" s="210"/>
      <c r="E7412" s="210"/>
      <c r="F7412" s="210"/>
      <c r="G7412" s="210"/>
      <c r="H7412" s="210"/>
    </row>
    <row r="7413" spans="3:8" x14ac:dyDescent="0.25">
      <c r="C7413" s="210"/>
      <c r="D7413" s="210"/>
      <c r="E7413" s="210"/>
      <c r="F7413" s="210"/>
      <c r="G7413" s="210"/>
      <c r="H7413" s="210"/>
    </row>
    <row r="7414" spans="3:8" x14ac:dyDescent="0.25">
      <c r="C7414" s="210"/>
      <c r="D7414" s="210"/>
      <c r="E7414" s="210"/>
      <c r="F7414" s="210"/>
      <c r="G7414" s="210"/>
      <c r="H7414" s="210"/>
    </row>
    <row r="7415" spans="3:8" x14ac:dyDescent="0.25">
      <c r="C7415" s="210"/>
      <c r="D7415" s="210"/>
      <c r="E7415" s="210"/>
      <c r="F7415" s="210"/>
      <c r="G7415" s="210"/>
      <c r="H7415" s="210"/>
    </row>
    <row r="7416" spans="3:8" x14ac:dyDescent="0.25">
      <c r="C7416" s="210"/>
      <c r="D7416" s="210"/>
      <c r="E7416" s="210"/>
      <c r="F7416" s="210"/>
      <c r="G7416" s="210"/>
      <c r="H7416" s="210"/>
    </row>
    <row r="7417" spans="3:8" x14ac:dyDescent="0.25">
      <c r="C7417" s="210"/>
      <c r="D7417" s="210"/>
      <c r="E7417" s="210"/>
      <c r="F7417" s="210"/>
      <c r="G7417" s="210"/>
      <c r="H7417" s="210"/>
    </row>
    <row r="7418" spans="3:8" x14ac:dyDescent="0.25">
      <c r="C7418" s="210"/>
      <c r="D7418" s="210"/>
      <c r="E7418" s="210"/>
      <c r="F7418" s="210"/>
      <c r="G7418" s="210"/>
      <c r="H7418" s="210"/>
    </row>
    <row r="7419" spans="3:8" x14ac:dyDescent="0.25">
      <c r="C7419" s="210"/>
      <c r="D7419" s="210"/>
      <c r="E7419" s="210"/>
      <c r="F7419" s="210"/>
      <c r="G7419" s="210"/>
      <c r="H7419" s="210"/>
    </row>
    <row r="7420" spans="3:8" x14ac:dyDescent="0.25">
      <c r="C7420" s="210"/>
      <c r="D7420" s="210"/>
      <c r="E7420" s="210"/>
      <c r="F7420" s="210"/>
      <c r="G7420" s="210"/>
      <c r="H7420" s="210"/>
    </row>
    <row r="7421" spans="3:8" x14ac:dyDescent="0.25">
      <c r="C7421" s="210"/>
      <c r="D7421" s="210"/>
      <c r="E7421" s="210"/>
      <c r="F7421" s="210"/>
      <c r="G7421" s="210"/>
      <c r="H7421" s="210"/>
    </row>
    <row r="7422" spans="3:8" x14ac:dyDescent="0.25">
      <c r="C7422" s="210"/>
      <c r="D7422" s="210"/>
      <c r="E7422" s="210"/>
      <c r="F7422" s="210"/>
      <c r="G7422" s="210"/>
      <c r="H7422" s="210"/>
    </row>
    <row r="7423" spans="3:8" x14ac:dyDescent="0.25">
      <c r="C7423" s="210"/>
      <c r="D7423" s="210"/>
      <c r="E7423" s="210"/>
      <c r="F7423" s="210"/>
      <c r="G7423" s="210"/>
      <c r="H7423" s="210"/>
    </row>
    <row r="7424" spans="3:8" x14ac:dyDescent="0.25">
      <c r="C7424" s="210"/>
      <c r="D7424" s="210"/>
      <c r="E7424" s="210"/>
      <c r="F7424" s="210"/>
      <c r="G7424" s="210"/>
      <c r="H7424" s="210"/>
    </row>
    <row r="7425" spans="3:8" x14ac:dyDescent="0.25">
      <c r="C7425" s="210"/>
      <c r="D7425" s="210"/>
      <c r="E7425" s="210"/>
      <c r="F7425" s="210"/>
      <c r="G7425" s="210"/>
      <c r="H7425" s="210"/>
    </row>
    <row r="7426" spans="3:8" x14ac:dyDescent="0.25">
      <c r="C7426" s="210"/>
      <c r="D7426" s="210"/>
      <c r="E7426" s="210"/>
      <c r="F7426" s="210"/>
      <c r="G7426" s="210"/>
      <c r="H7426" s="210"/>
    </row>
    <row r="7427" spans="3:8" x14ac:dyDescent="0.25">
      <c r="C7427" s="210"/>
      <c r="D7427" s="210"/>
      <c r="E7427" s="210"/>
      <c r="F7427" s="210"/>
      <c r="G7427" s="210"/>
      <c r="H7427" s="210"/>
    </row>
    <row r="7428" spans="3:8" x14ac:dyDescent="0.25">
      <c r="C7428" s="210"/>
      <c r="D7428" s="210"/>
      <c r="E7428" s="210"/>
      <c r="F7428" s="210"/>
      <c r="G7428" s="210"/>
      <c r="H7428" s="210"/>
    </row>
    <row r="7429" spans="3:8" x14ac:dyDescent="0.25">
      <c r="C7429" s="210"/>
      <c r="D7429" s="210"/>
      <c r="E7429" s="210"/>
      <c r="F7429" s="210"/>
      <c r="G7429" s="210"/>
      <c r="H7429" s="210"/>
    </row>
    <row r="7430" spans="3:8" x14ac:dyDescent="0.25">
      <c r="C7430" s="210"/>
      <c r="D7430" s="210"/>
      <c r="E7430" s="210"/>
      <c r="F7430" s="210"/>
      <c r="G7430" s="210"/>
      <c r="H7430" s="210"/>
    </row>
    <row r="7431" spans="3:8" x14ac:dyDescent="0.25">
      <c r="C7431" s="210"/>
      <c r="D7431" s="210"/>
      <c r="E7431" s="210"/>
      <c r="F7431" s="210"/>
      <c r="G7431" s="210"/>
      <c r="H7431" s="210"/>
    </row>
    <row r="7432" spans="3:8" x14ac:dyDescent="0.25">
      <c r="C7432" s="210"/>
      <c r="D7432" s="210"/>
      <c r="E7432" s="210"/>
      <c r="F7432" s="210"/>
      <c r="G7432" s="210"/>
      <c r="H7432" s="210"/>
    </row>
    <row r="7433" spans="3:8" x14ac:dyDescent="0.25">
      <c r="C7433" s="210"/>
      <c r="D7433" s="210"/>
      <c r="E7433" s="210"/>
      <c r="F7433" s="210"/>
      <c r="G7433" s="210"/>
      <c r="H7433" s="210"/>
    </row>
    <row r="7434" spans="3:8" x14ac:dyDescent="0.25">
      <c r="C7434" s="210"/>
      <c r="D7434" s="210"/>
      <c r="E7434" s="210"/>
      <c r="F7434" s="210"/>
      <c r="G7434" s="210"/>
      <c r="H7434" s="210"/>
    </row>
    <row r="7435" spans="3:8" x14ac:dyDescent="0.25">
      <c r="C7435" s="210"/>
      <c r="D7435" s="210"/>
      <c r="E7435" s="210"/>
      <c r="F7435" s="210"/>
      <c r="G7435" s="210"/>
      <c r="H7435" s="210"/>
    </row>
    <row r="7436" spans="3:8" x14ac:dyDescent="0.25">
      <c r="C7436" s="210"/>
      <c r="D7436" s="210"/>
      <c r="E7436" s="210"/>
      <c r="F7436" s="210"/>
      <c r="G7436" s="210"/>
      <c r="H7436" s="210"/>
    </row>
    <row r="7437" spans="3:8" x14ac:dyDescent="0.25">
      <c r="C7437" s="210"/>
      <c r="D7437" s="210"/>
      <c r="E7437" s="210"/>
      <c r="F7437" s="210"/>
      <c r="G7437" s="210"/>
      <c r="H7437" s="210"/>
    </row>
    <row r="7438" spans="3:8" x14ac:dyDescent="0.25">
      <c r="C7438" s="210"/>
      <c r="D7438" s="210"/>
      <c r="E7438" s="210"/>
      <c r="F7438" s="210"/>
      <c r="G7438" s="210"/>
      <c r="H7438" s="210"/>
    </row>
    <row r="7439" spans="3:8" x14ac:dyDescent="0.25">
      <c r="C7439" s="210"/>
      <c r="D7439" s="210"/>
      <c r="E7439" s="210"/>
      <c r="F7439" s="210"/>
      <c r="G7439" s="210"/>
      <c r="H7439" s="210"/>
    </row>
    <row r="7440" spans="3:8" x14ac:dyDescent="0.25">
      <c r="C7440" s="210"/>
      <c r="D7440" s="210"/>
      <c r="E7440" s="210"/>
      <c r="F7440" s="210"/>
      <c r="G7440" s="210"/>
      <c r="H7440" s="210"/>
    </row>
    <row r="7441" spans="3:8" x14ac:dyDescent="0.25">
      <c r="C7441" s="210"/>
      <c r="D7441" s="210"/>
      <c r="E7441" s="210"/>
      <c r="F7441" s="210"/>
      <c r="G7441" s="210"/>
      <c r="H7441" s="210"/>
    </row>
    <row r="7442" spans="3:8" x14ac:dyDescent="0.25">
      <c r="C7442" s="210"/>
      <c r="D7442" s="210"/>
      <c r="E7442" s="210"/>
      <c r="F7442" s="210"/>
      <c r="G7442" s="210"/>
      <c r="H7442" s="210"/>
    </row>
    <row r="7443" spans="3:8" x14ac:dyDescent="0.25">
      <c r="C7443" s="210"/>
      <c r="D7443" s="210"/>
      <c r="E7443" s="210"/>
      <c r="F7443" s="210"/>
      <c r="G7443" s="210"/>
      <c r="H7443" s="210"/>
    </row>
    <row r="7444" spans="3:8" x14ac:dyDescent="0.25">
      <c r="C7444" s="210"/>
      <c r="D7444" s="210"/>
      <c r="E7444" s="210"/>
      <c r="F7444" s="210"/>
      <c r="G7444" s="210"/>
      <c r="H7444" s="210"/>
    </row>
    <row r="7445" spans="3:8" x14ac:dyDescent="0.25">
      <c r="C7445" s="210"/>
      <c r="D7445" s="210"/>
      <c r="E7445" s="210"/>
      <c r="F7445" s="210"/>
      <c r="G7445" s="210"/>
      <c r="H7445" s="210"/>
    </row>
    <row r="7446" spans="3:8" x14ac:dyDescent="0.25">
      <c r="C7446" s="210"/>
      <c r="D7446" s="210"/>
      <c r="E7446" s="210"/>
      <c r="F7446" s="210"/>
      <c r="G7446" s="210"/>
      <c r="H7446" s="210"/>
    </row>
    <row r="7447" spans="3:8" x14ac:dyDescent="0.25">
      <c r="C7447" s="210"/>
      <c r="D7447" s="210"/>
      <c r="E7447" s="210"/>
      <c r="F7447" s="210"/>
      <c r="G7447" s="210"/>
      <c r="H7447" s="210"/>
    </row>
    <row r="7448" spans="3:8" x14ac:dyDescent="0.25">
      <c r="C7448" s="210"/>
      <c r="D7448" s="210"/>
      <c r="E7448" s="210"/>
      <c r="F7448" s="210"/>
      <c r="G7448" s="210"/>
      <c r="H7448" s="210"/>
    </row>
    <row r="7449" spans="3:8" x14ac:dyDescent="0.25">
      <c r="C7449" s="210"/>
      <c r="D7449" s="210"/>
      <c r="E7449" s="210"/>
      <c r="F7449" s="210"/>
      <c r="G7449" s="210"/>
      <c r="H7449" s="210"/>
    </row>
    <row r="7450" spans="3:8" x14ac:dyDescent="0.25">
      <c r="C7450" s="210"/>
      <c r="D7450" s="210"/>
      <c r="E7450" s="210"/>
      <c r="F7450" s="210"/>
      <c r="G7450" s="210"/>
      <c r="H7450" s="210"/>
    </row>
    <row r="7451" spans="3:8" x14ac:dyDescent="0.25">
      <c r="C7451" s="210"/>
      <c r="D7451" s="210"/>
      <c r="E7451" s="210"/>
      <c r="F7451" s="210"/>
      <c r="G7451" s="210"/>
      <c r="H7451" s="210"/>
    </row>
    <row r="7452" spans="3:8" x14ac:dyDescent="0.25">
      <c r="C7452" s="210"/>
      <c r="D7452" s="210"/>
      <c r="E7452" s="210"/>
      <c r="F7452" s="210"/>
      <c r="G7452" s="210"/>
      <c r="H7452" s="210"/>
    </row>
    <row r="7453" spans="3:8" x14ac:dyDescent="0.25">
      <c r="C7453" s="210"/>
      <c r="D7453" s="210"/>
      <c r="E7453" s="210"/>
      <c r="F7453" s="210"/>
      <c r="G7453" s="210"/>
      <c r="H7453" s="210"/>
    </row>
    <row r="7454" spans="3:8" x14ac:dyDescent="0.25">
      <c r="C7454" s="210"/>
      <c r="D7454" s="210"/>
      <c r="E7454" s="210"/>
      <c r="F7454" s="210"/>
      <c r="G7454" s="210"/>
      <c r="H7454" s="210"/>
    </row>
    <row r="7455" spans="3:8" x14ac:dyDescent="0.25">
      <c r="C7455" s="210"/>
      <c r="D7455" s="210"/>
      <c r="E7455" s="210"/>
      <c r="F7455" s="210"/>
      <c r="G7455" s="210"/>
      <c r="H7455" s="210"/>
    </row>
    <row r="7456" spans="3:8" x14ac:dyDescent="0.25">
      <c r="C7456" s="210"/>
      <c r="D7456" s="210"/>
      <c r="E7456" s="210"/>
      <c r="F7456" s="210"/>
      <c r="G7456" s="210"/>
      <c r="H7456" s="210"/>
    </row>
    <row r="7457" spans="3:8" x14ac:dyDescent="0.25">
      <c r="C7457" s="210"/>
      <c r="D7457" s="210"/>
      <c r="E7457" s="210"/>
      <c r="F7457" s="210"/>
      <c r="G7457" s="210"/>
      <c r="H7457" s="210"/>
    </row>
    <row r="7458" spans="3:8" x14ac:dyDescent="0.25">
      <c r="C7458" s="210"/>
      <c r="D7458" s="210"/>
      <c r="E7458" s="210"/>
      <c r="F7458" s="210"/>
      <c r="G7458" s="210"/>
      <c r="H7458" s="210"/>
    </row>
    <row r="7459" spans="3:8" x14ac:dyDescent="0.25">
      <c r="C7459" s="210"/>
      <c r="D7459" s="210"/>
      <c r="E7459" s="210"/>
      <c r="F7459" s="210"/>
      <c r="G7459" s="210"/>
      <c r="H7459" s="210"/>
    </row>
    <row r="7460" spans="3:8" x14ac:dyDescent="0.25">
      <c r="C7460" s="210"/>
      <c r="D7460" s="210"/>
      <c r="E7460" s="210"/>
      <c r="F7460" s="210"/>
      <c r="G7460" s="210"/>
      <c r="H7460" s="210"/>
    </row>
    <row r="7461" spans="3:8" x14ac:dyDescent="0.25">
      <c r="C7461" s="210"/>
      <c r="D7461" s="210"/>
      <c r="E7461" s="210"/>
      <c r="F7461" s="210"/>
      <c r="G7461" s="210"/>
      <c r="H7461" s="210"/>
    </row>
    <row r="7462" spans="3:8" x14ac:dyDescent="0.25">
      <c r="C7462" s="210"/>
      <c r="D7462" s="210"/>
      <c r="E7462" s="210"/>
      <c r="F7462" s="210"/>
      <c r="G7462" s="210"/>
      <c r="H7462" s="210"/>
    </row>
    <row r="7463" spans="3:8" x14ac:dyDescent="0.25">
      <c r="C7463" s="210"/>
      <c r="D7463" s="210"/>
      <c r="E7463" s="210"/>
      <c r="F7463" s="210"/>
      <c r="G7463" s="210"/>
      <c r="H7463" s="210"/>
    </row>
    <row r="7464" spans="3:8" x14ac:dyDescent="0.25">
      <c r="C7464" s="210"/>
      <c r="D7464" s="210"/>
      <c r="E7464" s="210"/>
      <c r="F7464" s="210"/>
      <c r="G7464" s="210"/>
      <c r="H7464" s="210"/>
    </row>
    <row r="7465" spans="3:8" x14ac:dyDescent="0.25">
      <c r="C7465" s="210"/>
      <c r="D7465" s="210"/>
      <c r="E7465" s="210"/>
      <c r="F7465" s="210"/>
      <c r="G7465" s="210"/>
      <c r="H7465" s="210"/>
    </row>
    <row r="7466" spans="3:8" x14ac:dyDescent="0.25">
      <c r="C7466" s="210"/>
      <c r="D7466" s="210"/>
      <c r="E7466" s="210"/>
      <c r="F7466" s="210"/>
      <c r="G7466" s="210"/>
      <c r="H7466" s="210"/>
    </row>
    <row r="7467" spans="3:8" x14ac:dyDescent="0.25">
      <c r="C7467" s="210"/>
      <c r="D7467" s="210"/>
      <c r="E7467" s="210"/>
      <c r="F7467" s="210"/>
      <c r="G7467" s="210"/>
      <c r="H7467" s="210"/>
    </row>
    <row r="7468" spans="3:8" x14ac:dyDescent="0.25">
      <c r="C7468" s="210"/>
      <c r="D7468" s="210"/>
      <c r="E7468" s="210"/>
      <c r="F7468" s="210"/>
      <c r="G7468" s="210"/>
      <c r="H7468" s="210"/>
    </row>
    <row r="7469" spans="3:8" x14ac:dyDescent="0.25">
      <c r="C7469" s="210"/>
      <c r="D7469" s="210"/>
      <c r="E7469" s="210"/>
      <c r="F7469" s="210"/>
      <c r="G7469" s="210"/>
      <c r="H7469" s="210"/>
    </row>
    <row r="7470" spans="3:8" x14ac:dyDescent="0.25">
      <c r="C7470" s="210"/>
      <c r="D7470" s="210"/>
      <c r="E7470" s="210"/>
      <c r="F7470" s="210"/>
      <c r="G7470" s="210"/>
      <c r="H7470" s="210"/>
    </row>
    <row r="7471" spans="3:8" x14ac:dyDescent="0.25">
      <c r="C7471" s="210"/>
      <c r="D7471" s="210"/>
      <c r="E7471" s="210"/>
      <c r="F7471" s="210"/>
      <c r="G7471" s="210"/>
      <c r="H7471" s="210"/>
    </row>
    <row r="7472" spans="3:8" x14ac:dyDescent="0.25">
      <c r="C7472" s="210"/>
      <c r="D7472" s="210"/>
      <c r="E7472" s="210"/>
      <c r="F7472" s="210"/>
      <c r="G7472" s="210"/>
      <c r="H7472" s="210"/>
    </row>
    <row r="7473" spans="3:8" x14ac:dyDescent="0.25">
      <c r="C7473" s="210"/>
      <c r="D7473" s="210"/>
      <c r="E7473" s="210"/>
      <c r="F7473" s="210"/>
      <c r="G7473" s="210"/>
      <c r="H7473" s="210"/>
    </row>
    <row r="7474" spans="3:8" x14ac:dyDescent="0.25">
      <c r="C7474" s="210"/>
      <c r="D7474" s="210"/>
      <c r="E7474" s="210"/>
      <c r="F7474" s="210"/>
      <c r="G7474" s="210"/>
      <c r="H7474" s="210"/>
    </row>
    <row r="7475" spans="3:8" x14ac:dyDescent="0.25">
      <c r="C7475" s="210"/>
      <c r="D7475" s="210"/>
      <c r="E7475" s="210"/>
      <c r="F7475" s="210"/>
      <c r="G7475" s="210"/>
      <c r="H7475" s="210"/>
    </row>
    <row r="7476" spans="3:8" x14ac:dyDescent="0.25">
      <c r="C7476" s="210"/>
      <c r="D7476" s="210"/>
      <c r="E7476" s="210"/>
      <c r="F7476" s="210"/>
      <c r="G7476" s="210"/>
      <c r="H7476" s="210"/>
    </row>
    <row r="7477" spans="3:8" x14ac:dyDescent="0.25">
      <c r="C7477" s="210"/>
      <c r="D7477" s="210"/>
      <c r="E7477" s="210"/>
      <c r="F7477" s="210"/>
      <c r="G7477" s="210"/>
      <c r="H7477" s="210"/>
    </row>
    <row r="7478" spans="3:8" x14ac:dyDescent="0.25">
      <c r="C7478" s="210"/>
      <c r="D7478" s="210"/>
      <c r="E7478" s="210"/>
      <c r="F7478" s="210"/>
      <c r="G7478" s="210"/>
      <c r="H7478" s="210"/>
    </row>
    <row r="7479" spans="3:8" x14ac:dyDescent="0.25">
      <c r="C7479" s="210"/>
      <c r="D7479" s="210"/>
      <c r="E7479" s="210"/>
      <c r="F7479" s="210"/>
      <c r="G7479" s="210"/>
      <c r="H7479" s="210"/>
    </row>
    <row r="7480" spans="3:8" x14ac:dyDescent="0.25">
      <c r="C7480" s="210"/>
      <c r="D7480" s="210"/>
      <c r="E7480" s="210"/>
      <c r="F7480" s="210"/>
      <c r="G7480" s="210"/>
      <c r="H7480" s="210"/>
    </row>
    <row r="7481" spans="3:8" x14ac:dyDescent="0.25">
      <c r="C7481" s="210"/>
      <c r="D7481" s="210"/>
      <c r="E7481" s="210"/>
      <c r="F7481" s="210"/>
      <c r="G7481" s="210"/>
      <c r="H7481" s="210"/>
    </row>
    <row r="7482" spans="3:8" x14ac:dyDescent="0.25">
      <c r="C7482" s="210"/>
      <c r="D7482" s="210"/>
      <c r="E7482" s="210"/>
      <c r="F7482" s="210"/>
      <c r="G7482" s="210"/>
      <c r="H7482" s="210"/>
    </row>
    <row r="7483" spans="3:8" x14ac:dyDescent="0.25">
      <c r="C7483" s="210"/>
      <c r="D7483" s="210"/>
      <c r="E7483" s="210"/>
      <c r="F7483" s="210"/>
      <c r="G7483" s="210"/>
      <c r="H7483" s="210"/>
    </row>
    <row r="7484" spans="3:8" x14ac:dyDescent="0.25">
      <c r="C7484" s="210"/>
      <c r="D7484" s="210"/>
      <c r="E7484" s="210"/>
      <c r="F7484" s="210"/>
      <c r="G7484" s="210"/>
      <c r="H7484" s="210"/>
    </row>
    <row r="7485" spans="3:8" x14ac:dyDescent="0.25">
      <c r="C7485" s="210"/>
      <c r="D7485" s="210"/>
      <c r="E7485" s="210"/>
      <c r="F7485" s="210"/>
      <c r="G7485" s="210"/>
      <c r="H7485" s="210"/>
    </row>
    <row r="7486" spans="3:8" x14ac:dyDescent="0.25">
      <c r="C7486" s="210"/>
      <c r="D7486" s="210"/>
      <c r="E7486" s="210"/>
      <c r="F7486" s="210"/>
      <c r="G7486" s="210"/>
      <c r="H7486" s="210"/>
    </row>
    <row r="7487" spans="3:8" x14ac:dyDescent="0.25">
      <c r="C7487" s="210"/>
      <c r="D7487" s="210"/>
      <c r="E7487" s="210"/>
      <c r="F7487" s="210"/>
      <c r="G7487" s="210"/>
      <c r="H7487" s="210"/>
    </row>
    <row r="7488" spans="3:8" x14ac:dyDescent="0.25">
      <c r="C7488" s="210"/>
      <c r="D7488" s="210"/>
      <c r="E7488" s="210"/>
      <c r="F7488" s="210"/>
      <c r="G7488" s="210"/>
      <c r="H7488" s="210"/>
    </row>
    <row r="7489" spans="3:8" x14ac:dyDescent="0.25">
      <c r="C7489" s="210"/>
      <c r="D7489" s="210"/>
      <c r="E7489" s="210"/>
      <c r="F7489" s="210"/>
      <c r="G7489" s="210"/>
      <c r="H7489" s="210"/>
    </row>
    <row r="7490" spans="3:8" x14ac:dyDescent="0.25">
      <c r="C7490" s="210"/>
      <c r="D7490" s="210"/>
      <c r="E7490" s="210"/>
      <c r="F7490" s="210"/>
      <c r="G7490" s="210"/>
      <c r="H7490" s="210"/>
    </row>
    <row r="7491" spans="3:8" x14ac:dyDescent="0.25">
      <c r="C7491" s="210"/>
      <c r="D7491" s="210"/>
      <c r="E7491" s="210"/>
      <c r="F7491" s="210"/>
      <c r="G7491" s="210"/>
      <c r="H7491" s="210"/>
    </row>
    <row r="7492" spans="3:8" x14ac:dyDescent="0.25">
      <c r="C7492" s="210"/>
      <c r="D7492" s="210"/>
      <c r="E7492" s="210"/>
      <c r="F7492" s="210"/>
      <c r="G7492" s="210"/>
      <c r="H7492" s="210"/>
    </row>
    <row r="7493" spans="3:8" x14ac:dyDescent="0.25">
      <c r="C7493" s="210"/>
      <c r="D7493" s="210"/>
      <c r="E7493" s="210"/>
      <c r="F7493" s="210"/>
      <c r="G7493" s="210"/>
      <c r="H7493" s="210"/>
    </row>
    <row r="7494" spans="3:8" x14ac:dyDescent="0.25">
      <c r="C7494" s="210"/>
      <c r="D7494" s="210"/>
      <c r="E7494" s="210"/>
      <c r="F7494" s="210"/>
      <c r="G7494" s="210"/>
      <c r="H7494" s="210"/>
    </row>
    <row r="7495" spans="3:8" x14ac:dyDescent="0.25">
      <c r="C7495" s="210"/>
      <c r="D7495" s="210"/>
      <c r="E7495" s="210"/>
      <c r="F7495" s="210"/>
      <c r="G7495" s="210"/>
      <c r="H7495" s="210"/>
    </row>
    <row r="7496" spans="3:8" x14ac:dyDescent="0.25">
      <c r="C7496" s="210"/>
      <c r="D7496" s="210"/>
      <c r="E7496" s="210"/>
      <c r="F7496" s="210"/>
      <c r="G7496" s="210"/>
      <c r="H7496" s="210"/>
    </row>
    <row r="7497" spans="3:8" x14ac:dyDescent="0.25">
      <c r="C7497" s="210"/>
      <c r="D7497" s="210"/>
      <c r="E7497" s="210"/>
      <c r="F7497" s="210"/>
      <c r="G7497" s="210"/>
      <c r="H7497" s="210"/>
    </row>
    <row r="7498" spans="3:8" x14ac:dyDescent="0.25">
      <c r="C7498" s="210"/>
      <c r="D7498" s="210"/>
      <c r="E7498" s="210"/>
      <c r="F7498" s="210"/>
      <c r="G7498" s="210"/>
      <c r="H7498" s="210"/>
    </row>
    <row r="7499" spans="3:8" x14ac:dyDescent="0.25">
      <c r="C7499" s="210"/>
      <c r="D7499" s="210"/>
      <c r="E7499" s="210"/>
      <c r="F7499" s="210"/>
      <c r="G7499" s="210"/>
      <c r="H7499" s="210"/>
    </row>
    <row r="7500" spans="3:8" x14ac:dyDescent="0.25">
      <c r="C7500" s="210"/>
      <c r="D7500" s="210"/>
      <c r="E7500" s="210"/>
      <c r="F7500" s="210"/>
      <c r="G7500" s="210"/>
      <c r="H7500" s="210"/>
    </row>
    <row r="7501" spans="3:8" x14ac:dyDescent="0.25">
      <c r="C7501" s="210"/>
      <c r="D7501" s="210"/>
      <c r="E7501" s="210"/>
      <c r="F7501" s="210"/>
      <c r="G7501" s="210"/>
      <c r="H7501" s="210"/>
    </row>
    <row r="7502" spans="3:8" x14ac:dyDescent="0.25">
      <c r="C7502" s="210"/>
      <c r="D7502" s="210"/>
      <c r="E7502" s="210"/>
      <c r="F7502" s="210"/>
      <c r="G7502" s="210"/>
      <c r="H7502" s="210"/>
    </row>
    <row r="7503" spans="3:8" x14ac:dyDescent="0.25">
      <c r="C7503" s="210"/>
      <c r="D7503" s="210"/>
      <c r="E7503" s="210"/>
      <c r="F7503" s="210"/>
      <c r="G7503" s="210"/>
      <c r="H7503" s="210"/>
    </row>
    <row r="7504" spans="3:8" x14ac:dyDescent="0.25">
      <c r="C7504" s="210"/>
      <c r="D7504" s="210"/>
      <c r="E7504" s="210"/>
      <c r="F7504" s="210"/>
      <c r="G7504" s="210"/>
      <c r="H7504" s="210"/>
    </row>
    <row r="7505" spans="3:8" x14ac:dyDescent="0.25">
      <c r="C7505" s="210"/>
      <c r="D7505" s="210"/>
      <c r="E7505" s="210"/>
      <c r="F7505" s="210"/>
      <c r="G7505" s="210"/>
      <c r="H7505" s="210"/>
    </row>
    <row r="7506" spans="3:8" x14ac:dyDescent="0.25">
      <c r="C7506" s="210"/>
      <c r="D7506" s="210"/>
      <c r="E7506" s="210"/>
      <c r="F7506" s="210"/>
      <c r="G7506" s="210"/>
      <c r="H7506" s="210"/>
    </row>
    <row r="7507" spans="3:8" x14ac:dyDescent="0.25">
      <c r="C7507" s="210"/>
      <c r="D7507" s="210"/>
      <c r="E7507" s="210"/>
      <c r="F7507" s="210"/>
      <c r="G7507" s="210"/>
      <c r="H7507" s="210"/>
    </row>
    <row r="7508" spans="3:8" x14ac:dyDescent="0.25">
      <c r="C7508" s="210"/>
      <c r="D7508" s="210"/>
      <c r="E7508" s="210"/>
      <c r="F7508" s="210"/>
      <c r="G7508" s="210"/>
      <c r="H7508" s="210"/>
    </row>
    <row r="7509" spans="3:8" x14ac:dyDescent="0.25">
      <c r="C7509" s="210"/>
      <c r="D7509" s="210"/>
      <c r="E7509" s="210"/>
      <c r="F7509" s="210"/>
      <c r="G7509" s="210"/>
      <c r="H7509" s="210"/>
    </row>
    <row r="7510" spans="3:8" x14ac:dyDescent="0.25">
      <c r="C7510" s="210"/>
      <c r="D7510" s="210"/>
      <c r="E7510" s="210"/>
      <c r="F7510" s="210"/>
      <c r="G7510" s="210"/>
      <c r="H7510" s="210"/>
    </row>
    <row r="7511" spans="3:8" x14ac:dyDescent="0.25">
      <c r="C7511" s="210"/>
      <c r="D7511" s="210"/>
      <c r="E7511" s="210"/>
      <c r="F7511" s="210"/>
      <c r="G7511" s="210"/>
      <c r="H7511" s="210"/>
    </row>
    <row r="7512" spans="3:8" x14ac:dyDescent="0.25">
      <c r="C7512" s="210"/>
      <c r="D7512" s="210"/>
      <c r="E7512" s="210"/>
      <c r="F7512" s="210"/>
      <c r="G7512" s="210"/>
      <c r="H7512" s="210"/>
    </row>
    <row r="7513" spans="3:8" x14ac:dyDescent="0.25">
      <c r="C7513" s="210"/>
      <c r="D7513" s="210"/>
      <c r="E7513" s="210"/>
      <c r="F7513" s="210"/>
      <c r="G7513" s="210"/>
      <c r="H7513" s="210"/>
    </row>
    <row r="7514" spans="3:8" x14ac:dyDescent="0.25">
      <c r="C7514" s="210"/>
      <c r="D7514" s="210"/>
      <c r="E7514" s="210"/>
      <c r="F7514" s="210"/>
      <c r="G7514" s="210"/>
      <c r="H7514" s="210"/>
    </row>
    <row r="7515" spans="3:8" x14ac:dyDescent="0.25">
      <c r="C7515" s="210"/>
      <c r="D7515" s="210"/>
      <c r="E7515" s="210"/>
      <c r="F7515" s="210"/>
      <c r="G7515" s="210"/>
      <c r="H7515" s="210"/>
    </row>
    <row r="7516" spans="3:8" x14ac:dyDescent="0.25">
      <c r="C7516" s="210"/>
      <c r="D7516" s="210"/>
      <c r="E7516" s="210"/>
      <c r="F7516" s="210"/>
      <c r="G7516" s="210"/>
      <c r="H7516" s="210"/>
    </row>
    <row r="7517" spans="3:8" x14ac:dyDescent="0.25">
      <c r="C7517" s="210"/>
      <c r="D7517" s="210"/>
      <c r="E7517" s="210"/>
      <c r="F7517" s="210"/>
      <c r="G7517" s="210"/>
      <c r="H7517" s="210"/>
    </row>
    <row r="7518" spans="3:8" x14ac:dyDescent="0.25">
      <c r="C7518" s="210"/>
      <c r="D7518" s="210"/>
      <c r="E7518" s="210"/>
      <c r="F7518" s="210"/>
      <c r="G7518" s="210"/>
      <c r="H7518" s="210"/>
    </row>
    <row r="7519" spans="3:8" x14ac:dyDescent="0.25">
      <c r="C7519" s="210"/>
      <c r="D7519" s="210"/>
      <c r="E7519" s="210"/>
      <c r="F7519" s="210"/>
      <c r="G7519" s="210"/>
      <c r="H7519" s="210"/>
    </row>
    <row r="7520" spans="3:8" x14ac:dyDescent="0.25">
      <c r="C7520" s="210"/>
      <c r="D7520" s="210"/>
      <c r="E7520" s="210"/>
      <c r="F7520" s="210"/>
      <c r="G7520" s="210"/>
      <c r="H7520" s="210"/>
    </row>
    <row r="7521" spans="3:8" x14ac:dyDescent="0.25">
      <c r="C7521" s="210"/>
      <c r="D7521" s="210"/>
      <c r="E7521" s="210"/>
      <c r="F7521" s="210"/>
      <c r="G7521" s="210"/>
      <c r="H7521" s="210"/>
    </row>
    <row r="7522" spans="3:8" x14ac:dyDescent="0.25">
      <c r="C7522" s="210"/>
      <c r="D7522" s="210"/>
      <c r="E7522" s="210"/>
      <c r="F7522" s="210"/>
      <c r="G7522" s="210"/>
      <c r="H7522" s="210"/>
    </row>
    <row r="7523" spans="3:8" x14ac:dyDescent="0.25">
      <c r="C7523" s="210"/>
      <c r="D7523" s="210"/>
      <c r="E7523" s="210"/>
      <c r="F7523" s="210"/>
      <c r="G7523" s="210"/>
      <c r="H7523" s="210"/>
    </row>
    <row r="7524" spans="3:8" x14ac:dyDescent="0.25">
      <c r="C7524" s="210"/>
      <c r="D7524" s="210"/>
      <c r="E7524" s="210"/>
      <c r="F7524" s="210"/>
      <c r="G7524" s="210"/>
      <c r="H7524" s="210"/>
    </row>
    <row r="7525" spans="3:8" x14ac:dyDescent="0.25">
      <c r="C7525" s="210"/>
      <c r="D7525" s="210"/>
      <c r="E7525" s="210"/>
      <c r="F7525" s="210"/>
      <c r="G7525" s="210"/>
      <c r="H7525" s="210"/>
    </row>
    <row r="7526" spans="3:8" x14ac:dyDescent="0.25">
      <c r="C7526" s="210"/>
      <c r="D7526" s="210"/>
      <c r="E7526" s="210"/>
      <c r="F7526" s="210"/>
      <c r="G7526" s="210"/>
      <c r="H7526" s="210"/>
    </row>
    <row r="7527" spans="3:8" x14ac:dyDescent="0.25">
      <c r="C7527" s="210"/>
      <c r="D7527" s="210"/>
      <c r="E7527" s="210"/>
      <c r="F7527" s="210"/>
      <c r="G7527" s="210"/>
      <c r="H7527" s="210"/>
    </row>
    <row r="7528" spans="3:8" x14ac:dyDescent="0.25">
      <c r="C7528" s="210"/>
      <c r="D7528" s="210"/>
      <c r="E7528" s="210"/>
      <c r="F7528" s="210"/>
      <c r="G7528" s="210"/>
      <c r="H7528" s="210"/>
    </row>
    <row r="7529" spans="3:8" x14ac:dyDescent="0.25">
      <c r="C7529" s="210"/>
      <c r="D7529" s="210"/>
      <c r="E7529" s="210"/>
      <c r="F7529" s="210"/>
      <c r="G7529" s="210"/>
      <c r="H7529" s="210"/>
    </row>
    <row r="7530" spans="3:8" x14ac:dyDescent="0.25">
      <c r="C7530" s="210"/>
      <c r="D7530" s="210"/>
      <c r="E7530" s="210"/>
      <c r="F7530" s="210"/>
      <c r="G7530" s="210"/>
      <c r="H7530" s="210"/>
    </row>
    <row r="7531" spans="3:8" x14ac:dyDescent="0.25">
      <c r="C7531" s="210"/>
      <c r="D7531" s="210"/>
      <c r="E7531" s="210"/>
      <c r="F7531" s="210"/>
      <c r="G7531" s="210"/>
      <c r="H7531" s="210"/>
    </row>
    <row r="7532" spans="3:8" x14ac:dyDescent="0.25">
      <c r="C7532" s="210"/>
      <c r="D7532" s="210"/>
      <c r="E7532" s="210"/>
      <c r="F7532" s="210"/>
      <c r="G7532" s="210"/>
      <c r="H7532" s="210"/>
    </row>
    <row r="7533" spans="3:8" x14ac:dyDescent="0.25">
      <c r="C7533" s="210"/>
      <c r="D7533" s="210"/>
      <c r="E7533" s="210"/>
      <c r="F7533" s="210"/>
      <c r="G7533" s="210"/>
      <c r="H7533" s="210"/>
    </row>
    <row r="7534" spans="3:8" x14ac:dyDescent="0.25">
      <c r="C7534" s="210"/>
      <c r="D7534" s="210"/>
      <c r="E7534" s="210"/>
      <c r="F7534" s="210"/>
      <c r="G7534" s="210"/>
      <c r="H7534" s="210"/>
    </row>
    <row r="7535" spans="3:8" x14ac:dyDescent="0.25">
      <c r="C7535" s="210"/>
      <c r="D7535" s="210"/>
      <c r="E7535" s="210"/>
      <c r="F7535" s="210"/>
      <c r="G7535" s="210"/>
      <c r="H7535" s="210"/>
    </row>
    <row r="7536" spans="3:8" x14ac:dyDescent="0.25">
      <c r="C7536" s="210"/>
      <c r="D7536" s="210"/>
      <c r="E7536" s="210"/>
      <c r="F7536" s="210"/>
      <c r="G7536" s="210"/>
      <c r="H7536" s="210"/>
    </row>
    <row r="7537" spans="3:8" x14ac:dyDescent="0.25">
      <c r="C7537" s="210"/>
      <c r="D7537" s="210"/>
      <c r="E7537" s="210"/>
      <c r="F7537" s="210"/>
      <c r="G7537" s="210"/>
      <c r="H7537" s="210"/>
    </row>
    <row r="7538" spans="3:8" x14ac:dyDescent="0.25">
      <c r="C7538" s="210"/>
      <c r="D7538" s="210"/>
      <c r="E7538" s="210"/>
      <c r="F7538" s="210"/>
      <c r="G7538" s="210"/>
      <c r="H7538" s="210"/>
    </row>
    <row r="7539" spans="3:8" x14ac:dyDescent="0.25">
      <c r="C7539" s="210"/>
      <c r="D7539" s="210"/>
      <c r="E7539" s="210"/>
      <c r="F7539" s="210"/>
      <c r="G7539" s="210"/>
      <c r="H7539" s="210"/>
    </row>
    <row r="7540" spans="3:8" x14ac:dyDescent="0.25">
      <c r="C7540" s="210"/>
      <c r="D7540" s="210"/>
      <c r="E7540" s="210"/>
      <c r="F7540" s="210"/>
      <c r="G7540" s="210"/>
      <c r="H7540" s="210"/>
    </row>
    <row r="7541" spans="3:8" x14ac:dyDescent="0.25">
      <c r="C7541" s="210"/>
      <c r="D7541" s="210"/>
      <c r="E7541" s="210"/>
      <c r="F7541" s="210"/>
      <c r="G7541" s="210"/>
      <c r="H7541" s="210"/>
    </row>
    <row r="7542" spans="3:8" x14ac:dyDescent="0.25">
      <c r="C7542" s="210"/>
      <c r="D7542" s="210"/>
      <c r="E7542" s="210"/>
      <c r="F7542" s="210"/>
      <c r="G7542" s="210"/>
      <c r="H7542" s="210"/>
    </row>
    <row r="7543" spans="3:8" x14ac:dyDescent="0.25">
      <c r="C7543" s="210"/>
      <c r="D7543" s="210"/>
      <c r="E7543" s="210"/>
      <c r="F7543" s="210"/>
      <c r="G7543" s="210"/>
      <c r="H7543" s="210"/>
    </row>
    <row r="7544" spans="3:8" x14ac:dyDescent="0.25">
      <c r="C7544" s="210"/>
      <c r="D7544" s="210"/>
      <c r="E7544" s="210"/>
      <c r="F7544" s="210"/>
      <c r="G7544" s="210"/>
      <c r="H7544" s="210"/>
    </row>
    <row r="7545" spans="3:8" x14ac:dyDescent="0.25">
      <c r="C7545" s="210"/>
      <c r="D7545" s="210"/>
      <c r="E7545" s="210"/>
      <c r="F7545" s="210"/>
      <c r="G7545" s="210"/>
      <c r="H7545" s="210"/>
    </row>
    <row r="7546" spans="3:8" x14ac:dyDescent="0.25">
      <c r="C7546" s="210"/>
      <c r="D7546" s="210"/>
      <c r="E7546" s="210"/>
      <c r="F7546" s="210"/>
      <c r="G7546" s="210"/>
      <c r="H7546" s="210"/>
    </row>
    <row r="7547" spans="3:8" x14ac:dyDescent="0.25">
      <c r="C7547" s="210"/>
      <c r="D7547" s="210"/>
      <c r="E7547" s="210"/>
      <c r="F7547" s="210"/>
      <c r="G7547" s="210"/>
      <c r="H7547" s="210"/>
    </row>
    <row r="7548" spans="3:8" x14ac:dyDescent="0.25">
      <c r="C7548" s="210"/>
      <c r="D7548" s="210"/>
      <c r="E7548" s="210"/>
      <c r="F7548" s="210"/>
      <c r="G7548" s="210"/>
      <c r="H7548" s="210"/>
    </row>
    <row r="7549" spans="3:8" x14ac:dyDescent="0.25">
      <c r="C7549" s="210"/>
      <c r="D7549" s="210"/>
      <c r="E7549" s="210"/>
      <c r="F7549" s="210"/>
      <c r="G7549" s="210"/>
      <c r="H7549" s="210"/>
    </row>
    <row r="7550" spans="3:8" x14ac:dyDescent="0.25">
      <c r="C7550" s="210"/>
      <c r="D7550" s="210"/>
      <c r="E7550" s="210"/>
      <c r="F7550" s="210"/>
      <c r="G7550" s="210"/>
      <c r="H7550" s="210"/>
    </row>
    <row r="7551" spans="3:8" x14ac:dyDescent="0.25">
      <c r="C7551" s="210"/>
      <c r="D7551" s="210"/>
      <c r="E7551" s="210"/>
      <c r="F7551" s="210"/>
      <c r="G7551" s="210"/>
      <c r="H7551" s="210"/>
    </row>
    <row r="7552" spans="3:8" x14ac:dyDescent="0.25">
      <c r="C7552" s="210"/>
      <c r="D7552" s="210"/>
      <c r="E7552" s="210"/>
      <c r="F7552" s="210"/>
      <c r="G7552" s="210"/>
      <c r="H7552" s="210"/>
    </row>
    <row r="7553" spans="3:8" x14ac:dyDescent="0.25">
      <c r="C7553" s="210"/>
      <c r="D7553" s="210"/>
      <c r="E7553" s="210"/>
      <c r="F7553" s="210"/>
      <c r="G7553" s="210"/>
      <c r="H7553" s="210"/>
    </row>
    <row r="7554" spans="3:8" x14ac:dyDescent="0.25">
      <c r="C7554" s="210"/>
      <c r="D7554" s="210"/>
      <c r="E7554" s="210"/>
      <c r="F7554" s="210"/>
      <c r="G7554" s="210"/>
      <c r="H7554" s="210"/>
    </row>
    <row r="7555" spans="3:8" x14ac:dyDescent="0.25">
      <c r="C7555" s="210"/>
      <c r="D7555" s="210"/>
      <c r="E7555" s="210"/>
      <c r="F7555" s="210"/>
      <c r="G7555" s="210"/>
      <c r="H7555" s="210"/>
    </row>
    <row r="7556" spans="3:8" x14ac:dyDescent="0.25">
      <c r="C7556" s="210"/>
      <c r="D7556" s="210"/>
      <c r="E7556" s="210"/>
      <c r="F7556" s="210"/>
      <c r="G7556" s="210"/>
      <c r="H7556" s="210"/>
    </row>
    <row r="7557" spans="3:8" x14ac:dyDescent="0.25">
      <c r="C7557" s="210"/>
      <c r="D7557" s="210"/>
      <c r="E7557" s="210"/>
      <c r="F7557" s="210"/>
      <c r="G7557" s="210"/>
      <c r="H7557" s="210"/>
    </row>
    <row r="7558" spans="3:8" x14ac:dyDescent="0.25">
      <c r="C7558" s="210"/>
      <c r="D7558" s="210"/>
      <c r="E7558" s="210"/>
      <c r="F7558" s="210"/>
      <c r="G7558" s="210"/>
      <c r="H7558" s="210"/>
    </row>
    <row r="7559" spans="3:8" x14ac:dyDescent="0.25">
      <c r="C7559" s="210"/>
      <c r="D7559" s="210"/>
      <c r="E7559" s="210"/>
      <c r="F7559" s="210"/>
      <c r="G7559" s="210"/>
      <c r="H7559" s="210"/>
    </row>
    <row r="7560" spans="3:8" x14ac:dyDescent="0.25">
      <c r="C7560" s="210"/>
      <c r="D7560" s="210"/>
      <c r="E7560" s="210"/>
      <c r="F7560" s="210"/>
      <c r="G7560" s="210"/>
      <c r="H7560" s="210"/>
    </row>
    <row r="7561" spans="3:8" x14ac:dyDescent="0.25">
      <c r="C7561" s="210"/>
      <c r="D7561" s="210"/>
      <c r="E7561" s="210"/>
      <c r="F7561" s="210"/>
      <c r="G7561" s="210"/>
      <c r="H7561" s="210"/>
    </row>
    <row r="7562" spans="3:8" x14ac:dyDescent="0.25">
      <c r="C7562" s="210"/>
      <c r="D7562" s="210"/>
      <c r="E7562" s="210"/>
      <c r="F7562" s="210"/>
      <c r="G7562" s="210"/>
      <c r="H7562" s="210"/>
    </row>
    <row r="7563" spans="3:8" x14ac:dyDescent="0.25">
      <c r="C7563" s="210"/>
      <c r="D7563" s="210"/>
      <c r="E7563" s="210"/>
      <c r="F7563" s="210"/>
      <c r="G7563" s="210"/>
      <c r="H7563" s="210"/>
    </row>
    <row r="7564" spans="3:8" x14ac:dyDescent="0.25">
      <c r="C7564" s="210"/>
      <c r="D7564" s="210"/>
      <c r="E7564" s="210"/>
      <c r="F7564" s="210"/>
      <c r="G7564" s="210"/>
      <c r="H7564" s="210"/>
    </row>
    <row r="7565" spans="3:8" x14ac:dyDescent="0.25">
      <c r="C7565" s="210"/>
      <c r="D7565" s="210"/>
      <c r="E7565" s="210"/>
      <c r="F7565" s="210"/>
      <c r="G7565" s="210"/>
      <c r="H7565" s="210"/>
    </row>
    <row r="7566" spans="3:8" x14ac:dyDescent="0.25">
      <c r="C7566" s="210"/>
      <c r="D7566" s="210"/>
      <c r="E7566" s="210"/>
      <c r="F7566" s="210"/>
      <c r="G7566" s="210"/>
      <c r="H7566" s="210"/>
    </row>
    <row r="7567" spans="3:8" x14ac:dyDescent="0.25">
      <c r="C7567" s="210"/>
      <c r="D7567" s="210"/>
      <c r="E7567" s="210"/>
      <c r="F7567" s="210"/>
      <c r="G7567" s="210"/>
      <c r="H7567" s="210"/>
    </row>
    <row r="7568" spans="3:8" x14ac:dyDescent="0.25">
      <c r="C7568" s="210"/>
      <c r="D7568" s="210"/>
      <c r="E7568" s="210"/>
      <c r="F7568" s="210"/>
      <c r="G7568" s="210"/>
      <c r="H7568" s="210"/>
    </row>
    <row r="7569" spans="3:8" x14ac:dyDescent="0.25">
      <c r="C7569" s="210"/>
      <c r="D7569" s="210"/>
      <c r="E7569" s="210"/>
      <c r="F7569" s="210"/>
      <c r="G7569" s="210"/>
      <c r="H7569" s="210"/>
    </row>
    <row r="7570" spans="3:8" x14ac:dyDescent="0.25">
      <c r="C7570" s="210"/>
      <c r="D7570" s="210"/>
      <c r="E7570" s="210"/>
      <c r="F7570" s="210"/>
      <c r="G7570" s="210"/>
      <c r="H7570" s="210"/>
    </row>
    <row r="7571" spans="3:8" x14ac:dyDescent="0.25">
      <c r="C7571" s="210"/>
      <c r="D7571" s="210"/>
      <c r="E7571" s="210"/>
      <c r="F7571" s="210"/>
      <c r="G7571" s="210"/>
      <c r="H7571" s="210"/>
    </row>
    <row r="7572" spans="3:8" x14ac:dyDescent="0.25">
      <c r="C7572" s="210"/>
      <c r="D7572" s="210"/>
      <c r="E7572" s="210"/>
      <c r="F7572" s="210"/>
      <c r="G7572" s="210"/>
      <c r="H7572" s="210"/>
    </row>
    <row r="7573" spans="3:8" x14ac:dyDescent="0.25">
      <c r="C7573" s="210"/>
      <c r="D7573" s="210"/>
      <c r="E7573" s="210"/>
      <c r="F7573" s="210"/>
      <c r="G7573" s="210"/>
      <c r="H7573" s="210"/>
    </row>
    <row r="7574" spans="3:8" x14ac:dyDescent="0.25">
      <c r="C7574" s="210"/>
      <c r="D7574" s="210"/>
      <c r="E7574" s="210"/>
      <c r="F7574" s="210"/>
      <c r="G7574" s="210"/>
      <c r="H7574" s="210"/>
    </row>
    <row r="7575" spans="3:8" x14ac:dyDescent="0.25">
      <c r="C7575" s="210"/>
      <c r="D7575" s="210"/>
      <c r="E7575" s="210"/>
      <c r="F7575" s="210"/>
      <c r="G7575" s="210"/>
      <c r="H7575" s="210"/>
    </row>
    <row r="7576" spans="3:8" x14ac:dyDescent="0.25">
      <c r="C7576" s="210"/>
      <c r="D7576" s="210"/>
      <c r="E7576" s="210"/>
      <c r="F7576" s="210"/>
      <c r="G7576" s="210"/>
      <c r="H7576" s="210"/>
    </row>
    <row r="7577" spans="3:8" x14ac:dyDescent="0.25">
      <c r="C7577" s="210"/>
      <c r="D7577" s="210"/>
      <c r="E7577" s="210"/>
      <c r="F7577" s="210"/>
      <c r="G7577" s="210"/>
      <c r="H7577" s="210"/>
    </row>
    <row r="7578" spans="3:8" x14ac:dyDescent="0.25">
      <c r="C7578" s="210"/>
      <c r="D7578" s="210"/>
      <c r="E7578" s="210"/>
      <c r="F7578" s="210"/>
      <c r="G7578" s="210"/>
      <c r="H7578" s="210"/>
    </row>
    <row r="7579" spans="3:8" x14ac:dyDescent="0.25">
      <c r="C7579" s="210"/>
      <c r="D7579" s="210"/>
      <c r="E7579" s="210"/>
      <c r="F7579" s="210"/>
      <c r="G7579" s="210"/>
      <c r="H7579" s="210"/>
    </row>
    <row r="7580" spans="3:8" x14ac:dyDescent="0.25">
      <c r="C7580" s="210"/>
      <c r="D7580" s="210"/>
      <c r="E7580" s="210"/>
      <c r="F7580" s="210"/>
      <c r="G7580" s="210"/>
      <c r="H7580" s="210"/>
    </row>
    <row r="7581" spans="3:8" x14ac:dyDescent="0.25">
      <c r="C7581" s="210"/>
      <c r="D7581" s="210"/>
      <c r="E7581" s="210"/>
      <c r="F7581" s="210"/>
      <c r="G7581" s="210"/>
      <c r="H7581" s="210"/>
    </row>
    <row r="7582" spans="3:8" x14ac:dyDescent="0.25">
      <c r="C7582" s="210"/>
      <c r="D7582" s="210"/>
      <c r="E7582" s="210"/>
      <c r="F7582" s="210"/>
      <c r="G7582" s="210"/>
      <c r="H7582" s="210"/>
    </row>
    <row r="7583" spans="3:8" x14ac:dyDescent="0.25">
      <c r="C7583" s="210"/>
      <c r="D7583" s="210"/>
      <c r="E7583" s="210"/>
      <c r="F7583" s="210"/>
      <c r="G7583" s="210"/>
      <c r="H7583" s="210"/>
    </row>
    <row r="7584" spans="3:8" x14ac:dyDescent="0.25">
      <c r="C7584" s="210"/>
      <c r="D7584" s="210"/>
      <c r="E7584" s="210"/>
      <c r="F7584" s="210"/>
      <c r="G7584" s="210"/>
      <c r="H7584" s="210"/>
    </row>
    <row r="7585" spans="3:8" x14ac:dyDescent="0.25">
      <c r="C7585" s="210"/>
      <c r="D7585" s="210"/>
      <c r="E7585" s="210"/>
      <c r="F7585" s="210"/>
      <c r="G7585" s="210"/>
      <c r="H7585" s="210"/>
    </row>
    <row r="7586" spans="3:8" x14ac:dyDescent="0.25">
      <c r="C7586" s="210"/>
      <c r="D7586" s="210"/>
      <c r="E7586" s="210"/>
      <c r="F7586" s="210"/>
      <c r="G7586" s="210"/>
      <c r="H7586" s="210"/>
    </row>
    <row r="7587" spans="3:8" x14ac:dyDescent="0.25">
      <c r="C7587" s="210"/>
      <c r="D7587" s="210"/>
      <c r="E7587" s="210"/>
      <c r="F7587" s="210"/>
      <c r="G7587" s="210"/>
      <c r="H7587" s="210"/>
    </row>
    <row r="7588" spans="3:8" x14ac:dyDescent="0.25">
      <c r="C7588" s="210"/>
      <c r="D7588" s="210"/>
      <c r="E7588" s="210"/>
      <c r="F7588" s="210"/>
      <c r="G7588" s="210"/>
      <c r="H7588" s="210"/>
    </row>
    <row r="7589" spans="3:8" x14ac:dyDescent="0.25">
      <c r="C7589" s="210"/>
      <c r="D7589" s="210"/>
      <c r="E7589" s="210"/>
      <c r="F7589" s="210"/>
      <c r="G7589" s="210"/>
      <c r="H7589" s="210"/>
    </row>
    <row r="7590" spans="3:8" x14ac:dyDescent="0.25">
      <c r="C7590" s="210"/>
      <c r="D7590" s="210"/>
      <c r="E7590" s="210"/>
      <c r="F7590" s="210"/>
      <c r="G7590" s="210"/>
      <c r="H7590" s="210"/>
    </row>
    <row r="7591" spans="3:8" x14ac:dyDescent="0.25">
      <c r="C7591" s="210"/>
      <c r="D7591" s="210"/>
      <c r="E7591" s="210"/>
      <c r="F7591" s="210"/>
      <c r="G7591" s="210"/>
      <c r="H7591" s="210"/>
    </row>
    <row r="7592" spans="3:8" x14ac:dyDescent="0.25">
      <c r="C7592" s="210"/>
      <c r="D7592" s="210"/>
      <c r="E7592" s="210"/>
      <c r="F7592" s="210"/>
      <c r="G7592" s="210"/>
      <c r="H7592" s="210"/>
    </row>
    <row r="7593" spans="3:8" x14ac:dyDescent="0.25">
      <c r="C7593" s="210"/>
      <c r="D7593" s="210"/>
      <c r="E7593" s="210"/>
      <c r="F7593" s="210"/>
      <c r="G7593" s="210"/>
      <c r="H7593" s="210"/>
    </row>
    <row r="7594" spans="3:8" x14ac:dyDescent="0.25">
      <c r="C7594" s="210"/>
      <c r="D7594" s="210"/>
      <c r="E7594" s="210"/>
      <c r="F7594" s="210"/>
      <c r="G7594" s="210"/>
      <c r="H7594" s="210"/>
    </row>
    <row r="7595" spans="3:8" x14ac:dyDescent="0.25">
      <c r="C7595" s="210"/>
      <c r="D7595" s="210"/>
      <c r="E7595" s="210"/>
      <c r="F7595" s="210"/>
      <c r="G7595" s="210"/>
      <c r="H7595" s="210"/>
    </row>
    <row r="7596" spans="3:8" x14ac:dyDescent="0.25">
      <c r="C7596" s="210"/>
      <c r="D7596" s="210"/>
      <c r="E7596" s="210"/>
      <c r="F7596" s="210"/>
      <c r="G7596" s="210"/>
      <c r="H7596" s="210"/>
    </row>
    <row r="7597" spans="3:8" x14ac:dyDescent="0.25">
      <c r="C7597" s="210"/>
      <c r="D7597" s="210"/>
      <c r="E7597" s="210"/>
      <c r="F7597" s="210"/>
      <c r="G7597" s="210"/>
      <c r="H7597" s="210"/>
    </row>
    <row r="7598" spans="3:8" x14ac:dyDescent="0.25">
      <c r="C7598" s="210"/>
      <c r="D7598" s="210"/>
      <c r="E7598" s="210"/>
      <c r="F7598" s="210"/>
      <c r="G7598" s="210"/>
      <c r="H7598" s="210"/>
    </row>
    <row r="7599" spans="3:8" x14ac:dyDescent="0.25">
      <c r="C7599" s="210"/>
      <c r="D7599" s="210"/>
      <c r="E7599" s="210"/>
      <c r="F7599" s="210"/>
      <c r="G7599" s="210"/>
      <c r="H7599" s="210"/>
    </row>
    <row r="7600" spans="3:8" x14ac:dyDescent="0.25">
      <c r="C7600" s="210"/>
      <c r="D7600" s="210"/>
      <c r="E7600" s="210"/>
      <c r="F7600" s="210"/>
      <c r="G7600" s="210"/>
      <c r="H7600" s="210"/>
    </row>
    <row r="7601" spans="3:8" x14ac:dyDescent="0.25">
      <c r="C7601" s="210"/>
      <c r="D7601" s="210"/>
      <c r="E7601" s="210"/>
      <c r="F7601" s="210"/>
      <c r="G7601" s="210"/>
      <c r="H7601" s="210"/>
    </row>
    <row r="7602" spans="3:8" x14ac:dyDescent="0.25">
      <c r="C7602" s="210"/>
      <c r="D7602" s="210"/>
      <c r="E7602" s="210"/>
      <c r="F7602" s="210"/>
      <c r="G7602" s="210"/>
      <c r="H7602" s="210"/>
    </row>
    <row r="7603" spans="3:8" x14ac:dyDescent="0.25">
      <c r="C7603" s="210"/>
      <c r="D7603" s="210"/>
      <c r="E7603" s="210"/>
      <c r="F7603" s="210"/>
      <c r="G7603" s="210"/>
      <c r="H7603" s="210"/>
    </row>
    <row r="7604" spans="3:8" x14ac:dyDescent="0.25">
      <c r="C7604" s="210"/>
      <c r="D7604" s="210"/>
      <c r="E7604" s="210"/>
      <c r="F7604" s="210"/>
      <c r="G7604" s="210"/>
      <c r="H7604" s="210"/>
    </row>
    <row r="7605" spans="3:8" x14ac:dyDescent="0.25">
      <c r="C7605" s="210"/>
      <c r="D7605" s="210"/>
      <c r="E7605" s="210"/>
      <c r="F7605" s="210"/>
      <c r="G7605" s="210"/>
      <c r="H7605" s="210"/>
    </row>
    <row r="7606" spans="3:8" x14ac:dyDescent="0.25">
      <c r="C7606" s="210"/>
      <c r="D7606" s="210"/>
      <c r="E7606" s="210"/>
      <c r="F7606" s="210"/>
      <c r="G7606" s="210"/>
      <c r="H7606" s="210"/>
    </row>
    <row r="7607" spans="3:8" x14ac:dyDescent="0.25">
      <c r="C7607" s="210"/>
      <c r="D7607" s="210"/>
      <c r="E7607" s="210"/>
      <c r="F7607" s="210"/>
      <c r="G7607" s="210"/>
      <c r="H7607" s="210"/>
    </row>
    <row r="7608" spans="3:8" x14ac:dyDescent="0.25">
      <c r="C7608" s="210"/>
      <c r="D7608" s="210"/>
      <c r="E7608" s="210"/>
      <c r="F7608" s="210"/>
      <c r="G7608" s="210"/>
      <c r="H7608" s="210"/>
    </row>
    <row r="7609" spans="3:8" x14ac:dyDescent="0.25">
      <c r="C7609" s="210"/>
      <c r="D7609" s="210"/>
      <c r="E7609" s="210"/>
      <c r="F7609" s="210"/>
      <c r="G7609" s="210"/>
      <c r="H7609" s="210"/>
    </row>
    <row r="7610" spans="3:8" x14ac:dyDescent="0.25">
      <c r="C7610" s="210"/>
      <c r="D7610" s="210"/>
      <c r="E7610" s="210"/>
      <c r="F7610" s="210"/>
      <c r="G7610" s="210"/>
      <c r="H7610" s="210"/>
    </row>
    <row r="7611" spans="3:8" x14ac:dyDescent="0.25">
      <c r="C7611" s="210"/>
      <c r="D7611" s="210"/>
      <c r="E7611" s="210"/>
      <c r="F7611" s="210"/>
      <c r="G7611" s="210"/>
      <c r="H7611" s="210"/>
    </row>
    <row r="7612" spans="3:8" x14ac:dyDescent="0.25">
      <c r="C7612" s="210"/>
      <c r="D7612" s="210"/>
      <c r="E7612" s="210"/>
      <c r="F7612" s="210"/>
      <c r="G7612" s="210"/>
      <c r="H7612" s="210"/>
    </row>
    <row r="7613" spans="3:8" x14ac:dyDescent="0.25">
      <c r="C7613" s="210"/>
      <c r="D7613" s="210"/>
      <c r="E7613" s="210"/>
      <c r="F7613" s="210"/>
      <c r="G7613" s="210"/>
      <c r="H7613" s="210"/>
    </row>
    <row r="7614" spans="3:8" x14ac:dyDescent="0.25">
      <c r="C7614" s="210"/>
      <c r="D7614" s="210"/>
      <c r="E7614" s="210"/>
      <c r="F7614" s="210"/>
      <c r="G7614" s="210"/>
      <c r="H7614" s="210"/>
    </row>
    <row r="7615" spans="3:8" x14ac:dyDescent="0.25">
      <c r="C7615" s="210"/>
      <c r="D7615" s="210"/>
      <c r="E7615" s="210"/>
      <c r="F7615" s="210"/>
      <c r="G7615" s="210"/>
      <c r="H7615" s="210"/>
    </row>
    <row r="7616" spans="3:8" x14ac:dyDescent="0.25">
      <c r="C7616" s="210"/>
      <c r="D7616" s="210"/>
      <c r="E7616" s="210"/>
      <c r="F7616" s="210"/>
      <c r="G7616" s="210"/>
      <c r="H7616" s="210"/>
    </row>
    <row r="7617" spans="3:8" x14ac:dyDescent="0.25">
      <c r="C7617" s="210"/>
      <c r="D7617" s="210"/>
      <c r="E7617" s="210"/>
      <c r="F7617" s="210"/>
      <c r="G7617" s="210"/>
      <c r="H7617" s="210"/>
    </row>
    <row r="7618" spans="3:8" x14ac:dyDescent="0.25">
      <c r="C7618" s="210"/>
      <c r="D7618" s="210"/>
      <c r="E7618" s="210"/>
      <c r="F7618" s="210"/>
      <c r="G7618" s="210"/>
      <c r="H7618" s="210"/>
    </row>
    <row r="7619" spans="3:8" x14ac:dyDescent="0.25">
      <c r="C7619" s="210"/>
      <c r="D7619" s="210"/>
      <c r="E7619" s="210"/>
      <c r="F7619" s="210"/>
      <c r="G7619" s="210"/>
      <c r="H7619" s="210"/>
    </row>
    <row r="7620" spans="3:8" x14ac:dyDescent="0.25">
      <c r="C7620" s="210"/>
      <c r="D7620" s="210"/>
      <c r="E7620" s="210"/>
      <c r="F7620" s="210"/>
      <c r="G7620" s="210"/>
      <c r="H7620" s="210"/>
    </row>
    <row r="7621" spans="3:8" x14ac:dyDescent="0.25">
      <c r="C7621" s="210"/>
      <c r="D7621" s="210"/>
      <c r="E7621" s="210"/>
      <c r="F7621" s="210"/>
      <c r="G7621" s="210"/>
      <c r="H7621" s="210"/>
    </row>
    <row r="7622" spans="3:8" x14ac:dyDescent="0.25">
      <c r="C7622" s="210"/>
      <c r="D7622" s="210"/>
      <c r="E7622" s="210"/>
      <c r="F7622" s="210"/>
      <c r="G7622" s="210"/>
      <c r="H7622" s="210"/>
    </row>
    <row r="7623" spans="3:8" x14ac:dyDescent="0.25">
      <c r="C7623" s="210"/>
      <c r="D7623" s="210"/>
      <c r="E7623" s="210"/>
      <c r="F7623" s="210"/>
      <c r="G7623" s="210"/>
      <c r="H7623" s="210"/>
    </row>
    <row r="7624" spans="3:8" x14ac:dyDescent="0.25">
      <c r="C7624" s="210"/>
      <c r="D7624" s="210"/>
      <c r="E7624" s="210"/>
      <c r="F7624" s="210"/>
      <c r="G7624" s="210"/>
      <c r="H7624" s="210"/>
    </row>
    <row r="7625" spans="3:8" x14ac:dyDescent="0.25">
      <c r="C7625" s="210"/>
      <c r="D7625" s="210"/>
      <c r="E7625" s="210"/>
      <c r="F7625" s="210"/>
      <c r="G7625" s="210"/>
      <c r="H7625" s="210"/>
    </row>
    <row r="7626" spans="3:8" x14ac:dyDescent="0.25">
      <c r="C7626" s="210"/>
      <c r="D7626" s="210"/>
      <c r="E7626" s="210"/>
      <c r="F7626" s="210"/>
      <c r="G7626" s="210"/>
      <c r="H7626" s="210"/>
    </row>
    <row r="7627" spans="3:8" x14ac:dyDescent="0.25">
      <c r="C7627" s="210"/>
      <c r="D7627" s="210"/>
      <c r="E7627" s="210"/>
      <c r="F7627" s="210"/>
      <c r="G7627" s="210"/>
      <c r="H7627" s="210"/>
    </row>
    <row r="7628" spans="3:8" x14ac:dyDescent="0.25">
      <c r="C7628" s="210"/>
      <c r="D7628" s="210"/>
      <c r="E7628" s="210"/>
      <c r="F7628" s="210"/>
      <c r="G7628" s="210"/>
      <c r="H7628" s="210"/>
    </row>
    <row r="7629" spans="3:8" x14ac:dyDescent="0.25">
      <c r="C7629" s="210"/>
      <c r="D7629" s="210"/>
      <c r="E7629" s="210"/>
      <c r="F7629" s="210"/>
      <c r="G7629" s="210"/>
      <c r="H7629" s="210"/>
    </row>
    <row r="7630" spans="3:8" x14ac:dyDescent="0.25">
      <c r="C7630" s="210"/>
      <c r="D7630" s="210"/>
      <c r="E7630" s="210"/>
      <c r="F7630" s="210"/>
      <c r="G7630" s="210"/>
      <c r="H7630" s="210"/>
    </row>
    <row r="7631" spans="3:8" x14ac:dyDescent="0.25">
      <c r="C7631" s="210"/>
      <c r="D7631" s="210"/>
      <c r="E7631" s="210"/>
      <c r="F7631" s="210"/>
      <c r="G7631" s="210"/>
      <c r="H7631" s="210"/>
    </row>
    <row r="7632" spans="3:8" x14ac:dyDescent="0.25">
      <c r="C7632" s="210"/>
      <c r="D7632" s="210"/>
      <c r="E7632" s="210"/>
      <c r="F7632" s="210"/>
      <c r="G7632" s="210"/>
      <c r="H7632" s="210"/>
    </row>
    <row r="7633" spans="3:8" x14ac:dyDescent="0.25">
      <c r="C7633" s="210"/>
      <c r="D7633" s="210"/>
      <c r="E7633" s="210"/>
      <c r="F7633" s="210"/>
      <c r="G7633" s="210"/>
      <c r="H7633" s="210"/>
    </row>
    <row r="7634" spans="3:8" x14ac:dyDescent="0.25">
      <c r="C7634" s="210"/>
      <c r="D7634" s="210"/>
      <c r="E7634" s="210"/>
      <c r="F7634" s="210"/>
      <c r="G7634" s="210"/>
      <c r="H7634" s="210"/>
    </row>
    <row r="7635" spans="3:8" x14ac:dyDescent="0.25">
      <c r="C7635" s="210"/>
      <c r="D7635" s="210"/>
      <c r="E7635" s="210"/>
      <c r="F7635" s="210"/>
      <c r="G7635" s="210"/>
      <c r="H7635" s="210"/>
    </row>
    <row r="7636" spans="3:8" x14ac:dyDescent="0.25">
      <c r="C7636" s="210"/>
      <c r="D7636" s="210"/>
      <c r="E7636" s="210"/>
      <c r="F7636" s="210"/>
      <c r="G7636" s="210"/>
      <c r="H7636" s="210"/>
    </row>
    <row r="7637" spans="3:8" x14ac:dyDescent="0.25">
      <c r="C7637" s="210"/>
      <c r="D7637" s="210"/>
      <c r="E7637" s="210"/>
      <c r="F7637" s="210"/>
      <c r="G7637" s="210"/>
      <c r="H7637" s="210"/>
    </row>
    <row r="7638" spans="3:8" x14ac:dyDescent="0.25">
      <c r="C7638" s="210"/>
      <c r="D7638" s="210"/>
      <c r="E7638" s="210"/>
      <c r="F7638" s="210"/>
      <c r="G7638" s="210"/>
      <c r="H7638" s="210"/>
    </row>
    <row r="7639" spans="3:8" x14ac:dyDescent="0.25">
      <c r="C7639" s="210"/>
      <c r="D7639" s="210"/>
      <c r="E7639" s="210"/>
      <c r="F7639" s="210"/>
      <c r="G7639" s="210"/>
      <c r="H7639" s="210"/>
    </row>
    <row r="7640" spans="3:8" x14ac:dyDescent="0.25">
      <c r="C7640" s="210"/>
      <c r="D7640" s="210"/>
      <c r="E7640" s="210"/>
      <c r="F7640" s="210"/>
      <c r="G7640" s="210"/>
      <c r="H7640" s="210"/>
    </row>
    <row r="7641" spans="3:8" x14ac:dyDescent="0.25">
      <c r="C7641" s="210"/>
      <c r="D7641" s="210"/>
      <c r="E7641" s="210"/>
      <c r="F7641" s="210"/>
      <c r="G7641" s="210"/>
      <c r="H7641" s="210"/>
    </row>
    <row r="7642" spans="3:8" x14ac:dyDescent="0.25">
      <c r="C7642" s="210"/>
      <c r="D7642" s="210"/>
      <c r="E7642" s="210"/>
      <c r="F7642" s="210"/>
      <c r="G7642" s="210"/>
      <c r="H7642" s="210"/>
    </row>
    <row r="7643" spans="3:8" x14ac:dyDescent="0.25">
      <c r="C7643" s="210"/>
      <c r="D7643" s="210"/>
      <c r="E7643" s="210"/>
      <c r="F7643" s="210"/>
      <c r="G7643" s="210"/>
      <c r="H7643" s="210"/>
    </row>
    <row r="7644" spans="3:8" x14ac:dyDescent="0.25">
      <c r="C7644" s="210"/>
      <c r="D7644" s="210"/>
      <c r="E7644" s="210"/>
      <c r="F7644" s="210"/>
      <c r="G7644" s="210"/>
      <c r="H7644" s="210"/>
    </row>
    <row r="7645" spans="3:8" x14ac:dyDescent="0.25">
      <c r="C7645" s="210"/>
      <c r="D7645" s="210"/>
      <c r="E7645" s="210"/>
      <c r="F7645" s="210"/>
      <c r="G7645" s="210"/>
      <c r="H7645" s="210"/>
    </row>
    <row r="7646" spans="3:8" x14ac:dyDescent="0.25">
      <c r="C7646" s="210"/>
      <c r="D7646" s="210"/>
      <c r="E7646" s="210"/>
      <c r="F7646" s="210"/>
      <c r="G7646" s="210"/>
      <c r="H7646" s="210"/>
    </row>
    <row r="7647" spans="3:8" x14ac:dyDescent="0.25">
      <c r="C7647" s="210"/>
      <c r="D7647" s="210"/>
      <c r="E7647" s="210"/>
      <c r="F7647" s="210"/>
      <c r="G7647" s="210"/>
      <c r="H7647" s="210"/>
    </row>
    <row r="7648" spans="3:8" x14ac:dyDescent="0.25">
      <c r="C7648" s="210"/>
      <c r="D7648" s="210"/>
      <c r="E7648" s="210"/>
      <c r="F7648" s="210"/>
      <c r="G7648" s="210"/>
      <c r="H7648" s="210"/>
    </row>
    <row r="7649" spans="3:8" x14ac:dyDescent="0.25">
      <c r="C7649" s="210"/>
      <c r="D7649" s="210"/>
      <c r="E7649" s="210"/>
      <c r="F7649" s="210"/>
      <c r="G7649" s="210"/>
      <c r="H7649" s="210"/>
    </row>
    <row r="7650" spans="3:8" x14ac:dyDescent="0.25">
      <c r="C7650" s="210"/>
      <c r="D7650" s="210"/>
      <c r="E7650" s="210"/>
      <c r="F7650" s="210"/>
      <c r="G7650" s="210"/>
      <c r="H7650" s="210"/>
    </row>
    <row r="7651" spans="3:8" x14ac:dyDescent="0.25">
      <c r="C7651" s="210"/>
      <c r="D7651" s="210"/>
      <c r="E7651" s="210"/>
      <c r="F7651" s="210"/>
      <c r="G7651" s="210"/>
      <c r="H7651" s="210"/>
    </row>
    <row r="7652" spans="3:8" x14ac:dyDescent="0.25">
      <c r="C7652" s="210"/>
      <c r="D7652" s="210"/>
      <c r="E7652" s="210"/>
      <c r="F7652" s="210"/>
      <c r="G7652" s="210"/>
      <c r="H7652" s="210"/>
    </row>
    <row r="7653" spans="3:8" x14ac:dyDescent="0.25">
      <c r="C7653" s="210"/>
      <c r="D7653" s="210"/>
      <c r="E7653" s="210"/>
      <c r="F7653" s="210"/>
      <c r="G7653" s="210"/>
      <c r="H7653" s="210"/>
    </row>
    <row r="7654" spans="3:8" x14ac:dyDescent="0.25">
      <c r="C7654" s="210"/>
      <c r="D7654" s="210"/>
      <c r="E7654" s="210"/>
      <c r="F7654" s="210"/>
      <c r="G7654" s="210"/>
      <c r="H7654" s="210"/>
    </row>
    <row r="7655" spans="3:8" x14ac:dyDescent="0.25">
      <c r="C7655" s="210"/>
      <c r="D7655" s="210"/>
      <c r="E7655" s="210"/>
      <c r="F7655" s="210"/>
      <c r="G7655" s="210"/>
      <c r="H7655" s="210"/>
    </row>
    <row r="7656" spans="3:8" x14ac:dyDescent="0.25">
      <c r="C7656" s="210"/>
      <c r="D7656" s="210"/>
      <c r="E7656" s="210"/>
      <c r="F7656" s="210"/>
      <c r="G7656" s="210"/>
      <c r="H7656" s="210"/>
    </row>
    <row r="7657" spans="3:8" x14ac:dyDescent="0.25">
      <c r="C7657" s="210"/>
      <c r="D7657" s="210"/>
      <c r="E7657" s="210"/>
      <c r="F7657" s="210"/>
      <c r="G7657" s="210"/>
      <c r="H7657" s="210"/>
    </row>
    <row r="7658" spans="3:8" x14ac:dyDescent="0.25">
      <c r="C7658" s="210"/>
      <c r="D7658" s="210"/>
      <c r="E7658" s="210"/>
      <c r="F7658" s="210"/>
      <c r="G7658" s="210"/>
      <c r="H7658" s="210"/>
    </row>
    <row r="7659" spans="3:8" x14ac:dyDescent="0.25">
      <c r="C7659" s="210"/>
      <c r="D7659" s="210"/>
      <c r="E7659" s="210"/>
      <c r="F7659" s="210"/>
      <c r="G7659" s="210"/>
      <c r="H7659" s="210"/>
    </row>
    <row r="7660" spans="3:8" x14ac:dyDescent="0.25">
      <c r="C7660" s="210"/>
      <c r="D7660" s="210"/>
      <c r="E7660" s="210"/>
      <c r="F7660" s="210"/>
      <c r="G7660" s="210"/>
      <c r="H7660" s="210"/>
    </row>
    <row r="7661" spans="3:8" x14ac:dyDescent="0.25">
      <c r="C7661" s="210"/>
      <c r="D7661" s="210"/>
      <c r="E7661" s="210"/>
      <c r="F7661" s="210"/>
      <c r="G7661" s="210"/>
      <c r="H7661" s="210"/>
    </row>
    <row r="7662" spans="3:8" x14ac:dyDescent="0.25">
      <c r="C7662" s="210"/>
      <c r="D7662" s="210"/>
      <c r="E7662" s="210"/>
      <c r="F7662" s="210"/>
      <c r="G7662" s="210"/>
      <c r="H7662" s="210"/>
    </row>
    <row r="7663" spans="3:8" x14ac:dyDescent="0.25">
      <c r="C7663" s="210"/>
      <c r="D7663" s="210"/>
      <c r="E7663" s="210"/>
      <c r="F7663" s="210"/>
      <c r="G7663" s="210"/>
      <c r="H7663" s="210"/>
    </row>
    <row r="7664" spans="3:8" x14ac:dyDescent="0.25">
      <c r="C7664" s="210"/>
      <c r="D7664" s="210"/>
      <c r="E7664" s="210"/>
      <c r="F7664" s="210"/>
      <c r="G7664" s="210"/>
      <c r="H7664" s="210"/>
    </row>
    <row r="7665" spans="3:8" x14ac:dyDescent="0.25">
      <c r="C7665" s="210"/>
      <c r="D7665" s="210"/>
      <c r="E7665" s="210"/>
      <c r="F7665" s="210"/>
      <c r="G7665" s="210"/>
      <c r="H7665" s="210"/>
    </row>
    <row r="7666" spans="3:8" x14ac:dyDescent="0.25">
      <c r="C7666" s="210"/>
      <c r="D7666" s="210"/>
      <c r="E7666" s="210"/>
      <c r="F7666" s="210"/>
      <c r="G7666" s="210"/>
      <c r="H7666" s="210"/>
    </row>
    <row r="7667" spans="3:8" x14ac:dyDescent="0.25">
      <c r="C7667" s="210"/>
      <c r="D7667" s="210"/>
      <c r="E7667" s="210"/>
      <c r="F7667" s="210"/>
      <c r="G7667" s="210"/>
      <c r="H7667" s="210"/>
    </row>
    <row r="7668" spans="3:8" x14ac:dyDescent="0.25">
      <c r="C7668" s="210"/>
      <c r="D7668" s="210"/>
      <c r="E7668" s="210"/>
      <c r="F7668" s="210"/>
      <c r="G7668" s="210"/>
      <c r="H7668" s="210"/>
    </row>
    <row r="7669" spans="3:8" x14ac:dyDescent="0.25">
      <c r="C7669" s="210"/>
      <c r="D7669" s="210"/>
      <c r="E7669" s="210"/>
      <c r="F7669" s="210"/>
      <c r="G7669" s="210"/>
      <c r="H7669" s="210"/>
    </row>
    <row r="7670" spans="3:8" x14ac:dyDescent="0.25">
      <c r="C7670" s="210"/>
      <c r="D7670" s="210"/>
      <c r="E7670" s="210"/>
      <c r="F7670" s="210"/>
      <c r="G7670" s="210"/>
      <c r="H7670" s="210"/>
    </row>
    <row r="7671" spans="3:8" x14ac:dyDescent="0.25">
      <c r="C7671" s="210"/>
      <c r="D7671" s="210"/>
      <c r="E7671" s="210"/>
      <c r="F7671" s="210"/>
      <c r="G7671" s="210"/>
      <c r="H7671" s="210"/>
    </row>
    <row r="7672" spans="3:8" x14ac:dyDescent="0.25">
      <c r="C7672" s="210"/>
      <c r="D7672" s="210"/>
      <c r="E7672" s="210"/>
      <c r="F7672" s="210"/>
      <c r="G7672" s="210"/>
      <c r="H7672" s="210"/>
    </row>
    <row r="7673" spans="3:8" x14ac:dyDescent="0.25">
      <c r="C7673" s="210"/>
      <c r="D7673" s="210"/>
      <c r="E7673" s="210"/>
      <c r="F7673" s="210"/>
      <c r="G7673" s="210"/>
      <c r="H7673" s="210"/>
    </row>
    <row r="7674" spans="3:8" x14ac:dyDescent="0.25">
      <c r="C7674" s="210"/>
      <c r="D7674" s="210"/>
      <c r="E7674" s="210"/>
      <c r="F7674" s="210"/>
      <c r="G7674" s="210"/>
      <c r="H7674" s="210"/>
    </row>
    <row r="7675" spans="3:8" x14ac:dyDescent="0.25">
      <c r="C7675" s="210"/>
      <c r="D7675" s="210"/>
      <c r="E7675" s="210"/>
      <c r="F7675" s="210"/>
      <c r="G7675" s="210"/>
      <c r="H7675" s="210"/>
    </row>
    <row r="7676" spans="3:8" x14ac:dyDescent="0.25">
      <c r="C7676" s="210"/>
      <c r="D7676" s="210"/>
      <c r="E7676" s="210"/>
      <c r="F7676" s="210"/>
      <c r="G7676" s="210"/>
      <c r="H7676" s="210"/>
    </row>
    <row r="7677" spans="3:8" x14ac:dyDescent="0.25">
      <c r="C7677" s="210"/>
      <c r="D7677" s="210"/>
      <c r="E7677" s="210"/>
      <c r="F7677" s="210"/>
      <c r="G7677" s="210"/>
      <c r="H7677" s="210"/>
    </row>
    <row r="7678" spans="3:8" x14ac:dyDescent="0.25">
      <c r="C7678" s="210"/>
      <c r="D7678" s="210"/>
      <c r="E7678" s="210"/>
      <c r="F7678" s="210"/>
      <c r="G7678" s="210"/>
      <c r="H7678" s="210"/>
    </row>
    <row r="7679" spans="3:8" x14ac:dyDescent="0.25">
      <c r="C7679" s="210"/>
      <c r="D7679" s="210"/>
      <c r="E7679" s="210"/>
      <c r="F7679" s="210"/>
      <c r="G7679" s="210"/>
      <c r="H7679" s="210"/>
    </row>
    <row r="7680" spans="3:8" x14ac:dyDescent="0.25">
      <c r="C7680" s="210"/>
      <c r="D7680" s="210"/>
      <c r="E7680" s="210"/>
      <c r="F7680" s="210"/>
      <c r="G7680" s="210"/>
      <c r="H7680" s="210"/>
    </row>
    <row r="7681" spans="3:8" x14ac:dyDescent="0.25">
      <c r="C7681" s="210"/>
      <c r="D7681" s="210"/>
      <c r="E7681" s="210"/>
      <c r="F7681" s="210"/>
      <c r="G7681" s="210"/>
      <c r="H7681" s="210"/>
    </row>
    <row r="7682" spans="3:8" x14ac:dyDescent="0.25">
      <c r="C7682" s="210"/>
      <c r="D7682" s="210"/>
      <c r="E7682" s="210"/>
      <c r="F7682" s="210"/>
      <c r="G7682" s="210"/>
      <c r="H7682" s="210"/>
    </row>
    <row r="7683" spans="3:8" x14ac:dyDescent="0.25">
      <c r="C7683" s="210"/>
      <c r="D7683" s="210"/>
      <c r="E7683" s="210"/>
      <c r="F7683" s="210"/>
      <c r="G7683" s="210"/>
      <c r="H7683" s="210"/>
    </row>
    <row r="7684" spans="3:8" x14ac:dyDescent="0.25">
      <c r="C7684" s="210"/>
      <c r="D7684" s="210"/>
      <c r="E7684" s="210"/>
      <c r="F7684" s="210"/>
      <c r="G7684" s="210"/>
      <c r="H7684" s="210"/>
    </row>
    <row r="7685" spans="3:8" x14ac:dyDescent="0.25">
      <c r="C7685" s="210"/>
      <c r="D7685" s="210"/>
      <c r="E7685" s="210"/>
      <c r="F7685" s="210"/>
      <c r="G7685" s="210"/>
      <c r="H7685" s="210"/>
    </row>
    <row r="7686" spans="3:8" x14ac:dyDescent="0.25">
      <c r="C7686" s="210"/>
      <c r="D7686" s="210"/>
      <c r="E7686" s="210"/>
      <c r="F7686" s="210"/>
      <c r="G7686" s="210"/>
      <c r="H7686" s="210"/>
    </row>
    <row r="7687" spans="3:8" x14ac:dyDescent="0.25">
      <c r="C7687" s="210"/>
      <c r="D7687" s="210"/>
      <c r="E7687" s="210"/>
      <c r="F7687" s="210"/>
      <c r="G7687" s="210"/>
      <c r="H7687" s="210"/>
    </row>
    <row r="7688" spans="3:8" x14ac:dyDescent="0.25">
      <c r="C7688" s="210"/>
      <c r="D7688" s="210"/>
      <c r="E7688" s="210"/>
      <c r="F7688" s="210"/>
      <c r="G7688" s="210"/>
      <c r="H7688" s="210"/>
    </row>
    <row r="7689" spans="3:8" x14ac:dyDescent="0.25">
      <c r="C7689" s="210"/>
      <c r="D7689" s="210"/>
      <c r="E7689" s="210"/>
      <c r="F7689" s="210"/>
      <c r="G7689" s="210"/>
      <c r="H7689" s="210"/>
    </row>
    <row r="7690" spans="3:8" x14ac:dyDescent="0.25">
      <c r="C7690" s="210"/>
      <c r="D7690" s="210"/>
      <c r="E7690" s="210"/>
      <c r="F7690" s="210"/>
      <c r="G7690" s="210"/>
      <c r="H7690" s="210"/>
    </row>
    <row r="7691" spans="3:8" x14ac:dyDescent="0.25">
      <c r="C7691" s="210"/>
      <c r="D7691" s="210"/>
      <c r="E7691" s="210"/>
      <c r="F7691" s="210"/>
      <c r="G7691" s="210"/>
      <c r="H7691" s="210"/>
    </row>
    <row r="7692" spans="3:8" x14ac:dyDescent="0.25">
      <c r="C7692" s="210"/>
      <c r="D7692" s="210"/>
      <c r="E7692" s="210"/>
      <c r="F7692" s="210"/>
      <c r="G7692" s="210"/>
      <c r="H7692" s="210"/>
    </row>
    <row r="7693" spans="3:8" x14ac:dyDescent="0.25">
      <c r="C7693" s="210"/>
      <c r="D7693" s="210"/>
      <c r="E7693" s="210"/>
      <c r="F7693" s="210"/>
      <c r="G7693" s="210"/>
      <c r="H7693" s="210"/>
    </row>
    <row r="7694" spans="3:8" x14ac:dyDescent="0.25">
      <c r="C7694" s="210"/>
      <c r="D7694" s="210"/>
      <c r="E7694" s="210"/>
      <c r="F7694" s="210"/>
      <c r="G7694" s="210"/>
      <c r="H7694" s="210"/>
    </row>
    <row r="7695" spans="3:8" x14ac:dyDescent="0.25">
      <c r="C7695" s="210"/>
      <c r="D7695" s="210"/>
      <c r="E7695" s="210"/>
      <c r="F7695" s="210"/>
      <c r="G7695" s="210"/>
      <c r="H7695" s="210"/>
    </row>
    <row r="7696" spans="3:8" x14ac:dyDescent="0.25">
      <c r="C7696" s="210"/>
      <c r="D7696" s="210"/>
      <c r="E7696" s="210"/>
      <c r="F7696" s="210"/>
      <c r="G7696" s="210"/>
      <c r="H7696" s="210"/>
    </row>
    <row r="7697" spans="3:8" x14ac:dyDescent="0.25">
      <c r="C7697" s="210"/>
      <c r="D7697" s="210"/>
      <c r="E7697" s="210"/>
      <c r="F7697" s="210"/>
      <c r="G7697" s="210"/>
      <c r="H7697" s="210"/>
    </row>
    <row r="7698" spans="3:8" x14ac:dyDescent="0.25">
      <c r="C7698" s="210"/>
      <c r="D7698" s="210"/>
      <c r="E7698" s="210"/>
      <c r="F7698" s="210"/>
      <c r="G7698" s="210"/>
      <c r="H7698" s="210"/>
    </row>
    <row r="7699" spans="3:8" x14ac:dyDescent="0.25">
      <c r="C7699" s="210"/>
      <c r="D7699" s="210"/>
      <c r="E7699" s="210"/>
      <c r="F7699" s="210"/>
      <c r="G7699" s="210"/>
      <c r="H7699" s="210"/>
    </row>
    <row r="7700" spans="3:8" x14ac:dyDescent="0.25">
      <c r="C7700" s="210"/>
      <c r="D7700" s="210"/>
      <c r="E7700" s="210"/>
      <c r="F7700" s="210"/>
      <c r="G7700" s="210"/>
      <c r="H7700" s="210"/>
    </row>
    <row r="7701" spans="3:8" x14ac:dyDescent="0.25">
      <c r="C7701" s="210"/>
      <c r="D7701" s="210"/>
      <c r="E7701" s="210"/>
      <c r="F7701" s="210"/>
      <c r="G7701" s="210"/>
      <c r="H7701" s="210"/>
    </row>
    <row r="7702" spans="3:8" x14ac:dyDescent="0.25">
      <c r="C7702" s="210"/>
      <c r="D7702" s="210"/>
      <c r="E7702" s="210"/>
      <c r="F7702" s="210"/>
      <c r="G7702" s="210"/>
      <c r="H7702" s="210"/>
    </row>
    <row r="7703" spans="3:8" x14ac:dyDescent="0.25">
      <c r="C7703" s="210"/>
      <c r="D7703" s="210"/>
      <c r="E7703" s="210"/>
      <c r="F7703" s="210"/>
      <c r="G7703" s="210"/>
      <c r="H7703" s="210"/>
    </row>
    <row r="7704" spans="3:8" x14ac:dyDescent="0.25">
      <c r="C7704" s="210"/>
      <c r="D7704" s="210"/>
      <c r="E7704" s="210"/>
      <c r="F7704" s="210"/>
      <c r="G7704" s="210"/>
      <c r="H7704" s="210"/>
    </row>
    <row r="7705" spans="3:8" x14ac:dyDescent="0.25">
      <c r="C7705" s="210"/>
      <c r="D7705" s="210"/>
      <c r="E7705" s="210"/>
      <c r="F7705" s="210"/>
      <c r="G7705" s="210"/>
      <c r="H7705" s="210"/>
    </row>
    <row r="7706" spans="3:8" x14ac:dyDescent="0.25">
      <c r="C7706" s="210"/>
      <c r="D7706" s="210"/>
      <c r="E7706" s="210"/>
      <c r="F7706" s="210"/>
      <c r="G7706" s="210"/>
      <c r="H7706" s="210"/>
    </row>
    <row r="7707" spans="3:8" x14ac:dyDescent="0.25">
      <c r="C7707" s="210"/>
      <c r="D7707" s="210"/>
      <c r="E7707" s="210"/>
      <c r="F7707" s="210"/>
      <c r="G7707" s="210"/>
      <c r="H7707" s="210"/>
    </row>
    <row r="7708" spans="3:8" x14ac:dyDescent="0.25">
      <c r="C7708" s="210"/>
      <c r="D7708" s="210"/>
      <c r="E7708" s="210"/>
      <c r="F7708" s="210"/>
      <c r="G7708" s="210"/>
      <c r="H7708" s="210"/>
    </row>
    <row r="7709" spans="3:8" x14ac:dyDescent="0.25">
      <c r="C7709" s="210"/>
      <c r="D7709" s="210"/>
      <c r="E7709" s="210"/>
      <c r="F7709" s="210"/>
      <c r="G7709" s="210"/>
      <c r="H7709" s="210"/>
    </row>
    <row r="7710" spans="3:8" x14ac:dyDescent="0.25">
      <c r="C7710" s="210"/>
      <c r="D7710" s="210"/>
      <c r="E7710" s="210"/>
      <c r="F7710" s="210"/>
      <c r="G7710" s="210"/>
      <c r="H7710" s="210"/>
    </row>
    <row r="7711" spans="3:8" x14ac:dyDescent="0.25">
      <c r="C7711" s="210"/>
      <c r="D7711" s="210"/>
      <c r="E7711" s="210"/>
      <c r="F7711" s="210"/>
      <c r="G7711" s="210"/>
      <c r="H7711" s="210"/>
    </row>
    <row r="7712" spans="3:8" x14ac:dyDescent="0.25">
      <c r="C7712" s="210"/>
      <c r="D7712" s="210"/>
      <c r="E7712" s="210"/>
      <c r="F7712" s="210"/>
      <c r="G7712" s="210"/>
      <c r="H7712" s="210"/>
    </row>
    <row r="7713" spans="3:8" x14ac:dyDescent="0.25">
      <c r="C7713" s="210"/>
      <c r="D7713" s="210"/>
      <c r="E7713" s="210"/>
      <c r="F7713" s="210"/>
      <c r="G7713" s="210"/>
      <c r="H7713" s="210"/>
    </row>
    <row r="7714" spans="3:8" x14ac:dyDescent="0.25">
      <c r="C7714" s="210"/>
      <c r="D7714" s="210"/>
      <c r="E7714" s="210"/>
      <c r="F7714" s="210"/>
      <c r="G7714" s="210"/>
      <c r="H7714" s="210"/>
    </row>
    <row r="7715" spans="3:8" x14ac:dyDescent="0.25">
      <c r="C7715" s="210"/>
      <c r="D7715" s="210"/>
      <c r="E7715" s="210"/>
      <c r="F7715" s="210"/>
      <c r="G7715" s="210"/>
      <c r="H7715" s="210"/>
    </row>
    <row r="7716" spans="3:8" x14ac:dyDescent="0.25">
      <c r="C7716" s="210"/>
      <c r="D7716" s="210"/>
      <c r="E7716" s="210"/>
      <c r="F7716" s="210"/>
      <c r="G7716" s="210"/>
      <c r="H7716" s="210"/>
    </row>
    <row r="7717" spans="3:8" x14ac:dyDescent="0.25">
      <c r="C7717" s="210"/>
      <c r="D7717" s="210"/>
      <c r="E7717" s="210"/>
      <c r="F7717" s="210"/>
      <c r="G7717" s="210"/>
      <c r="H7717" s="210"/>
    </row>
    <row r="7718" spans="3:8" x14ac:dyDescent="0.25">
      <c r="C7718" s="210"/>
      <c r="D7718" s="210"/>
      <c r="E7718" s="210"/>
      <c r="F7718" s="210"/>
      <c r="G7718" s="210"/>
      <c r="H7718" s="210"/>
    </row>
    <row r="7719" spans="3:8" x14ac:dyDescent="0.25">
      <c r="C7719" s="210"/>
      <c r="D7719" s="210"/>
      <c r="E7719" s="210"/>
      <c r="F7719" s="210"/>
      <c r="G7719" s="210"/>
      <c r="H7719" s="210"/>
    </row>
    <row r="7720" spans="3:8" x14ac:dyDescent="0.25">
      <c r="C7720" s="210"/>
      <c r="D7720" s="210"/>
      <c r="E7720" s="210"/>
      <c r="F7720" s="210"/>
      <c r="G7720" s="210"/>
      <c r="H7720" s="210"/>
    </row>
    <row r="7721" spans="3:8" x14ac:dyDescent="0.25">
      <c r="C7721" s="210"/>
      <c r="D7721" s="210"/>
      <c r="E7721" s="210"/>
      <c r="F7721" s="210"/>
      <c r="G7721" s="210"/>
      <c r="H7721" s="210"/>
    </row>
    <row r="7722" spans="3:8" x14ac:dyDescent="0.25">
      <c r="C7722" s="210"/>
      <c r="D7722" s="210"/>
      <c r="E7722" s="210"/>
      <c r="F7722" s="210"/>
      <c r="G7722" s="210"/>
      <c r="H7722" s="210"/>
    </row>
    <row r="7723" spans="3:8" x14ac:dyDescent="0.25">
      <c r="C7723" s="210"/>
      <c r="D7723" s="210"/>
      <c r="E7723" s="210"/>
      <c r="F7723" s="210"/>
      <c r="G7723" s="210"/>
      <c r="H7723" s="210"/>
    </row>
    <row r="7724" spans="3:8" x14ac:dyDescent="0.25">
      <c r="C7724" s="210"/>
      <c r="D7724" s="210"/>
      <c r="E7724" s="210"/>
      <c r="F7724" s="210"/>
      <c r="G7724" s="210"/>
      <c r="H7724" s="210"/>
    </row>
    <row r="7725" spans="3:8" x14ac:dyDescent="0.25">
      <c r="C7725" s="210"/>
      <c r="D7725" s="210"/>
      <c r="E7725" s="210"/>
      <c r="F7725" s="210"/>
      <c r="G7725" s="210"/>
      <c r="H7725" s="210"/>
    </row>
    <row r="7726" spans="3:8" x14ac:dyDescent="0.25">
      <c r="C7726" s="210"/>
      <c r="D7726" s="210"/>
      <c r="E7726" s="210"/>
      <c r="F7726" s="210"/>
      <c r="G7726" s="210"/>
      <c r="H7726" s="210"/>
    </row>
    <row r="7727" spans="3:8" x14ac:dyDescent="0.25">
      <c r="C7727" s="210"/>
      <c r="D7727" s="210"/>
      <c r="E7727" s="210"/>
      <c r="F7727" s="210"/>
      <c r="G7727" s="210"/>
      <c r="H7727" s="210"/>
    </row>
    <row r="7728" spans="3:8" x14ac:dyDescent="0.25">
      <c r="C7728" s="210"/>
      <c r="D7728" s="210"/>
      <c r="E7728" s="210"/>
      <c r="F7728" s="210"/>
      <c r="G7728" s="210"/>
      <c r="H7728" s="210"/>
    </row>
    <row r="7729" spans="3:8" x14ac:dyDescent="0.25">
      <c r="C7729" s="210"/>
      <c r="D7729" s="210"/>
      <c r="E7729" s="210"/>
      <c r="F7729" s="210"/>
      <c r="G7729" s="210"/>
      <c r="H7729" s="210"/>
    </row>
    <row r="7730" spans="3:8" x14ac:dyDescent="0.25">
      <c r="C7730" s="210"/>
      <c r="D7730" s="210"/>
      <c r="E7730" s="210"/>
      <c r="F7730" s="210"/>
      <c r="G7730" s="210"/>
      <c r="H7730" s="210"/>
    </row>
    <row r="7731" spans="3:8" x14ac:dyDescent="0.25">
      <c r="C7731" s="210"/>
      <c r="D7731" s="210"/>
      <c r="E7731" s="210"/>
      <c r="F7731" s="210"/>
      <c r="G7731" s="210"/>
      <c r="H7731" s="210"/>
    </row>
    <row r="7732" spans="3:8" x14ac:dyDescent="0.25">
      <c r="C7732" s="210"/>
      <c r="D7732" s="210"/>
      <c r="E7732" s="210"/>
      <c r="F7732" s="210"/>
      <c r="G7732" s="210"/>
      <c r="H7732" s="210"/>
    </row>
    <row r="7733" spans="3:8" x14ac:dyDescent="0.25">
      <c r="C7733" s="210"/>
      <c r="D7733" s="210"/>
      <c r="E7733" s="210"/>
      <c r="F7733" s="210"/>
      <c r="G7733" s="210"/>
      <c r="H7733" s="210"/>
    </row>
    <row r="7734" spans="3:8" x14ac:dyDescent="0.25">
      <c r="C7734" s="210"/>
      <c r="D7734" s="210"/>
      <c r="E7734" s="210"/>
      <c r="F7734" s="210"/>
      <c r="G7734" s="210"/>
      <c r="H7734" s="210"/>
    </row>
    <row r="7735" spans="3:8" x14ac:dyDescent="0.25">
      <c r="C7735" s="210"/>
      <c r="D7735" s="210"/>
      <c r="E7735" s="210"/>
      <c r="F7735" s="210"/>
      <c r="G7735" s="210"/>
      <c r="H7735" s="210"/>
    </row>
    <row r="7736" spans="3:8" x14ac:dyDescent="0.25">
      <c r="C7736" s="210"/>
      <c r="D7736" s="210"/>
      <c r="E7736" s="210"/>
      <c r="F7736" s="210"/>
      <c r="G7736" s="210"/>
      <c r="H7736" s="210"/>
    </row>
    <row r="7737" spans="3:8" x14ac:dyDescent="0.25">
      <c r="C7737" s="210"/>
      <c r="D7737" s="210"/>
      <c r="E7737" s="210"/>
      <c r="F7737" s="210"/>
      <c r="G7737" s="210"/>
      <c r="H7737" s="210"/>
    </row>
    <row r="7738" spans="3:8" x14ac:dyDescent="0.25">
      <c r="C7738" s="210"/>
      <c r="D7738" s="210"/>
      <c r="E7738" s="210"/>
      <c r="F7738" s="210"/>
      <c r="G7738" s="210"/>
      <c r="H7738" s="210"/>
    </row>
    <row r="7739" spans="3:8" x14ac:dyDescent="0.25">
      <c r="C7739" s="210"/>
      <c r="D7739" s="210"/>
      <c r="E7739" s="210"/>
      <c r="F7739" s="210"/>
      <c r="G7739" s="210"/>
      <c r="H7739" s="210"/>
    </row>
    <row r="7740" spans="3:8" x14ac:dyDescent="0.25">
      <c r="C7740" s="210"/>
      <c r="D7740" s="210"/>
      <c r="E7740" s="210"/>
      <c r="F7740" s="210"/>
      <c r="G7740" s="210"/>
      <c r="H7740" s="210"/>
    </row>
    <row r="7741" spans="3:8" x14ac:dyDescent="0.25">
      <c r="C7741" s="210"/>
      <c r="D7741" s="210"/>
      <c r="E7741" s="210"/>
      <c r="F7741" s="210"/>
      <c r="G7741" s="210"/>
      <c r="H7741" s="210"/>
    </row>
    <row r="7742" spans="3:8" x14ac:dyDescent="0.25">
      <c r="C7742" s="210"/>
      <c r="D7742" s="210"/>
      <c r="E7742" s="210"/>
      <c r="F7742" s="210"/>
      <c r="G7742" s="210"/>
      <c r="H7742" s="210"/>
    </row>
    <row r="7743" spans="3:8" x14ac:dyDescent="0.25">
      <c r="C7743" s="210"/>
      <c r="D7743" s="210"/>
      <c r="E7743" s="210"/>
      <c r="F7743" s="210"/>
      <c r="G7743" s="210"/>
      <c r="H7743" s="210"/>
    </row>
    <row r="7744" spans="3:8" x14ac:dyDescent="0.25">
      <c r="C7744" s="210"/>
      <c r="D7744" s="210"/>
      <c r="E7744" s="210"/>
      <c r="F7744" s="210"/>
      <c r="G7744" s="210"/>
      <c r="H7744" s="210"/>
    </row>
    <row r="7745" spans="3:8" x14ac:dyDescent="0.25">
      <c r="C7745" s="210"/>
      <c r="D7745" s="210"/>
      <c r="E7745" s="210"/>
      <c r="F7745" s="210"/>
      <c r="G7745" s="210"/>
      <c r="H7745" s="210"/>
    </row>
    <row r="7746" spans="3:8" x14ac:dyDescent="0.25">
      <c r="C7746" s="210"/>
      <c r="D7746" s="210"/>
      <c r="E7746" s="210"/>
      <c r="F7746" s="210"/>
      <c r="G7746" s="210"/>
      <c r="H7746" s="210"/>
    </row>
    <row r="7747" spans="3:8" x14ac:dyDescent="0.25">
      <c r="C7747" s="210"/>
      <c r="D7747" s="210"/>
      <c r="E7747" s="210"/>
      <c r="F7747" s="210"/>
      <c r="G7747" s="210"/>
      <c r="H7747" s="210"/>
    </row>
    <row r="7748" spans="3:8" x14ac:dyDescent="0.25">
      <c r="C7748" s="210"/>
      <c r="D7748" s="210"/>
      <c r="E7748" s="210"/>
      <c r="F7748" s="210"/>
      <c r="G7748" s="210"/>
      <c r="H7748" s="210"/>
    </row>
    <row r="7749" spans="3:8" x14ac:dyDescent="0.25">
      <c r="C7749" s="210"/>
      <c r="D7749" s="210"/>
      <c r="E7749" s="210"/>
      <c r="F7749" s="210"/>
      <c r="G7749" s="210"/>
      <c r="H7749" s="210"/>
    </row>
    <row r="7750" spans="3:8" x14ac:dyDescent="0.25">
      <c r="C7750" s="210"/>
      <c r="D7750" s="210"/>
      <c r="E7750" s="210"/>
      <c r="F7750" s="210"/>
      <c r="G7750" s="210"/>
      <c r="H7750" s="210"/>
    </row>
    <row r="7751" spans="3:8" x14ac:dyDescent="0.25">
      <c r="C7751" s="210"/>
      <c r="D7751" s="210"/>
      <c r="E7751" s="210"/>
      <c r="F7751" s="210"/>
      <c r="G7751" s="210"/>
      <c r="H7751" s="210"/>
    </row>
    <row r="7752" spans="3:8" x14ac:dyDescent="0.25">
      <c r="C7752" s="210"/>
      <c r="D7752" s="210"/>
      <c r="E7752" s="210"/>
      <c r="F7752" s="210"/>
      <c r="G7752" s="210"/>
      <c r="H7752" s="210"/>
    </row>
    <row r="7753" spans="3:8" x14ac:dyDescent="0.25">
      <c r="C7753" s="210"/>
      <c r="D7753" s="210"/>
      <c r="E7753" s="210"/>
      <c r="F7753" s="210"/>
      <c r="G7753" s="210"/>
      <c r="H7753" s="210"/>
    </row>
    <row r="7754" spans="3:8" x14ac:dyDescent="0.25">
      <c r="C7754" s="210"/>
      <c r="D7754" s="210"/>
      <c r="E7754" s="210"/>
      <c r="F7754" s="210"/>
      <c r="G7754" s="210"/>
      <c r="H7754" s="210"/>
    </row>
    <row r="7755" spans="3:8" x14ac:dyDescent="0.25">
      <c r="C7755" s="210"/>
      <c r="D7755" s="210"/>
      <c r="E7755" s="210"/>
      <c r="F7755" s="210"/>
      <c r="G7755" s="210"/>
      <c r="H7755" s="210"/>
    </row>
    <row r="7756" spans="3:8" x14ac:dyDescent="0.25">
      <c r="C7756" s="210"/>
      <c r="D7756" s="210"/>
      <c r="E7756" s="210"/>
      <c r="F7756" s="210"/>
      <c r="G7756" s="210"/>
      <c r="H7756" s="210"/>
    </row>
    <row r="7757" spans="3:8" x14ac:dyDescent="0.25">
      <c r="C7757" s="210"/>
      <c r="D7757" s="210"/>
      <c r="E7757" s="210"/>
      <c r="F7757" s="210"/>
      <c r="G7757" s="210"/>
      <c r="H7757" s="210"/>
    </row>
    <row r="7758" spans="3:8" x14ac:dyDescent="0.25">
      <c r="C7758" s="210"/>
      <c r="D7758" s="210"/>
      <c r="E7758" s="210"/>
      <c r="F7758" s="210"/>
      <c r="G7758" s="210"/>
      <c r="H7758" s="210"/>
    </row>
    <row r="7759" spans="3:8" x14ac:dyDescent="0.25">
      <c r="C7759" s="210"/>
      <c r="D7759" s="210"/>
      <c r="E7759" s="210"/>
      <c r="F7759" s="210"/>
      <c r="G7759" s="210"/>
      <c r="H7759" s="210"/>
    </row>
    <row r="7760" spans="3:8" x14ac:dyDescent="0.25">
      <c r="C7760" s="210"/>
      <c r="D7760" s="210"/>
      <c r="E7760" s="210"/>
      <c r="F7760" s="210"/>
      <c r="G7760" s="210"/>
      <c r="H7760" s="210"/>
    </row>
    <row r="7761" spans="3:8" x14ac:dyDescent="0.25">
      <c r="C7761" s="210"/>
      <c r="D7761" s="210"/>
      <c r="E7761" s="210"/>
      <c r="F7761" s="210"/>
      <c r="G7761" s="210"/>
      <c r="H7761" s="210"/>
    </row>
    <row r="7762" spans="3:8" x14ac:dyDescent="0.25">
      <c r="C7762" s="210"/>
      <c r="D7762" s="210"/>
      <c r="E7762" s="210"/>
      <c r="F7762" s="210"/>
      <c r="G7762" s="210"/>
      <c r="H7762" s="210"/>
    </row>
    <row r="7763" spans="3:8" x14ac:dyDescent="0.25">
      <c r="C7763" s="210"/>
      <c r="D7763" s="210"/>
      <c r="E7763" s="210"/>
      <c r="F7763" s="210"/>
      <c r="G7763" s="210"/>
      <c r="H7763" s="210"/>
    </row>
    <row r="7764" spans="3:8" x14ac:dyDescent="0.25">
      <c r="C7764" s="210"/>
      <c r="D7764" s="210"/>
      <c r="E7764" s="210"/>
      <c r="F7764" s="210"/>
      <c r="G7764" s="210"/>
      <c r="H7764" s="210"/>
    </row>
    <row r="7765" spans="3:8" x14ac:dyDescent="0.25">
      <c r="C7765" s="210"/>
      <c r="D7765" s="210"/>
      <c r="E7765" s="210"/>
      <c r="F7765" s="210"/>
      <c r="G7765" s="210"/>
      <c r="H7765" s="210"/>
    </row>
    <row r="7766" spans="3:8" x14ac:dyDescent="0.25">
      <c r="C7766" s="210"/>
      <c r="D7766" s="210"/>
      <c r="E7766" s="210"/>
      <c r="F7766" s="210"/>
      <c r="G7766" s="210"/>
      <c r="H7766" s="210"/>
    </row>
    <row r="7767" spans="3:8" x14ac:dyDescent="0.25">
      <c r="C7767" s="210"/>
      <c r="D7767" s="210"/>
      <c r="E7767" s="210"/>
      <c r="F7767" s="210"/>
      <c r="G7767" s="210"/>
      <c r="H7767" s="210"/>
    </row>
    <row r="7768" spans="3:8" x14ac:dyDescent="0.25">
      <c r="C7768" s="210"/>
      <c r="D7768" s="210"/>
      <c r="E7768" s="210"/>
      <c r="F7768" s="210"/>
      <c r="G7768" s="210"/>
      <c r="H7768" s="210"/>
    </row>
    <row r="7769" spans="3:8" x14ac:dyDescent="0.25">
      <c r="C7769" s="210"/>
      <c r="D7769" s="210"/>
      <c r="E7769" s="210"/>
      <c r="F7769" s="210"/>
      <c r="G7769" s="210"/>
      <c r="H7769" s="210"/>
    </row>
    <row r="7770" spans="3:8" x14ac:dyDescent="0.25">
      <c r="C7770" s="210"/>
      <c r="D7770" s="210"/>
      <c r="E7770" s="210"/>
      <c r="F7770" s="210"/>
      <c r="G7770" s="210"/>
      <c r="H7770" s="210"/>
    </row>
    <row r="7771" spans="3:8" x14ac:dyDescent="0.25">
      <c r="C7771" s="210"/>
      <c r="D7771" s="210"/>
      <c r="E7771" s="210"/>
      <c r="F7771" s="210"/>
      <c r="G7771" s="210"/>
      <c r="H7771" s="210"/>
    </row>
    <row r="7772" spans="3:8" x14ac:dyDescent="0.25">
      <c r="C7772" s="210"/>
      <c r="D7772" s="210"/>
      <c r="E7772" s="210"/>
      <c r="F7772" s="210"/>
      <c r="G7772" s="210"/>
      <c r="H7772" s="210"/>
    </row>
    <row r="7773" spans="3:8" x14ac:dyDescent="0.25">
      <c r="C7773" s="210"/>
      <c r="D7773" s="210"/>
      <c r="E7773" s="210"/>
      <c r="F7773" s="210"/>
      <c r="G7773" s="210"/>
      <c r="H7773" s="210"/>
    </row>
    <row r="7774" spans="3:8" x14ac:dyDescent="0.25">
      <c r="C7774" s="210"/>
      <c r="D7774" s="210"/>
      <c r="E7774" s="210"/>
      <c r="F7774" s="210"/>
      <c r="G7774" s="210"/>
      <c r="H7774" s="210"/>
    </row>
    <row r="7775" spans="3:8" x14ac:dyDescent="0.25">
      <c r="C7775" s="210"/>
      <c r="D7775" s="210"/>
      <c r="E7775" s="210"/>
      <c r="F7775" s="210"/>
      <c r="G7775" s="210"/>
      <c r="H7775" s="210"/>
    </row>
    <row r="7776" spans="3:8" x14ac:dyDescent="0.25">
      <c r="C7776" s="210"/>
      <c r="D7776" s="210"/>
      <c r="E7776" s="210"/>
      <c r="F7776" s="210"/>
      <c r="G7776" s="210"/>
      <c r="H7776" s="210"/>
    </row>
    <row r="7777" spans="3:8" x14ac:dyDescent="0.25">
      <c r="C7777" s="210"/>
      <c r="D7777" s="210"/>
      <c r="E7777" s="210"/>
      <c r="F7777" s="210"/>
      <c r="G7777" s="210"/>
      <c r="H7777" s="210"/>
    </row>
    <row r="7778" spans="3:8" x14ac:dyDescent="0.25">
      <c r="C7778" s="210"/>
      <c r="D7778" s="210"/>
      <c r="E7778" s="210"/>
      <c r="F7778" s="210"/>
      <c r="G7778" s="210"/>
      <c r="H7778" s="210"/>
    </row>
    <row r="7779" spans="3:8" x14ac:dyDescent="0.25">
      <c r="C7779" s="210"/>
      <c r="D7779" s="210"/>
      <c r="E7779" s="210"/>
      <c r="F7779" s="210"/>
      <c r="G7779" s="210"/>
      <c r="H7779" s="210"/>
    </row>
    <row r="7780" spans="3:8" x14ac:dyDescent="0.25">
      <c r="C7780" s="210"/>
      <c r="D7780" s="210"/>
      <c r="E7780" s="210"/>
      <c r="F7780" s="210"/>
      <c r="G7780" s="210"/>
      <c r="H7780" s="210"/>
    </row>
    <row r="7781" spans="3:8" x14ac:dyDescent="0.25">
      <c r="C7781" s="210"/>
      <c r="D7781" s="210"/>
      <c r="E7781" s="210"/>
      <c r="F7781" s="210"/>
      <c r="G7781" s="210"/>
      <c r="H7781" s="210"/>
    </row>
    <row r="7782" spans="3:8" x14ac:dyDescent="0.25">
      <c r="C7782" s="210"/>
      <c r="D7782" s="210"/>
      <c r="E7782" s="210"/>
      <c r="F7782" s="210"/>
      <c r="G7782" s="210"/>
      <c r="H7782" s="210"/>
    </row>
    <row r="7783" spans="3:8" x14ac:dyDescent="0.25">
      <c r="C7783" s="210"/>
      <c r="D7783" s="210"/>
      <c r="E7783" s="210"/>
      <c r="F7783" s="210"/>
      <c r="G7783" s="210"/>
      <c r="H7783" s="210"/>
    </row>
    <row r="7784" spans="3:8" x14ac:dyDescent="0.25">
      <c r="C7784" s="210"/>
      <c r="D7784" s="210"/>
      <c r="E7784" s="210"/>
      <c r="F7784" s="210"/>
      <c r="G7784" s="210"/>
      <c r="H7784" s="210"/>
    </row>
    <row r="7785" spans="3:8" x14ac:dyDescent="0.25">
      <c r="C7785" s="210"/>
      <c r="D7785" s="210"/>
      <c r="E7785" s="210"/>
      <c r="F7785" s="210"/>
      <c r="G7785" s="210"/>
      <c r="H7785" s="210"/>
    </row>
    <row r="7786" spans="3:8" x14ac:dyDescent="0.25">
      <c r="C7786" s="210"/>
      <c r="D7786" s="210"/>
      <c r="E7786" s="210"/>
      <c r="F7786" s="210"/>
      <c r="G7786" s="210"/>
      <c r="H7786" s="210"/>
    </row>
    <row r="7787" spans="3:8" x14ac:dyDescent="0.25">
      <c r="C7787" s="210"/>
      <c r="D7787" s="210"/>
      <c r="E7787" s="210"/>
      <c r="F7787" s="210"/>
      <c r="G7787" s="210"/>
      <c r="H7787" s="210"/>
    </row>
    <row r="7788" spans="3:8" x14ac:dyDescent="0.25">
      <c r="C7788" s="210"/>
      <c r="D7788" s="210"/>
      <c r="E7788" s="210"/>
      <c r="F7788" s="210"/>
      <c r="G7788" s="210"/>
      <c r="H7788" s="210"/>
    </row>
    <row r="7789" spans="3:8" x14ac:dyDescent="0.25">
      <c r="C7789" s="210"/>
      <c r="D7789" s="210"/>
      <c r="E7789" s="210"/>
      <c r="F7789" s="210"/>
      <c r="G7789" s="210"/>
      <c r="H7789" s="210"/>
    </row>
    <row r="7790" spans="3:8" x14ac:dyDescent="0.25">
      <c r="C7790" s="210"/>
      <c r="D7790" s="210"/>
      <c r="E7790" s="210"/>
      <c r="F7790" s="210"/>
      <c r="G7790" s="210"/>
      <c r="H7790" s="210"/>
    </row>
    <row r="7791" spans="3:8" x14ac:dyDescent="0.25">
      <c r="C7791" s="210"/>
      <c r="D7791" s="210"/>
      <c r="E7791" s="210"/>
      <c r="F7791" s="210"/>
      <c r="G7791" s="210"/>
      <c r="H7791" s="210"/>
    </row>
    <row r="7792" spans="3:8" x14ac:dyDescent="0.25">
      <c r="C7792" s="210"/>
      <c r="D7792" s="210"/>
      <c r="E7792" s="210"/>
      <c r="F7792" s="210"/>
      <c r="G7792" s="210"/>
      <c r="H7792" s="210"/>
    </row>
    <row r="7793" spans="3:8" x14ac:dyDescent="0.25">
      <c r="C7793" s="210"/>
      <c r="D7793" s="210"/>
      <c r="E7793" s="210"/>
      <c r="F7793" s="210"/>
      <c r="G7793" s="210"/>
      <c r="H7793" s="210"/>
    </row>
    <row r="7794" spans="3:8" x14ac:dyDescent="0.25">
      <c r="C7794" s="210"/>
      <c r="D7794" s="210"/>
      <c r="E7794" s="210"/>
      <c r="F7794" s="210"/>
      <c r="G7794" s="210"/>
      <c r="H7794" s="210"/>
    </row>
    <row r="7795" spans="3:8" x14ac:dyDescent="0.25">
      <c r="C7795" s="210"/>
      <c r="D7795" s="210"/>
      <c r="E7795" s="210"/>
      <c r="F7795" s="210"/>
      <c r="G7795" s="210"/>
      <c r="H7795" s="210"/>
    </row>
    <row r="7796" spans="3:8" x14ac:dyDescent="0.25">
      <c r="C7796" s="210"/>
      <c r="D7796" s="210"/>
      <c r="E7796" s="210"/>
      <c r="F7796" s="210"/>
      <c r="G7796" s="210"/>
      <c r="H7796" s="210"/>
    </row>
    <row r="7797" spans="3:8" x14ac:dyDescent="0.25">
      <c r="C7797" s="210"/>
      <c r="D7797" s="210"/>
      <c r="E7797" s="210"/>
      <c r="F7797" s="210"/>
      <c r="G7797" s="210"/>
      <c r="H7797" s="210"/>
    </row>
    <row r="7798" spans="3:8" x14ac:dyDescent="0.25">
      <c r="C7798" s="210"/>
      <c r="D7798" s="210"/>
      <c r="E7798" s="210"/>
      <c r="F7798" s="210"/>
      <c r="G7798" s="210"/>
      <c r="H7798" s="210"/>
    </row>
    <row r="7799" spans="3:8" x14ac:dyDescent="0.25">
      <c r="C7799" s="210"/>
      <c r="D7799" s="210"/>
      <c r="E7799" s="210"/>
      <c r="F7799" s="210"/>
      <c r="G7799" s="210"/>
      <c r="H7799" s="210"/>
    </row>
    <row r="7800" spans="3:8" x14ac:dyDescent="0.25">
      <c r="C7800" s="210"/>
      <c r="D7800" s="210"/>
      <c r="E7800" s="210"/>
      <c r="F7800" s="210"/>
      <c r="G7800" s="210"/>
      <c r="H7800" s="210"/>
    </row>
    <row r="7801" spans="3:8" x14ac:dyDescent="0.25">
      <c r="C7801" s="210"/>
      <c r="D7801" s="210"/>
      <c r="E7801" s="210"/>
      <c r="F7801" s="210"/>
      <c r="G7801" s="210"/>
      <c r="H7801" s="210"/>
    </row>
    <row r="7802" spans="3:8" x14ac:dyDescent="0.25">
      <c r="C7802" s="210"/>
      <c r="D7802" s="210"/>
      <c r="E7802" s="210"/>
      <c r="F7802" s="210"/>
      <c r="G7802" s="210"/>
      <c r="H7802" s="210"/>
    </row>
    <row r="7803" spans="3:8" x14ac:dyDescent="0.25">
      <c r="C7803" s="210"/>
      <c r="D7803" s="210"/>
      <c r="E7803" s="210"/>
      <c r="F7803" s="210"/>
      <c r="G7803" s="210"/>
      <c r="H7803" s="210"/>
    </row>
    <row r="7804" spans="3:8" x14ac:dyDescent="0.25">
      <c r="C7804" s="210"/>
      <c r="D7804" s="210"/>
      <c r="E7804" s="210"/>
      <c r="F7804" s="210"/>
      <c r="G7804" s="210"/>
      <c r="H7804" s="210"/>
    </row>
    <row r="7805" spans="3:8" x14ac:dyDescent="0.25">
      <c r="C7805" s="210"/>
      <c r="D7805" s="210"/>
      <c r="E7805" s="210"/>
      <c r="F7805" s="210"/>
      <c r="G7805" s="210"/>
      <c r="H7805" s="210"/>
    </row>
    <row r="7806" spans="3:8" x14ac:dyDescent="0.25">
      <c r="C7806" s="210"/>
      <c r="D7806" s="210"/>
      <c r="E7806" s="210"/>
      <c r="F7806" s="210"/>
      <c r="G7806" s="210"/>
      <c r="H7806" s="210"/>
    </row>
    <row r="7807" spans="3:8" x14ac:dyDescent="0.25">
      <c r="C7807" s="210"/>
      <c r="D7807" s="210"/>
      <c r="E7807" s="210"/>
      <c r="F7807" s="210"/>
      <c r="G7807" s="210"/>
      <c r="H7807" s="210"/>
    </row>
    <row r="7808" spans="3:8" x14ac:dyDescent="0.25">
      <c r="C7808" s="210"/>
      <c r="D7808" s="210"/>
      <c r="E7808" s="210"/>
      <c r="F7808" s="210"/>
      <c r="G7808" s="210"/>
      <c r="H7808" s="210"/>
    </row>
    <row r="7809" spans="3:8" x14ac:dyDescent="0.25">
      <c r="C7809" s="210"/>
      <c r="D7809" s="210"/>
      <c r="E7809" s="210"/>
      <c r="F7809" s="210"/>
      <c r="G7809" s="210"/>
      <c r="H7809" s="210"/>
    </row>
    <row r="7810" spans="3:8" x14ac:dyDescent="0.25">
      <c r="C7810" s="210"/>
      <c r="D7810" s="210"/>
      <c r="E7810" s="210"/>
      <c r="F7810" s="210"/>
      <c r="G7810" s="210"/>
      <c r="H7810" s="210"/>
    </row>
    <row r="7811" spans="3:8" x14ac:dyDescent="0.25">
      <c r="C7811" s="210"/>
      <c r="D7811" s="210"/>
      <c r="E7811" s="210"/>
      <c r="F7811" s="210"/>
      <c r="G7811" s="210"/>
      <c r="H7811" s="210"/>
    </row>
    <row r="7812" spans="3:8" x14ac:dyDescent="0.25">
      <c r="C7812" s="210"/>
      <c r="D7812" s="210"/>
      <c r="E7812" s="210"/>
      <c r="F7812" s="210"/>
      <c r="G7812" s="210"/>
      <c r="H7812" s="210"/>
    </row>
    <row r="7813" spans="3:8" x14ac:dyDescent="0.25">
      <c r="C7813" s="210"/>
      <c r="D7813" s="210"/>
      <c r="E7813" s="210"/>
      <c r="F7813" s="210"/>
      <c r="G7813" s="210"/>
      <c r="H7813" s="210"/>
    </row>
    <row r="7814" spans="3:8" x14ac:dyDescent="0.25">
      <c r="C7814" s="210"/>
      <c r="D7814" s="210"/>
      <c r="E7814" s="210"/>
      <c r="F7814" s="210"/>
      <c r="G7814" s="210"/>
      <c r="H7814" s="210"/>
    </row>
    <row r="7815" spans="3:8" x14ac:dyDescent="0.25">
      <c r="C7815" s="210"/>
      <c r="D7815" s="210"/>
      <c r="E7815" s="210"/>
      <c r="F7815" s="210"/>
      <c r="G7815" s="210"/>
      <c r="H7815" s="210"/>
    </row>
    <row r="7816" spans="3:8" x14ac:dyDescent="0.25">
      <c r="C7816" s="210"/>
      <c r="D7816" s="210"/>
      <c r="E7816" s="210"/>
      <c r="F7816" s="210"/>
      <c r="G7816" s="210"/>
      <c r="H7816" s="210"/>
    </row>
    <row r="7817" spans="3:8" x14ac:dyDescent="0.25">
      <c r="C7817" s="210"/>
      <c r="D7817" s="210"/>
      <c r="E7817" s="210"/>
      <c r="F7817" s="210"/>
      <c r="G7817" s="210"/>
      <c r="H7817" s="210"/>
    </row>
    <row r="7818" spans="3:8" x14ac:dyDescent="0.25">
      <c r="C7818" s="210"/>
      <c r="D7818" s="210"/>
      <c r="E7818" s="210"/>
      <c r="F7818" s="210"/>
      <c r="G7818" s="210"/>
      <c r="H7818" s="210"/>
    </row>
    <row r="7819" spans="3:8" x14ac:dyDescent="0.25">
      <c r="C7819" s="210"/>
      <c r="D7819" s="210"/>
      <c r="E7819" s="210"/>
      <c r="F7819" s="210"/>
      <c r="G7819" s="210"/>
      <c r="H7819" s="210"/>
    </row>
    <row r="7820" spans="3:8" x14ac:dyDescent="0.25">
      <c r="C7820" s="210"/>
      <c r="D7820" s="210"/>
      <c r="E7820" s="210"/>
      <c r="F7820" s="210"/>
      <c r="G7820" s="210"/>
      <c r="H7820" s="210"/>
    </row>
    <row r="7821" spans="3:8" x14ac:dyDescent="0.25">
      <c r="C7821" s="210"/>
      <c r="D7821" s="210"/>
      <c r="E7821" s="210"/>
      <c r="F7821" s="210"/>
      <c r="G7821" s="210"/>
      <c r="H7821" s="210"/>
    </row>
    <row r="7822" spans="3:8" x14ac:dyDescent="0.25">
      <c r="C7822" s="210"/>
      <c r="D7822" s="210"/>
      <c r="E7822" s="210"/>
      <c r="F7822" s="210"/>
      <c r="G7822" s="210"/>
      <c r="H7822" s="210"/>
    </row>
    <row r="7823" spans="3:8" x14ac:dyDescent="0.25">
      <c r="C7823" s="210"/>
      <c r="D7823" s="210"/>
      <c r="E7823" s="210"/>
      <c r="F7823" s="210"/>
      <c r="G7823" s="210"/>
      <c r="H7823" s="210"/>
    </row>
    <row r="7824" spans="3:8" x14ac:dyDescent="0.25">
      <c r="C7824" s="210"/>
      <c r="D7824" s="210"/>
      <c r="E7824" s="210"/>
      <c r="F7824" s="210"/>
      <c r="G7824" s="210"/>
      <c r="H7824" s="210"/>
    </row>
    <row r="7825" spans="3:8" x14ac:dyDescent="0.25">
      <c r="C7825" s="210"/>
      <c r="D7825" s="210"/>
      <c r="E7825" s="210"/>
      <c r="F7825" s="210"/>
      <c r="G7825" s="210"/>
      <c r="H7825" s="210"/>
    </row>
    <row r="7826" spans="3:8" x14ac:dyDescent="0.25">
      <c r="C7826" s="210"/>
      <c r="D7826" s="210"/>
      <c r="E7826" s="210"/>
      <c r="F7826" s="210"/>
      <c r="G7826" s="210"/>
      <c r="H7826" s="210"/>
    </row>
    <row r="7827" spans="3:8" x14ac:dyDescent="0.25">
      <c r="C7827" s="210"/>
      <c r="D7827" s="210"/>
      <c r="E7827" s="210"/>
      <c r="F7827" s="210"/>
      <c r="G7827" s="210"/>
      <c r="H7827" s="210"/>
    </row>
    <row r="7828" spans="3:8" x14ac:dyDescent="0.25">
      <c r="C7828" s="210"/>
      <c r="D7828" s="210"/>
      <c r="E7828" s="210"/>
      <c r="F7828" s="210"/>
      <c r="G7828" s="210"/>
      <c r="H7828" s="210"/>
    </row>
    <row r="7829" spans="3:8" x14ac:dyDescent="0.25">
      <c r="C7829" s="210"/>
      <c r="D7829" s="210"/>
      <c r="E7829" s="210"/>
      <c r="F7829" s="210"/>
      <c r="G7829" s="210"/>
      <c r="H7829" s="210"/>
    </row>
    <row r="7830" spans="3:8" x14ac:dyDescent="0.25">
      <c r="C7830" s="210"/>
      <c r="D7830" s="210"/>
      <c r="E7830" s="210"/>
      <c r="F7830" s="210"/>
      <c r="G7830" s="210"/>
      <c r="H7830" s="210"/>
    </row>
    <row r="7831" spans="3:8" x14ac:dyDescent="0.25">
      <c r="C7831" s="210"/>
      <c r="D7831" s="210"/>
      <c r="E7831" s="210"/>
      <c r="F7831" s="210"/>
      <c r="G7831" s="210"/>
      <c r="H7831" s="210"/>
    </row>
    <row r="7832" spans="3:8" x14ac:dyDescent="0.25">
      <c r="C7832" s="210"/>
      <c r="D7832" s="210"/>
      <c r="E7832" s="210"/>
      <c r="F7832" s="210"/>
      <c r="G7832" s="210"/>
      <c r="H7832" s="210"/>
    </row>
    <row r="7833" spans="3:8" x14ac:dyDescent="0.25">
      <c r="C7833" s="210"/>
      <c r="D7833" s="210"/>
      <c r="E7833" s="210"/>
      <c r="F7833" s="210"/>
      <c r="G7833" s="210"/>
      <c r="H7833" s="210"/>
    </row>
    <row r="7834" spans="3:8" x14ac:dyDescent="0.25">
      <c r="C7834" s="210"/>
      <c r="D7834" s="210"/>
      <c r="E7834" s="210"/>
      <c r="F7834" s="210"/>
      <c r="G7834" s="210"/>
      <c r="H7834" s="210"/>
    </row>
    <row r="7835" spans="3:8" x14ac:dyDescent="0.25">
      <c r="C7835" s="210"/>
      <c r="D7835" s="210"/>
      <c r="E7835" s="210"/>
      <c r="F7835" s="210"/>
      <c r="G7835" s="210"/>
      <c r="H7835" s="210"/>
    </row>
    <row r="7836" spans="3:8" x14ac:dyDescent="0.25">
      <c r="C7836" s="210"/>
      <c r="D7836" s="210"/>
      <c r="E7836" s="210"/>
      <c r="F7836" s="210"/>
      <c r="G7836" s="210"/>
      <c r="H7836" s="210"/>
    </row>
    <row r="7837" spans="3:8" x14ac:dyDescent="0.25">
      <c r="C7837" s="210"/>
      <c r="D7837" s="210"/>
      <c r="E7837" s="210"/>
      <c r="F7837" s="210"/>
      <c r="G7837" s="210"/>
      <c r="H7837" s="210"/>
    </row>
    <row r="7838" spans="3:8" x14ac:dyDescent="0.25">
      <c r="C7838" s="210"/>
      <c r="D7838" s="210"/>
      <c r="E7838" s="210"/>
      <c r="F7838" s="210"/>
      <c r="G7838" s="210"/>
      <c r="H7838" s="210"/>
    </row>
    <row r="7839" spans="3:8" x14ac:dyDescent="0.25">
      <c r="C7839" s="210"/>
      <c r="D7839" s="210"/>
      <c r="E7839" s="210"/>
      <c r="F7839" s="210"/>
      <c r="G7839" s="210"/>
      <c r="H7839" s="210"/>
    </row>
    <row r="7840" spans="3:8" x14ac:dyDescent="0.25">
      <c r="C7840" s="210"/>
      <c r="D7840" s="210"/>
      <c r="E7840" s="210"/>
      <c r="F7840" s="210"/>
      <c r="G7840" s="210"/>
      <c r="H7840" s="210"/>
    </row>
    <row r="7841" spans="3:8" x14ac:dyDescent="0.25">
      <c r="C7841" s="210"/>
      <c r="D7841" s="210"/>
      <c r="E7841" s="210"/>
      <c r="F7841" s="210"/>
      <c r="G7841" s="210"/>
      <c r="H7841" s="210"/>
    </row>
    <row r="7842" spans="3:8" x14ac:dyDescent="0.25">
      <c r="C7842" s="210"/>
      <c r="D7842" s="210"/>
      <c r="E7842" s="210"/>
      <c r="F7842" s="210"/>
      <c r="G7842" s="210"/>
      <c r="H7842" s="210"/>
    </row>
    <row r="7843" spans="3:8" x14ac:dyDescent="0.25">
      <c r="C7843" s="210"/>
      <c r="D7843" s="210"/>
      <c r="E7843" s="210"/>
      <c r="F7843" s="210"/>
      <c r="G7843" s="210"/>
      <c r="H7843" s="210"/>
    </row>
    <row r="7844" spans="3:8" x14ac:dyDescent="0.25">
      <c r="C7844" s="210"/>
      <c r="D7844" s="210"/>
      <c r="E7844" s="210"/>
      <c r="F7844" s="210"/>
      <c r="G7844" s="210"/>
      <c r="H7844" s="210"/>
    </row>
    <row r="7845" spans="3:8" x14ac:dyDescent="0.25">
      <c r="C7845" s="210"/>
      <c r="D7845" s="210"/>
      <c r="E7845" s="210"/>
      <c r="F7845" s="210"/>
      <c r="G7845" s="210"/>
      <c r="H7845" s="210"/>
    </row>
    <row r="7846" spans="3:8" x14ac:dyDescent="0.25">
      <c r="C7846" s="210"/>
      <c r="D7846" s="210"/>
      <c r="E7846" s="210"/>
      <c r="F7846" s="210"/>
      <c r="G7846" s="210"/>
      <c r="H7846" s="210"/>
    </row>
    <row r="7847" spans="3:8" x14ac:dyDescent="0.25">
      <c r="C7847" s="210"/>
      <c r="D7847" s="210"/>
      <c r="E7847" s="210"/>
      <c r="F7847" s="210"/>
      <c r="G7847" s="210"/>
      <c r="H7847" s="210"/>
    </row>
    <row r="7848" spans="3:8" x14ac:dyDescent="0.25">
      <c r="C7848" s="210"/>
      <c r="D7848" s="210"/>
      <c r="E7848" s="210"/>
      <c r="F7848" s="210"/>
      <c r="G7848" s="210"/>
      <c r="H7848" s="210"/>
    </row>
    <row r="7849" spans="3:8" x14ac:dyDescent="0.25">
      <c r="C7849" s="210"/>
      <c r="D7849" s="210"/>
      <c r="E7849" s="210"/>
      <c r="F7849" s="210"/>
      <c r="G7849" s="210"/>
      <c r="H7849" s="210"/>
    </row>
    <row r="7850" spans="3:8" x14ac:dyDescent="0.25">
      <c r="C7850" s="210"/>
      <c r="D7850" s="210"/>
      <c r="E7850" s="210"/>
      <c r="F7850" s="210"/>
      <c r="G7850" s="210"/>
      <c r="H7850" s="210"/>
    </row>
    <row r="7851" spans="3:8" x14ac:dyDescent="0.25">
      <c r="C7851" s="210"/>
      <c r="D7851" s="210"/>
      <c r="E7851" s="210"/>
      <c r="F7851" s="210"/>
      <c r="G7851" s="210"/>
      <c r="H7851" s="210"/>
    </row>
    <row r="7852" spans="3:8" x14ac:dyDescent="0.25">
      <c r="C7852" s="210"/>
      <c r="D7852" s="210"/>
      <c r="E7852" s="210"/>
      <c r="F7852" s="210"/>
      <c r="G7852" s="210"/>
      <c r="H7852" s="210"/>
    </row>
    <row r="7853" spans="3:8" x14ac:dyDescent="0.25">
      <c r="C7853" s="210"/>
      <c r="D7853" s="210"/>
      <c r="E7853" s="210"/>
      <c r="F7853" s="210"/>
      <c r="G7853" s="210"/>
      <c r="H7853" s="210"/>
    </row>
    <row r="7854" spans="3:8" x14ac:dyDescent="0.25">
      <c r="C7854" s="210"/>
      <c r="D7854" s="210"/>
      <c r="E7854" s="210"/>
      <c r="F7854" s="210"/>
      <c r="G7854" s="210"/>
      <c r="H7854" s="210"/>
    </row>
    <row r="7855" spans="3:8" x14ac:dyDescent="0.25">
      <c r="C7855" s="210"/>
      <c r="D7855" s="210"/>
      <c r="E7855" s="210"/>
      <c r="F7855" s="210"/>
      <c r="G7855" s="210"/>
      <c r="H7855" s="210"/>
    </row>
    <row r="7856" spans="3:8" x14ac:dyDescent="0.25">
      <c r="C7856" s="210"/>
      <c r="D7856" s="210"/>
      <c r="E7856" s="210"/>
      <c r="F7856" s="210"/>
      <c r="G7856" s="210"/>
      <c r="H7856" s="210"/>
    </row>
    <row r="7857" spans="3:8" x14ac:dyDescent="0.25">
      <c r="C7857" s="210"/>
      <c r="D7857" s="210"/>
      <c r="E7857" s="210"/>
      <c r="F7857" s="210"/>
      <c r="G7857" s="210"/>
      <c r="H7857" s="210"/>
    </row>
    <row r="7858" spans="3:8" x14ac:dyDescent="0.25">
      <c r="C7858" s="210"/>
      <c r="D7858" s="210"/>
      <c r="E7858" s="210"/>
      <c r="F7858" s="210"/>
      <c r="G7858" s="210"/>
      <c r="H7858" s="210"/>
    </row>
    <row r="7859" spans="3:8" x14ac:dyDescent="0.25">
      <c r="C7859" s="210"/>
      <c r="D7859" s="210"/>
      <c r="E7859" s="210"/>
      <c r="F7859" s="210"/>
      <c r="G7859" s="210"/>
      <c r="H7859" s="210"/>
    </row>
    <row r="7860" spans="3:8" x14ac:dyDescent="0.25">
      <c r="C7860" s="210"/>
      <c r="D7860" s="210"/>
      <c r="E7860" s="210"/>
      <c r="F7860" s="210"/>
      <c r="G7860" s="210"/>
      <c r="H7860" s="210"/>
    </row>
    <row r="7861" spans="3:8" x14ac:dyDescent="0.25">
      <c r="C7861" s="210"/>
      <c r="D7861" s="210"/>
      <c r="E7861" s="210"/>
      <c r="F7861" s="210"/>
      <c r="G7861" s="210"/>
      <c r="H7861" s="210"/>
    </row>
    <row r="7862" spans="3:8" x14ac:dyDescent="0.25">
      <c r="C7862" s="210"/>
      <c r="D7862" s="210"/>
      <c r="E7862" s="210"/>
      <c r="F7862" s="210"/>
      <c r="G7862" s="210"/>
      <c r="H7862" s="210"/>
    </row>
    <row r="7863" spans="3:8" x14ac:dyDescent="0.25">
      <c r="C7863" s="210"/>
      <c r="D7863" s="210"/>
      <c r="E7863" s="210"/>
      <c r="F7863" s="210"/>
      <c r="G7863" s="210"/>
      <c r="H7863" s="210"/>
    </row>
    <row r="7864" spans="3:8" x14ac:dyDescent="0.25">
      <c r="C7864" s="210"/>
      <c r="D7864" s="210"/>
      <c r="E7864" s="210"/>
      <c r="F7864" s="210"/>
      <c r="G7864" s="210"/>
      <c r="H7864" s="210"/>
    </row>
    <row r="7865" spans="3:8" x14ac:dyDescent="0.25">
      <c r="C7865" s="210"/>
      <c r="D7865" s="210"/>
      <c r="E7865" s="210"/>
      <c r="F7865" s="210"/>
      <c r="G7865" s="210"/>
      <c r="H7865" s="210"/>
    </row>
    <row r="7866" spans="3:8" x14ac:dyDescent="0.25">
      <c r="C7866" s="210"/>
      <c r="D7866" s="210"/>
      <c r="E7866" s="210"/>
      <c r="F7866" s="210"/>
      <c r="G7866" s="210"/>
      <c r="H7866" s="210"/>
    </row>
    <row r="7867" spans="3:8" x14ac:dyDescent="0.25">
      <c r="C7867" s="210"/>
      <c r="D7867" s="210"/>
      <c r="E7867" s="210"/>
      <c r="F7867" s="210"/>
      <c r="G7867" s="210"/>
      <c r="H7867" s="210"/>
    </row>
    <row r="7868" spans="3:8" x14ac:dyDescent="0.25">
      <c r="C7868" s="210"/>
      <c r="D7868" s="210"/>
      <c r="E7868" s="210"/>
      <c r="F7868" s="210"/>
      <c r="G7868" s="210"/>
      <c r="H7868" s="210"/>
    </row>
    <row r="7869" spans="3:8" x14ac:dyDescent="0.25">
      <c r="C7869" s="210"/>
      <c r="D7869" s="210"/>
      <c r="E7869" s="210"/>
      <c r="F7869" s="210"/>
      <c r="G7869" s="210"/>
      <c r="H7869" s="210"/>
    </row>
    <row r="7870" spans="3:8" x14ac:dyDescent="0.25">
      <c r="C7870" s="210"/>
      <c r="D7870" s="210"/>
      <c r="E7870" s="210"/>
      <c r="F7870" s="210"/>
      <c r="G7870" s="210"/>
      <c r="H7870" s="210"/>
    </row>
    <row r="7871" spans="3:8" x14ac:dyDescent="0.25">
      <c r="C7871" s="210"/>
      <c r="D7871" s="210"/>
      <c r="E7871" s="210"/>
      <c r="F7871" s="210"/>
      <c r="G7871" s="210"/>
      <c r="H7871" s="210"/>
    </row>
    <row r="7872" spans="3:8" x14ac:dyDescent="0.25">
      <c r="C7872" s="210"/>
      <c r="D7872" s="210"/>
      <c r="E7872" s="210"/>
      <c r="F7872" s="210"/>
      <c r="G7872" s="210"/>
      <c r="H7872" s="210"/>
    </row>
    <row r="7873" spans="3:8" x14ac:dyDescent="0.25">
      <c r="C7873" s="210"/>
      <c r="D7873" s="210"/>
      <c r="E7873" s="210"/>
      <c r="F7873" s="210"/>
      <c r="G7873" s="210"/>
      <c r="H7873" s="210"/>
    </row>
    <row r="7874" spans="3:8" x14ac:dyDescent="0.25">
      <c r="C7874" s="210"/>
      <c r="D7874" s="210"/>
      <c r="E7874" s="210"/>
      <c r="F7874" s="210"/>
      <c r="G7874" s="210"/>
      <c r="H7874" s="210"/>
    </row>
    <row r="7875" spans="3:8" x14ac:dyDescent="0.25">
      <c r="C7875" s="210"/>
      <c r="D7875" s="210"/>
      <c r="E7875" s="210"/>
      <c r="F7875" s="210"/>
      <c r="G7875" s="210"/>
      <c r="H7875" s="210"/>
    </row>
    <row r="7876" spans="3:8" x14ac:dyDescent="0.25">
      <c r="C7876" s="210"/>
      <c r="D7876" s="210"/>
      <c r="E7876" s="210"/>
      <c r="F7876" s="210"/>
      <c r="G7876" s="210"/>
      <c r="H7876" s="210"/>
    </row>
    <row r="7877" spans="3:8" x14ac:dyDescent="0.25">
      <c r="C7877" s="210"/>
      <c r="D7877" s="210"/>
      <c r="E7877" s="210"/>
      <c r="F7877" s="210"/>
      <c r="G7877" s="210"/>
      <c r="H7877" s="210"/>
    </row>
    <row r="7878" spans="3:8" x14ac:dyDescent="0.25">
      <c r="C7878" s="210"/>
      <c r="D7878" s="210"/>
      <c r="E7878" s="210"/>
      <c r="F7878" s="210"/>
      <c r="G7878" s="210"/>
      <c r="H7878" s="210"/>
    </row>
    <row r="7879" spans="3:8" x14ac:dyDescent="0.25">
      <c r="C7879" s="210"/>
      <c r="D7879" s="210"/>
      <c r="E7879" s="210"/>
      <c r="F7879" s="210"/>
      <c r="G7879" s="210"/>
      <c r="H7879" s="210"/>
    </row>
    <row r="7880" spans="3:8" x14ac:dyDescent="0.25">
      <c r="C7880" s="210"/>
      <c r="D7880" s="210"/>
      <c r="E7880" s="210"/>
      <c r="F7880" s="210"/>
      <c r="G7880" s="210"/>
      <c r="H7880" s="210"/>
    </row>
    <row r="7881" spans="3:8" x14ac:dyDescent="0.25">
      <c r="C7881" s="210"/>
      <c r="D7881" s="210"/>
      <c r="E7881" s="210"/>
      <c r="F7881" s="210"/>
      <c r="G7881" s="210"/>
      <c r="H7881" s="210"/>
    </row>
    <row r="7882" spans="3:8" x14ac:dyDescent="0.25">
      <c r="C7882" s="210"/>
      <c r="D7882" s="210"/>
      <c r="E7882" s="210"/>
      <c r="F7882" s="210"/>
      <c r="G7882" s="210"/>
      <c r="H7882" s="210"/>
    </row>
    <row r="7883" spans="3:8" x14ac:dyDescent="0.25">
      <c r="C7883" s="210"/>
      <c r="D7883" s="210"/>
      <c r="E7883" s="210"/>
      <c r="F7883" s="210"/>
      <c r="G7883" s="210"/>
      <c r="H7883" s="210"/>
    </row>
    <row r="7884" spans="3:8" x14ac:dyDescent="0.25">
      <c r="C7884" s="210"/>
      <c r="D7884" s="210"/>
      <c r="E7884" s="210"/>
      <c r="F7884" s="210"/>
      <c r="G7884" s="210"/>
      <c r="H7884" s="210"/>
    </row>
    <row r="7885" spans="3:8" x14ac:dyDescent="0.25">
      <c r="C7885" s="210"/>
      <c r="D7885" s="210"/>
      <c r="E7885" s="210"/>
      <c r="F7885" s="210"/>
      <c r="G7885" s="210"/>
      <c r="H7885" s="210"/>
    </row>
    <row r="7886" spans="3:8" x14ac:dyDescent="0.25">
      <c r="C7886" s="210"/>
      <c r="D7886" s="210"/>
      <c r="E7886" s="210"/>
      <c r="F7886" s="210"/>
      <c r="G7886" s="210"/>
      <c r="H7886" s="210"/>
    </row>
    <row r="7887" spans="3:8" x14ac:dyDescent="0.25">
      <c r="C7887" s="210"/>
      <c r="D7887" s="210"/>
      <c r="E7887" s="210"/>
      <c r="F7887" s="210"/>
      <c r="G7887" s="210"/>
      <c r="H7887" s="210"/>
    </row>
    <row r="7888" spans="3:8" x14ac:dyDescent="0.25">
      <c r="C7888" s="210"/>
      <c r="D7888" s="210"/>
      <c r="E7888" s="210"/>
      <c r="F7888" s="210"/>
      <c r="G7888" s="210"/>
      <c r="H7888" s="210"/>
    </row>
    <row r="7889" spans="3:8" x14ac:dyDescent="0.25">
      <c r="C7889" s="210"/>
      <c r="D7889" s="210"/>
      <c r="E7889" s="210"/>
      <c r="F7889" s="210"/>
      <c r="G7889" s="210"/>
      <c r="H7889" s="210"/>
    </row>
    <row r="7890" spans="3:8" x14ac:dyDescent="0.25">
      <c r="C7890" s="210"/>
      <c r="D7890" s="210"/>
      <c r="E7890" s="210"/>
      <c r="F7890" s="210"/>
      <c r="G7890" s="210"/>
      <c r="H7890" s="210"/>
    </row>
    <row r="7891" spans="3:8" x14ac:dyDescent="0.25">
      <c r="C7891" s="210"/>
      <c r="D7891" s="210"/>
      <c r="E7891" s="210"/>
      <c r="F7891" s="210"/>
      <c r="G7891" s="210"/>
      <c r="H7891" s="210"/>
    </row>
    <row r="7892" spans="3:8" x14ac:dyDescent="0.25">
      <c r="C7892" s="210"/>
      <c r="D7892" s="210"/>
      <c r="E7892" s="210"/>
      <c r="F7892" s="210"/>
      <c r="G7892" s="210"/>
      <c r="H7892" s="210"/>
    </row>
    <row r="7893" spans="3:8" x14ac:dyDescent="0.25">
      <c r="C7893" s="210"/>
      <c r="D7893" s="210"/>
      <c r="E7893" s="210"/>
      <c r="F7893" s="210"/>
      <c r="G7893" s="210"/>
      <c r="H7893" s="210"/>
    </row>
    <row r="7894" spans="3:8" x14ac:dyDescent="0.25">
      <c r="C7894" s="210"/>
      <c r="D7894" s="210"/>
      <c r="E7894" s="210"/>
      <c r="F7894" s="210"/>
      <c r="G7894" s="210"/>
      <c r="H7894" s="210"/>
    </row>
    <row r="7895" spans="3:8" x14ac:dyDescent="0.25">
      <c r="C7895" s="210"/>
      <c r="D7895" s="210"/>
      <c r="E7895" s="210"/>
      <c r="F7895" s="210"/>
      <c r="G7895" s="210"/>
      <c r="H7895" s="210"/>
    </row>
    <row r="7896" spans="3:8" x14ac:dyDescent="0.25">
      <c r="C7896" s="210"/>
      <c r="D7896" s="210"/>
      <c r="E7896" s="210"/>
      <c r="F7896" s="210"/>
      <c r="G7896" s="210"/>
      <c r="H7896" s="210"/>
    </row>
    <row r="7897" spans="3:8" x14ac:dyDescent="0.25">
      <c r="C7897" s="210"/>
      <c r="D7897" s="210"/>
      <c r="E7897" s="210"/>
      <c r="F7897" s="210"/>
      <c r="G7897" s="210"/>
      <c r="H7897" s="210"/>
    </row>
    <row r="7898" spans="3:8" x14ac:dyDescent="0.25">
      <c r="C7898" s="210"/>
      <c r="D7898" s="210"/>
      <c r="E7898" s="210"/>
      <c r="F7898" s="210"/>
      <c r="G7898" s="210"/>
      <c r="H7898" s="210"/>
    </row>
    <row r="7899" spans="3:8" x14ac:dyDescent="0.25">
      <c r="C7899" s="210"/>
      <c r="D7899" s="210"/>
      <c r="E7899" s="210"/>
      <c r="F7899" s="210"/>
      <c r="G7899" s="210"/>
      <c r="H7899" s="210"/>
    </row>
    <row r="7900" spans="3:8" x14ac:dyDescent="0.25">
      <c r="C7900" s="210"/>
      <c r="D7900" s="210"/>
      <c r="E7900" s="210"/>
      <c r="F7900" s="210"/>
      <c r="G7900" s="210"/>
      <c r="H7900" s="210"/>
    </row>
    <row r="7901" spans="3:8" x14ac:dyDescent="0.25">
      <c r="C7901" s="210"/>
      <c r="D7901" s="210"/>
      <c r="E7901" s="210"/>
      <c r="F7901" s="210"/>
      <c r="G7901" s="210"/>
      <c r="H7901" s="210"/>
    </row>
    <row r="7902" spans="3:8" x14ac:dyDescent="0.25">
      <c r="C7902" s="210"/>
      <c r="D7902" s="210"/>
      <c r="E7902" s="210"/>
      <c r="F7902" s="210"/>
      <c r="G7902" s="210"/>
      <c r="H7902" s="210"/>
    </row>
    <row r="7903" spans="3:8" x14ac:dyDescent="0.25">
      <c r="C7903" s="210"/>
      <c r="D7903" s="210"/>
      <c r="E7903" s="210"/>
      <c r="F7903" s="210"/>
      <c r="G7903" s="210"/>
      <c r="H7903" s="210"/>
    </row>
    <row r="7904" spans="3:8" x14ac:dyDescent="0.25">
      <c r="C7904" s="210"/>
      <c r="D7904" s="210"/>
      <c r="E7904" s="210"/>
      <c r="F7904" s="210"/>
      <c r="G7904" s="210"/>
      <c r="H7904" s="210"/>
    </row>
    <row r="7905" spans="3:8" x14ac:dyDescent="0.25">
      <c r="C7905" s="210"/>
      <c r="D7905" s="210"/>
      <c r="E7905" s="210"/>
      <c r="F7905" s="210"/>
      <c r="G7905" s="210"/>
      <c r="H7905" s="210"/>
    </row>
    <row r="7906" spans="3:8" x14ac:dyDescent="0.25">
      <c r="C7906" s="210"/>
      <c r="D7906" s="210"/>
      <c r="E7906" s="210"/>
      <c r="F7906" s="210"/>
      <c r="G7906" s="210"/>
      <c r="H7906" s="210"/>
    </row>
    <row r="7907" spans="3:8" x14ac:dyDescent="0.25">
      <c r="C7907" s="210"/>
      <c r="D7907" s="210"/>
      <c r="E7907" s="210"/>
      <c r="F7907" s="210"/>
      <c r="G7907" s="210"/>
      <c r="H7907" s="210"/>
    </row>
    <row r="7908" spans="3:8" x14ac:dyDescent="0.25">
      <c r="C7908" s="210"/>
      <c r="D7908" s="210"/>
      <c r="E7908" s="210"/>
      <c r="F7908" s="210"/>
      <c r="G7908" s="210"/>
      <c r="H7908" s="210"/>
    </row>
    <row r="7909" spans="3:8" x14ac:dyDescent="0.25">
      <c r="C7909" s="210"/>
      <c r="D7909" s="210"/>
      <c r="E7909" s="210"/>
      <c r="F7909" s="210"/>
      <c r="G7909" s="210"/>
      <c r="H7909" s="210"/>
    </row>
    <row r="7910" spans="3:8" x14ac:dyDescent="0.25">
      <c r="C7910" s="210"/>
      <c r="D7910" s="210"/>
      <c r="E7910" s="210"/>
      <c r="F7910" s="210"/>
      <c r="G7910" s="210"/>
      <c r="H7910" s="210"/>
    </row>
    <row r="7911" spans="3:8" x14ac:dyDescent="0.25">
      <c r="C7911" s="210"/>
      <c r="D7911" s="210"/>
      <c r="E7911" s="210"/>
      <c r="F7911" s="210"/>
      <c r="G7911" s="210"/>
      <c r="H7911" s="210"/>
    </row>
    <row r="7912" spans="3:8" x14ac:dyDescent="0.25">
      <c r="C7912" s="210"/>
      <c r="D7912" s="210"/>
      <c r="E7912" s="210"/>
      <c r="F7912" s="210"/>
      <c r="G7912" s="210"/>
      <c r="H7912" s="210"/>
    </row>
    <row r="7913" spans="3:8" x14ac:dyDescent="0.25">
      <c r="C7913" s="210"/>
      <c r="D7913" s="210"/>
      <c r="E7913" s="210"/>
      <c r="F7913" s="210"/>
      <c r="G7913" s="210"/>
      <c r="H7913" s="210"/>
    </row>
    <row r="7914" spans="3:8" x14ac:dyDescent="0.25">
      <c r="C7914" s="210"/>
      <c r="D7914" s="210"/>
      <c r="E7914" s="210"/>
      <c r="F7914" s="210"/>
      <c r="G7914" s="210"/>
      <c r="H7914" s="210"/>
    </row>
    <row r="7915" spans="3:8" x14ac:dyDescent="0.25">
      <c r="C7915" s="210"/>
      <c r="D7915" s="210"/>
      <c r="E7915" s="210"/>
      <c r="F7915" s="210"/>
      <c r="G7915" s="210"/>
      <c r="H7915" s="210"/>
    </row>
    <row r="7916" spans="3:8" x14ac:dyDescent="0.25">
      <c r="C7916" s="210"/>
      <c r="D7916" s="210"/>
      <c r="E7916" s="210"/>
      <c r="F7916" s="210"/>
      <c r="G7916" s="210"/>
      <c r="H7916" s="210"/>
    </row>
    <row r="7917" spans="3:8" x14ac:dyDescent="0.25">
      <c r="C7917" s="210"/>
      <c r="D7917" s="210"/>
      <c r="E7917" s="210"/>
      <c r="F7917" s="210"/>
      <c r="G7917" s="210"/>
      <c r="H7917" s="210"/>
    </row>
    <row r="7918" spans="3:8" x14ac:dyDescent="0.25">
      <c r="C7918" s="210"/>
      <c r="D7918" s="210"/>
      <c r="E7918" s="210"/>
      <c r="F7918" s="210"/>
      <c r="G7918" s="210"/>
      <c r="H7918" s="210"/>
    </row>
    <row r="7919" spans="3:8" x14ac:dyDescent="0.25">
      <c r="C7919" s="210"/>
      <c r="D7919" s="210"/>
      <c r="E7919" s="210"/>
      <c r="F7919" s="210"/>
      <c r="G7919" s="210"/>
      <c r="H7919" s="210"/>
    </row>
    <row r="7920" spans="3:8" x14ac:dyDescent="0.25">
      <c r="C7920" s="210"/>
      <c r="D7920" s="210"/>
      <c r="E7920" s="210"/>
      <c r="F7920" s="210"/>
      <c r="G7920" s="210"/>
      <c r="H7920" s="210"/>
    </row>
    <row r="7921" spans="3:8" x14ac:dyDescent="0.25">
      <c r="C7921" s="210"/>
      <c r="D7921" s="210"/>
      <c r="E7921" s="210"/>
      <c r="F7921" s="210"/>
      <c r="G7921" s="210"/>
      <c r="H7921" s="210"/>
    </row>
    <row r="7922" spans="3:8" x14ac:dyDescent="0.25">
      <c r="C7922" s="210"/>
      <c r="D7922" s="210"/>
      <c r="E7922" s="210"/>
      <c r="F7922" s="210"/>
      <c r="G7922" s="210"/>
      <c r="H7922" s="210"/>
    </row>
    <row r="7923" spans="3:8" x14ac:dyDescent="0.25">
      <c r="C7923" s="210"/>
      <c r="D7923" s="210"/>
      <c r="E7923" s="210"/>
      <c r="F7923" s="210"/>
      <c r="G7923" s="210"/>
      <c r="H7923" s="210"/>
    </row>
    <row r="7924" spans="3:8" x14ac:dyDescent="0.25">
      <c r="C7924" s="210"/>
      <c r="D7924" s="210"/>
      <c r="E7924" s="210"/>
      <c r="F7924" s="210"/>
      <c r="G7924" s="210"/>
      <c r="H7924" s="210"/>
    </row>
    <row r="7925" spans="3:8" x14ac:dyDescent="0.25">
      <c r="C7925" s="210"/>
      <c r="D7925" s="210"/>
      <c r="E7925" s="210"/>
      <c r="F7925" s="210"/>
      <c r="G7925" s="210"/>
      <c r="H7925" s="210"/>
    </row>
    <row r="7926" spans="3:8" x14ac:dyDescent="0.25">
      <c r="C7926" s="210"/>
      <c r="D7926" s="210"/>
      <c r="E7926" s="210"/>
      <c r="F7926" s="210"/>
      <c r="G7926" s="210"/>
      <c r="H7926" s="210"/>
    </row>
    <row r="7927" spans="3:8" x14ac:dyDescent="0.25">
      <c r="C7927" s="210"/>
      <c r="D7927" s="210"/>
      <c r="E7927" s="210"/>
      <c r="F7927" s="210"/>
      <c r="G7927" s="210"/>
      <c r="H7927" s="210"/>
    </row>
    <row r="7928" spans="3:8" x14ac:dyDescent="0.25">
      <c r="C7928" s="210"/>
      <c r="D7928" s="210"/>
      <c r="E7928" s="210"/>
      <c r="F7928" s="210"/>
      <c r="G7928" s="210"/>
      <c r="H7928" s="210"/>
    </row>
    <row r="7929" spans="3:8" x14ac:dyDescent="0.25">
      <c r="C7929" s="210"/>
      <c r="D7929" s="210"/>
      <c r="E7929" s="210"/>
      <c r="F7929" s="210"/>
      <c r="G7929" s="210"/>
      <c r="H7929" s="210"/>
    </row>
    <row r="7930" spans="3:8" x14ac:dyDescent="0.25">
      <c r="C7930" s="210"/>
      <c r="D7930" s="210"/>
      <c r="E7930" s="210"/>
      <c r="F7930" s="210"/>
      <c r="G7930" s="210"/>
      <c r="H7930" s="210"/>
    </row>
    <row r="7931" spans="3:8" x14ac:dyDescent="0.25">
      <c r="C7931" s="210"/>
      <c r="D7931" s="210"/>
      <c r="E7931" s="210"/>
      <c r="F7931" s="210"/>
      <c r="G7931" s="210"/>
      <c r="H7931" s="210"/>
    </row>
    <row r="7932" spans="3:8" x14ac:dyDescent="0.25">
      <c r="C7932" s="210"/>
      <c r="D7932" s="210"/>
      <c r="E7932" s="210"/>
      <c r="F7932" s="210"/>
      <c r="G7932" s="210"/>
      <c r="H7932" s="210"/>
    </row>
    <row r="7933" spans="3:8" x14ac:dyDescent="0.25">
      <c r="C7933" s="210"/>
      <c r="D7933" s="210"/>
      <c r="E7933" s="210"/>
      <c r="F7933" s="210"/>
      <c r="G7933" s="210"/>
      <c r="H7933" s="210"/>
    </row>
    <row r="7934" spans="3:8" x14ac:dyDescent="0.25">
      <c r="C7934" s="210"/>
      <c r="D7934" s="210"/>
      <c r="E7934" s="210"/>
      <c r="F7934" s="210"/>
      <c r="G7934" s="210"/>
      <c r="H7934" s="210"/>
    </row>
    <row r="7935" spans="3:8" x14ac:dyDescent="0.25">
      <c r="C7935" s="210"/>
      <c r="D7935" s="210"/>
      <c r="E7935" s="210"/>
      <c r="F7935" s="210"/>
      <c r="G7935" s="210"/>
      <c r="H7935" s="210"/>
    </row>
    <row r="7936" spans="3:8" x14ac:dyDescent="0.25">
      <c r="C7936" s="210"/>
      <c r="D7936" s="210"/>
      <c r="E7936" s="210"/>
      <c r="F7936" s="210"/>
      <c r="G7936" s="210"/>
      <c r="H7936" s="210"/>
    </row>
    <row r="7937" spans="3:8" x14ac:dyDescent="0.25">
      <c r="C7937" s="210"/>
      <c r="D7937" s="210"/>
      <c r="E7937" s="210"/>
      <c r="F7937" s="210"/>
      <c r="G7937" s="210"/>
      <c r="H7937" s="210"/>
    </row>
    <row r="7938" spans="3:8" x14ac:dyDescent="0.25">
      <c r="C7938" s="210"/>
      <c r="D7938" s="210"/>
      <c r="E7938" s="210"/>
      <c r="F7938" s="210"/>
      <c r="G7938" s="210"/>
      <c r="H7938" s="210"/>
    </row>
    <row r="7939" spans="3:8" x14ac:dyDescent="0.25">
      <c r="C7939" s="210"/>
      <c r="D7939" s="210"/>
      <c r="E7939" s="210"/>
      <c r="F7939" s="210"/>
      <c r="G7939" s="210"/>
      <c r="H7939" s="210"/>
    </row>
    <row r="7940" spans="3:8" x14ac:dyDescent="0.25">
      <c r="C7940" s="210"/>
      <c r="D7940" s="210"/>
      <c r="E7940" s="210"/>
      <c r="F7940" s="210"/>
      <c r="G7940" s="210"/>
      <c r="H7940" s="210"/>
    </row>
    <row r="7941" spans="3:8" x14ac:dyDescent="0.25">
      <c r="C7941" s="210"/>
      <c r="D7941" s="210"/>
      <c r="E7941" s="210"/>
      <c r="F7941" s="210"/>
      <c r="G7941" s="210"/>
      <c r="H7941" s="210"/>
    </row>
    <row r="7942" spans="3:8" x14ac:dyDescent="0.25">
      <c r="C7942" s="210"/>
      <c r="D7942" s="210"/>
      <c r="E7942" s="210"/>
      <c r="F7942" s="210"/>
      <c r="G7942" s="210"/>
      <c r="H7942" s="210"/>
    </row>
    <row r="7943" spans="3:8" x14ac:dyDescent="0.25">
      <c r="C7943" s="210"/>
      <c r="D7943" s="210"/>
      <c r="E7943" s="210"/>
      <c r="F7943" s="210"/>
      <c r="G7943" s="210"/>
      <c r="H7943" s="210"/>
    </row>
    <row r="7944" spans="3:8" x14ac:dyDescent="0.25">
      <c r="C7944" s="210"/>
      <c r="D7944" s="210"/>
      <c r="E7944" s="210"/>
      <c r="F7944" s="210"/>
      <c r="G7944" s="210"/>
      <c r="H7944" s="210"/>
    </row>
    <row r="7945" spans="3:8" x14ac:dyDescent="0.25">
      <c r="C7945" s="210"/>
      <c r="D7945" s="210"/>
      <c r="E7945" s="210"/>
      <c r="F7945" s="210"/>
      <c r="G7945" s="210"/>
      <c r="H7945" s="210"/>
    </row>
    <row r="7946" spans="3:8" x14ac:dyDescent="0.25">
      <c r="C7946" s="210"/>
      <c r="D7946" s="210"/>
      <c r="E7946" s="210"/>
      <c r="F7946" s="210"/>
      <c r="G7946" s="210"/>
      <c r="H7946" s="210"/>
    </row>
    <row r="7947" spans="3:8" x14ac:dyDescent="0.25">
      <c r="C7947" s="210"/>
      <c r="D7947" s="210"/>
      <c r="E7947" s="210"/>
      <c r="F7947" s="210"/>
      <c r="G7947" s="210"/>
      <c r="H7947" s="210"/>
    </row>
    <row r="7948" spans="3:8" x14ac:dyDescent="0.25">
      <c r="C7948" s="210"/>
      <c r="D7948" s="210"/>
      <c r="E7948" s="210"/>
      <c r="F7948" s="210"/>
      <c r="G7948" s="210"/>
      <c r="H7948" s="210"/>
    </row>
    <row r="7949" spans="3:8" x14ac:dyDescent="0.25">
      <c r="C7949" s="210"/>
      <c r="D7949" s="210"/>
      <c r="E7949" s="210"/>
      <c r="F7949" s="210"/>
      <c r="G7949" s="210"/>
      <c r="H7949" s="210"/>
    </row>
    <row r="7950" spans="3:8" x14ac:dyDescent="0.25">
      <c r="C7950" s="210"/>
      <c r="D7950" s="210"/>
      <c r="E7950" s="210"/>
      <c r="F7950" s="210"/>
      <c r="G7950" s="210"/>
      <c r="H7950" s="210"/>
    </row>
    <row r="7951" spans="3:8" x14ac:dyDescent="0.25">
      <c r="C7951" s="210"/>
      <c r="D7951" s="210"/>
      <c r="E7951" s="210"/>
      <c r="F7951" s="210"/>
      <c r="G7951" s="210"/>
      <c r="H7951" s="210"/>
    </row>
    <row r="7952" spans="3:8" x14ac:dyDescent="0.25">
      <c r="C7952" s="210"/>
      <c r="D7952" s="210"/>
      <c r="E7952" s="210"/>
      <c r="F7952" s="210"/>
      <c r="G7952" s="210"/>
      <c r="H7952" s="210"/>
    </row>
    <row r="7953" spans="3:8" x14ac:dyDescent="0.25">
      <c r="C7953" s="210"/>
      <c r="D7953" s="210"/>
      <c r="E7953" s="210"/>
      <c r="F7953" s="210"/>
      <c r="G7953" s="210"/>
      <c r="H7953" s="210"/>
    </row>
    <row r="7954" spans="3:8" x14ac:dyDescent="0.25">
      <c r="C7954" s="210"/>
      <c r="D7954" s="210"/>
      <c r="E7954" s="210"/>
      <c r="F7954" s="210"/>
      <c r="G7954" s="210"/>
      <c r="H7954" s="210"/>
    </row>
    <row r="7955" spans="3:8" x14ac:dyDescent="0.25">
      <c r="C7955" s="210"/>
      <c r="D7955" s="210"/>
      <c r="E7955" s="210"/>
      <c r="F7955" s="210"/>
      <c r="G7955" s="210"/>
      <c r="H7955" s="210"/>
    </row>
    <row r="7956" spans="3:8" x14ac:dyDescent="0.25">
      <c r="C7956" s="210"/>
      <c r="D7956" s="210"/>
      <c r="E7956" s="210"/>
      <c r="F7956" s="210"/>
      <c r="G7956" s="210"/>
      <c r="H7956" s="210"/>
    </row>
    <row r="7957" spans="3:8" x14ac:dyDescent="0.25">
      <c r="C7957" s="210"/>
      <c r="D7957" s="210"/>
      <c r="E7957" s="210"/>
      <c r="F7957" s="210"/>
      <c r="G7957" s="210"/>
      <c r="H7957" s="210"/>
    </row>
    <row r="7958" spans="3:8" x14ac:dyDescent="0.25">
      <c r="C7958" s="210"/>
      <c r="D7958" s="210"/>
      <c r="E7958" s="210"/>
      <c r="F7958" s="210"/>
      <c r="G7958" s="210"/>
      <c r="H7958" s="210"/>
    </row>
    <row r="7959" spans="3:8" x14ac:dyDescent="0.25">
      <c r="C7959" s="210"/>
      <c r="D7959" s="210"/>
      <c r="E7959" s="210"/>
      <c r="F7959" s="210"/>
      <c r="G7959" s="210"/>
      <c r="H7959" s="210"/>
    </row>
    <row r="7960" spans="3:8" x14ac:dyDescent="0.25">
      <c r="C7960" s="210"/>
      <c r="D7960" s="210"/>
      <c r="E7960" s="210"/>
      <c r="F7960" s="210"/>
      <c r="G7960" s="210"/>
      <c r="H7960" s="210"/>
    </row>
    <row r="7961" spans="3:8" x14ac:dyDescent="0.25">
      <c r="C7961" s="210"/>
      <c r="D7961" s="210"/>
      <c r="E7961" s="210"/>
      <c r="F7961" s="210"/>
      <c r="G7961" s="210"/>
      <c r="H7961" s="210"/>
    </row>
    <row r="7962" spans="3:8" x14ac:dyDescent="0.25">
      <c r="C7962" s="210"/>
      <c r="D7962" s="210"/>
      <c r="E7962" s="210"/>
      <c r="F7962" s="210"/>
      <c r="G7962" s="210"/>
      <c r="H7962" s="210"/>
    </row>
    <row r="7963" spans="3:8" x14ac:dyDescent="0.25">
      <c r="C7963" s="210"/>
      <c r="D7963" s="210"/>
      <c r="E7963" s="210"/>
      <c r="F7963" s="210"/>
      <c r="G7963" s="210"/>
      <c r="H7963" s="210"/>
    </row>
    <row r="7964" spans="3:8" x14ac:dyDescent="0.25">
      <c r="C7964" s="210"/>
      <c r="D7964" s="210"/>
      <c r="E7964" s="210"/>
      <c r="F7964" s="210"/>
      <c r="G7964" s="210"/>
      <c r="H7964" s="210"/>
    </row>
    <row r="7965" spans="3:8" x14ac:dyDescent="0.25">
      <c r="C7965" s="210"/>
      <c r="D7965" s="210"/>
      <c r="E7965" s="210"/>
      <c r="F7965" s="210"/>
      <c r="G7965" s="210"/>
      <c r="H7965" s="210"/>
    </row>
    <row r="7966" spans="3:8" x14ac:dyDescent="0.25">
      <c r="C7966" s="210"/>
      <c r="D7966" s="210"/>
      <c r="E7966" s="210"/>
      <c r="F7966" s="210"/>
      <c r="G7966" s="210"/>
      <c r="H7966" s="210"/>
    </row>
    <row r="7967" spans="3:8" x14ac:dyDescent="0.25">
      <c r="C7967" s="210"/>
      <c r="D7967" s="210"/>
      <c r="E7967" s="210"/>
      <c r="F7967" s="210"/>
      <c r="G7967" s="210"/>
      <c r="H7967" s="210"/>
    </row>
    <row r="7968" spans="3:8" x14ac:dyDescent="0.25">
      <c r="C7968" s="210"/>
      <c r="D7968" s="210"/>
      <c r="E7968" s="210"/>
      <c r="F7968" s="210"/>
      <c r="G7968" s="210"/>
      <c r="H7968" s="210"/>
    </row>
    <row r="7969" spans="3:8" x14ac:dyDescent="0.25">
      <c r="C7969" s="210"/>
      <c r="D7969" s="210"/>
      <c r="E7969" s="210"/>
      <c r="F7969" s="210"/>
      <c r="G7969" s="210"/>
      <c r="H7969" s="210"/>
    </row>
    <row r="7970" spans="3:8" x14ac:dyDescent="0.25">
      <c r="C7970" s="210"/>
      <c r="D7970" s="210"/>
      <c r="E7970" s="210"/>
      <c r="F7970" s="210"/>
      <c r="G7970" s="210"/>
      <c r="H7970" s="210"/>
    </row>
    <row r="7971" spans="3:8" x14ac:dyDescent="0.25">
      <c r="C7971" s="210"/>
      <c r="D7971" s="210"/>
      <c r="E7971" s="210"/>
      <c r="F7971" s="210"/>
      <c r="G7971" s="210"/>
      <c r="H7971" s="210"/>
    </row>
    <row r="7972" spans="3:8" x14ac:dyDescent="0.25">
      <c r="C7972" s="210"/>
      <c r="D7972" s="210"/>
      <c r="E7972" s="210"/>
      <c r="F7972" s="210"/>
      <c r="G7972" s="210"/>
      <c r="H7972" s="210"/>
    </row>
    <row r="7973" spans="3:8" x14ac:dyDescent="0.25">
      <c r="C7973" s="210"/>
      <c r="D7973" s="210"/>
      <c r="E7973" s="210"/>
      <c r="F7973" s="210"/>
      <c r="G7973" s="210"/>
      <c r="H7973" s="210"/>
    </row>
    <row r="7974" spans="3:8" x14ac:dyDescent="0.25">
      <c r="C7974" s="210"/>
      <c r="D7974" s="210"/>
      <c r="E7974" s="210"/>
      <c r="F7974" s="210"/>
      <c r="G7974" s="210"/>
      <c r="H7974" s="210"/>
    </row>
    <row r="7975" spans="3:8" x14ac:dyDescent="0.25">
      <c r="C7975" s="210"/>
      <c r="D7975" s="210"/>
      <c r="E7975" s="210"/>
      <c r="F7975" s="210"/>
      <c r="G7975" s="210"/>
      <c r="H7975" s="210"/>
    </row>
    <row r="7976" spans="3:8" x14ac:dyDescent="0.25">
      <c r="C7976" s="210"/>
      <c r="D7976" s="210"/>
      <c r="E7976" s="210"/>
      <c r="F7976" s="210"/>
      <c r="G7976" s="210"/>
      <c r="H7976" s="210"/>
    </row>
    <row r="7977" spans="3:8" x14ac:dyDescent="0.25">
      <c r="C7977" s="210"/>
      <c r="D7977" s="210"/>
      <c r="E7977" s="210"/>
      <c r="F7977" s="210"/>
      <c r="G7977" s="210"/>
      <c r="H7977" s="210"/>
    </row>
    <row r="7978" spans="3:8" x14ac:dyDescent="0.25">
      <c r="C7978" s="210"/>
      <c r="D7978" s="210"/>
      <c r="E7978" s="210"/>
      <c r="F7978" s="210"/>
      <c r="G7978" s="210"/>
      <c r="H7978" s="210"/>
    </row>
    <row r="7979" spans="3:8" x14ac:dyDescent="0.25">
      <c r="C7979" s="210"/>
      <c r="D7979" s="210"/>
      <c r="E7979" s="210"/>
      <c r="F7979" s="210"/>
      <c r="G7979" s="210"/>
      <c r="H7979" s="210"/>
    </row>
    <row r="7980" spans="3:8" x14ac:dyDescent="0.25">
      <c r="C7980" s="210"/>
      <c r="D7980" s="210"/>
      <c r="E7980" s="210"/>
      <c r="F7980" s="210"/>
      <c r="G7980" s="210"/>
      <c r="H7980" s="210"/>
    </row>
    <row r="7981" spans="3:8" x14ac:dyDescent="0.25">
      <c r="C7981" s="210"/>
      <c r="D7981" s="210"/>
      <c r="E7981" s="210"/>
      <c r="F7981" s="210"/>
      <c r="G7981" s="210"/>
      <c r="H7981" s="210"/>
    </row>
    <row r="7982" spans="3:8" x14ac:dyDescent="0.25">
      <c r="C7982" s="210"/>
      <c r="D7982" s="210"/>
      <c r="E7982" s="210"/>
      <c r="F7982" s="210"/>
      <c r="G7982" s="210"/>
      <c r="H7982" s="210"/>
    </row>
    <row r="7983" spans="3:8" x14ac:dyDescent="0.25">
      <c r="C7983" s="210"/>
      <c r="D7983" s="210"/>
      <c r="E7983" s="210"/>
      <c r="F7983" s="210"/>
      <c r="G7983" s="210"/>
      <c r="H7983" s="210"/>
    </row>
    <row r="7984" spans="3:8" x14ac:dyDescent="0.25">
      <c r="C7984" s="210"/>
      <c r="D7984" s="210"/>
      <c r="E7984" s="210"/>
      <c r="F7984" s="210"/>
      <c r="G7984" s="210"/>
      <c r="H7984" s="210"/>
    </row>
    <row r="7985" spans="3:8" x14ac:dyDescent="0.25">
      <c r="C7985" s="210"/>
      <c r="D7985" s="210"/>
      <c r="E7985" s="210"/>
      <c r="F7985" s="210"/>
      <c r="G7985" s="210"/>
      <c r="H7985" s="210"/>
    </row>
    <row r="7986" spans="3:8" x14ac:dyDescent="0.25">
      <c r="C7986" s="210"/>
      <c r="D7986" s="210"/>
      <c r="E7986" s="210"/>
      <c r="F7986" s="210"/>
      <c r="G7986" s="210"/>
      <c r="H7986" s="210"/>
    </row>
    <row r="7987" spans="3:8" x14ac:dyDescent="0.25">
      <c r="C7987" s="210"/>
      <c r="D7987" s="210"/>
      <c r="E7987" s="210"/>
      <c r="F7987" s="210"/>
      <c r="G7987" s="210"/>
      <c r="H7987" s="210"/>
    </row>
    <row r="7988" spans="3:8" x14ac:dyDescent="0.25">
      <c r="C7988" s="210"/>
      <c r="D7988" s="210"/>
      <c r="E7988" s="210"/>
      <c r="F7988" s="210"/>
      <c r="G7988" s="210"/>
      <c r="H7988" s="210"/>
    </row>
    <row r="7989" spans="3:8" x14ac:dyDescent="0.25">
      <c r="C7989" s="210"/>
      <c r="D7989" s="210"/>
      <c r="E7989" s="210"/>
      <c r="F7989" s="210"/>
      <c r="G7989" s="210"/>
      <c r="H7989" s="210"/>
    </row>
    <row r="7990" spans="3:8" x14ac:dyDescent="0.25">
      <c r="C7990" s="210"/>
      <c r="D7990" s="210"/>
      <c r="E7990" s="210"/>
      <c r="F7990" s="210"/>
      <c r="G7990" s="210"/>
      <c r="H7990" s="210"/>
    </row>
    <row r="7991" spans="3:8" x14ac:dyDescent="0.25">
      <c r="C7991" s="210"/>
      <c r="D7991" s="210"/>
      <c r="E7991" s="210"/>
      <c r="F7991" s="210"/>
      <c r="G7991" s="210"/>
      <c r="H7991" s="210"/>
    </row>
    <row r="7992" spans="3:8" x14ac:dyDescent="0.25">
      <c r="C7992" s="210"/>
      <c r="D7992" s="210"/>
      <c r="E7992" s="210"/>
      <c r="F7992" s="210"/>
      <c r="G7992" s="210"/>
      <c r="H7992" s="210"/>
    </row>
    <row r="7993" spans="3:8" x14ac:dyDescent="0.25">
      <c r="C7993" s="210"/>
      <c r="D7993" s="210"/>
      <c r="E7993" s="210"/>
      <c r="F7993" s="210"/>
      <c r="G7993" s="210"/>
      <c r="H7993" s="210"/>
    </row>
    <row r="7994" spans="3:8" x14ac:dyDescent="0.25">
      <c r="C7994" s="210"/>
      <c r="D7994" s="210"/>
      <c r="E7994" s="210"/>
      <c r="F7994" s="210"/>
      <c r="G7994" s="210"/>
      <c r="H7994" s="210"/>
    </row>
    <row r="7995" spans="3:8" x14ac:dyDescent="0.25">
      <c r="C7995" s="210"/>
      <c r="D7995" s="210"/>
      <c r="E7995" s="210"/>
      <c r="F7995" s="210"/>
      <c r="G7995" s="210"/>
      <c r="H7995" s="210"/>
    </row>
    <row r="7996" spans="3:8" x14ac:dyDescent="0.25">
      <c r="C7996" s="210"/>
      <c r="D7996" s="210"/>
      <c r="E7996" s="210"/>
      <c r="F7996" s="210"/>
      <c r="G7996" s="210"/>
      <c r="H7996" s="210"/>
    </row>
    <row r="7997" spans="3:8" x14ac:dyDescent="0.25">
      <c r="C7997" s="210"/>
      <c r="D7997" s="210"/>
      <c r="E7997" s="210"/>
      <c r="F7997" s="210"/>
      <c r="G7997" s="210"/>
      <c r="H7997" s="210"/>
    </row>
    <row r="7998" spans="3:8" x14ac:dyDescent="0.25">
      <c r="C7998" s="210"/>
      <c r="D7998" s="210"/>
      <c r="E7998" s="210"/>
      <c r="F7998" s="210"/>
      <c r="G7998" s="210"/>
      <c r="H7998" s="210"/>
    </row>
    <row r="7999" spans="3:8" x14ac:dyDescent="0.25">
      <c r="C7999" s="210"/>
      <c r="D7999" s="210"/>
      <c r="E7999" s="210"/>
      <c r="F7999" s="210"/>
      <c r="G7999" s="210"/>
      <c r="H7999" s="210"/>
    </row>
    <row r="8000" spans="3:8" x14ac:dyDescent="0.25">
      <c r="C8000" s="210"/>
      <c r="D8000" s="210"/>
      <c r="E8000" s="210"/>
      <c r="F8000" s="210"/>
      <c r="G8000" s="210"/>
      <c r="H8000" s="210"/>
    </row>
    <row r="8001" spans="3:8" x14ac:dyDescent="0.25">
      <c r="C8001" s="210"/>
      <c r="D8001" s="210"/>
      <c r="E8001" s="210"/>
      <c r="F8001" s="210"/>
      <c r="G8001" s="210"/>
      <c r="H8001" s="210"/>
    </row>
    <row r="8002" spans="3:8" x14ac:dyDescent="0.25">
      <c r="C8002" s="210"/>
      <c r="D8002" s="210"/>
      <c r="E8002" s="210"/>
      <c r="F8002" s="210"/>
      <c r="G8002" s="210"/>
      <c r="H8002" s="210"/>
    </row>
    <row r="8003" spans="3:8" x14ac:dyDescent="0.25">
      <c r="C8003" s="210"/>
      <c r="D8003" s="210"/>
      <c r="E8003" s="210"/>
      <c r="F8003" s="210"/>
      <c r="G8003" s="210"/>
      <c r="H8003" s="210"/>
    </row>
    <row r="8004" spans="3:8" x14ac:dyDescent="0.25">
      <c r="C8004" s="210"/>
      <c r="D8004" s="210"/>
      <c r="E8004" s="210"/>
      <c r="F8004" s="210"/>
      <c r="G8004" s="210"/>
      <c r="H8004" s="210"/>
    </row>
    <row r="8005" spans="3:8" x14ac:dyDescent="0.25">
      <c r="C8005" s="210"/>
      <c r="D8005" s="210"/>
      <c r="E8005" s="210"/>
      <c r="F8005" s="210"/>
      <c r="G8005" s="210"/>
      <c r="H8005" s="210"/>
    </row>
    <row r="8006" spans="3:8" x14ac:dyDescent="0.25">
      <c r="C8006" s="210"/>
      <c r="D8006" s="210"/>
      <c r="E8006" s="210"/>
      <c r="F8006" s="210"/>
      <c r="G8006" s="210"/>
      <c r="H8006" s="210"/>
    </row>
    <row r="8007" spans="3:8" x14ac:dyDescent="0.25">
      <c r="C8007" s="210"/>
      <c r="D8007" s="210"/>
      <c r="E8007" s="210"/>
      <c r="F8007" s="210"/>
      <c r="G8007" s="210"/>
      <c r="H8007" s="210"/>
    </row>
    <row r="8008" spans="3:8" x14ac:dyDescent="0.25">
      <c r="C8008" s="210"/>
      <c r="D8008" s="210"/>
      <c r="E8008" s="210"/>
      <c r="F8008" s="210"/>
      <c r="G8008" s="210"/>
      <c r="H8008" s="210"/>
    </row>
    <row r="8009" spans="3:8" x14ac:dyDescent="0.25">
      <c r="C8009" s="210"/>
      <c r="D8009" s="210"/>
      <c r="E8009" s="210"/>
      <c r="F8009" s="210"/>
      <c r="G8009" s="210"/>
      <c r="H8009" s="210"/>
    </row>
    <row r="8010" spans="3:8" x14ac:dyDescent="0.25">
      <c r="C8010" s="210"/>
      <c r="D8010" s="210"/>
      <c r="E8010" s="210"/>
      <c r="F8010" s="210"/>
      <c r="G8010" s="210"/>
      <c r="H8010" s="210"/>
    </row>
    <row r="8011" spans="3:8" x14ac:dyDescent="0.25">
      <c r="C8011" s="210"/>
      <c r="D8011" s="210"/>
      <c r="E8011" s="210"/>
      <c r="F8011" s="210"/>
      <c r="G8011" s="210"/>
      <c r="H8011" s="210"/>
    </row>
    <row r="8012" spans="3:8" x14ac:dyDescent="0.25">
      <c r="C8012" s="210"/>
      <c r="D8012" s="210"/>
      <c r="E8012" s="210"/>
      <c r="F8012" s="210"/>
      <c r="G8012" s="210"/>
      <c r="H8012" s="210"/>
    </row>
    <row r="8013" spans="3:8" x14ac:dyDescent="0.25">
      <c r="C8013" s="210"/>
      <c r="D8013" s="210"/>
      <c r="E8013" s="210"/>
      <c r="F8013" s="210"/>
      <c r="G8013" s="210"/>
      <c r="H8013" s="210"/>
    </row>
    <row r="8014" spans="3:8" x14ac:dyDescent="0.25">
      <c r="C8014" s="210"/>
      <c r="D8014" s="210"/>
      <c r="E8014" s="210"/>
      <c r="F8014" s="210"/>
      <c r="G8014" s="210"/>
      <c r="H8014" s="210"/>
    </row>
    <row r="8015" spans="3:8" x14ac:dyDescent="0.25">
      <c r="C8015" s="210"/>
      <c r="D8015" s="210"/>
      <c r="E8015" s="210"/>
      <c r="F8015" s="210"/>
      <c r="G8015" s="210"/>
      <c r="H8015" s="210"/>
    </row>
    <row r="8016" spans="3:8" x14ac:dyDescent="0.25">
      <c r="C8016" s="210"/>
      <c r="D8016" s="210"/>
      <c r="E8016" s="210"/>
      <c r="F8016" s="210"/>
      <c r="G8016" s="210"/>
      <c r="H8016" s="210"/>
    </row>
    <row r="8017" spans="3:8" x14ac:dyDescent="0.25">
      <c r="C8017" s="210"/>
      <c r="D8017" s="210"/>
      <c r="E8017" s="210"/>
      <c r="F8017" s="210"/>
      <c r="G8017" s="210"/>
      <c r="H8017" s="210"/>
    </row>
    <row r="8018" spans="3:8" x14ac:dyDescent="0.25">
      <c r="C8018" s="210"/>
      <c r="D8018" s="210"/>
      <c r="E8018" s="210"/>
      <c r="F8018" s="210"/>
      <c r="G8018" s="210"/>
      <c r="H8018" s="210"/>
    </row>
    <row r="8019" spans="3:8" x14ac:dyDescent="0.25">
      <c r="C8019" s="210"/>
      <c r="D8019" s="210"/>
      <c r="E8019" s="210"/>
      <c r="F8019" s="210"/>
      <c r="G8019" s="210"/>
      <c r="H8019" s="210"/>
    </row>
    <row r="8020" spans="3:8" x14ac:dyDescent="0.25">
      <c r="C8020" s="210"/>
      <c r="D8020" s="210"/>
      <c r="E8020" s="210"/>
      <c r="F8020" s="210"/>
      <c r="G8020" s="210"/>
      <c r="H8020" s="210"/>
    </row>
    <row r="8021" spans="3:8" x14ac:dyDescent="0.25">
      <c r="C8021" s="210"/>
      <c r="D8021" s="210"/>
      <c r="E8021" s="210"/>
      <c r="F8021" s="210"/>
      <c r="G8021" s="210"/>
      <c r="H8021" s="210"/>
    </row>
    <row r="8022" spans="3:8" x14ac:dyDescent="0.25">
      <c r="C8022" s="210"/>
      <c r="D8022" s="210"/>
      <c r="E8022" s="210"/>
      <c r="F8022" s="210"/>
      <c r="G8022" s="210"/>
      <c r="H8022" s="210"/>
    </row>
    <row r="8023" spans="3:8" x14ac:dyDescent="0.25">
      <c r="C8023" s="210"/>
      <c r="D8023" s="210"/>
      <c r="E8023" s="210"/>
      <c r="F8023" s="210"/>
      <c r="G8023" s="210"/>
      <c r="H8023" s="210"/>
    </row>
    <row r="8024" spans="3:8" x14ac:dyDescent="0.25">
      <c r="C8024" s="210"/>
      <c r="D8024" s="210"/>
      <c r="E8024" s="210"/>
      <c r="F8024" s="210"/>
      <c r="G8024" s="210"/>
      <c r="H8024" s="210"/>
    </row>
    <row r="8025" spans="3:8" x14ac:dyDescent="0.25">
      <c r="C8025" s="210"/>
      <c r="D8025" s="210"/>
      <c r="E8025" s="210"/>
      <c r="F8025" s="210"/>
      <c r="G8025" s="210"/>
      <c r="H8025" s="210"/>
    </row>
    <row r="8026" spans="3:8" x14ac:dyDescent="0.25">
      <c r="C8026" s="210"/>
      <c r="D8026" s="210"/>
      <c r="E8026" s="210"/>
      <c r="F8026" s="210"/>
      <c r="G8026" s="210"/>
      <c r="H8026" s="210"/>
    </row>
    <row r="8027" spans="3:8" x14ac:dyDescent="0.25">
      <c r="C8027" s="210"/>
      <c r="D8027" s="210"/>
      <c r="E8027" s="210"/>
      <c r="F8027" s="210"/>
      <c r="G8027" s="210"/>
      <c r="H8027" s="210"/>
    </row>
    <row r="8028" spans="3:8" x14ac:dyDescent="0.25">
      <c r="C8028" s="210"/>
      <c r="D8028" s="210"/>
      <c r="E8028" s="210"/>
      <c r="F8028" s="210"/>
      <c r="G8028" s="210"/>
      <c r="H8028" s="210"/>
    </row>
    <row r="8029" spans="3:8" x14ac:dyDescent="0.25">
      <c r="C8029" s="210"/>
      <c r="D8029" s="210"/>
      <c r="E8029" s="210"/>
      <c r="F8029" s="210"/>
      <c r="G8029" s="210"/>
      <c r="H8029" s="210"/>
    </row>
    <row r="8030" spans="3:8" x14ac:dyDescent="0.25">
      <c r="C8030" s="210"/>
      <c r="D8030" s="210"/>
      <c r="E8030" s="210"/>
      <c r="F8030" s="210"/>
      <c r="G8030" s="210"/>
      <c r="H8030" s="210"/>
    </row>
    <row r="8031" spans="3:8" x14ac:dyDescent="0.25">
      <c r="C8031" s="210"/>
      <c r="D8031" s="210"/>
      <c r="E8031" s="210"/>
      <c r="F8031" s="210"/>
      <c r="G8031" s="210"/>
      <c r="H8031" s="210"/>
    </row>
    <row r="8032" spans="3:8" x14ac:dyDescent="0.25">
      <c r="C8032" s="210"/>
      <c r="D8032" s="210"/>
      <c r="E8032" s="210"/>
      <c r="F8032" s="210"/>
      <c r="G8032" s="210"/>
      <c r="H8032" s="210"/>
    </row>
    <row r="8033" spans="3:8" x14ac:dyDescent="0.25">
      <c r="C8033" s="210"/>
      <c r="D8033" s="210"/>
      <c r="E8033" s="210"/>
      <c r="F8033" s="210"/>
      <c r="G8033" s="210"/>
      <c r="H8033" s="210"/>
    </row>
    <row r="8034" spans="3:8" x14ac:dyDescent="0.25">
      <c r="C8034" s="210"/>
      <c r="D8034" s="210"/>
      <c r="E8034" s="210"/>
      <c r="F8034" s="210"/>
      <c r="G8034" s="210"/>
      <c r="H8034" s="210"/>
    </row>
    <row r="8035" spans="3:8" x14ac:dyDescent="0.25">
      <c r="C8035" s="210"/>
      <c r="D8035" s="210"/>
      <c r="E8035" s="210"/>
      <c r="F8035" s="210"/>
      <c r="G8035" s="210"/>
      <c r="H8035" s="210"/>
    </row>
    <row r="8036" spans="3:8" x14ac:dyDescent="0.25">
      <c r="C8036" s="210"/>
      <c r="D8036" s="210"/>
      <c r="E8036" s="210"/>
      <c r="F8036" s="210"/>
      <c r="G8036" s="210"/>
      <c r="H8036" s="210"/>
    </row>
    <row r="8037" spans="3:8" x14ac:dyDescent="0.25">
      <c r="C8037" s="210"/>
      <c r="D8037" s="210"/>
      <c r="E8037" s="210"/>
      <c r="F8037" s="210"/>
      <c r="G8037" s="210"/>
      <c r="H8037" s="210"/>
    </row>
    <row r="8038" spans="3:8" x14ac:dyDescent="0.25">
      <c r="C8038" s="210"/>
      <c r="D8038" s="210"/>
      <c r="E8038" s="210"/>
      <c r="F8038" s="210"/>
      <c r="G8038" s="210"/>
      <c r="H8038" s="210"/>
    </row>
    <row r="8039" spans="3:8" x14ac:dyDescent="0.25">
      <c r="C8039" s="210"/>
      <c r="D8039" s="210"/>
      <c r="E8039" s="210"/>
      <c r="F8039" s="210"/>
      <c r="G8039" s="210"/>
      <c r="H8039" s="210"/>
    </row>
    <row r="8040" spans="3:8" x14ac:dyDescent="0.25">
      <c r="C8040" s="210"/>
      <c r="D8040" s="210"/>
      <c r="E8040" s="210"/>
      <c r="F8040" s="210"/>
      <c r="G8040" s="210"/>
      <c r="H8040" s="210"/>
    </row>
    <row r="8041" spans="3:8" x14ac:dyDescent="0.25">
      <c r="C8041" s="210"/>
      <c r="D8041" s="210"/>
      <c r="E8041" s="210"/>
      <c r="F8041" s="210"/>
      <c r="G8041" s="210"/>
      <c r="H8041" s="210"/>
    </row>
    <row r="8042" spans="3:8" x14ac:dyDescent="0.25">
      <c r="C8042" s="210"/>
      <c r="D8042" s="210"/>
      <c r="E8042" s="210"/>
      <c r="F8042" s="210"/>
      <c r="G8042" s="210"/>
      <c r="H8042" s="210"/>
    </row>
    <row r="8043" spans="3:8" x14ac:dyDescent="0.25">
      <c r="C8043" s="210"/>
      <c r="D8043" s="210"/>
      <c r="E8043" s="210"/>
      <c r="F8043" s="210"/>
      <c r="G8043" s="210"/>
      <c r="H8043" s="210"/>
    </row>
    <row r="8044" spans="3:8" x14ac:dyDescent="0.25">
      <c r="C8044" s="210"/>
      <c r="D8044" s="210"/>
      <c r="E8044" s="210"/>
      <c r="F8044" s="210"/>
      <c r="G8044" s="210"/>
      <c r="H8044" s="210"/>
    </row>
    <row r="8045" spans="3:8" x14ac:dyDescent="0.25">
      <c r="C8045" s="210"/>
      <c r="D8045" s="210"/>
      <c r="E8045" s="210"/>
      <c r="F8045" s="210"/>
      <c r="G8045" s="210"/>
      <c r="H8045" s="210"/>
    </row>
    <row r="8046" spans="3:8" x14ac:dyDescent="0.25">
      <c r="C8046" s="210"/>
      <c r="D8046" s="210"/>
      <c r="E8046" s="210"/>
      <c r="F8046" s="210"/>
      <c r="G8046" s="210"/>
      <c r="H8046" s="210"/>
    </row>
    <row r="8047" spans="3:8" x14ac:dyDescent="0.25">
      <c r="C8047" s="210"/>
      <c r="D8047" s="210"/>
      <c r="E8047" s="210"/>
      <c r="F8047" s="210"/>
      <c r="G8047" s="210"/>
      <c r="H8047" s="210"/>
    </row>
    <row r="8048" spans="3:8" x14ac:dyDescent="0.25">
      <c r="C8048" s="210"/>
      <c r="D8048" s="210"/>
      <c r="E8048" s="210"/>
      <c r="F8048" s="210"/>
      <c r="G8048" s="210"/>
      <c r="H8048" s="210"/>
    </row>
    <row r="8049" spans="3:8" x14ac:dyDescent="0.25">
      <c r="C8049" s="210"/>
      <c r="D8049" s="210"/>
      <c r="E8049" s="210"/>
      <c r="F8049" s="210"/>
      <c r="G8049" s="210"/>
      <c r="H8049" s="210"/>
    </row>
    <row r="8050" spans="3:8" x14ac:dyDescent="0.25">
      <c r="C8050" s="210"/>
      <c r="D8050" s="210"/>
      <c r="E8050" s="210"/>
      <c r="F8050" s="210"/>
      <c r="G8050" s="210"/>
      <c r="H8050" s="210"/>
    </row>
    <row r="8051" spans="3:8" x14ac:dyDescent="0.25">
      <c r="C8051" s="210"/>
      <c r="D8051" s="210"/>
      <c r="E8051" s="210"/>
      <c r="F8051" s="210"/>
      <c r="G8051" s="210"/>
      <c r="H8051" s="210"/>
    </row>
    <row r="8052" spans="3:8" x14ac:dyDescent="0.25">
      <c r="C8052" s="210"/>
      <c r="D8052" s="210"/>
      <c r="E8052" s="210"/>
      <c r="F8052" s="210"/>
      <c r="G8052" s="210"/>
      <c r="H8052" s="210"/>
    </row>
    <row r="8053" spans="3:8" x14ac:dyDescent="0.25">
      <c r="C8053" s="210"/>
      <c r="D8053" s="210"/>
      <c r="E8053" s="210"/>
      <c r="F8053" s="210"/>
      <c r="G8053" s="210"/>
      <c r="H8053" s="210"/>
    </row>
    <row r="8054" spans="3:8" x14ac:dyDescent="0.25">
      <c r="C8054" s="210"/>
      <c r="D8054" s="210"/>
      <c r="E8054" s="210"/>
      <c r="F8054" s="210"/>
      <c r="G8054" s="210"/>
      <c r="H8054" s="210"/>
    </row>
    <row r="8055" spans="3:8" x14ac:dyDescent="0.25">
      <c r="C8055" s="210"/>
      <c r="D8055" s="210"/>
      <c r="E8055" s="210"/>
      <c r="F8055" s="210"/>
      <c r="G8055" s="210"/>
      <c r="H8055" s="210"/>
    </row>
    <row r="8056" spans="3:8" x14ac:dyDescent="0.25">
      <c r="C8056" s="210"/>
      <c r="D8056" s="210"/>
      <c r="E8056" s="210"/>
      <c r="F8056" s="210"/>
      <c r="G8056" s="210"/>
      <c r="H8056" s="210"/>
    </row>
    <row r="8057" spans="3:8" x14ac:dyDescent="0.25">
      <c r="C8057" s="210"/>
      <c r="D8057" s="210"/>
      <c r="E8057" s="210"/>
      <c r="F8057" s="210"/>
      <c r="G8057" s="210"/>
      <c r="H8057" s="210"/>
    </row>
    <row r="8058" spans="3:8" x14ac:dyDescent="0.25">
      <c r="C8058" s="210"/>
      <c r="D8058" s="210"/>
      <c r="E8058" s="210"/>
      <c r="F8058" s="210"/>
      <c r="G8058" s="210"/>
      <c r="H8058" s="210"/>
    </row>
    <row r="8059" spans="3:8" x14ac:dyDescent="0.25">
      <c r="C8059" s="210"/>
      <c r="D8059" s="210"/>
      <c r="E8059" s="210"/>
      <c r="F8059" s="210"/>
      <c r="G8059" s="210"/>
      <c r="H8059" s="210"/>
    </row>
    <row r="8060" spans="3:8" x14ac:dyDescent="0.25">
      <c r="C8060" s="210"/>
      <c r="D8060" s="210"/>
      <c r="E8060" s="210"/>
      <c r="F8060" s="210"/>
      <c r="G8060" s="210"/>
      <c r="H8060" s="210"/>
    </row>
    <row r="8061" spans="3:8" x14ac:dyDescent="0.25">
      <c r="C8061" s="210"/>
      <c r="D8061" s="210"/>
      <c r="E8061" s="210"/>
      <c r="F8061" s="210"/>
      <c r="G8061" s="210"/>
      <c r="H8061" s="210"/>
    </row>
    <row r="8062" spans="3:8" x14ac:dyDescent="0.25">
      <c r="C8062" s="210"/>
      <c r="D8062" s="210"/>
      <c r="E8062" s="210"/>
      <c r="F8062" s="210"/>
      <c r="G8062" s="210"/>
      <c r="H8062" s="210"/>
    </row>
    <row r="8063" spans="3:8" x14ac:dyDescent="0.25">
      <c r="C8063" s="210"/>
      <c r="D8063" s="210"/>
      <c r="E8063" s="210"/>
      <c r="F8063" s="210"/>
      <c r="G8063" s="210"/>
      <c r="H8063" s="210"/>
    </row>
    <row r="8064" spans="3:8" x14ac:dyDescent="0.25">
      <c r="C8064" s="210"/>
      <c r="D8064" s="210"/>
      <c r="E8064" s="210"/>
      <c r="F8064" s="210"/>
      <c r="G8064" s="210"/>
      <c r="H8064" s="210"/>
    </row>
    <row r="8065" spans="3:8" x14ac:dyDescent="0.25">
      <c r="C8065" s="210"/>
      <c r="D8065" s="210"/>
      <c r="E8065" s="210"/>
      <c r="F8065" s="210"/>
      <c r="G8065" s="210"/>
      <c r="H8065" s="210"/>
    </row>
    <row r="8066" spans="3:8" x14ac:dyDescent="0.25">
      <c r="C8066" s="210"/>
      <c r="D8066" s="210"/>
      <c r="E8066" s="210"/>
      <c r="F8066" s="210"/>
      <c r="G8066" s="210"/>
      <c r="H8066" s="210"/>
    </row>
    <row r="8067" spans="3:8" x14ac:dyDescent="0.25">
      <c r="C8067" s="210"/>
      <c r="D8067" s="210"/>
      <c r="E8067" s="210"/>
      <c r="F8067" s="210"/>
      <c r="G8067" s="210"/>
      <c r="H8067" s="210"/>
    </row>
    <row r="8068" spans="3:8" x14ac:dyDescent="0.25">
      <c r="C8068" s="210"/>
      <c r="D8068" s="210"/>
      <c r="E8068" s="210"/>
      <c r="F8068" s="210"/>
      <c r="G8068" s="210"/>
      <c r="H8068" s="210"/>
    </row>
    <row r="8069" spans="3:8" x14ac:dyDescent="0.25">
      <c r="C8069" s="210"/>
      <c r="D8069" s="210"/>
      <c r="E8069" s="210"/>
      <c r="F8069" s="210"/>
      <c r="G8069" s="210"/>
      <c r="H8069" s="210"/>
    </row>
    <row r="8070" spans="3:8" x14ac:dyDescent="0.25">
      <c r="C8070" s="210"/>
      <c r="D8070" s="210"/>
      <c r="E8070" s="210"/>
      <c r="F8070" s="210"/>
      <c r="G8070" s="210"/>
      <c r="H8070" s="210"/>
    </row>
    <row r="8071" spans="3:8" x14ac:dyDescent="0.25">
      <c r="C8071" s="210"/>
      <c r="D8071" s="210"/>
      <c r="E8071" s="210"/>
      <c r="F8071" s="210"/>
      <c r="G8071" s="210"/>
      <c r="H8071" s="210"/>
    </row>
    <row r="8072" spans="3:8" x14ac:dyDescent="0.25">
      <c r="C8072" s="210"/>
      <c r="D8072" s="210"/>
      <c r="E8072" s="210"/>
      <c r="F8072" s="210"/>
      <c r="G8072" s="210"/>
      <c r="H8072" s="210"/>
    </row>
    <row r="8073" spans="3:8" x14ac:dyDescent="0.25">
      <c r="C8073" s="210"/>
      <c r="D8073" s="210"/>
      <c r="E8073" s="210"/>
      <c r="F8073" s="210"/>
      <c r="G8073" s="210"/>
      <c r="H8073" s="210"/>
    </row>
    <row r="8074" spans="3:8" x14ac:dyDescent="0.25">
      <c r="C8074" s="210"/>
      <c r="D8074" s="210"/>
      <c r="E8074" s="210"/>
      <c r="F8074" s="210"/>
      <c r="G8074" s="210"/>
      <c r="H8074" s="210"/>
    </row>
    <row r="8075" spans="3:8" x14ac:dyDescent="0.25">
      <c r="C8075" s="210"/>
      <c r="D8075" s="210"/>
      <c r="E8075" s="210"/>
      <c r="F8075" s="210"/>
      <c r="G8075" s="210"/>
      <c r="H8075" s="210"/>
    </row>
    <row r="8076" spans="3:8" x14ac:dyDescent="0.25">
      <c r="C8076" s="210"/>
      <c r="D8076" s="210"/>
      <c r="E8076" s="210"/>
      <c r="F8076" s="210"/>
      <c r="G8076" s="210"/>
      <c r="H8076" s="210"/>
    </row>
    <row r="8077" spans="3:8" x14ac:dyDescent="0.25">
      <c r="C8077" s="210"/>
      <c r="D8077" s="210"/>
      <c r="E8077" s="210"/>
      <c r="F8077" s="210"/>
      <c r="G8077" s="210"/>
      <c r="H8077" s="210"/>
    </row>
    <row r="8078" spans="3:8" x14ac:dyDescent="0.25">
      <c r="C8078" s="210"/>
      <c r="D8078" s="210"/>
      <c r="E8078" s="210"/>
      <c r="F8078" s="210"/>
      <c r="G8078" s="210"/>
      <c r="H8078" s="210"/>
    </row>
    <row r="8079" spans="3:8" x14ac:dyDescent="0.25">
      <c r="C8079" s="210"/>
      <c r="D8079" s="210"/>
      <c r="E8079" s="210"/>
      <c r="F8079" s="210"/>
      <c r="G8079" s="210"/>
      <c r="H8079" s="210"/>
    </row>
    <row r="8080" spans="3:8" x14ac:dyDescent="0.25">
      <c r="C8080" s="210"/>
      <c r="D8080" s="210"/>
      <c r="E8080" s="210"/>
      <c r="F8080" s="210"/>
      <c r="G8080" s="210"/>
      <c r="H8080" s="210"/>
    </row>
    <row r="8081" spans="3:8" x14ac:dyDescent="0.25">
      <c r="C8081" s="210"/>
      <c r="D8081" s="210"/>
      <c r="E8081" s="210"/>
      <c r="F8081" s="210"/>
      <c r="G8081" s="210"/>
      <c r="H8081" s="210"/>
    </row>
    <row r="8082" spans="3:8" x14ac:dyDescent="0.25">
      <c r="C8082" s="210"/>
      <c r="D8082" s="210"/>
      <c r="E8082" s="210"/>
      <c r="F8082" s="210"/>
      <c r="G8082" s="210"/>
      <c r="H8082" s="210"/>
    </row>
    <row r="8083" spans="3:8" x14ac:dyDescent="0.25">
      <c r="C8083" s="210"/>
      <c r="D8083" s="210"/>
      <c r="E8083" s="210"/>
      <c r="F8083" s="210"/>
      <c r="G8083" s="210"/>
      <c r="H8083" s="210"/>
    </row>
    <row r="8084" spans="3:8" x14ac:dyDescent="0.25">
      <c r="C8084" s="210"/>
      <c r="D8084" s="210"/>
      <c r="E8084" s="210"/>
      <c r="F8084" s="210"/>
      <c r="G8084" s="210"/>
      <c r="H8084" s="210"/>
    </row>
    <row r="8085" spans="3:8" x14ac:dyDescent="0.25">
      <c r="C8085" s="210"/>
      <c r="D8085" s="210"/>
      <c r="E8085" s="210"/>
      <c r="F8085" s="210"/>
      <c r="G8085" s="210"/>
      <c r="H8085" s="210"/>
    </row>
    <row r="8086" spans="3:8" x14ac:dyDescent="0.25">
      <c r="C8086" s="210"/>
      <c r="D8086" s="210"/>
      <c r="E8086" s="210"/>
      <c r="F8086" s="210"/>
      <c r="G8086" s="210"/>
      <c r="H8086" s="210"/>
    </row>
    <row r="8087" spans="3:8" x14ac:dyDescent="0.25">
      <c r="C8087" s="210"/>
      <c r="D8087" s="210"/>
      <c r="E8087" s="210"/>
      <c r="F8087" s="210"/>
      <c r="G8087" s="210"/>
      <c r="H8087" s="210"/>
    </row>
    <row r="8088" spans="3:8" x14ac:dyDescent="0.25">
      <c r="C8088" s="210"/>
      <c r="D8088" s="210"/>
      <c r="E8088" s="210"/>
      <c r="F8088" s="210"/>
      <c r="G8088" s="210"/>
      <c r="H8088" s="210"/>
    </row>
    <row r="8089" spans="3:8" x14ac:dyDescent="0.25">
      <c r="C8089" s="210"/>
      <c r="D8089" s="210"/>
      <c r="E8089" s="210"/>
      <c r="F8089" s="210"/>
      <c r="G8089" s="210"/>
      <c r="H8089" s="210"/>
    </row>
    <row r="8090" spans="3:8" x14ac:dyDescent="0.25">
      <c r="C8090" s="210"/>
      <c r="D8090" s="210"/>
      <c r="E8090" s="210"/>
      <c r="F8090" s="210"/>
      <c r="G8090" s="210"/>
      <c r="H8090" s="210"/>
    </row>
    <row r="8091" spans="3:8" x14ac:dyDescent="0.25">
      <c r="C8091" s="210"/>
      <c r="D8091" s="210"/>
      <c r="E8091" s="210"/>
      <c r="F8091" s="210"/>
      <c r="G8091" s="210"/>
      <c r="H8091" s="210"/>
    </row>
    <row r="8092" spans="3:8" x14ac:dyDescent="0.25">
      <c r="C8092" s="210"/>
      <c r="D8092" s="210"/>
      <c r="E8092" s="210"/>
      <c r="F8092" s="210"/>
      <c r="G8092" s="210"/>
      <c r="H8092" s="210"/>
    </row>
    <row r="8093" spans="3:8" x14ac:dyDescent="0.25">
      <c r="C8093" s="210"/>
      <c r="D8093" s="210"/>
      <c r="E8093" s="210"/>
      <c r="F8093" s="210"/>
      <c r="G8093" s="210"/>
      <c r="H8093" s="210"/>
    </row>
    <row r="8094" spans="3:8" x14ac:dyDescent="0.25">
      <c r="C8094" s="210"/>
      <c r="D8094" s="210"/>
      <c r="E8094" s="210"/>
      <c r="F8094" s="210"/>
      <c r="G8094" s="210"/>
      <c r="H8094" s="210"/>
    </row>
    <row r="8095" spans="3:8" x14ac:dyDescent="0.25">
      <c r="C8095" s="210"/>
      <c r="D8095" s="210"/>
      <c r="E8095" s="210"/>
      <c r="F8095" s="210"/>
      <c r="G8095" s="210"/>
      <c r="H8095" s="210"/>
    </row>
    <row r="8096" spans="3:8" x14ac:dyDescent="0.25">
      <c r="C8096" s="210"/>
      <c r="D8096" s="210"/>
      <c r="E8096" s="210"/>
      <c r="F8096" s="210"/>
      <c r="G8096" s="210"/>
      <c r="H8096" s="210"/>
    </row>
    <row r="8097" spans="3:8" x14ac:dyDescent="0.25">
      <c r="C8097" s="210"/>
      <c r="D8097" s="210"/>
      <c r="E8097" s="210"/>
      <c r="F8097" s="210"/>
      <c r="G8097" s="210"/>
      <c r="H8097" s="210"/>
    </row>
    <row r="8098" spans="3:8" x14ac:dyDescent="0.25">
      <c r="C8098" s="210"/>
      <c r="D8098" s="210"/>
      <c r="E8098" s="210"/>
      <c r="F8098" s="210"/>
      <c r="G8098" s="210"/>
      <c r="H8098" s="210"/>
    </row>
    <row r="8099" spans="3:8" x14ac:dyDescent="0.25">
      <c r="C8099" s="210"/>
      <c r="D8099" s="210"/>
      <c r="E8099" s="210"/>
      <c r="F8099" s="210"/>
      <c r="G8099" s="210"/>
      <c r="H8099" s="210"/>
    </row>
    <row r="8100" spans="3:8" x14ac:dyDescent="0.25">
      <c r="C8100" s="210"/>
      <c r="D8100" s="210"/>
      <c r="E8100" s="210"/>
      <c r="F8100" s="210"/>
      <c r="G8100" s="210"/>
      <c r="H8100" s="210"/>
    </row>
    <row r="8101" spans="3:8" x14ac:dyDescent="0.25">
      <c r="C8101" s="210"/>
      <c r="D8101" s="210"/>
      <c r="E8101" s="210"/>
      <c r="F8101" s="210"/>
      <c r="G8101" s="210"/>
      <c r="H8101" s="210"/>
    </row>
    <row r="8102" spans="3:8" x14ac:dyDescent="0.25">
      <c r="C8102" s="210"/>
      <c r="D8102" s="210"/>
      <c r="E8102" s="210"/>
      <c r="F8102" s="210"/>
      <c r="G8102" s="210"/>
      <c r="H8102" s="210"/>
    </row>
    <row r="8103" spans="3:8" x14ac:dyDescent="0.25">
      <c r="C8103" s="210"/>
      <c r="D8103" s="210"/>
      <c r="E8103" s="210"/>
      <c r="F8103" s="210"/>
      <c r="G8103" s="210"/>
      <c r="H8103" s="210"/>
    </row>
    <row r="8104" spans="3:8" x14ac:dyDescent="0.25">
      <c r="C8104" s="210"/>
      <c r="D8104" s="210"/>
      <c r="E8104" s="210"/>
      <c r="F8104" s="210"/>
      <c r="G8104" s="210"/>
      <c r="H8104" s="210"/>
    </row>
    <row r="8105" spans="3:8" x14ac:dyDescent="0.25">
      <c r="C8105" s="210"/>
      <c r="D8105" s="210"/>
      <c r="E8105" s="210"/>
      <c r="F8105" s="210"/>
      <c r="G8105" s="210"/>
      <c r="H8105" s="210"/>
    </row>
    <row r="8106" spans="3:8" x14ac:dyDescent="0.25">
      <c r="C8106" s="210"/>
      <c r="D8106" s="210"/>
      <c r="E8106" s="210"/>
      <c r="F8106" s="210"/>
      <c r="G8106" s="210"/>
      <c r="H8106" s="210"/>
    </row>
    <row r="8107" spans="3:8" x14ac:dyDescent="0.25">
      <c r="C8107" s="210"/>
      <c r="D8107" s="210"/>
      <c r="E8107" s="210"/>
      <c r="F8107" s="210"/>
      <c r="G8107" s="210"/>
      <c r="H8107" s="210"/>
    </row>
    <row r="8108" spans="3:8" x14ac:dyDescent="0.25">
      <c r="C8108" s="210"/>
      <c r="D8108" s="210"/>
      <c r="E8108" s="210"/>
      <c r="F8108" s="210"/>
      <c r="G8108" s="210"/>
      <c r="H8108" s="210"/>
    </row>
    <row r="8109" spans="3:8" x14ac:dyDescent="0.25">
      <c r="C8109" s="210"/>
      <c r="D8109" s="210"/>
      <c r="E8109" s="210"/>
      <c r="F8109" s="210"/>
      <c r="G8109" s="210"/>
      <c r="H8109" s="210"/>
    </row>
    <row r="8110" spans="3:8" x14ac:dyDescent="0.25">
      <c r="C8110" s="210"/>
      <c r="D8110" s="210"/>
      <c r="E8110" s="210"/>
      <c r="F8110" s="210"/>
      <c r="G8110" s="210"/>
      <c r="H8110" s="210"/>
    </row>
    <row r="8111" spans="3:8" x14ac:dyDescent="0.25">
      <c r="C8111" s="210"/>
      <c r="D8111" s="210"/>
      <c r="E8111" s="210"/>
      <c r="F8111" s="210"/>
      <c r="G8111" s="210"/>
      <c r="H8111" s="210"/>
    </row>
    <row r="8112" spans="3:8" x14ac:dyDescent="0.25">
      <c r="C8112" s="210"/>
      <c r="D8112" s="210"/>
      <c r="E8112" s="210"/>
      <c r="F8112" s="210"/>
      <c r="G8112" s="210"/>
      <c r="H8112" s="210"/>
    </row>
    <row r="8113" spans="3:8" x14ac:dyDescent="0.25">
      <c r="C8113" s="210"/>
      <c r="D8113" s="210"/>
      <c r="E8113" s="210"/>
      <c r="F8113" s="210"/>
      <c r="G8113" s="210"/>
      <c r="H8113" s="210"/>
    </row>
    <row r="8114" spans="3:8" x14ac:dyDescent="0.25">
      <c r="C8114" s="210"/>
      <c r="D8114" s="210"/>
      <c r="E8114" s="210"/>
      <c r="F8114" s="210"/>
      <c r="G8114" s="210"/>
      <c r="H8114" s="210"/>
    </row>
    <row r="8115" spans="3:8" x14ac:dyDescent="0.25">
      <c r="C8115" s="210"/>
      <c r="D8115" s="210"/>
      <c r="E8115" s="210"/>
      <c r="F8115" s="210"/>
      <c r="G8115" s="210"/>
      <c r="H8115" s="210"/>
    </row>
    <row r="8116" spans="3:8" x14ac:dyDescent="0.25">
      <c r="C8116" s="210"/>
      <c r="D8116" s="210"/>
      <c r="E8116" s="210"/>
      <c r="F8116" s="210"/>
      <c r="G8116" s="210"/>
      <c r="H8116" s="210"/>
    </row>
    <row r="8117" spans="3:8" x14ac:dyDescent="0.25">
      <c r="C8117" s="210"/>
      <c r="D8117" s="210"/>
      <c r="E8117" s="210"/>
      <c r="F8117" s="210"/>
      <c r="G8117" s="210"/>
      <c r="H8117" s="210"/>
    </row>
    <row r="8118" spans="3:8" x14ac:dyDescent="0.25">
      <c r="C8118" s="210"/>
      <c r="D8118" s="210"/>
      <c r="E8118" s="210"/>
      <c r="F8118" s="210"/>
      <c r="G8118" s="210"/>
      <c r="H8118" s="210"/>
    </row>
    <row r="8119" spans="3:8" x14ac:dyDescent="0.25">
      <c r="C8119" s="210"/>
      <c r="D8119" s="210"/>
      <c r="E8119" s="210"/>
      <c r="F8119" s="210"/>
      <c r="G8119" s="210"/>
      <c r="H8119" s="210"/>
    </row>
    <row r="8120" spans="3:8" x14ac:dyDescent="0.25">
      <c r="C8120" s="210"/>
      <c r="D8120" s="210"/>
      <c r="E8120" s="210"/>
      <c r="F8120" s="210"/>
      <c r="G8120" s="210"/>
      <c r="H8120" s="210"/>
    </row>
    <row r="8121" spans="3:8" x14ac:dyDescent="0.25">
      <c r="C8121" s="210"/>
      <c r="D8121" s="210"/>
      <c r="E8121" s="210"/>
      <c r="F8121" s="210"/>
      <c r="G8121" s="210"/>
      <c r="H8121" s="210"/>
    </row>
    <row r="8122" spans="3:8" x14ac:dyDescent="0.25">
      <c r="C8122" s="210"/>
      <c r="D8122" s="210"/>
      <c r="E8122" s="210"/>
      <c r="F8122" s="210"/>
      <c r="G8122" s="210"/>
      <c r="H8122" s="210"/>
    </row>
    <row r="8123" spans="3:8" x14ac:dyDescent="0.25">
      <c r="C8123" s="210"/>
      <c r="D8123" s="210"/>
      <c r="E8123" s="210"/>
      <c r="F8123" s="210"/>
      <c r="G8123" s="210"/>
      <c r="H8123" s="210"/>
    </row>
    <row r="8124" spans="3:8" x14ac:dyDescent="0.25">
      <c r="C8124" s="210"/>
      <c r="D8124" s="210"/>
      <c r="E8124" s="210"/>
      <c r="F8124" s="210"/>
      <c r="G8124" s="210"/>
      <c r="H8124" s="210"/>
    </row>
    <row r="8125" spans="3:8" x14ac:dyDescent="0.25">
      <c r="C8125" s="210"/>
      <c r="D8125" s="210"/>
      <c r="E8125" s="210"/>
      <c r="F8125" s="210"/>
      <c r="G8125" s="210"/>
      <c r="H8125" s="210"/>
    </row>
    <row r="8126" spans="3:8" x14ac:dyDescent="0.25">
      <c r="C8126" s="210"/>
      <c r="D8126" s="210"/>
      <c r="E8126" s="210"/>
      <c r="F8126" s="210"/>
      <c r="G8126" s="210"/>
      <c r="H8126" s="210"/>
    </row>
    <row r="8127" spans="3:8" x14ac:dyDescent="0.25">
      <c r="C8127" s="210"/>
      <c r="D8127" s="210"/>
      <c r="E8127" s="210"/>
      <c r="F8127" s="210"/>
      <c r="G8127" s="210"/>
      <c r="H8127" s="210"/>
    </row>
    <row r="8128" spans="3:8" x14ac:dyDescent="0.25">
      <c r="C8128" s="210"/>
      <c r="D8128" s="210"/>
      <c r="E8128" s="210"/>
      <c r="F8128" s="210"/>
      <c r="G8128" s="210"/>
      <c r="H8128" s="210"/>
    </row>
    <row r="8129" spans="3:8" x14ac:dyDescent="0.25">
      <c r="C8129" s="210"/>
      <c r="D8129" s="210"/>
      <c r="E8129" s="210"/>
      <c r="F8129" s="210"/>
      <c r="G8129" s="210"/>
      <c r="H8129" s="210"/>
    </row>
    <row r="8130" spans="3:8" x14ac:dyDescent="0.25">
      <c r="C8130" s="210"/>
      <c r="D8130" s="210"/>
      <c r="E8130" s="210"/>
      <c r="F8130" s="210"/>
      <c r="G8130" s="210"/>
      <c r="H8130" s="210"/>
    </row>
    <row r="8131" spans="3:8" x14ac:dyDescent="0.25">
      <c r="C8131" s="210"/>
      <c r="D8131" s="210"/>
      <c r="E8131" s="210"/>
      <c r="F8131" s="210"/>
      <c r="G8131" s="210"/>
      <c r="H8131" s="210"/>
    </row>
    <row r="8132" spans="3:8" x14ac:dyDescent="0.25">
      <c r="C8132" s="210"/>
      <c r="D8132" s="210"/>
      <c r="E8132" s="210"/>
      <c r="F8132" s="210"/>
      <c r="G8132" s="210"/>
      <c r="H8132" s="210"/>
    </row>
    <row r="8133" spans="3:8" x14ac:dyDescent="0.25">
      <c r="C8133" s="210"/>
      <c r="D8133" s="210"/>
      <c r="E8133" s="210"/>
      <c r="F8133" s="210"/>
      <c r="G8133" s="210"/>
      <c r="H8133" s="210"/>
    </row>
    <row r="8134" spans="3:8" x14ac:dyDescent="0.25">
      <c r="C8134" s="210"/>
      <c r="D8134" s="210"/>
      <c r="E8134" s="210"/>
      <c r="F8134" s="210"/>
      <c r="G8134" s="210"/>
      <c r="H8134" s="210"/>
    </row>
    <row r="8135" spans="3:8" x14ac:dyDescent="0.25">
      <c r="C8135" s="210"/>
      <c r="D8135" s="210"/>
      <c r="E8135" s="210"/>
      <c r="F8135" s="210"/>
      <c r="G8135" s="210"/>
      <c r="H8135" s="210"/>
    </row>
    <row r="8136" spans="3:8" x14ac:dyDescent="0.25">
      <c r="C8136" s="210"/>
      <c r="D8136" s="210"/>
      <c r="E8136" s="210"/>
      <c r="F8136" s="210"/>
      <c r="G8136" s="210"/>
      <c r="H8136" s="210"/>
    </row>
    <row r="8137" spans="3:8" x14ac:dyDescent="0.25">
      <c r="C8137" s="210"/>
      <c r="D8137" s="210"/>
      <c r="E8137" s="210"/>
      <c r="F8137" s="210"/>
      <c r="G8137" s="210"/>
      <c r="H8137" s="210"/>
    </row>
    <row r="8138" spans="3:8" x14ac:dyDescent="0.25">
      <c r="C8138" s="210"/>
      <c r="D8138" s="210"/>
      <c r="E8138" s="210"/>
      <c r="F8138" s="210"/>
      <c r="G8138" s="210"/>
      <c r="H8138" s="210"/>
    </row>
    <row r="8139" spans="3:8" x14ac:dyDescent="0.25">
      <c r="C8139" s="210"/>
      <c r="D8139" s="210"/>
      <c r="E8139" s="210"/>
      <c r="F8139" s="210"/>
      <c r="G8139" s="210"/>
      <c r="H8139" s="210"/>
    </row>
    <row r="8140" spans="3:8" x14ac:dyDescent="0.25">
      <c r="C8140" s="210"/>
      <c r="D8140" s="210"/>
      <c r="E8140" s="210"/>
      <c r="F8140" s="210"/>
      <c r="G8140" s="210"/>
      <c r="H8140" s="210"/>
    </row>
    <row r="8141" spans="3:8" x14ac:dyDescent="0.25">
      <c r="C8141" s="210"/>
      <c r="D8141" s="210"/>
      <c r="E8141" s="210"/>
      <c r="F8141" s="210"/>
      <c r="G8141" s="210"/>
      <c r="H8141" s="210"/>
    </row>
    <row r="8142" spans="3:8" x14ac:dyDescent="0.25">
      <c r="C8142" s="210"/>
      <c r="D8142" s="210"/>
      <c r="E8142" s="210"/>
      <c r="F8142" s="210"/>
      <c r="G8142" s="210"/>
      <c r="H8142" s="210"/>
    </row>
    <row r="8143" spans="3:8" x14ac:dyDescent="0.25">
      <c r="C8143" s="210"/>
      <c r="D8143" s="210"/>
      <c r="E8143" s="210"/>
      <c r="F8143" s="210"/>
      <c r="G8143" s="210"/>
      <c r="H8143" s="210"/>
    </row>
    <row r="8144" spans="3:8" x14ac:dyDescent="0.25">
      <c r="C8144" s="210"/>
      <c r="D8144" s="210"/>
      <c r="E8144" s="210"/>
      <c r="F8144" s="210"/>
      <c r="G8144" s="210"/>
      <c r="H8144" s="210"/>
    </row>
    <row r="8145" spans="3:8" x14ac:dyDescent="0.25">
      <c r="C8145" s="210"/>
      <c r="D8145" s="210"/>
      <c r="E8145" s="210"/>
      <c r="F8145" s="210"/>
      <c r="G8145" s="210"/>
      <c r="H8145" s="210"/>
    </row>
    <row r="8146" spans="3:8" x14ac:dyDescent="0.25">
      <c r="C8146" s="210"/>
      <c r="D8146" s="210"/>
      <c r="E8146" s="210"/>
      <c r="F8146" s="210"/>
      <c r="G8146" s="210"/>
      <c r="H8146" s="210"/>
    </row>
    <row r="8147" spans="3:8" x14ac:dyDescent="0.25">
      <c r="C8147" s="210"/>
      <c r="D8147" s="210"/>
      <c r="E8147" s="210"/>
      <c r="F8147" s="210"/>
      <c r="G8147" s="210"/>
      <c r="H8147" s="210"/>
    </row>
    <row r="8148" spans="3:8" x14ac:dyDescent="0.25">
      <c r="C8148" s="210"/>
      <c r="D8148" s="210"/>
      <c r="E8148" s="210"/>
      <c r="F8148" s="210"/>
      <c r="G8148" s="210"/>
      <c r="H8148" s="210"/>
    </row>
    <row r="8149" spans="3:8" x14ac:dyDescent="0.25">
      <c r="C8149" s="210"/>
      <c r="D8149" s="210"/>
      <c r="E8149" s="210"/>
      <c r="F8149" s="210"/>
      <c r="G8149" s="210"/>
      <c r="H8149" s="210"/>
    </row>
    <row r="8150" spans="3:8" x14ac:dyDescent="0.25">
      <c r="C8150" s="210"/>
      <c r="D8150" s="210"/>
      <c r="E8150" s="210"/>
      <c r="F8150" s="210"/>
      <c r="G8150" s="210"/>
      <c r="H8150" s="210"/>
    </row>
    <row r="8151" spans="3:8" x14ac:dyDescent="0.25">
      <c r="C8151" s="210"/>
      <c r="D8151" s="210"/>
      <c r="E8151" s="210"/>
      <c r="F8151" s="210"/>
      <c r="G8151" s="210"/>
      <c r="H8151" s="210"/>
    </row>
    <row r="8152" spans="3:8" x14ac:dyDescent="0.25">
      <c r="C8152" s="210"/>
      <c r="D8152" s="210"/>
      <c r="E8152" s="210"/>
      <c r="F8152" s="210"/>
      <c r="G8152" s="210"/>
      <c r="H8152" s="210"/>
    </row>
    <row r="8153" spans="3:8" x14ac:dyDescent="0.25">
      <c r="C8153" s="210"/>
      <c r="D8153" s="210"/>
      <c r="E8153" s="210"/>
      <c r="F8153" s="210"/>
      <c r="G8153" s="210"/>
      <c r="H8153" s="210"/>
    </row>
    <row r="8154" spans="3:8" x14ac:dyDescent="0.25">
      <c r="C8154" s="210"/>
      <c r="D8154" s="210"/>
      <c r="E8154" s="210"/>
      <c r="F8154" s="210"/>
      <c r="G8154" s="210"/>
      <c r="H8154" s="210"/>
    </row>
    <row r="8155" spans="3:8" x14ac:dyDescent="0.25">
      <c r="C8155" s="210"/>
      <c r="D8155" s="210"/>
      <c r="E8155" s="210"/>
      <c r="F8155" s="210"/>
      <c r="G8155" s="210"/>
      <c r="H8155" s="210"/>
    </row>
    <row r="8156" spans="3:8" x14ac:dyDescent="0.25">
      <c r="C8156" s="210"/>
      <c r="D8156" s="210"/>
      <c r="E8156" s="210"/>
      <c r="F8156" s="210"/>
      <c r="G8156" s="210"/>
      <c r="H8156" s="210"/>
    </row>
    <row r="8157" spans="3:8" x14ac:dyDescent="0.25">
      <c r="C8157" s="210"/>
      <c r="D8157" s="210"/>
      <c r="E8157" s="210"/>
      <c r="F8157" s="210"/>
      <c r="G8157" s="210"/>
      <c r="H8157" s="210"/>
    </row>
    <row r="8158" spans="3:8" x14ac:dyDescent="0.25">
      <c r="C8158" s="210"/>
      <c r="D8158" s="210"/>
      <c r="E8158" s="210"/>
      <c r="F8158" s="210"/>
      <c r="G8158" s="210"/>
      <c r="H8158" s="210"/>
    </row>
    <row r="8159" spans="3:8" x14ac:dyDescent="0.25">
      <c r="C8159" s="210"/>
      <c r="D8159" s="210"/>
      <c r="E8159" s="210"/>
      <c r="F8159" s="210"/>
      <c r="G8159" s="210"/>
      <c r="H8159" s="210"/>
    </row>
    <row r="8160" spans="3:8" x14ac:dyDescent="0.25">
      <c r="C8160" s="210"/>
      <c r="D8160" s="210"/>
      <c r="E8160" s="210"/>
      <c r="F8160" s="210"/>
      <c r="G8160" s="210"/>
      <c r="H8160" s="210"/>
    </row>
    <row r="8161" spans="3:8" x14ac:dyDescent="0.25">
      <c r="C8161" s="210"/>
      <c r="D8161" s="210"/>
      <c r="E8161" s="210"/>
      <c r="F8161" s="210"/>
      <c r="G8161" s="210"/>
      <c r="H8161" s="210"/>
    </row>
    <row r="8162" spans="3:8" x14ac:dyDescent="0.25">
      <c r="C8162" s="210"/>
      <c r="D8162" s="210"/>
      <c r="E8162" s="210"/>
      <c r="F8162" s="210"/>
      <c r="G8162" s="210"/>
      <c r="H8162" s="210"/>
    </row>
    <row r="8163" spans="3:8" x14ac:dyDescent="0.25">
      <c r="C8163" s="210"/>
      <c r="D8163" s="210"/>
      <c r="E8163" s="210"/>
      <c r="F8163" s="210"/>
      <c r="G8163" s="210"/>
      <c r="H8163" s="210"/>
    </row>
    <row r="8164" spans="3:8" x14ac:dyDescent="0.25">
      <c r="C8164" s="210"/>
      <c r="D8164" s="210"/>
      <c r="E8164" s="210"/>
      <c r="F8164" s="210"/>
      <c r="G8164" s="210"/>
      <c r="H8164" s="210"/>
    </row>
    <row r="8165" spans="3:8" x14ac:dyDescent="0.25">
      <c r="C8165" s="210"/>
      <c r="D8165" s="210"/>
      <c r="E8165" s="210"/>
      <c r="F8165" s="210"/>
      <c r="G8165" s="210"/>
      <c r="H8165" s="210"/>
    </row>
    <row r="8166" spans="3:8" x14ac:dyDescent="0.25">
      <c r="C8166" s="210"/>
      <c r="D8166" s="210"/>
      <c r="E8166" s="210"/>
      <c r="F8166" s="210"/>
      <c r="G8166" s="210"/>
      <c r="H8166" s="210"/>
    </row>
    <row r="8167" spans="3:8" x14ac:dyDescent="0.25">
      <c r="C8167" s="210"/>
      <c r="D8167" s="210"/>
      <c r="E8167" s="210"/>
      <c r="F8167" s="210"/>
      <c r="G8167" s="210"/>
      <c r="H8167" s="210"/>
    </row>
    <row r="8168" spans="3:8" x14ac:dyDescent="0.25">
      <c r="C8168" s="210"/>
      <c r="D8168" s="210"/>
      <c r="E8168" s="210"/>
      <c r="F8168" s="210"/>
      <c r="G8168" s="210"/>
      <c r="H8168" s="210"/>
    </row>
    <row r="8169" spans="3:8" x14ac:dyDescent="0.25">
      <c r="C8169" s="210"/>
      <c r="D8169" s="210"/>
      <c r="E8169" s="210"/>
      <c r="F8169" s="210"/>
      <c r="G8169" s="210"/>
      <c r="H8169" s="210"/>
    </row>
    <row r="8170" spans="3:8" x14ac:dyDescent="0.25">
      <c r="C8170" s="210"/>
      <c r="D8170" s="210"/>
      <c r="E8170" s="210"/>
      <c r="F8170" s="210"/>
      <c r="G8170" s="210"/>
      <c r="H8170" s="210"/>
    </row>
    <row r="8171" spans="3:8" x14ac:dyDescent="0.25">
      <c r="C8171" s="210"/>
      <c r="D8171" s="210"/>
      <c r="E8171" s="210"/>
      <c r="F8171" s="210"/>
      <c r="G8171" s="210"/>
      <c r="H8171" s="210"/>
    </row>
    <row r="8172" spans="3:8" x14ac:dyDescent="0.25">
      <c r="C8172" s="210"/>
      <c r="D8172" s="210"/>
      <c r="E8172" s="210"/>
      <c r="F8172" s="210"/>
      <c r="G8172" s="210"/>
      <c r="H8172" s="210"/>
    </row>
    <row r="8173" spans="3:8" x14ac:dyDescent="0.25">
      <c r="C8173" s="210"/>
      <c r="D8173" s="210"/>
      <c r="E8173" s="210"/>
      <c r="F8173" s="210"/>
      <c r="G8173" s="210"/>
      <c r="H8173" s="210"/>
    </row>
    <row r="8174" spans="3:8" x14ac:dyDescent="0.25">
      <c r="C8174" s="210"/>
      <c r="D8174" s="210"/>
      <c r="E8174" s="210"/>
      <c r="F8174" s="210"/>
      <c r="G8174" s="210"/>
      <c r="H8174" s="210"/>
    </row>
    <row r="8175" spans="3:8" x14ac:dyDescent="0.25">
      <c r="C8175" s="210"/>
      <c r="D8175" s="210"/>
      <c r="E8175" s="210"/>
      <c r="F8175" s="210"/>
      <c r="G8175" s="210"/>
      <c r="H8175" s="210"/>
    </row>
    <row r="8176" spans="3:8" x14ac:dyDescent="0.25">
      <c r="C8176" s="210"/>
      <c r="D8176" s="210"/>
      <c r="E8176" s="210"/>
      <c r="F8176" s="210"/>
      <c r="G8176" s="210"/>
      <c r="H8176" s="210"/>
    </row>
    <row r="8177" spans="3:8" x14ac:dyDescent="0.25">
      <c r="C8177" s="210"/>
      <c r="D8177" s="210"/>
      <c r="E8177" s="210"/>
      <c r="F8177" s="210"/>
      <c r="G8177" s="210"/>
      <c r="H8177" s="210"/>
    </row>
    <row r="8178" spans="3:8" x14ac:dyDescent="0.25">
      <c r="C8178" s="210"/>
      <c r="D8178" s="210"/>
      <c r="E8178" s="210"/>
      <c r="F8178" s="210"/>
      <c r="G8178" s="210"/>
      <c r="H8178" s="210"/>
    </row>
    <row r="8179" spans="3:8" x14ac:dyDescent="0.25">
      <c r="C8179" s="210"/>
      <c r="D8179" s="210"/>
      <c r="E8179" s="210"/>
      <c r="F8179" s="210"/>
      <c r="G8179" s="210"/>
      <c r="H8179" s="210"/>
    </row>
    <row r="8180" spans="3:8" x14ac:dyDescent="0.25">
      <c r="C8180" s="210"/>
      <c r="D8180" s="210"/>
      <c r="E8180" s="210"/>
      <c r="F8180" s="210"/>
      <c r="G8180" s="210"/>
      <c r="H8180" s="210"/>
    </row>
    <row r="8181" spans="3:8" x14ac:dyDescent="0.25">
      <c r="C8181" s="210"/>
      <c r="D8181" s="210"/>
      <c r="E8181" s="210"/>
      <c r="F8181" s="210"/>
      <c r="G8181" s="210"/>
      <c r="H8181" s="210"/>
    </row>
    <row r="8182" spans="3:8" x14ac:dyDescent="0.25">
      <c r="C8182" s="210"/>
      <c r="D8182" s="210"/>
      <c r="E8182" s="210"/>
      <c r="F8182" s="210"/>
      <c r="G8182" s="210"/>
      <c r="H8182" s="210"/>
    </row>
    <row r="8183" spans="3:8" x14ac:dyDescent="0.25">
      <c r="C8183" s="210"/>
      <c r="D8183" s="210"/>
      <c r="E8183" s="210"/>
      <c r="F8183" s="210"/>
      <c r="G8183" s="210"/>
      <c r="H8183" s="210"/>
    </row>
    <row r="8184" spans="3:8" x14ac:dyDescent="0.25">
      <c r="C8184" s="210"/>
      <c r="D8184" s="210"/>
      <c r="E8184" s="210"/>
      <c r="F8184" s="210"/>
      <c r="G8184" s="210"/>
      <c r="H8184" s="210"/>
    </row>
    <row r="8185" spans="3:8" x14ac:dyDescent="0.25">
      <c r="C8185" s="210"/>
      <c r="D8185" s="210"/>
      <c r="E8185" s="210"/>
      <c r="F8185" s="210"/>
      <c r="G8185" s="210"/>
      <c r="H8185" s="210"/>
    </row>
    <row r="8186" spans="3:8" x14ac:dyDescent="0.25">
      <c r="C8186" s="210"/>
      <c r="D8186" s="210"/>
      <c r="E8186" s="210"/>
      <c r="F8186" s="210"/>
      <c r="G8186" s="210"/>
      <c r="H8186" s="210"/>
    </row>
    <row r="8187" spans="3:8" x14ac:dyDescent="0.25">
      <c r="C8187" s="210"/>
      <c r="D8187" s="210"/>
      <c r="E8187" s="210"/>
      <c r="F8187" s="210"/>
      <c r="G8187" s="210"/>
      <c r="H8187" s="210"/>
    </row>
    <row r="8188" spans="3:8" x14ac:dyDescent="0.25">
      <c r="C8188" s="210"/>
      <c r="D8188" s="210"/>
      <c r="E8188" s="210"/>
      <c r="F8188" s="210"/>
      <c r="G8188" s="210"/>
      <c r="H8188" s="210"/>
    </row>
    <row r="8189" spans="3:8" x14ac:dyDescent="0.25">
      <c r="C8189" s="210"/>
      <c r="D8189" s="210"/>
      <c r="E8189" s="210"/>
      <c r="F8189" s="210"/>
      <c r="G8189" s="210"/>
      <c r="H8189" s="210"/>
    </row>
    <row r="8190" spans="3:8" x14ac:dyDescent="0.25">
      <c r="C8190" s="210"/>
      <c r="D8190" s="210"/>
      <c r="E8190" s="210"/>
      <c r="F8190" s="210"/>
      <c r="G8190" s="210"/>
      <c r="H8190" s="210"/>
    </row>
    <row r="8191" spans="3:8" x14ac:dyDescent="0.25">
      <c r="C8191" s="210"/>
      <c r="D8191" s="210"/>
      <c r="E8191" s="210"/>
      <c r="F8191" s="210"/>
      <c r="G8191" s="210"/>
      <c r="H8191" s="210"/>
    </row>
    <row r="8192" spans="3:8" x14ac:dyDescent="0.25">
      <c r="C8192" s="210"/>
      <c r="D8192" s="210"/>
      <c r="E8192" s="210"/>
      <c r="F8192" s="210"/>
      <c r="G8192" s="210"/>
      <c r="H8192" s="210"/>
    </row>
    <row r="8193" spans="3:8" x14ac:dyDescent="0.25">
      <c r="C8193" s="210"/>
      <c r="D8193" s="210"/>
      <c r="E8193" s="210"/>
      <c r="F8193" s="210"/>
      <c r="G8193" s="210"/>
      <c r="H8193" s="210"/>
    </row>
    <row r="8194" spans="3:8" x14ac:dyDescent="0.25">
      <c r="C8194" s="210"/>
      <c r="D8194" s="210"/>
      <c r="E8194" s="210"/>
      <c r="F8194" s="210"/>
      <c r="G8194" s="210"/>
      <c r="H8194" s="210"/>
    </row>
    <row r="8195" spans="3:8" x14ac:dyDescent="0.25">
      <c r="C8195" s="210"/>
      <c r="D8195" s="210"/>
      <c r="E8195" s="210"/>
      <c r="F8195" s="210"/>
      <c r="G8195" s="210"/>
      <c r="H8195" s="210"/>
    </row>
    <row r="8196" spans="3:8" x14ac:dyDescent="0.25">
      <c r="C8196" s="210"/>
      <c r="D8196" s="210"/>
      <c r="E8196" s="210"/>
      <c r="F8196" s="210"/>
      <c r="G8196" s="210"/>
      <c r="H8196" s="210"/>
    </row>
    <row r="8197" spans="3:8" x14ac:dyDescent="0.25">
      <c r="C8197" s="210"/>
      <c r="D8197" s="210"/>
      <c r="E8197" s="210"/>
      <c r="F8197" s="210"/>
      <c r="G8197" s="210"/>
      <c r="H8197" s="210"/>
    </row>
    <row r="8198" spans="3:8" x14ac:dyDescent="0.25">
      <c r="C8198" s="210"/>
      <c r="D8198" s="210"/>
      <c r="E8198" s="210"/>
      <c r="F8198" s="210"/>
      <c r="G8198" s="210"/>
      <c r="H8198" s="210"/>
    </row>
    <row r="8199" spans="3:8" x14ac:dyDescent="0.25">
      <c r="C8199" s="210"/>
      <c r="D8199" s="210"/>
      <c r="E8199" s="210"/>
      <c r="F8199" s="210"/>
      <c r="G8199" s="210"/>
      <c r="H8199" s="210"/>
    </row>
    <row r="8200" spans="3:8" x14ac:dyDescent="0.25">
      <c r="C8200" s="210"/>
      <c r="D8200" s="210"/>
      <c r="E8200" s="210"/>
      <c r="F8200" s="210"/>
      <c r="G8200" s="210"/>
      <c r="H8200" s="210"/>
    </row>
    <row r="8201" spans="3:8" x14ac:dyDescent="0.25">
      <c r="C8201" s="210"/>
      <c r="D8201" s="210"/>
      <c r="E8201" s="210"/>
      <c r="F8201" s="210"/>
      <c r="G8201" s="210"/>
      <c r="H8201" s="210"/>
    </row>
    <row r="8202" spans="3:8" x14ac:dyDescent="0.25">
      <c r="C8202" s="210"/>
      <c r="D8202" s="210"/>
      <c r="E8202" s="210"/>
      <c r="F8202" s="210"/>
      <c r="G8202" s="210"/>
      <c r="H8202" s="210"/>
    </row>
    <row r="8203" spans="3:8" x14ac:dyDescent="0.25">
      <c r="C8203" s="210"/>
      <c r="D8203" s="210"/>
      <c r="E8203" s="210"/>
      <c r="F8203" s="210"/>
      <c r="G8203" s="210"/>
      <c r="H8203" s="210"/>
    </row>
    <row r="8204" spans="3:8" x14ac:dyDescent="0.25">
      <c r="C8204" s="210"/>
      <c r="D8204" s="210"/>
      <c r="E8204" s="210"/>
      <c r="F8204" s="210"/>
      <c r="G8204" s="210"/>
      <c r="H8204" s="210"/>
    </row>
    <row r="8205" spans="3:8" x14ac:dyDescent="0.25">
      <c r="C8205" s="210"/>
      <c r="D8205" s="210"/>
      <c r="E8205" s="210"/>
      <c r="F8205" s="210"/>
      <c r="G8205" s="210"/>
      <c r="H8205" s="210"/>
    </row>
    <row r="8206" spans="3:8" x14ac:dyDescent="0.25">
      <c r="C8206" s="210"/>
      <c r="D8206" s="210"/>
      <c r="E8206" s="210"/>
      <c r="F8206" s="210"/>
      <c r="G8206" s="210"/>
      <c r="H8206" s="210"/>
    </row>
    <row r="8207" spans="3:8" x14ac:dyDescent="0.25">
      <c r="C8207" s="210"/>
      <c r="D8207" s="210"/>
      <c r="E8207" s="210"/>
      <c r="F8207" s="210"/>
      <c r="G8207" s="210"/>
      <c r="H8207" s="210"/>
    </row>
    <row r="8208" spans="3:8" x14ac:dyDescent="0.25">
      <c r="C8208" s="210"/>
      <c r="D8208" s="210"/>
      <c r="E8208" s="210"/>
      <c r="F8208" s="210"/>
      <c r="G8208" s="210"/>
      <c r="H8208" s="210"/>
    </row>
    <row r="8209" spans="3:8" x14ac:dyDescent="0.25">
      <c r="C8209" s="210"/>
      <c r="D8209" s="210"/>
      <c r="E8209" s="210"/>
      <c r="F8209" s="210"/>
      <c r="G8209" s="210"/>
      <c r="H8209" s="210"/>
    </row>
    <row r="8210" spans="3:8" x14ac:dyDescent="0.25">
      <c r="C8210" s="210"/>
      <c r="D8210" s="210"/>
      <c r="E8210" s="210"/>
      <c r="F8210" s="210"/>
      <c r="G8210" s="210"/>
      <c r="H8210" s="210"/>
    </row>
    <row r="8211" spans="3:8" x14ac:dyDescent="0.25">
      <c r="C8211" s="210"/>
      <c r="D8211" s="210"/>
      <c r="E8211" s="210"/>
      <c r="F8211" s="210"/>
      <c r="G8211" s="210"/>
      <c r="H8211" s="210"/>
    </row>
    <row r="8212" spans="3:8" x14ac:dyDescent="0.25">
      <c r="C8212" s="210"/>
      <c r="D8212" s="210"/>
      <c r="E8212" s="210"/>
      <c r="F8212" s="210"/>
      <c r="G8212" s="210"/>
      <c r="H8212" s="210"/>
    </row>
    <row r="8213" spans="3:8" x14ac:dyDescent="0.25">
      <c r="C8213" s="210"/>
      <c r="D8213" s="210"/>
      <c r="E8213" s="210"/>
      <c r="F8213" s="210"/>
      <c r="G8213" s="210"/>
      <c r="H8213" s="210"/>
    </row>
    <row r="8214" spans="3:8" x14ac:dyDescent="0.25">
      <c r="C8214" s="210"/>
      <c r="D8214" s="210"/>
      <c r="E8214" s="210"/>
      <c r="F8214" s="210"/>
      <c r="G8214" s="210"/>
      <c r="H8214" s="210"/>
    </row>
    <row r="8215" spans="3:8" x14ac:dyDescent="0.25">
      <c r="C8215" s="210"/>
      <c r="D8215" s="210"/>
      <c r="E8215" s="210"/>
      <c r="F8215" s="210"/>
      <c r="G8215" s="210"/>
      <c r="H8215" s="210"/>
    </row>
    <row r="8216" spans="3:8" x14ac:dyDescent="0.25">
      <c r="C8216" s="210"/>
      <c r="D8216" s="210"/>
      <c r="E8216" s="210"/>
      <c r="F8216" s="210"/>
      <c r="G8216" s="210"/>
      <c r="H8216" s="210"/>
    </row>
    <row r="8217" spans="3:8" x14ac:dyDescent="0.25">
      <c r="C8217" s="210"/>
      <c r="D8217" s="210"/>
      <c r="E8217" s="210"/>
      <c r="F8217" s="210"/>
      <c r="G8217" s="210"/>
      <c r="H8217" s="210"/>
    </row>
    <row r="8218" spans="3:8" x14ac:dyDescent="0.25">
      <c r="C8218" s="210"/>
      <c r="D8218" s="210"/>
      <c r="E8218" s="210"/>
      <c r="F8218" s="210"/>
      <c r="G8218" s="210"/>
      <c r="H8218" s="210"/>
    </row>
    <row r="8219" spans="3:8" x14ac:dyDescent="0.25">
      <c r="C8219" s="210"/>
      <c r="D8219" s="210"/>
      <c r="E8219" s="210"/>
      <c r="F8219" s="210"/>
      <c r="G8219" s="210"/>
      <c r="H8219" s="210"/>
    </row>
    <row r="8220" spans="3:8" x14ac:dyDescent="0.25">
      <c r="C8220" s="210"/>
      <c r="D8220" s="210"/>
      <c r="E8220" s="210"/>
      <c r="F8220" s="210"/>
      <c r="G8220" s="210"/>
      <c r="H8220" s="210"/>
    </row>
    <row r="8221" spans="3:8" x14ac:dyDescent="0.25">
      <c r="C8221" s="210"/>
      <c r="D8221" s="210"/>
      <c r="E8221" s="210"/>
      <c r="F8221" s="210"/>
      <c r="G8221" s="210"/>
      <c r="H8221" s="210"/>
    </row>
    <row r="8222" spans="3:8" x14ac:dyDescent="0.25">
      <c r="C8222" s="210"/>
      <c r="D8222" s="210"/>
      <c r="E8222" s="210"/>
      <c r="F8222" s="210"/>
      <c r="G8222" s="210"/>
      <c r="H8222" s="210"/>
    </row>
    <row r="8223" spans="3:8" x14ac:dyDescent="0.25">
      <c r="C8223" s="210"/>
      <c r="D8223" s="210"/>
      <c r="E8223" s="210"/>
      <c r="F8223" s="210"/>
      <c r="G8223" s="210"/>
      <c r="H8223" s="210"/>
    </row>
    <row r="8224" spans="3:8" x14ac:dyDescent="0.25">
      <c r="C8224" s="210"/>
      <c r="D8224" s="210"/>
      <c r="E8224" s="210"/>
      <c r="F8224" s="210"/>
      <c r="G8224" s="210"/>
      <c r="H8224" s="210"/>
    </row>
    <row r="8225" spans="3:8" x14ac:dyDescent="0.25">
      <c r="C8225" s="210"/>
      <c r="D8225" s="210"/>
      <c r="E8225" s="210"/>
      <c r="F8225" s="210"/>
      <c r="G8225" s="210"/>
      <c r="H8225" s="210"/>
    </row>
    <row r="8226" spans="3:8" x14ac:dyDescent="0.25">
      <c r="C8226" s="210"/>
      <c r="D8226" s="210"/>
      <c r="E8226" s="210"/>
      <c r="F8226" s="210"/>
      <c r="G8226" s="210"/>
      <c r="H8226" s="210"/>
    </row>
    <row r="8227" spans="3:8" x14ac:dyDescent="0.25">
      <c r="C8227" s="210"/>
      <c r="D8227" s="210"/>
      <c r="E8227" s="210"/>
      <c r="F8227" s="210"/>
      <c r="G8227" s="210"/>
      <c r="H8227" s="210"/>
    </row>
    <row r="8228" spans="3:8" x14ac:dyDescent="0.25">
      <c r="C8228" s="210"/>
      <c r="D8228" s="210"/>
      <c r="E8228" s="210"/>
      <c r="F8228" s="210"/>
      <c r="G8228" s="210"/>
      <c r="H8228" s="210"/>
    </row>
    <row r="8229" spans="3:8" x14ac:dyDescent="0.25">
      <c r="C8229" s="210"/>
      <c r="D8229" s="210"/>
      <c r="E8229" s="210"/>
      <c r="F8229" s="210"/>
      <c r="G8229" s="210"/>
      <c r="H8229" s="210"/>
    </row>
    <row r="8230" spans="3:8" x14ac:dyDescent="0.25">
      <c r="C8230" s="210"/>
      <c r="D8230" s="210"/>
      <c r="E8230" s="210"/>
      <c r="F8230" s="210"/>
      <c r="G8230" s="210"/>
      <c r="H8230" s="210"/>
    </row>
    <row r="8231" spans="3:8" x14ac:dyDescent="0.25">
      <c r="C8231" s="210"/>
      <c r="D8231" s="210"/>
      <c r="E8231" s="210"/>
      <c r="F8231" s="210"/>
      <c r="G8231" s="210"/>
      <c r="H8231" s="210"/>
    </row>
    <row r="8232" spans="3:8" x14ac:dyDescent="0.25">
      <c r="C8232" s="210"/>
      <c r="D8232" s="210"/>
      <c r="E8232" s="210"/>
      <c r="F8232" s="210"/>
      <c r="G8232" s="210"/>
      <c r="H8232" s="210"/>
    </row>
    <row r="8233" spans="3:8" x14ac:dyDescent="0.25">
      <c r="C8233" s="210"/>
      <c r="D8233" s="210"/>
      <c r="E8233" s="210"/>
      <c r="F8233" s="210"/>
      <c r="G8233" s="210"/>
      <c r="H8233" s="210"/>
    </row>
    <row r="8234" spans="3:8" x14ac:dyDescent="0.25">
      <c r="C8234" s="210"/>
      <c r="D8234" s="210"/>
      <c r="E8234" s="210"/>
      <c r="F8234" s="210"/>
      <c r="G8234" s="210"/>
      <c r="H8234" s="210"/>
    </row>
    <row r="8235" spans="3:8" x14ac:dyDescent="0.25">
      <c r="C8235" s="210"/>
      <c r="D8235" s="210"/>
      <c r="E8235" s="210"/>
      <c r="F8235" s="210"/>
      <c r="G8235" s="210"/>
      <c r="H8235" s="210"/>
    </row>
    <row r="8236" spans="3:8" x14ac:dyDescent="0.25">
      <c r="C8236" s="210"/>
      <c r="D8236" s="210"/>
      <c r="E8236" s="210"/>
      <c r="F8236" s="210"/>
      <c r="G8236" s="210"/>
      <c r="H8236" s="210"/>
    </row>
    <row r="8237" spans="3:8" x14ac:dyDescent="0.25">
      <c r="C8237" s="210"/>
      <c r="D8237" s="210"/>
      <c r="E8237" s="210"/>
      <c r="F8237" s="210"/>
      <c r="G8237" s="210"/>
      <c r="H8237" s="210"/>
    </row>
    <row r="8238" spans="3:8" x14ac:dyDescent="0.25">
      <c r="C8238" s="210"/>
      <c r="D8238" s="210"/>
      <c r="E8238" s="210"/>
      <c r="F8238" s="210"/>
      <c r="G8238" s="210"/>
      <c r="H8238" s="210"/>
    </row>
    <row r="8239" spans="3:8" x14ac:dyDescent="0.25">
      <c r="C8239" s="210"/>
      <c r="D8239" s="210"/>
      <c r="E8239" s="210"/>
      <c r="F8239" s="210"/>
      <c r="G8239" s="210"/>
      <c r="H8239" s="210"/>
    </row>
    <row r="8240" spans="3:8" x14ac:dyDescent="0.25">
      <c r="C8240" s="210"/>
      <c r="D8240" s="210"/>
      <c r="E8240" s="210"/>
      <c r="F8240" s="210"/>
      <c r="G8240" s="210"/>
      <c r="H8240" s="210"/>
    </row>
    <row r="8241" spans="3:8" x14ac:dyDescent="0.25">
      <c r="C8241" s="210"/>
      <c r="D8241" s="210"/>
      <c r="E8241" s="210"/>
      <c r="F8241" s="210"/>
      <c r="G8241" s="210"/>
      <c r="H8241" s="210"/>
    </row>
    <row r="8242" spans="3:8" x14ac:dyDescent="0.25">
      <c r="C8242" s="210"/>
      <c r="D8242" s="210"/>
      <c r="E8242" s="210"/>
      <c r="F8242" s="210"/>
      <c r="G8242" s="210"/>
      <c r="H8242" s="210"/>
    </row>
    <row r="8243" spans="3:8" x14ac:dyDescent="0.25">
      <c r="C8243" s="210"/>
      <c r="D8243" s="210"/>
      <c r="E8243" s="210"/>
      <c r="F8243" s="210"/>
      <c r="G8243" s="210"/>
      <c r="H8243" s="210"/>
    </row>
    <row r="8244" spans="3:8" x14ac:dyDescent="0.25">
      <c r="C8244" s="210"/>
      <c r="D8244" s="210"/>
      <c r="E8244" s="210"/>
      <c r="F8244" s="210"/>
      <c r="G8244" s="210"/>
      <c r="H8244" s="210"/>
    </row>
    <row r="8245" spans="3:8" x14ac:dyDescent="0.25">
      <c r="C8245" s="210"/>
      <c r="D8245" s="210"/>
      <c r="E8245" s="210"/>
      <c r="F8245" s="210"/>
      <c r="G8245" s="210"/>
      <c r="H8245" s="210"/>
    </row>
    <row r="8246" spans="3:8" x14ac:dyDescent="0.25">
      <c r="C8246" s="210"/>
      <c r="D8246" s="210"/>
      <c r="E8246" s="210"/>
      <c r="F8246" s="210"/>
      <c r="G8246" s="210"/>
      <c r="H8246" s="210"/>
    </row>
    <row r="8247" spans="3:8" x14ac:dyDescent="0.25">
      <c r="C8247" s="210"/>
      <c r="D8247" s="210"/>
      <c r="E8247" s="210"/>
      <c r="F8247" s="210"/>
      <c r="G8247" s="210"/>
      <c r="H8247" s="210"/>
    </row>
    <row r="8248" spans="3:8" x14ac:dyDescent="0.25">
      <c r="C8248" s="210"/>
      <c r="D8248" s="210"/>
      <c r="E8248" s="210"/>
      <c r="F8248" s="210"/>
      <c r="G8248" s="210"/>
      <c r="H8248" s="210"/>
    </row>
    <row r="8249" spans="3:8" x14ac:dyDescent="0.25">
      <c r="C8249" s="210"/>
      <c r="D8249" s="210"/>
      <c r="E8249" s="210"/>
      <c r="F8249" s="210"/>
      <c r="G8249" s="210"/>
      <c r="H8249" s="210"/>
    </row>
    <row r="8250" spans="3:8" x14ac:dyDescent="0.25">
      <c r="C8250" s="210"/>
      <c r="D8250" s="210"/>
      <c r="E8250" s="210"/>
      <c r="F8250" s="210"/>
      <c r="G8250" s="210"/>
      <c r="H8250" s="210"/>
    </row>
    <row r="8251" spans="3:8" x14ac:dyDescent="0.25">
      <c r="C8251" s="210"/>
      <c r="D8251" s="210"/>
      <c r="E8251" s="210"/>
      <c r="F8251" s="210"/>
      <c r="G8251" s="210"/>
      <c r="H8251" s="210"/>
    </row>
    <row r="8252" spans="3:8" x14ac:dyDescent="0.25">
      <c r="C8252" s="210"/>
      <c r="D8252" s="210"/>
      <c r="E8252" s="210"/>
      <c r="F8252" s="210"/>
      <c r="G8252" s="210"/>
      <c r="H8252" s="210"/>
    </row>
    <row r="8253" spans="3:8" x14ac:dyDescent="0.25">
      <c r="C8253" s="210"/>
      <c r="D8253" s="210"/>
      <c r="E8253" s="210"/>
      <c r="F8253" s="210"/>
      <c r="G8253" s="210"/>
      <c r="H8253" s="210"/>
    </row>
    <row r="8254" spans="3:8" x14ac:dyDescent="0.25">
      <c r="C8254" s="210"/>
      <c r="D8254" s="210"/>
      <c r="E8254" s="210"/>
      <c r="F8254" s="210"/>
      <c r="G8254" s="210"/>
      <c r="H8254" s="210"/>
    </row>
    <row r="8255" spans="3:8" x14ac:dyDescent="0.25">
      <c r="C8255" s="210"/>
      <c r="D8255" s="210"/>
      <c r="E8255" s="210"/>
      <c r="F8255" s="210"/>
      <c r="G8255" s="210"/>
      <c r="H8255" s="210"/>
    </row>
    <row r="8256" spans="3:8" x14ac:dyDescent="0.25">
      <c r="C8256" s="210"/>
      <c r="D8256" s="210"/>
      <c r="E8256" s="210"/>
      <c r="F8256" s="210"/>
      <c r="G8256" s="210"/>
      <c r="H8256" s="210"/>
    </row>
    <row r="8257" spans="3:8" x14ac:dyDescent="0.25">
      <c r="C8257" s="210"/>
      <c r="D8257" s="210"/>
      <c r="E8257" s="210"/>
      <c r="F8257" s="210"/>
      <c r="G8257" s="210"/>
      <c r="H8257" s="210"/>
    </row>
    <row r="8258" spans="3:8" x14ac:dyDescent="0.25">
      <c r="C8258" s="210"/>
      <c r="D8258" s="210"/>
      <c r="E8258" s="210"/>
      <c r="F8258" s="210"/>
      <c r="G8258" s="210"/>
      <c r="H8258" s="210"/>
    </row>
    <row r="8259" spans="3:8" x14ac:dyDescent="0.25">
      <c r="C8259" s="210"/>
      <c r="D8259" s="210"/>
      <c r="E8259" s="210"/>
      <c r="F8259" s="210"/>
      <c r="G8259" s="210"/>
      <c r="H8259" s="210"/>
    </row>
    <row r="8260" spans="3:8" x14ac:dyDescent="0.25">
      <c r="C8260" s="210"/>
      <c r="D8260" s="210"/>
      <c r="E8260" s="210"/>
      <c r="F8260" s="210"/>
      <c r="G8260" s="210"/>
      <c r="H8260" s="210"/>
    </row>
    <row r="8261" spans="3:8" x14ac:dyDescent="0.25">
      <c r="C8261" s="210"/>
      <c r="D8261" s="210"/>
      <c r="E8261" s="210"/>
      <c r="F8261" s="210"/>
      <c r="G8261" s="210"/>
      <c r="H8261" s="210"/>
    </row>
    <row r="8262" spans="3:8" x14ac:dyDescent="0.25">
      <c r="C8262" s="210"/>
      <c r="D8262" s="210"/>
      <c r="E8262" s="210"/>
      <c r="F8262" s="210"/>
      <c r="G8262" s="210"/>
      <c r="H8262" s="210"/>
    </row>
    <row r="8263" spans="3:8" x14ac:dyDescent="0.25">
      <c r="C8263" s="210"/>
      <c r="D8263" s="210"/>
      <c r="E8263" s="210"/>
      <c r="F8263" s="210"/>
      <c r="G8263" s="210"/>
      <c r="H8263" s="210"/>
    </row>
    <row r="8264" spans="3:8" x14ac:dyDescent="0.25">
      <c r="C8264" s="210"/>
      <c r="D8264" s="210"/>
      <c r="E8264" s="210"/>
      <c r="F8264" s="210"/>
      <c r="G8264" s="210"/>
      <c r="H8264" s="210"/>
    </row>
    <row r="8265" spans="3:8" x14ac:dyDescent="0.25">
      <c r="C8265" s="210"/>
      <c r="D8265" s="210"/>
      <c r="E8265" s="210"/>
      <c r="F8265" s="210"/>
      <c r="G8265" s="210"/>
      <c r="H8265" s="210"/>
    </row>
    <row r="8266" spans="3:8" x14ac:dyDescent="0.25">
      <c r="C8266" s="210"/>
      <c r="D8266" s="210"/>
      <c r="E8266" s="210"/>
      <c r="F8266" s="210"/>
      <c r="G8266" s="210"/>
      <c r="H8266" s="210"/>
    </row>
    <row r="8267" spans="3:8" x14ac:dyDescent="0.25">
      <c r="C8267" s="210"/>
      <c r="D8267" s="210"/>
      <c r="E8267" s="210"/>
      <c r="F8267" s="210"/>
      <c r="G8267" s="210"/>
      <c r="H8267" s="210"/>
    </row>
    <row r="8268" spans="3:8" x14ac:dyDescent="0.25">
      <c r="C8268" s="210"/>
      <c r="D8268" s="210"/>
      <c r="E8268" s="210"/>
      <c r="F8268" s="210"/>
      <c r="G8268" s="210"/>
      <c r="H8268" s="210"/>
    </row>
    <row r="8269" spans="3:8" x14ac:dyDescent="0.25">
      <c r="C8269" s="210"/>
      <c r="D8269" s="210"/>
      <c r="E8269" s="210"/>
      <c r="F8269" s="210"/>
      <c r="G8269" s="210"/>
      <c r="H8269" s="210"/>
    </row>
    <row r="8270" spans="3:8" x14ac:dyDescent="0.25">
      <c r="C8270" s="210"/>
      <c r="D8270" s="210"/>
      <c r="E8270" s="210"/>
      <c r="F8270" s="210"/>
      <c r="G8270" s="210"/>
      <c r="H8270" s="210"/>
    </row>
    <row r="8271" spans="3:8" x14ac:dyDescent="0.25">
      <c r="C8271" s="210"/>
      <c r="D8271" s="210"/>
      <c r="E8271" s="210"/>
      <c r="F8271" s="210"/>
      <c r="G8271" s="210"/>
      <c r="H8271" s="210"/>
    </row>
    <row r="8272" spans="3:8" x14ac:dyDescent="0.25">
      <c r="C8272" s="210"/>
      <c r="D8272" s="210"/>
      <c r="E8272" s="210"/>
      <c r="F8272" s="210"/>
      <c r="G8272" s="210"/>
      <c r="H8272" s="210"/>
    </row>
    <row r="8273" spans="3:8" x14ac:dyDescent="0.25">
      <c r="C8273" s="210"/>
      <c r="D8273" s="210"/>
      <c r="E8273" s="210"/>
      <c r="F8273" s="210"/>
      <c r="G8273" s="210"/>
      <c r="H8273" s="210"/>
    </row>
    <row r="8274" spans="3:8" x14ac:dyDescent="0.25">
      <c r="C8274" s="210"/>
      <c r="D8274" s="210"/>
      <c r="E8274" s="210"/>
      <c r="F8274" s="210"/>
      <c r="G8274" s="210"/>
      <c r="H8274" s="210"/>
    </row>
    <row r="8275" spans="3:8" x14ac:dyDescent="0.25">
      <c r="C8275" s="210"/>
      <c r="D8275" s="210"/>
      <c r="E8275" s="210"/>
      <c r="F8275" s="210"/>
      <c r="G8275" s="210"/>
      <c r="H8275" s="210"/>
    </row>
    <row r="8276" spans="3:8" x14ac:dyDescent="0.25">
      <c r="C8276" s="210"/>
      <c r="D8276" s="210"/>
      <c r="E8276" s="210"/>
      <c r="F8276" s="210"/>
      <c r="G8276" s="210"/>
      <c r="H8276" s="210"/>
    </row>
    <row r="8277" spans="3:8" x14ac:dyDescent="0.25">
      <c r="C8277" s="210"/>
      <c r="D8277" s="210"/>
      <c r="E8277" s="210"/>
      <c r="F8277" s="210"/>
      <c r="G8277" s="210"/>
      <c r="H8277" s="210"/>
    </row>
    <row r="8278" spans="3:8" x14ac:dyDescent="0.25">
      <c r="C8278" s="210"/>
      <c r="D8278" s="210"/>
      <c r="E8278" s="210"/>
      <c r="F8278" s="210"/>
      <c r="G8278" s="210"/>
      <c r="H8278" s="210"/>
    </row>
    <row r="8279" spans="3:8" x14ac:dyDescent="0.25">
      <c r="C8279" s="210"/>
      <c r="D8279" s="210"/>
      <c r="E8279" s="210"/>
      <c r="F8279" s="210"/>
      <c r="G8279" s="210"/>
      <c r="H8279" s="210"/>
    </row>
    <row r="8280" spans="3:8" x14ac:dyDescent="0.25">
      <c r="C8280" s="210"/>
      <c r="D8280" s="210"/>
      <c r="E8280" s="210"/>
      <c r="F8280" s="210"/>
      <c r="G8280" s="210"/>
      <c r="H8280" s="210"/>
    </row>
    <row r="8281" spans="3:8" x14ac:dyDescent="0.25">
      <c r="C8281" s="210"/>
      <c r="D8281" s="210"/>
      <c r="E8281" s="210"/>
      <c r="F8281" s="210"/>
      <c r="G8281" s="210"/>
      <c r="H8281" s="210"/>
    </row>
    <row r="8282" spans="3:8" x14ac:dyDescent="0.25">
      <c r="C8282" s="210"/>
      <c r="D8282" s="210"/>
      <c r="E8282" s="210"/>
      <c r="F8282" s="210"/>
      <c r="G8282" s="210"/>
      <c r="H8282" s="210"/>
    </row>
    <row r="8283" spans="3:8" x14ac:dyDescent="0.25">
      <c r="C8283" s="210"/>
      <c r="D8283" s="210"/>
      <c r="E8283" s="210"/>
      <c r="F8283" s="210"/>
      <c r="G8283" s="210"/>
      <c r="H8283" s="210"/>
    </row>
    <row r="8284" spans="3:8" x14ac:dyDescent="0.25">
      <c r="C8284" s="210"/>
      <c r="D8284" s="210"/>
      <c r="E8284" s="210"/>
      <c r="F8284" s="210"/>
      <c r="G8284" s="210"/>
      <c r="H8284" s="210"/>
    </row>
    <row r="8285" spans="3:8" x14ac:dyDescent="0.25">
      <c r="C8285" s="210"/>
      <c r="D8285" s="210"/>
      <c r="E8285" s="210"/>
      <c r="F8285" s="210"/>
      <c r="G8285" s="210"/>
      <c r="H8285" s="210"/>
    </row>
    <row r="8286" spans="3:8" x14ac:dyDescent="0.25">
      <c r="C8286" s="210"/>
      <c r="D8286" s="210"/>
      <c r="E8286" s="210"/>
      <c r="F8286" s="210"/>
      <c r="G8286" s="210"/>
      <c r="H8286" s="210"/>
    </row>
    <row r="8287" spans="3:8" x14ac:dyDescent="0.25">
      <c r="C8287" s="210"/>
      <c r="D8287" s="210"/>
      <c r="E8287" s="210"/>
      <c r="F8287" s="210"/>
      <c r="G8287" s="210"/>
      <c r="H8287" s="210"/>
    </row>
    <row r="8288" spans="3:8" x14ac:dyDescent="0.25">
      <c r="C8288" s="210"/>
      <c r="D8288" s="210"/>
      <c r="E8288" s="210"/>
      <c r="F8288" s="210"/>
      <c r="G8288" s="210"/>
      <c r="H8288" s="210"/>
    </row>
    <row r="8289" spans="3:8" x14ac:dyDescent="0.25">
      <c r="C8289" s="210"/>
      <c r="D8289" s="210"/>
      <c r="E8289" s="210"/>
      <c r="F8289" s="210"/>
      <c r="G8289" s="210"/>
      <c r="H8289" s="210"/>
    </row>
    <row r="8290" spans="3:8" x14ac:dyDescent="0.25">
      <c r="C8290" s="210"/>
      <c r="D8290" s="210"/>
      <c r="E8290" s="210"/>
      <c r="F8290" s="210"/>
      <c r="G8290" s="210"/>
      <c r="H8290" s="210"/>
    </row>
    <row r="8291" spans="3:8" x14ac:dyDescent="0.25">
      <c r="C8291" s="210"/>
      <c r="D8291" s="210"/>
      <c r="E8291" s="210"/>
      <c r="F8291" s="210"/>
      <c r="G8291" s="210"/>
      <c r="H8291" s="210"/>
    </row>
    <row r="8292" spans="3:8" x14ac:dyDescent="0.25">
      <c r="C8292" s="210"/>
      <c r="D8292" s="210"/>
      <c r="E8292" s="210"/>
      <c r="F8292" s="210"/>
      <c r="G8292" s="210"/>
      <c r="H8292" s="210"/>
    </row>
    <row r="8293" spans="3:8" x14ac:dyDescent="0.25">
      <c r="C8293" s="210"/>
      <c r="D8293" s="210"/>
      <c r="E8293" s="210"/>
      <c r="F8293" s="210"/>
      <c r="G8293" s="210"/>
      <c r="H8293" s="210"/>
    </row>
    <row r="8294" spans="3:8" x14ac:dyDescent="0.25">
      <c r="C8294" s="210"/>
      <c r="D8294" s="210"/>
      <c r="E8294" s="210"/>
      <c r="F8294" s="210"/>
      <c r="G8294" s="210"/>
      <c r="H8294" s="210"/>
    </row>
    <row r="8295" spans="3:8" x14ac:dyDescent="0.25">
      <c r="C8295" s="210"/>
      <c r="D8295" s="210"/>
      <c r="E8295" s="210"/>
      <c r="F8295" s="210"/>
      <c r="G8295" s="210"/>
      <c r="H8295" s="210"/>
    </row>
    <row r="8296" spans="3:8" x14ac:dyDescent="0.25">
      <c r="C8296" s="210"/>
      <c r="D8296" s="210"/>
      <c r="E8296" s="210"/>
      <c r="F8296" s="210"/>
      <c r="G8296" s="210"/>
      <c r="H8296" s="210"/>
    </row>
    <row r="8297" spans="3:8" x14ac:dyDescent="0.25">
      <c r="C8297" s="210"/>
      <c r="D8297" s="210"/>
      <c r="E8297" s="210"/>
      <c r="F8297" s="210"/>
      <c r="G8297" s="210"/>
      <c r="H8297" s="210"/>
    </row>
    <row r="8298" spans="3:8" x14ac:dyDescent="0.25">
      <c r="C8298" s="210"/>
      <c r="D8298" s="210"/>
      <c r="E8298" s="210"/>
      <c r="F8298" s="210"/>
      <c r="G8298" s="210"/>
      <c r="H8298" s="210"/>
    </row>
    <row r="8299" spans="3:8" x14ac:dyDescent="0.25">
      <c r="C8299" s="210"/>
      <c r="D8299" s="210"/>
      <c r="E8299" s="210"/>
      <c r="F8299" s="210"/>
      <c r="G8299" s="210"/>
      <c r="H8299" s="210"/>
    </row>
    <row r="8300" spans="3:8" x14ac:dyDescent="0.25">
      <c r="C8300" s="210"/>
      <c r="D8300" s="210"/>
      <c r="E8300" s="210"/>
      <c r="F8300" s="210"/>
      <c r="G8300" s="210"/>
      <c r="H8300" s="210"/>
    </row>
    <row r="8301" spans="3:8" x14ac:dyDescent="0.25">
      <c r="C8301" s="210"/>
      <c r="D8301" s="210"/>
      <c r="E8301" s="210"/>
      <c r="F8301" s="210"/>
      <c r="G8301" s="210"/>
      <c r="H8301" s="210"/>
    </row>
    <row r="8302" spans="3:8" x14ac:dyDescent="0.25">
      <c r="C8302" s="210"/>
      <c r="D8302" s="210"/>
      <c r="E8302" s="210"/>
      <c r="F8302" s="210"/>
      <c r="G8302" s="210"/>
      <c r="H8302" s="210"/>
    </row>
    <row r="8303" spans="3:8" x14ac:dyDescent="0.25">
      <c r="C8303" s="210"/>
      <c r="D8303" s="210"/>
      <c r="E8303" s="210"/>
      <c r="F8303" s="210"/>
      <c r="G8303" s="210"/>
      <c r="H8303" s="210"/>
    </row>
    <row r="8304" spans="3:8" x14ac:dyDescent="0.25">
      <c r="C8304" s="210"/>
      <c r="D8304" s="210"/>
      <c r="E8304" s="210"/>
      <c r="F8304" s="210"/>
      <c r="G8304" s="210"/>
      <c r="H8304" s="210"/>
    </row>
    <row r="8305" spans="3:8" x14ac:dyDescent="0.25">
      <c r="C8305" s="210"/>
      <c r="D8305" s="210"/>
      <c r="E8305" s="210"/>
      <c r="F8305" s="210"/>
      <c r="G8305" s="210"/>
      <c r="H8305" s="210"/>
    </row>
    <row r="8306" spans="3:8" x14ac:dyDescent="0.25">
      <c r="C8306" s="210"/>
      <c r="D8306" s="210"/>
      <c r="E8306" s="210"/>
      <c r="F8306" s="210"/>
      <c r="G8306" s="210"/>
      <c r="H8306" s="210"/>
    </row>
    <row r="8307" spans="3:8" x14ac:dyDescent="0.25">
      <c r="C8307" s="210"/>
      <c r="D8307" s="210"/>
      <c r="E8307" s="210"/>
      <c r="F8307" s="210"/>
      <c r="G8307" s="210"/>
      <c r="H8307" s="210"/>
    </row>
    <row r="8308" spans="3:8" x14ac:dyDescent="0.25">
      <c r="C8308" s="210"/>
      <c r="D8308" s="210"/>
      <c r="E8308" s="210"/>
      <c r="F8308" s="210"/>
      <c r="G8308" s="210"/>
      <c r="H8308" s="210"/>
    </row>
    <row r="8309" spans="3:8" x14ac:dyDescent="0.25">
      <c r="C8309" s="210"/>
      <c r="D8309" s="210"/>
      <c r="E8309" s="210"/>
      <c r="F8309" s="210"/>
      <c r="G8309" s="210"/>
      <c r="H8309" s="210"/>
    </row>
    <row r="8310" spans="3:8" x14ac:dyDescent="0.25">
      <c r="C8310" s="210"/>
      <c r="D8310" s="210"/>
      <c r="E8310" s="210"/>
      <c r="F8310" s="210"/>
      <c r="G8310" s="210"/>
      <c r="H8310" s="210"/>
    </row>
    <row r="8311" spans="3:8" x14ac:dyDescent="0.25">
      <c r="C8311" s="210"/>
      <c r="D8311" s="210"/>
      <c r="E8311" s="210"/>
      <c r="F8311" s="210"/>
      <c r="G8311" s="210"/>
      <c r="H8311" s="210"/>
    </row>
    <row r="8312" spans="3:8" x14ac:dyDescent="0.25">
      <c r="C8312" s="210"/>
      <c r="D8312" s="210"/>
      <c r="E8312" s="210"/>
      <c r="F8312" s="210"/>
      <c r="G8312" s="210"/>
      <c r="H8312" s="210"/>
    </row>
    <row r="8313" spans="3:8" x14ac:dyDescent="0.25">
      <c r="C8313" s="210"/>
      <c r="D8313" s="210"/>
      <c r="E8313" s="210"/>
      <c r="F8313" s="210"/>
      <c r="G8313" s="210"/>
      <c r="H8313" s="210"/>
    </row>
    <row r="8314" spans="3:8" x14ac:dyDescent="0.25">
      <c r="C8314" s="210"/>
      <c r="D8314" s="210"/>
      <c r="E8314" s="210"/>
      <c r="F8314" s="210"/>
      <c r="G8314" s="210"/>
      <c r="H8314" s="210"/>
    </row>
    <row r="8315" spans="3:8" x14ac:dyDescent="0.25">
      <c r="C8315" s="210"/>
      <c r="D8315" s="210"/>
      <c r="E8315" s="210"/>
      <c r="F8315" s="210"/>
      <c r="G8315" s="210"/>
      <c r="H8315" s="210"/>
    </row>
    <row r="8316" spans="3:8" x14ac:dyDescent="0.25">
      <c r="C8316" s="210"/>
      <c r="D8316" s="210"/>
      <c r="E8316" s="210"/>
      <c r="F8316" s="210"/>
      <c r="G8316" s="210"/>
      <c r="H8316" s="210"/>
    </row>
    <row r="8317" spans="3:8" x14ac:dyDescent="0.25">
      <c r="C8317" s="210"/>
      <c r="D8317" s="210"/>
      <c r="E8317" s="210"/>
      <c r="F8317" s="210"/>
      <c r="G8317" s="210"/>
      <c r="H8317" s="210"/>
    </row>
    <row r="8318" spans="3:8" x14ac:dyDescent="0.25">
      <c r="C8318" s="210"/>
      <c r="D8318" s="210"/>
      <c r="E8318" s="210"/>
      <c r="F8318" s="210"/>
      <c r="G8318" s="210"/>
      <c r="H8318" s="210"/>
    </row>
    <row r="8319" spans="3:8" x14ac:dyDescent="0.25">
      <c r="C8319" s="210"/>
      <c r="D8319" s="210"/>
      <c r="E8319" s="210"/>
      <c r="F8319" s="210"/>
      <c r="G8319" s="210"/>
      <c r="H8319" s="210"/>
    </row>
    <row r="8320" spans="3:8" x14ac:dyDescent="0.25">
      <c r="C8320" s="210"/>
      <c r="D8320" s="210"/>
      <c r="E8320" s="210"/>
      <c r="F8320" s="210"/>
      <c r="G8320" s="210"/>
      <c r="H8320" s="210"/>
    </row>
    <row r="8321" spans="3:8" x14ac:dyDescent="0.25">
      <c r="C8321" s="210"/>
      <c r="D8321" s="210"/>
      <c r="E8321" s="210"/>
      <c r="F8321" s="210"/>
      <c r="G8321" s="210"/>
      <c r="H8321" s="210"/>
    </row>
    <row r="8322" spans="3:8" x14ac:dyDescent="0.25">
      <c r="C8322" s="210"/>
      <c r="D8322" s="210"/>
      <c r="E8322" s="210"/>
      <c r="F8322" s="210"/>
      <c r="G8322" s="210"/>
      <c r="H8322" s="210"/>
    </row>
    <row r="8323" spans="3:8" x14ac:dyDescent="0.25">
      <c r="C8323" s="210"/>
      <c r="D8323" s="210"/>
      <c r="E8323" s="210"/>
      <c r="F8323" s="210"/>
      <c r="G8323" s="210"/>
      <c r="H8323" s="210"/>
    </row>
    <row r="8324" spans="3:8" x14ac:dyDescent="0.25">
      <c r="C8324" s="210"/>
      <c r="D8324" s="210"/>
      <c r="E8324" s="210"/>
      <c r="F8324" s="210"/>
      <c r="G8324" s="210"/>
      <c r="H8324" s="210"/>
    </row>
    <row r="8325" spans="3:8" x14ac:dyDescent="0.25">
      <c r="C8325" s="210"/>
      <c r="D8325" s="210"/>
      <c r="E8325" s="210"/>
      <c r="F8325" s="210"/>
      <c r="G8325" s="210"/>
      <c r="H8325" s="210"/>
    </row>
    <row r="8326" spans="3:8" x14ac:dyDescent="0.25">
      <c r="C8326" s="210"/>
      <c r="D8326" s="210"/>
      <c r="E8326" s="210"/>
      <c r="F8326" s="210"/>
      <c r="G8326" s="210"/>
      <c r="H8326" s="210"/>
    </row>
    <row r="8327" spans="3:8" x14ac:dyDescent="0.25">
      <c r="C8327" s="210"/>
      <c r="D8327" s="210"/>
      <c r="E8327" s="210"/>
      <c r="F8327" s="210"/>
      <c r="G8327" s="210"/>
      <c r="H8327" s="210"/>
    </row>
    <row r="8328" spans="3:8" x14ac:dyDescent="0.25">
      <c r="C8328" s="210"/>
      <c r="D8328" s="210"/>
      <c r="E8328" s="210"/>
      <c r="F8328" s="210"/>
      <c r="G8328" s="210"/>
      <c r="H8328" s="210"/>
    </row>
    <row r="8329" spans="3:8" x14ac:dyDescent="0.25">
      <c r="C8329" s="210"/>
      <c r="D8329" s="210"/>
      <c r="E8329" s="210"/>
      <c r="F8329" s="210"/>
      <c r="G8329" s="210"/>
      <c r="H8329" s="210"/>
    </row>
    <row r="8330" spans="3:8" x14ac:dyDescent="0.25">
      <c r="C8330" s="210"/>
      <c r="D8330" s="210"/>
      <c r="E8330" s="210"/>
      <c r="F8330" s="210"/>
      <c r="G8330" s="210"/>
      <c r="H8330" s="210"/>
    </row>
    <row r="8331" spans="3:8" x14ac:dyDescent="0.25">
      <c r="C8331" s="210"/>
      <c r="D8331" s="210"/>
      <c r="E8331" s="210"/>
      <c r="F8331" s="210"/>
      <c r="G8331" s="210"/>
      <c r="H8331" s="210"/>
    </row>
    <row r="8332" spans="3:8" x14ac:dyDescent="0.25">
      <c r="C8332" s="210"/>
      <c r="D8332" s="210"/>
      <c r="E8332" s="210"/>
      <c r="F8332" s="210"/>
      <c r="G8332" s="210"/>
      <c r="H8332" s="210"/>
    </row>
    <row r="8333" spans="3:8" x14ac:dyDescent="0.25">
      <c r="C8333" s="210"/>
      <c r="D8333" s="210"/>
      <c r="E8333" s="210"/>
      <c r="F8333" s="210"/>
      <c r="G8333" s="210"/>
      <c r="H8333" s="210"/>
    </row>
    <row r="8334" spans="3:8" x14ac:dyDescent="0.25">
      <c r="C8334" s="210"/>
      <c r="D8334" s="210"/>
      <c r="E8334" s="210"/>
      <c r="F8334" s="210"/>
      <c r="G8334" s="210"/>
      <c r="H8334" s="210"/>
    </row>
    <row r="8335" spans="3:8" x14ac:dyDescent="0.25">
      <c r="C8335" s="210"/>
      <c r="D8335" s="210"/>
      <c r="E8335" s="210"/>
      <c r="F8335" s="210"/>
      <c r="G8335" s="210"/>
      <c r="H8335" s="210"/>
    </row>
    <row r="8336" spans="3:8" x14ac:dyDescent="0.25">
      <c r="C8336" s="210"/>
      <c r="D8336" s="210"/>
      <c r="E8336" s="210"/>
      <c r="F8336" s="210"/>
      <c r="G8336" s="210"/>
      <c r="H8336" s="210"/>
    </row>
    <row r="8337" spans="3:8" x14ac:dyDescent="0.25">
      <c r="C8337" s="210"/>
      <c r="D8337" s="210"/>
      <c r="E8337" s="210"/>
      <c r="F8337" s="210"/>
      <c r="G8337" s="210"/>
      <c r="H8337" s="210"/>
    </row>
    <row r="8338" spans="3:8" x14ac:dyDescent="0.25">
      <c r="C8338" s="210"/>
      <c r="D8338" s="210"/>
      <c r="E8338" s="210"/>
      <c r="F8338" s="210"/>
      <c r="G8338" s="210"/>
      <c r="H8338" s="210"/>
    </row>
    <row r="8339" spans="3:8" x14ac:dyDescent="0.25">
      <c r="C8339" s="210"/>
      <c r="D8339" s="210"/>
      <c r="E8339" s="210"/>
      <c r="F8339" s="210"/>
      <c r="G8339" s="210"/>
      <c r="H8339" s="210"/>
    </row>
    <row r="8340" spans="3:8" x14ac:dyDescent="0.25">
      <c r="C8340" s="210"/>
      <c r="D8340" s="210"/>
      <c r="E8340" s="210"/>
      <c r="F8340" s="210"/>
      <c r="G8340" s="210"/>
      <c r="H8340" s="210"/>
    </row>
    <row r="8341" spans="3:8" x14ac:dyDescent="0.25">
      <c r="C8341" s="210"/>
      <c r="D8341" s="210"/>
      <c r="E8341" s="210"/>
      <c r="F8341" s="210"/>
      <c r="G8341" s="210"/>
      <c r="H8341" s="210"/>
    </row>
    <row r="8342" spans="3:8" x14ac:dyDescent="0.25">
      <c r="C8342" s="210"/>
      <c r="D8342" s="210"/>
      <c r="E8342" s="210"/>
      <c r="F8342" s="210"/>
      <c r="G8342" s="210"/>
      <c r="H8342" s="210"/>
    </row>
    <row r="8343" spans="3:8" x14ac:dyDescent="0.25">
      <c r="C8343" s="210"/>
      <c r="D8343" s="210"/>
      <c r="E8343" s="210"/>
      <c r="F8343" s="210"/>
      <c r="G8343" s="210"/>
      <c r="H8343" s="210"/>
    </row>
    <row r="8344" spans="3:8" x14ac:dyDescent="0.25">
      <c r="C8344" s="210"/>
      <c r="D8344" s="210"/>
      <c r="E8344" s="210"/>
      <c r="F8344" s="210"/>
      <c r="G8344" s="210"/>
      <c r="H8344" s="210"/>
    </row>
    <row r="8345" spans="3:8" x14ac:dyDescent="0.25">
      <c r="C8345" s="210"/>
      <c r="D8345" s="210"/>
      <c r="E8345" s="210"/>
      <c r="F8345" s="210"/>
      <c r="G8345" s="210"/>
      <c r="H8345" s="210"/>
    </row>
    <row r="8346" spans="3:8" x14ac:dyDescent="0.25">
      <c r="C8346" s="210"/>
      <c r="D8346" s="210"/>
      <c r="E8346" s="210"/>
      <c r="F8346" s="210"/>
      <c r="G8346" s="210"/>
      <c r="H8346" s="210"/>
    </row>
    <row r="8347" spans="3:8" x14ac:dyDescent="0.25">
      <c r="C8347" s="210"/>
      <c r="D8347" s="210"/>
      <c r="E8347" s="210"/>
      <c r="F8347" s="210"/>
      <c r="G8347" s="210"/>
      <c r="H8347" s="210"/>
    </row>
    <row r="8348" spans="3:8" x14ac:dyDescent="0.25">
      <c r="C8348" s="210"/>
      <c r="D8348" s="210"/>
      <c r="E8348" s="210"/>
      <c r="F8348" s="210"/>
      <c r="G8348" s="210"/>
      <c r="H8348" s="210"/>
    </row>
    <row r="8349" spans="3:8" x14ac:dyDescent="0.25">
      <c r="C8349" s="210"/>
      <c r="D8349" s="210"/>
      <c r="E8349" s="210"/>
      <c r="F8349" s="210"/>
      <c r="G8349" s="210"/>
      <c r="H8349" s="210"/>
    </row>
    <row r="8350" spans="3:8" x14ac:dyDescent="0.25">
      <c r="C8350" s="210"/>
      <c r="D8350" s="210"/>
      <c r="E8350" s="210"/>
      <c r="F8350" s="210"/>
      <c r="G8350" s="210"/>
      <c r="H8350" s="210"/>
    </row>
    <row r="8351" spans="3:8" x14ac:dyDescent="0.25">
      <c r="C8351" s="210"/>
      <c r="D8351" s="210"/>
      <c r="E8351" s="210"/>
      <c r="F8351" s="210"/>
      <c r="G8351" s="210"/>
      <c r="H8351" s="210"/>
    </row>
    <row r="8352" spans="3:8" x14ac:dyDescent="0.25">
      <c r="C8352" s="210"/>
      <c r="D8352" s="210"/>
      <c r="E8352" s="210"/>
      <c r="F8352" s="210"/>
      <c r="G8352" s="210"/>
      <c r="H8352" s="210"/>
    </row>
    <row r="8353" spans="3:8" x14ac:dyDescent="0.25">
      <c r="C8353" s="210"/>
      <c r="D8353" s="210"/>
      <c r="E8353" s="210"/>
      <c r="F8353" s="210"/>
      <c r="G8353" s="210"/>
      <c r="H8353" s="210"/>
    </row>
    <row r="8354" spans="3:8" x14ac:dyDescent="0.25">
      <c r="C8354" s="210"/>
      <c r="D8354" s="210"/>
      <c r="E8354" s="210"/>
      <c r="F8354" s="210"/>
      <c r="G8354" s="210"/>
      <c r="H8354" s="210"/>
    </row>
    <row r="8355" spans="3:8" x14ac:dyDescent="0.25">
      <c r="C8355" s="210"/>
      <c r="D8355" s="210"/>
      <c r="E8355" s="210"/>
      <c r="F8355" s="210"/>
      <c r="G8355" s="210"/>
      <c r="H8355" s="210"/>
    </row>
    <row r="8356" spans="3:8" x14ac:dyDescent="0.25">
      <c r="C8356" s="210"/>
      <c r="D8356" s="210"/>
      <c r="E8356" s="210"/>
      <c r="F8356" s="210"/>
      <c r="G8356" s="210"/>
      <c r="H8356" s="210"/>
    </row>
    <row r="8357" spans="3:8" x14ac:dyDescent="0.25">
      <c r="C8357" s="210"/>
      <c r="D8357" s="210"/>
      <c r="E8357" s="210"/>
      <c r="F8357" s="210"/>
      <c r="G8357" s="210"/>
      <c r="H8357" s="210"/>
    </row>
    <row r="8358" spans="3:8" x14ac:dyDescent="0.25">
      <c r="C8358" s="210"/>
      <c r="D8358" s="210"/>
      <c r="E8358" s="210"/>
      <c r="F8358" s="210"/>
      <c r="G8358" s="210"/>
      <c r="H8358" s="210"/>
    </row>
    <row r="8359" spans="3:8" x14ac:dyDescent="0.25">
      <c r="C8359" s="210"/>
      <c r="D8359" s="210"/>
      <c r="E8359" s="210"/>
      <c r="F8359" s="210"/>
      <c r="G8359" s="210"/>
      <c r="H8359" s="210"/>
    </row>
    <row r="8360" spans="3:8" x14ac:dyDescent="0.25">
      <c r="C8360" s="210"/>
      <c r="D8360" s="210"/>
      <c r="E8360" s="210"/>
      <c r="F8360" s="210"/>
      <c r="G8360" s="210"/>
      <c r="H8360" s="210"/>
    </row>
    <row r="8361" spans="3:8" x14ac:dyDescent="0.25">
      <c r="C8361" s="210"/>
      <c r="D8361" s="210"/>
      <c r="E8361" s="210"/>
      <c r="F8361" s="210"/>
      <c r="G8361" s="210"/>
      <c r="H8361" s="210"/>
    </row>
    <row r="8362" spans="3:8" x14ac:dyDescent="0.25">
      <c r="C8362" s="210"/>
      <c r="D8362" s="210"/>
      <c r="E8362" s="210"/>
      <c r="F8362" s="210"/>
      <c r="G8362" s="210"/>
      <c r="H8362" s="210"/>
    </row>
    <row r="8363" spans="3:8" x14ac:dyDescent="0.25">
      <c r="C8363" s="210"/>
      <c r="D8363" s="210"/>
      <c r="E8363" s="210"/>
      <c r="F8363" s="210"/>
      <c r="G8363" s="210"/>
      <c r="H8363" s="210"/>
    </row>
    <row r="8364" spans="3:8" x14ac:dyDescent="0.25">
      <c r="C8364" s="210"/>
      <c r="D8364" s="210"/>
      <c r="E8364" s="210"/>
      <c r="F8364" s="210"/>
      <c r="G8364" s="210"/>
      <c r="H8364" s="210"/>
    </row>
    <row r="8365" spans="3:8" x14ac:dyDescent="0.25">
      <c r="C8365" s="210"/>
      <c r="D8365" s="210"/>
      <c r="E8365" s="210"/>
      <c r="F8365" s="210"/>
      <c r="G8365" s="210"/>
      <c r="H8365" s="210"/>
    </row>
    <row r="8366" spans="3:8" x14ac:dyDescent="0.25">
      <c r="C8366" s="210"/>
      <c r="D8366" s="210"/>
      <c r="E8366" s="210"/>
      <c r="F8366" s="210"/>
      <c r="G8366" s="210"/>
      <c r="H8366" s="210"/>
    </row>
    <row r="8367" spans="3:8" x14ac:dyDescent="0.25">
      <c r="C8367" s="210"/>
      <c r="D8367" s="210"/>
      <c r="E8367" s="210"/>
      <c r="F8367" s="210"/>
      <c r="G8367" s="210"/>
      <c r="H8367" s="210"/>
    </row>
    <row r="8368" spans="3:8" x14ac:dyDescent="0.25">
      <c r="C8368" s="210"/>
      <c r="D8368" s="210"/>
      <c r="E8368" s="210"/>
      <c r="F8368" s="210"/>
      <c r="G8368" s="210"/>
      <c r="H8368" s="210"/>
    </row>
    <row r="8369" spans="3:8" x14ac:dyDescent="0.25">
      <c r="C8369" s="210"/>
      <c r="D8369" s="210"/>
      <c r="E8369" s="210"/>
      <c r="F8369" s="210"/>
      <c r="G8369" s="210"/>
      <c r="H8369" s="210"/>
    </row>
    <row r="8370" spans="3:8" x14ac:dyDescent="0.25">
      <c r="C8370" s="210"/>
      <c r="D8370" s="210"/>
      <c r="E8370" s="210"/>
      <c r="F8370" s="210"/>
      <c r="G8370" s="210"/>
      <c r="H8370" s="210"/>
    </row>
    <row r="8371" spans="3:8" x14ac:dyDescent="0.25">
      <c r="C8371" s="210"/>
      <c r="D8371" s="210"/>
      <c r="E8371" s="210"/>
      <c r="F8371" s="210"/>
      <c r="G8371" s="210"/>
      <c r="H8371" s="210"/>
    </row>
    <row r="8372" spans="3:8" x14ac:dyDescent="0.25">
      <c r="C8372" s="210"/>
      <c r="D8372" s="210"/>
      <c r="E8372" s="210"/>
      <c r="F8372" s="210"/>
      <c r="G8372" s="210"/>
      <c r="H8372" s="210"/>
    </row>
    <row r="8373" spans="3:8" x14ac:dyDescent="0.25">
      <c r="C8373" s="210"/>
      <c r="D8373" s="210"/>
      <c r="E8373" s="210"/>
      <c r="F8373" s="210"/>
      <c r="G8373" s="210"/>
      <c r="H8373" s="210"/>
    </row>
    <row r="8374" spans="3:8" x14ac:dyDescent="0.25">
      <c r="C8374" s="210"/>
      <c r="D8374" s="210"/>
      <c r="E8374" s="210"/>
      <c r="F8374" s="210"/>
      <c r="G8374" s="210"/>
      <c r="H8374" s="210"/>
    </row>
    <row r="8375" spans="3:8" x14ac:dyDescent="0.25">
      <c r="C8375" s="210"/>
      <c r="D8375" s="210"/>
      <c r="E8375" s="210"/>
      <c r="F8375" s="210"/>
      <c r="G8375" s="210"/>
      <c r="H8375" s="210"/>
    </row>
    <row r="8376" spans="3:8" x14ac:dyDescent="0.25">
      <c r="C8376" s="210"/>
      <c r="D8376" s="210"/>
      <c r="E8376" s="210"/>
      <c r="F8376" s="210"/>
      <c r="G8376" s="210"/>
      <c r="H8376" s="210"/>
    </row>
    <row r="8377" spans="3:8" x14ac:dyDescent="0.25">
      <c r="C8377" s="210"/>
      <c r="D8377" s="210"/>
      <c r="E8377" s="210"/>
      <c r="F8377" s="210"/>
      <c r="G8377" s="210"/>
      <c r="H8377" s="210"/>
    </row>
    <row r="8378" spans="3:8" x14ac:dyDescent="0.25">
      <c r="C8378" s="210"/>
      <c r="D8378" s="210"/>
      <c r="E8378" s="210"/>
      <c r="F8378" s="210"/>
      <c r="G8378" s="210"/>
      <c r="H8378" s="210"/>
    </row>
    <row r="8379" spans="3:8" x14ac:dyDescent="0.25">
      <c r="C8379" s="210"/>
      <c r="D8379" s="210"/>
      <c r="E8379" s="210"/>
      <c r="F8379" s="210"/>
      <c r="G8379" s="210"/>
      <c r="H8379" s="210"/>
    </row>
    <row r="8380" spans="3:8" x14ac:dyDescent="0.25">
      <c r="C8380" s="210"/>
      <c r="D8380" s="210"/>
      <c r="E8380" s="210"/>
      <c r="F8380" s="210"/>
      <c r="G8380" s="210"/>
      <c r="H8380" s="210"/>
    </row>
    <row r="8381" spans="3:8" x14ac:dyDescent="0.25">
      <c r="C8381" s="210"/>
      <c r="D8381" s="210"/>
      <c r="E8381" s="210"/>
      <c r="F8381" s="210"/>
      <c r="G8381" s="210"/>
      <c r="H8381" s="210"/>
    </row>
    <row r="8382" spans="3:8" x14ac:dyDescent="0.25">
      <c r="C8382" s="210"/>
      <c r="D8382" s="210"/>
      <c r="E8382" s="210"/>
      <c r="F8382" s="210"/>
      <c r="G8382" s="210"/>
      <c r="H8382" s="210"/>
    </row>
    <row r="8383" spans="3:8" x14ac:dyDescent="0.25">
      <c r="C8383" s="210"/>
      <c r="D8383" s="210"/>
      <c r="E8383" s="210"/>
      <c r="F8383" s="210"/>
      <c r="G8383" s="210"/>
      <c r="H8383" s="210"/>
    </row>
    <row r="8384" spans="3:8" x14ac:dyDescent="0.25">
      <c r="C8384" s="210"/>
      <c r="D8384" s="210"/>
      <c r="E8384" s="210"/>
      <c r="F8384" s="210"/>
      <c r="G8384" s="210"/>
      <c r="H8384" s="210"/>
    </row>
    <row r="8385" spans="3:8" x14ac:dyDescent="0.25">
      <c r="C8385" s="210"/>
      <c r="D8385" s="210"/>
      <c r="E8385" s="210"/>
      <c r="F8385" s="210"/>
      <c r="G8385" s="210"/>
      <c r="H8385" s="210"/>
    </row>
    <row r="8386" spans="3:8" x14ac:dyDescent="0.25">
      <c r="C8386" s="210"/>
      <c r="D8386" s="210"/>
      <c r="E8386" s="210"/>
      <c r="F8386" s="210"/>
      <c r="G8386" s="210"/>
      <c r="H8386" s="210"/>
    </row>
    <row r="8387" spans="3:8" x14ac:dyDescent="0.25">
      <c r="C8387" s="210"/>
      <c r="D8387" s="210"/>
      <c r="E8387" s="210"/>
      <c r="F8387" s="210"/>
      <c r="G8387" s="210"/>
      <c r="H8387" s="210"/>
    </row>
    <row r="8388" spans="3:8" x14ac:dyDescent="0.25">
      <c r="C8388" s="210"/>
      <c r="D8388" s="210"/>
      <c r="E8388" s="210"/>
      <c r="F8388" s="210"/>
      <c r="G8388" s="210"/>
      <c r="H8388" s="210"/>
    </row>
    <row r="8389" spans="3:8" x14ac:dyDescent="0.25">
      <c r="C8389" s="210"/>
      <c r="D8389" s="210"/>
      <c r="E8389" s="210"/>
      <c r="F8389" s="210"/>
      <c r="G8389" s="210"/>
      <c r="H8389" s="210"/>
    </row>
    <row r="8390" spans="3:8" x14ac:dyDescent="0.25">
      <c r="C8390" s="210"/>
      <c r="D8390" s="210"/>
      <c r="E8390" s="210"/>
      <c r="F8390" s="210"/>
      <c r="G8390" s="210"/>
      <c r="H8390" s="210"/>
    </row>
    <row r="8391" spans="3:8" x14ac:dyDescent="0.25">
      <c r="C8391" s="210"/>
      <c r="D8391" s="210"/>
      <c r="E8391" s="210"/>
      <c r="F8391" s="210"/>
      <c r="G8391" s="210"/>
      <c r="H8391" s="210"/>
    </row>
    <row r="8392" spans="3:8" x14ac:dyDescent="0.25">
      <c r="C8392" s="210"/>
      <c r="D8392" s="210"/>
      <c r="E8392" s="210"/>
      <c r="F8392" s="210"/>
      <c r="G8392" s="210"/>
      <c r="H8392" s="210"/>
    </row>
    <row r="8393" spans="3:8" x14ac:dyDescent="0.25">
      <c r="C8393" s="210"/>
      <c r="D8393" s="210"/>
      <c r="E8393" s="210"/>
      <c r="F8393" s="210"/>
      <c r="G8393" s="210"/>
      <c r="H8393" s="210"/>
    </row>
    <row r="8394" spans="3:8" x14ac:dyDescent="0.25">
      <c r="C8394" s="210"/>
      <c r="D8394" s="210"/>
      <c r="E8394" s="210"/>
      <c r="F8394" s="210"/>
      <c r="G8394" s="210"/>
      <c r="H8394" s="210"/>
    </row>
    <row r="8395" spans="3:8" x14ac:dyDescent="0.25">
      <c r="C8395" s="210"/>
      <c r="D8395" s="210"/>
      <c r="E8395" s="210"/>
      <c r="F8395" s="210"/>
      <c r="G8395" s="210"/>
      <c r="H8395" s="210"/>
    </row>
    <row r="8396" spans="3:8" x14ac:dyDescent="0.25">
      <c r="C8396" s="210"/>
      <c r="D8396" s="210"/>
      <c r="E8396" s="210"/>
      <c r="F8396" s="210"/>
      <c r="G8396" s="210"/>
      <c r="H8396" s="210"/>
    </row>
    <row r="8397" spans="3:8" x14ac:dyDescent="0.25">
      <c r="C8397" s="210"/>
      <c r="D8397" s="210"/>
      <c r="E8397" s="210"/>
      <c r="F8397" s="210"/>
      <c r="G8397" s="210"/>
      <c r="H8397" s="210"/>
    </row>
    <row r="8398" spans="3:8" x14ac:dyDescent="0.25">
      <c r="C8398" s="210"/>
      <c r="D8398" s="210"/>
      <c r="E8398" s="210"/>
      <c r="F8398" s="210"/>
      <c r="G8398" s="210"/>
      <c r="H8398" s="210"/>
    </row>
    <row r="8399" spans="3:8" x14ac:dyDescent="0.25">
      <c r="C8399" s="210"/>
      <c r="D8399" s="210"/>
      <c r="E8399" s="210"/>
      <c r="F8399" s="210"/>
      <c r="G8399" s="210"/>
      <c r="H8399" s="210"/>
    </row>
    <row r="8400" spans="3:8" x14ac:dyDescent="0.25">
      <c r="C8400" s="210"/>
      <c r="D8400" s="210"/>
      <c r="E8400" s="210"/>
      <c r="F8400" s="210"/>
      <c r="G8400" s="210"/>
      <c r="H8400" s="210"/>
    </row>
    <row r="8401" spans="3:8" x14ac:dyDescent="0.25">
      <c r="C8401" s="210"/>
      <c r="D8401" s="210"/>
      <c r="E8401" s="210"/>
      <c r="F8401" s="210"/>
      <c r="G8401" s="210"/>
      <c r="H8401" s="210"/>
    </row>
    <row r="8402" spans="3:8" x14ac:dyDescent="0.25">
      <c r="C8402" s="210"/>
      <c r="D8402" s="210"/>
      <c r="E8402" s="210"/>
      <c r="F8402" s="210"/>
      <c r="G8402" s="210"/>
      <c r="H8402" s="210"/>
    </row>
    <row r="8403" spans="3:8" x14ac:dyDescent="0.25">
      <c r="C8403" s="210"/>
      <c r="D8403" s="210"/>
      <c r="E8403" s="210"/>
      <c r="F8403" s="210"/>
      <c r="G8403" s="210"/>
      <c r="H8403" s="210"/>
    </row>
    <row r="8404" spans="3:8" x14ac:dyDescent="0.25">
      <c r="C8404" s="210"/>
      <c r="D8404" s="210"/>
      <c r="E8404" s="210"/>
      <c r="F8404" s="210"/>
      <c r="G8404" s="210"/>
      <c r="H8404" s="210"/>
    </row>
    <row r="8405" spans="3:8" x14ac:dyDescent="0.25">
      <c r="C8405" s="210"/>
      <c r="D8405" s="210"/>
      <c r="E8405" s="210"/>
      <c r="F8405" s="210"/>
      <c r="G8405" s="210"/>
      <c r="H8405" s="210"/>
    </row>
    <row r="8406" spans="3:8" x14ac:dyDescent="0.25">
      <c r="C8406" s="210"/>
      <c r="D8406" s="210"/>
      <c r="E8406" s="210"/>
      <c r="F8406" s="210"/>
      <c r="G8406" s="210"/>
      <c r="H8406" s="210"/>
    </row>
    <row r="8407" spans="3:8" x14ac:dyDescent="0.25">
      <c r="C8407" s="210"/>
      <c r="D8407" s="210"/>
      <c r="E8407" s="210"/>
      <c r="F8407" s="210"/>
      <c r="G8407" s="210"/>
      <c r="H8407" s="210"/>
    </row>
    <row r="8408" spans="3:8" x14ac:dyDescent="0.25">
      <c r="C8408" s="210"/>
      <c r="D8408" s="210"/>
      <c r="E8408" s="210"/>
      <c r="F8408" s="210"/>
      <c r="G8408" s="210"/>
      <c r="H8408" s="210"/>
    </row>
    <row r="8409" spans="3:8" x14ac:dyDescent="0.25">
      <c r="C8409" s="210"/>
      <c r="D8409" s="210"/>
      <c r="E8409" s="210"/>
      <c r="F8409" s="210"/>
      <c r="G8409" s="210"/>
      <c r="H8409" s="210"/>
    </row>
    <row r="8410" spans="3:8" x14ac:dyDescent="0.25">
      <c r="C8410" s="210"/>
      <c r="D8410" s="210"/>
      <c r="E8410" s="210"/>
      <c r="F8410" s="210"/>
      <c r="G8410" s="210"/>
      <c r="H8410" s="210"/>
    </row>
    <row r="8411" spans="3:8" x14ac:dyDescent="0.25">
      <c r="C8411" s="210"/>
      <c r="D8411" s="210"/>
      <c r="E8411" s="210"/>
      <c r="F8411" s="210"/>
      <c r="G8411" s="210"/>
      <c r="H8411" s="210"/>
    </row>
    <row r="8412" spans="3:8" x14ac:dyDescent="0.25">
      <c r="C8412" s="210"/>
      <c r="D8412" s="210"/>
      <c r="E8412" s="210"/>
      <c r="F8412" s="210"/>
      <c r="G8412" s="210"/>
      <c r="H8412" s="210"/>
    </row>
    <row r="8413" spans="3:8" x14ac:dyDescent="0.25">
      <c r="C8413" s="210"/>
      <c r="D8413" s="210"/>
      <c r="E8413" s="210"/>
      <c r="F8413" s="210"/>
      <c r="G8413" s="210"/>
      <c r="H8413" s="210"/>
    </row>
    <row r="8414" spans="3:8" x14ac:dyDescent="0.25">
      <c r="C8414" s="210"/>
      <c r="D8414" s="210"/>
      <c r="E8414" s="210"/>
      <c r="F8414" s="210"/>
      <c r="G8414" s="210"/>
      <c r="H8414" s="210"/>
    </row>
    <row r="8415" spans="3:8" x14ac:dyDescent="0.25">
      <c r="C8415" s="210"/>
      <c r="D8415" s="210"/>
      <c r="E8415" s="210"/>
      <c r="F8415" s="210"/>
      <c r="G8415" s="210"/>
      <c r="H8415" s="210"/>
    </row>
    <row r="8416" spans="3:8" x14ac:dyDescent="0.25">
      <c r="C8416" s="210"/>
      <c r="D8416" s="210"/>
      <c r="E8416" s="210"/>
      <c r="F8416" s="210"/>
      <c r="G8416" s="210"/>
      <c r="H8416" s="210"/>
    </row>
    <row r="8417" spans="3:8" x14ac:dyDescent="0.25">
      <c r="C8417" s="210"/>
      <c r="D8417" s="210"/>
      <c r="E8417" s="210"/>
      <c r="F8417" s="210"/>
      <c r="G8417" s="210"/>
      <c r="H8417" s="210"/>
    </row>
    <row r="8418" spans="3:8" x14ac:dyDescent="0.25">
      <c r="C8418" s="210"/>
      <c r="D8418" s="210"/>
      <c r="E8418" s="210"/>
      <c r="F8418" s="210"/>
      <c r="G8418" s="210"/>
      <c r="H8418" s="210"/>
    </row>
    <row r="8419" spans="3:8" x14ac:dyDescent="0.25">
      <c r="C8419" s="210"/>
      <c r="D8419" s="210"/>
      <c r="E8419" s="210"/>
      <c r="F8419" s="210"/>
      <c r="G8419" s="210"/>
      <c r="H8419" s="210"/>
    </row>
    <row r="8420" spans="3:8" x14ac:dyDescent="0.25">
      <c r="C8420" s="210"/>
      <c r="D8420" s="210"/>
      <c r="E8420" s="210"/>
      <c r="F8420" s="210"/>
      <c r="G8420" s="210"/>
      <c r="H8420" s="210"/>
    </row>
    <row r="8421" spans="3:8" x14ac:dyDescent="0.25">
      <c r="C8421" s="210"/>
      <c r="D8421" s="210"/>
      <c r="E8421" s="210"/>
      <c r="F8421" s="210"/>
      <c r="G8421" s="210"/>
      <c r="H8421" s="210"/>
    </row>
    <row r="8422" spans="3:8" x14ac:dyDescent="0.25">
      <c r="C8422" s="210"/>
      <c r="D8422" s="210"/>
      <c r="E8422" s="210"/>
      <c r="F8422" s="210"/>
      <c r="G8422" s="210"/>
      <c r="H8422" s="210"/>
    </row>
    <row r="8423" spans="3:8" x14ac:dyDescent="0.25">
      <c r="C8423" s="210"/>
      <c r="D8423" s="210"/>
      <c r="E8423" s="210"/>
      <c r="F8423" s="210"/>
      <c r="G8423" s="210"/>
      <c r="H8423" s="210"/>
    </row>
    <row r="8424" spans="3:8" x14ac:dyDescent="0.25">
      <c r="C8424" s="210"/>
      <c r="D8424" s="210"/>
      <c r="E8424" s="210"/>
      <c r="F8424" s="210"/>
      <c r="G8424" s="210"/>
      <c r="H8424" s="210"/>
    </row>
    <row r="8425" spans="3:8" x14ac:dyDescent="0.25">
      <c r="C8425" s="210"/>
      <c r="D8425" s="210"/>
      <c r="E8425" s="210"/>
      <c r="F8425" s="210"/>
      <c r="G8425" s="210"/>
      <c r="H8425" s="210"/>
    </row>
    <row r="8426" spans="3:8" x14ac:dyDescent="0.25">
      <c r="C8426" s="210"/>
      <c r="D8426" s="210"/>
      <c r="E8426" s="210"/>
      <c r="F8426" s="210"/>
      <c r="G8426" s="210"/>
      <c r="H8426" s="210"/>
    </row>
    <row r="8427" spans="3:8" x14ac:dyDescent="0.25">
      <c r="C8427" s="210"/>
      <c r="D8427" s="210"/>
      <c r="E8427" s="210"/>
      <c r="F8427" s="210"/>
      <c r="G8427" s="210"/>
      <c r="H8427" s="210"/>
    </row>
    <row r="8428" spans="3:8" x14ac:dyDescent="0.25">
      <c r="C8428" s="210"/>
      <c r="D8428" s="210"/>
      <c r="E8428" s="210"/>
      <c r="F8428" s="210"/>
      <c r="G8428" s="210"/>
      <c r="H8428" s="210"/>
    </row>
    <row r="8429" spans="3:8" x14ac:dyDescent="0.25">
      <c r="C8429" s="210"/>
      <c r="D8429" s="210"/>
      <c r="E8429" s="210"/>
      <c r="F8429" s="210"/>
      <c r="G8429" s="210"/>
      <c r="H8429" s="210"/>
    </row>
    <row r="8430" spans="3:8" x14ac:dyDescent="0.25">
      <c r="C8430" s="210"/>
      <c r="D8430" s="210"/>
      <c r="E8430" s="210"/>
      <c r="F8430" s="210"/>
      <c r="G8430" s="210"/>
      <c r="H8430" s="210"/>
    </row>
    <row r="8431" spans="3:8" x14ac:dyDescent="0.25">
      <c r="C8431" s="210"/>
      <c r="D8431" s="210"/>
      <c r="E8431" s="210"/>
      <c r="F8431" s="210"/>
      <c r="G8431" s="210"/>
      <c r="H8431" s="210"/>
    </row>
    <row r="8432" spans="3:8" x14ac:dyDescent="0.25">
      <c r="C8432" s="210"/>
      <c r="D8432" s="210"/>
      <c r="E8432" s="210"/>
      <c r="F8432" s="210"/>
      <c r="G8432" s="210"/>
      <c r="H8432" s="210"/>
    </row>
    <row r="8433" spans="3:8" x14ac:dyDescent="0.25">
      <c r="C8433" s="210"/>
      <c r="D8433" s="210"/>
      <c r="E8433" s="210"/>
      <c r="F8433" s="210"/>
      <c r="G8433" s="210"/>
      <c r="H8433" s="210"/>
    </row>
    <row r="8434" spans="3:8" x14ac:dyDescent="0.25">
      <c r="C8434" s="210"/>
      <c r="D8434" s="210"/>
      <c r="E8434" s="210"/>
      <c r="F8434" s="210"/>
      <c r="G8434" s="210"/>
      <c r="H8434" s="210"/>
    </row>
    <row r="8435" spans="3:8" x14ac:dyDescent="0.25">
      <c r="C8435" s="210"/>
      <c r="D8435" s="210"/>
      <c r="E8435" s="210"/>
      <c r="F8435" s="210"/>
      <c r="G8435" s="210"/>
      <c r="H8435" s="210"/>
    </row>
    <row r="8436" spans="3:8" x14ac:dyDescent="0.25">
      <c r="C8436" s="210"/>
      <c r="D8436" s="210"/>
      <c r="E8436" s="210"/>
      <c r="F8436" s="210"/>
      <c r="G8436" s="210"/>
      <c r="H8436" s="210"/>
    </row>
    <row r="8437" spans="3:8" x14ac:dyDescent="0.25">
      <c r="C8437" s="210"/>
      <c r="D8437" s="210"/>
      <c r="E8437" s="210"/>
      <c r="F8437" s="210"/>
      <c r="G8437" s="210"/>
      <c r="H8437" s="210"/>
    </row>
    <row r="8438" spans="3:8" x14ac:dyDescent="0.25">
      <c r="C8438" s="210"/>
      <c r="D8438" s="210"/>
      <c r="E8438" s="210"/>
      <c r="F8438" s="210"/>
      <c r="G8438" s="210"/>
      <c r="H8438" s="210"/>
    </row>
    <row r="8439" spans="3:8" x14ac:dyDescent="0.25">
      <c r="C8439" s="210"/>
      <c r="D8439" s="210"/>
      <c r="E8439" s="210"/>
      <c r="F8439" s="210"/>
      <c r="G8439" s="210"/>
      <c r="H8439" s="210"/>
    </row>
    <row r="8440" spans="3:8" x14ac:dyDescent="0.25">
      <c r="C8440" s="210"/>
      <c r="D8440" s="210"/>
      <c r="E8440" s="210"/>
      <c r="F8440" s="210"/>
      <c r="G8440" s="210"/>
      <c r="H8440" s="210"/>
    </row>
    <row r="8441" spans="3:8" x14ac:dyDescent="0.25">
      <c r="C8441" s="210"/>
      <c r="D8441" s="210"/>
      <c r="E8441" s="210"/>
      <c r="F8441" s="210"/>
      <c r="G8441" s="210"/>
      <c r="H8441" s="210"/>
    </row>
    <row r="8442" spans="3:8" x14ac:dyDescent="0.25">
      <c r="C8442" s="210"/>
      <c r="D8442" s="210"/>
      <c r="E8442" s="210"/>
      <c r="F8442" s="210"/>
      <c r="G8442" s="210"/>
      <c r="H8442" s="210"/>
    </row>
    <row r="8443" spans="3:8" x14ac:dyDescent="0.25">
      <c r="C8443" s="210"/>
      <c r="D8443" s="210"/>
      <c r="E8443" s="210"/>
      <c r="F8443" s="210"/>
      <c r="G8443" s="210"/>
      <c r="H8443" s="210"/>
    </row>
    <row r="8444" spans="3:8" x14ac:dyDescent="0.25">
      <c r="C8444" s="210"/>
      <c r="D8444" s="210"/>
      <c r="E8444" s="210"/>
      <c r="F8444" s="210"/>
      <c r="G8444" s="210"/>
      <c r="H8444" s="210"/>
    </row>
    <row r="8445" spans="3:8" x14ac:dyDescent="0.25">
      <c r="C8445" s="210"/>
      <c r="D8445" s="210"/>
      <c r="E8445" s="210"/>
      <c r="F8445" s="210"/>
      <c r="G8445" s="210"/>
      <c r="H8445" s="210"/>
    </row>
    <row r="8446" spans="3:8" x14ac:dyDescent="0.25">
      <c r="C8446" s="210"/>
      <c r="D8446" s="210"/>
      <c r="E8446" s="210"/>
      <c r="F8446" s="210"/>
      <c r="G8446" s="210"/>
      <c r="H8446" s="210"/>
    </row>
    <row r="8447" spans="3:8" x14ac:dyDescent="0.25">
      <c r="C8447" s="210"/>
      <c r="D8447" s="210"/>
      <c r="E8447" s="210"/>
      <c r="F8447" s="210"/>
      <c r="G8447" s="210"/>
      <c r="H8447" s="210"/>
    </row>
    <row r="8448" spans="3:8" x14ac:dyDescent="0.25">
      <c r="C8448" s="210"/>
      <c r="D8448" s="210"/>
      <c r="E8448" s="210"/>
      <c r="F8448" s="210"/>
      <c r="G8448" s="210"/>
      <c r="H8448" s="210"/>
    </row>
    <row r="8449" spans="3:8" x14ac:dyDescent="0.25">
      <c r="C8449" s="210"/>
      <c r="D8449" s="210"/>
      <c r="E8449" s="210"/>
      <c r="F8449" s="210"/>
      <c r="G8449" s="210"/>
      <c r="H8449" s="210"/>
    </row>
    <row r="8450" spans="3:8" x14ac:dyDescent="0.25">
      <c r="C8450" s="210"/>
      <c r="D8450" s="210"/>
      <c r="E8450" s="210"/>
      <c r="F8450" s="210"/>
      <c r="G8450" s="210"/>
      <c r="H8450" s="210"/>
    </row>
    <row r="8451" spans="3:8" x14ac:dyDescent="0.25">
      <c r="C8451" s="210"/>
      <c r="D8451" s="210"/>
      <c r="E8451" s="210"/>
      <c r="F8451" s="210"/>
      <c r="G8451" s="210"/>
      <c r="H8451" s="210"/>
    </row>
    <row r="8452" spans="3:8" x14ac:dyDescent="0.25">
      <c r="C8452" s="210"/>
      <c r="D8452" s="210"/>
      <c r="E8452" s="210"/>
      <c r="F8452" s="210"/>
      <c r="G8452" s="210"/>
      <c r="H8452" s="210"/>
    </row>
    <row r="8453" spans="3:8" x14ac:dyDescent="0.25">
      <c r="C8453" s="210"/>
      <c r="D8453" s="210"/>
      <c r="E8453" s="210"/>
      <c r="F8453" s="210"/>
      <c r="G8453" s="210"/>
      <c r="H8453" s="210"/>
    </row>
    <row r="8454" spans="3:8" x14ac:dyDescent="0.25">
      <c r="C8454" s="210"/>
      <c r="D8454" s="210"/>
      <c r="E8454" s="210"/>
      <c r="F8454" s="210"/>
      <c r="G8454" s="210"/>
      <c r="H8454" s="210"/>
    </row>
    <row r="8455" spans="3:8" x14ac:dyDescent="0.25">
      <c r="C8455" s="210"/>
      <c r="D8455" s="210"/>
      <c r="E8455" s="210"/>
      <c r="F8455" s="210"/>
      <c r="G8455" s="210"/>
      <c r="H8455" s="210"/>
    </row>
    <row r="8456" spans="3:8" x14ac:dyDescent="0.25">
      <c r="C8456" s="210"/>
      <c r="D8456" s="210"/>
      <c r="E8456" s="210"/>
      <c r="F8456" s="210"/>
      <c r="G8456" s="210"/>
      <c r="H8456" s="210"/>
    </row>
    <row r="8457" spans="3:8" x14ac:dyDescent="0.25">
      <c r="C8457" s="210"/>
      <c r="D8457" s="210"/>
      <c r="E8457" s="210"/>
      <c r="F8457" s="210"/>
      <c r="G8457" s="210"/>
      <c r="H8457" s="210"/>
    </row>
    <row r="8458" spans="3:8" x14ac:dyDescent="0.25">
      <c r="C8458" s="210"/>
      <c r="D8458" s="210"/>
      <c r="E8458" s="210"/>
      <c r="F8458" s="210"/>
      <c r="G8458" s="210"/>
      <c r="H8458" s="210"/>
    </row>
    <row r="8459" spans="3:8" x14ac:dyDescent="0.25">
      <c r="C8459" s="210"/>
      <c r="D8459" s="210"/>
      <c r="E8459" s="210"/>
      <c r="F8459" s="210"/>
      <c r="G8459" s="210"/>
      <c r="H8459" s="210"/>
    </row>
    <row r="8460" spans="3:8" x14ac:dyDescent="0.25">
      <c r="C8460" s="210"/>
      <c r="D8460" s="210"/>
      <c r="E8460" s="210"/>
      <c r="F8460" s="210"/>
      <c r="G8460" s="210"/>
      <c r="H8460" s="210"/>
    </row>
    <row r="8461" spans="3:8" x14ac:dyDescent="0.25">
      <c r="C8461" s="210"/>
      <c r="D8461" s="210"/>
      <c r="E8461" s="210"/>
      <c r="F8461" s="210"/>
      <c r="G8461" s="210"/>
      <c r="H8461" s="210"/>
    </row>
    <row r="8462" spans="3:8" x14ac:dyDescent="0.25">
      <c r="C8462" s="210"/>
      <c r="D8462" s="210"/>
      <c r="E8462" s="210"/>
      <c r="F8462" s="210"/>
      <c r="G8462" s="210"/>
      <c r="H8462" s="2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pane ySplit="1" topLeftCell="A2" activePane="bottomLeft" state="frozen"/>
      <selection pane="bottomLeft" activeCell="B3" sqref="B3"/>
    </sheetView>
  </sheetViews>
  <sheetFormatPr defaultColWidth="14.44140625" defaultRowHeight="15.75" customHeight="1" x14ac:dyDescent="0.25"/>
  <sheetData>
    <row r="1" spans="1:21" x14ac:dyDescent="0.25">
      <c r="A1" s="9" t="s">
        <v>0</v>
      </c>
      <c r="B1" s="10" t="s">
        <v>14</v>
      </c>
      <c r="C1" s="10" t="s">
        <v>15</v>
      </c>
      <c r="D1" s="10" t="s">
        <v>16</v>
      </c>
      <c r="E1" s="10" t="s">
        <v>17</v>
      </c>
      <c r="F1" s="10" t="s">
        <v>18</v>
      </c>
      <c r="G1" s="10" t="s">
        <v>19</v>
      </c>
      <c r="H1" s="10" t="s">
        <v>20</v>
      </c>
      <c r="I1" s="10" t="s">
        <v>21</v>
      </c>
      <c r="J1" s="10" t="s">
        <v>22</v>
      </c>
      <c r="K1" s="10" t="s">
        <v>23</v>
      </c>
      <c r="L1" s="10" t="s">
        <v>24</v>
      </c>
      <c r="M1" s="10" t="s">
        <v>25</v>
      </c>
      <c r="N1" s="10" t="s">
        <v>26</v>
      </c>
      <c r="O1" s="10" t="s">
        <v>27</v>
      </c>
      <c r="P1" s="10" t="s">
        <v>28</v>
      </c>
      <c r="Q1" s="10" t="s">
        <v>29</v>
      </c>
      <c r="R1" s="10" t="s">
        <v>30</v>
      </c>
      <c r="S1" s="10" t="s">
        <v>31</v>
      </c>
      <c r="T1" s="10" t="s">
        <v>32</v>
      </c>
      <c r="U1" s="10" t="s">
        <v>33</v>
      </c>
    </row>
    <row r="2" spans="1:21" x14ac:dyDescent="0.25">
      <c r="A2" s="11">
        <f ca="1">IFERROR(__xludf.DUMMYFUNCTION("IMPORTRANGE(""https://docs.google.com/spreadsheets/d/1Xn9jFnhuJi5zY1GsAOHKKWOWFm19gsfN05WfR69DfvY/"",""Data Indo dan Jakarta!A2:U"")"),43859)</f>
        <v>43859</v>
      </c>
      <c r="B2" s="12">
        <f ca="1">IFERROR(__xludf.DUMMYFUNCTION("""COMPUTED_VALUE"""),0)</f>
        <v>0</v>
      </c>
      <c r="C2" s="12">
        <f ca="1">IFERROR(__xludf.DUMMYFUNCTION("""COMPUTED_VALUE"""),0)</f>
        <v>0</v>
      </c>
      <c r="D2" s="12">
        <f ca="1">IFERROR(__xludf.DUMMYFUNCTION("""COMPUTED_VALUE"""),0)</f>
        <v>0</v>
      </c>
      <c r="E2" s="12">
        <f ca="1">IFERROR(__xludf.DUMMYFUNCTION("""COMPUTED_VALUE"""),0)</f>
        <v>0</v>
      </c>
      <c r="F2" s="12">
        <f ca="1">IFERROR(__xludf.DUMMYFUNCTION("""COMPUTED_VALUE"""),0)</f>
        <v>0</v>
      </c>
      <c r="G2" s="12">
        <f ca="1">IFERROR(__xludf.DUMMYFUNCTION("""COMPUTED_VALUE"""),0)</f>
        <v>0</v>
      </c>
      <c r="H2" s="12">
        <f ca="1">IFERROR(__xludf.DUMMYFUNCTION("""COMPUTED_VALUE"""),0)</f>
        <v>0</v>
      </c>
      <c r="I2" s="12">
        <f ca="1">IFERROR(__xludf.DUMMYFUNCTION("""COMPUTED_VALUE"""),0)</f>
        <v>0</v>
      </c>
      <c r="J2" s="12">
        <f ca="1">IFERROR(__xludf.DUMMYFUNCTION("""COMPUTED_VALUE"""),0)</f>
        <v>0</v>
      </c>
      <c r="K2" s="12">
        <f ca="1">IFERROR(__xludf.DUMMYFUNCTION("""COMPUTED_VALUE"""),0)</f>
        <v>0</v>
      </c>
      <c r="L2" s="12">
        <f ca="1">IFERROR(__xludf.DUMMYFUNCTION("""COMPUTED_VALUE"""),0)</f>
        <v>0</v>
      </c>
      <c r="M2" s="12">
        <f ca="1">IFERROR(__xludf.DUMMYFUNCTION("""COMPUTED_VALUE"""),0)</f>
        <v>0</v>
      </c>
      <c r="N2" s="12">
        <f ca="1">IFERROR(__xludf.DUMMYFUNCTION("""COMPUTED_VALUE"""),0)</f>
        <v>0</v>
      </c>
      <c r="O2" s="12">
        <f ca="1">IFERROR(__xludf.DUMMYFUNCTION("""COMPUTED_VALUE"""),0)</f>
        <v>0</v>
      </c>
      <c r="P2" s="12">
        <f ca="1">IFERROR(__xludf.DUMMYFUNCTION("""COMPUTED_VALUE"""),0)</f>
        <v>0</v>
      </c>
      <c r="Q2" s="12">
        <f ca="1">IFERROR(__xludf.DUMMYFUNCTION("""COMPUTED_VALUE"""),0)</f>
        <v>0</v>
      </c>
      <c r="R2" s="12">
        <f ca="1">IFERROR(__xludf.DUMMYFUNCTION("""COMPUTED_VALUE"""),0)</f>
        <v>0</v>
      </c>
      <c r="S2" s="12">
        <f ca="1">IFERROR(__xludf.DUMMYFUNCTION("""COMPUTED_VALUE"""),0)</f>
        <v>0</v>
      </c>
      <c r="T2" s="12">
        <f ca="1">IFERROR(__xludf.DUMMYFUNCTION("""COMPUTED_VALUE"""),0)</f>
        <v>0</v>
      </c>
      <c r="U2" s="12">
        <f ca="1">IFERROR(__xludf.DUMMYFUNCTION("""COMPUTED_VALUE"""),0)</f>
        <v>0</v>
      </c>
    </row>
    <row r="3" spans="1:21" x14ac:dyDescent="0.25">
      <c r="A3" s="11">
        <f ca="1">IFERROR(__xludf.DUMMYFUNCTION("""COMPUTED_VALUE"""),43891)</f>
        <v>43891</v>
      </c>
      <c r="B3" s="12">
        <f ca="1">IFERROR(__xludf.DUMMYFUNCTION("""COMPUTED_VALUE"""),0)</f>
        <v>0</v>
      </c>
      <c r="C3" s="12">
        <f ca="1">IFERROR(__xludf.DUMMYFUNCTION("""COMPUTED_VALUE"""),0)</f>
        <v>0</v>
      </c>
      <c r="D3" s="12">
        <f ca="1">IFERROR(__xludf.DUMMYFUNCTION("""COMPUTED_VALUE"""),0)</f>
        <v>0</v>
      </c>
      <c r="E3" s="12">
        <f ca="1">IFERROR(__xludf.DUMMYFUNCTION("""COMPUTED_VALUE"""),0)</f>
        <v>0</v>
      </c>
      <c r="F3" s="12">
        <f ca="1">IFERROR(__xludf.DUMMYFUNCTION("""COMPUTED_VALUE"""),0)</f>
        <v>0</v>
      </c>
      <c r="G3" s="12">
        <f ca="1">IFERROR(__xludf.DUMMYFUNCTION("""COMPUTED_VALUE"""),0)</f>
        <v>0</v>
      </c>
      <c r="H3" s="12">
        <f ca="1">IFERROR(__xludf.DUMMYFUNCTION("""COMPUTED_VALUE"""),0)</f>
        <v>0</v>
      </c>
      <c r="I3" s="12">
        <f ca="1">IFERROR(__xludf.DUMMYFUNCTION("""COMPUTED_VALUE"""),0)</f>
        <v>0</v>
      </c>
      <c r="J3" s="12">
        <f ca="1">IFERROR(__xludf.DUMMYFUNCTION("""COMPUTED_VALUE"""),0)</f>
        <v>0</v>
      </c>
      <c r="K3" s="12">
        <f ca="1">IFERROR(__xludf.DUMMYFUNCTION("""COMPUTED_VALUE"""),0)</f>
        <v>0</v>
      </c>
      <c r="L3" s="12">
        <f ca="1">IFERROR(__xludf.DUMMYFUNCTION("""COMPUTED_VALUE"""),0)</f>
        <v>0</v>
      </c>
      <c r="M3" s="12">
        <f ca="1">IFERROR(__xludf.DUMMYFUNCTION("""COMPUTED_VALUE"""),0)</f>
        <v>0</v>
      </c>
      <c r="N3" s="12">
        <f ca="1">IFERROR(__xludf.DUMMYFUNCTION("""COMPUTED_VALUE"""),0)</f>
        <v>0</v>
      </c>
      <c r="O3" s="12">
        <f ca="1">IFERROR(__xludf.DUMMYFUNCTION("""COMPUTED_VALUE"""),0)</f>
        <v>0</v>
      </c>
      <c r="P3" s="12">
        <f ca="1">IFERROR(__xludf.DUMMYFUNCTION("""COMPUTED_VALUE"""),0)</f>
        <v>0</v>
      </c>
      <c r="Q3" s="12">
        <f ca="1">IFERROR(__xludf.DUMMYFUNCTION("""COMPUTED_VALUE"""),0)</f>
        <v>0</v>
      </c>
      <c r="R3" s="12">
        <f ca="1">IFERROR(__xludf.DUMMYFUNCTION("""COMPUTED_VALUE"""),0)</f>
        <v>0</v>
      </c>
      <c r="S3" s="12">
        <f ca="1">IFERROR(__xludf.DUMMYFUNCTION("""COMPUTED_VALUE"""),0)</f>
        <v>0</v>
      </c>
      <c r="T3" s="12">
        <f ca="1">IFERROR(__xludf.DUMMYFUNCTION("""COMPUTED_VALUE"""),0)</f>
        <v>0</v>
      </c>
      <c r="U3" s="12">
        <f ca="1">IFERROR(__xludf.DUMMYFUNCTION("""COMPUTED_VALUE"""),0)</f>
        <v>0</v>
      </c>
    </row>
    <row r="4" spans="1:21" x14ac:dyDescent="0.25">
      <c r="A4" s="11">
        <f ca="1">IFERROR(__xludf.DUMMYFUNCTION("""COMPUTED_VALUE"""),43892)</f>
        <v>43892</v>
      </c>
      <c r="B4" s="12">
        <f ca="1">IFERROR(__xludf.DUMMYFUNCTION("""COMPUTED_VALUE"""),2)</f>
        <v>2</v>
      </c>
      <c r="C4" s="12">
        <f ca="1">IFERROR(__xludf.DUMMYFUNCTION("""COMPUTED_VALUE"""),2)</f>
        <v>2</v>
      </c>
      <c r="D4" s="12">
        <f ca="1">IFERROR(__xludf.DUMMYFUNCTION("""COMPUTED_VALUE"""),0)</f>
        <v>0</v>
      </c>
      <c r="E4" s="12">
        <f ca="1">IFERROR(__xludf.DUMMYFUNCTION("""COMPUTED_VALUE"""),0)</f>
        <v>0</v>
      </c>
      <c r="F4" s="12">
        <f ca="1">IFERROR(__xludf.DUMMYFUNCTION("""COMPUTED_VALUE"""),0)</f>
        <v>0</v>
      </c>
      <c r="G4" s="12">
        <f ca="1">IFERROR(__xludf.DUMMYFUNCTION("""COMPUTED_VALUE"""),0)</f>
        <v>0</v>
      </c>
      <c r="H4" s="12">
        <f ca="1">IFERROR(__xludf.DUMMYFUNCTION("""COMPUTED_VALUE"""),0)</f>
        <v>0</v>
      </c>
      <c r="I4" s="12">
        <f ca="1">IFERROR(__xludf.DUMMYFUNCTION("""COMPUTED_VALUE"""),0)</f>
        <v>0</v>
      </c>
      <c r="J4" s="12">
        <f ca="1">IFERROR(__xludf.DUMMYFUNCTION("""COMPUTED_VALUE"""),0)</f>
        <v>0</v>
      </c>
      <c r="K4" s="12">
        <f ca="1">IFERROR(__xludf.DUMMYFUNCTION("""COMPUTED_VALUE"""),0)</f>
        <v>0</v>
      </c>
      <c r="L4" s="12">
        <f ca="1">IFERROR(__xludf.DUMMYFUNCTION("""COMPUTED_VALUE"""),2)</f>
        <v>2</v>
      </c>
      <c r="M4" s="12">
        <f ca="1">IFERROR(__xludf.DUMMYFUNCTION("""COMPUTED_VALUE"""),2)</f>
        <v>2</v>
      </c>
      <c r="N4" s="12">
        <f ca="1">IFERROR(__xludf.DUMMYFUNCTION("""COMPUTED_VALUE"""),0)</f>
        <v>0</v>
      </c>
      <c r="O4" s="12">
        <f ca="1">IFERROR(__xludf.DUMMYFUNCTION("""COMPUTED_VALUE"""),0)</f>
        <v>0</v>
      </c>
      <c r="P4" s="12">
        <f ca="1">IFERROR(__xludf.DUMMYFUNCTION("""COMPUTED_VALUE"""),0)</f>
        <v>0</v>
      </c>
      <c r="Q4" s="12">
        <f ca="1">IFERROR(__xludf.DUMMYFUNCTION("""COMPUTED_VALUE"""),0)</f>
        <v>0</v>
      </c>
      <c r="R4" s="12">
        <f ca="1">IFERROR(__xludf.DUMMYFUNCTION("""COMPUTED_VALUE"""),0)</f>
        <v>0</v>
      </c>
      <c r="S4" s="12">
        <f ca="1">IFERROR(__xludf.DUMMYFUNCTION("""COMPUTED_VALUE"""),0)</f>
        <v>0</v>
      </c>
      <c r="T4" s="12">
        <f ca="1">IFERROR(__xludf.DUMMYFUNCTION("""COMPUTED_VALUE"""),0)</f>
        <v>0</v>
      </c>
      <c r="U4" s="12">
        <f ca="1">IFERROR(__xludf.DUMMYFUNCTION("""COMPUTED_VALUE"""),0)</f>
        <v>0</v>
      </c>
    </row>
    <row r="5" spans="1:21" x14ac:dyDescent="0.25">
      <c r="A5" s="11">
        <f ca="1">IFERROR(__xludf.DUMMYFUNCTION("""COMPUTED_VALUE"""),43893)</f>
        <v>43893</v>
      </c>
      <c r="B5" s="12">
        <f ca="1">IFERROR(__xludf.DUMMYFUNCTION("""COMPUTED_VALUE"""),2)</f>
        <v>2</v>
      </c>
      <c r="C5" s="12">
        <f ca="1">IFERROR(__xludf.DUMMYFUNCTION("""COMPUTED_VALUE"""),2)</f>
        <v>2</v>
      </c>
      <c r="D5" s="12">
        <f ca="1">IFERROR(__xludf.DUMMYFUNCTION("""COMPUTED_VALUE"""),0)</f>
        <v>0</v>
      </c>
      <c r="E5" s="12">
        <f ca="1">IFERROR(__xludf.DUMMYFUNCTION("""COMPUTED_VALUE"""),0)</f>
        <v>0</v>
      </c>
      <c r="F5" s="12">
        <f ca="1">IFERROR(__xludf.DUMMYFUNCTION("""COMPUTED_VALUE"""),1)</f>
        <v>1</v>
      </c>
      <c r="G5" s="12">
        <f ca="1">IFERROR(__xludf.DUMMYFUNCTION("""COMPUTED_VALUE"""),0)</f>
        <v>0</v>
      </c>
      <c r="H5" s="12">
        <f ca="1">IFERROR(__xludf.DUMMYFUNCTION("""COMPUTED_VALUE"""),0)</f>
        <v>0</v>
      </c>
      <c r="I5" s="12">
        <f ca="1">IFERROR(__xludf.DUMMYFUNCTION("""COMPUTED_VALUE"""),2)</f>
        <v>2</v>
      </c>
      <c r="J5" s="12">
        <f ca="1">IFERROR(__xludf.DUMMYFUNCTION("""COMPUTED_VALUE"""),3)</f>
        <v>3</v>
      </c>
      <c r="K5" s="12">
        <f ca="1">IFERROR(__xludf.DUMMYFUNCTION("""COMPUTED_VALUE"""),2)</f>
        <v>2</v>
      </c>
      <c r="L5" s="12">
        <f ca="1">IFERROR(__xludf.DUMMYFUNCTION("""COMPUTED_VALUE"""),0)</f>
        <v>0</v>
      </c>
      <c r="M5" s="12">
        <f ca="1">IFERROR(__xludf.DUMMYFUNCTION("""COMPUTED_VALUE"""),0)</f>
        <v>0</v>
      </c>
      <c r="N5" s="12">
        <f ca="1">IFERROR(__xludf.DUMMYFUNCTION("""COMPUTED_VALUE"""),0)</f>
        <v>0</v>
      </c>
      <c r="O5" s="12">
        <f ca="1">IFERROR(__xludf.DUMMYFUNCTION("""COMPUTED_VALUE"""),0)</f>
        <v>0</v>
      </c>
      <c r="P5" s="12">
        <f ca="1">IFERROR(__xludf.DUMMYFUNCTION("""COMPUTED_VALUE"""),1)</f>
        <v>1</v>
      </c>
      <c r="Q5" s="12">
        <f ca="1">IFERROR(__xludf.DUMMYFUNCTION("""COMPUTED_VALUE"""),0)</f>
        <v>0</v>
      </c>
      <c r="R5" s="12">
        <f ca="1">IFERROR(__xludf.DUMMYFUNCTION("""COMPUTED_VALUE"""),0)</f>
        <v>0</v>
      </c>
      <c r="S5" s="12">
        <f ca="1">IFERROR(__xludf.DUMMYFUNCTION("""COMPUTED_VALUE"""),2)</f>
        <v>2</v>
      </c>
      <c r="T5" s="12">
        <f ca="1">IFERROR(__xludf.DUMMYFUNCTION("""COMPUTED_VALUE"""),3)</f>
        <v>3</v>
      </c>
      <c r="U5" s="12">
        <f ca="1">IFERROR(__xludf.DUMMYFUNCTION("""COMPUTED_VALUE"""),2)</f>
        <v>2</v>
      </c>
    </row>
    <row r="6" spans="1:21" x14ac:dyDescent="0.25">
      <c r="A6" s="11">
        <f ca="1">IFERROR(__xludf.DUMMYFUNCTION("""COMPUTED_VALUE"""),43894)</f>
        <v>43894</v>
      </c>
      <c r="B6" s="12">
        <f ca="1">IFERROR(__xludf.DUMMYFUNCTION("""COMPUTED_VALUE"""),2)</f>
        <v>2</v>
      </c>
      <c r="C6" s="12">
        <f ca="1">IFERROR(__xludf.DUMMYFUNCTION("""COMPUTED_VALUE"""),2)</f>
        <v>2</v>
      </c>
      <c r="D6" s="12">
        <f ca="1">IFERROR(__xludf.DUMMYFUNCTION("""COMPUTED_VALUE"""),0)</f>
        <v>0</v>
      </c>
      <c r="E6" s="12">
        <f ca="1">IFERROR(__xludf.DUMMYFUNCTION("""COMPUTED_VALUE"""),0)</f>
        <v>0</v>
      </c>
      <c r="F6" s="12">
        <f ca="1">IFERROR(__xludf.DUMMYFUNCTION("""COMPUTED_VALUE"""),1)</f>
        <v>1</v>
      </c>
      <c r="G6" s="12">
        <f ca="1">IFERROR(__xludf.DUMMYFUNCTION("""COMPUTED_VALUE"""),0)</f>
        <v>0</v>
      </c>
      <c r="H6" s="12">
        <f ca="1">IFERROR(__xludf.DUMMYFUNCTION("""COMPUTED_VALUE"""),0)</f>
        <v>0</v>
      </c>
      <c r="I6" s="12">
        <f ca="1">IFERROR(__xludf.DUMMYFUNCTION("""COMPUTED_VALUE"""),2)</f>
        <v>2</v>
      </c>
      <c r="J6" s="12">
        <f ca="1">IFERROR(__xludf.DUMMYFUNCTION("""COMPUTED_VALUE"""),3)</f>
        <v>3</v>
      </c>
      <c r="K6" s="12">
        <f ca="1">IFERROR(__xludf.DUMMYFUNCTION("""COMPUTED_VALUE"""),2)</f>
        <v>2</v>
      </c>
      <c r="L6" s="12">
        <f ca="1">IFERROR(__xludf.DUMMYFUNCTION("""COMPUTED_VALUE"""),0)</f>
        <v>0</v>
      </c>
      <c r="M6" s="12">
        <f ca="1">IFERROR(__xludf.DUMMYFUNCTION("""COMPUTED_VALUE"""),0)</f>
        <v>0</v>
      </c>
      <c r="N6" s="12">
        <f ca="1">IFERROR(__xludf.DUMMYFUNCTION("""COMPUTED_VALUE"""),0)</f>
        <v>0</v>
      </c>
      <c r="O6" s="12">
        <f ca="1">IFERROR(__xludf.DUMMYFUNCTION("""COMPUTED_VALUE"""),0)</f>
        <v>0</v>
      </c>
      <c r="P6" s="12">
        <f ca="1">IFERROR(__xludf.DUMMYFUNCTION("""COMPUTED_VALUE"""),0)</f>
        <v>0</v>
      </c>
      <c r="Q6" s="12">
        <f ca="1">IFERROR(__xludf.DUMMYFUNCTION("""COMPUTED_VALUE"""),0)</f>
        <v>0</v>
      </c>
      <c r="R6" s="12">
        <f ca="1">IFERROR(__xludf.DUMMYFUNCTION("""COMPUTED_VALUE"""),0)</f>
        <v>0</v>
      </c>
      <c r="S6" s="12">
        <f ca="1">IFERROR(__xludf.DUMMYFUNCTION("""COMPUTED_VALUE"""),0)</f>
        <v>0</v>
      </c>
      <c r="T6" s="12">
        <f ca="1">IFERROR(__xludf.DUMMYFUNCTION("""COMPUTED_VALUE"""),0)</f>
        <v>0</v>
      </c>
      <c r="U6" s="12">
        <f ca="1">IFERROR(__xludf.DUMMYFUNCTION("""COMPUTED_VALUE"""),0)</f>
        <v>0</v>
      </c>
    </row>
    <row r="7" spans="1:21" x14ac:dyDescent="0.25">
      <c r="A7" s="11">
        <f ca="1">IFERROR(__xludf.DUMMYFUNCTION("""COMPUTED_VALUE"""),43895)</f>
        <v>43895</v>
      </c>
      <c r="B7" s="12">
        <f ca="1">IFERROR(__xludf.DUMMYFUNCTION("""COMPUTED_VALUE"""),2)</f>
        <v>2</v>
      </c>
      <c r="C7" s="12">
        <f ca="1">IFERROR(__xludf.DUMMYFUNCTION("""COMPUTED_VALUE"""),2)</f>
        <v>2</v>
      </c>
      <c r="D7" s="12">
        <f ca="1">IFERROR(__xludf.DUMMYFUNCTION("""COMPUTED_VALUE"""),0)</f>
        <v>0</v>
      </c>
      <c r="E7" s="12">
        <f ca="1">IFERROR(__xludf.DUMMYFUNCTION("""COMPUTED_VALUE"""),0)</f>
        <v>0</v>
      </c>
      <c r="F7" s="12">
        <f ca="1">IFERROR(__xludf.DUMMYFUNCTION("""COMPUTED_VALUE"""),3)</f>
        <v>3</v>
      </c>
      <c r="G7" s="12">
        <f ca="1">IFERROR(__xludf.DUMMYFUNCTION("""COMPUTED_VALUE"""),0)</f>
        <v>0</v>
      </c>
      <c r="H7" s="12">
        <f ca="1">IFERROR(__xludf.DUMMYFUNCTION("""COMPUTED_VALUE"""),0)</f>
        <v>0</v>
      </c>
      <c r="I7" s="12">
        <f ca="1">IFERROR(__xludf.DUMMYFUNCTION("""COMPUTED_VALUE"""),4)</f>
        <v>4</v>
      </c>
      <c r="J7" s="12">
        <f ca="1">IFERROR(__xludf.DUMMYFUNCTION("""COMPUTED_VALUE"""),7)</f>
        <v>7</v>
      </c>
      <c r="K7" s="12">
        <f ca="1">IFERROR(__xludf.DUMMYFUNCTION("""COMPUTED_VALUE"""),4)</f>
        <v>4</v>
      </c>
      <c r="L7" s="12">
        <f ca="1">IFERROR(__xludf.DUMMYFUNCTION("""COMPUTED_VALUE"""),0)</f>
        <v>0</v>
      </c>
      <c r="M7" s="12">
        <f ca="1">IFERROR(__xludf.DUMMYFUNCTION("""COMPUTED_VALUE"""),0)</f>
        <v>0</v>
      </c>
      <c r="N7" s="12">
        <f ca="1">IFERROR(__xludf.DUMMYFUNCTION("""COMPUTED_VALUE"""),0)</f>
        <v>0</v>
      </c>
      <c r="O7" s="12">
        <f ca="1">IFERROR(__xludf.DUMMYFUNCTION("""COMPUTED_VALUE"""),0)</f>
        <v>0</v>
      </c>
      <c r="P7" s="12">
        <f ca="1">IFERROR(__xludf.DUMMYFUNCTION("""COMPUTED_VALUE"""),2)</f>
        <v>2</v>
      </c>
      <c r="Q7" s="12">
        <f ca="1">IFERROR(__xludf.DUMMYFUNCTION("""COMPUTED_VALUE"""),0)</f>
        <v>0</v>
      </c>
      <c r="R7" s="12">
        <f ca="1">IFERROR(__xludf.DUMMYFUNCTION("""COMPUTED_VALUE"""),0)</f>
        <v>0</v>
      </c>
      <c r="S7" s="12">
        <f ca="1">IFERROR(__xludf.DUMMYFUNCTION("""COMPUTED_VALUE"""),2)</f>
        <v>2</v>
      </c>
      <c r="T7" s="12">
        <f ca="1">IFERROR(__xludf.DUMMYFUNCTION("""COMPUTED_VALUE"""),4)</f>
        <v>4</v>
      </c>
      <c r="U7" s="12">
        <f ca="1">IFERROR(__xludf.DUMMYFUNCTION("""COMPUTED_VALUE"""),2)</f>
        <v>2</v>
      </c>
    </row>
    <row r="8" spans="1:21" x14ac:dyDescent="0.25">
      <c r="A8" s="11">
        <f ca="1">IFERROR(__xludf.DUMMYFUNCTION("""COMPUTED_VALUE"""),43896)</f>
        <v>43896</v>
      </c>
      <c r="B8" s="12">
        <f ca="1">IFERROR(__xludf.DUMMYFUNCTION("""COMPUTED_VALUE"""),4)</f>
        <v>4</v>
      </c>
      <c r="C8" s="12">
        <f ca="1">IFERROR(__xludf.DUMMYFUNCTION("""COMPUTED_VALUE"""),4)</f>
        <v>4</v>
      </c>
      <c r="D8" s="12">
        <f ca="1">IFERROR(__xludf.DUMMYFUNCTION("""COMPUTED_VALUE"""),0)</f>
        <v>0</v>
      </c>
      <c r="E8" s="12">
        <f ca="1">IFERROR(__xludf.DUMMYFUNCTION("""COMPUTED_VALUE"""),0)</f>
        <v>0</v>
      </c>
      <c r="F8" s="12">
        <f ca="1">IFERROR(__xludf.DUMMYFUNCTION("""COMPUTED_VALUE"""),3)</f>
        <v>3</v>
      </c>
      <c r="G8" s="12">
        <f ca="1">IFERROR(__xludf.DUMMYFUNCTION("""COMPUTED_VALUE"""),0)</f>
        <v>0</v>
      </c>
      <c r="H8" s="12">
        <f ca="1">IFERROR(__xludf.DUMMYFUNCTION("""COMPUTED_VALUE"""),0)</f>
        <v>0</v>
      </c>
      <c r="I8" s="12">
        <f ca="1">IFERROR(__xludf.DUMMYFUNCTION("""COMPUTED_VALUE"""),4)</f>
        <v>4</v>
      </c>
      <c r="J8" s="12">
        <f ca="1">IFERROR(__xludf.DUMMYFUNCTION("""COMPUTED_VALUE"""),7)</f>
        <v>7</v>
      </c>
      <c r="K8" s="12">
        <f ca="1">IFERROR(__xludf.DUMMYFUNCTION("""COMPUTED_VALUE"""),4)</f>
        <v>4</v>
      </c>
      <c r="L8" s="12">
        <f ca="1">IFERROR(__xludf.DUMMYFUNCTION("""COMPUTED_VALUE"""),2)</f>
        <v>2</v>
      </c>
      <c r="M8" s="12">
        <f ca="1">IFERROR(__xludf.DUMMYFUNCTION("""COMPUTED_VALUE"""),2)</f>
        <v>2</v>
      </c>
      <c r="N8" s="12">
        <f ca="1">IFERROR(__xludf.DUMMYFUNCTION("""COMPUTED_VALUE"""),0)</f>
        <v>0</v>
      </c>
      <c r="O8" s="12">
        <f ca="1">IFERROR(__xludf.DUMMYFUNCTION("""COMPUTED_VALUE"""),0)</f>
        <v>0</v>
      </c>
      <c r="P8" s="12">
        <f ca="1">IFERROR(__xludf.DUMMYFUNCTION("""COMPUTED_VALUE"""),0)</f>
        <v>0</v>
      </c>
      <c r="Q8" s="12">
        <f ca="1">IFERROR(__xludf.DUMMYFUNCTION("""COMPUTED_VALUE"""),0)</f>
        <v>0</v>
      </c>
      <c r="R8" s="12">
        <f ca="1">IFERROR(__xludf.DUMMYFUNCTION("""COMPUTED_VALUE"""),0)</f>
        <v>0</v>
      </c>
      <c r="S8" s="12">
        <f ca="1">IFERROR(__xludf.DUMMYFUNCTION("""COMPUTED_VALUE"""),0)</f>
        <v>0</v>
      </c>
      <c r="T8" s="12">
        <f ca="1">IFERROR(__xludf.DUMMYFUNCTION("""COMPUTED_VALUE"""),0)</f>
        <v>0</v>
      </c>
      <c r="U8" s="12">
        <f ca="1">IFERROR(__xludf.DUMMYFUNCTION("""COMPUTED_VALUE"""),0)</f>
        <v>0</v>
      </c>
    </row>
    <row r="9" spans="1:21" x14ac:dyDescent="0.25">
      <c r="A9" s="11">
        <f ca="1">IFERROR(__xludf.DUMMYFUNCTION("""COMPUTED_VALUE"""),43897)</f>
        <v>43897</v>
      </c>
      <c r="B9" s="12">
        <f ca="1">IFERROR(__xludf.DUMMYFUNCTION("""COMPUTED_VALUE"""),4)</f>
        <v>4</v>
      </c>
      <c r="C9" s="12">
        <f ca="1">IFERROR(__xludf.DUMMYFUNCTION("""COMPUTED_VALUE"""),4)</f>
        <v>4</v>
      </c>
      <c r="D9" s="12">
        <f ca="1">IFERROR(__xludf.DUMMYFUNCTION("""COMPUTED_VALUE"""),0)</f>
        <v>0</v>
      </c>
      <c r="E9" s="12">
        <f ca="1">IFERROR(__xludf.DUMMYFUNCTION("""COMPUTED_VALUE"""),0)</f>
        <v>0</v>
      </c>
      <c r="F9" s="12">
        <f ca="1">IFERROR(__xludf.DUMMYFUNCTION("""COMPUTED_VALUE"""),3)</f>
        <v>3</v>
      </c>
      <c r="G9" s="12">
        <f ca="1">IFERROR(__xludf.DUMMYFUNCTION("""COMPUTED_VALUE"""),0)</f>
        <v>0</v>
      </c>
      <c r="H9" s="12">
        <f ca="1">IFERROR(__xludf.DUMMYFUNCTION("""COMPUTED_VALUE"""),0)</f>
        <v>0</v>
      </c>
      <c r="I9" s="12">
        <f ca="1">IFERROR(__xludf.DUMMYFUNCTION("""COMPUTED_VALUE"""),4)</f>
        <v>4</v>
      </c>
      <c r="J9" s="12">
        <f ca="1">IFERROR(__xludf.DUMMYFUNCTION("""COMPUTED_VALUE"""),7)</f>
        <v>7</v>
      </c>
      <c r="K9" s="12">
        <f ca="1">IFERROR(__xludf.DUMMYFUNCTION("""COMPUTED_VALUE"""),4)</f>
        <v>4</v>
      </c>
      <c r="L9" s="12">
        <f ca="1">IFERROR(__xludf.DUMMYFUNCTION("""COMPUTED_VALUE"""),0)</f>
        <v>0</v>
      </c>
      <c r="M9" s="12">
        <f ca="1">IFERROR(__xludf.DUMMYFUNCTION("""COMPUTED_VALUE"""),0)</f>
        <v>0</v>
      </c>
      <c r="N9" s="12">
        <f ca="1">IFERROR(__xludf.DUMMYFUNCTION("""COMPUTED_VALUE"""),0)</f>
        <v>0</v>
      </c>
      <c r="O9" s="12">
        <f ca="1">IFERROR(__xludf.DUMMYFUNCTION("""COMPUTED_VALUE"""),0)</f>
        <v>0</v>
      </c>
      <c r="P9" s="12">
        <f ca="1">IFERROR(__xludf.DUMMYFUNCTION("""COMPUTED_VALUE"""),0)</f>
        <v>0</v>
      </c>
      <c r="Q9" s="12">
        <f ca="1">IFERROR(__xludf.DUMMYFUNCTION("""COMPUTED_VALUE"""),0)</f>
        <v>0</v>
      </c>
      <c r="R9" s="12">
        <f ca="1">IFERROR(__xludf.DUMMYFUNCTION("""COMPUTED_VALUE"""),0)</f>
        <v>0</v>
      </c>
      <c r="S9" s="12">
        <f ca="1">IFERROR(__xludf.DUMMYFUNCTION("""COMPUTED_VALUE"""),0)</f>
        <v>0</v>
      </c>
      <c r="T9" s="12">
        <f ca="1">IFERROR(__xludf.DUMMYFUNCTION("""COMPUTED_VALUE"""),0)</f>
        <v>0</v>
      </c>
      <c r="U9" s="12">
        <f ca="1">IFERROR(__xludf.DUMMYFUNCTION("""COMPUTED_VALUE"""),0)</f>
        <v>0</v>
      </c>
    </row>
    <row r="10" spans="1:21" x14ac:dyDescent="0.25">
      <c r="A10" s="11">
        <f ca="1">IFERROR(__xludf.DUMMYFUNCTION("""COMPUTED_VALUE"""),43898)</f>
        <v>43898</v>
      </c>
      <c r="B10" s="12">
        <f ca="1">IFERROR(__xludf.DUMMYFUNCTION("""COMPUTED_VALUE"""),6)</f>
        <v>6</v>
      </c>
      <c r="C10" s="12">
        <f ca="1">IFERROR(__xludf.DUMMYFUNCTION("""COMPUTED_VALUE"""),6)</f>
        <v>6</v>
      </c>
      <c r="D10" s="12">
        <f ca="1">IFERROR(__xludf.DUMMYFUNCTION("""COMPUTED_VALUE"""),0)</f>
        <v>0</v>
      </c>
      <c r="E10" s="12">
        <f ca="1">IFERROR(__xludf.DUMMYFUNCTION("""COMPUTED_VALUE"""),0)</f>
        <v>0</v>
      </c>
      <c r="F10" s="12">
        <f ca="1">IFERROR(__xludf.DUMMYFUNCTION("""COMPUTED_VALUE"""),3)</f>
        <v>3</v>
      </c>
      <c r="G10" s="12">
        <f ca="1">IFERROR(__xludf.DUMMYFUNCTION("""COMPUTED_VALUE"""),0)</f>
        <v>0</v>
      </c>
      <c r="H10" s="12">
        <f ca="1">IFERROR(__xludf.DUMMYFUNCTION("""COMPUTED_VALUE"""),0)</f>
        <v>0</v>
      </c>
      <c r="I10" s="12">
        <f ca="1">IFERROR(__xludf.DUMMYFUNCTION("""COMPUTED_VALUE"""),4)</f>
        <v>4</v>
      </c>
      <c r="J10" s="12">
        <f ca="1">IFERROR(__xludf.DUMMYFUNCTION("""COMPUTED_VALUE"""),7)</f>
        <v>7</v>
      </c>
      <c r="K10" s="12">
        <f ca="1">IFERROR(__xludf.DUMMYFUNCTION("""COMPUTED_VALUE"""),4)</f>
        <v>4</v>
      </c>
      <c r="L10" s="12">
        <f ca="1">IFERROR(__xludf.DUMMYFUNCTION("""COMPUTED_VALUE"""),2)</f>
        <v>2</v>
      </c>
      <c r="M10" s="12">
        <f ca="1">IFERROR(__xludf.DUMMYFUNCTION("""COMPUTED_VALUE"""),2)</f>
        <v>2</v>
      </c>
      <c r="N10" s="12">
        <f ca="1">IFERROR(__xludf.DUMMYFUNCTION("""COMPUTED_VALUE"""),0)</f>
        <v>0</v>
      </c>
      <c r="O10" s="12">
        <f ca="1">IFERROR(__xludf.DUMMYFUNCTION("""COMPUTED_VALUE"""),0)</f>
        <v>0</v>
      </c>
      <c r="P10" s="12">
        <f ca="1">IFERROR(__xludf.DUMMYFUNCTION("""COMPUTED_VALUE"""),0)</f>
        <v>0</v>
      </c>
      <c r="Q10" s="12">
        <f ca="1">IFERROR(__xludf.DUMMYFUNCTION("""COMPUTED_VALUE"""),0)</f>
        <v>0</v>
      </c>
      <c r="R10" s="12">
        <f ca="1">IFERROR(__xludf.DUMMYFUNCTION("""COMPUTED_VALUE"""),0)</f>
        <v>0</v>
      </c>
      <c r="S10" s="12">
        <f ca="1">IFERROR(__xludf.DUMMYFUNCTION("""COMPUTED_VALUE"""),0)</f>
        <v>0</v>
      </c>
      <c r="T10" s="12">
        <f ca="1">IFERROR(__xludf.DUMMYFUNCTION("""COMPUTED_VALUE"""),0)</f>
        <v>0</v>
      </c>
      <c r="U10" s="12">
        <f ca="1">IFERROR(__xludf.DUMMYFUNCTION("""COMPUTED_VALUE"""),0)</f>
        <v>0</v>
      </c>
    </row>
    <row r="11" spans="1:21" x14ac:dyDescent="0.25">
      <c r="A11" s="11">
        <f ca="1">IFERROR(__xludf.DUMMYFUNCTION("""COMPUTED_VALUE"""),43899)</f>
        <v>43899</v>
      </c>
      <c r="B11" s="12">
        <f ca="1">IFERROR(__xludf.DUMMYFUNCTION("""COMPUTED_VALUE"""),19)</f>
        <v>19</v>
      </c>
      <c r="C11" s="12">
        <f ca="1">IFERROR(__xludf.DUMMYFUNCTION("""COMPUTED_VALUE"""),19)</f>
        <v>19</v>
      </c>
      <c r="D11" s="12">
        <f ca="1">IFERROR(__xludf.DUMMYFUNCTION("""COMPUTED_VALUE"""),0)</f>
        <v>0</v>
      </c>
      <c r="E11" s="12">
        <f ca="1">IFERROR(__xludf.DUMMYFUNCTION("""COMPUTED_VALUE"""),0)</f>
        <v>0</v>
      </c>
      <c r="F11" s="12">
        <f ca="1">IFERROR(__xludf.DUMMYFUNCTION("""COMPUTED_VALUE"""),3)</f>
        <v>3</v>
      </c>
      <c r="G11" s="12">
        <f ca="1">IFERROR(__xludf.DUMMYFUNCTION("""COMPUTED_VALUE"""),0)</f>
        <v>0</v>
      </c>
      <c r="H11" s="12">
        <f ca="1">IFERROR(__xludf.DUMMYFUNCTION("""COMPUTED_VALUE"""),0)</f>
        <v>0</v>
      </c>
      <c r="I11" s="12">
        <f ca="1">IFERROR(__xludf.DUMMYFUNCTION("""COMPUTED_VALUE"""),31)</f>
        <v>31</v>
      </c>
      <c r="J11" s="12">
        <f ca="1">IFERROR(__xludf.DUMMYFUNCTION("""COMPUTED_VALUE"""),34)</f>
        <v>34</v>
      </c>
      <c r="K11" s="12">
        <f ca="1">IFERROR(__xludf.DUMMYFUNCTION("""COMPUTED_VALUE"""),31)</f>
        <v>31</v>
      </c>
      <c r="L11" s="12">
        <f ca="1">IFERROR(__xludf.DUMMYFUNCTION("""COMPUTED_VALUE"""),13)</f>
        <v>13</v>
      </c>
      <c r="M11" s="12">
        <f ca="1">IFERROR(__xludf.DUMMYFUNCTION("""COMPUTED_VALUE"""),13)</f>
        <v>13</v>
      </c>
      <c r="N11" s="12">
        <f ca="1">IFERROR(__xludf.DUMMYFUNCTION("""COMPUTED_VALUE"""),0)</f>
        <v>0</v>
      </c>
      <c r="O11" s="12">
        <f ca="1">IFERROR(__xludf.DUMMYFUNCTION("""COMPUTED_VALUE"""),0)</f>
        <v>0</v>
      </c>
      <c r="P11" s="12">
        <f ca="1">IFERROR(__xludf.DUMMYFUNCTION("""COMPUTED_VALUE"""),0)</f>
        <v>0</v>
      </c>
      <c r="Q11" s="12">
        <f ca="1">IFERROR(__xludf.DUMMYFUNCTION("""COMPUTED_VALUE"""),0)</f>
        <v>0</v>
      </c>
      <c r="R11" s="12">
        <f ca="1">IFERROR(__xludf.DUMMYFUNCTION("""COMPUTED_VALUE"""),0)</f>
        <v>0</v>
      </c>
      <c r="S11" s="12">
        <f ca="1">IFERROR(__xludf.DUMMYFUNCTION("""COMPUTED_VALUE"""),27)</f>
        <v>27</v>
      </c>
      <c r="T11" s="12">
        <f ca="1">IFERROR(__xludf.DUMMYFUNCTION("""COMPUTED_VALUE"""),27)</f>
        <v>27</v>
      </c>
      <c r="U11" s="12">
        <f ca="1">IFERROR(__xludf.DUMMYFUNCTION("""COMPUTED_VALUE"""),27)</f>
        <v>27</v>
      </c>
    </row>
    <row r="12" spans="1:21" x14ac:dyDescent="0.25">
      <c r="A12" s="11">
        <f ca="1">IFERROR(__xludf.DUMMYFUNCTION("""COMPUTED_VALUE"""),43900)</f>
        <v>43900</v>
      </c>
      <c r="B12" s="12">
        <f ca="1">IFERROR(__xludf.DUMMYFUNCTION("""COMPUTED_VALUE"""),27)</f>
        <v>27</v>
      </c>
      <c r="C12" s="12">
        <f ca="1">IFERROR(__xludf.DUMMYFUNCTION("""COMPUTED_VALUE"""),25)</f>
        <v>25</v>
      </c>
      <c r="D12" s="12">
        <f ca="1">IFERROR(__xludf.DUMMYFUNCTION("""COMPUTED_VALUE"""),2)</f>
        <v>2</v>
      </c>
      <c r="E12" s="12">
        <f ca="1">IFERROR(__xludf.DUMMYFUNCTION("""COMPUTED_VALUE"""),0)</f>
        <v>0</v>
      </c>
      <c r="F12" s="12">
        <f ca="1">IFERROR(__xludf.DUMMYFUNCTION("""COMPUTED_VALUE"""),3)</f>
        <v>3</v>
      </c>
      <c r="G12" s="12">
        <f ca="1">IFERROR(__xludf.DUMMYFUNCTION("""COMPUTED_VALUE"""),0)</f>
        <v>0</v>
      </c>
      <c r="H12" s="12">
        <f ca="1">IFERROR(__xludf.DUMMYFUNCTION("""COMPUTED_VALUE"""),0)</f>
        <v>0</v>
      </c>
      <c r="I12" s="12">
        <f ca="1">IFERROR(__xludf.DUMMYFUNCTION("""COMPUTED_VALUE"""),31)</f>
        <v>31</v>
      </c>
      <c r="J12" s="12">
        <f ca="1">IFERROR(__xludf.DUMMYFUNCTION("""COMPUTED_VALUE"""),34)</f>
        <v>34</v>
      </c>
      <c r="K12" s="12">
        <f ca="1">IFERROR(__xludf.DUMMYFUNCTION("""COMPUTED_VALUE"""),31)</f>
        <v>31</v>
      </c>
      <c r="L12" s="12">
        <f ca="1">IFERROR(__xludf.DUMMYFUNCTION("""COMPUTED_VALUE"""),8)</f>
        <v>8</v>
      </c>
      <c r="M12" s="12">
        <f ca="1">IFERROR(__xludf.DUMMYFUNCTION("""COMPUTED_VALUE"""),6)</f>
        <v>6</v>
      </c>
      <c r="N12" s="12">
        <f ca="1">IFERROR(__xludf.DUMMYFUNCTION("""COMPUTED_VALUE"""),2)</f>
        <v>2</v>
      </c>
      <c r="O12" s="12">
        <f ca="1">IFERROR(__xludf.DUMMYFUNCTION("""COMPUTED_VALUE"""),0)</f>
        <v>0</v>
      </c>
      <c r="P12" s="12">
        <f ca="1">IFERROR(__xludf.DUMMYFUNCTION("""COMPUTED_VALUE"""),0)</f>
        <v>0</v>
      </c>
      <c r="Q12" s="12">
        <f ca="1">IFERROR(__xludf.DUMMYFUNCTION("""COMPUTED_VALUE"""),0)</f>
        <v>0</v>
      </c>
      <c r="R12" s="12">
        <f ca="1">IFERROR(__xludf.DUMMYFUNCTION("""COMPUTED_VALUE"""),0)</f>
        <v>0</v>
      </c>
      <c r="S12" s="12">
        <f ca="1">IFERROR(__xludf.DUMMYFUNCTION("""COMPUTED_VALUE"""),0)</f>
        <v>0</v>
      </c>
      <c r="T12" s="12">
        <f ca="1">IFERROR(__xludf.DUMMYFUNCTION("""COMPUTED_VALUE"""),0)</f>
        <v>0</v>
      </c>
      <c r="U12" s="12">
        <f ca="1">IFERROR(__xludf.DUMMYFUNCTION("""COMPUTED_VALUE"""),0)</f>
        <v>0</v>
      </c>
    </row>
    <row r="13" spans="1:21" x14ac:dyDescent="0.25">
      <c r="A13" s="11">
        <f ca="1">IFERROR(__xludf.DUMMYFUNCTION("""COMPUTED_VALUE"""),43901)</f>
        <v>43901</v>
      </c>
      <c r="B13" s="12">
        <f ca="1">IFERROR(__xludf.DUMMYFUNCTION("""COMPUTED_VALUE"""),34)</f>
        <v>34</v>
      </c>
      <c r="C13" s="12">
        <f ca="1">IFERROR(__xludf.DUMMYFUNCTION("""COMPUTED_VALUE"""),31)</f>
        <v>31</v>
      </c>
      <c r="D13" s="12">
        <f ca="1">IFERROR(__xludf.DUMMYFUNCTION("""COMPUTED_VALUE"""),2)</f>
        <v>2</v>
      </c>
      <c r="E13" s="12">
        <f ca="1">IFERROR(__xludf.DUMMYFUNCTION("""COMPUTED_VALUE"""),1)</f>
        <v>1</v>
      </c>
      <c r="F13" s="12">
        <f ca="1">IFERROR(__xludf.DUMMYFUNCTION("""COMPUTED_VALUE"""),3)</f>
        <v>3</v>
      </c>
      <c r="G13" s="12">
        <f ca="1">IFERROR(__xludf.DUMMYFUNCTION("""COMPUTED_VALUE"""),0)</f>
        <v>0</v>
      </c>
      <c r="H13" s="12">
        <f ca="1">IFERROR(__xludf.DUMMYFUNCTION("""COMPUTED_VALUE"""),0)</f>
        <v>0</v>
      </c>
      <c r="I13" s="12">
        <f ca="1">IFERROR(__xludf.DUMMYFUNCTION("""COMPUTED_VALUE"""),33)</f>
        <v>33</v>
      </c>
      <c r="J13" s="12">
        <f ca="1">IFERROR(__xludf.DUMMYFUNCTION("""COMPUTED_VALUE"""),36)</f>
        <v>36</v>
      </c>
      <c r="K13" s="12">
        <f ca="1">IFERROR(__xludf.DUMMYFUNCTION("""COMPUTED_VALUE"""),33)</f>
        <v>33</v>
      </c>
      <c r="L13" s="12">
        <f ca="1">IFERROR(__xludf.DUMMYFUNCTION("""COMPUTED_VALUE"""),7)</f>
        <v>7</v>
      </c>
      <c r="M13" s="12">
        <f ca="1">IFERROR(__xludf.DUMMYFUNCTION("""COMPUTED_VALUE"""),6)</f>
        <v>6</v>
      </c>
      <c r="N13" s="12">
        <f ca="1">IFERROR(__xludf.DUMMYFUNCTION("""COMPUTED_VALUE"""),0)</f>
        <v>0</v>
      </c>
      <c r="O13" s="12">
        <f ca="1">IFERROR(__xludf.DUMMYFUNCTION("""COMPUTED_VALUE"""),1)</f>
        <v>1</v>
      </c>
      <c r="P13" s="12">
        <f ca="1">IFERROR(__xludf.DUMMYFUNCTION("""COMPUTED_VALUE"""),0)</f>
        <v>0</v>
      </c>
      <c r="Q13" s="12">
        <f ca="1">IFERROR(__xludf.DUMMYFUNCTION("""COMPUTED_VALUE"""),0)</f>
        <v>0</v>
      </c>
      <c r="R13" s="12">
        <f ca="1">IFERROR(__xludf.DUMMYFUNCTION("""COMPUTED_VALUE"""),0)</f>
        <v>0</v>
      </c>
      <c r="S13" s="12">
        <f ca="1">IFERROR(__xludf.DUMMYFUNCTION("""COMPUTED_VALUE"""),2)</f>
        <v>2</v>
      </c>
      <c r="T13" s="12">
        <f ca="1">IFERROR(__xludf.DUMMYFUNCTION("""COMPUTED_VALUE"""),2)</f>
        <v>2</v>
      </c>
      <c r="U13" s="12">
        <f ca="1">IFERROR(__xludf.DUMMYFUNCTION("""COMPUTED_VALUE"""),2)</f>
        <v>2</v>
      </c>
    </row>
    <row r="14" spans="1:21" x14ac:dyDescent="0.25">
      <c r="A14" s="11">
        <f ca="1">IFERROR(__xludf.DUMMYFUNCTION("""COMPUTED_VALUE"""),43902)</f>
        <v>43902</v>
      </c>
      <c r="B14" s="12">
        <f ca="1">IFERROR(__xludf.DUMMYFUNCTION("""COMPUTED_VALUE"""),34)</f>
        <v>34</v>
      </c>
      <c r="C14" s="12">
        <f ca="1">IFERROR(__xludf.DUMMYFUNCTION("""COMPUTED_VALUE"""),31)</f>
        <v>31</v>
      </c>
      <c r="D14" s="12">
        <f ca="1">IFERROR(__xludf.DUMMYFUNCTION("""COMPUTED_VALUE"""),2)</f>
        <v>2</v>
      </c>
      <c r="E14" s="12">
        <f ca="1">IFERROR(__xludf.DUMMYFUNCTION("""COMPUTED_VALUE"""),1)</f>
        <v>1</v>
      </c>
      <c r="F14" s="12">
        <f ca="1">IFERROR(__xludf.DUMMYFUNCTION("""COMPUTED_VALUE"""),5)</f>
        <v>5</v>
      </c>
      <c r="G14" s="12">
        <f ca="1">IFERROR(__xludf.DUMMYFUNCTION("""COMPUTED_VALUE"""),0)</f>
        <v>0</v>
      </c>
      <c r="H14" s="12">
        <f ca="1">IFERROR(__xludf.DUMMYFUNCTION("""COMPUTED_VALUE"""),0)</f>
        <v>0</v>
      </c>
      <c r="I14" s="12">
        <f ca="1">IFERROR(__xludf.DUMMYFUNCTION("""COMPUTED_VALUE"""),57)</f>
        <v>57</v>
      </c>
      <c r="J14" s="12">
        <f ca="1">IFERROR(__xludf.DUMMYFUNCTION("""COMPUTED_VALUE"""),62)</f>
        <v>62</v>
      </c>
      <c r="K14" s="12">
        <f ca="1">IFERROR(__xludf.DUMMYFUNCTION("""COMPUTED_VALUE"""),57)</f>
        <v>57</v>
      </c>
      <c r="L14" s="12">
        <f ca="1">IFERROR(__xludf.DUMMYFUNCTION("""COMPUTED_VALUE"""),0)</f>
        <v>0</v>
      </c>
      <c r="M14" s="12">
        <f ca="1">IFERROR(__xludf.DUMMYFUNCTION("""COMPUTED_VALUE"""),0)</f>
        <v>0</v>
      </c>
      <c r="N14" s="12">
        <f ca="1">IFERROR(__xludf.DUMMYFUNCTION("""COMPUTED_VALUE"""),0)</f>
        <v>0</v>
      </c>
      <c r="O14" s="12">
        <f ca="1">IFERROR(__xludf.DUMMYFUNCTION("""COMPUTED_VALUE"""),0)</f>
        <v>0</v>
      </c>
      <c r="P14" s="12">
        <f ca="1">IFERROR(__xludf.DUMMYFUNCTION("""COMPUTED_VALUE"""),2)</f>
        <v>2</v>
      </c>
      <c r="Q14" s="12">
        <f ca="1">IFERROR(__xludf.DUMMYFUNCTION("""COMPUTED_VALUE"""),0)</f>
        <v>0</v>
      </c>
      <c r="R14" s="12">
        <f ca="1">IFERROR(__xludf.DUMMYFUNCTION("""COMPUTED_VALUE"""),0)</f>
        <v>0</v>
      </c>
      <c r="S14" s="12">
        <f ca="1">IFERROR(__xludf.DUMMYFUNCTION("""COMPUTED_VALUE"""),24)</f>
        <v>24</v>
      </c>
      <c r="T14" s="12">
        <f ca="1">IFERROR(__xludf.DUMMYFUNCTION("""COMPUTED_VALUE"""),26)</f>
        <v>26</v>
      </c>
      <c r="U14" s="12">
        <f ca="1">IFERROR(__xludf.DUMMYFUNCTION("""COMPUTED_VALUE"""),24)</f>
        <v>24</v>
      </c>
    </row>
    <row r="15" spans="1:21" x14ac:dyDescent="0.25">
      <c r="A15" s="11">
        <f ca="1">IFERROR(__xludf.DUMMYFUNCTION("""COMPUTED_VALUE"""),43903)</f>
        <v>43903</v>
      </c>
      <c r="B15" s="12">
        <f ca="1">IFERROR(__xludf.DUMMYFUNCTION("""COMPUTED_VALUE"""),69)</f>
        <v>69</v>
      </c>
      <c r="C15" s="12">
        <f ca="1">IFERROR(__xludf.DUMMYFUNCTION("""COMPUTED_VALUE"""),63)</f>
        <v>63</v>
      </c>
      <c r="D15" s="12">
        <f ca="1">IFERROR(__xludf.DUMMYFUNCTION("""COMPUTED_VALUE"""),2)</f>
        <v>2</v>
      </c>
      <c r="E15" s="12">
        <f ca="1">IFERROR(__xludf.DUMMYFUNCTION("""COMPUTED_VALUE"""),4)</f>
        <v>4</v>
      </c>
      <c r="F15" s="12">
        <f ca="1">IFERROR(__xludf.DUMMYFUNCTION("""COMPUTED_VALUE"""),7)</f>
        <v>7</v>
      </c>
      <c r="G15" s="12">
        <f ca="1">IFERROR(__xludf.DUMMYFUNCTION("""COMPUTED_VALUE"""),0)</f>
        <v>0</v>
      </c>
      <c r="H15" s="12">
        <f ca="1">IFERROR(__xludf.DUMMYFUNCTION("""COMPUTED_VALUE"""),0)</f>
        <v>0</v>
      </c>
      <c r="I15" s="12">
        <f ca="1">IFERROR(__xludf.DUMMYFUNCTION("""COMPUTED_VALUE"""),65)</f>
        <v>65</v>
      </c>
      <c r="J15" s="12">
        <f ca="1">IFERROR(__xludf.DUMMYFUNCTION("""COMPUTED_VALUE"""),72)</f>
        <v>72</v>
      </c>
      <c r="K15" s="12">
        <f ca="1">IFERROR(__xludf.DUMMYFUNCTION("""COMPUTED_VALUE"""),65)</f>
        <v>65</v>
      </c>
      <c r="L15" s="12">
        <f ca="1">IFERROR(__xludf.DUMMYFUNCTION("""COMPUTED_VALUE"""),35)</f>
        <v>35</v>
      </c>
      <c r="M15" s="12">
        <f ca="1">IFERROR(__xludf.DUMMYFUNCTION("""COMPUTED_VALUE"""),32)</f>
        <v>32</v>
      </c>
      <c r="N15" s="12">
        <f ca="1">IFERROR(__xludf.DUMMYFUNCTION("""COMPUTED_VALUE"""),0)</f>
        <v>0</v>
      </c>
      <c r="O15" s="12">
        <f ca="1">IFERROR(__xludf.DUMMYFUNCTION("""COMPUTED_VALUE"""),3)</f>
        <v>3</v>
      </c>
      <c r="P15" s="12">
        <f ca="1">IFERROR(__xludf.DUMMYFUNCTION("""COMPUTED_VALUE"""),2)</f>
        <v>2</v>
      </c>
      <c r="Q15" s="12">
        <f ca="1">IFERROR(__xludf.DUMMYFUNCTION("""COMPUTED_VALUE"""),0)</f>
        <v>0</v>
      </c>
      <c r="R15" s="12">
        <f ca="1">IFERROR(__xludf.DUMMYFUNCTION("""COMPUTED_VALUE"""),0)</f>
        <v>0</v>
      </c>
      <c r="S15" s="12">
        <f ca="1">IFERROR(__xludf.DUMMYFUNCTION("""COMPUTED_VALUE"""),8)</f>
        <v>8</v>
      </c>
      <c r="T15" s="12">
        <f ca="1">IFERROR(__xludf.DUMMYFUNCTION("""COMPUTED_VALUE"""),10)</f>
        <v>10</v>
      </c>
      <c r="U15" s="12">
        <f ca="1">IFERROR(__xludf.DUMMYFUNCTION("""COMPUTED_VALUE"""),8)</f>
        <v>8</v>
      </c>
    </row>
    <row r="16" spans="1:21" x14ac:dyDescent="0.25">
      <c r="A16" s="11">
        <f ca="1">IFERROR(__xludf.DUMMYFUNCTION("""COMPUTED_VALUE"""),43904)</f>
        <v>43904</v>
      </c>
      <c r="B16" s="12">
        <f ca="1">IFERROR(__xludf.DUMMYFUNCTION("""COMPUTED_VALUE"""),96)</f>
        <v>96</v>
      </c>
      <c r="C16" s="12">
        <f ca="1">IFERROR(__xludf.DUMMYFUNCTION("""COMPUTED_VALUE"""),83)</f>
        <v>83</v>
      </c>
      <c r="D16" s="12">
        <f ca="1">IFERROR(__xludf.DUMMYFUNCTION("""COMPUTED_VALUE"""),8)</f>
        <v>8</v>
      </c>
      <c r="E16" s="12">
        <f ca="1">IFERROR(__xludf.DUMMYFUNCTION("""COMPUTED_VALUE"""),5)</f>
        <v>5</v>
      </c>
      <c r="F16" s="12">
        <f ca="1">IFERROR(__xludf.DUMMYFUNCTION("""COMPUTED_VALUE"""),9)</f>
        <v>9</v>
      </c>
      <c r="G16" s="12">
        <f ca="1">IFERROR(__xludf.DUMMYFUNCTION("""COMPUTED_VALUE"""),0)</f>
        <v>0</v>
      </c>
      <c r="H16" s="12">
        <f ca="1">IFERROR(__xludf.DUMMYFUNCTION("""COMPUTED_VALUE"""),0)</f>
        <v>0</v>
      </c>
      <c r="I16" s="12">
        <f ca="1">IFERROR(__xludf.DUMMYFUNCTION("""COMPUTED_VALUE"""),70)</f>
        <v>70</v>
      </c>
      <c r="J16" s="12">
        <f ca="1">IFERROR(__xludf.DUMMYFUNCTION("""COMPUTED_VALUE"""),79)</f>
        <v>79</v>
      </c>
      <c r="K16" s="12">
        <f ca="1">IFERROR(__xludf.DUMMYFUNCTION("""COMPUTED_VALUE"""),70)</f>
        <v>70</v>
      </c>
      <c r="L16" s="12">
        <f ca="1">IFERROR(__xludf.DUMMYFUNCTION("""COMPUTED_VALUE"""),27)</f>
        <v>27</v>
      </c>
      <c r="M16" s="12">
        <f ca="1">IFERROR(__xludf.DUMMYFUNCTION("""COMPUTED_VALUE"""),20)</f>
        <v>20</v>
      </c>
      <c r="N16" s="12">
        <f ca="1">IFERROR(__xludf.DUMMYFUNCTION("""COMPUTED_VALUE"""),6)</f>
        <v>6</v>
      </c>
      <c r="O16" s="12">
        <f ca="1">IFERROR(__xludf.DUMMYFUNCTION("""COMPUTED_VALUE"""),1)</f>
        <v>1</v>
      </c>
      <c r="P16" s="12">
        <f ca="1">IFERROR(__xludf.DUMMYFUNCTION("""COMPUTED_VALUE"""),2)</f>
        <v>2</v>
      </c>
      <c r="Q16" s="12">
        <f ca="1">IFERROR(__xludf.DUMMYFUNCTION("""COMPUTED_VALUE"""),0)</f>
        <v>0</v>
      </c>
      <c r="R16" s="12">
        <f ca="1">IFERROR(__xludf.DUMMYFUNCTION("""COMPUTED_VALUE"""),0)</f>
        <v>0</v>
      </c>
      <c r="S16" s="12">
        <f ca="1">IFERROR(__xludf.DUMMYFUNCTION("""COMPUTED_VALUE"""),5)</f>
        <v>5</v>
      </c>
      <c r="T16" s="12">
        <f ca="1">IFERROR(__xludf.DUMMYFUNCTION("""COMPUTED_VALUE"""),7)</f>
        <v>7</v>
      </c>
      <c r="U16" s="12">
        <f ca="1">IFERROR(__xludf.DUMMYFUNCTION("""COMPUTED_VALUE"""),5)</f>
        <v>5</v>
      </c>
    </row>
    <row r="17" spans="1:21" x14ac:dyDescent="0.25">
      <c r="A17" s="11">
        <f ca="1">IFERROR(__xludf.DUMMYFUNCTION("""COMPUTED_VALUE"""),43905)</f>
        <v>43905</v>
      </c>
      <c r="B17" s="12">
        <f ca="1">IFERROR(__xludf.DUMMYFUNCTION("""COMPUTED_VALUE"""),117)</f>
        <v>117</v>
      </c>
      <c r="C17" s="12">
        <f ca="1">IFERROR(__xludf.DUMMYFUNCTION("""COMPUTED_VALUE"""),104)</f>
        <v>104</v>
      </c>
      <c r="D17" s="12">
        <f ca="1">IFERROR(__xludf.DUMMYFUNCTION("""COMPUTED_VALUE"""),8)</f>
        <v>8</v>
      </c>
      <c r="E17" s="12">
        <f ca="1">IFERROR(__xludf.DUMMYFUNCTION("""COMPUTED_VALUE"""),5)</f>
        <v>5</v>
      </c>
      <c r="F17" s="12">
        <f ca="1">IFERROR(__xludf.DUMMYFUNCTION("""COMPUTED_VALUE"""),11)</f>
        <v>11</v>
      </c>
      <c r="G17" s="12">
        <f ca="1">IFERROR(__xludf.DUMMYFUNCTION("""COMPUTED_VALUE"""),0)</f>
        <v>0</v>
      </c>
      <c r="H17" s="12">
        <f ca="1">IFERROR(__xludf.DUMMYFUNCTION("""COMPUTED_VALUE"""),0)</f>
        <v>0</v>
      </c>
      <c r="I17" s="12">
        <f ca="1">IFERROR(__xludf.DUMMYFUNCTION("""COMPUTED_VALUE"""),84)</f>
        <v>84</v>
      </c>
      <c r="J17" s="12">
        <f ca="1">IFERROR(__xludf.DUMMYFUNCTION("""COMPUTED_VALUE"""),95)</f>
        <v>95</v>
      </c>
      <c r="K17" s="12">
        <f ca="1">IFERROR(__xludf.DUMMYFUNCTION("""COMPUTED_VALUE"""),84)</f>
        <v>84</v>
      </c>
      <c r="L17" s="12">
        <f ca="1">IFERROR(__xludf.DUMMYFUNCTION("""COMPUTED_VALUE"""),21)</f>
        <v>21</v>
      </c>
      <c r="M17" s="12">
        <f ca="1">IFERROR(__xludf.DUMMYFUNCTION("""COMPUTED_VALUE"""),21)</f>
        <v>21</v>
      </c>
      <c r="N17" s="12">
        <f ca="1">IFERROR(__xludf.DUMMYFUNCTION("""COMPUTED_VALUE"""),0)</f>
        <v>0</v>
      </c>
      <c r="O17" s="12">
        <f ca="1">IFERROR(__xludf.DUMMYFUNCTION("""COMPUTED_VALUE"""),0)</f>
        <v>0</v>
      </c>
      <c r="P17" s="12">
        <f ca="1">IFERROR(__xludf.DUMMYFUNCTION("""COMPUTED_VALUE"""),2)</f>
        <v>2</v>
      </c>
      <c r="Q17" s="12">
        <f ca="1">IFERROR(__xludf.DUMMYFUNCTION("""COMPUTED_VALUE"""),0)</f>
        <v>0</v>
      </c>
      <c r="R17" s="12">
        <f ca="1">IFERROR(__xludf.DUMMYFUNCTION("""COMPUTED_VALUE"""),0)</f>
        <v>0</v>
      </c>
      <c r="S17" s="12">
        <f ca="1">IFERROR(__xludf.DUMMYFUNCTION("""COMPUTED_VALUE"""),14)</f>
        <v>14</v>
      </c>
      <c r="T17" s="12">
        <f ca="1">IFERROR(__xludf.DUMMYFUNCTION("""COMPUTED_VALUE"""),16)</f>
        <v>16</v>
      </c>
      <c r="U17" s="12">
        <f ca="1">IFERROR(__xludf.DUMMYFUNCTION("""COMPUTED_VALUE"""),14)</f>
        <v>14</v>
      </c>
    </row>
    <row r="18" spans="1:21" x14ac:dyDescent="0.25">
      <c r="A18" s="11">
        <f ca="1">IFERROR(__xludf.DUMMYFUNCTION("""COMPUTED_VALUE"""),43906)</f>
        <v>43906</v>
      </c>
      <c r="B18" s="12">
        <f ca="1">IFERROR(__xludf.DUMMYFUNCTION("""COMPUTED_VALUE"""),134)</f>
        <v>134</v>
      </c>
      <c r="C18" s="12">
        <f ca="1">IFERROR(__xludf.DUMMYFUNCTION("""COMPUTED_VALUE"""),121)</f>
        <v>121</v>
      </c>
      <c r="D18" s="12">
        <f ca="1">IFERROR(__xludf.DUMMYFUNCTION("""COMPUTED_VALUE"""),8)</f>
        <v>8</v>
      </c>
      <c r="E18" s="12">
        <f ca="1">IFERROR(__xludf.DUMMYFUNCTION("""COMPUTED_VALUE"""),5)</f>
        <v>5</v>
      </c>
      <c r="F18" s="12">
        <f ca="1">IFERROR(__xludf.DUMMYFUNCTION("""COMPUTED_VALUE"""),12)</f>
        <v>12</v>
      </c>
      <c r="G18" s="12">
        <f ca="1">IFERROR(__xludf.DUMMYFUNCTION("""COMPUTED_VALUE"""),0)</f>
        <v>0</v>
      </c>
      <c r="H18" s="12">
        <f ca="1">IFERROR(__xludf.DUMMYFUNCTION("""COMPUTED_VALUE"""),7)</f>
        <v>7</v>
      </c>
      <c r="I18" s="12">
        <f ca="1">IFERROR(__xludf.DUMMYFUNCTION("""COMPUTED_VALUE"""),78)</f>
        <v>78</v>
      </c>
      <c r="J18" s="12">
        <f ca="1">IFERROR(__xludf.DUMMYFUNCTION("""COMPUTED_VALUE"""),97)</f>
        <v>97</v>
      </c>
      <c r="K18" s="12">
        <f ca="1">IFERROR(__xludf.DUMMYFUNCTION("""COMPUTED_VALUE"""),85)</f>
        <v>85</v>
      </c>
      <c r="L18" s="12">
        <f ca="1">IFERROR(__xludf.DUMMYFUNCTION("""COMPUTED_VALUE"""),17)</f>
        <v>17</v>
      </c>
      <c r="M18" s="12">
        <f ca="1">IFERROR(__xludf.DUMMYFUNCTION("""COMPUTED_VALUE"""),17)</f>
        <v>17</v>
      </c>
      <c r="N18" s="12">
        <f ca="1">IFERROR(__xludf.DUMMYFUNCTION("""COMPUTED_VALUE"""),0)</f>
        <v>0</v>
      </c>
      <c r="O18" s="12">
        <f ca="1">IFERROR(__xludf.DUMMYFUNCTION("""COMPUTED_VALUE"""),0)</f>
        <v>0</v>
      </c>
      <c r="P18" s="12">
        <f ca="1">IFERROR(__xludf.DUMMYFUNCTION("""COMPUTED_VALUE"""),1)</f>
        <v>1</v>
      </c>
      <c r="Q18" s="12">
        <f ca="1">IFERROR(__xludf.DUMMYFUNCTION("""COMPUTED_VALUE"""),0)</f>
        <v>0</v>
      </c>
      <c r="R18" s="12">
        <f ca="1">IFERROR(__xludf.DUMMYFUNCTION("""COMPUTED_VALUE"""),7)</f>
        <v>7</v>
      </c>
      <c r="S18" s="12">
        <f ca="1">IFERROR(__xludf.DUMMYFUNCTION("""COMPUTED_VALUE"""),-6)</f>
        <v>-6</v>
      </c>
      <c r="T18" s="12">
        <f ca="1">IFERROR(__xludf.DUMMYFUNCTION("""COMPUTED_VALUE"""),2)</f>
        <v>2</v>
      </c>
      <c r="U18" s="12">
        <f ca="1">IFERROR(__xludf.DUMMYFUNCTION("""COMPUTED_VALUE"""),1)</f>
        <v>1</v>
      </c>
    </row>
    <row r="19" spans="1:21" x14ac:dyDescent="0.25">
      <c r="A19" s="11">
        <f ca="1">IFERROR(__xludf.DUMMYFUNCTION("""COMPUTED_VALUE"""),43907)</f>
        <v>43907</v>
      </c>
      <c r="B19" s="12">
        <f ca="1">IFERROR(__xludf.DUMMYFUNCTION("""COMPUTED_VALUE"""),172)</f>
        <v>172</v>
      </c>
      <c r="C19" s="12">
        <f ca="1">IFERROR(__xludf.DUMMYFUNCTION("""COMPUTED_VALUE"""),158)</f>
        <v>158</v>
      </c>
      <c r="D19" s="12">
        <f ca="1">IFERROR(__xludf.DUMMYFUNCTION("""COMPUTED_VALUE"""),9)</f>
        <v>9</v>
      </c>
      <c r="E19" s="12">
        <f ca="1">IFERROR(__xludf.DUMMYFUNCTION("""COMPUTED_VALUE"""),5)</f>
        <v>5</v>
      </c>
      <c r="F19" s="12">
        <f ca="1">IFERROR(__xludf.DUMMYFUNCTION("""COMPUTED_VALUE"""),12)</f>
        <v>12</v>
      </c>
      <c r="G19" s="12">
        <f ca="1">IFERROR(__xludf.DUMMYFUNCTION("""COMPUTED_VALUE"""),0)</f>
        <v>0</v>
      </c>
      <c r="H19" s="12">
        <f ca="1">IFERROR(__xludf.DUMMYFUNCTION("""COMPUTED_VALUE"""),27)</f>
        <v>27</v>
      </c>
      <c r="I19" s="12">
        <f ca="1">IFERROR(__xludf.DUMMYFUNCTION("""COMPUTED_VALUE"""),83)</f>
        <v>83</v>
      </c>
      <c r="J19" s="12">
        <f ca="1">IFERROR(__xludf.DUMMYFUNCTION("""COMPUTED_VALUE"""),122)</f>
        <v>122</v>
      </c>
      <c r="K19" s="12">
        <f ca="1">IFERROR(__xludf.DUMMYFUNCTION("""COMPUTED_VALUE"""),110)</f>
        <v>110</v>
      </c>
      <c r="L19" s="12">
        <f ca="1">IFERROR(__xludf.DUMMYFUNCTION("""COMPUTED_VALUE"""),38)</f>
        <v>38</v>
      </c>
      <c r="M19" s="12">
        <f ca="1">IFERROR(__xludf.DUMMYFUNCTION("""COMPUTED_VALUE"""),37)</f>
        <v>37</v>
      </c>
      <c r="N19" s="12">
        <f ca="1">IFERROR(__xludf.DUMMYFUNCTION("""COMPUTED_VALUE"""),1)</f>
        <v>1</v>
      </c>
      <c r="O19" s="12">
        <f ca="1">IFERROR(__xludf.DUMMYFUNCTION("""COMPUTED_VALUE"""),0)</f>
        <v>0</v>
      </c>
      <c r="P19" s="12">
        <f ca="1">IFERROR(__xludf.DUMMYFUNCTION("""COMPUTED_VALUE"""),0)</f>
        <v>0</v>
      </c>
      <c r="Q19" s="12">
        <f ca="1">IFERROR(__xludf.DUMMYFUNCTION("""COMPUTED_VALUE"""),0)</f>
        <v>0</v>
      </c>
      <c r="R19" s="12">
        <f ca="1">IFERROR(__xludf.DUMMYFUNCTION("""COMPUTED_VALUE"""),20)</f>
        <v>20</v>
      </c>
      <c r="S19" s="12">
        <f ca="1">IFERROR(__xludf.DUMMYFUNCTION("""COMPUTED_VALUE"""),5)</f>
        <v>5</v>
      </c>
      <c r="T19" s="12">
        <f ca="1">IFERROR(__xludf.DUMMYFUNCTION("""COMPUTED_VALUE"""),25)</f>
        <v>25</v>
      </c>
      <c r="U19" s="12">
        <f ca="1">IFERROR(__xludf.DUMMYFUNCTION("""COMPUTED_VALUE"""),25)</f>
        <v>25</v>
      </c>
    </row>
    <row r="20" spans="1:21" x14ac:dyDescent="0.25">
      <c r="A20" s="11">
        <f ca="1">IFERROR(__xludf.DUMMYFUNCTION("""COMPUTED_VALUE"""),43908)</f>
        <v>43908</v>
      </c>
      <c r="B20" s="12">
        <f ca="1">IFERROR(__xludf.DUMMYFUNCTION("""COMPUTED_VALUE"""),227)</f>
        <v>227</v>
      </c>
      <c r="C20" s="12">
        <f ca="1">IFERROR(__xludf.DUMMYFUNCTION("""COMPUTED_VALUE"""),197)</f>
        <v>197</v>
      </c>
      <c r="D20" s="12">
        <f ca="1">IFERROR(__xludf.DUMMYFUNCTION("""COMPUTED_VALUE"""),11)</f>
        <v>11</v>
      </c>
      <c r="E20" s="12">
        <f ca="1">IFERROR(__xludf.DUMMYFUNCTION("""COMPUTED_VALUE"""),19)</f>
        <v>19</v>
      </c>
      <c r="F20" s="12">
        <f ca="1">IFERROR(__xludf.DUMMYFUNCTION("""COMPUTED_VALUE"""),15)</f>
        <v>15</v>
      </c>
      <c r="G20" s="12">
        <f ca="1">IFERROR(__xludf.DUMMYFUNCTION("""COMPUTED_VALUE"""),12)</f>
        <v>12</v>
      </c>
      <c r="H20" s="12">
        <f ca="1">IFERROR(__xludf.DUMMYFUNCTION("""COMPUTED_VALUE"""),42)</f>
        <v>42</v>
      </c>
      <c r="I20" s="12">
        <f ca="1">IFERROR(__xludf.DUMMYFUNCTION("""COMPUTED_VALUE"""),91)</f>
        <v>91</v>
      </c>
      <c r="J20" s="12">
        <f ca="1">IFERROR(__xludf.DUMMYFUNCTION("""COMPUTED_VALUE"""),160)</f>
        <v>160</v>
      </c>
      <c r="K20" s="12">
        <f ca="1">IFERROR(__xludf.DUMMYFUNCTION("""COMPUTED_VALUE"""),133)</f>
        <v>133</v>
      </c>
      <c r="L20" s="12">
        <f ca="1">IFERROR(__xludf.DUMMYFUNCTION("""COMPUTED_VALUE"""),55)</f>
        <v>55</v>
      </c>
      <c r="M20" s="12">
        <f ca="1">IFERROR(__xludf.DUMMYFUNCTION("""COMPUTED_VALUE"""),39)</f>
        <v>39</v>
      </c>
      <c r="N20" s="12">
        <f ca="1">IFERROR(__xludf.DUMMYFUNCTION("""COMPUTED_VALUE"""),2)</f>
        <v>2</v>
      </c>
      <c r="O20" s="12">
        <f ca="1">IFERROR(__xludf.DUMMYFUNCTION("""COMPUTED_VALUE"""),14)</f>
        <v>14</v>
      </c>
      <c r="P20" s="12">
        <f ca="1">IFERROR(__xludf.DUMMYFUNCTION("""COMPUTED_VALUE"""),3)</f>
        <v>3</v>
      </c>
      <c r="Q20" s="12">
        <f ca="1">IFERROR(__xludf.DUMMYFUNCTION("""COMPUTED_VALUE"""),12)</f>
        <v>12</v>
      </c>
      <c r="R20" s="12">
        <f ca="1">IFERROR(__xludf.DUMMYFUNCTION("""COMPUTED_VALUE"""),15)</f>
        <v>15</v>
      </c>
      <c r="S20" s="12">
        <f ca="1">IFERROR(__xludf.DUMMYFUNCTION("""COMPUTED_VALUE"""),8)</f>
        <v>8</v>
      </c>
      <c r="T20" s="12">
        <f ca="1">IFERROR(__xludf.DUMMYFUNCTION("""COMPUTED_VALUE"""),38)</f>
        <v>38</v>
      </c>
      <c r="U20" s="12">
        <f ca="1">IFERROR(__xludf.DUMMYFUNCTION("""COMPUTED_VALUE"""),23)</f>
        <v>23</v>
      </c>
    </row>
    <row r="21" spans="1:21" x14ac:dyDescent="0.25">
      <c r="A21" s="11">
        <f ca="1">IFERROR(__xludf.DUMMYFUNCTION("""COMPUTED_VALUE"""),43909)</f>
        <v>43909</v>
      </c>
      <c r="B21" s="12">
        <f ca="1">IFERROR(__xludf.DUMMYFUNCTION("""COMPUTED_VALUE"""),309)</f>
        <v>309</v>
      </c>
      <c r="C21" s="12">
        <f ca="1">IFERROR(__xludf.DUMMYFUNCTION("""COMPUTED_VALUE"""),269)</f>
        <v>269</v>
      </c>
      <c r="D21" s="12">
        <f ca="1">IFERROR(__xludf.DUMMYFUNCTION("""COMPUTED_VALUE"""),15)</f>
        <v>15</v>
      </c>
      <c r="E21" s="12">
        <f ca="1">IFERROR(__xludf.DUMMYFUNCTION("""COMPUTED_VALUE"""),25)</f>
        <v>25</v>
      </c>
      <c r="F21" s="12">
        <f ca="1">IFERROR(__xludf.DUMMYFUNCTION("""COMPUTED_VALUE"""),19)</f>
        <v>19</v>
      </c>
      <c r="G21" s="12">
        <f ca="1">IFERROR(__xludf.DUMMYFUNCTION("""COMPUTED_VALUE"""),13)</f>
        <v>13</v>
      </c>
      <c r="H21" s="12">
        <f ca="1">IFERROR(__xludf.DUMMYFUNCTION("""COMPUTED_VALUE"""),57)</f>
        <v>57</v>
      </c>
      <c r="I21" s="12">
        <f ca="1">IFERROR(__xludf.DUMMYFUNCTION("""COMPUTED_VALUE"""),121)</f>
        <v>121</v>
      </c>
      <c r="J21" s="12">
        <f ca="1">IFERROR(__xludf.DUMMYFUNCTION("""COMPUTED_VALUE"""),210)</f>
        <v>210</v>
      </c>
      <c r="K21" s="12">
        <f ca="1">IFERROR(__xludf.DUMMYFUNCTION("""COMPUTED_VALUE"""),178)</f>
        <v>178</v>
      </c>
      <c r="L21" s="12">
        <f ca="1">IFERROR(__xludf.DUMMYFUNCTION("""COMPUTED_VALUE"""),82)</f>
        <v>82</v>
      </c>
      <c r="M21" s="12">
        <f ca="1">IFERROR(__xludf.DUMMYFUNCTION("""COMPUTED_VALUE"""),72)</f>
        <v>72</v>
      </c>
      <c r="N21" s="12">
        <f ca="1">IFERROR(__xludf.DUMMYFUNCTION("""COMPUTED_VALUE"""),4)</f>
        <v>4</v>
      </c>
      <c r="O21" s="12">
        <f ca="1">IFERROR(__xludf.DUMMYFUNCTION("""COMPUTED_VALUE"""),6)</f>
        <v>6</v>
      </c>
      <c r="P21" s="12">
        <f ca="1">IFERROR(__xludf.DUMMYFUNCTION("""COMPUTED_VALUE"""),4)</f>
        <v>4</v>
      </c>
      <c r="Q21" s="12">
        <f ca="1">IFERROR(__xludf.DUMMYFUNCTION("""COMPUTED_VALUE"""),1)</f>
        <v>1</v>
      </c>
      <c r="R21" s="12">
        <f ca="1">IFERROR(__xludf.DUMMYFUNCTION("""COMPUTED_VALUE"""),15)</f>
        <v>15</v>
      </c>
      <c r="S21" s="12">
        <f ca="1">IFERROR(__xludf.DUMMYFUNCTION("""COMPUTED_VALUE"""),30)</f>
        <v>30</v>
      </c>
      <c r="T21" s="12">
        <f ca="1">IFERROR(__xludf.DUMMYFUNCTION("""COMPUTED_VALUE"""),50)</f>
        <v>50</v>
      </c>
      <c r="U21" s="12">
        <f ca="1">IFERROR(__xludf.DUMMYFUNCTION("""COMPUTED_VALUE"""),45)</f>
        <v>45</v>
      </c>
    </row>
    <row r="22" spans="1:21" x14ac:dyDescent="0.25">
      <c r="A22" s="11">
        <f ca="1">IFERROR(__xludf.DUMMYFUNCTION("""COMPUTED_VALUE"""),43910)</f>
        <v>43910</v>
      </c>
      <c r="B22" s="12">
        <f ca="1">IFERROR(__xludf.DUMMYFUNCTION("""COMPUTED_VALUE"""),369)</f>
        <v>369</v>
      </c>
      <c r="C22" s="12">
        <f ca="1">IFERROR(__xludf.DUMMYFUNCTION("""COMPUTED_VALUE"""),320)</f>
        <v>320</v>
      </c>
      <c r="D22" s="12">
        <f ca="1">IFERROR(__xludf.DUMMYFUNCTION("""COMPUTED_VALUE"""),17)</f>
        <v>17</v>
      </c>
      <c r="E22" s="12">
        <f ca="1">IFERROR(__xludf.DUMMYFUNCTION("""COMPUTED_VALUE"""),32)</f>
        <v>32</v>
      </c>
      <c r="F22" s="12">
        <f ca="1">IFERROR(__xludf.DUMMYFUNCTION("""COMPUTED_VALUE"""),20)</f>
        <v>20</v>
      </c>
      <c r="G22" s="12">
        <f ca="1">IFERROR(__xludf.DUMMYFUNCTION("""COMPUTED_VALUE"""),13)</f>
        <v>13</v>
      </c>
      <c r="H22" s="12">
        <f ca="1">IFERROR(__xludf.DUMMYFUNCTION("""COMPUTED_VALUE"""),66)</f>
        <v>66</v>
      </c>
      <c r="I22" s="12">
        <f ca="1">IFERROR(__xludf.DUMMYFUNCTION("""COMPUTED_VALUE"""),125)</f>
        <v>125</v>
      </c>
      <c r="J22" s="12">
        <f ca="1">IFERROR(__xludf.DUMMYFUNCTION("""COMPUTED_VALUE"""),224)</f>
        <v>224</v>
      </c>
      <c r="K22" s="12">
        <f ca="1">IFERROR(__xludf.DUMMYFUNCTION("""COMPUTED_VALUE"""),191)</f>
        <v>191</v>
      </c>
      <c r="L22" s="12">
        <f ca="1">IFERROR(__xludf.DUMMYFUNCTION("""COMPUTED_VALUE"""),60)</f>
        <v>60</v>
      </c>
      <c r="M22" s="12">
        <f ca="1">IFERROR(__xludf.DUMMYFUNCTION("""COMPUTED_VALUE"""),51)</f>
        <v>51</v>
      </c>
      <c r="N22" s="12">
        <f ca="1">IFERROR(__xludf.DUMMYFUNCTION("""COMPUTED_VALUE"""),2)</f>
        <v>2</v>
      </c>
      <c r="O22" s="12">
        <f ca="1">IFERROR(__xludf.DUMMYFUNCTION("""COMPUTED_VALUE"""),7)</f>
        <v>7</v>
      </c>
      <c r="P22" s="12">
        <f ca="1">IFERROR(__xludf.DUMMYFUNCTION("""COMPUTED_VALUE"""),1)</f>
        <v>1</v>
      </c>
      <c r="Q22" s="12">
        <f ca="1">IFERROR(__xludf.DUMMYFUNCTION("""COMPUTED_VALUE"""),0)</f>
        <v>0</v>
      </c>
      <c r="R22" s="12">
        <f ca="1">IFERROR(__xludf.DUMMYFUNCTION("""COMPUTED_VALUE"""),9)</f>
        <v>9</v>
      </c>
      <c r="S22" s="12">
        <f ca="1">IFERROR(__xludf.DUMMYFUNCTION("""COMPUTED_VALUE"""),4)</f>
        <v>4</v>
      </c>
      <c r="T22" s="12">
        <f ca="1">IFERROR(__xludf.DUMMYFUNCTION("""COMPUTED_VALUE"""),14)</f>
        <v>14</v>
      </c>
      <c r="U22" s="12">
        <f ca="1">IFERROR(__xludf.DUMMYFUNCTION("""COMPUTED_VALUE"""),13)</f>
        <v>13</v>
      </c>
    </row>
    <row r="23" spans="1:21" x14ac:dyDescent="0.25">
      <c r="A23" s="11">
        <f ca="1">IFERROR(__xludf.DUMMYFUNCTION("""COMPUTED_VALUE"""),43911)</f>
        <v>43911</v>
      </c>
      <c r="B23" s="12">
        <f ca="1">IFERROR(__xludf.DUMMYFUNCTION("""COMPUTED_VALUE"""),450)</f>
        <v>450</v>
      </c>
      <c r="C23" s="12">
        <f ca="1">IFERROR(__xludf.DUMMYFUNCTION("""COMPUTED_VALUE"""),392)</f>
        <v>392</v>
      </c>
      <c r="D23" s="12">
        <f ca="1">IFERROR(__xludf.DUMMYFUNCTION("""COMPUTED_VALUE"""),20)</f>
        <v>20</v>
      </c>
      <c r="E23" s="12">
        <f ca="1">IFERROR(__xludf.DUMMYFUNCTION("""COMPUTED_VALUE"""),38)</f>
        <v>38</v>
      </c>
      <c r="F23" s="12">
        <f ca="1">IFERROR(__xludf.DUMMYFUNCTION("""COMPUTED_VALUE"""),23)</f>
        <v>23</v>
      </c>
      <c r="G23" s="12">
        <f ca="1">IFERROR(__xludf.DUMMYFUNCTION("""COMPUTED_VALUE"""),17)</f>
        <v>17</v>
      </c>
      <c r="H23" s="12">
        <f ca="1">IFERROR(__xludf.DUMMYFUNCTION("""COMPUTED_VALUE"""),71)</f>
        <v>71</v>
      </c>
      <c r="I23" s="12">
        <f ca="1">IFERROR(__xludf.DUMMYFUNCTION("""COMPUTED_VALUE"""),157)</f>
        <v>157</v>
      </c>
      <c r="J23" s="12">
        <f ca="1">IFERROR(__xludf.DUMMYFUNCTION("""COMPUTED_VALUE"""),268)</f>
        <v>268</v>
      </c>
      <c r="K23" s="12">
        <f ca="1">IFERROR(__xludf.DUMMYFUNCTION("""COMPUTED_VALUE"""),228)</f>
        <v>228</v>
      </c>
      <c r="L23" s="12">
        <f ca="1">IFERROR(__xludf.DUMMYFUNCTION("""COMPUTED_VALUE"""),81)</f>
        <v>81</v>
      </c>
      <c r="M23" s="12">
        <f ca="1">IFERROR(__xludf.DUMMYFUNCTION("""COMPUTED_VALUE"""),72)</f>
        <v>72</v>
      </c>
      <c r="N23" s="12">
        <f ca="1">IFERROR(__xludf.DUMMYFUNCTION("""COMPUTED_VALUE"""),3)</f>
        <v>3</v>
      </c>
      <c r="O23" s="12">
        <f ca="1">IFERROR(__xludf.DUMMYFUNCTION("""COMPUTED_VALUE"""),6)</f>
        <v>6</v>
      </c>
      <c r="P23" s="12">
        <f ca="1">IFERROR(__xludf.DUMMYFUNCTION("""COMPUTED_VALUE"""),3)</f>
        <v>3</v>
      </c>
      <c r="Q23" s="12">
        <f ca="1">IFERROR(__xludf.DUMMYFUNCTION("""COMPUTED_VALUE"""),4)</f>
        <v>4</v>
      </c>
      <c r="R23" s="12">
        <f ca="1">IFERROR(__xludf.DUMMYFUNCTION("""COMPUTED_VALUE"""),5)</f>
        <v>5</v>
      </c>
      <c r="S23" s="12">
        <f ca="1">IFERROR(__xludf.DUMMYFUNCTION("""COMPUTED_VALUE"""),32)</f>
        <v>32</v>
      </c>
      <c r="T23" s="12">
        <f ca="1">IFERROR(__xludf.DUMMYFUNCTION("""COMPUTED_VALUE"""),44)</f>
        <v>44</v>
      </c>
      <c r="U23" s="12">
        <f ca="1">IFERROR(__xludf.DUMMYFUNCTION("""COMPUTED_VALUE"""),37)</f>
        <v>37</v>
      </c>
    </row>
    <row r="24" spans="1:21" x14ac:dyDescent="0.25">
      <c r="A24" s="11">
        <f ca="1">IFERROR(__xludf.DUMMYFUNCTION("""COMPUTED_VALUE"""),43912)</f>
        <v>43912</v>
      </c>
      <c r="B24" s="12">
        <f ca="1">IFERROR(__xludf.DUMMYFUNCTION("""COMPUTED_VALUE"""),514)</f>
        <v>514</v>
      </c>
      <c r="C24" s="12">
        <f ca="1">IFERROR(__xludf.DUMMYFUNCTION("""COMPUTED_VALUE"""),437)</f>
        <v>437</v>
      </c>
      <c r="D24" s="12">
        <f ca="1">IFERROR(__xludf.DUMMYFUNCTION("""COMPUTED_VALUE"""),29)</f>
        <v>29</v>
      </c>
      <c r="E24" s="12">
        <f ca="1">IFERROR(__xludf.DUMMYFUNCTION("""COMPUTED_VALUE"""),48)</f>
        <v>48</v>
      </c>
      <c r="F24" s="12">
        <f ca="1">IFERROR(__xludf.DUMMYFUNCTION("""COMPUTED_VALUE"""),29)</f>
        <v>29</v>
      </c>
      <c r="G24" s="12">
        <f ca="1">IFERROR(__xludf.DUMMYFUNCTION("""COMPUTED_VALUE"""),21)</f>
        <v>21</v>
      </c>
      <c r="H24" s="12">
        <f ca="1">IFERROR(__xludf.DUMMYFUNCTION("""COMPUTED_VALUE"""),77)</f>
        <v>77</v>
      </c>
      <c r="I24" s="12">
        <f ca="1">IFERROR(__xludf.DUMMYFUNCTION("""COMPUTED_VALUE"""),177)</f>
        <v>177</v>
      </c>
      <c r="J24" s="12">
        <f ca="1">IFERROR(__xludf.DUMMYFUNCTION("""COMPUTED_VALUE"""),304)</f>
        <v>304</v>
      </c>
      <c r="K24" s="12">
        <f ca="1">IFERROR(__xludf.DUMMYFUNCTION("""COMPUTED_VALUE"""),254)</f>
        <v>254</v>
      </c>
      <c r="L24" s="12">
        <f ca="1">IFERROR(__xludf.DUMMYFUNCTION("""COMPUTED_VALUE"""),64)</f>
        <v>64</v>
      </c>
      <c r="M24" s="12">
        <f ca="1">IFERROR(__xludf.DUMMYFUNCTION("""COMPUTED_VALUE"""),45)</f>
        <v>45</v>
      </c>
      <c r="N24" s="12">
        <f ca="1">IFERROR(__xludf.DUMMYFUNCTION("""COMPUTED_VALUE"""),9)</f>
        <v>9</v>
      </c>
      <c r="O24" s="12">
        <f ca="1">IFERROR(__xludf.DUMMYFUNCTION("""COMPUTED_VALUE"""),10)</f>
        <v>10</v>
      </c>
      <c r="P24" s="12">
        <f ca="1">IFERROR(__xludf.DUMMYFUNCTION("""COMPUTED_VALUE"""),6)</f>
        <v>6</v>
      </c>
      <c r="Q24" s="12">
        <f ca="1">IFERROR(__xludf.DUMMYFUNCTION("""COMPUTED_VALUE"""),4)</f>
        <v>4</v>
      </c>
      <c r="R24" s="12">
        <f ca="1">IFERROR(__xludf.DUMMYFUNCTION("""COMPUTED_VALUE"""),6)</f>
        <v>6</v>
      </c>
      <c r="S24" s="12">
        <f ca="1">IFERROR(__xludf.DUMMYFUNCTION("""COMPUTED_VALUE"""),20)</f>
        <v>20</v>
      </c>
      <c r="T24" s="12">
        <f ca="1">IFERROR(__xludf.DUMMYFUNCTION("""COMPUTED_VALUE"""),36)</f>
        <v>36</v>
      </c>
      <c r="U24" s="12">
        <f ca="1">IFERROR(__xludf.DUMMYFUNCTION("""COMPUTED_VALUE"""),26)</f>
        <v>26</v>
      </c>
    </row>
    <row r="25" spans="1:21" x14ac:dyDescent="0.25">
      <c r="A25" s="11">
        <f ca="1">IFERROR(__xludf.DUMMYFUNCTION("""COMPUTED_VALUE"""),43913)</f>
        <v>43913</v>
      </c>
      <c r="B25" s="12">
        <f ca="1">IFERROR(__xludf.DUMMYFUNCTION("""COMPUTED_VALUE"""),579)</f>
        <v>579</v>
      </c>
      <c r="C25" s="12">
        <f ca="1">IFERROR(__xludf.DUMMYFUNCTION("""COMPUTED_VALUE"""),500)</f>
        <v>500</v>
      </c>
      <c r="D25" s="12">
        <f ca="1">IFERROR(__xludf.DUMMYFUNCTION("""COMPUTED_VALUE"""),30)</f>
        <v>30</v>
      </c>
      <c r="E25" s="12">
        <f ca="1">IFERROR(__xludf.DUMMYFUNCTION("""COMPUTED_VALUE"""),49)</f>
        <v>49</v>
      </c>
      <c r="F25" s="12">
        <f ca="1">IFERROR(__xludf.DUMMYFUNCTION("""COMPUTED_VALUE"""),29)</f>
        <v>29</v>
      </c>
      <c r="G25" s="12">
        <f ca="1">IFERROR(__xludf.DUMMYFUNCTION("""COMPUTED_VALUE"""),22)</f>
        <v>22</v>
      </c>
      <c r="H25" s="12">
        <f ca="1">IFERROR(__xludf.DUMMYFUNCTION("""COMPUTED_VALUE"""),79)</f>
        <v>79</v>
      </c>
      <c r="I25" s="12">
        <f ca="1">IFERROR(__xludf.DUMMYFUNCTION("""COMPUTED_VALUE"""),225)</f>
        <v>225</v>
      </c>
      <c r="J25" s="12">
        <f ca="1">IFERROR(__xludf.DUMMYFUNCTION("""COMPUTED_VALUE"""),355)</f>
        <v>355</v>
      </c>
      <c r="K25" s="12">
        <f ca="1">IFERROR(__xludf.DUMMYFUNCTION("""COMPUTED_VALUE"""),304)</f>
        <v>304</v>
      </c>
      <c r="L25" s="12">
        <f ca="1">IFERROR(__xludf.DUMMYFUNCTION("""COMPUTED_VALUE"""),65)</f>
        <v>65</v>
      </c>
      <c r="M25" s="12">
        <f ca="1">IFERROR(__xludf.DUMMYFUNCTION("""COMPUTED_VALUE"""),63)</f>
        <v>63</v>
      </c>
      <c r="N25" s="12">
        <f ca="1">IFERROR(__xludf.DUMMYFUNCTION("""COMPUTED_VALUE"""),1)</f>
        <v>1</v>
      </c>
      <c r="O25" s="12">
        <f ca="1">IFERROR(__xludf.DUMMYFUNCTION("""COMPUTED_VALUE"""),1)</f>
        <v>1</v>
      </c>
      <c r="P25" s="12">
        <f ca="1">IFERROR(__xludf.DUMMYFUNCTION("""COMPUTED_VALUE"""),0)</f>
        <v>0</v>
      </c>
      <c r="Q25" s="12">
        <f ca="1">IFERROR(__xludf.DUMMYFUNCTION("""COMPUTED_VALUE"""),1)</f>
        <v>1</v>
      </c>
      <c r="R25" s="12">
        <f ca="1">IFERROR(__xludf.DUMMYFUNCTION("""COMPUTED_VALUE"""),2)</f>
        <v>2</v>
      </c>
      <c r="S25" s="12">
        <f ca="1">IFERROR(__xludf.DUMMYFUNCTION("""COMPUTED_VALUE"""),48)</f>
        <v>48</v>
      </c>
      <c r="T25" s="12">
        <f ca="1">IFERROR(__xludf.DUMMYFUNCTION("""COMPUTED_VALUE"""),51)</f>
        <v>51</v>
      </c>
      <c r="U25" s="12">
        <f ca="1">IFERROR(__xludf.DUMMYFUNCTION("""COMPUTED_VALUE"""),50)</f>
        <v>50</v>
      </c>
    </row>
    <row r="26" spans="1:21" x14ac:dyDescent="0.25">
      <c r="A26" s="11">
        <f ca="1">IFERROR(__xludf.DUMMYFUNCTION("""COMPUTED_VALUE"""),43914)</f>
        <v>43914</v>
      </c>
      <c r="B26" s="12">
        <f ca="1">IFERROR(__xludf.DUMMYFUNCTION("""COMPUTED_VALUE"""),686)</f>
        <v>686</v>
      </c>
      <c r="C26" s="12">
        <f ca="1">IFERROR(__xludf.DUMMYFUNCTION("""COMPUTED_VALUE"""),601)</f>
        <v>601</v>
      </c>
      <c r="D26" s="12">
        <f ca="1">IFERROR(__xludf.DUMMYFUNCTION("""COMPUTED_VALUE"""),30)</f>
        <v>30</v>
      </c>
      <c r="E26" s="12">
        <f ca="1">IFERROR(__xludf.DUMMYFUNCTION("""COMPUTED_VALUE"""),55)</f>
        <v>55</v>
      </c>
      <c r="F26" s="12">
        <f ca="1">IFERROR(__xludf.DUMMYFUNCTION("""COMPUTED_VALUE"""),34)</f>
        <v>34</v>
      </c>
      <c r="G26" s="12">
        <f ca="1">IFERROR(__xludf.DUMMYFUNCTION("""COMPUTED_VALUE"""),23)</f>
        <v>23</v>
      </c>
      <c r="H26" s="12">
        <f ca="1">IFERROR(__xludf.DUMMYFUNCTION("""COMPUTED_VALUE"""),109)</f>
        <v>109</v>
      </c>
      <c r="I26" s="12">
        <f ca="1">IFERROR(__xludf.DUMMYFUNCTION("""COMPUTED_VALUE"""),260)</f>
        <v>260</v>
      </c>
      <c r="J26" s="12">
        <f ca="1">IFERROR(__xludf.DUMMYFUNCTION("""COMPUTED_VALUE"""),426)</f>
        <v>426</v>
      </c>
      <c r="K26" s="12">
        <f ca="1">IFERROR(__xludf.DUMMYFUNCTION("""COMPUTED_VALUE"""),369)</f>
        <v>369</v>
      </c>
      <c r="L26" s="12">
        <f ca="1">IFERROR(__xludf.DUMMYFUNCTION("""COMPUTED_VALUE"""),107)</f>
        <v>107</v>
      </c>
      <c r="M26" s="12">
        <f ca="1">IFERROR(__xludf.DUMMYFUNCTION("""COMPUTED_VALUE"""),101)</f>
        <v>101</v>
      </c>
      <c r="N26" s="12">
        <f ca="1">IFERROR(__xludf.DUMMYFUNCTION("""COMPUTED_VALUE"""),0)</f>
        <v>0</v>
      </c>
      <c r="O26" s="12">
        <f ca="1">IFERROR(__xludf.DUMMYFUNCTION("""COMPUTED_VALUE"""),6)</f>
        <v>6</v>
      </c>
      <c r="P26" s="12">
        <f ca="1">IFERROR(__xludf.DUMMYFUNCTION("""COMPUTED_VALUE"""),5)</f>
        <v>5</v>
      </c>
      <c r="Q26" s="12">
        <f ca="1">IFERROR(__xludf.DUMMYFUNCTION("""COMPUTED_VALUE"""),1)</f>
        <v>1</v>
      </c>
      <c r="R26" s="12">
        <f ca="1">IFERROR(__xludf.DUMMYFUNCTION("""COMPUTED_VALUE"""),30)</f>
        <v>30</v>
      </c>
      <c r="S26" s="12">
        <f ca="1">IFERROR(__xludf.DUMMYFUNCTION("""COMPUTED_VALUE"""),35)</f>
        <v>35</v>
      </c>
      <c r="T26" s="12">
        <f ca="1">IFERROR(__xludf.DUMMYFUNCTION("""COMPUTED_VALUE"""),71)</f>
        <v>71</v>
      </c>
      <c r="U26" s="12">
        <f ca="1">IFERROR(__xludf.DUMMYFUNCTION("""COMPUTED_VALUE"""),65)</f>
        <v>65</v>
      </c>
    </row>
    <row r="27" spans="1:21" x14ac:dyDescent="0.25">
      <c r="A27" s="11">
        <f ca="1">IFERROR(__xludf.DUMMYFUNCTION("""COMPUTED_VALUE"""),43915)</f>
        <v>43915</v>
      </c>
      <c r="B27" s="12">
        <f ca="1">IFERROR(__xludf.DUMMYFUNCTION("""COMPUTED_VALUE"""),790)</f>
        <v>790</v>
      </c>
      <c r="C27" s="12">
        <f ca="1">IFERROR(__xludf.DUMMYFUNCTION("""COMPUTED_VALUE"""),701)</f>
        <v>701</v>
      </c>
      <c r="D27" s="12">
        <f ca="1">IFERROR(__xludf.DUMMYFUNCTION("""COMPUTED_VALUE"""),31)</f>
        <v>31</v>
      </c>
      <c r="E27" s="12">
        <f ca="1">IFERROR(__xludf.DUMMYFUNCTION("""COMPUTED_VALUE"""),58)</f>
        <v>58</v>
      </c>
      <c r="F27" s="12">
        <f ca="1">IFERROR(__xludf.DUMMYFUNCTION("""COMPUTED_VALUE"""),43)</f>
        <v>43</v>
      </c>
      <c r="G27" s="12">
        <f ca="1">IFERROR(__xludf.DUMMYFUNCTION("""COMPUTED_VALUE"""),27)</f>
        <v>27</v>
      </c>
      <c r="H27" s="12">
        <f ca="1">IFERROR(__xludf.DUMMYFUNCTION("""COMPUTED_VALUE"""),112)</f>
        <v>112</v>
      </c>
      <c r="I27" s="12">
        <f ca="1">IFERROR(__xludf.DUMMYFUNCTION("""COMPUTED_VALUE"""),290)</f>
        <v>290</v>
      </c>
      <c r="J27" s="12">
        <f ca="1">IFERROR(__xludf.DUMMYFUNCTION("""COMPUTED_VALUE"""),472)</f>
        <v>472</v>
      </c>
      <c r="K27" s="12">
        <f ca="1">IFERROR(__xludf.DUMMYFUNCTION("""COMPUTED_VALUE"""),402)</f>
        <v>402</v>
      </c>
      <c r="L27" s="12">
        <f ca="1">IFERROR(__xludf.DUMMYFUNCTION("""COMPUTED_VALUE"""),104)</f>
        <v>104</v>
      </c>
      <c r="M27" s="12">
        <f ca="1">IFERROR(__xludf.DUMMYFUNCTION("""COMPUTED_VALUE"""),100)</f>
        <v>100</v>
      </c>
      <c r="N27" s="12">
        <f ca="1">IFERROR(__xludf.DUMMYFUNCTION("""COMPUTED_VALUE"""),1)</f>
        <v>1</v>
      </c>
      <c r="O27" s="12">
        <f ca="1">IFERROR(__xludf.DUMMYFUNCTION("""COMPUTED_VALUE"""),3)</f>
        <v>3</v>
      </c>
      <c r="P27" s="12">
        <f ca="1">IFERROR(__xludf.DUMMYFUNCTION("""COMPUTED_VALUE"""),9)</f>
        <v>9</v>
      </c>
      <c r="Q27" s="12">
        <f ca="1">IFERROR(__xludf.DUMMYFUNCTION("""COMPUTED_VALUE"""),4)</f>
        <v>4</v>
      </c>
      <c r="R27" s="12">
        <f ca="1">IFERROR(__xludf.DUMMYFUNCTION("""COMPUTED_VALUE"""),3)</f>
        <v>3</v>
      </c>
      <c r="S27" s="12">
        <f ca="1">IFERROR(__xludf.DUMMYFUNCTION("""COMPUTED_VALUE"""),30)</f>
        <v>30</v>
      </c>
      <c r="T27" s="12">
        <f ca="1">IFERROR(__xludf.DUMMYFUNCTION("""COMPUTED_VALUE"""),46)</f>
        <v>46</v>
      </c>
      <c r="U27" s="12">
        <f ca="1">IFERROR(__xludf.DUMMYFUNCTION("""COMPUTED_VALUE"""),33)</f>
        <v>33</v>
      </c>
    </row>
    <row r="28" spans="1:21" x14ac:dyDescent="0.25">
      <c r="A28" s="11">
        <f ca="1">IFERROR(__xludf.DUMMYFUNCTION("""COMPUTED_VALUE"""),43916)</f>
        <v>43916</v>
      </c>
      <c r="B28" s="12">
        <f ca="1">IFERROR(__xludf.DUMMYFUNCTION("""COMPUTED_VALUE"""),893)</f>
        <v>893</v>
      </c>
      <c r="C28" s="12">
        <f ca="1">IFERROR(__xludf.DUMMYFUNCTION("""COMPUTED_VALUE"""),780)</f>
        <v>780</v>
      </c>
      <c r="D28" s="12">
        <f ca="1">IFERROR(__xludf.DUMMYFUNCTION("""COMPUTED_VALUE"""),35)</f>
        <v>35</v>
      </c>
      <c r="E28" s="12">
        <f ca="1">IFERROR(__xludf.DUMMYFUNCTION("""COMPUTED_VALUE"""),78)</f>
        <v>78</v>
      </c>
      <c r="F28" s="12">
        <f ca="1">IFERROR(__xludf.DUMMYFUNCTION("""COMPUTED_VALUE"""),49)</f>
        <v>49</v>
      </c>
      <c r="G28" s="12">
        <f ca="1">IFERROR(__xludf.DUMMYFUNCTION("""COMPUTED_VALUE"""),29)</f>
        <v>29</v>
      </c>
      <c r="H28" s="12">
        <f ca="1">IFERROR(__xludf.DUMMYFUNCTION("""COMPUTED_VALUE"""),113)</f>
        <v>113</v>
      </c>
      <c r="I28" s="12">
        <f ca="1">IFERROR(__xludf.DUMMYFUNCTION("""COMPUTED_VALUE"""),324)</f>
        <v>324</v>
      </c>
      <c r="J28" s="12">
        <f ca="1">IFERROR(__xludf.DUMMYFUNCTION("""COMPUTED_VALUE"""),515)</f>
        <v>515</v>
      </c>
      <c r="K28" s="12">
        <f ca="1">IFERROR(__xludf.DUMMYFUNCTION("""COMPUTED_VALUE"""),437)</f>
        <v>437</v>
      </c>
      <c r="L28" s="12">
        <f ca="1">IFERROR(__xludf.DUMMYFUNCTION("""COMPUTED_VALUE"""),103)</f>
        <v>103</v>
      </c>
      <c r="M28" s="12">
        <f ca="1">IFERROR(__xludf.DUMMYFUNCTION("""COMPUTED_VALUE"""),79)</f>
        <v>79</v>
      </c>
      <c r="N28" s="12">
        <f ca="1">IFERROR(__xludf.DUMMYFUNCTION("""COMPUTED_VALUE"""),4)</f>
        <v>4</v>
      </c>
      <c r="O28" s="12">
        <f ca="1">IFERROR(__xludf.DUMMYFUNCTION("""COMPUTED_VALUE"""),20)</f>
        <v>20</v>
      </c>
      <c r="P28" s="12">
        <f ca="1">IFERROR(__xludf.DUMMYFUNCTION("""COMPUTED_VALUE"""),6)</f>
        <v>6</v>
      </c>
      <c r="Q28" s="12">
        <f ca="1">IFERROR(__xludf.DUMMYFUNCTION("""COMPUTED_VALUE"""),2)</f>
        <v>2</v>
      </c>
      <c r="R28" s="12">
        <f ca="1">IFERROR(__xludf.DUMMYFUNCTION("""COMPUTED_VALUE"""),1)</f>
        <v>1</v>
      </c>
      <c r="S28" s="12">
        <f ca="1">IFERROR(__xludf.DUMMYFUNCTION("""COMPUTED_VALUE"""),34)</f>
        <v>34</v>
      </c>
      <c r="T28" s="12">
        <f ca="1">IFERROR(__xludf.DUMMYFUNCTION("""COMPUTED_VALUE"""),43)</f>
        <v>43</v>
      </c>
      <c r="U28" s="12">
        <f ca="1">IFERROR(__xludf.DUMMYFUNCTION("""COMPUTED_VALUE"""),35)</f>
        <v>35</v>
      </c>
    </row>
    <row r="29" spans="1:21" x14ac:dyDescent="0.25">
      <c r="A29" s="11">
        <f ca="1">IFERROR(__xludf.DUMMYFUNCTION("""COMPUTED_VALUE"""),43917)</f>
        <v>43917</v>
      </c>
      <c r="B29" s="12">
        <f ca="1">IFERROR(__xludf.DUMMYFUNCTION("""COMPUTED_VALUE"""),1046)</f>
        <v>1046</v>
      </c>
      <c r="C29" s="12">
        <f ca="1">IFERROR(__xludf.DUMMYFUNCTION("""COMPUTED_VALUE"""),913)</f>
        <v>913</v>
      </c>
      <c r="D29" s="12">
        <f ca="1">IFERROR(__xludf.DUMMYFUNCTION("""COMPUTED_VALUE"""),46)</f>
        <v>46</v>
      </c>
      <c r="E29" s="12">
        <f ca="1">IFERROR(__xludf.DUMMYFUNCTION("""COMPUTED_VALUE"""),87)</f>
        <v>87</v>
      </c>
      <c r="F29" s="12">
        <f ca="1">IFERROR(__xludf.DUMMYFUNCTION("""COMPUTED_VALUE"""),57)</f>
        <v>57</v>
      </c>
      <c r="G29" s="12">
        <f ca="1">IFERROR(__xludf.DUMMYFUNCTION("""COMPUTED_VALUE"""),31)</f>
        <v>31</v>
      </c>
      <c r="H29" s="12">
        <f ca="1">IFERROR(__xludf.DUMMYFUNCTION("""COMPUTED_VALUE"""),132)</f>
        <v>132</v>
      </c>
      <c r="I29" s="12">
        <f ca="1">IFERROR(__xludf.DUMMYFUNCTION("""COMPUTED_VALUE"""),346)</f>
        <v>346</v>
      </c>
      <c r="J29" s="12">
        <f ca="1">IFERROR(__xludf.DUMMYFUNCTION("""COMPUTED_VALUE"""),566)</f>
        <v>566</v>
      </c>
      <c r="K29" s="12">
        <f ca="1">IFERROR(__xludf.DUMMYFUNCTION("""COMPUTED_VALUE"""),478)</f>
        <v>478</v>
      </c>
      <c r="L29" s="12">
        <f ca="1">IFERROR(__xludf.DUMMYFUNCTION("""COMPUTED_VALUE"""),153)</f>
        <v>153</v>
      </c>
      <c r="M29" s="12">
        <f ca="1">IFERROR(__xludf.DUMMYFUNCTION("""COMPUTED_VALUE"""),133)</f>
        <v>133</v>
      </c>
      <c r="N29" s="12">
        <f ca="1">IFERROR(__xludf.DUMMYFUNCTION("""COMPUTED_VALUE"""),11)</f>
        <v>11</v>
      </c>
      <c r="O29" s="12">
        <f ca="1">IFERROR(__xludf.DUMMYFUNCTION("""COMPUTED_VALUE"""),9)</f>
        <v>9</v>
      </c>
      <c r="P29" s="12">
        <f ca="1">IFERROR(__xludf.DUMMYFUNCTION("""COMPUTED_VALUE"""),8)</f>
        <v>8</v>
      </c>
      <c r="Q29" s="12">
        <f ca="1">IFERROR(__xludf.DUMMYFUNCTION("""COMPUTED_VALUE"""),2)</f>
        <v>2</v>
      </c>
      <c r="R29" s="12">
        <f ca="1">IFERROR(__xludf.DUMMYFUNCTION("""COMPUTED_VALUE"""),19)</f>
        <v>19</v>
      </c>
      <c r="S29" s="12">
        <f ca="1">IFERROR(__xludf.DUMMYFUNCTION("""COMPUTED_VALUE"""),22)</f>
        <v>22</v>
      </c>
      <c r="T29" s="12">
        <f ca="1">IFERROR(__xludf.DUMMYFUNCTION("""COMPUTED_VALUE"""),51)</f>
        <v>51</v>
      </c>
      <c r="U29" s="12">
        <f ca="1">IFERROR(__xludf.DUMMYFUNCTION("""COMPUTED_VALUE"""),41)</f>
        <v>41</v>
      </c>
    </row>
    <row r="30" spans="1:21" x14ac:dyDescent="0.25">
      <c r="A30" s="11">
        <f ca="1">IFERROR(__xludf.DUMMYFUNCTION("""COMPUTED_VALUE"""),43918)</f>
        <v>43918</v>
      </c>
      <c r="B30" s="12">
        <f ca="1">IFERROR(__xludf.DUMMYFUNCTION("""COMPUTED_VALUE"""),1155)</f>
        <v>1155</v>
      </c>
      <c r="C30" s="12">
        <f ca="1">IFERROR(__xludf.DUMMYFUNCTION("""COMPUTED_VALUE"""),994)</f>
        <v>994</v>
      </c>
      <c r="D30" s="12">
        <f ca="1">IFERROR(__xludf.DUMMYFUNCTION("""COMPUTED_VALUE"""),59)</f>
        <v>59</v>
      </c>
      <c r="E30" s="12">
        <f ca="1">IFERROR(__xludf.DUMMYFUNCTION("""COMPUTED_VALUE"""),102)</f>
        <v>102</v>
      </c>
      <c r="F30" s="12">
        <f ca="1">IFERROR(__xludf.DUMMYFUNCTION("""COMPUTED_VALUE"""),62)</f>
        <v>62</v>
      </c>
      <c r="G30" s="12">
        <f ca="1">IFERROR(__xludf.DUMMYFUNCTION("""COMPUTED_VALUE"""),43)</f>
        <v>43</v>
      </c>
      <c r="H30" s="12">
        <f ca="1">IFERROR(__xludf.DUMMYFUNCTION("""COMPUTED_VALUE"""),134)</f>
        <v>134</v>
      </c>
      <c r="I30" s="12">
        <f ca="1">IFERROR(__xludf.DUMMYFUNCTION("""COMPUTED_VALUE"""),364)</f>
        <v>364</v>
      </c>
      <c r="J30" s="12">
        <f ca="1">IFERROR(__xludf.DUMMYFUNCTION("""COMPUTED_VALUE"""),603)</f>
        <v>603</v>
      </c>
      <c r="K30" s="12">
        <f ca="1">IFERROR(__xludf.DUMMYFUNCTION("""COMPUTED_VALUE"""),498)</f>
        <v>498</v>
      </c>
      <c r="L30" s="12">
        <f ca="1">IFERROR(__xludf.DUMMYFUNCTION("""COMPUTED_VALUE"""),109)</f>
        <v>109</v>
      </c>
      <c r="M30" s="12">
        <f ca="1">IFERROR(__xludf.DUMMYFUNCTION("""COMPUTED_VALUE"""),81)</f>
        <v>81</v>
      </c>
      <c r="N30" s="12">
        <f ca="1">IFERROR(__xludf.DUMMYFUNCTION("""COMPUTED_VALUE"""),13)</f>
        <v>13</v>
      </c>
      <c r="O30" s="12">
        <f ca="1">IFERROR(__xludf.DUMMYFUNCTION("""COMPUTED_VALUE"""),15)</f>
        <v>15</v>
      </c>
      <c r="P30" s="12">
        <f ca="1">IFERROR(__xludf.DUMMYFUNCTION("""COMPUTED_VALUE"""),5)</f>
        <v>5</v>
      </c>
      <c r="Q30" s="12">
        <f ca="1">IFERROR(__xludf.DUMMYFUNCTION("""COMPUTED_VALUE"""),12)</f>
        <v>12</v>
      </c>
      <c r="R30" s="12">
        <f ca="1">IFERROR(__xludf.DUMMYFUNCTION("""COMPUTED_VALUE"""),2)</f>
        <v>2</v>
      </c>
      <c r="S30" s="12">
        <f ca="1">IFERROR(__xludf.DUMMYFUNCTION("""COMPUTED_VALUE"""),18)</f>
        <v>18</v>
      </c>
      <c r="T30" s="12">
        <f ca="1">IFERROR(__xludf.DUMMYFUNCTION("""COMPUTED_VALUE"""),37)</f>
        <v>37</v>
      </c>
      <c r="U30" s="12">
        <f ca="1">IFERROR(__xludf.DUMMYFUNCTION("""COMPUTED_VALUE"""),20)</f>
        <v>20</v>
      </c>
    </row>
    <row r="31" spans="1:21" x14ac:dyDescent="0.25">
      <c r="A31" s="11">
        <f ca="1">IFERROR(__xludf.DUMMYFUNCTION("""COMPUTED_VALUE"""),43919)</f>
        <v>43919</v>
      </c>
      <c r="B31" s="12">
        <f ca="1">IFERROR(__xludf.DUMMYFUNCTION("""COMPUTED_VALUE"""),1285)</f>
        <v>1285</v>
      </c>
      <c r="C31" s="12">
        <f ca="1">IFERROR(__xludf.DUMMYFUNCTION("""COMPUTED_VALUE"""),1107)</f>
        <v>1107</v>
      </c>
      <c r="D31" s="12">
        <f ca="1">IFERROR(__xludf.DUMMYFUNCTION("""COMPUTED_VALUE"""),64)</f>
        <v>64</v>
      </c>
      <c r="E31" s="12">
        <f ca="1">IFERROR(__xludf.DUMMYFUNCTION("""COMPUTED_VALUE"""),114)</f>
        <v>114</v>
      </c>
      <c r="F31" s="12">
        <f ca="1">IFERROR(__xludf.DUMMYFUNCTION("""COMPUTED_VALUE"""),67)</f>
        <v>67</v>
      </c>
      <c r="G31" s="12">
        <f ca="1">IFERROR(__xludf.DUMMYFUNCTION("""COMPUTED_VALUE"""),48)</f>
        <v>48</v>
      </c>
      <c r="H31" s="12">
        <f ca="1">IFERROR(__xludf.DUMMYFUNCTION("""COMPUTED_VALUE"""),151)</f>
        <v>151</v>
      </c>
      <c r="I31" s="12">
        <f ca="1">IFERROR(__xludf.DUMMYFUNCTION("""COMPUTED_VALUE"""),435)</f>
        <v>435</v>
      </c>
      <c r="J31" s="12">
        <f ca="1">IFERROR(__xludf.DUMMYFUNCTION("""COMPUTED_VALUE"""),701)</f>
        <v>701</v>
      </c>
      <c r="K31" s="12">
        <f ca="1">IFERROR(__xludf.DUMMYFUNCTION("""COMPUTED_VALUE"""),586)</f>
        <v>586</v>
      </c>
      <c r="L31" s="12">
        <f ca="1">IFERROR(__xludf.DUMMYFUNCTION("""COMPUTED_VALUE"""),130)</f>
        <v>130</v>
      </c>
      <c r="M31" s="12">
        <f ca="1">IFERROR(__xludf.DUMMYFUNCTION("""COMPUTED_VALUE"""),113)</f>
        <v>113</v>
      </c>
      <c r="N31" s="12">
        <f ca="1">IFERROR(__xludf.DUMMYFUNCTION("""COMPUTED_VALUE"""),5)</f>
        <v>5</v>
      </c>
      <c r="O31" s="12">
        <f ca="1">IFERROR(__xludf.DUMMYFUNCTION("""COMPUTED_VALUE"""),12)</f>
        <v>12</v>
      </c>
      <c r="P31" s="12">
        <f ca="1">IFERROR(__xludf.DUMMYFUNCTION("""COMPUTED_VALUE"""),5)</f>
        <v>5</v>
      </c>
      <c r="Q31" s="12">
        <f ca="1">IFERROR(__xludf.DUMMYFUNCTION("""COMPUTED_VALUE"""),5)</f>
        <v>5</v>
      </c>
      <c r="R31" s="12">
        <f ca="1">IFERROR(__xludf.DUMMYFUNCTION("""COMPUTED_VALUE"""),17)</f>
        <v>17</v>
      </c>
      <c r="S31" s="12">
        <f ca="1">IFERROR(__xludf.DUMMYFUNCTION("""COMPUTED_VALUE"""),71)</f>
        <v>71</v>
      </c>
      <c r="T31" s="12">
        <f ca="1">IFERROR(__xludf.DUMMYFUNCTION("""COMPUTED_VALUE"""),98)</f>
        <v>98</v>
      </c>
      <c r="U31" s="12">
        <f ca="1">IFERROR(__xludf.DUMMYFUNCTION("""COMPUTED_VALUE"""),88)</f>
        <v>88</v>
      </c>
    </row>
    <row r="32" spans="1:21" x14ac:dyDescent="0.25">
      <c r="A32" s="11">
        <f ca="1">IFERROR(__xludf.DUMMYFUNCTION("""COMPUTED_VALUE"""),43920)</f>
        <v>43920</v>
      </c>
      <c r="B32" s="12">
        <f ca="1">IFERROR(__xludf.DUMMYFUNCTION("""COMPUTED_VALUE"""),1414)</f>
        <v>1414</v>
      </c>
      <c r="C32" s="12">
        <f ca="1">IFERROR(__xludf.DUMMYFUNCTION("""COMPUTED_VALUE"""),1217)</f>
        <v>1217</v>
      </c>
      <c r="D32" s="12">
        <f ca="1">IFERROR(__xludf.DUMMYFUNCTION("""COMPUTED_VALUE"""),75)</f>
        <v>75</v>
      </c>
      <c r="E32" s="12">
        <f ca="1">IFERROR(__xludf.DUMMYFUNCTION("""COMPUTED_VALUE"""),122)</f>
        <v>122</v>
      </c>
      <c r="F32" s="12">
        <f ca="1">IFERROR(__xludf.DUMMYFUNCTION("""COMPUTED_VALUE"""),78)</f>
        <v>78</v>
      </c>
      <c r="G32" s="12">
        <f ca="1">IFERROR(__xludf.DUMMYFUNCTION("""COMPUTED_VALUE"""),49)</f>
        <v>49</v>
      </c>
      <c r="H32" s="12">
        <f ca="1">IFERROR(__xludf.DUMMYFUNCTION("""COMPUTED_VALUE"""),151)</f>
        <v>151</v>
      </c>
      <c r="I32" s="12">
        <f ca="1">IFERROR(__xludf.DUMMYFUNCTION("""COMPUTED_VALUE"""),449)</f>
        <v>449</v>
      </c>
      <c r="J32" s="12">
        <f ca="1">IFERROR(__xludf.DUMMYFUNCTION("""COMPUTED_VALUE"""),727)</f>
        <v>727</v>
      </c>
      <c r="K32" s="12">
        <f ca="1">IFERROR(__xludf.DUMMYFUNCTION("""COMPUTED_VALUE"""),600)</f>
        <v>600</v>
      </c>
      <c r="L32" s="12">
        <f ca="1">IFERROR(__xludf.DUMMYFUNCTION("""COMPUTED_VALUE"""),129)</f>
        <v>129</v>
      </c>
      <c r="M32" s="12">
        <f ca="1">IFERROR(__xludf.DUMMYFUNCTION("""COMPUTED_VALUE"""),110)</f>
        <v>110</v>
      </c>
      <c r="N32" s="12">
        <f ca="1">IFERROR(__xludf.DUMMYFUNCTION("""COMPUTED_VALUE"""),11)</f>
        <v>11</v>
      </c>
      <c r="O32" s="12">
        <f ca="1">IFERROR(__xludf.DUMMYFUNCTION("""COMPUTED_VALUE"""),8)</f>
        <v>8</v>
      </c>
      <c r="P32" s="12">
        <f ca="1">IFERROR(__xludf.DUMMYFUNCTION("""COMPUTED_VALUE"""),11)</f>
        <v>11</v>
      </c>
      <c r="Q32" s="12">
        <f ca="1">IFERROR(__xludf.DUMMYFUNCTION("""COMPUTED_VALUE"""),1)</f>
        <v>1</v>
      </c>
      <c r="R32" s="12">
        <f ca="1">IFERROR(__xludf.DUMMYFUNCTION("""COMPUTED_VALUE"""),0)</f>
        <v>0</v>
      </c>
      <c r="S32" s="12">
        <f ca="1">IFERROR(__xludf.DUMMYFUNCTION("""COMPUTED_VALUE"""),14)</f>
        <v>14</v>
      </c>
      <c r="T32" s="12">
        <f ca="1">IFERROR(__xludf.DUMMYFUNCTION("""COMPUTED_VALUE"""),26)</f>
        <v>26</v>
      </c>
      <c r="U32" s="12">
        <f ca="1">IFERROR(__xludf.DUMMYFUNCTION("""COMPUTED_VALUE"""),14)</f>
        <v>14</v>
      </c>
    </row>
    <row r="33" spans="1:21" x14ac:dyDescent="0.25">
      <c r="A33" s="11">
        <f ca="1">IFERROR(__xludf.DUMMYFUNCTION("""COMPUTED_VALUE"""),43921)</f>
        <v>43921</v>
      </c>
      <c r="B33" s="12">
        <f ca="1">IFERROR(__xludf.DUMMYFUNCTION("""COMPUTED_VALUE"""),1528)</f>
        <v>1528</v>
      </c>
      <c r="C33" s="12">
        <f ca="1">IFERROR(__xludf.DUMMYFUNCTION("""COMPUTED_VALUE"""),1311)</f>
        <v>1311</v>
      </c>
      <c r="D33" s="12">
        <f ca="1">IFERROR(__xludf.DUMMYFUNCTION("""COMPUTED_VALUE"""),81)</f>
        <v>81</v>
      </c>
      <c r="E33" s="12">
        <f ca="1">IFERROR(__xludf.DUMMYFUNCTION("""COMPUTED_VALUE"""),136)</f>
        <v>136</v>
      </c>
      <c r="F33" s="12">
        <f ca="1">IFERROR(__xludf.DUMMYFUNCTION("""COMPUTED_VALUE"""),84)</f>
        <v>84</v>
      </c>
      <c r="G33" s="12">
        <f ca="1">IFERROR(__xludf.DUMMYFUNCTION("""COMPUTED_VALUE"""),49)</f>
        <v>49</v>
      </c>
      <c r="H33" s="12">
        <f ca="1">IFERROR(__xludf.DUMMYFUNCTION("""COMPUTED_VALUE"""),157)</f>
        <v>157</v>
      </c>
      <c r="I33" s="12">
        <f ca="1">IFERROR(__xludf.DUMMYFUNCTION("""COMPUTED_VALUE"""),451)</f>
        <v>451</v>
      </c>
      <c r="J33" s="12">
        <f ca="1">IFERROR(__xludf.DUMMYFUNCTION("""COMPUTED_VALUE"""),741)</f>
        <v>741</v>
      </c>
      <c r="K33" s="12">
        <f ca="1">IFERROR(__xludf.DUMMYFUNCTION("""COMPUTED_VALUE"""),608)</f>
        <v>608</v>
      </c>
      <c r="L33" s="12">
        <f ca="1">IFERROR(__xludf.DUMMYFUNCTION("""COMPUTED_VALUE"""),114)</f>
        <v>114</v>
      </c>
      <c r="M33" s="12">
        <f ca="1">IFERROR(__xludf.DUMMYFUNCTION("""COMPUTED_VALUE"""),94)</f>
        <v>94</v>
      </c>
      <c r="N33" s="12">
        <f ca="1">IFERROR(__xludf.DUMMYFUNCTION("""COMPUTED_VALUE"""),6)</f>
        <v>6</v>
      </c>
      <c r="O33" s="12">
        <f ca="1">IFERROR(__xludf.DUMMYFUNCTION("""COMPUTED_VALUE"""),14)</f>
        <v>14</v>
      </c>
      <c r="P33" s="12">
        <f ca="1">IFERROR(__xludf.DUMMYFUNCTION("""COMPUTED_VALUE"""),6)</f>
        <v>6</v>
      </c>
      <c r="Q33" s="12">
        <f ca="1">IFERROR(__xludf.DUMMYFUNCTION("""COMPUTED_VALUE"""),0)</f>
        <v>0</v>
      </c>
      <c r="R33" s="12">
        <f ca="1">IFERROR(__xludf.DUMMYFUNCTION("""COMPUTED_VALUE"""),6)</f>
        <v>6</v>
      </c>
      <c r="S33" s="12">
        <f ca="1">IFERROR(__xludf.DUMMYFUNCTION("""COMPUTED_VALUE"""),2)</f>
        <v>2</v>
      </c>
      <c r="T33" s="12">
        <f ca="1">IFERROR(__xludf.DUMMYFUNCTION("""COMPUTED_VALUE"""),14)</f>
        <v>14</v>
      </c>
      <c r="U33" s="12">
        <f ca="1">IFERROR(__xludf.DUMMYFUNCTION("""COMPUTED_VALUE"""),8)</f>
        <v>8</v>
      </c>
    </row>
    <row r="34" spans="1:21" x14ac:dyDescent="0.25">
      <c r="A34" s="11">
        <f ca="1">IFERROR(__xludf.DUMMYFUNCTION("""COMPUTED_VALUE"""),43922)</f>
        <v>43922</v>
      </c>
      <c r="B34" s="12">
        <f ca="1">IFERROR(__xludf.DUMMYFUNCTION("""COMPUTED_VALUE"""),1677)</f>
        <v>1677</v>
      </c>
      <c r="C34" s="12">
        <f ca="1">IFERROR(__xludf.DUMMYFUNCTION("""COMPUTED_VALUE"""),1417)</f>
        <v>1417</v>
      </c>
      <c r="D34" s="12">
        <f ca="1">IFERROR(__xludf.DUMMYFUNCTION("""COMPUTED_VALUE"""),103)</f>
        <v>103</v>
      </c>
      <c r="E34" s="12">
        <f ca="1">IFERROR(__xludf.DUMMYFUNCTION("""COMPUTED_VALUE"""),157)</f>
        <v>157</v>
      </c>
      <c r="F34" s="12">
        <f ca="1">IFERROR(__xludf.DUMMYFUNCTION("""COMPUTED_VALUE"""),90)</f>
        <v>90</v>
      </c>
      <c r="G34" s="12">
        <f ca="1">IFERROR(__xludf.DUMMYFUNCTION("""COMPUTED_VALUE"""),51)</f>
        <v>51</v>
      </c>
      <c r="H34" s="12">
        <f ca="1">IFERROR(__xludf.DUMMYFUNCTION("""COMPUTED_VALUE"""),176)</f>
        <v>176</v>
      </c>
      <c r="I34" s="12">
        <f ca="1">IFERROR(__xludf.DUMMYFUNCTION("""COMPUTED_VALUE"""),499)</f>
        <v>499</v>
      </c>
      <c r="J34" s="12">
        <f ca="1">IFERROR(__xludf.DUMMYFUNCTION("""COMPUTED_VALUE"""),816)</f>
        <v>816</v>
      </c>
      <c r="K34" s="12">
        <f ca="1">IFERROR(__xludf.DUMMYFUNCTION("""COMPUTED_VALUE"""),675)</f>
        <v>675</v>
      </c>
      <c r="L34" s="12">
        <f ca="1">IFERROR(__xludf.DUMMYFUNCTION("""COMPUTED_VALUE"""),149)</f>
        <v>149</v>
      </c>
      <c r="M34" s="12">
        <f ca="1">IFERROR(__xludf.DUMMYFUNCTION("""COMPUTED_VALUE"""),106)</f>
        <v>106</v>
      </c>
      <c r="N34" s="12">
        <f ca="1">IFERROR(__xludf.DUMMYFUNCTION("""COMPUTED_VALUE"""),22)</f>
        <v>22</v>
      </c>
      <c r="O34" s="12">
        <f ca="1">IFERROR(__xludf.DUMMYFUNCTION("""COMPUTED_VALUE"""),21)</f>
        <v>21</v>
      </c>
      <c r="P34" s="12">
        <f ca="1">IFERROR(__xludf.DUMMYFUNCTION("""COMPUTED_VALUE"""),6)</f>
        <v>6</v>
      </c>
      <c r="Q34" s="12">
        <f ca="1">IFERROR(__xludf.DUMMYFUNCTION("""COMPUTED_VALUE"""),2)</f>
        <v>2</v>
      </c>
      <c r="R34" s="12">
        <f ca="1">IFERROR(__xludf.DUMMYFUNCTION("""COMPUTED_VALUE"""),19)</f>
        <v>19</v>
      </c>
      <c r="S34" s="12">
        <f ca="1">IFERROR(__xludf.DUMMYFUNCTION("""COMPUTED_VALUE"""),48)</f>
        <v>48</v>
      </c>
      <c r="T34" s="12">
        <f ca="1">IFERROR(__xludf.DUMMYFUNCTION("""COMPUTED_VALUE"""),75)</f>
        <v>75</v>
      </c>
      <c r="U34" s="12">
        <f ca="1">IFERROR(__xludf.DUMMYFUNCTION("""COMPUTED_VALUE"""),67)</f>
        <v>67</v>
      </c>
    </row>
    <row r="35" spans="1:21" x14ac:dyDescent="0.25">
      <c r="A35" s="11">
        <f ca="1">IFERROR(__xludf.DUMMYFUNCTION("""COMPUTED_VALUE"""),43923)</f>
        <v>43923</v>
      </c>
      <c r="B35" s="12">
        <f ca="1">IFERROR(__xludf.DUMMYFUNCTION("""COMPUTED_VALUE"""),1790)</f>
        <v>1790</v>
      </c>
      <c r="C35" s="12">
        <f ca="1">IFERROR(__xludf.DUMMYFUNCTION("""COMPUTED_VALUE"""),1508)</f>
        <v>1508</v>
      </c>
      <c r="D35" s="12">
        <f ca="1">IFERROR(__xludf.DUMMYFUNCTION("""COMPUTED_VALUE"""),112)</f>
        <v>112</v>
      </c>
      <c r="E35" s="12">
        <f ca="1">IFERROR(__xludf.DUMMYFUNCTION("""COMPUTED_VALUE"""),170)</f>
        <v>170</v>
      </c>
      <c r="F35" s="12">
        <f ca="1">IFERROR(__xludf.DUMMYFUNCTION("""COMPUTED_VALUE"""),95)</f>
        <v>95</v>
      </c>
      <c r="G35" s="12">
        <f ca="1">IFERROR(__xludf.DUMMYFUNCTION("""COMPUTED_VALUE"""),54)</f>
        <v>54</v>
      </c>
      <c r="H35" s="12">
        <f ca="1">IFERROR(__xludf.DUMMYFUNCTION("""COMPUTED_VALUE"""),195)</f>
        <v>195</v>
      </c>
      <c r="I35" s="12">
        <f ca="1">IFERROR(__xludf.DUMMYFUNCTION("""COMPUTED_VALUE"""),565)</f>
        <v>565</v>
      </c>
      <c r="J35" s="12">
        <f ca="1">IFERROR(__xludf.DUMMYFUNCTION("""COMPUTED_VALUE"""),909)</f>
        <v>909</v>
      </c>
      <c r="K35" s="12">
        <f ca="1">IFERROR(__xludf.DUMMYFUNCTION("""COMPUTED_VALUE"""),760)</f>
        <v>760</v>
      </c>
      <c r="L35" s="12">
        <f ca="1">IFERROR(__xludf.DUMMYFUNCTION("""COMPUTED_VALUE"""),113)</f>
        <v>113</v>
      </c>
      <c r="M35" s="12">
        <f ca="1">IFERROR(__xludf.DUMMYFUNCTION("""COMPUTED_VALUE"""),91)</f>
        <v>91</v>
      </c>
      <c r="N35" s="12">
        <f ca="1">IFERROR(__xludf.DUMMYFUNCTION("""COMPUTED_VALUE"""),9)</f>
        <v>9</v>
      </c>
      <c r="O35" s="12">
        <f ca="1">IFERROR(__xludf.DUMMYFUNCTION("""COMPUTED_VALUE"""),13)</f>
        <v>13</v>
      </c>
      <c r="P35" s="12">
        <f ca="1">IFERROR(__xludf.DUMMYFUNCTION("""COMPUTED_VALUE"""),5)</f>
        <v>5</v>
      </c>
      <c r="Q35" s="12">
        <f ca="1">IFERROR(__xludf.DUMMYFUNCTION("""COMPUTED_VALUE"""),3)</f>
        <v>3</v>
      </c>
      <c r="R35" s="12">
        <f ca="1">IFERROR(__xludf.DUMMYFUNCTION("""COMPUTED_VALUE"""),19)</f>
        <v>19</v>
      </c>
      <c r="S35" s="12">
        <f ca="1">IFERROR(__xludf.DUMMYFUNCTION("""COMPUTED_VALUE"""),66)</f>
        <v>66</v>
      </c>
      <c r="T35" s="12">
        <f ca="1">IFERROR(__xludf.DUMMYFUNCTION("""COMPUTED_VALUE"""),93)</f>
        <v>93</v>
      </c>
      <c r="U35" s="12">
        <f ca="1">IFERROR(__xludf.DUMMYFUNCTION("""COMPUTED_VALUE"""),85)</f>
        <v>85</v>
      </c>
    </row>
    <row r="36" spans="1:21" x14ac:dyDescent="0.25">
      <c r="A36" s="11">
        <f ca="1">IFERROR(__xludf.DUMMYFUNCTION("""COMPUTED_VALUE"""),43924)</f>
        <v>43924</v>
      </c>
      <c r="B36" s="12">
        <f ca="1">IFERROR(__xludf.DUMMYFUNCTION("""COMPUTED_VALUE"""),1986)</f>
        <v>1986</v>
      </c>
      <c r="C36" s="12">
        <f ca="1">IFERROR(__xludf.DUMMYFUNCTION("""COMPUTED_VALUE"""),1671)</f>
        <v>1671</v>
      </c>
      <c r="D36" s="12">
        <f ca="1">IFERROR(__xludf.DUMMYFUNCTION("""COMPUTED_VALUE"""),134)</f>
        <v>134</v>
      </c>
      <c r="E36" s="12">
        <f ca="1">IFERROR(__xludf.DUMMYFUNCTION("""COMPUTED_VALUE"""),181)</f>
        <v>181</v>
      </c>
      <c r="F36" s="12">
        <f ca="1">IFERROR(__xludf.DUMMYFUNCTION("""COMPUTED_VALUE"""),98)</f>
        <v>98</v>
      </c>
      <c r="G36" s="12">
        <f ca="1">IFERROR(__xludf.DUMMYFUNCTION("""COMPUTED_VALUE"""),56)</f>
        <v>56</v>
      </c>
      <c r="H36" s="12">
        <f ca="1">IFERROR(__xludf.DUMMYFUNCTION("""COMPUTED_VALUE"""),209)</f>
        <v>209</v>
      </c>
      <c r="I36" s="12">
        <f ca="1">IFERROR(__xludf.DUMMYFUNCTION("""COMPUTED_VALUE"""),627)</f>
        <v>627</v>
      </c>
      <c r="J36" s="12">
        <f ca="1">IFERROR(__xludf.DUMMYFUNCTION("""COMPUTED_VALUE"""),990)</f>
        <v>990</v>
      </c>
      <c r="K36" s="12">
        <f ca="1">IFERROR(__xludf.DUMMYFUNCTION("""COMPUTED_VALUE"""),836)</f>
        <v>836</v>
      </c>
      <c r="L36" s="12">
        <f ca="1">IFERROR(__xludf.DUMMYFUNCTION("""COMPUTED_VALUE"""),196)</f>
        <v>196</v>
      </c>
      <c r="M36" s="12">
        <f ca="1">IFERROR(__xludf.DUMMYFUNCTION("""COMPUTED_VALUE"""),163)</f>
        <v>163</v>
      </c>
      <c r="N36" s="12">
        <f ca="1">IFERROR(__xludf.DUMMYFUNCTION("""COMPUTED_VALUE"""),22)</f>
        <v>22</v>
      </c>
      <c r="O36" s="12">
        <f ca="1">IFERROR(__xludf.DUMMYFUNCTION("""COMPUTED_VALUE"""),11)</f>
        <v>11</v>
      </c>
      <c r="P36" s="12">
        <f ca="1">IFERROR(__xludf.DUMMYFUNCTION("""COMPUTED_VALUE"""),3)</f>
        <v>3</v>
      </c>
      <c r="Q36" s="12">
        <f ca="1">IFERROR(__xludf.DUMMYFUNCTION("""COMPUTED_VALUE"""),2)</f>
        <v>2</v>
      </c>
      <c r="R36" s="12">
        <f ca="1">IFERROR(__xludf.DUMMYFUNCTION("""COMPUTED_VALUE"""),14)</f>
        <v>14</v>
      </c>
      <c r="S36" s="12">
        <f ca="1">IFERROR(__xludf.DUMMYFUNCTION("""COMPUTED_VALUE"""),62)</f>
        <v>62</v>
      </c>
      <c r="T36" s="12">
        <f ca="1">IFERROR(__xludf.DUMMYFUNCTION("""COMPUTED_VALUE"""),81)</f>
        <v>81</v>
      </c>
      <c r="U36" s="12">
        <f ca="1">IFERROR(__xludf.DUMMYFUNCTION("""COMPUTED_VALUE"""),76)</f>
        <v>76</v>
      </c>
    </row>
    <row r="37" spans="1:21" x14ac:dyDescent="0.25">
      <c r="A37" s="11">
        <f ca="1">IFERROR(__xludf.DUMMYFUNCTION("""COMPUTED_VALUE"""),43925)</f>
        <v>43925</v>
      </c>
      <c r="B37" s="12">
        <f ca="1">IFERROR(__xludf.DUMMYFUNCTION("""COMPUTED_VALUE"""),2092)</f>
        <v>2092</v>
      </c>
      <c r="C37" s="12">
        <f ca="1">IFERROR(__xludf.DUMMYFUNCTION("""COMPUTED_VALUE"""),1751)</f>
        <v>1751</v>
      </c>
      <c r="D37" s="12">
        <f ca="1">IFERROR(__xludf.DUMMYFUNCTION("""COMPUTED_VALUE"""),150)</f>
        <v>150</v>
      </c>
      <c r="E37" s="12">
        <f ca="1">IFERROR(__xludf.DUMMYFUNCTION("""COMPUTED_VALUE"""),191)</f>
        <v>191</v>
      </c>
      <c r="F37" s="12">
        <f ca="1">IFERROR(__xludf.DUMMYFUNCTION("""COMPUTED_VALUE"""),99)</f>
        <v>99</v>
      </c>
      <c r="G37" s="12">
        <f ca="1">IFERROR(__xludf.DUMMYFUNCTION("""COMPUTED_VALUE"""),58)</f>
        <v>58</v>
      </c>
      <c r="H37" s="12">
        <f ca="1">IFERROR(__xludf.DUMMYFUNCTION("""COMPUTED_VALUE"""),223)</f>
        <v>223</v>
      </c>
      <c r="I37" s="12">
        <f ca="1">IFERROR(__xludf.DUMMYFUNCTION("""COMPUTED_VALUE"""),691)</f>
        <v>691</v>
      </c>
      <c r="J37" s="12">
        <f ca="1">IFERROR(__xludf.DUMMYFUNCTION("""COMPUTED_VALUE"""),1071)</f>
        <v>1071</v>
      </c>
      <c r="K37" s="12">
        <f ca="1">IFERROR(__xludf.DUMMYFUNCTION("""COMPUTED_VALUE"""),914)</f>
        <v>914</v>
      </c>
      <c r="L37" s="12">
        <f ca="1">IFERROR(__xludf.DUMMYFUNCTION("""COMPUTED_VALUE"""),106)</f>
        <v>106</v>
      </c>
      <c r="M37" s="12">
        <f ca="1">IFERROR(__xludf.DUMMYFUNCTION("""COMPUTED_VALUE"""),80)</f>
        <v>80</v>
      </c>
      <c r="N37" s="12">
        <f ca="1">IFERROR(__xludf.DUMMYFUNCTION("""COMPUTED_VALUE"""),16)</f>
        <v>16</v>
      </c>
      <c r="O37" s="12">
        <f ca="1">IFERROR(__xludf.DUMMYFUNCTION("""COMPUTED_VALUE"""),10)</f>
        <v>10</v>
      </c>
      <c r="P37" s="12">
        <f ca="1">IFERROR(__xludf.DUMMYFUNCTION("""COMPUTED_VALUE"""),1)</f>
        <v>1</v>
      </c>
      <c r="Q37" s="12">
        <f ca="1">IFERROR(__xludf.DUMMYFUNCTION("""COMPUTED_VALUE"""),2)</f>
        <v>2</v>
      </c>
      <c r="R37" s="12">
        <f ca="1">IFERROR(__xludf.DUMMYFUNCTION("""COMPUTED_VALUE"""),14)</f>
        <v>14</v>
      </c>
      <c r="S37" s="12">
        <f ca="1">IFERROR(__xludf.DUMMYFUNCTION("""COMPUTED_VALUE"""),64)</f>
        <v>64</v>
      </c>
      <c r="T37" s="12">
        <f ca="1">IFERROR(__xludf.DUMMYFUNCTION("""COMPUTED_VALUE"""),81)</f>
        <v>81</v>
      </c>
      <c r="U37" s="12">
        <f ca="1">IFERROR(__xludf.DUMMYFUNCTION("""COMPUTED_VALUE"""),78)</f>
        <v>78</v>
      </c>
    </row>
    <row r="38" spans="1:21" x14ac:dyDescent="0.25">
      <c r="A38" s="11">
        <f ca="1">IFERROR(__xludf.DUMMYFUNCTION("""COMPUTED_VALUE"""),43926)</f>
        <v>43926</v>
      </c>
      <c r="B38" s="12">
        <f ca="1">IFERROR(__xludf.DUMMYFUNCTION("""COMPUTED_VALUE"""),2273)</f>
        <v>2273</v>
      </c>
      <c r="C38" s="12">
        <f ca="1">IFERROR(__xludf.DUMMYFUNCTION("""COMPUTED_VALUE"""),1911)</f>
        <v>1911</v>
      </c>
      <c r="D38" s="12">
        <f ca="1">IFERROR(__xludf.DUMMYFUNCTION("""COMPUTED_VALUE"""),164)</f>
        <v>164</v>
      </c>
      <c r="E38" s="12">
        <f ca="1">IFERROR(__xludf.DUMMYFUNCTION("""COMPUTED_VALUE"""),198)</f>
        <v>198</v>
      </c>
      <c r="F38" s="12">
        <f ca="1">IFERROR(__xludf.DUMMYFUNCTION("""COMPUTED_VALUE"""),123)</f>
        <v>123</v>
      </c>
      <c r="G38" s="12">
        <f ca="1">IFERROR(__xludf.DUMMYFUNCTION("""COMPUTED_VALUE"""),64)</f>
        <v>64</v>
      </c>
      <c r="H38" s="12">
        <f ca="1">IFERROR(__xludf.DUMMYFUNCTION("""COMPUTED_VALUE"""),279)</f>
        <v>279</v>
      </c>
      <c r="I38" s="12">
        <f ca="1">IFERROR(__xludf.DUMMYFUNCTION("""COMPUTED_VALUE"""),685)</f>
        <v>685</v>
      </c>
      <c r="J38" s="12">
        <f ca="1">IFERROR(__xludf.DUMMYFUNCTION("""COMPUTED_VALUE"""),1151)</f>
        <v>1151</v>
      </c>
      <c r="K38" s="12">
        <f ca="1">IFERROR(__xludf.DUMMYFUNCTION("""COMPUTED_VALUE"""),964)</f>
        <v>964</v>
      </c>
      <c r="L38" s="12">
        <f ca="1">IFERROR(__xludf.DUMMYFUNCTION("""COMPUTED_VALUE"""),181)</f>
        <v>181</v>
      </c>
      <c r="M38" s="12">
        <f ca="1">IFERROR(__xludf.DUMMYFUNCTION("""COMPUTED_VALUE"""),160)</f>
        <v>160</v>
      </c>
      <c r="N38" s="12">
        <f ca="1">IFERROR(__xludf.DUMMYFUNCTION("""COMPUTED_VALUE"""),14)</f>
        <v>14</v>
      </c>
      <c r="O38" s="12">
        <f ca="1">IFERROR(__xludf.DUMMYFUNCTION("""COMPUTED_VALUE"""),7)</f>
        <v>7</v>
      </c>
      <c r="P38" s="12">
        <f ca="1">IFERROR(__xludf.DUMMYFUNCTION("""COMPUTED_VALUE"""),24)</f>
        <v>24</v>
      </c>
      <c r="Q38" s="12">
        <f ca="1">IFERROR(__xludf.DUMMYFUNCTION("""COMPUTED_VALUE"""),6)</f>
        <v>6</v>
      </c>
      <c r="R38" s="12">
        <f ca="1">IFERROR(__xludf.DUMMYFUNCTION("""COMPUTED_VALUE"""),56)</f>
        <v>56</v>
      </c>
      <c r="S38" s="12">
        <f ca="1">IFERROR(__xludf.DUMMYFUNCTION("""COMPUTED_VALUE"""),-6)</f>
        <v>-6</v>
      </c>
      <c r="T38" s="12">
        <f ca="1">IFERROR(__xludf.DUMMYFUNCTION("""COMPUTED_VALUE"""),80)</f>
        <v>80</v>
      </c>
      <c r="U38" s="12">
        <f ca="1">IFERROR(__xludf.DUMMYFUNCTION("""COMPUTED_VALUE"""),50)</f>
        <v>50</v>
      </c>
    </row>
    <row r="39" spans="1:21" x14ac:dyDescent="0.25">
      <c r="A39" s="11">
        <f ca="1">IFERROR(__xludf.DUMMYFUNCTION("""COMPUTED_VALUE"""),43927)</f>
        <v>43927</v>
      </c>
      <c r="B39" s="12">
        <f ca="1">IFERROR(__xludf.DUMMYFUNCTION("""COMPUTED_VALUE"""),2491)</f>
        <v>2491</v>
      </c>
      <c r="C39" s="12">
        <f ca="1">IFERROR(__xludf.DUMMYFUNCTION("""COMPUTED_VALUE"""),2090)</f>
        <v>2090</v>
      </c>
      <c r="D39" s="12">
        <f ca="1">IFERROR(__xludf.DUMMYFUNCTION("""COMPUTED_VALUE"""),192)</f>
        <v>192</v>
      </c>
      <c r="E39" s="12">
        <f ca="1">IFERROR(__xludf.DUMMYFUNCTION("""COMPUTED_VALUE"""),209)</f>
        <v>209</v>
      </c>
      <c r="F39" s="12">
        <f ca="1">IFERROR(__xludf.DUMMYFUNCTION("""COMPUTED_VALUE"""),131)</f>
        <v>131</v>
      </c>
      <c r="G39" s="12">
        <f ca="1">IFERROR(__xludf.DUMMYFUNCTION("""COMPUTED_VALUE"""),68)</f>
        <v>68</v>
      </c>
      <c r="H39" s="12">
        <f ca="1">IFERROR(__xludf.DUMMYFUNCTION("""COMPUTED_VALUE"""),317)</f>
        <v>317</v>
      </c>
      <c r="I39" s="12">
        <f ca="1">IFERROR(__xludf.DUMMYFUNCTION("""COMPUTED_VALUE"""),783)</f>
        <v>783</v>
      </c>
      <c r="J39" s="12">
        <f ca="1">IFERROR(__xludf.DUMMYFUNCTION("""COMPUTED_VALUE"""),1299)</f>
        <v>1299</v>
      </c>
      <c r="K39" s="12">
        <f ca="1">IFERROR(__xludf.DUMMYFUNCTION("""COMPUTED_VALUE"""),1100)</f>
        <v>1100</v>
      </c>
      <c r="L39" s="12">
        <f ca="1">IFERROR(__xludf.DUMMYFUNCTION("""COMPUTED_VALUE"""),218)</f>
        <v>218</v>
      </c>
      <c r="M39" s="12">
        <f ca="1">IFERROR(__xludf.DUMMYFUNCTION("""COMPUTED_VALUE"""),179)</f>
        <v>179</v>
      </c>
      <c r="N39" s="12">
        <f ca="1">IFERROR(__xludf.DUMMYFUNCTION("""COMPUTED_VALUE"""),28)</f>
        <v>28</v>
      </c>
      <c r="O39" s="12">
        <f ca="1">IFERROR(__xludf.DUMMYFUNCTION("""COMPUTED_VALUE"""),11)</f>
        <v>11</v>
      </c>
      <c r="P39" s="12">
        <f ca="1">IFERROR(__xludf.DUMMYFUNCTION("""COMPUTED_VALUE"""),8)</f>
        <v>8</v>
      </c>
      <c r="Q39" s="12">
        <f ca="1">IFERROR(__xludf.DUMMYFUNCTION("""COMPUTED_VALUE"""),4)</f>
        <v>4</v>
      </c>
      <c r="R39" s="12">
        <f ca="1">IFERROR(__xludf.DUMMYFUNCTION("""COMPUTED_VALUE"""),38)</f>
        <v>38</v>
      </c>
      <c r="S39" s="12">
        <f ca="1">IFERROR(__xludf.DUMMYFUNCTION("""COMPUTED_VALUE"""),98)</f>
        <v>98</v>
      </c>
      <c r="T39" s="12">
        <f ca="1">IFERROR(__xludf.DUMMYFUNCTION("""COMPUTED_VALUE"""),148)</f>
        <v>148</v>
      </c>
      <c r="U39" s="12">
        <f ca="1">IFERROR(__xludf.DUMMYFUNCTION("""COMPUTED_VALUE"""),136)</f>
        <v>136</v>
      </c>
    </row>
    <row r="40" spans="1:21" x14ac:dyDescent="0.25">
      <c r="A40" s="11">
        <f ca="1">IFERROR(__xludf.DUMMYFUNCTION("""COMPUTED_VALUE"""),43928)</f>
        <v>43928</v>
      </c>
      <c r="B40" s="12">
        <f ca="1">IFERROR(__xludf.DUMMYFUNCTION("""COMPUTED_VALUE"""),2738)</f>
        <v>2738</v>
      </c>
      <c r="C40" s="12">
        <f ca="1">IFERROR(__xludf.DUMMYFUNCTION("""COMPUTED_VALUE"""),2313)</f>
        <v>2313</v>
      </c>
      <c r="D40" s="12">
        <f ca="1">IFERROR(__xludf.DUMMYFUNCTION("""COMPUTED_VALUE"""),204)</f>
        <v>204</v>
      </c>
      <c r="E40" s="12">
        <f ca="1">IFERROR(__xludf.DUMMYFUNCTION("""COMPUTED_VALUE"""),221)</f>
        <v>221</v>
      </c>
      <c r="F40" s="12">
        <f ca="1">IFERROR(__xludf.DUMMYFUNCTION("""COMPUTED_VALUE"""),141)</f>
        <v>141</v>
      </c>
      <c r="G40" s="12">
        <f ca="1">IFERROR(__xludf.DUMMYFUNCTION("""COMPUTED_VALUE"""),69)</f>
        <v>69</v>
      </c>
      <c r="H40" s="12">
        <f ca="1">IFERROR(__xludf.DUMMYFUNCTION("""COMPUTED_VALUE"""),338)</f>
        <v>338</v>
      </c>
      <c r="I40" s="12">
        <f ca="1">IFERROR(__xludf.DUMMYFUNCTION("""COMPUTED_VALUE"""),895)</f>
        <v>895</v>
      </c>
      <c r="J40" s="12">
        <f ca="1">IFERROR(__xludf.DUMMYFUNCTION("""COMPUTED_VALUE"""),1443)</f>
        <v>1443</v>
      </c>
      <c r="K40" s="12">
        <f ca="1">IFERROR(__xludf.DUMMYFUNCTION("""COMPUTED_VALUE"""),1233)</f>
        <v>1233</v>
      </c>
      <c r="L40" s="12">
        <f ca="1">IFERROR(__xludf.DUMMYFUNCTION("""COMPUTED_VALUE"""),247)</f>
        <v>247</v>
      </c>
      <c r="M40" s="12">
        <f ca="1">IFERROR(__xludf.DUMMYFUNCTION("""COMPUTED_VALUE"""),223)</f>
        <v>223</v>
      </c>
      <c r="N40" s="12">
        <f ca="1">IFERROR(__xludf.DUMMYFUNCTION("""COMPUTED_VALUE"""),12)</f>
        <v>12</v>
      </c>
      <c r="O40" s="12">
        <f ca="1">IFERROR(__xludf.DUMMYFUNCTION("""COMPUTED_VALUE"""),12)</f>
        <v>12</v>
      </c>
      <c r="P40" s="12">
        <f ca="1">IFERROR(__xludf.DUMMYFUNCTION("""COMPUTED_VALUE"""),10)</f>
        <v>10</v>
      </c>
      <c r="Q40" s="12">
        <f ca="1">IFERROR(__xludf.DUMMYFUNCTION("""COMPUTED_VALUE"""),1)</f>
        <v>1</v>
      </c>
      <c r="R40" s="12">
        <f ca="1">IFERROR(__xludf.DUMMYFUNCTION("""COMPUTED_VALUE"""),21)</f>
        <v>21</v>
      </c>
      <c r="S40" s="12">
        <f ca="1">IFERROR(__xludf.DUMMYFUNCTION("""COMPUTED_VALUE"""),112)</f>
        <v>112</v>
      </c>
      <c r="T40" s="12">
        <f ca="1">IFERROR(__xludf.DUMMYFUNCTION("""COMPUTED_VALUE"""),144)</f>
        <v>144</v>
      </c>
      <c r="U40" s="12">
        <f ca="1">IFERROR(__xludf.DUMMYFUNCTION("""COMPUTED_VALUE"""),133)</f>
        <v>133</v>
      </c>
    </row>
    <row r="41" spans="1:21" x14ac:dyDescent="0.25">
      <c r="A41" s="11">
        <f ca="1">IFERROR(__xludf.DUMMYFUNCTION("""COMPUTED_VALUE"""),43929)</f>
        <v>43929</v>
      </c>
      <c r="B41" s="12">
        <f ca="1">IFERROR(__xludf.DUMMYFUNCTION("""COMPUTED_VALUE"""),2956)</f>
        <v>2956</v>
      </c>
      <c r="C41" s="12">
        <f ca="1">IFERROR(__xludf.DUMMYFUNCTION("""COMPUTED_VALUE"""),2494)</f>
        <v>2494</v>
      </c>
      <c r="D41" s="12">
        <f ca="1">IFERROR(__xludf.DUMMYFUNCTION("""COMPUTED_VALUE"""),222)</f>
        <v>222</v>
      </c>
      <c r="E41" s="12">
        <f ca="1">IFERROR(__xludf.DUMMYFUNCTION("""COMPUTED_VALUE"""),240)</f>
        <v>240</v>
      </c>
      <c r="F41" s="12">
        <f ca="1">IFERROR(__xludf.DUMMYFUNCTION("""COMPUTED_VALUE"""),144)</f>
        <v>144</v>
      </c>
      <c r="G41" s="12">
        <f ca="1">IFERROR(__xludf.DUMMYFUNCTION("""COMPUTED_VALUE"""),75)</f>
        <v>75</v>
      </c>
      <c r="H41" s="12">
        <f ca="1">IFERROR(__xludf.DUMMYFUNCTION("""COMPUTED_VALUE"""),357)</f>
        <v>357</v>
      </c>
      <c r="I41" s="12">
        <f ca="1">IFERROR(__xludf.DUMMYFUNCTION("""COMPUTED_VALUE"""),976)</f>
        <v>976</v>
      </c>
      <c r="J41" s="12">
        <f ca="1">IFERROR(__xludf.DUMMYFUNCTION("""COMPUTED_VALUE"""),1552)</f>
        <v>1552</v>
      </c>
      <c r="K41" s="12">
        <f ca="1">IFERROR(__xludf.DUMMYFUNCTION("""COMPUTED_VALUE"""),1333)</f>
        <v>1333</v>
      </c>
      <c r="L41" s="12">
        <f ca="1">IFERROR(__xludf.DUMMYFUNCTION("""COMPUTED_VALUE"""),218)</f>
        <v>218</v>
      </c>
      <c r="M41" s="12">
        <f ca="1">IFERROR(__xludf.DUMMYFUNCTION("""COMPUTED_VALUE"""),181)</f>
        <v>181</v>
      </c>
      <c r="N41" s="12">
        <f ca="1">IFERROR(__xludf.DUMMYFUNCTION("""COMPUTED_VALUE"""),18)</f>
        <v>18</v>
      </c>
      <c r="O41" s="12">
        <f ca="1">IFERROR(__xludf.DUMMYFUNCTION("""COMPUTED_VALUE"""),19)</f>
        <v>19</v>
      </c>
      <c r="P41" s="12">
        <f ca="1">IFERROR(__xludf.DUMMYFUNCTION("""COMPUTED_VALUE"""),3)</f>
        <v>3</v>
      </c>
      <c r="Q41" s="12">
        <f ca="1">IFERROR(__xludf.DUMMYFUNCTION("""COMPUTED_VALUE"""),6)</f>
        <v>6</v>
      </c>
      <c r="R41" s="12">
        <f ca="1">IFERROR(__xludf.DUMMYFUNCTION("""COMPUTED_VALUE"""),19)</f>
        <v>19</v>
      </c>
      <c r="S41" s="12">
        <f ca="1">IFERROR(__xludf.DUMMYFUNCTION("""COMPUTED_VALUE"""),81)</f>
        <v>81</v>
      </c>
      <c r="T41" s="12">
        <f ca="1">IFERROR(__xludf.DUMMYFUNCTION("""COMPUTED_VALUE"""),109)</f>
        <v>109</v>
      </c>
      <c r="U41" s="12">
        <f ca="1">IFERROR(__xludf.DUMMYFUNCTION("""COMPUTED_VALUE"""),100)</f>
        <v>100</v>
      </c>
    </row>
    <row r="42" spans="1:21" x14ac:dyDescent="0.25">
      <c r="A42" s="11">
        <f ca="1">IFERROR(__xludf.DUMMYFUNCTION("""COMPUTED_VALUE"""),43930)</f>
        <v>43930</v>
      </c>
      <c r="B42" s="12">
        <f ca="1">IFERROR(__xludf.DUMMYFUNCTION("""COMPUTED_VALUE"""),3293)</f>
        <v>3293</v>
      </c>
      <c r="C42" s="12">
        <f ca="1">IFERROR(__xludf.DUMMYFUNCTION("""COMPUTED_VALUE"""),2761)</f>
        <v>2761</v>
      </c>
      <c r="D42" s="12">
        <f ca="1">IFERROR(__xludf.DUMMYFUNCTION("""COMPUTED_VALUE"""),252)</f>
        <v>252</v>
      </c>
      <c r="E42" s="12">
        <f ca="1">IFERROR(__xludf.DUMMYFUNCTION("""COMPUTED_VALUE"""),280)</f>
        <v>280</v>
      </c>
      <c r="F42" s="12">
        <f ca="1">IFERROR(__xludf.DUMMYFUNCTION("""COMPUTED_VALUE"""),155)</f>
        <v>155</v>
      </c>
      <c r="G42" s="12">
        <f ca="1">IFERROR(__xludf.DUMMYFUNCTION("""COMPUTED_VALUE"""),82)</f>
        <v>82</v>
      </c>
      <c r="H42" s="12">
        <f ca="1">IFERROR(__xludf.DUMMYFUNCTION("""COMPUTED_VALUE"""),405)</f>
        <v>405</v>
      </c>
      <c r="I42" s="12">
        <f ca="1">IFERROR(__xludf.DUMMYFUNCTION("""COMPUTED_VALUE"""),1077)</f>
        <v>1077</v>
      </c>
      <c r="J42" s="12">
        <f ca="1">IFERROR(__xludf.DUMMYFUNCTION("""COMPUTED_VALUE"""),1719)</f>
        <v>1719</v>
      </c>
      <c r="K42" s="12">
        <f ca="1">IFERROR(__xludf.DUMMYFUNCTION("""COMPUTED_VALUE"""),1482)</f>
        <v>1482</v>
      </c>
      <c r="L42" s="12">
        <f ca="1">IFERROR(__xludf.DUMMYFUNCTION("""COMPUTED_VALUE"""),337)</f>
        <v>337</v>
      </c>
      <c r="M42" s="12">
        <f ca="1">IFERROR(__xludf.DUMMYFUNCTION("""COMPUTED_VALUE"""),267)</f>
        <v>267</v>
      </c>
      <c r="N42" s="12">
        <f ca="1">IFERROR(__xludf.DUMMYFUNCTION("""COMPUTED_VALUE"""),30)</f>
        <v>30</v>
      </c>
      <c r="O42" s="12">
        <f ca="1">IFERROR(__xludf.DUMMYFUNCTION("""COMPUTED_VALUE"""),40)</f>
        <v>40</v>
      </c>
      <c r="P42" s="12">
        <f ca="1">IFERROR(__xludf.DUMMYFUNCTION("""COMPUTED_VALUE"""),11)</f>
        <v>11</v>
      </c>
      <c r="Q42" s="12">
        <f ca="1">IFERROR(__xludf.DUMMYFUNCTION("""COMPUTED_VALUE"""),7)</f>
        <v>7</v>
      </c>
      <c r="R42" s="12">
        <f ca="1">IFERROR(__xludf.DUMMYFUNCTION("""COMPUTED_VALUE"""),48)</f>
        <v>48</v>
      </c>
      <c r="S42" s="12">
        <f ca="1">IFERROR(__xludf.DUMMYFUNCTION("""COMPUTED_VALUE"""),101)</f>
        <v>101</v>
      </c>
      <c r="T42" s="12">
        <f ca="1">IFERROR(__xludf.DUMMYFUNCTION("""COMPUTED_VALUE"""),167)</f>
        <v>167</v>
      </c>
      <c r="U42" s="12">
        <f ca="1">IFERROR(__xludf.DUMMYFUNCTION("""COMPUTED_VALUE"""),149)</f>
        <v>149</v>
      </c>
    </row>
    <row r="43" spans="1:21" x14ac:dyDescent="0.25">
      <c r="A43" s="11">
        <f ca="1">IFERROR(__xludf.DUMMYFUNCTION("""COMPUTED_VALUE"""),43931)</f>
        <v>43931</v>
      </c>
      <c r="B43" s="12">
        <f ca="1">IFERROR(__xludf.DUMMYFUNCTION("""COMPUTED_VALUE"""),3512)</f>
        <v>3512</v>
      </c>
      <c r="C43" s="12">
        <f ca="1">IFERROR(__xludf.DUMMYFUNCTION("""COMPUTED_VALUE"""),2924)</f>
        <v>2924</v>
      </c>
      <c r="D43" s="12">
        <f ca="1">IFERROR(__xludf.DUMMYFUNCTION("""COMPUTED_VALUE"""),282)</f>
        <v>282</v>
      </c>
      <c r="E43" s="12">
        <f ca="1">IFERROR(__xludf.DUMMYFUNCTION("""COMPUTED_VALUE"""),306)</f>
        <v>306</v>
      </c>
      <c r="F43" s="12">
        <f ca="1">IFERROR(__xludf.DUMMYFUNCTION("""COMPUTED_VALUE"""),156)</f>
        <v>156</v>
      </c>
      <c r="G43" s="12">
        <f ca="1">IFERROR(__xludf.DUMMYFUNCTION("""COMPUTED_VALUE"""),82)</f>
        <v>82</v>
      </c>
      <c r="H43" s="12">
        <f ca="1">IFERROR(__xludf.DUMMYFUNCTION("""COMPUTED_VALUE"""),433)</f>
        <v>433</v>
      </c>
      <c r="I43" s="12">
        <f ca="1">IFERROR(__xludf.DUMMYFUNCTION("""COMPUTED_VALUE"""),1139)</f>
        <v>1139</v>
      </c>
      <c r="J43" s="12">
        <f ca="1">IFERROR(__xludf.DUMMYFUNCTION("""COMPUTED_VALUE"""),1810)</f>
        <v>1810</v>
      </c>
      <c r="K43" s="12">
        <f ca="1">IFERROR(__xludf.DUMMYFUNCTION("""COMPUTED_VALUE"""),1572)</f>
        <v>1572</v>
      </c>
      <c r="L43" s="12">
        <f ca="1">IFERROR(__xludf.DUMMYFUNCTION("""COMPUTED_VALUE"""),219)</f>
        <v>219</v>
      </c>
      <c r="M43" s="12">
        <f ca="1">IFERROR(__xludf.DUMMYFUNCTION("""COMPUTED_VALUE"""),163)</f>
        <v>163</v>
      </c>
      <c r="N43" s="12">
        <f ca="1">IFERROR(__xludf.DUMMYFUNCTION("""COMPUTED_VALUE"""),30)</f>
        <v>30</v>
      </c>
      <c r="O43" s="12">
        <f ca="1">IFERROR(__xludf.DUMMYFUNCTION("""COMPUTED_VALUE"""),26)</f>
        <v>26</v>
      </c>
      <c r="P43" s="12">
        <f ca="1">IFERROR(__xludf.DUMMYFUNCTION("""COMPUTED_VALUE"""),1)</f>
        <v>1</v>
      </c>
      <c r="Q43" s="12">
        <f ca="1">IFERROR(__xludf.DUMMYFUNCTION("""COMPUTED_VALUE"""),0)</f>
        <v>0</v>
      </c>
      <c r="R43" s="12">
        <f ca="1">IFERROR(__xludf.DUMMYFUNCTION("""COMPUTED_VALUE"""),28)</f>
        <v>28</v>
      </c>
      <c r="S43" s="12">
        <f ca="1">IFERROR(__xludf.DUMMYFUNCTION("""COMPUTED_VALUE"""),62)</f>
        <v>62</v>
      </c>
      <c r="T43" s="12">
        <f ca="1">IFERROR(__xludf.DUMMYFUNCTION("""COMPUTED_VALUE"""),91)</f>
        <v>91</v>
      </c>
      <c r="U43" s="12">
        <f ca="1">IFERROR(__xludf.DUMMYFUNCTION("""COMPUTED_VALUE"""),90)</f>
        <v>90</v>
      </c>
    </row>
    <row r="44" spans="1:21" x14ac:dyDescent="0.25">
      <c r="A44" s="11">
        <f ca="1">IFERROR(__xludf.DUMMYFUNCTION("""COMPUTED_VALUE"""),43932)</f>
        <v>43932</v>
      </c>
      <c r="B44" s="12">
        <f ca="1">IFERROR(__xludf.DUMMYFUNCTION("""COMPUTED_VALUE"""),3842)</f>
        <v>3842</v>
      </c>
      <c r="C44" s="12">
        <f ca="1">IFERROR(__xludf.DUMMYFUNCTION("""COMPUTED_VALUE"""),3229)</f>
        <v>3229</v>
      </c>
      <c r="D44" s="12">
        <f ca="1">IFERROR(__xludf.DUMMYFUNCTION("""COMPUTED_VALUE"""),286)</f>
        <v>286</v>
      </c>
      <c r="E44" s="12">
        <f ca="1">IFERROR(__xludf.DUMMYFUNCTION("""COMPUTED_VALUE"""),327)</f>
        <v>327</v>
      </c>
      <c r="F44" s="12">
        <f ca="1">IFERROR(__xludf.DUMMYFUNCTION("""COMPUTED_VALUE"""),168)</f>
        <v>168</v>
      </c>
      <c r="G44" s="12">
        <f ca="1">IFERROR(__xludf.DUMMYFUNCTION("""COMPUTED_VALUE"""),142)</f>
        <v>142</v>
      </c>
      <c r="H44" s="12">
        <f ca="1">IFERROR(__xludf.DUMMYFUNCTION("""COMPUTED_VALUE"""),441)</f>
        <v>441</v>
      </c>
      <c r="I44" s="12">
        <f ca="1">IFERROR(__xludf.DUMMYFUNCTION("""COMPUTED_VALUE"""),1152)</f>
        <v>1152</v>
      </c>
      <c r="J44" s="12">
        <f ca="1">IFERROR(__xludf.DUMMYFUNCTION("""COMPUTED_VALUE"""),1903)</f>
        <v>1903</v>
      </c>
      <c r="K44" s="12">
        <f ca="1">IFERROR(__xludf.DUMMYFUNCTION("""COMPUTED_VALUE"""),1593)</f>
        <v>1593</v>
      </c>
      <c r="L44" s="12">
        <f ca="1">IFERROR(__xludf.DUMMYFUNCTION("""COMPUTED_VALUE"""),330)</f>
        <v>330</v>
      </c>
      <c r="M44" s="12">
        <f ca="1">IFERROR(__xludf.DUMMYFUNCTION("""COMPUTED_VALUE"""),305)</f>
        <v>305</v>
      </c>
      <c r="N44" s="12">
        <f ca="1">IFERROR(__xludf.DUMMYFUNCTION("""COMPUTED_VALUE"""),4)</f>
        <v>4</v>
      </c>
      <c r="O44" s="12">
        <f ca="1">IFERROR(__xludf.DUMMYFUNCTION("""COMPUTED_VALUE"""),21)</f>
        <v>21</v>
      </c>
      <c r="P44" s="12">
        <f ca="1">IFERROR(__xludf.DUMMYFUNCTION("""COMPUTED_VALUE"""),12)</f>
        <v>12</v>
      </c>
      <c r="Q44" s="12">
        <f ca="1">IFERROR(__xludf.DUMMYFUNCTION("""COMPUTED_VALUE"""),60)</f>
        <v>60</v>
      </c>
      <c r="R44" s="12">
        <f ca="1">IFERROR(__xludf.DUMMYFUNCTION("""COMPUTED_VALUE"""),8)</f>
        <v>8</v>
      </c>
      <c r="S44" s="12">
        <f ca="1">IFERROR(__xludf.DUMMYFUNCTION("""COMPUTED_VALUE"""),13)</f>
        <v>13</v>
      </c>
      <c r="T44" s="12">
        <f ca="1">IFERROR(__xludf.DUMMYFUNCTION("""COMPUTED_VALUE"""),93)</f>
        <v>93</v>
      </c>
      <c r="U44" s="12">
        <f ca="1">IFERROR(__xludf.DUMMYFUNCTION("""COMPUTED_VALUE"""),21)</f>
        <v>21</v>
      </c>
    </row>
    <row r="45" spans="1:21" x14ac:dyDescent="0.25">
      <c r="A45" s="11">
        <f ca="1">IFERROR(__xludf.DUMMYFUNCTION("""COMPUTED_VALUE"""),43933)</f>
        <v>43933</v>
      </c>
      <c r="B45" s="12">
        <f ca="1">IFERROR(__xludf.DUMMYFUNCTION("""COMPUTED_VALUE"""),4241)</f>
        <v>4241</v>
      </c>
      <c r="C45" s="12">
        <f ca="1">IFERROR(__xludf.DUMMYFUNCTION("""COMPUTED_VALUE"""),3509)</f>
        <v>3509</v>
      </c>
      <c r="D45" s="12">
        <f ca="1">IFERROR(__xludf.DUMMYFUNCTION("""COMPUTED_VALUE"""),359)</f>
        <v>359</v>
      </c>
      <c r="E45" s="12">
        <f ca="1">IFERROR(__xludf.DUMMYFUNCTION("""COMPUTED_VALUE"""),373)</f>
        <v>373</v>
      </c>
      <c r="F45" s="12">
        <f ca="1">IFERROR(__xludf.DUMMYFUNCTION("""COMPUTED_VALUE"""),195)</f>
        <v>195</v>
      </c>
      <c r="G45" s="12">
        <f ca="1">IFERROR(__xludf.DUMMYFUNCTION("""COMPUTED_VALUE"""),142)</f>
        <v>142</v>
      </c>
      <c r="H45" s="12">
        <f ca="1">IFERROR(__xludf.DUMMYFUNCTION("""COMPUTED_VALUE"""),468)</f>
        <v>468</v>
      </c>
      <c r="I45" s="12">
        <f ca="1">IFERROR(__xludf.DUMMYFUNCTION("""COMPUTED_VALUE"""),1277)</f>
        <v>1277</v>
      </c>
      <c r="J45" s="12">
        <f ca="1">IFERROR(__xludf.DUMMYFUNCTION("""COMPUTED_VALUE"""),2082)</f>
        <v>2082</v>
      </c>
      <c r="K45" s="12">
        <f ca="1">IFERROR(__xludf.DUMMYFUNCTION("""COMPUTED_VALUE"""),1745)</f>
        <v>1745</v>
      </c>
      <c r="L45" s="12">
        <f ca="1">IFERROR(__xludf.DUMMYFUNCTION("""COMPUTED_VALUE"""),399)</f>
        <v>399</v>
      </c>
      <c r="M45" s="12">
        <f ca="1">IFERROR(__xludf.DUMMYFUNCTION("""COMPUTED_VALUE"""),280)</f>
        <v>280</v>
      </c>
      <c r="N45" s="12">
        <f ca="1">IFERROR(__xludf.DUMMYFUNCTION("""COMPUTED_VALUE"""),73)</f>
        <v>73</v>
      </c>
      <c r="O45" s="12">
        <f ca="1">IFERROR(__xludf.DUMMYFUNCTION("""COMPUTED_VALUE"""),46)</f>
        <v>46</v>
      </c>
      <c r="P45" s="12">
        <f ca="1">IFERROR(__xludf.DUMMYFUNCTION("""COMPUTED_VALUE"""),27)</f>
        <v>27</v>
      </c>
      <c r="Q45" s="12">
        <f ca="1">IFERROR(__xludf.DUMMYFUNCTION("""COMPUTED_VALUE"""),0)</f>
        <v>0</v>
      </c>
      <c r="R45" s="12">
        <f ca="1">IFERROR(__xludf.DUMMYFUNCTION("""COMPUTED_VALUE"""),27)</f>
        <v>27</v>
      </c>
      <c r="S45" s="12">
        <f ca="1">IFERROR(__xludf.DUMMYFUNCTION("""COMPUTED_VALUE"""),125)</f>
        <v>125</v>
      </c>
      <c r="T45" s="12">
        <f ca="1">IFERROR(__xludf.DUMMYFUNCTION("""COMPUTED_VALUE"""),179)</f>
        <v>179</v>
      </c>
      <c r="U45" s="12">
        <f ca="1">IFERROR(__xludf.DUMMYFUNCTION("""COMPUTED_VALUE"""),152)</f>
        <v>152</v>
      </c>
    </row>
    <row r="46" spans="1:21" x14ac:dyDescent="0.25">
      <c r="A46" s="11">
        <f ca="1">IFERROR(__xludf.DUMMYFUNCTION("""COMPUTED_VALUE"""),43934)</f>
        <v>43934</v>
      </c>
      <c r="B46" s="12">
        <f ca="1">IFERROR(__xludf.DUMMYFUNCTION("""COMPUTED_VALUE"""),4557)</f>
        <v>4557</v>
      </c>
      <c r="C46" s="12">
        <f ca="1">IFERROR(__xludf.DUMMYFUNCTION("""COMPUTED_VALUE"""),3778)</f>
        <v>3778</v>
      </c>
      <c r="D46" s="12">
        <f ca="1">IFERROR(__xludf.DUMMYFUNCTION("""COMPUTED_VALUE"""),380)</f>
        <v>380</v>
      </c>
      <c r="E46" s="12">
        <f ca="1">IFERROR(__xludf.DUMMYFUNCTION("""COMPUTED_VALUE"""),399)</f>
        <v>399</v>
      </c>
      <c r="F46" s="12">
        <f ca="1">IFERROR(__xludf.DUMMYFUNCTION("""COMPUTED_VALUE"""),209)</f>
        <v>209</v>
      </c>
      <c r="G46" s="12">
        <f ca="1">IFERROR(__xludf.DUMMYFUNCTION("""COMPUTED_VALUE"""),142)</f>
        <v>142</v>
      </c>
      <c r="H46" s="12">
        <f ca="1">IFERROR(__xludf.DUMMYFUNCTION("""COMPUTED_VALUE"""),521)</f>
        <v>521</v>
      </c>
      <c r="I46" s="12">
        <f ca="1">IFERROR(__xludf.DUMMYFUNCTION("""COMPUTED_VALUE"""),1370)</f>
        <v>1370</v>
      </c>
      <c r="J46" s="12">
        <f ca="1">IFERROR(__xludf.DUMMYFUNCTION("""COMPUTED_VALUE"""),2242)</f>
        <v>2242</v>
      </c>
      <c r="K46" s="12">
        <f ca="1">IFERROR(__xludf.DUMMYFUNCTION("""COMPUTED_VALUE"""),1891)</f>
        <v>1891</v>
      </c>
      <c r="L46" s="12">
        <f ca="1">IFERROR(__xludf.DUMMYFUNCTION("""COMPUTED_VALUE"""),316)</f>
        <v>316</v>
      </c>
      <c r="M46" s="12">
        <f ca="1">IFERROR(__xludf.DUMMYFUNCTION("""COMPUTED_VALUE"""),269)</f>
        <v>269</v>
      </c>
      <c r="N46" s="12">
        <f ca="1">IFERROR(__xludf.DUMMYFUNCTION("""COMPUTED_VALUE"""),21)</f>
        <v>21</v>
      </c>
      <c r="O46" s="12">
        <f ca="1">IFERROR(__xludf.DUMMYFUNCTION("""COMPUTED_VALUE"""),26)</f>
        <v>26</v>
      </c>
      <c r="P46" s="12">
        <f ca="1">IFERROR(__xludf.DUMMYFUNCTION("""COMPUTED_VALUE"""),14)</f>
        <v>14</v>
      </c>
      <c r="Q46" s="12">
        <f ca="1">IFERROR(__xludf.DUMMYFUNCTION("""COMPUTED_VALUE"""),0)</f>
        <v>0</v>
      </c>
      <c r="R46" s="12">
        <f ca="1">IFERROR(__xludf.DUMMYFUNCTION("""COMPUTED_VALUE"""),53)</f>
        <v>53</v>
      </c>
      <c r="S46" s="12">
        <f ca="1">IFERROR(__xludf.DUMMYFUNCTION("""COMPUTED_VALUE"""),93)</f>
        <v>93</v>
      </c>
      <c r="T46" s="12">
        <f ca="1">IFERROR(__xludf.DUMMYFUNCTION("""COMPUTED_VALUE"""),160)</f>
        <v>160</v>
      </c>
      <c r="U46" s="12">
        <f ca="1">IFERROR(__xludf.DUMMYFUNCTION("""COMPUTED_VALUE"""),146)</f>
        <v>146</v>
      </c>
    </row>
    <row r="47" spans="1:21" x14ac:dyDescent="0.25">
      <c r="A47" s="11">
        <f ca="1">IFERROR(__xludf.DUMMYFUNCTION("""COMPUTED_VALUE"""),43935)</f>
        <v>43935</v>
      </c>
      <c r="B47" s="12">
        <f ca="1">IFERROR(__xludf.DUMMYFUNCTION("""COMPUTED_VALUE"""),4839)</f>
        <v>4839</v>
      </c>
      <c r="C47" s="12">
        <f ca="1">IFERROR(__xludf.DUMMYFUNCTION("""COMPUTED_VALUE"""),3954)</f>
        <v>3954</v>
      </c>
      <c r="D47" s="12">
        <f ca="1">IFERROR(__xludf.DUMMYFUNCTION("""COMPUTED_VALUE"""),426)</f>
        <v>426</v>
      </c>
      <c r="E47" s="12">
        <f ca="1">IFERROR(__xludf.DUMMYFUNCTION("""COMPUTED_VALUE"""),459)</f>
        <v>459</v>
      </c>
      <c r="F47" s="12">
        <f ca="1">IFERROR(__xludf.DUMMYFUNCTION("""COMPUTED_VALUE"""),243)</f>
        <v>243</v>
      </c>
      <c r="G47" s="12">
        <f ca="1">IFERROR(__xludf.DUMMYFUNCTION("""COMPUTED_VALUE"""),163)</f>
        <v>163</v>
      </c>
      <c r="H47" s="12">
        <f ca="1">IFERROR(__xludf.DUMMYFUNCTION("""COMPUTED_VALUE"""),558)</f>
        <v>558</v>
      </c>
      <c r="I47" s="12">
        <f ca="1">IFERROR(__xludf.DUMMYFUNCTION("""COMPUTED_VALUE"""),1385)</f>
        <v>1385</v>
      </c>
      <c r="J47" s="12">
        <f ca="1">IFERROR(__xludf.DUMMYFUNCTION("""COMPUTED_VALUE"""),2349)</f>
        <v>2349</v>
      </c>
      <c r="K47" s="12">
        <f ca="1">IFERROR(__xludf.DUMMYFUNCTION("""COMPUTED_VALUE"""),1943)</f>
        <v>1943</v>
      </c>
      <c r="L47" s="12">
        <f ca="1">IFERROR(__xludf.DUMMYFUNCTION("""COMPUTED_VALUE"""),282)</f>
        <v>282</v>
      </c>
      <c r="M47" s="12">
        <f ca="1">IFERROR(__xludf.DUMMYFUNCTION("""COMPUTED_VALUE"""),176)</f>
        <v>176</v>
      </c>
      <c r="N47" s="12">
        <f ca="1">IFERROR(__xludf.DUMMYFUNCTION("""COMPUTED_VALUE"""),46)</f>
        <v>46</v>
      </c>
      <c r="O47" s="12">
        <f ca="1">IFERROR(__xludf.DUMMYFUNCTION("""COMPUTED_VALUE"""),60)</f>
        <v>60</v>
      </c>
      <c r="P47" s="12">
        <f ca="1">IFERROR(__xludf.DUMMYFUNCTION("""COMPUTED_VALUE"""),34)</f>
        <v>34</v>
      </c>
      <c r="Q47" s="12">
        <f ca="1">IFERROR(__xludf.DUMMYFUNCTION("""COMPUTED_VALUE"""),21)</f>
        <v>21</v>
      </c>
      <c r="R47" s="12">
        <f ca="1">IFERROR(__xludf.DUMMYFUNCTION("""COMPUTED_VALUE"""),37)</f>
        <v>37</v>
      </c>
      <c r="S47" s="12">
        <f ca="1">IFERROR(__xludf.DUMMYFUNCTION("""COMPUTED_VALUE"""),15)</f>
        <v>15</v>
      </c>
      <c r="T47" s="12">
        <f ca="1">IFERROR(__xludf.DUMMYFUNCTION("""COMPUTED_VALUE"""),107)</f>
        <v>107</v>
      </c>
      <c r="U47" s="12">
        <f ca="1">IFERROR(__xludf.DUMMYFUNCTION("""COMPUTED_VALUE"""),52)</f>
        <v>52</v>
      </c>
    </row>
    <row r="48" spans="1:21" x14ac:dyDescent="0.25">
      <c r="A48" s="11">
        <f ca="1">IFERROR(__xludf.DUMMYFUNCTION("""COMPUTED_VALUE"""),43936)</f>
        <v>43936</v>
      </c>
      <c r="B48" s="12">
        <f ca="1">IFERROR(__xludf.DUMMYFUNCTION("""COMPUTED_VALUE"""),5136)</f>
        <v>5136</v>
      </c>
      <c r="C48" s="12">
        <f ca="1">IFERROR(__xludf.DUMMYFUNCTION("""COMPUTED_VALUE"""),4221)</f>
        <v>4221</v>
      </c>
      <c r="D48" s="12">
        <f ca="1">IFERROR(__xludf.DUMMYFUNCTION("""COMPUTED_VALUE"""),446)</f>
        <v>446</v>
      </c>
      <c r="E48" s="12">
        <f ca="1">IFERROR(__xludf.DUMMYFUNCTION("""COMPUTED_VALUE"""),469)</f>
        <v>469</v>
      </c>
      <c r="F48" s="12">
        <f ca="1">IFERROR(__xludf.DUMMYFUNCTION("""COMPUTED_VALUE"""),246)</f>
        <v>246</v>
      </c>
      <c r="G48" s="12">
        <f ca="1">IFERROR(__xludf.DUMMYFUNCTION("""COMPUTED_VALUE"""),164)</f>
        <v>164</v>
      </c>
      <c r="H48" s="12">
        <f ca="1">IFERROR(__xludf.DUMMYFUNCTION("""COMPUTED_VALUE"""),613)</f>
        <v>613</v>
      </c>
      <c r="I48" s="12">
        <f ca="1">IFERROR(__xludf.DUMMYFUNCTION("""COMPUTED_VALUE"""),1424)</f>
        <v>1424</v>
      </c>
      <c r="J48" s="12">
        <f ca="1">IFERROR(__xludf.DUMMYFUNCTION("""COMPUTED_VALUE"""),2447)</f>
        <v>2447</v>
      </c>
      <c r="K48" s="12">
        <f ca="1">IFERROR(__xludf.DUMMYFUNCTION("""COMPUTED_VALUE"""),2037)</f>
        <v>2037</v>
      </c>
      <c r="L48" s="12">
        <f ca="1">IFERROR(__xludf.DUMMYFUNCTION("""COMPUTED_VALUE"""),297)</f>
        <v>297</v>
      </c>
      <c r="M48" s="12">
        <f ca="1">IFERROR(__xludf.DUMMYFUNCTION("""COMPUTED_VALUE"""),267)</f>
        <v>267</v>
      </c>
      <c r="N48" s="12">
        <f ca="1">IFERROR(__xludf.DUMMYFUNCTION("""COMPUTED_VALUE"""),20)</f>
        <v>20</v>
      </c>
      <c r="O48" s="12">
        <f ca="1">IFERROR(__xludf.DUMMYFUNCTION("""COMPUTED_VALUE"""),10)</f>
        <v>10</v>
      </c>
      <c r="P48" s="12">
        <f ca="1">IFERROR(__xludf.DUMMYFUNCTION("""COMPUTED_VALUE"""),3)</f>
        <v>3</v>
      </c>
      <c r="Q48" s="12">
        <f ca="1">IFERROR(__xludf.DUMMYFUNCTION("""COMPUTED_VALUE"""),1)</f>
        <v>1</v>
      </c>
      <c r="R48" s="12">
        <f ca="1">IFERROR(__xludf.DUMMYFUNCTION("""COMPUTED_VALUE"""),55)</f>
        <v>55</v>
      </c>
      <c r="S48" s="12">
        <f ca="1">IFERROR(__xludf.DUMMYFUNCTION("""COMPUTED_VALUE"""),39)</f>
        <v>39</v>
      </c>
      <c r="T48" s="12">
        <f ca="1">IFERROR(__xludf.DUMMYFUNCTION("""COMPUTED_VALUE"""),98)</f>
        <v>98</v>
      </c>
      <c r="U48" s="12">
        <f ca="1">IFERROR(__xludf.DUMMYFUNCTION("""COMPUTED_VALUE"""),94)</f>
        <v>94</v>
      </c>
    </row>
    <row r="49" spans="1:21" x14ac:dyDescent="0.25">
      <c r="A49" s="11">
        <f ca="1">IFERROR(__xludf.DUMMYFUNCTION("""COMPUTED_VALUE"""),43937)</f>
        <v>43937</v>
      </c>
      <c r="B49" s="12">
        <f ca="1">IFERROR(__xludf.DUMMYFUNCTION("""COMPUTED_VALUE"""),5516)</f>
        <v>5516</v>
      </c>
      <c r="C49" s="12">
        <f ca="1">IFERROR(__xludf.DUMMYFUNCTION("""COMPUTED_VALUE"""),4472)</f>
        <v>4472</v>
      </c>
      <c r="D49" s="12">
        <f ca="1">IFERROR(__xludf.DUMMYFUNCTION("""COMPUTED_VALUE"""),548)</f>
        <v>548</v>
      </c>
      <c r="E49" s="12">
        <f ca="1">IFERROR(__xludf.DUMMYFUNCTION("""COMPUTED_VALUE"""),496)</f>
        <v>496</v>
      </c>
      <c r="F49" s="12">
        <f ca="1">IFERROR(__xludf.DUMMYFUNCTION("""COMPUTED_VALUE"""),248)</f>
        <v>248</v>
      </c>
      <c r="G49" s="12">
        <f ca="1">IFERROR(__xludf.DUMMYFUNCTION("""COMPUTED_VALUE"""),202)</f>
        <v>202</v>
      </c>
      <c r="H49" s="12">
        <f ca="1">IFERROR(__xludf.DUMMYFUNCTION("""COMPUTED_VALUE"""),619)</f>
        <v>619</v>
      </c>
      <c r="I49" s="12">
        <f ca="1">IFERROR(__xludf.DUMMYFUNCTION("""COMPUTED_VALUE"""),1601)</f>
        <v>1601</v>
      </c>
      <c r="J49" s="12">
        <f ca="1">IFERROR(__xludf.DUMMYFUNCTION("""COMPUTED_VALUE"""),2670)</f>
        <v>2670</v>
      </c>
      <c r="K49" s="12">
        <f ca="1">IFERROR(__xludf.DUMMYFUNCTION("""COMPUTED_VALUE"""),2220)</f>
        <v>2220</v>
      </c>
      <c r="L49" s="12">
        <f ca="1">IFERROR(__xludf.DUMMYFUNCTION("""COMPUTED_VALUE"""),380)</f>
        <v>380</v>
      </c>
      <c r="M49" s="12">
        <f ca="1">IFERROR(__xludf.DUMMYFUNCTION("""COMPUTED_VALUE"""),251)</f>
        <v>251</v>
      </c>
      <c r="N49" s="12">
        <f ca="1">IFERROR(__xludf.DUMMYFUNCTION("""COMPUTED_VALUE"""),102)</f>
        <v>102</v>
      </c>
      <c r="O49" s="12">
        <f ca="1">IFERROR(__xludf.DUMMYFUNCTION("""COMPUTED_VALUE"""),27)</f>
        <v>27</v>
      </c>
      <c r="P49" s="12">
        <f ca="1">IFERROR(__xludf.DUMMYFUNCTION("""COMPUTED_VALUE"""),2)</f>
        <v>2</v>
      </c>
      <c r="Q49" s="12">
        <f ca="1">IFERROR(__xludf.DUMMYFUNCTION("""COMPUTED_VALUE"""),38)</f>
        <v>38</v>
      </c>
      <c r="R49" s="12">
        <f ca="1">IFERROR(__xludf.DUMMYFUNCTION("""COMPUTED_VALUE"""),6)</f>
        <v>6</v>
      </c>
      <c r="S49" s="12">
        <f ca="1">IFERROR(__xludf.DUMMYFUNCTION("""COMPUTED_VALUE"""),177)</f>
        <v>177</v>
      </c>
      <c r="T49" s="12">
        <f ca="1">IFERROR(__xludf.DUMMYFUNCTION("""COMPUTED_VALUE"""),223)</f>
        <v>223</v>
      </c>
      <c r="U49" s="12">
        <f ca="1">IFERROR(__xludf.DUMMYFUNCTION("""COMPUTED_VALUE"""),183)</f>
        <v>183</v>
      </c>
    </row>
    <row r="50" spans="1:21" x14ac:dyDescent="0.25">
      <c r="A50" s="11">
        <f ca="1">IFERROR(__xludf.DUMMYFUNCTION("""COMPUTED_VALUE"""),43938)</f>
        <v>43938</v>
      </c>
      <c r="B50" s="12">
        <f ca="1">IFERROR(__xludf.DUMMYFUNCTION("""COMPUTED_VALUE"""),5923)</f>
        <v>5923</v>
      </c>
      <c r="C50" s="12">
        <f ca="1">IFERROR(__xludf.DUMMYFUNCTION("""COMPUTED_VALUE"""),4796)</f>
        <v>4796</v>
      </c>
      <c r="D50" s="12">
        <f ca="1">IFERROR(__xludf.DUMMYFUNCTION("""COMPUTED_VALUE"""),607)</f>
        <v>607</v>
      </c>
      <c r="E50" s="12">
        <f ca="1">IFERROR(__xludf.DUMMYFUNCTION("""COMPUTED_VALUE"""),520)</f>
        <v>520</v>
      </c>
      <c r="F50" s="12">
        <f ca="1">IFERROR(__xludf.DUMMYFUNCTION("""COMPUTED_VALUE"""),250)</f>
        <v>250</v>
      </c>
      <c r="G50" s="12">
        <f ca="1">IFERROR(__xludf.DUMMYFUNCTION("""COMPUTED_VALUE"""),203)</f>
        <v>203</v>
      </c>
      <c r="H50" s="12">
        <f ca="1">IFERROR(__xludf.DUMMYFUNCTION("""COMPUTED_VALUE"""),643)</f>
        <v>643</v>
      </c>
      <c r="I50" s="12">
        <f ca="1">IFERROR(__xludf.DUMMYFUNCTION("""COMPUTED_VALUE"""),1727)</f>
        <v>1727</v>
      </c>
      <c r="J50" s="12">
        <f ca="1">IFERROR(__xludf.DUMMYFUNCTION("""COMPUTED_VALUE"""),2823)</f>
        <v>2823</v>
      </c>
      <c r="K50" s="12">
        <f ca="1">IFERROR(__xludf.DUMMYFUNCTION("""COMPUTED_VALUE"""),2370)</f>
        <v>2370</v>
      </c>
      <c r="L50" s="12">
        <f ca="1">IFERROR(__xludf.DUMMYFUNCTION("""COMPUTED_VALUE"""),407)</f>
        <v>407</v>
      </c>
      <c r="M50" s="12">
        <f ca="1">IFERROR(__xludf.DUMMYFUNCTION("""COMPUTED_VALUE"""),324)</f>
        <v>324</v>
      </c>
      <c r="N50" s="12">
        <f ca="1">IFERROR(__xludf.DUMMYFUNCTION("""COMPUTED_VALUE"""),59)</f>
        <v>59</v>
      </c>
      <c r="O50" s="12">
        <f ca="1">IFERROR(__xludf.DUMMYFUNCTION("""COMPUTED_VALUE"""),24)</f>
        <v>24</v>
      </c>
      <c r="P50" s="12">
        <f ca="1">IFERROR(__xludf.DUMMYFUNCTION("""COMPUTED_VALUE"""),2)</f>
        <v>2</v>
      </c>
      <c r="Q50" s="12">
        <f ca="1">IFERROR(__xludf.DUMMYFUNCTION("""COMPUTED_VALUE"""),1)</f>
        <v>1</v>
      </c>
      <c r="R50" s="12">
        <f ca="1">IFERROR(__xludf.DUMMYFUNCTION("""COMPUTED_VALUE"""),24)</f>
        <v>24</v>
      </c>
      <c r="S50" s="12">
        <f ca="1">IFERROR(__xludf.DUMMYFUNCTION("""COMPUTED_VALUE"""),126)</f>
        <v>126</v>
      </c>
      <c r="T50" s="12">
        <f ca="1">IFERROR(__xludf.DUMMYFUNCTION("""COMPUTED_VALUE"""),153)</f>
        <v>153</v>
      </c>
      <c r="U50" s="12">
        <f ca="1">IFERROR(__xludf.DUMMYFUNCTION("""COMPUTED_VALUE"""),150)</f>
        <v>150</v>
      </c>
    </row>
    <row r="51" spans="1:21" x14ac:dyDescent="0.25">
      <c r="A51" s="11">
        <f ca="1">IFERROR(__xludf.DUMMYFUNCTION("""COMPUTED_VALUE"""),43939)</f>
        <v>43939</v>
      </c>
      <c r="B51" s="12">
        <f ca="1">IFERROR(__xludf.DUMMYFUNCTION("""COMPUTED_VALUE"""),6248)</f>
        <v>6248</v>
      </c>
      <c r="C51" s="12">
        <f ca="1">IFERROR(__xludf.DUMMYFUNCTION("""COMPUTED_VALUE"""),5082)</f>
        <v>5082</v>
      </c>
      <c r="D51" s="12">
        <f ca="1">IFERROR(__xludf.DUMMYFUNCTION("""COMPUTED_VALUE"""),631)</f>
        <v>631</v>
      </c>
      <c r="E51" s="12">
        <f ca="1">IFERROR(__xludf.DUMMYFUNCTION("""COMPUTED_VALUE"""),535)</f>
        <v>535</v>
      </c>
      <c r="F51" s="12">
        <f ca="1">IFERROR(__xludf.DUMMYFUNCTION("""COMPUTED_VALUE"""),257)</f>
        <v>257</v>
      </c>
      <c r="G51" s="12">
        <f ca="1">IFERROR(__xludf.DUMMYFUNCTION("""COMPUTED_VALUE"""),206)</f>
        <v>206</v>
      </c>
      <c r="H51" s="12">
        <f ca="1">IFERROR(__xludf.DUMMYFUNCTION("""COMPUTED_VALUE"""),670)</f>
        <v>670</v>
      </c>
      <c r="I51" s="12">
        <f ca="1">IFERROR(__xludf.DUMMYFUNCTION("""COMPUTED_VALUE"""),1769)</f>
        <v>1769</v>
      </c>
      <c r="J51" s="12">
        <f ca="1">IFERROR(__xludf.DUMMYFUNCTION("""COMPUTED_VALUE"""),2902)</f>
        <v>2902</v>
      </c>
      <c r="K51" s="12">
        <f ca="1">IFERROR(__xludf.DUMMYFUNCTION("""COMPUTED_VALUE"""),2439)</f>
        <v>2439</v>
      </c>
      <c r="L51" s="12">
        <f ca="1">IFERROR(__xludf.DUMMYFUNCTION("""COMPUTED_VALUE"""),325)</f>
        <v>325</v>
      </c>
      <c r="M51" s="12">
        <f ca="1">IFERROR(__xludf.DUMMYFUNCTION("""COMPUTED_VALUE"""),286)</f>
        <v>286</v>
      </c>
      <c r="N51" s="12">
        <f ca="1">IFERROR(__xludf.DUMMYFUNCTION("""COMPUTED_VALUE"""),24)</f>
        <v>24</v>
      </c>
      <c r="O51" s="12">
        <f ca="1">IFERROR(__xludf.DUMMYFUNCTION("""COMPUTED_VALUE"""),15)</f>
        <v>15</v>
      </c>
      <c r="P51" s="12">
        <f ca="1">IFERROR(__xludf.DUMMYFUNCTION("""COMPUTED_VALUE"""),7)</f>
        <v>7</v>
      </c>
      <c r="Q51" s="12">
        <f ca="1">IFERROR(__xludf.DUMMYFUNCTION("""COMPUTED_VALUE"""),3)</f>
        <v>3</v>
      </c>
      <c r="R51" s="12">
        <f ca="1">IFERROR(__xludf.DUMMYFUNCTION("""COMPUTED_VALUE"""),27)</f>
        <v>27</v>
      </c>
      <c r="S51" s="12">
        <f ca="1">IFERROR(__xludf.DUMMYFUNCTION("""COMPUTED_VALUE"""),42)</f>
        <v>42</v>
      </c>
      <c r="T51" s="12">
        <f ca="1">IFERROR(__xludf.DUMMYFUNCTION("""COMPUTED_VALUE"""),79)</f>
        <v>79</v>
      </c>
      <c r="U51" s="12">
        <f ca="1">IFERROR(__xludf.DUMMYFUNCTION("""COMPUTED_VALUE"""),69)</f>
        <v>69</v>
      </c>
    </row>
    <row r="52" spans="1:21" x14ac:dyDescent="0.25">
      <c r="A52" s="11">
        <f ca="1">IFERROR(__xludf.DUMMYFUNCTION("""COMPUTED_VALUE"""),43940)</f>
        <v>43940</v>
      </c>
      <c r="B52" s="12">
        <f ca="1">IFERROR(__xludf.DUMMYFUNCTION("""COMPUTED_VALUE"""),6575)</f>
        <v>6575</v>
      </c>
      <c r="C52" s="12">
        <f ca="1">IFERROR(__xludf.DUMMYFUNCTION("""COMPUTED_VALUE"""),5307)</f>
        <v>5307</v>
      </c>
      <c r="D52" s="12">
        <f ca="1">IFERROR(__xludf.DUMMYFUNCTION("""COMPUTED_VALUE"""),686)</f>
        <v>686</v>
      </c>
      <c r="E52" s="12">
        <f ca="1">IFERROR(__xludf.DUMMYFUNCTION("""COMPUTED_VALUE"""),582)</f>
        <v>582</v>
      </c>
      <c r="F52" s="12">
        <f ca="1">IFERROR(__xludf.DUMMYFUNCTION("""COMPUTED_VALUE"""),292)</f>
        <v>292</v>
      </c>
      <c r="G52" s="12">
        <f ca="1">IFERROR(__xludf.DUMMYFUNCTION("""COMPUTED_VALUE"""),207)</f>
        <v>207</v>
      </c>
      <c r="H52" s="12">
        <f ca="1">IFERROR(__xludf.DUMMYFUNCTION("""COMPUTED_VALUE"""),695)</f>
        <v>695</v>
      </c>
      <c r="I52" s="12">
        <f ca="1">IFERROR(__xludf.DUMMYFUNCTION("""COMPUTED_VALUE"""),1839)</f>
        <v>1839</v>
      </c>
      <c r="J52" s="12">
        <f ca="1">IFERROR(__xludf.DUMMYFUNCTION("""COMPUTED_VALUE"""),3033)</f>
        <v>3033</v>
      </c>
      <c r="K52" s="12">
        <f ca="1">IFERROR(__xludf.DUMMYFUNCTION("""COMPUTED_VALUE"""),2534)</f>
        <v>2534</v>
      </c>
      <c r="L52" s="12">
        <f ca="1">IFERROR(__xludf.DUMMYFUNCTION("""COMPUTED_VALUE"""),327)</f>
        <v>327</v>
      </c>
      <c r="M52" s="12">
        <f ca="1">IFERROR(__xludf.DUMMYFUNCTION("""COMPUTED_VALUE"""),225)</f>
        <v>225</v>
      </c>
      <c r="N52" s="12">
        <f ca="1">IFERROR(__xludf.DUMMYFUNCTION("""COMPUTED_VALUE"""),55)</f>
        <v>55</v>
      </c>
      <c r="O52" s="12">
        <f ca="1">IFERROR(__xludf.DUMMYFUNCTION("""COMPUTED_VALUE"""),47)</f>
        <v>47</v>
      </c>
      <c r="P52" s="12">
        <f ca="1">IFERROR(__xludf.DUMMYFUNCTION("""COMPUTED_VALUE"""),35)</f>
        <v>35</v>
      </c>
      <c r="Q52" s="12">
        <f ca="1">IFERROR(__xludf.DUMMYFUNCTION("""COMPUTED_VALUE"""),1)</f>
        <v>1</v>
      </c>
      <c r="R52" s="12">
        <f ca="1">IFERROR(__xludf.DUMMYFUNCTION("""COMPUTED_VALUE"""),25)</f>
        <v>25</v>
      </c>
      <c r="S52" s="12">
        <f ca="1">IFERROR(__xludf.DUMMYFUNCTION("""COMPUTED_VALUE"""),70)</f>
        <v>70</v>
      </c>
      <c r="T52" s="12">
        <f ca="1">IFERROR(__xludf.DUMMYFUNCTION("""COMPUTED_VALUE"""),131)</f>
        <v>131</v>
      </c>
      <c r="U52" s="12">
        <f ca="1">IFERROR(__xludf.DUMMYFUNCTION("""COMPUTED_VALUE"""),95)</f>
        <v>95</v>
      </c>
    </row>
    <row r="53" spans="1:21" x14ac:dyDescent="0.25">
      <c r="A53" s="11">
        <f ca="1">IFERROR(__xludf.DUMMYFUNCTION("""COMPUTED_VALUE"""),43941)</f>
        <v>43941</v>
      </c>
      <c r="B53" s="12">
        <f ca="1">IFERROR(__xludf.DUMMYFUNCTION("""COMPUTED_VALUE"""),6760)</f>
        <v>6760</v>
      </c>
      <c r="C53" s="12">
        <f ca="1">IFERROR(__xludf.DUMMYFUNCTION("""COMPUTED_VALUE"""),5423)</f>
        <v>5423</v>
      </c>
      <c r="D53" s="12">
        <f ca="1">IFERROR(__xludf.DUMMYFUNCTION("""COMPUTED_VALUE"""),747)</f>
        <v>747</v>
      </c>
      <c r="E53" s="12">
        <f ca="1">IFERROR(__xludf.DUMMYFUNCTION("""COMPUTED_VALUE"""),590)</f>
        <v>590</v>
      </c>
      <c r="F53" s="12">
        <f ca="1">IFERROR(__xludf.DUMMYFUNCTION("""COMPUTED_VALUE"""),297)</f>
        <v>297</v>
      </c>
      <c r="G53" s="12">
        <f ca="1">IFERROR(__xludf.DUMMYFUNCTION("""COMPUTED_VALUE"""),237)</f>
        <v>237</v>
      </c>
      <c r="H53" s="12">
        <f ca="1">IFERROR(__xludf.DUMMYFUNCTION("""COMPUTED_VALUE"""),752)</f>
        <v>752</v>
      </c>
      <c r="I53" s="12">
        <f ca="1">IFERROR(__xludf.DUMMYFUNCTION("""COMPUTED_VALUE"""),1826)</f>
        <v>1826</v>
      </c>
      <c r="J53" s="12">
        <f ca="1">IFERROR(__xludf.DUMMYFUNCTION("""COMPUTED_VALUE"""),3112)</f>
        <v>3112</v>
      </c>
      <c r="K53" s="12">
        <f ca="1">IFERROR(__xludf.DUMMYFUNCTION("""COMPUTED_VALUE"""),2578)</f>
        <v>2578</v>
      </c>
      <c r="L53" s="12">
        <f ca="1">IFERROR(__xludf.DUMMYFUNCTION("""COMPUTED_VALUE"""),185)</f>
        <v>185</v>
      </c>
      <c r="M53" s="12">
        <f ca="1">IFERROR(__xludf.DUMMYFUNCTION("""COMPUTED_VALUE"""),116)</f>
        <v>116</v>
      </c>
      <c r="N53" s="12">
        <f ca="1">IFERROR(__xludf.DUMMYFUNCTION("""COMPUTED_VALUE"""),61)</f>
        <v>61</v>
      </c>
      <c r="O53" s="12">
        <f ca="1">IFERROR(__xludf.DUMMYFUNCTION("""COMPUTED_VALUE"""),8)</f>
        <v>8</v>
      </c>
      <c r="P53" s="12">
        <f ca="1">IFERROR(__xludf.DUMMYFUNCTION("""COMPUTED_VALUE"""),5)</f>
        <v>5</v>
      </c>
      <c r="Q53" s="12">
        <f ca="1">IFERROR(__xludf.DUMMYFUNCTION("""COMPUTED_VALUE"""),30)</f>
        <v>30</v>
      </c>
      <c r="R53" s="12">
        <f ca="1">IFERROR(__xludf.DUMMYFUNCTION("""COMPUTED_VALUE"""),57)</f>
        <v>57</v>
      </c>
      <c r="S53" s="12">
        <f ca="1">IFERROR(__xludf.DUMMYFUNCTION("""COMPUTED_VALUE"""),-13)</f>
        <v>-13</v>
      </c>
      <c r="T53" s="12">
        <f ca="1">IFERROR(__xludf.DUMMYFUNCTION("""COMPUTED_VALUE"""),79)</f>
        <v>79</v>
      </c>
      <c r="U53" s="12">
        <f ca="1">IFERROR(__xludf.DUMMYFUNCTION("""COMPUTED_VALUE"""),44)</f>
        <v>44</v>
      </c>
    </row>
    <row r="54" spans="1:21" x14ac:dyDescent="0.25">
      <c r="A54" s="11">
        <f ca="1">IFERROR(__xludf.DUMMYFUNCTION("""COMPUTED_VALUE"""),43942)</f>
        <v>43942</v>
      </c>
      <c r="B54" s="12">
        <f ca="1">IFERROR(__xludf.DUMMYFUNCTION("""COMPUTED_VALUE"""),7135)</f>
        <v>7135</v>
      </c>
      <c r="C54" s="12">
        <f ca="1">IFERROR(__xludf.DUMMYFUNCTION("""COMPUTED_VALUE"""),5677)</f>
        <v>5677</v>
      </c>
      <c r="D54" s="12">
        <f ca="1">IFERROR(__xludf.DUMMYFUNCTION("""COMPUTED_VALUE"""),842)</f>
        <v>842</v>
      </c>
      <c r="E54" s="12">
        <f ca="1">IFERROR(__xludf.DUMMYFUNCTION("""COMPUTED_VALUE"""),616)</f>
        <v>616</v>
      </c>
      <c r="F54" s="12">
        <f ca="1">IFERROR(__xludf.DUMMYFUNCTION("""COMPUTED_VALUE"""),305)</f>
        <v>305</v>
      </c>
      <c r="G54" s="12">
        <f ca="1">IFERROR(__xludf.DUMMYFUNCTION("""COMPUTED_VALUE"""),286)</f>
        <v>286</v>
      </c>
      <c r="H54" s="12">
        <f ca="1">IFERROR(__xludf.DUMMYFUNCTION("""COMPUTED_VALUE"""),753)</f>
        <v>753</v>
      </c>
      <c r="I54" s="12">
        <f ca="1">IFERROR(__xludf.DUMMYFUNCTION("""COMPUTED_VALUE"""),1935)</f>
        <v>1935</v>
      </c>
      <c r="J54" s="12">
        <f ca="1">IFERROR(__xludf.DUMMYFUNCTION("""COMPUTED_VALUE"""),3279)</f>
        <v>3279</v>
      </c>
      <c r="K54" s="12">
        <f ca="1">IFERROR(__xludf.DUMMYFUNCTION("""COMPUTED_VALUE"""),2688)</f>
        <v>2688</v>
      </c>
      <c r="L54" s="12">
        <f ca="1">IFERROR(__xludf.DUMMYFUNCTION("""COMPUTED_VALUE"""),375)</f>
        <v>375</v>
      </c>
      <c r="M54" s="12">
        <f ca="1">IFERROR(__xludf.DUMMYFUNCTION("""COMPUTED_VALUE"""),254)</f>
        <v>254</v>
      </c>
      <c r="N54" s="12">
        <f ca="1">IFERROR(__xludf.DUMMYFUNCTION("""COMPUTED_VALUE"""),95)</f>
        <v>95</v>
      </c>
      <c r="O54" s="12">
        <f ca="1">IFERROR(__xludf.DUMMYFUNCTION("""COMPUTED_VALUE"""),26)</f>
        <v>26</v>
      </c>
      <c r="P54" s="12">
        <f ca="1">IFERROR(__xludf.DUMMYFUNCTION("""COMPUTED_VALUE"""),8)</f>
        <v>8</v>
      </c>
      <c r="Q54" s="12">
        <f ca="1">IFERROR(__xludf.DUMMYFUNCTION("""COMPUTED_VALUE"""),49)</f>
        <v>49</v>
      </c>
      <c r="R54" s="12">
        <f ca="1">IFERROR(__xludf.DUMMYFUNCTION("""COMPUTED_VALUE"""),1)</f>
        <v>1</v>
      </c>
      <c r="S54" s="12">
        <f ca="1">IFERROR(__xludf.DUMMYFUNCTION("""COMPUTED_VALUE"""),109)</f>
        <v>109</v>
      </c>
      <c r="T54" s="12">
        <f ca="1">IFERROR(__xludf.DUMMYFUNCTION("""COMPUTED_VALUE"""),167)</f>
        <v>167</v>
      </c>
      <c r="U54" s="12">
        <f ca="1">IFERROR(__xludf.DUMMYFUNCTION("""COMPUTED_VALUE"""),110)</f>
        <v>110</v>
      </c>
    </row>
    <row r="55" spans="1:21" x14ac:dyDescent="0.25">
      <c r="A55" s="11">
        <f ca="1">IFERROR(__xludf.DUMMYFUNCTION("""COMPUTED_VALUE"""),43943)</f>
        <v>43943</v>
      </c>
      <c r="B55" s="12">
        <f ca="1">IFERROR(__xludf.DUMMYFUNCTION("""COMPUTED_VALUE"""),7418)</f>
        <v>7418</v>
      </c>
      <c r="C55" s="12">
        <f ca="1">IFERROR(__xludf.DUMMYFUNCTION("""COMPUTED_VALUE"""),5870)</f>
        <v>5870</v>
      </c>
      <c r="D55" s="12">
        <f ca="1">IFERROR(__xludf.DUMMYFUNCTION("""COMPUTED_VALUE"""),913)</f>
        <v>913</v>
      </c>
      <c r="E55" s="12">
        <f ca="1">IFERROR(__xludf.DUMMYFUNCTION("""COMPUTED_VALUE"""),635)</f>
        <v>635</v>
      </c>
      <c r="F55" s="12">
        <f ca="1">IFERROR(__xludf.DUMMYFUNCTION("""COMPUTED_VALUE"""),308)</f>
        <v>308</v>
      </c>
      <c r="G55" s="12">
        <f ca="1">IFERROR(__xludf.DUMMYFUNCTION("""COMPUTED_VALUE"""),291)</f>
        <v>291</v>
      </c>
      <c r="H55" s="12">
        <f ca="1">IFERROR(__xludf.DUMMYFUNCTION("""COMPUTED_VALUE"""),815)</f>
        <v>815</v>
      </c>
      <c r="I55" s="12">
        <f ca="1">IFERROR(__xludf.DUMMYFUNCTION("""COMPUTED_VALUE"""),1985)</f>
        <v>1985</v>
      </c>
      <c r="J55" s="12">
        <f ca="1">IFERROR(__xludf.DUMMYFUNCTION("""COMPUTED_VALUE"""),3399)</f>
        <v>3399</v>
      </c>
      <c r="K55" s="12">
        <f ca="1">IFERROR(__xludf.DUMMYFUNCTION("""COMPUTED_VALUE"""),2800)</f>
        <v>2800</v>
      </c>
      <c r="L55" s="12">
        <f ca="1">IFERROR(__xludf.DUMMYFUNCTION("""COMPUTED_VALUE"""),283)</f>
        <v>283</v>
      </c>
      <c r="M55" s="12">
        <f ca="1">IFERROR(__xludf.DUMMYFUNCTION("""COMPUTED_VALUE"""),193)</f>
        <v>193</v>
      </c>
      <c r="N55" s="12">
        <f ca="1">IFERROR(__xludf.DUMMYFUNCTION("""COMPUTED_VALUE"""),71)</f>
        <v>71</v>
      </c>
      <c r="O55" s="12">
        <f ca="1">IFERROR(__xludf.DUMMYFUNCTION("""COMPUTED_VALUE"""),19)</f>
        <v>19</v>
      </c>
      <c r="P55" s="12">
        <f ca="1">IFERROR(__xludf.DUMMYFUNCTION("""COMPUTED_VALUE"""),3)</f>
        <v>3</v>
      </c>
      <c r="Q55" s="12">
        <f ca="1">IFERROR(__xludf.DUMMYFUNCTION("""COMPUTED_VALUE"""),5)</f>
        <v>5</v>
      </c>
      <c r="R55" s="12">
        <f ca="1">IFERROR(__xludf.DUMMYFUNCTION("""COMPUTED_VALUE"""),62)</f>
        <v>62</v>
      </c>
      <c r="S55" s="12">
        <f ca="1">IFERROR(__xludf.DUMMYFUNCTION("""COMPUTED_VALUE"""),50)</f>
        <v>50</v>
      </c>
      <c r="T55" s="12">
        <f ca="1">IFERROR(__xludf.DUMMYFUNCTION("""COMPUTED_VALUE"""),120)</f>
        <v>120</v>
      </c>
      <c r="U55" s="12">
        <f ca="1">IFERROR(__xludf.DUMMYFUNCTION("""COMPUTED_VALUE"""),112)</f>
        <v>112</v>
      </c>
    </row>
    <row r="56" spans="1:21" x14ac:dyDescent="0.25">
      <c r="A56" s="11">
        <f ca="1">IFERROR(__xludf.DUMMYFUNCTION("""COMPUTED_VALUE"""),43944)</f>
        <v>43944</v>
      </c>
      <c r="B56" s="12">
        <f ca="1">IFERROR(__xludf.DUMMYFUNCTION("""COMPUTED_VALUE"""),7775)</f>
        <v>7775</v>
      </c>
      <c r="C56" s="12">
        <f ca="1">IFERROR(__xludf.DUMMYFUNCTION("""COMPUTED_VALUE"""),6168)</f>
        <v>6168</v>
      </c>
      <c r="D56" s="12">
        <f ca="1">IFERROR(__xludf.DUMMYFUNCTION("""COMPUTED_VALUE"""),960)</f>
        <v>960</v>
      </c>
      <c r="E56" s="12">
        <f ca="1">IFERROR(__xludf.DUMMYFUNCTION("""COMPUTED_VALUE"""),647)</f>
        <v>647</v>
      </c>
      <c r="F56" s="12">
        <f ca="1">IFERROR(__xludf.DUMMYFUNCTION("""COMPUTED_VALUE"""),316)</f>
        <v>316</v>
      </c>
      <c r="G56" s="12">
        <f ca="1">IFERROR(__xludf.DUMMYFUNCTION("""COMPUTED_VALUE"""),292)</f>
        <v>292</v>
      </c>
      <c r="H56" s="12">
        <f ca="1">IFERROR(__xludf.DUMMYFUNCTION("""COMPUTED_VALUE"""),888)</f>
        <v>888</v>
      </c>
      <c r="I56" s="12">
        <f ca="1">IFERROR(__xludf.DUMMYFUNCTION("""COMPUTED_VALUE"""),2010)</f>
        <v>2010</v>
      </c>
      <c r="J56" s="12">
        <f ca="1">IFERROR(__xludf.DUMMYFUNCTION("""COMPUTED_VALUE"""),3506)</f>
        <v>3506</v>
      </c>
      <c r="K56" s="12">
        <f ca="1">IFERROR(__xludf.DUMMYFUNCTION("""COMPUTED_VALUE"""),2898)</f>
        <v>2898</v>
      </c>
      <c r="L56" s="12">
        <f ca="1">IFERROR(__xludf.DUMMYFUNCTION("""COMPUTED_VALUE"""),357)</f>
        <v>357</v>
      </c>
      <c r="M56" s="12">
        <f ca="1">IFERROR(__xludf.DUMMYFUNCTION("""COMPUTED_VALUE"""),298)</f>
        <v>298</v>
      </c>
      <c r="N56" s="12">
        <f ca="1">IFERROR(__xludf.DUMMYFUNCTION("""COMPUTED_VALUE"""),47)</f>
        <v>47</v>
      </c>
      <c r="O56" s="12">
        <f ca="1">IFERROR(__xludf.DUMMYFUNCTION("""COMPUTED_VALUE"""),12)</f>
        <v>12</v>
      </c>
      <c r="P56" s="12">
        <f ca="1">IFERROR(__xludf.DUMMYFUNCTION("""COMPUTED_VALUE"""),8)</f>
        <v>8</v>
      </c>
      <c r="Q56" s="12">
        <f ca="1">IFERROR(__xludf.DUMMYFUNCTION("""COMPUTED_VALUE"""),1)</f>
        <v>1</v>
      </c>
      <c r="R56" s="12">
        <f ca="1">IFERROR(__xludf.DUMMYFUNCTION("""COMPUTED_VALUE"""),73)</f>
        <v>73</v>
      </c>
      <c r="S56" s="12">
        <f ca="1">IFERROR(__xludf.DUMMYFUNCTION("""COMPUTED_VALUE"""),25)</f>
        <v>25</v>
      </c>
      <c r="T56" s="12">
        <f ca="1">IFERROR(__xludf.DUMMYFUNCTION("""COMPUTED_VALUE"""),107)</f>
        <v>107</v>
      </c>
      <c r="U56" s="12">
        <f ca="1">IFERROR(__xludf.DUMMYFUNCTION("""COMPUTED_VALUE"""),98)</f>
        <v>98</v>
      </c>
    </row>
    <row r="57" spans="1:21" x14ac:dyDescent="0.25">
      <c r="A57" s="11">
        <f ca="1">IFERROR(__xludf.DUMMYFUNCTION("""COMPUTED_VALUE"""),43945)</f>
        <v>43945</v>
      </c>
      <c r="B57" s="12">
        <f ca="1">IFERROR(__xludf.DUMMYFUNCTION("""COMPUTED_VALUE"""),8211)</f>
        <v>8211</v>
      </c>
      <c r="C57" s="12">
        <f ca="1">IFERROR(__xludf.DUMMYFUNCTION("""COMPUTED_VALUE"""),6520)</f>
        <v>6520</v>
      </c>
      <c r="D57" s="12">
        <f ca="1">IFERROR(__xludf.DUMMYFUNCTION("""COMPUTED_VALUE"""),1002)</f>
        <v>1002</v>
      </c>
      <c r="E57" s="12">
        <f ca="1">IFERROR(__xludf.DUMMYFUNCTION("""COMPUTED_VALUE"""),689)</f>
        <v>689</v>
      </c>
      <c r="F57" s="12">
        <f ca="1">IFERROR(__xludf.DUMMYFUNCTION("""COMPUTED_VALUE"""),331)</f>
        <v>331</v>
      </c>
      <c r="G57" s="12">
        <f ca="1">IFERROR(__xludf.DUMMYFUNCTION("""COMPUTED_VALUE"""),327)</f>
        <v>327</v>
      </c>
      <c r="H57" s="12">
        <f ca="1">IFERROR(__xludf.DUMMYFUNCTION("""COMPUTED_VALUE"""),959)</f>
        <v>959</v>
      </c>
      <c r="I57" s="12">
        <f ca="1">IFERROR(__xludf.DUMMYFUNCTION("""COMPUTED_VALUE"""),1988)</f>
        <v>1988</v>
      </c>
      <c r="J57" s="12">
        <f ca="1">IFERROR(__xludf.DUMMYFUNCTION("""COMPUTED_VALUE"""),3605)</f>
        <v>3605</v>
      </c>
      <c r="K57" s="12">
        <f ca="1">IFERROR(__xludf.DUMMYFUNCTION("""COMPUTED_VALUE"""),2947)</f>
        <v>2947</v>
      </c>
      <c r="L57" s="12">
        <f ca="1">IFERROR(__xludf.DUMMYFUNCTION("""COMPUTED_VALUE"""),436)</f>
        <v>436</v>
      </c>
      <c r="M57" s="12">
        <f ca="1">IFERROR(__xludf.DUMMYFUNCTION("""COMPUTED_VALUE"""),352)</f>
        <v>352</v>
      </c>
      <c r="N57" s="12">
        <f ca="1">IFERROR(__xludf.DUMMYFUNCTION("""COMPUTED_VALUE"""),42)</f>
        <v>42</v>
      </c>
      <c r="O57" s="12">
        <f ca="1">IFERROR(__xludf.DUMMYFUNCTION("""COMPUTED_VALUE"""),42)</f>
        <v>42</v>
      </c>
      <c r="P57" s="12">
        <f ca="1">IFERROR(__xludf.DUMMYFUNCTION("""COMPUTED_VALUE"""),15)</f>
        <v>15</v>
      </c>
      <c r="Q57" s="12">
        <f ca="1">IFERROR(__xludf.DUMMYFUNCTION("""COMPUTED_VALUE"""),35)</f>
        <v>35</v>
      </c>
      <c r="R57" s="12">
        <f ca="1">IFERROR(__xludf.DUMMYFUNCTION("""COMPUTED_VALUE"""),71)</f>
        <v>71</v>
      </c>
      <c r="S57" s="12">
        <f ca="1">IFERROR(__xludf.DUMMYFUNCTION("""COMPUTED_VALUE"""),-22)</f>
        <v>-22</v>
      </c>
      <c r="T57" s="12">
        <f ca="1">IFERROR(__xludf.DUMMYFUNCTION("""COMPUTED_VALUE"""),99)</f>
        <v>99</v>
      </c>
      <c r="U57" s="12">
        <f ca="1">IFERROR(__xludf.DUMMYFUNCTION("""COMPUTED_VALUE"""),49)</f>
        <v>49</v>
      </c>
    </row>
    <row r="58" spans="1:21" x14ac:dyDescent="0.25">
      <c r="A58" s="11">
        <f ca="1">IFERROR(__xludf.DUMMYFUNCTION("""COMPUTED_VALUE"""),43946)</f>
        <v>43946</v>
      </c>
      <c r="B58" s="12">
        <f ca="1">IFERROR(__xludf.DUMMYFUNCTION("""COMPUTED_VALUE"""),8607)</f>
        <v>8607</v>
      </c>
      <c r="C58" s="12">
        <f ca="1">IFERROR(__xludf.DUMMYFUNCTION("""COMPUTED_VALUE"""),6845)</f>
        <v>6845</v>
      </c>
      <c r="D58" s="12">
        <f ca="1">IFERROR(__xludf.DUMMYFUNCTION("""COMPUTED_VALUE"""),1042)</f>
        <v>1042</v>
      </c>
      <c r="E58" s="12">
        <f ca="1">IFERROR(__xludf.DUMMYFUNCTION("""COMPUTED_VALUE"""),720)</f>
        <v>720</v>
      </c>
      <c r="F58" s="12">
        <f ca="1">IFERROR(__xludf.DUMMYFUNCTION("""COMPUTED_VALUE"""),350)</f>
        <v>350</v>
      </c>
      <c r="G58" s="12">
        <f ca="1">IFERROR(__xludf.DUMMYFUNCTION("""COMPUTED_VALUE"""),334)</f>
        <v>334</v>
      </c>
      <c r="H58" s="12">
        <f ca="1">IFERROR(__xludf.DUMMYFUNCTION("""COMPUTED_VALUE"""),1050)</f>
        <v>1050</v>
      </c>
      <c r="I58" s="12">
        <f ca="1">IFERROR(__xludf.DUMMYFUNCTION("""COMPUTED_VALUE"""),1947)</f>
        <v>1947</v>
      </c>
      <c r="J58" s="12">
        <f ca="1">IFERROR(__xludf.DUMMYFUNCTION("""COMPUTED_VALUE"""),3681)</f>
        <v>3681</v>
      </c>
      <c r="K58" s="12">
        <f ca="1">IFERROR(__xludf.DUMMYFUNCTION("""COMPUTED_VALUE"""),2997)</f>
        <v>2997</v>
      </c>
      <c r="L58" s="12">
        <f ca="1">IFERROR(__xludf.DUMMYFUNCTION("""COMPUTED_VALUE"""),396)</f>
        <v>396</v>
      </c>
      <c r="M58" s="12">
        <f ca="1">IFERROR(__xludf.DUMMYFUNCTION("""COMPUTED_VALUE"""),325)</f>
        <v>325</v>
      </c>
      <c r="N58" s="12">
        <f ca="1">IFERROR(__xludf.DUMMYFUNCTION("""COMPUTED_VALUE"""),40)</f>
        <v>40</v>
      </c>
      <c r="O58" s="12">
        <f ca="1">IFERROR(__xludf.DUMMYFUNCTION("""COMPUTED_VALUE"""),31)</f>
        <v>31</v>
      </c>
      <c r="P58" s="12">
        <f ca="1">IFERROR(__xludf.DUMMYFUNCTION("""COMPUTED_VALUE"""),19)</f>
        <v>19</v>
      </c>
      <c r="Q58" s="12">
        <f ca="1">IFERROR(__xludf.DUMMYFUNCTION("""COMPUTED_VALUE"""),7)</f>
        <v>7</v>
      </c>
      <c r="R58" s="12">
        <f ca="1">IFERROR(__xludf.DUMMYFUNCTION("""COMPUTED_VALUE"""),91)</f>
        <v>91</v>
      </c>
      <c r="S58" s="12">
        <f ca="1">IFERROR(__xludf.DUMMYFUNCTION("""COMPUTED_VALUE"""),-41)</f>
        <v>-41</v>
      </c>
      <c r="T58" s="12">
        <f ca="1">IFERROR(__xludf.DUMMYFUNCTION("""COMPUTED_VALUE"""),76)</f>
        <v>76</v>
      </c>
      <c r="U58" s="12">
        <f ca="1">IFERROR(__xludf.DUMMYFUNCTION("""COMPUTED_VALUE"""),50)</f>
        <v>50</v>
      </c>
    </row>
    <row r="59" spans="1:21" x14ac:dyDescent="0.25">
      <c r="A59" s="11">
        <f ca="1">IFERROR(__xludf.DUMMYFUNCTION("""COMPUTED_VALUE"""),43947)</f>
        <v>43947</v>
      </c>
      <c r="B59" s="12">
        <f ca="1">IFERROR(__xludf.DUMMYFUNCTION("""COMPUTED_VALUE"""),8882)</f>
        <v>8882</v>
      </c>
      <c r="C59" s="12">
        <f ca="1">IFERROR(__xludf.DUMMYFUNCTION("""COMPUTED_VALUE"""),7032)</f>
        <v>7032</v>
      </c>
      <c r="D59" s="12">
        <f ca="1">IFERROR(__xludf.DUMMYFUNCTION("""COMPUTED_VALUE"""),1107)</f>
        <v>1107</v>
      </c>
      <c r="E59" s="12">
        <f ca="1">IFERROR(__xludf.DUMMYFUNCTION("""COMPUTED_VALUE"""),743)</f>
        <v>743</v>
      </c>
      <c r="F59" s="12">
        <f ca="1">IFERROR(__xludf.DUMMYFUNCTION("""COMPUTED_VALUE"""),357)</f>
        <v>357</v>
      </c>
      <c r="G59" s="12">
        <f ca="1">IFERROR(__xludf.DUMMYFUNCTION("""COMPUTED_VALUE"""),338)</f>
        <v>338</v>
      </c>
      <c r="H59" s="12">
        <f ca="1">IFERROR(__xludf.DUMMYFUNCTION("""COMPUTED_VALUE"""),1099)</f>
        <v>1099</v>
      </c>
      <c r="I59" s="12">
        <f ca="1">IFERROR(__xludf.DUMMYFUNCTION("""COMPUTED_VALUE"""),1952)</f>
        <v>1952</v>
      </c>
      <c r="J59" s="12">
        <f ca="1">IFERROR(__xludf.DUMMYFUNCTION("""COMPUTED_VALUE"""),3746)</f>
        <v>3746</v>
      </c>
      <c r="K59" s="12">
        <f ca="1">IFERROR(__xludf.DUMMYFUNCTION("""COMPUTED_VALUE"""),3051)</f>
        <v>3051</v>
      </c>
      <c r="L59" s="12">
        <f ca="1">IFERROR(__xludf.DUMMYFUNCTION("""COMPUTED_VALUE"""),275)</f>
        <v>275</v>
      </c>
      <c r="M59" s="12">
        <f ca="1">IFERROR(__xludf.DUMMYFUNCTION("""COMPUTED_VALUE"""),187)</f>
        <v>187</v>
      </c>
      <c r="N59" s="12">
        <f ca="1">IFERROR(__xludf.DUMMYFUNCTION("""COMPUTED_VALUE"""),65)</f>
        <v>65</v>
      </c>
      <c r="O59" s="12">
        <f ca="1">IFERROR(__xludf.DUMMYFUNCTION("""COMPUTED_VALUE"""),23)</f>
        <v>23</v>
      </c>
      <c r="P59" s="12">
        <f ca="1">IFERROR(__xludf.DUMMYFUNCTION("""COMPUTED_VALUE"""),7)</f>
        <v>7</v>
      </c>
      <c r="Q59" s="12">
        <f ca="1">IFERROR(__xludf.DUMMYFUNCTION("""COMPUTED_VALUE"""),4)</f>
        <v>4</v>
      </c>
      <c r="R59" s="12">
        <f ca="1">IFERROR(__xludf.DUMMYFUNCTION("""COMPUTED_VALUE"""),49)</f>
        <v>49</v>
      </c>
      <c r="S59" s="12">
        <f ca="1">IFERROR(__xludf.DUMMYFUNCTION("""COMPUTED_VALUE"""),5)</f>
        <v>5</v>
      </c>
      <c r="T59" s="12">
        <f ca="1">IFERROR(__xludf.DUMMYFUNCTION("""COMPUTED_VALUE"""),65)</f>
        <v>65</v>
      </c>
      <c r="U59" s="12">
        <f ca="1">IFERROR(__xludf.DUMMYFUNCTION("""COMPUTED_VALUE"""),54)</f>
        <v>54</v>
      </c>
    </row>
    <row r="60" spans="1:21" x14ac:dyDescent="0.25">
      <c r="A60" s="11">
        <f ca="1">IFERROR(__xludf.DUMMYFUNCTION("""COMPUTED_VALUE"""),43948)</f>
        <v>43948</v>
      </c>
      <c r="B60" s="12">
        <f ca="1">IFERROR(__xludf.DUMMYFUNCTION("""COMPUTED_VALUE"""),9096)</f>
        <v>9096</v>
      </c>
      <c r="C60" s="12">
        <f ca="1">IFERROR(__xludf.DUMMYFUNCTION("""COMPUTED_VALUE"""),7180)</f>
        <v>7180</v>
      </c>
      <c r="D60" s="12">
        <f ca="1">IFERROR(__xludf.DUMMYFUNCTION("""COMPUTED_VALUE"""),1151)</f>
        <v>1151</v>
      </c>
      <c r="E60" s="12">
        <f ca="1">IFERROR(__xludf.DUMMYFUNCTION("""COMPUTED_VALUE"""),765)</f>
        <v>765</v>
      </c>
      <c r="F60" s="12">
        <f ca="1">IFERROR(__xludf.DUMMYFUNCTION("""COMPUTED_VALUE"""),375)</f>
        <v>375</v>
      </c>
      <c r="G60" s="12">
        <f ca="1">IFERROR(__xludf.DUMMYFUNCTION("""COMPUTED_VALUE"""),338)</f>
        <v>338</v>
      </c>
      <c r="H60" s="12">
        <f ca="1">IFERROR(__xludf.DUMMYFUNCTION("""COMPUTED_VALUE"""),1169)</f>
        <v>1169</v>
      </c>
      <c r="I60" s="12">
        <f ca="1">IFERROR(__xludf.DUMMYFUNCTION("""COMPUTED_VALUE"""),1950)</f>
        <v>1950</v>
      </c>
      <c r="J60" s="12">
        <f ca="1">IFERROR(__xludf.DUMMYFUNCTION("""COMPUTED_VALUE"""),3832)</f>
        <v>3832</v>
      </c>
      <c r="K60" s="12">
        <f ca="1">IFERROR(__xludf.DUMMYFUNCTION("""COMPUTED_VALUE"""),3119)</f>
        <v>3119</v>
      </c>
      <c r="L60" s="12">
        <f ca="1">IFERROR(__xludf.DUMMYFUNCTION("""COMPUTED_VALUE"""),214)</f>
        <v>214</v>
      </c>
      <c r="M60" s="12">
        <f ca="1">IFERROR(__xludf.DUMMYFUNCTION("""COMPUTED_VALUE"""),148)</f>
        <v>148</v>
      </c>
      <c r="N60" s="12">
        <f ca="1">IFERROR(__xludf.DUMMYFUNCTION("""COMPUTED_VALUE"""),44)</f>
        <v>44</v>
      </c>
      <c r="O60" s="12">
        <f ca="1">IFERROR(__xludf.DUMMYFUNCTION("""COMPUTED_VALUE"""),22)</f>
        <v>22</v>
      </c>
      <c r="P60" s="12">
        <f ca="1">IFERROR(__xludf.DUMMYFUNCTION("""COMPUTED_VALUE"""),18)</f>
        <v>18</v>
      </c>
      <c r="Q60" s="12">
        <f ca="1">IFERROR(__xludf.DUMMYFUNCTION("""COMPUTED_VALUE"""),0)</f>
        <v>0</v>
      </c>
      <c r="R60" s="12">
        <f ca="1">IFERROR(__xludf.DUMMYFUNCTION("""COMPUTED_VALUE"""),70)</f>
        <v>70</v>
      </c>
      <c r="S60" s="12">
        <f ca="1">IFERROR(__xludf.DUMMYFUNCTION("""COMPUTED_VALUE"""),-2)</f>
        <v>-2</v>
      </c>
      <c r="T60" s="12">
        <f ca="1">IFERROR(__xludf.DUMMYFUNCTION("""COMPUTED_VALUE"""),86)</f>
        <v>86</v>
      </c>
      <c r="U60" s="12">
        <f ca="1">IFERROR(__xludf.DUMMYFUNCTION("""COMPUTED_VALUE"""),68)</f>
        <v>68</v>
      </c>
    </row>
    <row r="61" spans="1:21" x14ac:dyDescent="0.25">
      <c r="A61" s="11">
        <f ca="1">IFERROR(__xludf.DUMMYFUNCTION("""COMPUTED_VALUE"""),43949)</f>
        <v>43949</v>
      </c>
      <c r="B61" s="12">
        <f ca="1">IFERROR(__xludf.DUMMYFUNCTION("""COMPUTED_VALUE"""),9511)</f>
        <v>9511</v>
      </c>
      <c r="C61" s="12">
        <f ca="1">IFERROR(__xludf.DUMMYFUNCTION("""COMPUTED_VALUE"""),7484)</f>
        <v>7484</v>
      </c>
      <c r="D61" s="12">
        <f ca="1">IFERROR(__xludf.DUMMYFUNCTION("""COMPUTED_VALUE"""),1254)</f>
        <v>1254</v>
      </c>
      <c r="E61" s="12">
        <f ca="1">IFERROR(__xludf.DUMMYFUNCTION("""COMPUTED_VALUE"""),773)</f>
        <v>773</v>
      </c>
      <c r="F61" s="12">
        <f ca="1">IFERROR(__xludf.DUMMYFUNCTION("""COMPUTED_VALUE"""),379)</f>
        <v>379</v>
      </c>
      <c r="G61" s="12">
        <f ca="1">IFERROR(__xludf.DUMMYFUNCTION("""COMPUTED_VALUE"""),341)</f>
        <v>341</v>
      </c>
      <c r="H61" s="12">
        <f ca="1">IFERROR(__xludf.DUMMYFUNCTION("""COMPUTED_VALUE"""),1206)</f>
        <v>1206</v>
      </c>
      <c r="I61" s="12">
        <f ca="1">IFERROR(__xludf.DUMMYFUNCTION("""COMPUTED_VALUE"""),2024)</f>
        <v>2024</v>
      </c>
      <c r="J61" s="12">
        <f ca="1">IFERROR(__xludf.DUMMYFUNCTION("""COMPUTED_VALUE"""),3950)</f>
        <v>3950</v>
      </c>
      <c r="K61" s="12">
        <f ca="1">IFERROR(__xludf.DUMMYFUNCTION("""COMPUTED_VALUE"""),3230)</f>
        <v>3230</v>
      </c>
      <c r="L61" s="12">
        <f ca="1">IFERROR(__xludf.DUMMYFUNCTION("""COMPUTED_VALUE"""),415)</f>
        <v>415</v>
      </c>
      <c r="M61" s="12">
        <f ca="1">IFERROR(__xludf.DUMMYFUNCTION("""COMPUTED_VALUE"""),304)</f>
        <v>304</v>
      </c>
      <c r="N61" s="12">
        <f ca="1">IFERROR(__xludf.DUMMYFUNCTION("""COMPUTED_VALUE"""),103)</f>
        <v>103</v>
      </c>
      <c r="O61" s="12">
        <f ca="1">IFERROR(__xludf.DUMMYFUNCTION("""COMPUTED_VALUE"""),8)</f>
        <v>8</v>
      </c>
      <c r="P61" s="12">
        <f ca="1">IFERROR(__xludf.DUMMYFUNCTION("""COMPUTED_VALUE"""),4)</f>
        <v>4</v>
      </c>
      <c r="Q61" s="12">
        <f ca="1">IFERROR(__xludf.DUMMYFUNCTION("""COMPUTED_VALUE"""),3)</f>
        <v>3</v>
      </c>
      <c r="R61" s="12">
        <f ca="1">IFERROR(__xludf.DUMMYFUNCTION("""COMPUTED_VALUE"""),37)</f>
        <v>37</v>
      </c>
      <c r="S61" s="12">
        <f ca="1">IFERROR(__xludf.DUMMYFUNCTION("""COMPUTED_VALUE"""),74)</f>
        <v>74</v>
      </c>
      <c r="T61" s="12">
        <f ca="1">IFERROR(__xludf.DUMMYFUNCTION("""COMPUTED_VALUE"""),118)</f>
        <v>118</v>
      </c>
      <c r="U61" s="12">
        <f ca="1">IFERROR(__xludf.DUMMYFUNCTION("""COMPUTED_VALUE"""),111)</f>
        <v>111</v>
      </c>
    </row>
    <row r="62" spans="1:21" x14ac:dyDescent="0.25">
      <c r="A62" s="11">
        <f ca="1">IFERROR(__xludf.DUMMYFUNCTION("""COMPUTED_VALUE"""),43950)</f>
        <v>43950</v>
      </c>
      <c r="B62" s="12">
        <f ca="1">IFERROR(__xludf.DUMMYFUNCTION("""COMPUTED_VALUE"""),9771)</f>
        <v>9771</v>
      </c>
      <c r="C62" s="12">
        <f ca="1">IFERROR(__xludf.DUMMYFUNCTION("""COMPUTED_VALUE"""),7596)</f>
        <v>7596</v>
      </c>
      <c r="D62" s="12">
        <f ca="1">IFERROR(__xludf.DUMMYFUNCTION("""COMPUTED_VALUE"""),1391)</f>
        <v>1391</v>
      </c>
      <c r="E62" s="12">
        <f ca="1">IFERROR(__xludf.DUMMYFUNCTION("""COMPUTED_VALUE"""),784)</f>
        <v>784</v>
      </c>
      <c r="F62" s="12">
        <f ca="1">IFERROR(__xludf.DUMMYFUNCTION("""COMPUTED_VALUE"""),381)</f>
        <v>381</v>
      </c>
      <c r="G62" s="12">
        <f ca="1">IFERROR(__xludf.DUMMYFUNCTION("""COMPUTED_VALUE"""),412)</f>
        <v>412</v>
      </c>
      <c r="H62" s="12">
        <f ca="1">IFERROR(__xludf.DUMMYFUNCTION("""COMPUTED_VALUE"""),1238)</f>
        <v>1238</v>
      </c>
      <c r="I62" s="12">
        <f ca="1">IFERROR(__xludf.DUMMYFUNCTION("""COMPUTED_VALUE"""),2002)</f>
        <v>2002</v>
      </c>
      <c r="J62" s="12">
        <f ca="1">IFERROR(__xludf.DUMMYFUNCTION("""COMPUTED_VALUE"""),4033)</f>
        <v>4033</v>
      </c>
      <c r="K62" s="12">
        <f ca="1">IFERROR(__xludf.DUMMYFUNCTION("""COMPUTED_VALUE"""),3240)</f>
        <v>3240</v>
      </c>
      <c r="L62" s="12">
        <f ca="1">IFERROR(__xludf.DUMMYFUNCTION("""COMPUTED_VALUE"""),260)</f>
        <v>260</v>
      </c>
      <c r="M62" s="12">
        <f ca="1">IFERROR(__xludf.DUMMYFUNCTION("""COMPUTED_VALUE"""),112)</f>
        <v>112</v>
      </c>
      <c r="N62" s="12">
        <f ca="1">IFERROR(__xludf.DUMMYFUNCTION("""COMPUTED_VALUE"""),137)</f>
        <v>137</v>
      </c>
      <c r="O62" s="12">
        <f ca="1">IFERROR(__xludf.DUMMYFUNCTION("""COMPUTED_VALUE"""),11)</f>
        <v>11</v>
      </c>
      <c r="P62" s="12">
        <f ca="1">IFERROR(__xludf.DUMMYFUNCTION("""COMPUTED_VALUE"""),2)</f>
        <v>2</v>
      </c>
      <c r="Q62" s="12">
        <f ca="1">IFERROR(__xludf.DUMMYFUNCTION("""COMPUTED_VALUE"""),71)</f>
        <v>71</v>
      </c>
      <c r="R62" s="12">
        <f ca="1">IFERROR(__xludf.DUMMYFUNCTION("""COMPUTED_VALUE"""),32)</f>
        <v>32</v>
      </c>
      <c r="S62" s="12">
        <f ca="1">IFERROR(__xludf.DUMMYFUNCTION("""COMPUTED_VALUE"""),-22)</f>
        <v>-22</v>
      </c>
      <c r="T62" s="12">
        <f ca="1">IFERROR(__xludf.DUMMYFUNCTION("""COMPUTED_VALUE"""),83)</f>
        <v>83</v>
      </c>
      <c r="U62" s="12">
        <f ca="1">IFERROR(__xludf.DUMMYFUNCTION("""COMPUTED_VALUE"""),10)</f>
        <v>10</v>
      </c>
    </row>
    <row r="63" spans="1:21" x14ac:dyDescent="0.25">
      <c r="A63" s="11">
        <f ca="1">IFERROR(__xludf.DUMMYFUNCTION("""COMPUTED_VALUE"""),43951)</f>
        <v>43951</v>
      </c>
      <c r="B63" s="12">
        <f ca="1">IFERROR(__xludf.DUMMYFUNCTION("""COMPUTED_VALUE"""),10118)</f>
        <v>10118</v>
      </c>
      <c r="C63" s="12">
        <f ca="1">IFERROR(__xludf.DUMMYFUNCTION("""COMPUTED_VALUE"""),7804)</f>
        <v>7804</v>
      </c>
      <c r="D63" s="12">
        <f ca="1">IFERROR(__xludf.DUMMYFUNCTION("""COMPUTED_VALUE"""),1522)</f>
        <v>1522</v>
      </c>
      <c r="E63" s="12">
        <f ca="1">IFERROR(__xludf.DUMMYFUNCTION("""COMPUTED_VALUE"""),792)</f>
        <v>792</v>
      </c>
      <c r="F63" s="12">
        <f ca="1">IFERROR(__xludf.DUMMYFUNCTION("""COMPUTED_VALUE"""),381)</f>
        <v>381</v>
      </c>
      <c r="G63" s="12">
        <f ca="1">IFERROR(__xludf.DUMMYFUNCTION("""COMPUTED_VALUE"""),412)</f>
        <v>412</v>
      </c>
      <c r="H63" s="12">
        <f ca="1">IFERROR(__xludf.DUMMYFUNCTION("""COMPUTED_VALUE"""),1272)</f>
        <v>1272</v>
      </c>
      <c r="I63" s="12">
        <f ca="1">IFERROR(__xludf.DUMMYFUNCTION("""COMPUTED_VALUE"""),2073)</f>
        <v>2073</v>
      </c>
      <c r="J63" s="12">
        <f ca="1">IFERROR(__xludf.DUMMYFUNCTION("""COMPUTED_VALUE"""),4138)</f>
        <v>4138</v>
      </c>
      <c r="K63" s="12">
        <f ca="1">IFERROR(__xludf.DUMMYFUNCTION("""COMPUTED_VALUE"""),3345)</f>
        <v>3345</v>
      </c>
      <c r="L63" s="12">
        <f ca="1">IFERROR(__xludf.DUMMYFUNCTION("""COMPUTED_VALUE"""),347)</f>
        <v>347</v>
      </c>
      <c r="M63" s="12">
        <f ca="1">IFERROR(__xludf.DUMMYFUNCTION("""COMPUTED_VALUE"""),208)</f>
        <v>208</v>
      </c>
      <c r="N63" s="12">
        <f ca="1">IFERROR(__xludf.DUMMYFUNCTION("""COMPUTED_VALUE"""),131)</f>
        <v>131</v>
      </c>
      <c r="O63" s="12">
        <f ca="1">IFERROR(__xludf.DUMMYFUNCTION("""COMPUTED_VALUE"""),8)</f>
        <v>8</v>
      </c>
      <c r="P63" s="12">
        <f ca="1">IFERROR(__xludf.DUMMYFUNCTION("""COMPUTED_VALUE"""),0)</f>
        <v>0</v>
      </c>
      <c r="Q63" s="12">
        <f ca="1">IFERROR(__xludf.DUMMYFUNCTION("""COMPUTED_VALUE"""),0)</f>
        <v>0</v>
      </c>
      <c r="R63" s="12">
        <f ca="1">IFERROR(__xludf.DUMMYFUNCTION("""COMPUTED_VALUE"""),34)</f>
        <v>34</v>
      </c>
      <c r="S63" s="12">
        <f ca="1">IFERROR(__xludf.DUMMYFUNCTION("""COMPUTED_VALUE"""),71)</f>
        <v>71</v>
      </c>
      <c r="T63" s="12">
        <f ca="1">IFERROR(__xludf.DUMMYFUNCTION("""COMPUTED_VALUE"""),105)</f>
        <v>105</v>
      </c>
      <c r="U63" s="12">
        <f ca="1">IFERROR(__xludf.DUMMYFUNCTION("""COMPUTED_VALUE"""),105)</f>
        <v>105</v>
      </c>
    </row>
    <row r="64" spans="1:21" x14ac:dyDescent="0.25">
      <c r="A64" s="11">
        <f ca="1">IFERROR(__xludf.DUMMYFUNCTION("""COMPUTED_VALUE"""),43952)</f>
        <v>43952</v>
      </c>
      <c r="B64" s="12">
        <f ca="1">IFERROR(__xludf.DUMMYFUNCTION("""COMPUTED_VALUE"""),10551)</f>
        <v>10551</v>
      </c>
      <c r="C64" s="12">
        <f ca="1">IFERROR(__xludf.DUMMYFUNCTION("""COMPUTED_VALUE"""),8160)</f>
        <v>8160</v>
      </c>
      <c r="D64" s="12">
        <f ca="1">IFERROR(__xludf.DUMMYFUNCTION("""COMPUTED_VALUE"""),1591)</f>
        <v>1591</v>
      </c>
      <c r="E64" s="12">
        <f ca="1">IFERROR(__xludf.DUMMYFUNCTION("""COMPUTED_VALUE"""),800)</f>
        <v>800</v>
      </c>
      <c r="F64" s="12">
        <f ca="1">IFERROR(__xludf.DUMMYFUNCTION("""COMPUTED_VALUE"""),393)</f>
        <v>393</v>
      </c>
      <c r="G64" s="12">
        <f ca="1">IFERROR(__xludf.DUMMYFUNCTION("""COMPUTED_VALUE"""),427)</f>
        <v>427</v>
      </c>
      <c r="H64" s="12">
        <f ca="1">IFERROR(__xludf.DUMMYFUNCTION("""COMPUTED_VALUE"""),1312)</f>
        <v>1312</v>
      </c>
      <c r="I64" s="12">
        <f ca="1">IFERROR(__xludf.DUMMYFUNCTION("""COMPUTED_VALUE"""),2151)</f>
        <v>2151</v>
      </c>
      <c r="J64" s="12">
        <f ca="1">IFERROR(__xludf.DUMMYFUNCTION("""COMPUTED_VALUE"""),4283)</f>
        <v>4283</v>
      </c>
      <c r="K64" s="12">
        <f ca="1">IFERROR(__xludf.DUMMYFUNCTION("""COMPUTED_VALUE"""),3463)</f>
        <v>3463</v>
      </c>
      <c r="L64" s="12">
        <f ca="1">IFERROR(__xludf.DUMMYFUNCTION("""COMPUTED_VALUE"""),433)</f>
        <v>433</v>
      </c>
      <c r="M64" s="12">
        <f ca="1">IFERROR(__xludf.DUMMYFUNCTION("""COMPUTED_VALUE"""),356)</f>
        <v>356</v>
      </c>
      <c r="N64" s="12">
        <f ca="1">IFERROR(__xludf.DUMMYFUNCTION("""COMPUTED_VALUE"""),69)</f>
        <v>69</v>
      </c>
      <c r="O64" s="12">
        <f ca="1">IFERROR(__xludf.DUMMYFUNCTION("""COMPUTED_VALUE"""),8)</f>
        <v>8</v>
      </c>
      <c r="P64" s="12">
        <f ca="1">IFERROR(__xludf.DUMMYFUNCTION("""COMPUTED_VALUE"""),12)</f>
        <v>12</v>
      </c>
      <c r="Q64" s="12">
        <f ca="1">IFERROR(__xludf.DUMMYFUNCTION("""COMPUTED_VALUE"""),15)</f>
        <v>15</v>
      </c>
      <c r="R64" s="12">
        <f ca="1">IFERROR(__xludf.DUMMYFUNCTION("""COMPUTED_VALUE"""),40)</f>
        <v>40</v>
      </c>
      <c r="S64" s="12">
        <f ca="1">IFERROR(__xludf.DUMMYFUNCTION("""COMPUTED_VALUE"""),78)</f>
        <v>78</v>
      </c>
      <c r="T64" s="12">
        <f ca="1">IFERROR(__xludf.DUMMYFUNCTION("""COMPUTED_VALUE"""),145)</f>
        <v>145</v>
      </c>
      <c r="U64" s="12">
        <f ca="1">IFERROR(__xludf.DUMMYFUNCTION("""COMPUTED_VALUE"""),118)</f>
        <v>118</v>
      </c>
    </row>
    <row r="65" spans="1:21" x14ac:dyDescent="0.25">
      <c r="A65" s="11">
        <f ca="1">IFERROR(__xludf.DUMMYFUNCTION("""COMPUTED_VALUE"""),43953)</f>
        <v>43953</v>
      </c>
      <c r="B65" s="12">
        <f ca="1">IFERROR(__xludf.DUMMYFUNCTION("""COMPUTED_VALUE"""),10843)</f>
        <v>10843</v>
      </c>
      <c r="C65" s="12">
        <f ca="1">IFERROR(__xludf.DUMMYFUNCTION("""COMPUTED_VALUE"""),8347)</f>
        <v>8347</v>
      </c>
      <c r="D65" s="12">
        <f ca="1">IFERROR(__xludf.DUMMYFUNCTION("""COMPUTED_VALUE"""),1665)</f>
        <v>1665</v>
      </c>
      <c r="E65" s="12">
        <f ca="1">IFERROR(__xludf.DUMMYFUNCTION("""COMPUTED_VALUE"""),831)</f>
        <v>831</v>
      </c>
      <c r="F65" s="12">
        <f ca="1">IFERROR(__xludf.DUMMYFUNCTION("""COMPUTED_VALUE"""),400)</f>
        <v>400</v>
      </c>
      <c r="G65" s="12">
        <f ca="1">IFERROR(__xludf.DUMMYFUNCTION("""COMPUTED_VALUE"""),562)</f>
        <v>562</v>
      </c>
      <c r="H65" s="12">
        <f ca="1">IFERROR(__xludf.DUMMYFUNCTION("""COMPUTED_VALUE"""),1304)</f>
        <v>1304</v>
      </c>
      <c r="I65" s="12">
        <f ca="1">IFERROR(__xludf.DUMMYFUNCTION("""COMPUTED_VALUE"""),2089)</f>
        <v>2089</v>
      </c>
      <c r="J65" s="12">
        <f ca="1">IFERROR(__xludf.DUMMYFUNCTION("""COMPUTED_VALUE"""),4355)</f>
        <v>4355</v>
      </c>
      <c r="K65" s="12">
        <f ca="1">IFERROR(__xludf.DUMMYFUNCTION("""COMPUTED_VALUE"""),3393)</f>
        <v>3393</v>
      </c>
      <c r="L65" s="12">
        <f ca="1">IFERROR(__xludf.DUMMYFUNCTION("""COMPUTED_VALUE"""),292)</f>
        <v>292</v>
      </c>
      <c r="M65" s="12">
        <f ca="1">IFERROR(__xludf.DUMMYFUNCTION("""COMPUTED_VALUE"""),187)</f>
        <v>187</v>
      </c>
      <c r="N65" s="12">
        <f ca="1">IFERROR(__xludf.DUMMYFUNCTION("""COMPUTED_VALUE"""),74)</f>
        <v>74</v>
      </c>
      <c r="O65" s="12">
        <f ca="1">IFERROR(__xludf.DUMMYFUNCTION("""COMPUTED_VALUE"""),31)</f>
        <v>31</v>
      </c>
      <c r="P65" s="12">
        <f ca="1">IFERROR(__xludf.DUMMYFUNCTION("""COMPUTED_VALUE"""),7)</f>
        <v>7</v>
      </c>
      <c r="Q65" s="12">
        <f ca="1">IFERROR(__xludf.DUMMYFUNCTION("""COMPUTED_VALUE"""),135)</f>
        <v>135</v>
      </c>
      <c r="R65" s="12">
        <f ca="1">IFERROR(__xludf.DUMMYFUNCTION("""COMPUTED_VALUE"""),-8)</f>
        <v>-8</v>
      </c>
      <c r="S65" s="12">
        <f ca="1">IFERROR(__xludf.DUMMYFUNCTION("""COMPUTED_VALUE"""),-62)</f>
        <v>-62</v>
      </c>
      <c r="T65" s="12">
        <f ca="1">IFERROR(__xludf.DUMMYFUNCTION("""COMPUTED_VALUE"""),72)</f>
        <v>72</v>
      </c>
      <c r="U65" s="12">
        <f ca="1">IFERROR(__xludf.DUMMYFUNCTION("""COMPUTED_VALUE"""),-70)</f>
        <v>-70</v>
      </c>
    </row>
    <row r="66" spans="1:21" x14ac:dyDescent="0.25">
      <c r="A66" s="11">
        <f ca="1">IFERROR(__xludf.DUMMYFUNCTION("""COMPUTED_VALUE"""),43954)</f>
        <v>43954</v>
      </c>
      <c r="B66" s="12">
        <f ca="1">IFERROR(__xludf.DUMMYFUNCTION("""COMPUTED_VALUE"""),11192)</f>
        <v>11192</v>
      </c>
      <c r="C66" s="12">
        <f ca="1">IFERROR(__xludf.DUMMYFUNCTION("""COMPUTED_VALUE"""),8471)</f>
        <v>8471</v>
      </c>
      <c r="D66" s="12">
        <f ca="1">IFERROR(__xludf.DUMMYFUNCTION("""COMPUTED_VALUE"""),1876)</f>
        <v>1876</v>
      </c>
      <c r="E66" s="12">
        <f ca="1">IFERROR(__xludf.DUMMYFUNCTION("""COMPUTED_VALUE"""),845)</f>
        <v>845</v>
      </c>
      <c r="F66" s="12">
        <f ca="1">IFERROR(__xludf.DUMMYFUNCTION("""COMPUTED_VALUE"""),410)</f>
        <v>410</v>
      </c>
      <c r="G66" s="12">
        <f ca="1">IFERROR(__xludf.DUMMYFUNCTION("""COMPUTED_VALUE"""),622)</f>
        <v>622</v>
      </c>
      <c r="H66" s="12">
        <f ca="1">IFERROR(__xludf.DUMMYFUNCTION("""COMPUTED_VALUE"""),1323)</f>
        <v>1323</v>
      </c>
      <c r="I66" s="12">
        <f ca="1">IFERROR(__xludf.DUMMYFUNCTION("""COMPUTED_VALUE"""),2062)</f>
        <v>2062</v>
      </c>
      <c r="J66" s="12">
        <f ca="1">IFERROR(__xludf.DUMMYFUNCTION("""COMPUTED_VALUE"""),4417)</f>
        <v>4417</v>
      </c>
      <c r="K66" s="12">
        <f ca="1">IFERROR(__xludf.DUMMYFUNCTION("""COMPUTED_VALUE"""),3385)</f>
        <v>3385</v>
      </c>
      <c r="L66" s="12">
        <f ca="1">IFERROR(__xludf.DUMMYFUNCTION("""COMPUTED_VALUE"""),349)</f>
        <v>349</v>
      </c>
      <c r="M66" s="12">
        <f ca="1">IFERROR(__xludf.DUMMYFUNCTION("""COMPUTED_VALUE"""),124)</f>
        <v>124</v>
      </c>
      <c r="N66" s="12">
        <f ca="1">IFERROR(__xludf.DUMMYFUNCTION("""COMPUTED_VALUE"""),211)</f>
        <v>211</v>
      </c>
      <c r="O66" s="12">
        <f ca="1">IFERROR(__xludf.DUMMYFUNCTION("""COMPUTED_VALUE"""),14)</f>
        <v>14</v>
      </c>
      <c r="P66" s="12">
        <f ca="1">IFERROR(__xludf.DUMMYFUNCTION("""COMPUTED_VALUE"""),10)</f>
        <v>10</v>
      </c>
      <c r="Q66" s="12">
        <f ca="1">IFERROR(__xludf.DUMMYFUNCTION("""COMPUTED_VALUE"""),60)</f>
        <v>60</v>
      </c>
      <c r="R66" s="12">
        <f ca="1">IFERROR(__xludf.DUMMYFUNCTION("""COMPUTED_VALUE"""),19)</f>
        <v>19</v>
      </c>
      <c r="S66" s="12">
        <f ca="1">IFERROR(__xludf.DUMMYFUNCTION("""COMPUTED_VALUE"""),-27)</f>
        <v>-27</v>
      </c>
      <c r="T66" s="12">
        <f ca="1">IFERROR(__xludf.DUMMYFUNCTION("""COMPUTED_VALUE"""),62)</f>
        <v>62</v>
      </c>
      <c r="U66" s="12">
        <f ca="1">IFERROR(__xludf.DUMMYFUNCTION("""COMPUTED_VALUE"""),-8)</f>
        <v>-8</v>
      </c>
    </row>
    <row r="67" spans="1:21" x14ac:dyDescent="0.25">
      <c r="A67" s="11">
        <f ca="1">IFERROR(__xludf.DUMMYFUNCTION("""COMPUTED_VALUE"""),43955)</f>
        <v>43955</v>
      </c>
      <c r="B67" s="12">
        <f ca="1">IFERROR(__xludf.DUMMYFUNCTION("""COMPUTED_VALUE"""),11587)</f>
        <v>11587</v>
      </c>
      <c r="C67" s="12">
        <f ca="1">IFERROR(__xludf.DUMMYFUNCTION("""COMPUTED_VALUE"""),8769)</f>
        <v>8769</v>
      </c>
      <c r="D67" s="12">
        <f ca="1">IFERROR(__xludf.DUMMYFUNCTION("""COMPUTED_VALUE"""),1954)</f>
        <v>1954</v>
      </c>
      <c r="E67" s="12">
        <f ca="1">IFERROR(__xludf.DUMMYFUNCTION("""COMPUTED_VALUE"""),864)</f>
        <v>864</v>
      </c>
      <c r="F67" s="12">
        <f ca="1">IFERROR(__xludf.DUMMYFUNCTION("""COMPUTED_VALUE"""),412)</f>
        <v>412</v>
      </c>
      <c r="G67" s="12">
        <f ca="1">IFERROR(__xludf.DUMMYFUNCTION("""COMPUTED_VALUE"""),650)</f>
        <v>650</v>
      </c>
      <c r="H67" s="12">
        <f ca="1">IFERROR(__xludf.DUMMYFUNCTION("""COMPUTED_VALUE"""),1330)</f>
        <v>1330</v>
      </c>
      <c r="I67" s="12">
        <f ca="1">IFERROR(__xludf.DUMMYFUNCTION("""COMPUTED_VALUE"""),2080)</f>
        <v>2080</v>
      </c>
      <c r="J67" s="12">
        <f ca="1">IFERROR(__xludf.DUMMYFUNCTION("""COMPUTED_VALUE"""),4472)</f>
        <v>4472</v>
      </c>
      <c r="K67" s="12">
        <f ca="1">IFERROR(__xludf.DUMMYFUNCTION("""COMPUTED_VALUE"""),3410)</f>
        <v>3410</v>
      </c>
      <c r="L67" s="12">
        <f ca="1">IFERROR(__xludf.DUMMYFUNCTION("""COMPUTED_VALUE"""),395)</f>
        <v>395</v>
      </c>
      <c r="M67" s="12">
        <f ca="1">IFERROR(__xludf.DUMMYFUNCTION("""COMPUTED_VALUE"""),298)</f>
        <v>298</v>
      </c>
      <c r="N67" s="12">
        <f ca="1">IFERROR(__xludf.DUMMYFUNCTION("""COMPUTED_VALUE"""),78)</f>
        <v>78</v>
      </c>
      <c r="O67" s="12">
        <f ca="1">IFERROR(__xludf.DUMMYFUNCTION("""COMPUTED_VALUE"""),19)</f>
        <v>19</v>
      </c>
      <c r="P67" s="12">
        <f ca="1">IFERROR(__xludf.DUMMYFUNCTION("""COMPUTED_VALUE"""),2)</f>
        <v>2</v>
      </c>
      <c r="Q67" s="12">
        <f ca="1">IFERROR(__xludf.DUMMYFUNCTION("""COMPUTED_VALUE"""),28)</f>
        <v>28</v>
      </c>
      <c r="R67" s="12">
        <f ca="1">IFERROR(__xludf.DUMMYFUNCTION("""COMPUTED_VALUE"""),7)</f>
        <v>7</v>
      </c>
      <c r="S67" s="12">
        <f ca="1">IFERROR(__xludf.DUMMYFUNCTION("""COMPUTED_VALUE"""),18)</f>
        <v>18</v>
      </c>
      <c r="T67" s="12">
        <f ca="1">IFERROR(__xludf.DUMMYFUNCTION("""COMPUTED_VALUE"""),55)</f>
        <v>55</v>
      </c>
      <c r="U67" s="12">
        <f ca="1">IFERROR(__xludf.DUMMYFUNCTION("""COMPUTED_VALUE"""),25)</f>
        <v>25</v>
      </c>
    </row>
    <row r="68" spans="1:21" x14ac:dyDescent="0.25">
      <c r="A68" s="11">
        <f ca="1">IFERROR(__xludf.DUMMYFUNCTION("""COMPUTED_VALUE"""),43956)</f>
        <v>43956</v>
      </c>
      <c r="B68" s="12">
        <f ca="1">IFERROR(__xludf.DUMMYFUNCTION("""COMPUTED_VALUE"""),12071)</f>
        <v>12071</v>
      </c>
      <c r="C68" s="12">
        <f ca="1">IFERROR(__xludf.DUMMYFUNCTION("""COMPUTED_VALUE"""),9002)</f>
        <v>9002</v>
      </c>
      <c r="D68" s="12">
        <f ca="1">IFERROR(__xludf.DUMMYFUNCTION("""COMPUTED_VALUE"""),2197)</f>
        <v>2197</v>
      </c>
      <c r="E68" s="12">
        <f ca="1">IFERROR(__xludf.DUMMYFUNCTION("""COMPUTED_VALUE"""),872)</f>
        <v>872</v>
      </c>
      <c r="F68" s="12">
        <f ca="1">IFERROR(__xludf.DUMMYFUNCTION("""COMPUTED_VALUE"""),414)</f>
        <v>414</v>
      </c>
      <c r="G68" s="12">
        <f ca="1">IFERROR(__xludf.DUMMYFUNCTION("""COMPUTED_VALUE"""),711)</f>
        <v>711</v>
      </c>
      <c r="H68" s="12">
        <f ca="1">IFERROR(__xludf.DUMMYFUNCTION("""COMPUTED_VALUE"""),1370)</f>
        <v>1370</v>
      </c>
      <c r="I68" s="12">
        <f ca="1">IFERROR(__xludf.DUMMYFUNCTION("""COMPUTED_VALUE"""),2146)</f>
        <v>2146</v>
      </c>
      <c r="J68" s="12">
        <f ca="1">IFERROR(__xludf.DUMMYFUNCTION("""COMPUTED_VALUE"""),4641)</f>
        <v>4641</v>
      </c>
      <c r="K68" s="12">
        <f ca="1">IFERROR(__xludf.DUMMYFUNCTION("""COMPUTED_VALUE"""),3516)</f>
        <v>3516</v>
      </c>
      <c r="L68" s="12">
        <f ca="1">IFERROR(__xludf.DUMMYFUNCTION("""COMPUTED_VALUE"""),484)</f>
        <v>484</v>
      </c>
      <c r="M68" s="12">
        <f ca="1">IFERROR(__xludf.DUMMYFUNCTION("""COMPUTED_VALUE"""),233)</f>
        <v>233</v>
      </c>
      <c r="N68" s="12">
        <f ca="1">IFERROR(__xludf.DUMMYFUNCTION("""COMPUTED_VALUE"""),243)</f>
        <v>243</v>
      </c>
      <c r="O68" s="12">
        <f ca="1">IFERROR(__xludf.DUMMYFUNCTION("""COMPUTED_VALUE"""),8)</f>
        <v>8</v>
      </c>
      <c r="P68" s="12">
        <f ca="1">IFERROR(__xludf.DUMMYFUNCTION("""COMPUTED_VALUE"""),2)</f>
        <v>2</v>
      </c>
      <c r="Q68" s="12">
        <f ca="1">IFERROR(__xludf.DUMMYFUNCTION("""COMPUTED_VALUE"""),61)</f>
        <v>61</v>
      </c>
      <c r="R68" s="12">
        <f ca="1">IFERROR(__xludf.DUMMYFUNCTION("""COMPUTED_VALUE"""),40)</f>
        <v>40</v>
      </c>
      <c r="S68" s="12">
        <f ca="1">IFERROR(__xludf.DUMMYFUNCTION("""COMPUTED_VALUE"""),66)</f>
        <v>66</v>
      </c>
      <c r="T68" s="12">
        <f ca="1">IFERROR(__xludf.DUMMYFUNCTION("""COMPUTED_VALUE"""),169)</f>
        <v>169</v>
      </c>
      <c r="U68" s="12">
        <f ca="1">IFERROR(__xludf.DUMMYFUNCTION("""COMPUTED_VALUE"""),106)</f>
        <v>106</v>
      </c>
    </row>
    <row r="69" spans="1:21" x14ac:dyDescent="0.25">
      <c r="A69" s="11">
        <f ca="1">IFERROR(__xludf.DUMMYFUNCTION("""COMPUTED_VALUE"""),43957)</f>
        <v>43957</v>
      </c>
      <c r="B69" s="12">
        <f ca="1">IFERROR(__xludf.DUMMYFUNCTION("""COMPUTED_VALUE"""),12438)</f>
        <v>12438</v>
      </c>
      <c r="C69" s="12">
        <f ca="1">IFERROR(__xludf.DUMMYFUNCTION("""COMPUTED_VALUE"""),9226)</f>
        <v>9226</v>
      </c>
      <c r="D69" s="12">
        <f ca="1">IFERROR(__xludf.DUMMYFUNCTION("""COMPUTED_VALUE"""),2317)</f>
        <v>2317</v>
      </c>
      <c r="E69" s="12">
        <f ca="1">IFERROR(__xludf.DUMMYFUNCTION("""COMPUTED_VALUE"""),895)</f>
        <v>895</v>
      </c>
      <c r="F69" s="12">
        <f ca="1">IFERROR(__xludf.DUMMYFUNCTION("""COMPUTED_VALUE"""),420)</f>
        <v>420</v>
      </c>
      <c r="G69" s="12">
        <f ca="1">IFERROR(__xludf.DUMMYFUNCTION("""COMPUTED_VALUE"""),713)</f>
        <v>713</v>
      </c>
      <c r="H69" s="12">
        <f ca="1">IFERROR(__xludf.DUMMYFUNCTION("""COMPUTED_VALUE"""),1381)</f>
        <v>1381</v>
      </c>
      <c r="I69" s="12">
        <f ca="1">IFERROR(__xludf.DUMMYFUNCTION("""COMPUTED_VALUE"""),2195)</f>
        <v>2195</v>
      </c>
      <c r="J69" s="12">
        <f ca="1">IFERROR(__xludf.DUMMYFUNCTION("""COMPUTED_VALUE"""),4709)</f>
        <v>4709</v>
      </c>
      <c r="K69" s="12">
        <f ca="1">IFERROR(__xludf.DUMMYFUNCTION("""COMPUTED_VALUE"""),3576)</f>
        <v>3576</v>
      </c>
      <c r="L69" s="12">
        <f ca="1">IFERROR(__xludf.DUMMYFUNCTION("""COMPUTED_VALUE"""),367)</f>
        <v>367</v>
      </c>
      <c r="M69" s="12">
        <f ca="1">IFERROR(__xludf.DUMMYFUNCTION("""COMPUTED_VALUE"""),224)</f>
        <v>224</v>
      </c>
      <c r="N69" s="12">
        <f ca="1">IFERROR(__xludf.DUMMYFUNCTION("""COMPUTED_VALUE"""),120)</f>
        <v>120</v>
      </c>
      <c r="O69" s="12">
        <f ca="1">IFERROR(__xludf.DUMMYFUNCTION("""COMPUTED_VALUE"""),23)</f>
        <v>23</v>
      </c>
      <c r="P69" s="12">
        <f ca="1">IFERROR(__xludf.DUMMYFUNCTION("""COMPUTED_VALUE"""),6)</f>
        <v>6</v>
      </c>
      <c r="Q69" s="12">
        <f ca="1">IFERROR(__xludf.DUMMYFUNCTION("""COMPUTED_VALUE"""),2)</f>
        <v>2</v>
      </c>
      <c r="R69" s="12">
        <f ca="1">IFERROR(__xludf.DUMMYFUNCTION("""COMPUTED_VALUE"""),11)</f>
        <v>11</v>
      </c>
      <c r="S69" s="12">
        <f ca="1">IFERROR(__xludf.DUMMYFUNCTION("""COMPUTED_VALUE"""),49)</f>
        <v>49</v>
      </c>
      <c r="T69" s="12">
        <f ca="1">IFERROR(__xludf.DUMMYFUNCTION("""COMPUTED_VALUE"""),68)</f>
        <v>68</v>
      </c>
      <c r="U69" s="12">
        <f ca="1">IFERROR(__xludf.DUMMYFUNCTION("""COMPUTED_VALUE"""),60)</f>
        <v>60</v>
      </c>
    </row>
    <row r="70" spans="1:21" x14ac:dyDescent="0.25">
      <c r="A70" s="11">
        <f ca="1">IFERROR(__xludf.DUMMYFUNCTION("""COMPUTED_VALUE"""),43958)</f>
        <v>43958</v>
      </c>
      <c r="B70" s="12">
        <f ca="1">IFERROR(__xludf.DUMMYFUNCTION("""COMPUTED_VALUE"""),12776)</f>
        <v>12776</v>
      </c>
      <c r="C70" s="12">
        <f ca="1">IFERROR(__xludf.DUMMYFUNCTION("""COMPUTED_VALUE"""),9465)</f>
        <v>9465</v>
      </c>
      <c r="D70" s="12">
        <f ca="1">IFERROR(__xludf.DUMMYFUNCTION("""COMPUTED_VALUE"""),2381)</f>
        <v>2381</v>
      </c>
      <c r="E70" s="12">
        <f ca="1">IFERROR(__xludf.DUMMYFUNCTION("""COMPUTED_VALUE"""),930)</f>
        <v>930</v>
      </c>
      <c r="F70" s="12">
        <f ca="1">IFERROR(__xludf.DUMMYFUNCTION("""COMPUTED_VALUE"""),430)</f>
        <v>430</v>
      </c>
      <c r="G70" s="12">
        <f ca="1">IFERROR(__xludf.DUMMYFUNCTION("""COMPUTED_VALUE"""),718)</f>
        <v>718</v>
      </c>
      <c r="H70" s="12">
        <f ca="1">IFERROR(__xludf.DUMMYFUNCTION("""COMPUTED_VALUE"""),1431)</f>
        <v>1431</v>
      </c>
      <c r="I70" s="12">
        <f ca="1">IFERROR(__xludf.DUMMYFUNCTION("""COMPUTED_VALUE"""),2196)</f>
        <v>2196</v>
      </c>
      <c r="J70" s="12">
        <f ca="1">IFERROR(__xludf.DUMMYFUNCTION("""COMPUTED_VALUE"""),4775)</f>
        <v>4775</v>
      </c>
      <c r="K70" s="12">
        <f ca="1">IFERROR(__xludf.DUMMYFUNCTION("""COMPUTED_VALUE"""),3627)</f>
        <v>3627</v>
      </c>
      <c r="L70" s="12">
        <f ca="1">IFERROR(__xludf.DUMMYFUNCTION("""COMPUTED_VALUE"""),338)</f>
        <v>338</v>
      </c>
      <c r="M70" s="12">
        <f ca="1">IFERROR(__xludf.DUMMYFUNCTION("""COMPUTED_VALUE"""),239)</f>
        <v>239</v>
      </c>
      <c r="N70" s="12">
        <f ca="1">IFERROR(__xludf.DUMMYFUNCTION("""COMPUTED_VALUE"""),64)</f>
        <v>64</v>
      </c>
      <c r="O70" s="12">
        <f ca="1">IFERROR(__xludf.DUMMYFUNCTION("""COMPUTED_VALUE"""),35)</f>
        <v>35</v>
      </c>
      <c r="P70" s="12">
        <f ca="1">IFERROR(__xludf.DUMMYFUNCTION("""COMPUTED_VALUE"""),10)</f>
        <v>10</v>
      </c>
      <c r="Q70" s="12">
        <f ca="1">IFERROR(__xludf.DUMMYFUNCTION("""COMPUTED_VALUE"""),5)</f>
        <v>5</v>
      </c>
      <c r="R70" s="12">
        <f ca="1">IFERROR(__xludf.DUMMYFUNCTION("""COMPUTED_VALUE"""),50)</f>
        <v>50</v>
      </c>
      <c r="S70" s="12">
        <f ca="1">IFERROR(__xludf.DUMMYFUNCTION("""COMPUTED_VALUE"""),1)</f>
        <v>1</v>
      </c>
      <c r="T70" s="12">
        <f ca="1">IFERROR(__xludf.DUMMYFUNCTION("""COMPUTED_VALUE"""),66)</f>
        <v>66</v>
      </c>
      <c r="U70" s="12">
        <f ca="1">IFERROR(__xludf.DUMMYFUNCTION("""COMPUTED_VALUE"""),51)</f>
        <v>51</v>
      </c>
    </row>
    <row r="71" spans="1:21" x14ac:dyDescent="0.25">
      <c r="A71" s="11">
        <f ca="1">IFERROR(__xludf.DUMMYFUNCTION("""COMPUTED_VALUE"""),43959)</f>
        <v>43959</v>
      </c>
      <c r="B71" s="12">
        <f ca="1">IFERROR(__xludf.DUMMYFUNCTION("""COMPUTED_VALUE"""),13112)</f>
        <v>13112</v>
      </c>
      <c r="C71" s="12">
        <f ca="1">IFERROR(__xludf.DUMMYFUNCTION("""COMPUTED_VALUE"""),9675)</f>
        <v>9675</v>
      </c>
      <c r="D71" s="12">
        <f ca="1">IFERROR(__xludf.DUMMYFUNCTION("""COMPUTED_VALUE"""),2494)</f>
        <v>2494</v>
      </c>
      <c r="E71" s="12">
        <f ca="1">IFERROR(__xludf.DUMMYFUNCTION("""COMPUTED_VALUE"""),943)</f>
        <v>943</v>
      </c>
      <c r="F71" s="12">
        <f ca="1">IFERROR(__xludf.DUMMYFUNCTION("""COMPUTED_VALUE"""),431)</f>
        <v>431</v>
      </c>
      <c r="G71" s="12">
        <f ca="1">IFERROR(__xludf.DUMMYFUNCTION("""COMPUTED_VALUE"""),763)</f>
        <v>763</v>
      </c>
      <c r="H71" s="12">
        <f ca="1">IFERROR(__xludf.DUMMYFUNCTION("""COMPUTED_VALUE"""),1426)</f>
        <v>1426</v>
      </c>
      <c r="I71" s="12">
        <f ca="1">IFERROR(__xludf.DUMMYFUNCTION("""COMPUTED_VALUE"""),2281)</f>
        <v>2281</v>
      </c>
      <c r="J71" s="12">
        <f ca="1">IFERROR(__xludf.DUMMYFUNCTION("""COMPUTED_VALUE"""),4901)</f>
        <v>4901</v>
      </c>
      <c r="K71" s="12">
        <f ca="1">IFERROR(__xludf.DUMMYFUNCTION("""COMPUTED_VALUE"""),3707)</f>
        <v>3707</v>
      </c>
      <c r="L71" s="12">
        <f ca="1">IFERROR(__xludf.DUMMYFUNCTION("""COMPUTED_VALUE"""),336)</f>
        <v>336</v>
      </c>
      <c r="M71" s="12">
        <f ca="1">IFERROR(__xludf.DUMMYFUNCTION("""COMPUTED_VALUE"""),210)</f>
        <v>210</v>
      </c>
      <c r="N71" s="12">
        <f ca="1">IFERROR(__xludf.DUMMYFUNCTION("""COMPUTED_VALUE"""),113)</f>
        <v>113</v>
      </c>
      <c r="O71" s="12">
        <f ca="1">IFERROR(__xludf.DUMMYFUNCTION("""COMPUTED_VALUE"""),13)</f>
        <v>13</v>
      </c>
      <c r="P71" s="12">
        <f ca="1">IFERROR(__xludf.DUMMYFUNCTION("""COMPUTED_VALUE"""),1)</f>
        <v>1</v>
      </c>
      <c r="Q71" s="12">
        <f ca="1">IFERROR(__xludf.DUMMYFUNCTION("""COMPUTED_VALUE"""),45)</f>
        <v>45</v>
      </c>
      <c r="R71" s="12">
        <f ca="1">IFERROR(__xludf.DUMMYFUNCTION("""COMPUTED_VALUE"""),-5)</f>
        <v>-5</v>
      </c>
      <c r="S71" s="12">
        <f ca="1">IFERROR(__xludf.DUMMYFUNCTION("""COMPUTED_VALUE"""),85)</f>
        <v>85</v>
      </c>
      <c r="T71" s="12">
        <f ca="1">IFERROR(__xludf.DUMMYFUNCTION("""COMPUTED_VALUE"""),126)</f>
        <v>126</v>
      </c>
      <c r="U71" s="12">
        <f ca="1">IFERROR(__xludf.DUMMYFUNCTION("""COMPUTED_VALUE"""),80)</f>
        <v>80</v>
      </c>
    </row>
    <row r="72" spans="1:21" x14ac:dyDescent="0.25">
      <c r="A72" s="11">
        <f ca="1">IFERROR(__xludf.DUMMYFUNCTION("""COMPUTED_VALUE"""),43960)</f>
        <v>43960</v>
      </c>
      <c r="B72" s="12">
        <f ca="1">IFERROR(__xludf.DUMMYFUNCTION("""COMPUTED_VALUE"""),13645)</f>
        <v>13645</v>
      </c>
      <c r="C72" s="12">
        <f ca="1">IFERROR(__xludf.DUMMYFUNCTION("""COMPUTED_VALUE"""),10079)</f>
        <v>10079</v>
      </c>
      <c r="D72" s="12">
        <f ca="1">IFERROR(__xludf.DUMMYFUNCTION("""COMPUTED_VALUE"""),2607)</f>
        <v>2607</v>
      </c>
      <c r="E72" s="12">
        <f ca="1">IFERROR(__xludf.DUMMYFUNCTION("""COMPUTED_VALUE"""),959)</f>
        <v>959</v>
      </c>
      <c r="F72" s="12">
        <f ca="1">IFERROR(__xludf.DUMMYFUNCTION("""COMPUTED_VALUE"""),437)</f>
        <v>437</v>
      </c>
      <c r="G72" s="12">
        <f ca="1">IFERROR(__xludf.DUMMYFUNCTION("""COMPUTED_VALUE"""),767)</f>
        <v>767</v>
      </c>
      <c r="H72" s="12">
        <f ca="1">IFERROR(__xludf.DUMMYFUNCTION("""COMPUTED_VALUE"""),1442)</f>
        <v>1442</v>
      </c>
      <c r="I72" s="12">
        <f ca="1">IFERROR(__xludf.DUMMYFUNCTION("""COMPUTED_VALUE"""),2312)</f>
        <v>2312</v>
      </c>
      <c r="J72" s="12">
        <f ca="1">IFERROR(__xludf.DUMMYFUNCTION("""COMPUTED_VALUE"""),4958)</f>
        <v>4958</v>
      </c>
      <c r="K72" s="12">
        <f ca="1">IFERROR(__xludf.DUMMYFUNCTION("""COMPUTED_VALUE"""),3754)</f>
        <v>3754</v>
      </c>
      <c r="L72" s="12">
        <f ca="1">IFERROR(__xludf.DUMMYFUNCTION("""COMPUTED_VALUE"""),533)</f>
        <v>533</v>
      </c>
      <c r="M72" s="12">
        <f ca="1">IFERROR(__xludf.DUMMYFUNCTION("""COMPUTED_VALUE"""),404)</f>
        <v>404</v>
      </c>
      <c r="N72" s="12">
        <f ca="1">IFERROR(__xludf.DUMMYFUNCTION("""COMPUTED_VALUE"""),113)</f>
        <v>113</v>
      </c>
      <c r="O72" s="12">
        <f ca="1">IFERROR(__xludf.DUMMYFUNCTION("""COMPUTED_VALUE"""),16)</f>
        <v>16</v>
      </c>
      <c r="P72" s="12">
        <f ca="1">IFERROR(__xludf.DUMMYFUNCTION("""COMPUTED_VALUE"""),6)</f>
        <v>6</v>
      </c>
      <c r="Q72" s="12">
        <f ca="1">IFERROR(__xludf.DUMMYFUNCTION("""COMPUTED_VALUE"""),4)</f>
        <v>4</v>
      </c>
      <c r="R72" s="12">
        <f ca="1">IFERROR(__xludf.DUMMYFUNCTION("""COMPUTED_VALUE"""),16)</f>
        <v>16</v>
      </c>
      <c r="S72" s="12">
        <f ca="1">IFERROR(__xludf.DUMMYFUNCTION("""COMPUTED_VALUE"""),31)</f>
        <v>31</v>
      </c>
      <c r="T72" s="12">
        <f ca="1">IFERROR(__xludf.DUMMYFUNCTION("""COMPUTED_VALUE"""),57)</f>
        <v>57</v>
      </c>
      <c r="U72" s="12">
        <f ca="1">IFERROR(__xludf.DUMMYFUNCTION("""COMPUTED_VALUE"""),47)</f>
        <v>47</v>
      </c>
    </row>
    <row r="73" spans="1:21" x14ac:dyDescent="0.25">
      <c r="A73" s="11">
        <f ca="1">IFERROR(__xludf.DUMMYFUNCTION("""COMPUTED_VALUE"""),43961)</f>
        <v>43961</v>
      </c>
      <c r="B73" s="12">
        <f ca="1">IFERROR(__xludf.DUMMYFUNCTION("""COMPUTED_VALUE"""),14032)</f>
        <v>14032</v>
      </c>
      <c r="C73" s="12">
        <f ca="1">IFERROR(__xludf.DUMMYFUNCTION("""COMPUTED_VALUE"""),10361)</f>
        <v>10361</v>
      </c>
      <c r="D73" s="12">
        <f ca="1">IFERROR(__xludf.DUMMYFUNCTION("""COMPUTED_VALUE"""),2698)</f>
        <v>2698</v>
      </c>
      <c r="E73" s="12">
        <f ca="1">IFERROR(__xludf.DUMMYFUNCTION("""COMPUTED_VALUE"""),973)</f>
        <v>973</v>
      </c>
      <c r="F73" s="12">
        <f ca="1">IFERROR(__xludf.DUMMYFUNCTION("""COMPUTED_VALUE"""),444)</f>
        <v>444</v>
      </c>
      <c r="G73" s="12">
        <f ca="1">IFERROR(__xludf.DUMMYFUNCTION("""COMPUTED_VALUE"""),803)</f>
        <v>803</v>
      </c>
      <c r="H73" s="12">
        <f ca="1">IFERROR(__xludf.DUMMYFUNCTION("""COMPUTED_VALUE"""),1533)</f>
        <v>1533</v>
      </c>
      <c r="I73" s="12">
        <f ca="1">IFERROR(__xludf.DUMMYFUNCTION("""COMPUTED_VALUE"""),2360)</f>
        <v>2360</v>
      </c>
      <c r="J73" s="12">
        <f ca="1">IFERROR(__xludf.DUMMYFUNCTION("""COMPUTED_VALUE"""),5140)</f>
        <v>5140</v>
      </c>
      <c r="K73" s="12">
        <f ca="1">IFERROR(__xludf.DUMMYFUNCTION("""COMPUTED_VALUE"""),3893)</f>
        <v>3893</v>
      </c>
      <c r="L73" s="12">
        <f ca="1">IFERROR(__xludf.DUMMYFUNCTION("""COMPUTED_VALUE"""),387)</f>
        <v>387</v>
      </c>
      <c r="M73" s="12">
        <f ca="1">IFERROR(__xludf.DUMMYFUNCTION("""COMPUTED_VALUE"""),282)</f>
        <v>282</v>
      </c>
      <c r="N73" s="12">
        <f ca="1">IFERROR(__xludf.DUMMYFUNCTION("""COMPUTED_VALUE"""),91)</f>
        <v>91</v>
      </c>
      <c r="O73" s="12">
        <f ca="1">IFERROR(__xludf.DUMMYFUNCTION("""COMPUTED_VALUE"""),14)</f>
        <v>14</v>
      </c>
      <c r="P73" s="12">
        <f ca="1">IFERROR(__xludf.DUMMYFUNCTION("""COMPUTED_VALUE"""),7)</f>
        <v>7</v>
      </c>
      <c r="Q73" s="12">
        <f ca="1">IFERROR(__xludf.DUMMYFUNCTION("""COMPUTED_VALUE"""),36)</f>
        <v>36</v>
      </c>
      <c r="R73" s="12">
        <f ca="1">IFERROR(__xludf.DUMMYFUNCTION("""COMPUTED_VALUE"""),91)</f>
        <v>91</v>
      </c>
      <c r="S73" s="12">
        <f ca="1">IFERROR(__xludf.DUMMYFUNCTION("""COMPUTED_VALUE"""),48)</f>
        <v>48</v>
      </c>
      <c r="T73" s="12">
        <f ca="1">IFERROR(__xludf.DUMMYFUNCTION("""COMPUTED_VALUE"""),182)</f>
        <v>182</v>
      </c>
      <c r="U73" s="12">
        <f ca="1">IFERROR(__xludf.DUMMYFUNCTION("""COMPUTED_VALUE"""),139)</f>
        <v>139</v>
      </c>
    </row>
    <row r="74" spans="1:21" x14ac:dyDescent="0.25">
      <c r="A74" s="11">
        <f ca="1">IFERROR(__xludf.DUMMYFUNCTION("""COMPUTED_VALUE"""),43962)</f>
        <v>43962</v>
      </c>
      <c r="B74" s="12">
        <f ca="1">IFERROR(__xludf.DUMMYFUNCTION("""COMPUTED_VALUE"""),14265)</f>
        <v>14265</v>
      </c>
      <c r="C74" s="12">
        <f ca="1">IFERROR(__xludf.DUMMYFUNCTION("""COMPUTED_VALUE"""),10393)</f>
        <v>10393</v>
      </c>
      <c r="D74" s="12">
        <f ca="1">IFERROR(__xludf.DUMMYFUNCTION("""COMPUTED_VALUE"""),2881)</f>
        <v>2881</v>
      </c>
      <c r="E74" s="12">
        <f ca="1">IFERROR(__xludf.DUMMYFUNCTION("""COMPUTED_VALUE"""),991)</f>
        <v>991</v>
      </c>
      <c r="F74" s="12">
        <f ca="1">IFERROR(__xludf.DUMMYFUNCTION("""COMPUTED_VALUE"""),453)</f>
        <v>453</v>
      </c>
      <c r="G74" s="12">
        <f ca="1">IFERROR(__xludf.DUMMYFUNCTION("""COMPUTED_VALUE"""),836)</f>
        <v>836</v>
      </c>
      <c r="H74" s="12">
        <f ca="1">IFERROR(__xludf.DUMMYFUNCTION("""COMPUTED_VALUE"""),1648)</f>
        <v>1648</v>
      </c>
      <c r="I74" s="12">
        <f ca="1">IFERROR(__xludf.DUMMYFUNCTION("""COMPUTED_VALUE"""),2258)</f>
        <v>2258</v>
      </c>
      <c r="J74" s="12">
        <f ca="1">IFERROR(__xludf.DUMMYFUNCTION("""COMPUTED_VALUE"""),5195)</f>
        <v>5195</v>
      </c>
      <c r="K74" s="12">
        <f ca="1">IFERROR(__xludf.DUMMYFUNCTION("""COMPUTED_VALUE"""),3906)</f>
        <v>3906</v>
      </c>
      <c r="L74" s="12">
        <f ca="1">IFERROR(__xludf.DUMMYFUNCTION("""COMPUTED_VALUE"""),233)</f>
        <v>233</v>
      </c>
      <c r="M74" s="12">
        <f ca="1">IFERROR(__xludf.DUMMYFUNCTION("""COMPUTED_VALUE"""),32)</f>
        <v>32</v>
      </c>
      <c r="N74" s="12">
        <f ca="1">IFERROR(__xludf.DUMMYFUNCTION("""COMPUTED_VALUE"""),183)</f>
        <v>183</v>
      </c>
      <c r="O74" s="12">
        <f ca="1">IFERROR(__xludf.DUMMYFUNCTION("""COMPUTED_VALUE"""),18)</f>
        <v>18</v>
      </c>
      <c r="P74" s="12">
        <f ca="1">IFERROR(__xludf.DUMMYFUNCTION("""COMPUTED_VALUE"""),9)</f>
        <v>9</v>
      </c>
      <c r="Q74" s="12">
        <f ca="1">IFERROR(__xludf.DUMMYFUNCTION("""COMPUTED_VALUE"""),33)</f>
        <v>33</v>
      </c>
      <c r="R74" s="12">
        <f ca="1">IFERROR(__xludf.DUMMYFUNCTION("""COMPUTED_VALUE"""),115)</f>
        <v>115</v>
      </c>
      <c r="S74" s="12">
        <f ca="1">IFERROR(__xludf.DUMMYFUNCTION("""COMPUTED_VALUE"""),-102)</f>
        <v>-102</v>
      </c>
      <c r="T74" s="12">
        <f ca="1">IFERROR(__xludf.DUMMYFUNCTION("""COMPUTED_VALUE"""),55)</f>
        <v>55</v>
      </c>
      <c r="U74" s="12">
        <f ca="1">IFERROR(__xludf.DUMMYFUNCTION("""COMPUTED_VALUE"""),13)</f>
        <v>13</v>
      </c>
    </row>
    <row r="75" spans="1:21" x14ac:dyDescent="0.25">
      <c r="A75" s="11">
        <f ca="1">IFERROR(__xludf.DUMMYFUNCTION("""COMPUTED_VALUE"""),43963)</f>
        <v>43963</v>
      </c>
      <c r="B75" s="12">
        <f ca="1">IFERROR(__xludf.DUMMYFUNCTION("""COMPUTED_VALUE"""),14749)</f>
        <v>14749</v>
      </c>
      <c r="C75" s="12">
        <f ca="1">IFERROR(__xludf.DUMMYFUNCTION("""COMPUTED_VALUE"""),10679)</f>
        <v>10679</v>
      </c>
      <c r="D75" s="12">
        <f ca="1">IFERROR(__xludf.DUMMYFUNCTION("""COMPUTED_VALUE"""),3063)</f>
        <v>3063</v>
      </c>
      <c r="E75" s="12">
        <f ca="1">IFERROR(__xludf.DUMMYFUNCTION("""COMPUTED_VALUE"""),1007)</f>
        <v>1007</v>
      </c>
      <c r="F75" s="12">
        <f ca="1">IFERROR(__xludf.DUMMYFUNCTION("""COMPUTED_VALUE"""),457)</f>
        <v>457</v>
      </c>
      <c r="G75" s="12">
        <f ca="1">IFERROR(__xludf.DUMMYFUNCTION("""COMPUTED_VALUE"""),1262)</f>
        <v>1262</v>
      </c>
      <c r="H75" s="12">
        <f ca="1">IFERROR(__xludf.DUMMYFUNCTION("""COMPUTED_VALUE"""),1741)</f>
        <v>1741</v>
      </c>
      <c r="I75" s="12">
        <f ca="1">IFERROR(__xludf.DUMMYFUNCTION("""COMPUTED_VALUE"""),1843)</f>
        <v>1843</v>
      </c>
      <c r="J75" s="12">
        <f ca="1">IFERROR(__xludf.DUMMYFUNCTION("""COMPUTED_VALUE"""),5303)</f>
        <v>5303</v>
      </c>
      <c r="K75" s="12">
        <f ca="1">IFERROR(__xludf.DUMMYFUNCTION("""COMPUTED_VALUE"""),3584)</f>
        <v>3584</v>
      </c>
      <c r="L75" s="12">
        <f ca="1">IFERROR(__xludf.DUMMYFUNCTION("""COMPUTED_VALUE"""),484)</f>
        <v>484</v>
      </c>
      <c r="M75" s="12">
        <f ca="1">IFERROR(__xludf.DUMMYFUNCTION("""COMPUTED_VALUE"""),286)</f>
        <v>286</v>
      </c>
      <c r="N75" s="12">
        <f ca="1">IFERROR(__xludf.DUMMYFUNCTION("""COMPUTED_VALUE"""),182)</f>
        <v>182</v>
      </c>
      <c r="O75" s="12">
        <f ca="1">IFERROR(__xludf.DUMMYFUNCTION("""COMPUTED_VALUE"""),16)</f>
        <v>16</v>
      </c>
      <c r="P75" s="12">
        <f ca="1">IFERROR(__xludf.DUMMYFUNCTION("""COMPUTED_VALUE"""),4)</f>
        <v>4</v>
      </c>
      <c r="Q75" s="12">
        <f ca="1">IFERROR(__xludf.DUMMYFUNCTION("""COMPUTED_VALUE"""),426)</f>
        <v>426</v>
      </c>
      <c r="R75" s="12">
        <f ca="1">IFERROR(__xludf.DUMMYFUNCTION("""COMPUTED_VALUE"""),93)</f>
        <v>93</v>
      </c>
      <c r="S75" s="12">
        <f ca="1">IFERROR(__xludf.DUMMYFUNCTION("""COMPUTED_VALUE"""),-415)</f>
        <v>-415</v>
      </c>
      <c r="T75" s="12">
        <f ca="1">IFERROR(__xludf.DUMMYFUNCTION("""COMPUTED_VALUE"""),108)</f>
        <v>108</v>
      </c>
      <c r="U75" s="12">
        <f ca="1">IFERROR(__xludf.DUMMYFUNCTION("""COMPUTED_VALUE"""),-322)</f>
        <v>-322</v>
      </c>
    </row>
    <row r="76" spans="1:21" x14ac:dyDescent="0.25">
      <c r="A76" s="11">
        <f ca="1">IFERROR(__xludf.DUMMYFUNCTION("""COMPUTED_VALUE"""),43964)</f>
        <v>43964</v>
      </c>
      <c r="B76" s="12">
        <f ca="1">IFERROR(__xludf.DUMMYFUNCTION("""COMPUTED_VALUE"""),15438)</f>
        <v>15438</v>
      </c>
      <c r="C76" s="12">
        <f ca="1">IFERROR(__xludf.DUMMYFUNCTION("""COMPUTED_VALUE"""),11123)</f>
        <v>11123</v>
      </c>
      <c r="D76" s="12">
        <f ca="1">IFERROR(__xludf.DUMMYFUNCTION("""COMPUTED_VALUE"""),3287)</f>
        <v>3287</v>
      </c>
      <c r="E76" s="12">
        <f ca="1">IFERROR(__xludf.DUMMYFUNCTION("""COMPUTED_VALUE"""),1028)</f>
        <v>1028</v>
      </c>
      <c r="F76" s="12">
        <f ca="1">IFERROR(__xludf.DUMMYFUNCTION("""COMPUTED_VALUE"""),461)</f>
        <v>461</v>
      </c>
      <c r="G76" s="12">
        <f ca="1">IFERROR(__xludf.DUMMYFUNCTION("""COMPUTED_VALUE"""),1277)</f>
        <v>1277</v>
      </c>
      <c r="H76" s="12">
        <f ca="1">IFERROR(__xludf.DUMMYFUNCTION("""COMPUTED_VALUE"""),1866)</f>
        <v>1866</v>
      </c>
      <c r="I76" s="12">
        <f ca="1">IFERROR(__xludf.DUMMYFUNCTION("""COMPUTED_VALUE"""),1833)</f>
        <v>1833</v>
      </c>
      <c r="J76" s="12">
        <f ca="1">IFERROR(__xludf.DUMMYFUNCTION("""COMPUTED_VALUE"""),5437)</f>
        <v>5437</v>
      </c>
      <c r="K76" s="12">
        <f ca="1">IFERROR(__xludf.DUMMYFUNCTION("""COMPUTED_VALUE"""),3699)</f>
        <v>3699</v>
      </c>
      <c r="L76" s="12">
        <f ca="1">IFERROR(__xludf.DUMMYFUNCTION("""COMPUTED_VALUE"""),689)</f>
        <v>689</v>
      </c>
      <c r="M76" s="12">
        <f ca="1">IFERROR(__xludf.DUMMYFUNCTION("""COMPUTED_VALUE"""),444)</f>
        <v>444</v>
      </c>
      <c r="N76" s="12">
        <f ca="1">IFERROR(__xludf.DUMMYFUNCTION("""COMPUTED_VALUE"""),224)</f>
        <v>224</v>
      </c>
      <c r="O76" s="12">
        <f ca="1">IFERROR(__xludf.DUMMYFUNCTION("""COMPUTED_VALUE"""),21)</f>
        <v>21</v>
      </c>
      <c r="P76" s="12">
        <f ca="1">IFERROR(__xludf.DUMMYFUNCTION("""COMPUTED_VALUE"""),4)</f>
        <v>4</v>
      </c>
      <c r="Q76" s="12">
        <f ca="1">IFERROR(__xludf.DUMMYFUNCTION("""COMPUTED_VALUE"""),15)</f>
        <v>15</v>
      </c>
      <c r="R76" s="12">
        <f ca="1">IFERROR(__xludf.DUMMYFUNCTION("""COMPUTED_VALUE"""),125)</f>
        <v>125</v>
      </c>
      <c r="S76" s="12">
        <f ca="1">IFERROR(__xludf.DUMMYFUNCTION("""COMPUTED_VALUE"""),-10)</f>
        <v>-10</v>
      </c>
      <c r="T76" s="12">
        <f ca="1">IFERROR(__xludf.DUMMYFUNCTION("""COMPUTED_VALUE"""),134)</f>
        <v>134</v>
      </c>
      <c r="U76" s="12">
        <f ca="1">IFERROR(__xludf.DUMMYFUNCTION("""COMPUTED_VALUE"""),115)</f>
        <v>115</v>
      </c>
    </row>
    <row r="77" spans="1:21" x14ac:dyDescent="0.25">
      <c r="A77" s="11">
        <f ca="1">IFERROR(__xludf.DUMMYFUNCTION("""COMPUTED_VALUE"""),43965)</f>
        <v>43965</v>
      </c>
      <c r="B77" s="12">
        <f ca="1">IFERROR(__xludf.DUMMYFUNCTION("""COMPUTED_VALUE"""),16006)</f>
        <v>16006</v>
      </c>
      <c r="C77" s="12">
        <f ca="1">IFERROR(__xludf.DUMMYFUNCTION("""COMPUTED_VALUE"""),11445)</f>
        <v>11445</v>
      </c>
      <c r="D77" s="12">
        <f ca="1">IFERROR(__xludf.DUMMYFUNCTION("""COMPUTED_VALUE"""),3518)</f>
        <v>3518</v>
      </c>
      <c r="E77" s="12">
        <f ca="1">IFERROR(__xludf.DUMMYFUNCTION("""COMPUTED_VALUE"""),1043)</f>
        <v>1043</v>
      </c>
      <c r="F77" s="12">
        <f ca="1">IFERROR(__xludf.DUMMYFUNCTION("""COMPUTED_VALUE"""),466)</f>
        <v>466</v>
      </c>
      <c r="G77" s="12">
        <f ca="1">IFERROR(__xludf.DUMMYFUNCTION("""COMPUTED_VALUE"""),1279)</f>
        <v>1279</v>
      </c>
      <c r="H77" s="12">
        <f ca="1">IFERROR(__xludf.DUMMYFUNCTION("""COMPUTED_VALUE"""),1995)</f>
        <v>1995</v>
      </c>
      <c r="I77" s="12">
        <f ca="1">IFERROR(__xludf.DUMMYFUNCTION("""COMPUTED_VALUE"""),1877)</f>
        <v>1877</v>
      </c>
      <c r="J77" s="12">
        <f ca="1">IFERROR(__xludf.DUMMYFUNCTION("""COMPUTED_VALUE"""),5617)</f>
        <v>5617</v>
      </c>
      <c r="K77" s="12">
        <f ca="1">IFERROR(__xludf.DUMMYFUNCTION("""COMPUTED_VALUE"""),3872)</f>
        <v>3872</v>
      </c>
      <c r="L77" s="12">
        <f ca="1">IFERROR(__xludf.DUMMYFUNCTION("""COMPUTED_VALUE"""),568)</f>
        <v>568</v>
      </c>
      <c r="M77" s="12">
        <f ca="1">IFERROR(__xludf.DUMMYFUNCTION("""COMPUTED_VALUE"""),322)</f>
        <v>322</v>
      </c>
      <c r="N77" s="12">
        <f ca="1">IFERROR(__xludf.DUMMYFUNCTION("""COMPUTED_VALUE"""),231)</f>
        <v>231</v>
      </c>
      <c r="O77" s="12">
        <f ca="1">IFERROR(__xludf.DUMMYFUNCTION("""COMPUTED_VALUE"""),15)</f>
        <v>15</v>
      </c>
      <c r="P77" s="12">
        <f ca="1">IFERROR(__xludf.DUMMYFUNCTION("""COMPUTED_VALUE"""),5)</f>
        <v>5</v>
      </c>
      <c r="Q77" s="12">
        <f ca="1">IFERROR(__xludf.DUMMYFUNCTION("""COMPUTED_VALUE"""),2)</f>
        <v>2</v>
      </c>
      <c r="R77" s="12">
        <f ca="1">IFERROR(__xludf.DUMMYFUNCTION("""COMPUTED_VALUE"""),129)</f>
        <v>129</v>
      </c>
      <c r="S77" s="12">
        <f ca="1">IFERROR(__xludf.DUMMYFUNCTION("""COMPUTED_VALUE"""),44)</f>
        <v>44</v>
      </c>
      <c r="T77" s="12">
        <f ca="1">IFERROR(__xludf.DUMMYFUNCTION("""COMPUTED_VALUE"""),180)</f>
        <v>180</v>
      </c>
      <c r="U77" s="12">
        <f ca="1">IFERROR(__xludf.DUMMYFUNCTION("""COMPUTED_VALUE"""),173)</f>
        <v>173</v>
      </c>
    </row>
    <row r="78" spans="1:21" x14ac:dyDescent="0.25">
      <c r="A78" s="11">
        <f ca="1">IFERROR(__xludf.DUMMYFUNCTION("""COMPUTED_VALUE"""),43966)</f>
        <v>43966</v>
      </c>
      <c r="B78" s="12">
        <f ca="1">IFERROR(__xludf.DUMMYFUNCTION("""COMPUTED_VALUE"""),16496)</f>
        <v>16496</v>
      </c>
      <c r="C78" s="12">
        <f ca="1">IFERROR(__xludf.DUMMYFUNCTION("""COMPUTED_VALUE"""),11617)</f>
        <v>11617</v>
      </c>
      <c r="D78" s="12">
        <f ca="1">IFERROR(__xludf.DUMMYFUNCTION("""COMPUTED_VALUE"""),3803)</f>
        <v>3803</v>
      </c>
      <c r="E78" s="12">
        <f ca="1">IFERROR(__xludf.DUMMYFUNCTION("""COMPUTED_VALUE"""),1076)</f>
        <v>1076</v>
      </c>
      <c r="F78" s="12">
        <f ca="1">IFERROR(__xludf.DUMMYFUNCTION("""COMPUTED_VALUE"""),474)</f>
        <v>474</v>
      </c>
      <c r="G78" s="12">
        <f ca="1">IFERROR(__xludf.DUMMYFUNCTION("""COMPUTED_VALUE"""),1286)</f>
        <v>1286</v>
      </c>
      <c r="H78" s="12">
        <f ca="1">IFERROR(__xludf.DUMMYFUNCTION("""COMPUTED_VALUE"""),2019)</f>
        <v>2019</v>
      </c>
      <c r="I78" s="12">
        <f ca="1">IFERROR(__xludf.DUMMYFUNCTION("""COMPUTED_VALUE"""),1900)</f>
        <v>1900</v>
      </c>
      <c r="J78" s="12">
        <f ca="1">IFERROR(__xludf.DUMMYFUNCTION("""COMPUTED_VALUE"""),5679)</f>
        <v>5679</v>
      </c>
      <c r="K78" s="12">
        <f ca="1">IFERROR(__xludf.DUMMYFUNCTION("""COMPUTED_VALUE"""),3919)</f>
        <v>3919</v>
      </c>
      <c r="L78" s="12">
        <f ca="1">IFERROR(__xludf.DUMMYFUNCTION("""COMPUTED_VALUE"""),490)</f>
        <v>490</v>
      </c>
      <c r="M78" s="12">
        <f ca="1">IFERROR(__xludf.DUMMYFUNCTION("""COMPUTED_VALUE"""),172)</f>
        <v>172</v>
      </c>
      <c r="N78" s="12">
        <f ca="1">IFERROR(__xludf.DUMMYFUNCTION("""COMPUTED_VALUE"""),285)</f>
        <v>285</v>
      </c>
      <c r="O78" s="12">
        <f ca="1">IFERROR(__xludf.DUMMYFUNCTION("""COMPUTED_VALUE"""),33)</f>
        <v>33</v>
      </c>
      <c r="P78" s="12">
        <f ca="1">IFERROR(__xludf.DUMMYFUNCTION("""COMPUTED_VALUE"""),8)</f>
        <v>8</v>
      </c>
      <c r="Q78" s="12">
        <f ca="1">IFERROR(__xludf.DUMMYFUNCTION("""COMPUTED_VALUE"""),7)</f>
        <v>7</v>
      </c>
      <c r="R78" s="12">
        <f ca="1">IFERROR(__xludf.DUMMYFUNCTION("""COMPUTED_VALUE"""),24)</f>
        <v>24</v>
      </c>
      <c r="S78" s="12">
        <f ca="1">IFERROR(__xludf.DUMMYFUNCTION("""COMPUTED_VALUE"""),23)</f>
        <v>23</v>
      </c>
      <c r="T78" s="12">
        <f ca="1">IFERROR(__xludf.DUMMYFUNCTION("""COMPUTED_VALUE"""),62)</f>
        <v>62</v>
      </c>
      <c r="U78" s="12">
        <f ca="1">IFERROR(__xludf.DUMMYFUNCTION("""COMPUTED_VALUE"""),47)</f>
        <v>47</v>
      </c>
    </row>
    <row r="79" spans="1:21" x14ac:dyDescent="0.25">
      <c r="A79" s="11">
        <f ca="1">IFERROR(__xludf.DUMMYFUNCTION("""COMPUTED_VALUE"""),43967)</f>
        <v>43967</v>
      </c>
      <c r="B79" s="12">
        <f ca="1">IFERROR(__xludf.DUMMYFUNCTION("""COMPUTED_VALUE"""),17025)</f>
        <v>17025</v>
      </c>
      <c r="C79" s="12">
        <f ca="1">IFERROR(__xludf.DUMMYFUNCTION("""COMPUTED_VALUE"""),12025)</f>
        <v>12025</v>
      </c>
      <c r="D79" s="12">
        <f ca="1">IFERROR(__xludf.DUMMYFUNCTION("""COMPUTED_VALUE"""),3911)</f>
        <v>3911</v>
      </c>
      <c r="E79" s="12">
        <f ca="1">IFERROR(__xludf.DUMMYFUNCTION("""COMPUTED_VALUE"""),1089)</f>
        <v>1089</v>
      </c>
      <c r="F79" s="12">
        <f ca="1">IFERROR(__xludf.DUMMYFUNCTION("""COMPUTED_VALUE"""),475)</f>
        <v>475</v>
      </c>
      <c r="G79" s="12">
        <f ca="1">IFERROR(__xludf.DUMMYFUNCTION("""COMPUTED_VALUE"""),1292)</f>
        <v>1292</v>
      </c>
      <c r="H79" s="12">
        <f ca="1">IFERROR(__xludf.DUMMYFUNCTION("""COMPUTED_VALUE"""),2120)</f>
        <v>2120</v>
      </c>
      <c r="I79" s="12">
        <f ca="1">IFERROR(__xludf.DUMMYFUNCTION("""COMPUTED_VALUE"""),1908)</f>
        <v>1908</v>
      </c>
      <c r="J79" s="12">
        <f ca="1">IFERROR(__xludf.DUMMYFUNCTION("""COMPUTED_VALUE"""),5795)</f>
        <v>5795</v>
      </c>
      <c r="K79" s="12">
        <f ca="1">IFERROR(__xludf.DUMMYFUNCTION("""COMPUTED_VALUE"""),4028)</f>
        <v>4028</v>
      </c>
      <c r="L79" s="12">
        <f ca="1">IFERROR(__xludf.DUMMYFUNCTION("""COMPUTED_VALUE"""),529)</f>
        <v>529</v>
      </c>
      <c r="M79" s="12">
        <f ca="1">IFERROR(__xludf.DUMMYFUNCTION("""COMPUTED_VALUE"""),408)</f>
        <v>408</v>
      </c>
      <c r="N79" s="12">
        <f ca="1">IFERROR(__xludf.DUMMYFUNCTION("""COMPUTED_VALUE"""),108)</f>
        <v>108</v>
      </c>
      <c r="O79" s="12">
        <f ca="1">IFERROR(__xludf.DUMMYFUNCTION("""COMPUTED_VALUE"""),13)</f>
        <v>13</v>
      </c>
      <c r="P79" s="12">
        <f ca="1">IFERROR(__xludf.DUMMYFUNCTION("""COMPUTED_VALUE"""),1)</f>
        <v>1</v>
      </c>
      <c r="Q79" s="12">
        <f ca="1">IFERROR(__xludf.DUMMYFUNCTION("""COMPUTED_VALUE"""),6)</f>
        <v>6</v>
      </c>
      <c r="R79" s="12">
        <f ca="1">IFERROR(__xludf.DUMMYFUNCTION("""COMPUTED_VALUE"""),101)</f>
        <v>101</v>
      </c>
      <c r="S79" s="12">
        <f ca="1">IFERROR(__xludf.DUMMYFUNCTION("""COMPUTED_VALUE"""),8)</f>
        <v>8</v>
      </c>
      <c r="T79" s="12">
        <f ca="1">IFERROR(__xludf.DUMMYFUNCTION("""COMPUTED_VALUE"""),116)</f>
        <v>116</v>
      </c>
      <c r="U79" s="12">
        <f ca="1">IFERROR(__xludf.DUMMYFUNCTION("""COMPUTED_VALUE"""),109)</f>
        <v>109</v>
      </c>
    </row>
    <row r="80" spans="1:21" x14ac:dyDescent="0.25">
      <c r="A80" s="11">
        <f ca="1">IFERROR(__xludf.DUMMYFUNCTION("""COMPUTED_VALUE"""),43968)</f>
        <v>43968</v>
      </c>
      <c r="B80" s="12">
        <f ca="1">IFERROR(__xludf.DUMMYFUNCTION("""COMPUTED_VALUE"""),17514)</f>
        <v>17514</v>
      </c>
      <c r="C80" s="12">
        <f ca="1">IFERROR(__xludf.DUMMYFUNCTION("""COMPUTED_VALUE"""),12237)</f>
        <v>12237</v>
      </c>
      <c r="D80" s="12">
        <f ca="1">IFERROR(__xludf.DUMMYFUNCTION("""COMPUTED_VALUE"""),4129)</f>
        <v>4129</v>
      </c>
      <c r="E80" s="12">
        <f ca="1">IFERROR(__xludf.DUMMYFUNCTION("""COMPUTED_VALUE"""),1148)</f>
        <v>1148</v>
      </c>
      <c r="F80" s="12">
        <f ca="1">IFERROR(__xludf.DUMMYFUNCTION("""COMPUTED_VALUE"""),478)</f>
        <v>478</v>
      </c>
      <c r="G80" s="12">
        <f ca="1">IFERROR(__xludf.DUMMYFUNCTION("""COMPUTED_VALUE"""),1295)</f>
        <v>1295</v>
      </c>
      <c r="H80" s="12">
        <f ca="1">IFERROR(__xludf.DUMMYFUNCTION("""COMPUTED_VALUE"""),2217)</f>
        <v>2217</v>
      </c>
      <c r="I80" s="12">
        <f ca="1">IFERROR(__xludf.DUMMYFUNCTION("""COMPUTED_VALUE"""),1932)</f>
        <v>1932</v>
      </c>
      <c r="J80" s="12">
        <f ca="1">IFERROR(__xludf.DUMMYFUNCTION("""COMPUTED_VALUE"""),5922)</f>
        <v>5922</v>
      </c>
      <c r="K80" s="12">
        <f ca="1">IFERROR(__xludf.DUMMYFUNCTION("""COMPUTED_VALUE"""),4149)</f>
        <v>4149</v>
      </c>
      <c r="L80" s="12">
        <f ca="1">IFERROR(__xludf.DUMMYFUNCTION("""COMPUTED_VALUE"""),489)</f>
        <v>489</v>
      </c>
      <c r="M80" s="12">
        <f ca="1">IFERROR(__xludf.DUMMYFUNCTION("""COMPUTED_VALUE"""),212)</f>
        <v>212</v>
      </c>
      <c r="N80" s="12">
        <f ca="1">IFERROR(__xludf.DUMMYFUNCTION("""COMPUTED_VALUE"""),218)</f>
        <v>218</v>
      </c>
      <c r="O80" s="12">
        <f ca="1">IFERROR(__xludf.DUMMYFUNCTION("""COMPUTED_VALUE"""),59)</f>
        <v>59</v>
      </c>
      <c r="P80" s="12">
        <f ca="1">IFERROR(__xludf.DUMMYFUNCTION("""COMPUTED_VALUE"""),3)</f>
        <v>3</v>
      </c>
      <c r="Q80" s="12">
        <f ca="1">IFERROR(__xludf.DUMMYFUNCTION("""COMPUTED_VALUE"""),3)</f>
        <v>3</v>
      </c>
      <c r="R80" s="12">
        <f ca="1">IFERROR(__xludf.DUMMYFUNCTION("""COMPUTED_VALUE"""),97)</f>
        <v>97</v>
      </c>
      <c r="S80" s="12">
        <f ca="1">IFERROR(__xludf.DUMMYFUNCTION("""COMPUTED_VALUE"""),24)</f>
        <v>24</v>
      </c>
      <c r="T80" s="12">
        <f ca="1">IFERROR(__xludf.DUMMYFUNCTION("""COMPUTED_VALUE"""),127)</f>
        <v>127</v>
      </c>
      <c r="U80" s="12">
        <f ca="1">IFERROR(__xludf.DUMMYFUNCTION("""COMPUTED_VALUE"""),121)</f>
        <v>121</v>
      </c>
    </row>
    <row r="81" spans="1:21" x14ac:dyDescent="0.25">
      <c r="A81" s="11">
        <f ca="1">IFERROR(__xludf.DUMMYFUNCTION("""COMPUTED_VALUE"""),43969)</f>
        <v>43969</v>
      </c>
      <c r="B81" s="12">
        <f ca="1">IFERROR(__xludf.DUMMYFUNCTION("""COMPUTED_VALUE"""),18010)</f>
        <v>18010</v>
      </c>
      <c r="C81" s="12">
        <f ca="1">IFERROR(__xludf.DUMMYFUNCTION("""COMPUTED_VALUE"""),12495)</f>
        <v>12495</v>
      </c>
      <c r="D81" s="12">
        <f ca="1">IFERROR(__xludf.DUMMYFUNCTION("""COMPUTED_VALUE"""),4324)</f>
        <v>4324</v>
      </c>
      <c r="E81" s="12">
        <f ca="1">IFERROR(__xludf.DUMMYFUNCTION("""COMPUTED_VALUE"""),1191)</f>
        <v>1191</v>
      </c>
      <c r="F81" s="12">
        <f ca="1">IFERROR(__xludf.DUMMYFUNCTION("""COMPUTED_VALUE"""),483)</f>
        <v>483</v>
      </c>
      <c r="G81" s="12">
        <f ca="1">IFERROR(__xludf.DUMMYFUNCTION("""COMPUTED_VALUE"""),1301)</f>
        <v>1301</v>
      </c>
      <c r="H81" s="12">
        <f ca="1">IFERROR(__xludf.DUMMYFUNCTION("""COMPUTED_VALUE"""),2266)</f>
        <v>2266</v>
      </c>
      <c r="I81" s="12">
        <f ca="1">IFERROR(__xludf.DUMMYFUNCTION("""COMPUTED_VALUE"""),1946)</f>
        <v>1946</v>
      </c>
      <c r="J81" s="12">
        <f ca="1">IFERROR(__xludf.DUMMYFUNCTION("""COMPUTED_VALUE"""),5996)</f>
        <v>5996</v>
      </c>
      <c r="K81" s="12">
        <f ca="1">IFERROR(__xludf.DUMMYFUNCTION("""COMPUTED_VALUE"""),4212)</f>
        <v>4212</v>
      </c>
      <c r="L81" s="12">
        <f ca="1">IFERROR(__xludf.DUMMYFUNCTION("""COMPUTED_VALUE"""),496)</f>
        <v>496</v>
      </c>
      <c r="M81" s="12">
        <f ca="1">IFERROR(__xludf.DUMMYFUNCTION("""COMPUTED_VALUE"""),258)</f>
        <v>258</v>
      </c>
      <c r="N81" s="12">
        <f ca="1">IFERROR(__xludf.DUMMYFUNCTION("""COMPUTED_VALUE"""),195)</f>
        <v>195</v>
      </c>
      <c r="O81" s="12">
        <f ca="1">IFERROR(__xludf.DUMMYFUNCTION("""COMPUTED_VALUE"""),43)</f>
        <v>43</v>
      </c>
      <c r="P81" s="12">
        <f ca="1">IFERROR(__xludf.DUMMYFUNCTION("""COMPUTED_VALUE"""),5)</f>
        <v>5</v>
      </c>
      <c r="Q81" s="12">
        <f ca="1">IFERROR(__xludf.DUMMYFUNCTION("""COMPUTED_VALUE"""),6)</f>
        <v>6</v>
      </c>
      <c r="R81" s="12">
        <f ca="1">IFERROR(__xludf.DUMMYFUNCTION("""COMPUTED_VALUE"""),49)</f>
        <v>49</v>
      </c>
      <c r="S81" s="12">
        <f ca="1">IFERROR(__xludf.DUMMYFUNCTION("""COMPUTED_VALUE"""),14)</f>
        <v>14</v>
      </c>
      <c r="T81" s="12">
        <f ca="1">IFERROR(__xludf.DUMMYFUNCTION("""COMPUTED_VALUE"""),74)</f>
        <v>74</v>
      </c>
      <c r="U81" s="12">
        <f ca="1">IFERROR(__xludf.DUMMYFUNCTION("""COMPUTED_VALUE"""),63)</f>
        <v>63</v>
      </c>
    </row>
    <row r="82" spans="1:21" x14ac:dyDescent="0.25">
      <c r="A82" s="11">
        <f ca="1">IFERROR(__xludf.DUMMYFUNCTION("""COMPUTED_VALUE"""),43970)</f>
        <v>43970</v>
      </c>
      <c r="B82" s="12">
        <f ca="1">IFERROR(__xludf.DUMMYFUNCTION("""COMPUTED_VALUE"""),18496)</f>
        <v>18496</v>
      </c>
      <c r="C82" s="12">
        <f ca="1">IFERROR(__xludf.DUMMYFUNCTION("""COMPUTED_VALUE"""),12808)</f>
        <v>12808</v>
      </c>
      <c r="D82" s="12">
        <f ca="1">IFERROR(__xludf.DUMMYFUNCTION("""COMPUTED_VALUE"""),4467)</f>
        <v>4467</v>
      </c>
      <c r="E82" s="12">
        <f ca="1">IFERROR(__xludf.DUMMYFUNCTION("""COMPUTED_VALUE"""),1221)</f>
        <v>1221</v>
      </c>
      <c r="F82" s="12">
        <f ca="1">IFERROR(__xludf.DUMMYFUNCTION("""COMPUTED_VALUE"""),487)</f>
        <v>487</v>
      </c>
      <c r="G82" s="12">
        <f ca="1">IFERROR(__xludf.DUMMYFUNCTION("""COMPUTED_VALUE"""),1417)</f>
        <v>1417</v>
      </c>
      <c r="H82" s="12">
        <f ca="1">IFERROR(__xludf.DUMMYFUNCTION("""COMPUTED_VALUE"""),2213)</f>
        <v>2213</v>
      </c>
      <c r="I82" s="12">
        <f ca="1">IFERROR(__xludf.DUMMYFUNCTION("""COMPUTED_VALUE"""),1936)</f>
        <v>1936</v>
      </c>
      <c r="J82" s="12">
        <f ca="1">IFERROR(__xludf.DUMMYFUNCTION("""COMPUTED_VALUE"""),6053)</f>
        <v>6053</v>
      </c>
      <c r="K82" s="12">
        <f ca="1">IFERROR(__xludf.DUMMYFUNCTION("""COMPUTED_VALUE"""),4149)</f>
        <v>4149</v>
      </c>
      <c r="L82" s="12">
        <f ca="1">IFERROR(__xludf.DUMMYFUNCTION("""COMPUTED_VALUE"""),486)</f>
        <v>486</v>
      </c>
      <c r="M82" s="12">
        <f ca="1">IFERROR(__xludf.DUMMYFUNCTION("""COMPUTED_VALUE"""),313)</f>
        <v>313</v>
      </c>
      <c r="N82" s="12">
        <f ca="1">IFERROR(__xludf.DUMMYFUNCTION("""COMPUTED_VALUE"""),143)</f>
        <v>143</v>
      </c>
      <c r="O82" s="12">
        <f ca="1">IFERROR(__xludf.DUMMYFUNCTION("""COMPUTED_VALUE"""),30)</f>
        <v>30</v>
      </c>
      <c r="P82" s="12">
        <f ca="1">IFERROR(__xludf.DUMMYFUNCTION("""COMPUTED_VALUE"""),4)</f>
        <v>4</v>
      </c>
      <c r="Q82" s="12">
        <f ca="1">IFERROR(__xludf.DUMMYFUNCTION("""COMPUTED_VALUE"""),116)</f>
        <v>116</v>
      </c>
      <c r="R82" s="12">
        <f ca="1">IFERROR(__xludf.DUMMYFUNCTION("""COMPUTED_VALUE"""),-53)</f>
        <v>-53</v>
      </c>
      <c r="S82" s="12">
        <f ca="1">IFERROR(__xludf.DUMMYFUNCTION("""COMPUTED_VALUE"""),-10)</f>
        <v>-10</v>
      </c>
      <c r="T82" s="12">
        <f ca="1">IFERROR(__xludf.DUMMYFUNCTION("""COMPUTED_VALUE"""),57)</f>
        <v>57</v>
      </c>
      <c r="U82" s="12">
        <f ca="1">IFERROR(__xludf.DUMMYFUNCTION("""COMPUTED_VALUE"""),-63)</f>
        <v>-63</v>
      </c>
    </row>
    <row r="83" spans="1:21" x14ac:dyDescent="0.25">
      <c r="A83" s="11">
        <f ca="1">IFERROR(__xludf.DUMMYFUNCTION("""COMPUTED_VALUE"""),43971)</f>
        <v>43971</v>
      </c>
      <c r="B83" s="12">
        <f ca="1">IFERROR(__xludf.DUMMYFUNCTION("""COMPUTED_VALUE"""),19189)</f>
        <v>19189</v>
      </c>
      <c r="C83" s="12">
        <f ca="1">IFERROR(__xludf.DUMMYFUNCTION("""COMPUTED_VALUE"""),13372)</f>
        <v>13372</v>
      </c>
      <c r="D83" s="12">
        <f ca="1">IFERROR(__xludf.DUMMYFUNCTION("""COMPUTED_VALUE"""),4575)</f>
        <v>4575</v>
      </c>
      <c r="E83" s="12">
        <f ca="1">IFERROR(__xludf.DUMMYFUNCTION("""COMPUTED_VALUE"""),1242)</f>
        <v>1242</v>
      </c>
      <c r="F83" s="12">
        <f ca="1">IFERROR(__xludf.DUMMYFUNCTION("""COMPUTED_VALUE"""),493)</f>
        <v>493</v>
      </c>
      <c r="G83" s="12">
        <f ca="1">IFERROR(__xludf.DUMMYFUNCTION("""COMPUTED_VALUE"""),1425)</f>
        <v>1425</v>
      </c>
      <c r="H83" s="12">
        <f ca="1">IFERROR(__xludf.DUMMYFUNCTION("""COMPUTED_VALUE"""),2263)</f>
        <v>2263</v>
      </c>
      <c r="I83" s="12">
        <f ca="1">IFERROR(__xludf.DUMMYFUNCTION("""COMPUTED_VALUE"""),1969)</f>
        <v>1969</v>
      </c>
      <c r="J83" s="12">
        <f ca="1">IFERROR(__xludf.DUMMYFUNCTION("""COMPUTED_VALUE"""),6150)</f>
        <v>6150</v>
      </c>
      <c r="K83" s="12">
        <f ca="1">IFERROR(__xludf.DUMMYFUNCTION("""COMPUTED_VALUE"""),4232)</f>
        <v>4232</v>
      </c>
      <c r="L83" s="12">
        <f ca="1">IFERROR(__xludf.DUMMYFUNCTION("""COMPUTED_VALUE"""),693)</f>
        <v>693</v>
      </c>
      <c r="M83" s="12">
        <f ca="1">IFERROR(__xludf.DUMMYFUNCTION("""COMPUTED_VALUE"""),564)</f>
        <v>564</v>
      </c>
      <c r="N83" s="12">
        <f ca="1">IFERROR(__xludf.DUMMYFUNCTION("""COMPUTED_VALUE"""),108)</f>
        <v>108</v>
      </c>
      <c r="O83" s="12">
        <f ca="1">IFERROR(__xludf.DUMMYFUNCTION("""COMPUTED_VALUE"""),21)</f>
        <v>21</v>
      </c>
      <c r="P83" s="12">
        <f ca="1">IFERROR(__xludf.DUMMYFUNCTION("""COMPUTED_VALUE"""),6)</f>
        <v>6</v>
      </c>
      <c r="Q83" s="12">
        <f ca="1">IFERROR(__xludf.DUMMYFUNCTION("""COMPUTED_VALUE"""),8)</f>
        <v>8</v>
      </c>
      <c r="R83" s="12">
        <f ca="1">IFERROR(__xludf.DUMMYFUNCTION("""COMPUTED_VALUE"""),50)</f>
        <v>50</v>
      </c>
      <c r="S83" s="12">
        <f ca="1">IFERROR(__xludf.DUMMYFUNCTION("""COMPUTED_VALUE"""),33)</f>
        <v>33</v>
      </c>
      <c r="T83" s="12">
        <f ca="1">IFERROR(__xludf.DUMMYFUNCTION("""COMPUTED_VALUE"""),97)</f>
        <v>97</v>
      </c>
      <c r="U83" s="12">
        <f ca="1">IFERROR(__xludf.DUMMYFUNCTION("""COMPUTED_VALUE"""),83)</f>
        <v>83</v>
      </c>
    </row>
    <row r="84" spans="1:21" x14ac:dyDescent="0.25">
      <c r="A84" s="11">
        <f ca="1">IFERROR(__xludf.DUMMYFUNCTION("""COMPUTED_VALUE"""),43972)</f>
        <v>43972</v>
      </c>
      <c r="B84" s="12">
        <f ca="1">IFERROR(__xludf.DUMMYFUNCTION("""COMPUTED_VALUE"""),20162)</f>
        <v>20162</v>
      </c>
      <c r="C84" s="12">
        <f ca="1">IFERROR(__xludf.DUMMYFUNCTION("""COMPUTED_VALUE"""),14046)</f>
        <v>14046</v>
      </c>
      <c r="D84" s="12">
        <f ca="1">IFERROR(__xludf.DUMMYFUNCTION("""COMPUTED_VALUE"""),4838)</f>
        <v>4838</v>
      </c>
      <c r="E84" s="12">
        <f ca="1">IFERROR(__xludf.DUMMYFUNCTION("""COMPUTED_VALUE"""),1278)</f>
        <v>1278</v>
      </c>
      <c r="F84" s="12">
        <f ca="1">IFERROR(__xludf.DUMMYFUNCTION("""COMPUTED_VALUE"""),498)</f>
        <v>498</v>
      </c>
      <c r="G84" s="12">
        <f ca="1">IFERROR(__xludf.DUMMYFUNCTION("""COMPUTED_VALUE"""),1536)</f>
        <v>1536</v>
      </c>
      <c r="H84" s="12">
        <f ca="1">IFERROR(__xludf.DUMMYFUNCTION("""COMPUTED_VALUE"""),2231)</f>
        <v>2231</v>
      </c>
      <c r="I84" s="12">
        <f ca="1">IFERROR(__xludf.DUMMYFUNCTION("""COMPUTED_VALUE"""),1955)</f>
        <v>1955</v>
      </c>
      <c r="J84" s="12">
        <f ca="1">IFERROR(__xludf.DUMMYFUNCTION("""COMPUTED_VALUE"""),6220)</f>
        <v>6220</v>
      </c>
      <c r="K84" s="12">
        <f ca="1">IFERROR(__xludf.DUMMYFUNCTION("""COMPUTED_VALUE"""),4186)</f>
        <v>4186</v>
      </c>
      <c r="L84" s="12">
        <f ca="1">IFERROR(__xludf.DUMMYFUNCTION("""COMPUTED_VALUE"""),973)</f>
        <v>973</v>
      </c>
      <c r="M84" s="12">
        <f ca="1">IFERROR(__xludf.DUMMYFUNCTION("""COMPUTED_VALUE"""),674)</f>
        <v>674</v>
      </c>
      <c r="N84" s="12">
        <f ca="1">IFERROR(__xludf.DUMMYFUNCTION("""COMPUTED_VALUE"""),263)</f>
        <v>263</v>
      </c>
      <c r="O84" s="12">
        <f ca="1">IFERROR(__xludf.DUMMYFUNCTION("""COMPUTED_VALUE"""),36)</f>
        <v>36</v>
      </c>
      <c r="P84" s="12">
        <f ca="1">IFERROR(__xludf.DUMMYFUNCTION("""COMPUTED_VALUE"""),5)</f>
        <v>5</v>
      </c>
      <c r="Q84" s="12">
        <f ca="1">IFERROR(__xludf.DUMMYFUNCTION("""COMPUTED_VALUE"""),111)</f>
        <v>111</v>
      </c>
      <c r="R84" s="12">
        <f ca="1">IFERROR(__xludf.DUMMYFUNCTION("""COMPUTED_VALUE"""),-32)</f>
        <v>-32</v>
      </c>
      <c r="S84" s="12">
        <f ca="1">IFERROR(__xludf.DUMMYFUNCTION("""COMPUTED_VALUE"""),-14)</f>
        <v>-14</v>
      </c>
      <c r="T84" s="12">
        <f ca="1">IFERROR(__xludf.DUMMYFUNCTION("""COMPUTED_VALUE"""),70)</f>
        <v>70</v>
      </c>
      <c r="U84" s="12">
        <f ca="1">IFERROR(__xludf.DUMMYFUNCTION("""COMPUTED_VALUE"""),-46)</f>
        <v>-46</v>
      </c>
    </row>
    <row r="85" spans="1:21" x14ac:dyDescent="0.25">
      <c r="A85" s="11">
        <f ca="1">IFERROR(__xludf.DUMMYFUNCTION("""COMPUTED_VALUE"""),43973)</f>
        <v>43973</v>
      </c>
      <c r="B85" s="12">
        <f ca="1">IFERROR(__xludf.DUMMYFUNCTION("""COMPUTED_VALUE"""),20796)</f>
        <v>20796</v>
      </c>
      <c r="C85" s="12">
        <f ca="1">IFERROR(__xludf.DUMMYFUNCTION("""COMPUTED_VALUE"""),14413)</f>
        <v>14413</v>
      </c>
      <c r="D85" s="12">
        <f ca="1">IFERROR(__xludf.DUMMYFUNCTION("""COMPUTED_VALUE"""),5057)</f>
        <v>5057</v>
      </c>
      <c r="E85" s="12">
        <f ca="1">IFERROR(__xludf.DUMMYFUNCTION("""COMPUTED_VALUE"""),1326)</f>
        <v>1326</v>
      </c>
      <c r="F85" s="12">
        <f ca="1">IFERROR(__xludf.DUMMYFUNCTION("""COMPUTED_VALUE"""),501)</f>
        <v>501</v>
      </c>
      <c r="G85" s="12">
        <f ca="1">IFERROR(__xludf.DUMMYFUNCTION("""COMPUTED_VALUE"""),1558)</f>
        <v>1558</v>
      </c>
      <c r="H85" s="12">
        <f ca="1">IFERROR(__xludf.DUMMYFUNCTION("""COMPUTED_VALUE"""),2282)</f>
        <v>2282</v>
      </c>
      <c r="I85" s="12">
        <f ca="1">IFERROR(__xludf.DUMMYFUNCTION("""COMPUTED_VALUE"""),1975)</f>
        <v>1975</v>
      </c>
      <c r="J85" s="12">
        <f ca="1">IFERROR(__xludf.DUMMYFUNCTION("""COMPUTED_VALUE"""),6316)</f>
        <v>6316</v>
      </c>
      <c r="K85" s="12">
        <f ca="1">IFERROR(__xludf.DUMMYFUNCTION("""COMPUTED_VALUE"""),4257)</f>
        <v>4257</v>
      </c>
      <c r="L85" s="12">
        <f ca="1">IFERROR(__xludf.DUMMYFUNCTION("""COMPUTED_VALUE"""),634)</f>
        <v>634</v>
      </c>
      <c r="M85" s="12">
        <f ca="1">IFERROR(__xludf.DUMMYFUNCTION("""COMPUTED_VALUE"""),367)</f>
        <v>367</v>
      </c>
      <c r="N85" s="12">
        <f ca="1">IFERROR(__xludf.DUMMYFUNCTION("""COMPUTED_VALUE"""),219)</f>
        <v>219</v>
      </c>
      <c r="O85" s="12">
        <f ca="1">IFERROR(__xludf.DUMMYFUNCTION("""COMPUTED_VALUE"""),48)</f>
        <v>48</v>
      </c>
      <c r="P85" s="12">
        <f ca="1">IFERROR(__xludf.DUMMYFUNCTION("""COMPUTED_VALUE"""),3)</f>
        <v>3</v>
      </c>
      <c r="Q85" s="12">
        <f ca="1">IFERROR(__xludf.DUMMYFUNCTION("""COMPUTED_VALUE"""),22)</f>
        <v>22</v>
      </c>
      <c r="R85" s="12">
        <f ca="1">IFERROR(__xludf.DUMMYFUNCTION("""COMPUTED_VALUE"""),51)</f>
        <v>51</v>
      </c>
      <c r="S85" s="12">
        <f ca="1">IFERROR(__xludf.DUMMYFUNCTION("""COMPUTED_VALUE"""),20)</f>
        <v>20</v>
      </c>
      <c r="T85" s="12">
        <f ca="1">IFERROR(__xludf.DUMMYFUNCTION("""COMPUTED_VALUE"""),96)</f>
        <v>96</v>
      </c>
      <c r="U85" s="12">
        <f ca="1">IFERROR(__xludf.DUMMYFUNCTION("""COMPUTED_VALUE"""),71)</f>
        <v>71</v>
      </c>
    </row>
    <row r="86" spans="1:21" x14ac:dyDescent="0.25">
      <c r="A86" s="11">
        <f ca="1">IFERROR(__xludf.DUMMYFUNCTION("""COMPUTED_VALUE"""),43974)</f>
        <v>43974</v>
      </c>
      <c r="B86" s="12">
        <f ca="1">IFERROR(__xludf.DUMMYFUNCTION("""COMPUTED_VALUE"""),21745)</f>
        <v>21745</v>
      </c>
      <c r="C86" s="12">
        <f ca="1">IFERROR(__xludf.DUMMYFUNCTION("""COMPUTED_VALUE"""),15145)</f>
        <v>15145</v>
      </c>
      <c r="D86" s="12">
        <f ca="1">IFERROR(__xludf.DUMMYFUNCTION("""COMPUTED_VALUE"""),5249)</f>
        <v>5249</v>
      </c>
      <c r="E86" s="12">
        <f ca="1">IFERROR(__xludf.DUMMYFUNCTION("""COMPUTED_VALUE"""),1351)</f>
        <v>1351</v>
      </c>
      <c r="F86" s="12">
        <f ca="1">IFERROR(__xludf.DUMMYFUNCTION("""COMPUTED_VALUE"""),504)</f>
        <v>504</v>
      </c>
      <c r="G86" s="12">
        <f ca="1">IFERROR(__xludf.DUMMYFUNCTION("""COMPUTED_VALUE"""),1587)</f>
        <v>1587</v>
      </c>
      <c r="H86" s="12">
        <f ca="1">IFERROR(__xludf.DUMMYFUNCTION("""COMPUTED_VALUE"""),2346)</f>
        <v>2346</v>
      </c>
      <c r="I86" s="12">
        <f ca="1">IFERROR(__xludf.DUMMYFUNCTION("""COMPUTED_VALUE"""),2006)</f>
        <v>2006</v>
      </c>
      <c r="J86" s="12">
        <f ca="1">IFERROR(__xludf.DUMMYFUNCTION("""COMPUTED_VALUE"""),6443)</f>
        <v>6443</v>
      </c>
      <c r="K86" s="12">
        <f ca="1">IFERROR(__xludf.DUMMYFUNCTION("""COMPUTED_VALUE"""),4352)</f>
        <v>4352</v>
      </c>
      <c r="L86" s="12">
        <f ca="1">IFERROR(__xludf.DUMMYFUNCTION("""COMPUTED_VALUE"""),949)</f>
        <v>949</v>
      </c>
      <c r="M86" s="12">
        <f ca="1">IFERROR(__xludf.DUMMYFUNCTION("""COMPUTED_VALUE"""),732)</f>
        <v>732</v>
      </c>
      <c r="N86" s="12">
        <f ca="1">IFERROR(__xludf.DUMMYFUNCTION("""COMPUTED_VALUE"""),192)</f>
        <v>192</v>
      </c>
      <c r="O86" s="12">
        <f ca="1">IFERROR(__xludf.DUMMYFUNCTION("""COMPUTED_VALUE"""),25)</f>
        <v>25</v>
      </c>
      <c r="P86" s="12">
        <f ca="1">IFERROR(__xludf.DUMMYFUNCTION("""COMPUTED_VALUE"""),3)</f>
        <v>3</v>
      </c>
      <c r="Q86" s="12">
        <f ca="1">IFERROR(__xludf.DUMMYFUNCTION("""COMPUTED_VALUE"""),29)</f>
        <v>29</v>
      </c>
      <c r="R86" s="12">
        <f ca="1">IFERROR(__xludf.DUMMYFUNCTION("""COMPUTED_VALUE"""),64)</f>
        <v>64</v>
      </c>
      <c r="S86" s="12">
        <f ca="1">IFERROR(__xludf.DUMMYFUNCTION("""COMPUTED_VALUE"""),31)</f>
        <v>31</v>
      </c>
      <c r="T86" s="12">
        <f ca="1">IFERROR(__xludf.DUMMYFUNCTION("""COMPUTED_VALUE"""),127)</f>
        <v>127</v>
      </c>
      <c r="U86" s="12">
        <f ca="1">IFERROR(__xludf.DUMMYFUNCTION("""COMPUTED_VALUE"""),95)</f>
        <v>95</v>
      </c>
    </row>
    <row r="87" spans="1:21" x14ac:dyDescent="0.25">
      <c r="A87" s="11">
        <f ca="1">IFERROR(__xludf.DUMMYFUNCTION("""COMPUTED_VALUE"""),43975)</f>
        <v>43975</v>
      </c>
      <c r="B87" s="12">
        <f ca="1">IFERROR(__xludf.DUMMYFUNCTION("""COMPUTED_VALUE"""),22271)</f>
        <v>22271</v>
      </c>
      <c r="C87" s="12">
        <f ca="1">IFERROR(__xludf.DUMMYFUNCTION("""COMPUTED_VALUE"""),15497)</f>
        <v>15497</v>
      </c>
      <c r="D87" s="12">
        <f ca="1">IFERROR(__xludf.DUMMYFUNCTION("""COMPUTED_VALUE"""),5402)</f>
        <v>5402</v>
      </c>
      <c r="E87" s="12">
        <f ca="1">IFERROR(__xludf.DUMMYFUNCTION("""COMPUTED_VALUE"""),1372)</f>
        <v>1372</v>
      </c>
      <c r="F87" s="12">
        <f ca="1">IFERROR(__xludf.DUMMYFUNCTION("""COMPUTED_VALUE"""),505)</f>
        <v>505</v>
      </c>
      <c r="G87" s="12">
        <f ca="1">IFERROR(__xludf.DUMMYFUNCTION("""COMPUTED_VALUE"""),1594)</f>
        <v>1594</v>
      </c>
      <c r="H87" s="12">
        <f ca="1">IFERROR(__xludf.DUMMYFUNCTION("""COMPUTED_VALUE"""),2431)</f>
        <v>2431</v>
      </c>
      <c r="I87" s="12">
        <f ca="1">IFERROR(__xludf.DUMMYFUNCTION("""COMPUTED_VALUE"""),2031)</f>
        <v>2031</v>
      </c>
      <c r="J87" s="12">
        <f ca="1">IFERROR(__xludf.DUMMYFUNCTION("""COMPUTED_VALUE"""),6561)</f>
        <v>6561</v>
      </c>
      <c r="K87" s="12">
        <f ca="1">IFERROR(__xludf.DUMMYFUNCTION("""COMPUTED_VALUE"""),4462)</f>
        <v>4462</v>
      </c>
      <c r="L87" s="12">
        <f ca="1">IFERROR(__xludf.DUMMYFUNCTION("""COMPUTED_VALUE"""),526)</f>
        <v>526</v>
      </c>
      <c r="M87" s="12">
        <f ca="1">IFERROR(__xludf.DUMMYFUNCTION("""COMPUTED_VALUE"""),352)</f>
        <v>352</v>
      </c>
      <c r="N87" s="12">
        <f ca="1">IFERROR(__xludf.DUMMYFUNCTION("""COMPUTED_VALUE"""),153)</f>
        <v>153</v>
      </c>
      <c r="O87" s="12">
        <f ca="1">IFERROR(__xludf.DUMMYFUNCTION("""COMPUTED_VALUE"""),21)</f>
        <v>21</v>
      </c>
      <c r="P87" s="12">
        <f ca="1">IFERROR(__xludf.DUMMYFUNCTION("""COMPUTED_VALUE"""),1)</f>
        <v>1</v>
      </c>
      <c r="Q87" s="12">
        <f ca="1">IFERROR(__xludf.DUMMYFUNCTION("""COMPUTED_VALUE"""),7)</f>
        <v>7</v>
      </c>
      <c r="R87" s="12">
        <f ca="1">IFERROR(__xludf.DUMMYFUNCTION("""COMPUTED_VALUE"""),85)</f>
        <v>85</v>
      </c>
      <c r="S87" s="12">
        <f ca="1">IFERROR(__xludf.DUMMYFUNCTION("""COMPUTED_VALUE"""),25)</f>
        <v>25</v>
      </c>
      <c r="T87" s="12">
        <f ca="1">IFERROR(__xludf.DUMMYFUNCTION("""COMPUTED_VALUE"""),118)</f>
        <v>118</v>
      </c>
      <c r="U87" s="12">
        <f ca="1">IFERROR(__xludf.DUMMYFUNCTION("""COMPUTED_VALUE"""),110)</f>
        <v>110</v>
      </c>
    </row>
    <row r="88" spans="1:21" x14ac:dyDescent="0.25">
      <c r="A88" s="11">
        <f ca="1">IFERROR(__xludf.DUMMYFUNCTION("""COMPUTED_VALUE"""),43976)</f>
        <v>43976</v>
      </c>
      <c r="B88" s="12">
        <f ca="1">IFERROR(__xludf.DUMMYFUNCTION("""COMPUTED_VALUE"""),22750)</f>
        <v>22750</v>
      </c>
      <c r="C88" s="12">
        <f ca="1">IFERROR(__xludf.DUMMYFUNCTION("""COMPUTED_VALUE"""),15717)</f>
        <v>15717</v>
      </c>
      <c r="D88" s="12">
        <f ca="1">IFERROR(__xludf.DUMMYFUNCTION("""COMPUTED_VALUE"""),5642)</f>
        <v>5642</v>
      </c>
      <c r="E88" s="12">
        <f ca="1">IFERROR(__xludf.DUMMYFUNCTION("""COMPUTED_VALUE"""),1391)</f>
        <v>1391</v>
      </c>
      <c r="F88" s="12">
        <f ca="1">IFERROR(__xludf.DUMMYFUNCTION("""COMPUTED_VALUE"""),506)</f>
        <v>506</v>
      </c>
      <c r="G88" s="12">
        <f ca="1">IFERROR(__xludf.DUMMYFUNCTION("""COMPUTED_VALUE"""),1648)</f>
        <v>1648</v>
      </c>
      <c r="H88" s="12">
        <f ca="1">IFERROR(__xludf.DUMMYFUNCTION("""COMPUTED_VALUE"""),2430)</f>
        <v>2430</v>
      </c>
      <c r="I88" s="12">
        <f ca="1">IFERROR(__xludf.DUMMYFUNCTION("""COMPUTED_VALUE"""),2044)</f>
        <v>2044</v>
      </c>
      <c r="J88" s="12">
        <f ca="1">IFERROR(__xludf.DUMMYFUNCTION("""COMPUTED_VALUE"""),6628)</f>
        <v>6628</v>
      </c>
      <c r="K88" s="12">
        <f ca="1">IFERROR(__xludf.DUMMYFUNCTION("""COMPUTED_VALUE"""),4474)</f>
        <v>4474</v>
      </c>
      <c r="L88" s="12">
        <f ca="1">IFERROR(__xludf.DUMMYFUNCTION("""COMPUTED_VALUE"""),479)</f>
        <v>479</v>
      </c>
      <c r="M88" s="12">
        <f ca="1">IFERROR(__xludf.DUMMYFUNCTION("""COMPUTED_VALUE"""),220)</f>
        <v>220</v>
      </c>
      <c r="N88" s="12">
        <f ca="1">IFERROR(__xludf.DUMMYFUNCTION("""COMPUTED_VALUE"""),240)</f>
        <v>240</v>
      </c>
      <c r="O88" s="12">
        <f ca="1">IFERROR(__xludf.DUMMYFUNCTION("""COMPUTED_VALUE"""),19)</f>
        <v>19</v>
      </c>
      <c r="P88" s="12">
        <f ca="1">IFERROR(__xludf.DUMMYFUNCTION("""COMPUTED_VALUE"""),1)</f>
        <v>1</v>
      </c>
      <c r="Q88" s="12">
        <f ca="1">IFERROR(__xludf.DUMMYFUNCTION("""COMPUTED_VALUE"""),54)</f>
        <v>54</v>
      </c>
      <c r="R88" s="12">
        <f ca="1">IFERROR(__xludf.DUMMYFUNCTION("""COMPUTED_VALUE"""),-1)</f>
        <v>-1</v>
      </c>
      <c r="S88" s="12">
        <f ca="1">IFERROR(__xludf.DUMMYFUNCTION("""COMPUTED_VALUE"""),13)</f>
        <v>13</v>
      </c>
      <c r="T88" s="12">
        <f ca="1">IFERROR(__xludf.DUMMYFUNCTION("""COMPUTED_VALUE"""),67)</f>
        <v>67</v>
      </c>
      <c r="U88" s="12">
        <f ca="1">IFERROR(__xludf.DUMMYFUNCTION("""COMPUTED_VALUE"""),12)</f>
        <v>12</v>
      </c>
    </row>
    <row r="89" spans="1:21" x14ac:dyDescent="0.25">
      <c r="A89" s="11">
        <f ca="1">IFERROR(__xludf.DUMMYFUNCTION("""COMPUTED_VALUE"""),43977)</f>
        <v>43977</v>
      </c>
      <c r="B89" s="12">
        <f ca="1">IFERROR(__xludf.DUMMYFUNCTION("""COMPUTED_VALUE"""),23165)</f>
        <v>23165</v>
      </c>
      <c r="C89" s="12">
        <f ca="1">IFERROR(__xludf.DUMMYFUNCTION("""COMPUTED_VALUE"""),15870)</f>
        <v>15870</v>
      </c>
      <c r="D89" s="12">
        <f ca="1">IFERROR(__xludf.DUMMYFUNCTION("""COMPUTED_VALUE"""),5877)</f>
        <v>5877</v>
      </c>
      <c r="E89" s="12">
        <f ca="1">IFERROR(__xludf.DUMMYFUNCTION("""COMPUTED_VALUE"""),1418)</f>
        <v>1418</v>
      </c>
      <c r="F89" s="12">
        <f ca="1">IFERROR(__xludf.DUMMYFUNCTION("""COMPUTED_VALUE"""),508)</f>
        <v>508</v>
      </c>
      <c r="G89" s="12">
        <f ca="1">IFERROR(__xludf.DUMMYFUNCTION("""COMPUTED_VALUE"""),1678)</f>
        <v>1678</v>
      </c>
      <c r="H89" s="12">
        <f ca="1">IFERROR(__xludf.DUMMYFUNCTION("""COMPUTED_VALUE"""),2459)</f>
        <v>2459</v>
      </c>
      <c r="I89" s="12">
        <f ca="1">IFERROR(__xludf.DUMMYFUNCTION("""COMPUTED_VALUE"""),2044)</f>
        <v>2044</v>
      </c>
      <c r="J89" s="12">
        <f ca="1">IFERROR(__xludf.DUMMYFUNCTION("""COMPUTED_VALUE"""),6689)</f>
        <v>6689</v>
      </c>
      <c r="K89" s="12">
        <f ca="1">IFERROR(__xludf.DUMMYFUNCTION("""COMPUTED_VALUE"""),4503)</f>
        <v>4503</v>
      </c>
      <c r="L89" s="12">
        <f ca="1">IFERROR(__xludf.DUMMYFUNCTION("""COMPUTED_VALUE"""),415)</f>
        <v>415</v>
      </c>
      <c r="M89" s="12">
        <f ca="1">IFERROR(__xludf.DUMMYFUNCTION("""COMPUTED_VALUE"""),153)</f>
        <v>153</v>
      </c>
      <c r="N89" s="12">
        <f ca="1">IFERROR(__xludf.DUMMYFUNCTION("""COMPUTED_VALUE"""),235)</f>
        <v>235</v>
      </c>
      <c r="O89" s="12">
        <f ca="1">IFERROR(__xludf.DUMMYFUNCTION("""COMPUTED_VALUE"""),27)</f>
        <v>27</v>
      </c>
      <c r="P89" s="12">
        <f ca="1">IFERROR(__xludf.DUMMYFUNCTION("""COMPUTED_VALUE"""),2)</f>
        <v>2</v>
      </c>
      <c r="Q89" s="12">
        <f ca="1">IFERROR(__xludf.DUMMYFUNCTION("""COMPUTED_VALUE"""),30)</f>
        <v>30</v>
      </c>
      <c r="R89" s="12">
        <f ca="1">IFERROR(__xludf.DUMMYFUNCTION("""COMPUTED_VALUE"""),29)</f>
        <v>29</v>
      </c>
      <c r="S89" s="12">
        <f ca="1">IFERROR(__xludf.DUMMYFUNCTION("""COMPUTED_VALUE"""),0)</f>
        <v>0</v>
      </c>
      <c r="T89" s="12">
        <f ca="1">IFERROR(__xludf.DUMMYFUNCTION("""COMPUTED_VALUE"""),61)</f>
        <v>61</v>
      </c>
      <c r="U89" s="12">
        <f ca="1">IFERROR(__xludf.DUMMYFUNCTION("""COMPUTED_VALUE"""),29)</f>
        <v>29</v>
      </c>
    </row>
    <row r="90" spans="1:21" x14ac:dyDescent="0.25">
      <c r="A90" s="11">
        <f ca="1">IFERROR(__xludf.DUMMYFUNCTION("""COMPUTED_VALUE"""),43978)</f>
        <v>43978</v>
      </c>
      <c r="B90" s="12">
        <f ca="1">IFERROR(__xludf.DUMMYFUNCTION("""COMPUTED_VALUE"""),23851)</f>
        <v>23851</v>
      </c>
      <c r="C90" s="12">
        <f ca="1">IFERROR(__xludf.DUMMYFUNCTION("""COMPUTED_VALUE"""),16321)</f>
        <v>16321</v>
      </c>
      <c r="D90" s="12">
        <f ca="1">IFERROR(__xludf.DUMMYFUNCTION("""COMPUTED_VALUE"""),6057)</f>
        <v>6057</v>
      </c>
      <c r="E90" s="12">
        <f ca="1">IFERROR(__xludf.DUMMYFUNCTION("""COMPUTED_VALUE"""),1473)</f>
        <v>1473</v>
      </c>
      <c r="F90" s="12">
        <f ca="1">IFERROR(__xludf.DUMMYFUNCTION("""COMPUTED_VALUE"""),510)</f>
        <v>510</v>
      </c>
      <c r="G90" s="12">
        <f ca="1">IFERROR(__xludf.DUMMYFUNCTION("""COMPUTED_VALUE"""),1698)</f>
        <v>1698</v>
      </c>
      <c r="H90" s="12">
        <f ca="1">IFERROR(__xludf.DUMMYFUNCTION("""COMPUTED_VALUE"""),2584)</f>
        <v>2584</v>
      </c>
      <c r="I90" s="12">
        <f ca="1">IFERROR(__xludf.DUMMYFUNCTION("""COMPUTED_VALUE"""),2034)</f>
        <v>2034</v>
      </c>
      <c r="J90" s="12">
        <f ca="1">IFERROR(__xludf.DUMMYFUNCTION("""COMPUTED_VALUE"""),6826)</f>
        <v>6826</v>
      </c>
      <c r="K90" s="12">
        <f ca="1">IFERROR(__xludf.DUMMYFUNCTION("""COMPUTED_VALUE"""),4618)</f>
        <v>4618</v>
      </c>
      <c r="L90" s="12">
        <f ca="1">IFERROR(__xludf.DUMMYFUNCTION("""COMPUTED_VALUE"""),686)</f>
        <v>686</v>
      </c>
      <c r="M90" s="12">
        <f ca="1">IFERROR(__xludf.DUMMYFUNCTION("""COMPUTED_VALUE"""),451)</f>
        <v>451</v>
      </c>
      <c r="N90" s="12">
        <f ca="1">IFERROR(__xludf.DUMMYFUNCTION("""COMPUTED_VALUE"""),180)</f>
        <v>180</v>
      </c>
      <c r="O90" s="12">
        <f ca="1">IFERROR(__xludf.DUMMYFUNCTION("""COMPUTED_VALUE"""),55)</f>
        <v>55</v>
      </c>
      <c r="P90" s="12">
        <f ca="1">IFERROR(__xludf.DUMMYFUNCTION("""COMPUTED_VALUE"""),2)</f>
        <v>2</v>
      </c>
      <c r="Q90" s="12">
        <f ca="1">IFERROR(__xludf.DUMMYFUNCTION("""COMPUTED_VALUE"""),20)</f>
        <v>20</v>
      </c>
      <c r="R90" s="12">
        <f ca="1">IFERROR(__xludf.DUMMYFUNCTION("""COMPUTED_VALUE"""),125)</f>
        <v>125</v>
      </c>
      <c r="S90" s="12">
        <f ca="1">IFERROR(__xludf.DUMMYFUNCTION("""COMPUTED_VALUE"""),-10)</f>
        <v>-10</v>
      </c>
      <c r="T90" s="12">
        <f ca="1">IFERROR(__xludf.DUMMYFUNCTION("""COMPUTED_VALUE"""),137)</f>
        <v>137</v>
      </c>
      <c r="U90" s="12">
        <f ca="1">IFERROR(__xludf.DUMMYFUNCTION("""COMPUTED_VALUE"""),115)</f>
        <v>115</v>
      </c>
    </row>
    <row r="91" spans="1:21" x14ac:dyDescent="0.25">
      <c r="A91" s="11">
        <f ca="1">IFERROR(__xludf.DUMMYFUNCTION("""COMPUTED_VALUE"""),43979)</f>
        <v>43979</v>
      </c>
      <c r="B91" s="12">
        <f ca="1">IFERROR(__xludf.DUMMYFUNCTION("""COMPUTED_VALUE"""),24538)</f>
        <v>24538</v>
      </c>
      <c r="C91" s="12">
        <f ca="1">IFERROR(__xludf.DUMMYFUNCTION("""COMPUTED_VALUE"""),16802)</f>
        <v>16802</v>
      </c>
      <c r="D91" s="12">
        <f ca="1">IFERROR(__xludf.DUMMYFUNCTION("""COMPUTED_VALUE"""),6240)</f>
        <v>6240</v>
      </c>
      <c r="E91" s="12">
        <f ca="1">IFERROR(__xludf.DUMMYFUNCTION("""COMPUTED_VALUE"""),1496)</f>
        <v>1496</v>
      </c>
      <c r="F91" s="12">
        <f ca="1">IFERROR(__xludf.DUMMYFUNCTION("""COMPUTED_VALUE"""),514)</f>
        <v>514</v>
      </c>
      <c r="G91" s="12">
        <f ca="1">IFERROR(__xludf.DUMMYFUNCTION("""COMPUTED_VALUE"""),1719)</f>
        <v>1719</v>
      </c>
      <c r="H91" s="12">
        <f ca="1">IFERROR(__xludf.DUMMYFUNCTION("""COMPUTED_VALUE"""),2641)</f>
        <v>2641</v>
      </c>
      <c r="I91" s="12">
        <f ca="1">IFERROR(__xludf.DUMMYFUNCTION("""COMPUTED_VALUE"""),2055)</f>
        <v>2055</v>
      </c>
      <c r="J91" s="12">
        <f ca="1">IFERROR(__xludf.DUMMYFUNCTION("""COMPUTED_VALUE"""),6929)</f>
        <v>6929</v>
      </c>
      <c r="K91" s="12">
        <f ca="1">IFERROR(__xludf.DUMMYFUNCTION("""COMPUTED_VALUE"""),4696)</f>
        <v>4696</v>
      </c>
      <c r="L91" s="12">
        <f ca="1">IFERROR(__xludf.DUMMYFUNCTION("""COMPUTED_VALUE"""),687)</f>
        <v>687</v>
      </c>
      <c r="M91" s="12">
        <f ca="1">IFERROR(__xludf.DUMMYFUNCTION("""COMPUTED_VALUE"""),481)</f>
        <v>481</v>
      </c>
      <c r="N91" s="12">
        <f ca="1">IFERROR(__xludf.DUMMYFUNCTION("""COMPUTED_VALUE"""),183)</f>
        <v>183</v>
      </c>
      <c r="O91" s="12">
        <f ca="1">IFERROR(__xludf.DUMMYFUNCTION("""COMPUTED_VALUE"""),23)</f>
        <v>23</v>
      </c>
      <c r="P91" s="12">
        <f ca="1">IFERROR(__xludf.DUMMYFUNCTION("""COMPUTED_VALUE"""),4)</f>
        <v>4</v>
      </c>
      <c r="Q91" s="12">
        <f ca="1">IFERROR(__xludf.DUMMYFUNCTION("""COMPUTED_VALUE"""),21)</f>
        <v>21</v>
      </c>
      <c r="R91" s="12">
        <f ca="1">IFERROR(__xludf.DUMMYFUNCTION("""COMPUTED_VALUE"""),57)</f>
        <v>57</v>
      </c>
      <c r="S91" s="12">
        <f ca="1">IFERROR(__xludf.DUMMYFUNCTION("""COMPUTED_VALUE"""),21)</f>
        <v>21</v>
      </c>
      <c r="T91" s="12">
        <f ca="1">IFERROR(__xludf.DUMMYFUNCTION("""COMPUTED_VALUE"""),103)</f>
        <v>103</v>
      </c>
      <c r="U91" s="12">
        <f ca="1">IFERROR(__xludf.DUMMYFUNCTION("""COMPUTED_VALUE"""),78)</f>
        <v>78</v>
      </c>
    </row>
    <row r="92" spans="1:21" x14ac:dyDescent="0.25">
      <c r="A92" s="11">
        <f ca="1">IFERROR(__xludf.DUMMYFUNCTION("""COMPUTED_VALUE"""),43980)</f>
        <v>43980</v>
      </c>
      <c r="B92" s="12">
        <f ca="1">IFERROR(__xludf.DUMMYFUNCTION("""COMPUTED_VALUE"""),25216)</f>
        <v>25216</v>
      </c>
      <c r="C92" s="12">
        <f ca="1">IFERROR(__xludf.DUMMYFUNCTION("""COMPUTED_VALUE"""),17204)</f>
        <v>17204</v>
      </c>
      <c r="D92" s="12">
        <f ca="1">IFERROR(__xludf.DUMMYFUNCTION("""COMPUTED_VALUE"""),6492)</f>
        <v>6492</v>
      </c>
      <c r="E92" s="12">
        <f ca="1">IFERROR(__xludf.DUMMYFUNCTION("""COMPUTED_VALUE"""),1520)</f>
        <v>1520</v>
      </c>
      <c r="F92" s="12">
        <f ca="1">IFERROR(__xludf.DUMMYFUNCTION("""COMPUTED_VALUE"""),517)</f>
        <v>517</v>
      </c>
      <c r="G92" s="12">
        <f ca="1">IFERROR(__xludf.DUMMYFUNCTION("""COMPUTED_VALUE"""),1807)</f>
        <v>1807</v>
      </c>
      <c r="H92" s="12">
        <f ca="1">IFERROR(__xludf.DUMMYFUNCTION("""COMPUTED_VALUE"""),2722)</f>
        <v>2722</v>
      </c>
      <c r="I92" s="12">
        <f ca="1">IFERROR(__xludf.DUMMYFUNCTION("""COMPUTED_VALUE"""),2007)</f>
        <v>2007</v>
      </c>
      <c r="J92" s="12">
        <f ca="1">IFERROR(__xludf.DUMMYFUNCTION("""COMPUTED_VALUE"""),7053)</f>
        <v>7053</v>
      </c>
      <c r="K92" s="12">
        <f ca="1">IFERROR(__xludf.DUMMYFUNCTION("""COMPUTED_VALUE"""),4729)</f>
        <v>4729</v>
      </c>
      <c r="L92" s="12">
        <f ca="1">IFERROR(__xludf.DUMMYFUNCTION("""COMPUTED_VALUE"""),678)</f>
        <v>678</v>
      </c>
      <c r="M92" s="12">
        <f ca="1">IFERROR(__xludf.DUMMYFUNCTION("""COMPUTED_VALUE"""),402)</f>
        <v>402</v>
      </c>
      <c r="N92" s="12">
        <f ca="1">IFERROR(__xludf.DUMMYFUNCTION("""COMPUTED_VALUE"""),252)</f>
        <v>252</v>
      </c>
      <c r="O92" s="12">
        <f ca="1">IFERROR(__xludf.DUMMYFUNCTION("""COMPUTED_VALUE"""),24)</f>
        <v>24</v>
      </c>
      <c r="P92" s="12">
        <f ca="1">IFERROR(__xludf.DUMMYFUNCTION("""COMPUTED_VALUE"""),3)</f>
        <v>3</v>
      </c>
      <c r="Q92" s="12">
        <f ca="1">IFERROR(__xludf.DUMMYFUNCTION("""COMPUTED_VALUE"""),88)</f>
        <v>88</v>
      </c>
      <c r="R92" s="12">
        <f ca="1">IFERROR(__xludf.DUMMYFUNCTION("""COMPUTED_VALUE"""),81)</f>
        <v>81</v>
      </c>
      <c r="S92" s="12">
        <f ca="1">IFERROR(__xludf.DUMMYFUNCTION("""COMPUTED_VALUE"""),-48)</f>
        <v>-48</v>
      </c>
      <c r="T92" s="12">
        <f ca="1">IFERROR(__xludf.DUMMYFUNCTION("""COMPUTED_VALUE"""),124)</f>
        <v>124</v>
      </c>
      <c r="U92" s="12">
        <f ca="1">IFERROR(__xludf.DUMMYFUNCTION("""COMPUTED_VALUE"""),33)</f>
        <v>33</v>
      </c>
    </row>
    <row r="93" spans="1:21" x14ac:dyDescent="0.25">
      <c r="A93" s="11">
        <f ca="1">IFERROR(__xludf.DUMMYFUNCTION("""COMPUTED_VALUE"""),43981)</f>
        <v>43981</v>
      </c>
      <c r="B93" s="12">
        <f ca="1">IFERROR(__xludf.DUMMYFUNCTION("""COMPUTED_VALUE"""),25773)</f>
        <v>25773</v>
      </c>
      <c r="C93" s="12">
        <f ca="1">IFERROR(__xludf.DUMMYFUNCTION("""COMPUTED_VALUE"""),17185)</f>
        <v>17185</v>
      </c>
      <c r="D93" s="12">
        <f ca="1">IFERROR(__xludf.DUMMYFUNCTION("""COMPUTED_VALUE"""),7015)</f>
        <v>7015</v>
      </c>
      <c r="E93" s="12">
        <f ca="1">IFERROR(__xludf.DUMMYFUNCTION("""COMPUTED_VALUE"""),1573)</f>
        <v>1573</v>
      </c>
      <c r="F93" s="12">
        <f ca="1">IFERROR(__xludf.DUMMYFUNCTION("""COMPUTED_VALUE"""),519)</f>
        <v>519</v>
      </c>
      <c r="G93" s="12">
        <f ca="1">IFERROR(__xludf.DUMMYFUNCTION("""COMPUTED_VALUE"""),2003)</f>
        <v>2003</v>
      </c>
      <c r="H93" s="12">
        <f ca="1">IFERROR(__xludf.DUMMYFUNCTION("""COMPUTED_VALUE"""),2781)</f>
        <v>2781</v>
      </c>
      <c r="I93" s="12">
        <f ca="1">IFERROR(__xludf.DUMMYFUNCTION("""COMPUTED_VALUE"""),1848)</f>
        <v>1848</v>
      </c>
      <c r="J93" s="12">
        <f ca="1">IFERROR(__xludf.DUMMYFUNCTION("""COMPUTED_VALUE"""),7151)</f>
        <v>7151</v>
      </c>
      <c r="K93" s="12">
        <f ca="1">IFERROR(__xludf.DUMMYFUNCTION("""COMPUTED_VALUE"""),4629)</f>
        <v>4629</v>
      </c>
      <c r="L93" s="12">
        <f ca="1">IFERROR(__xludf.DUMMYFUNCTION("""COMPUTED_VALUE"""),557)</f>
        <v>557</v>
      </c>
      <c r="M93" s="12">
        <f ca="1">IFERROR(__xludf.DUMMYFUNCTION("""COMPUTED_VALUE"""),-19)</f>
        <v>-19</v>
      </c>
      <c r="N93" s="12">
        <f ca="1">IFERROR(__xludf.DUMMYFUNCTION("""COMPUTED_VALUE"""),523)</f>
        <v>523</v>
      </c>
      <c r="O93" s="12">
        <f ca="1">IFERROR(__xludf.DUMMYFUNCTION("""COMPUTED_VALUE"""),53)</f>
        <v>53</v>
      </c>
      <c r="P93" s="12">
        <f ca="1">IFERROR(__xludf.DUMMYFUNCTION("""COMPUTED_VALUE"""),2)</f>
        <v>2</v>
      </c>
      <c r="Q93" s="12">
        <f ca="1">IFERROR(__xludf.DUMMYFUNCTION("""COMPUTED_VALUE"""),196)</f>
        <v>196</v>
      </c>
      <c r="R93" s="12">
        <f ca="1">IFERROR(__xludf.DUMMYFUNCTION("""COMPUTED_VALUE"""),59)</f>
        <v>59</v>
      </c>
      <c r="S93" s="12">
        <f ca="1">IFERROR(__xludf.DUMMYFUNCTION("""COMPUTED_VALUE"""),-159)</f>
        <v>-159</v>
      </c>
      <c r="T93" s="12">
        <f ca="1">IFERROR(__xludf.DUMMYFUNCTION("""COMPUTED_VALUE"""),98)</f>
        <v>98</v>
      </c>
      <c r="U93" s="12">
        <f ca="1">IFERROR(__xludf.DUMMYFUNCTION("""COMPUTED_VALUE"""),-100)</f>
        <v>-100</v>
      </c>
    </row>
    <row r="94" spans="1:21" x14ac:dyDescent="0.25">
      <c r="A94" s="11">
        <f ca="1">IFERROR(__xludf.DUMMYFUNCTION("""COMPUTED_VALUE"""),43982)</f>
        <v>43982</v>
      </c>
      <c r="B94" s="12">
        <f ca="1">IFERROR(__xludf.DUMMYFUNCTION("""COMPUTED_VALUE"""),26473)</f>
        <v>26473</v>
      </c>
      <c r="C94" s="12">
        <f ca="1">IFERROR(__xludf.DUMMYFUNCTION("""COMPUTED_VALUE"""),17552)</f>
        <v>17552</v>
      </c>
      <c r="D94" s="12">
        <f ca="1">IFERROR(__xludf.DUMMYFUNCTION("""COMPUTED_VALUE"""),7308)</f>
        <v>7308</v>
      </c>
      <c r="E94" s="12">
        <f ca="1">IFERROR(__xludf.DUMMYFUNCTION("""COMPUTED_VALUE"""),1613)</f>
        <v>1613</v>
      </c>
      <c r="F94" s="12">
        <f ca="1">IFERROR(__xludf.DUMMYFUNCTION("""COMPUTED_VALUE"""),520)</f>
        <v>520</v>
      </c>
      <c r="G94" s="12">
        <f ca="1">IFERROR(__xludf.DUMMYFUNCTION("""COMPUTED_VALUE"""),2102)</f>
        <v>2102</v>
      </c>
      <c r="H94" s="12">
        <f ca="1">IFERROR(__xludf.DUMMYFUNCTION("""COMPUTED_VALUE"""),2827)</f>
        <v>2827</v>
      </c>
      <c r="I94" s="12">
        <f ca="1">IFERROR(__xludf.DUMMYFUNCTION("""COMPUTED_VALUE"""),1823)</f>
        <v>1823</v>
      </c>
      <c r="J94" s="12">
        <f ca="1">IFERROR(__xludf.DUMMYFUNCTION("""COMPUTED_VALUE"""),7272)</f>
        <v>7272</v>
      </c>
      <c r="K94" s="12">
        <f ca="1">IFERROR(__xludf.DUMMYFUNCTION("""COMPUTED_VALUE"""),4650)</f>
        <v>4650</v>
      </c>
      <c r="L94" s="12">
        <f ca="1">IFERROR(__xludf.DUMMYFUNCTION("""COMPUTED_VALUE"""),700)</f>
        <v>700</v>
      </c>
      <c r="M94" s="12">
        <f ca="1">IFERROR(__xludf.DUMMYFUNCTION("""COMPUTED_VALUE"""),367)</f>
        <v>367</v>
      </c>
      <c r="N94" s="12">
        <f ca="1">IFERROR(__xludf.DUMMYFUNCTION("""COMPUTED_VALUE"""),293)</f>
        <v>293</v>
      </c>
      <c r="O94" s="12">
        <f ca="1">IFERROR(__xludf.DUMMYFUNCTION("""COMPUTED_VALUE"""),40)</f>
        <v>40</v>
      </c>
      <c r="P94" s="12">
        <f ca="1">IFERROR(__xludf.DUMMYFUNCTION("""COMPUTED_VALUE"""),1)</f>
        <v>1</v>
      </c>
      <c r="Q94" s="12">
        <f ca="1">IFERROR(__xludf.DUMMYFUNCTION("""COMPUTED_VALUE"""),99)</f>
        <v>99</v>
      </c>
      <c r="R94" s="12">
        <f ca="1">IFERROR(__xludf.DUMMYFUNCTION("""COMPUTED_VALUE"""),46)</f>
        <v>46</v>
      </c>
      <c r="S94" s="12">
        <f ca="1">IFERROR(__xludf.DUMMYFUNCTION("""COMPUTED_VALUE"""),-25)</f>
        <v>-25</v>
      </c>
      <c r="T94" s="12">
        <f ca="1">IFERROR(__xludf.DUMMYFUNCTION("""COMPUTED_VALUE"""),121)</f>
        <v>121</v>
      </c>
      <c r="U94" s="12">
        <f ca="1">IFERROR(__xludf.DUMMYFUNCTION("""COMPUTED_VALUE"""),21)</f>
        <v>21</v>
      </c>
    </row>
    <row r="95" spans="1:21" x14ac:dyDescent="0.25">
      <c r="A95" s="11">
        <f ca="1">IFERROR(__xludf.DUMMYFUNCTION("""COMPUTED_VALUE"""),43983)</f>
        <v>43983</v>
      </c>
      <c r="B95" s="12">
        <f ca="1">IFERROR(__xludf.DUMMYFUNCTION("""COMPUTED_VALUE"""),26940)</f>
        <v>26940</v>
      </c>
      <c r="C95" s="12">
        <f ca="1">IFERROR(__xludf.DUMMYFUNCTION("""COMPUTED_VALUE"""),17662)</f>
        <v>17662</v>
      </c>
      <c r="D95" s="12">
        <f ca="1">IFERROR(__xludf.DUMMYFUNCTION("""COMPUTED_VALUE"""),7637)</f>
        <v>7637</v>
      </c>
      <c r="E95" s="12">
        <f ca="1">IFERROR(__xludf.DUMMYFUNCTION("""COMPUTED_VALUE"""),1641)</f>
        <v>1641</v>
      </c>
      <c r="F95" s="12">
        <f ca="1">IFERROR(__xludf.DUMMYFUNCTION("""COMPUTED_VALUE"""),521)</f>
        <v>521</v>
      </c>
      <c r="G95" s="12">
        <f ca="1">IFERROR(__xludf.DUMMYFUNCTION("""COMPUTED_VALUE"""),2246)</f>
        <v>2246</v>
      </c>
      <c r="H95" s="12">
        <f ca="1">IFERROR(__xludf.DUMMYFUNCTION("""COMPUTED_VALUE"""),2822)</f>
        <v>2822</v>
      </c>
      <c r="I95" s="12">
        <f ca="1">IFERROR(__xludf.DUMMYFUNCTION("""COMPUTED_VALUE"""),1794)</f>
        <v>1794</v>
      </c>
      <c r="J95" s="12">
        <f ca="1">IFERROR(__xludf.DUMMYFUNCTION("""COMPUTED_VALUE"""),7383)</f>
        <v>7383</v>
      </c>
      <c r="K95" s="12">
        <f ca="1">IFERROR(__xludf.DUMMYFUNCTION("""COMPUTED_VALUE"""),4616)</f>
        <v>4616</v>
      </c>
      <c r="L95" s="12">
        <f ca="1">IFERROR(__xludf.DUMMYFUNCTION("""COMPUTED_VALUE"""),467)</f>
        <v>467</v>
      </c>
      <c r="M95" s="12">
        <f ca="1">IFERROR(__xludf.DUMMYFUNCTION("""COMPUTED_VALUE"""),110)</f>
        <v>110</v>
      </c>
      <c r="N95" s="12">
        <f ca="1">IFERROR(__xludf.DUMMYFUNCTION("""COMPUTED_VALUE"""),329)</f>
        <v>329</v>
      </c>
      <c r="O95" s="12">
        <f ca="1">IFERROR(__xludf.DUMMYFUNCTION("""COMPUTED_VALUE"""),28)</f>
        <v>28</v>
      </c>
      <c r="P95" s="12">
        <f ca="1">IFERROR(__xludf.DUMMYFUNCTION("""COMPUTED_VALUE"""),1)</f>
        <v>1</v>
      </c>
      <c r="Q95" s="12">
        <f ca="1">IFERROR(__xludf.DUMMYFUNCTION("""COMPUTED_VALUE"""),144)</f>
        <v>144</v>
      </c>
      <c r="R95" s="12">
        <f ca="1">IFERROR(__xludf.DUMMYFUNCTION("""COMPUTED_VALUE"""),-5)</f>
        <v>-5</v>
      </c>
      <c r="S95" s="12">
        <f ca="1">IFERROR(__xludf.DUMMYFUNCTION("""COMPUTED_VALUE"""),-29)</f>
        <v>-29</v>
      </c>
      <c r="T95" s="12">
        <f ca="1">IFERROR(__xludf.DUMMYFUNCTION("""COMPUTED_VALUE"""),111)</f>
        <v>111</v>
      </c>
      <c r="U95" s="12">
        <f ca="1">IFERROR(__xludf.DUMMYFUNCTION("""COMPUTED_VALUE"""),-34)</f>
        <v>-34</v>
      </c>
    </row>
    <row r="96" spans="1:21" x14ac:dyDescent="0.25">
      <c r="A96" s="11">
        <f ca="1">IFERROR(__xludf.DUMMYFUNCTION("""COMPUTED_VALUE"""),43984)</f>
        <v>43984</v>
      </c>
      <c r="B96" s="12">
        <f ca="1">IFERROR(__xludf.DUMMYFUNCTION("""COMPUTED_VALUE"""),27549)</f>
        <v>27549</v>
      </c>
      <c r="C96" s="12">
        <f ca="1">IFERROR(__xludf.DUMMYFUNCTION("""COMPUTED_VALUE"""),17951)</f>
        <v>17951</v>
      </c>
      <c r="D96" s="12">
        <f ca="1">IFERROR(__xludf.DUMMYFUNCTION("""COMPUTED_VALUE"""),7935)</f>
        <v>7935</v>
      </c>
      <c r="E96" s="12">
        <f ca="1">IFERROR(__xludf.DUMMYFUNCTION("""COMPUTED_VALUE"""),1663)</f>
        <v>1663</v>
      </c>
      <c r="F96" s="12">
        <f ca="1">IFERROR(__xludf.DUMMYFUNCTION("""COMPUTED_VALUE"""),525)</f>
        <v>525</v>
      </c>
      <c r="G96" s="12">
        <f ca="1">IFERROR(__xludf.DUMMYFUNCTION("""COMPUTED_VALUE"""),2405)</f>
        <v>2405</v>
      </c>
      <c r="H96" s="12">
        <f ca="1">IFERROR(__xludf.DUMMYFUNCTION("""COMPUTED_VALUE"""),2786)</f>
        <v>2786</v>
      </c>
      <c r="I96" s="12">
        <f ca="1">IFERROR(__xludf.DUMMYFUNCTION("""COMPUTED_VALUE"""),1743)</f>
        <v>1743</v>
      </c>
      <c r="J96" s="12">
        <f ca="1">IFERROR(__xludf.DUMMYFUNCTION("""COMPUTED_VALUE"""),7459)</f>
        <v>7459</v>
      </c>
      <c r="K96" s="12">
        <f ca="1">IFERROR(__xludf.DUMMYFUNCTION("""COMPUTED_VALUE"""),4529)</f>
        <v>4529</v>
      </c>
      <c r="L96" s="12">
        <f ca="1">IFERROR(__xludf.DUMMYFUNCTION("""COMPUTED_VALUE"""),609)</f>
        <v>609</v>
      </c>
      <c r="M96" s="12">
        <f ca="1">IFERROR(__xludf.DUMMYFUNCTION("""COMPUTED_VALUE"""),289)</f>
        <v>289</v>
      </c>
      <c r="N96" s="12">
        <f ca="1">IFERROR(__xludf.DUMMYFUNCTION("""COMPUTED_VALUE"""),298)</f>
        <v>298</v>
      </c>
      <c r="O96" s="12">
        <f ca="1">IFERROR(__xludf.DUMMYFUNCTION("""COMPUTED_VALUE"""),22)</f>
        <v>22</v>
      </c>
      <c r="P96" s="12">
        <f ca="1">IFERROR(__xludf.DUMMYFUNCTION("""COMPUTED_VALUE"""),4)</f>
        <v>4</v>
      </c>
      <c r="Q96" s="12">
        <f ca="1">IFERROR(__xludf.DUMMYFUNCTION("""COMPUTED_VALUE"""),159)</f>
        <v>159</v>
      </c>
      <c r="R96" s="12">
        <f ca="1">IFERROR(__xludf.DUMMYFUNCTION("""COMPUTED_VALUE"""),-36)</f>
        <v>-36</v>
      </c>
      <c r="S96" s="12">
        <f ca="1">IFERROR(__xludf.DUMMYFUNCTION("""COMPUTED_VALUE"""),-51)</f>
        <v>-51</v>
      </c>
      <c r="T96" s="12">
        <f ca="1">IFERROR(__xludf.DUMMYFUNCTION("""COMPUTED_VALUE"""),76)</f>
        <v>76</v>
      </c>
      <c r="U96" s="12">
        <f ca="1">IFERROR(__xludf.DUMMYFUNCTION("""COMPUTED_VALUE"""),-87)</f>
        <v>-87</v>
      </c>
    </row>
    <row r="97" spans="1:21" x14ac:dyDescent="0.25">
      <c r="A97" s="11">
        <f ca="1">IFERROR(__xludf.DUMMYFUNCTION("""COMPUTED_VALUE"""),43985)</f>
        <v>43985</v>
      </c>
      <c r="B97" s="12">
        <f ca="1">IFERROR(__xludf.DUMMYFUNCTION("""COMPUTED_VALUE"""),28233)</f>
        <v>28233</v>
      </c>
      <c r="C97" s="12">
        <f ca="1">IFERROR(__xludf.DUMMYFUNCTION("""COMPUTED_VALUE"""),18129)</f>
        <v>18129</v>
      </c>
      <c r="D97" s="12">
        <f ca="1">IFERROR(__xludf.DUMMYFUNCTION("""COMPUTED_VALUE"""),8406)</f>
        <v>8406</v>
      </c>
      <c r="E97" s="12">
        <f ca="1">IFERROR(__xludf.DUMMYFUNCTION("""COMPUTED_VALUE"""),1698)</f>
        <v>1698</v>
      </c>
      <c r="F97" s="12">
        <f ca="1">IFERROR(__xludf.DUMMYFUNCTION("""COMPUTED_VALUE"""),529)</f>
        <v>529</v>
      </c>
      <c r="G97" s="12">
        <f ca="1">IFERROR(__xludf.DUMMYFUNCTION("""COMPUTED_VALUE"""),2534)</f>
        <v>2534</v>
      </c>
      <c r="H97" s="12">
        <f ca="1">IFERROR(__xludf.DUMMYFUNCTION("""COMPUTED_VALUE"""),2777)</f>
        <v>2777</v>
      </c>
      <c r="I97" s="12">
        <f ca="1">IFERROR(__xludf.DUMMYFUNCTION("""COMPUTED_VALUE"""),1699)</f>
        <v>1699</v>
      </c>
      <c r="J97" s="12">
        <f ca="1">IFERROR(__xludf.DUMMYFUNCTION("""COMPUTED_VALUE"""),7539)</f>
        <v>7539</v>
      </c>
      <c r="K97" s="12">
        <f ca="1">IFERROR(__xludf.DUMMYFUNCTION("""COMPUTED_VALUE"""),4476)</f>
        <v>4476</v>
      </c>
      <c r="L97" s="12">
        <f ca="1">IFERROR(__xludf.DUMMYFUNCTION("""COMPUTED_VALUE"""),684)</f>
        <v>684</v>
      </c>
      <c r="M97" s="12">
        <f ca="1">IFERROR(__xludf.DUMMYFUNCTION("""COMPUTED_VALUE"""),178)</f>
        <v>178</v>
      </c>
      <c r="N97" s="12">
        <f ca="1">IFERROR(__xludf.DUMMYFUNCTION("""COMPUTED_VALUE"""),471)</f>
        <v>471</v>
      </c>
      <c r="O97" s="12">
        <f ca="1">IFERROR(__xludf.DUMMYFUNCTION("""COMPUTED_VALUE"""),35)</f>
        <v>35</v>
      </c>
      <c r="P97" s="12">
        <f ca="1">IFERROR(__xludf.DUMMYFUNCTION("""COMPUTED_VALUE"""),4)</f>
        <v>4</v>
      </c>
      <c r="Q97" s="12">
        <f ca="1">IFERROR(__xludf.DUMMYFUNCTION("""COMPUTED_VALUE"""),129)</f>
        <v>129</v>
      </c>
      <c r="R97" s="12">
        <f ca="1">IFERROR(__xludf.DUMMYFUNCTION("""COMPUTED_VALUE"""),-9)</f>
        <v>-9</v>
      </c>
      <c r="S97" s="12">
        <f ca="1">IFERROR(__xludf.DUMMYFUNCTION("""COMPUTED_VALUE"""),-44)</f>
        <v>-44</v>
      </c>
      <c r="T97" s="12">
        <f ca="1">IFERROR(__xludf.DUMMYFUNCTION("""COMPUTED_VALUE"""),80)</f>
        <v>80</v>
      </c>
      <c r="U97" s="12">
        <f ca="1">IFERROR(__xludf.DUMMYFUNCTION("""COMPUTED_VALUE"""),-53)</f>
        <v>-53</v>
      </c>
    </row>
    <row r="98" spans="1:21" x14ac:dyDescent="0.25">
      <c r="A98" s="11">
        <f ca="1">IFERROR(__xludf.DUMMYFUNCTION("""COMPUTED_VALUE"""),43986)</f>
        <v>43986</v>
      </c>
      <c r="B98" s="12">
        <f ca="1">IFERROR(__xludf.DUMMYFUNCTION("""COMPUTED_VALUE"""),28818)</f>
        <v>28818</v>
      </c>
      <c r="C98" s="12">
        <f ca="1">IFERROR(__xludf.DUMMYFUNCTION("""COMPUTED_VALUE"""),18205)</f>
        <v>18205</v>
      </c>
      <c r="D98" s="12">
        <f ca="1">IFERROR(__xludf.DUMMYFUNCTION("""COMPUTED_VALUE"""),8892)</f>
        <v>8892</v>
      </c>
      <c r="E98" s="12">
        <f ca="1">IFERROR(__xludf.DUMMYFUNCTION("""COMPUTED_VALUE"""),1721)</f>
        <v>1721</v>
      </c>
      <c r="F98" s="12">
        <f ca="1">IFERROR(__xludf.DUMMYFUNCTION("""COMPUTED_VALUE"""),530)</f>
        <v>530</v>
      </c>
      <c r="G98" s="12">
        <f ca="1">IFERROR(__xludf.DUMMYFUNCTION("""COMPUTED_VALUE"""),2607)</f>
        <v>2607</v>
      </c>
      <c r="H98" s="12">
        <f ca="1">IFERROR(__xludf.DUMMYFUNCTION("""COMPUTED_VALUE"""),2793)</f>
        <v>2793</v>
      </c>
      <c r="I98" s="12">
        <f ca="1">IFERROR(__xludf.DUMMYFUNCTION("""COMPUTED_VALUE"""),1670)</f>
        <v>1670</v>
      </c>
      <c r="J98" s="12">
        <f ca="1">IFERROR(__xludf.DUMMYFUNCTION("""COMPUTED_VALUE"""),7600)</f>
        <v>7600</v>
      </c>
      <c r="K98" s="12">
        <f ca="1">IFERROR(__xludf.DUMMYFUNCTION("""COMPUTED_VALUE"""),4463)</f>
        <v>4463</v>
      </c>
      <c r="L98" s="12">
        <f ca="1">IFERROR(__xludf.DUMMYFUNCTION("""COMPUTED_VALUE"""),585)</f>
        <v>585</v>
      </c>
      <c r="M98" s="12">
        <f ca="1">IFERROR(__xludf.DUMMYFUNCTION("""COMPUTED_VALUE"""),76)</f>
        <v>76</v>
      </c>
      <c r="N98" s="12">
        <f ca="1">IFERROR(__xludf.DUMMYFUNCTION("""COMPUTED_VALUE"""),486)</f>
        <v>486</v>
      </c>
      <c r="O98" s="12">
        <f ca="1">IFERROR(__xludf.DUMMYFUNCTION("""COMPUTED_VALUE"""),23)</f>
        <v>23</v>
      </c>
      <c r="P98" s="12">
        <f ca="1">IFERROR(__xludf.DUMMYFUNCTION("""COMPUTED_VALUE"""),1)</f>
        <v>1</v>
      </c>
      <c r="Q98" s="12">
        <f ca="1">IFERROR(__xludf.DUMMYFUNCTION("""COMPUTED_VALUE"""),73)</f>
        <v>73</v>
      </c>
      <c r="R98" s="12">
        <f ca="1">IFERROR(__xludf.DUMMYFUNCTION("""COMPUTED_VALUE"""),16)</f>
        <v>16</v>
      </c>
      <c r="S98" s="12">
        <f ca="1">IFERROR(__xludf.DUMMYFUNCTION("""COMPUTED_VALUE"""),-29)</f>
        <v>-29</v>
      </c>
      <c r="T98" s="12">
        <f ca="1">IFERROR(__xludf.DUMMYFUNCTION("""COMPUTED_VALUE"""),61)</f>
        <v>61</v>
      </c>
      <c r="U98" s="12">
        <f ca="1">IFERROR(__xludf.DUMMYFUNCTION("""COMPUTED_VALUE"""),-13)</f>
        <v>-13</v>
      </c>
    </row>
    <row r="99" spans="1:21" x14ac:dyDescent="0.25">
      <c r="A99" s="11">
        <f ca="1">IFERROR(__xludf.DUMMYFUNCTION("""COMPUTED_VALUE"""),43987)</f>
        <v>43987</v>
      </c>
      <c r="B99" s="12">
        <f ca="1">IFERROR(__xludf.DUMMYFUNCTION("""COMPUTED_VALUE"""),29521)</f>
        <v>29521</v>
      </c>
      <c r="C99" s="12">
        <f ca="1">IFERROR(__xludf.DUMMYFUNCTION("""COMPUTED_VALUE"""),18308)</f>
        <v>18308</v>
      </c>
      <c r="D99" s="12">
        <f ca="1">IFERROR(__xludf.DUMMYFUNCTION("""COMPUTED_VALUE"""),9443)</f>
        <v>9443</v>
      </c>
      <c r="E99" s="12">
        <f ca="1">IFERROR(__xludf.DUMMYFUNCTION("""COMPUTED_VALUE"""),1770)</f>
        <v>1770</v>
      </c>
      <c r="F99" s="12">
        <f ca="1">IFERROR(__xludf.DUMMYFUNCTION("""COMPUTED_VALUE"""),532)</f>
        <v>532</v>
      </c>
      <c r="G99" s="12">
        <f ca="1">IFERROR(__xludf.DUMMYFUNCTION("""COMPUTED_VALUE"""),2751)</f>
        <v>2751</v>
      </c>
      <c r="H99" s="12">
        <f ca="1">IFERROR(__xludf.DUMMYFUNCTION("""COMPUTED_VALUE"""),2768)</f>
        <v>2768</v>
      </c>
      <c r="I99" s="12">
        <f ca="1">IFERROR(__xludf.DUMMYFUNCTION("""COMPUTED_VALUE"""),1633)</f>
        <v>1633</v>
      </c>
      <c r="J99" s="12">
        <f ca="1">IFERROR(__xludf.DUMMYFUNCTION("""COMPUTED_VALUE"""),7684)</f>
        <v>7684</v>
      </c>
      <c r="K99" s="12">
        <f ca="1">IFERROR(__xludf.DUMMYFUNCTION("""COMPUTED_VALUE"""),4401)</f>
        <v>4401</v>
      </c>
      <c r="L99" s="12">
        <f ca="1">IFERROR(__xludf.DUMMYFUNCTION("""COMPUTED_VALUE"""),703)</f>
        <v>703</v>
      </c>
      <c r="M99" s="12">
        <f ca="1">IFERROR(__xludf.DUMMYFUNCTION("""COMPUTED_VALUE"""),103)</f>
        <v>103</v>
      </c>
      <c r="N99" s="12">
        <f ca="1">IFERROR(__xludf.DUMMYFUNCTION("""COMPUTED_VALUE"""),551)</f>
        <v>551</v>
      </c>
      <c r="O99" s="12">
        <f ca="1">IFERROR(__xludf.DUMMYFUNCTION("""COMPUTED_VALUE"""),49)</f>
        <v>49</v>
      </c>
      <c r="P99" s="12">
        <f ca="1">IFERROR(__xludf.DUMMYFUNCTION("""COMPUTED_VALUE"""),2)</f>
        <v>2</v>
      </c>
      <c r="Q99" s="12">
        <f ca="1">IFERROR(__xludf.DUMMYFUNCTION("""COMPUTED_VALUE"""),144)</f>
        <v>144</v>
      </c>
      <c r="R99" s="12">
        <f ca="1">IFERROR(__xludf.DUMMYFUNCTION("""COMPUTED_VALUE"""),-25)</f>
        <v>-25</v>
      </c>
      <c r="S99" s="12">
        <f ca="1">IFERROR(__xludf.DUMMYFUNCTION("""COMPUTED_VALUE"""),-37)</f>
        <v>-37</v>
      </c>
      <c r="T99" s="12">
        <f ca="1">IFERROR(__xludf.DUMMYFUNCTION("""COMPUTED_VALUE"""),84)</f>
        <v>84</v>
      </c>
      <c r="U99" s="12">
        <f ca="1">IFERROR(__xludf.DUMMYFUNCTION("""COMPUTED_VALUE"""),-62)</f>
        <v>-62</v>
      </c>
    </row>
    <row r="100" spans="1:21" x14ac:dyDescent="0.25">
      <c r="A100" s="11">
        <f ca="1">IFERROR(__xludf.DUMMYFUNCTION("""COMPUTED_VALUE"""),43988)</f>
        <v>43988</v>
      </c>
      <c r="B100" s="12">
        <f ca="1">IFERROR(__xludf.DUMMYFUNCTION("""COMPUTED_VALUE"""),30514)</f>
        <v>30514</v>
      </c>
      <c r="C100" s="12">
        <f ca="1">IFERROR(__xludf.DUMMYFUNCTION("""COMPUTED_VALUE"""),18806)</f>
        <v>18806</v>
      </c>
      <c r="D100" s="12">
        <f ca="1">IFERROR(__xludf.DUMMYFUNCTION("""COMPUTED_VALUE"""),9907)</f>
        <v>9907</v>
      </c>
      <c r="E100" s="12">
        <f ca="1">IFERROR(__xludf.DUMMYFUNCTION("""COMPUTED_VALUE"""),1801)</f>
        <v>1801</v>
      </c>
      <c r="F100" s="12">
        <f ca="1">IFERROR(__xludf.DUMMYFUNCTION("""COMPUTED_VALUE"""),535)</f>
        <v>535</v>
      </c>
      <c r="G100" s="12">
        <f ca="1">IFERROR(__xludf.DUMMYFUNCTION("""COMPUTED_VALUE"""),2840)</f>
        <v>2840</v>
      </c>
      <c r="H100" s="12">
        <f ca="1">IFERROR(__xludf.DUMMYFUNCTION("""COMPUTED_VALUE"""),2776)</f>
        <v>2776</v>
      </c>
      <c r="I100" s="12">
        <f ca="1">IFERROR(__xludf.DUMMYFUNCTION("""COMPUTED_VALUE"""),1635)</f>
        <v>1635</v>
      </c>
      <c r="J100" s="12">
        <f ca="1">IFERROR(__xludf.DUMMYFUNCTION("""COMPUTED_VALUE"""),7786)</f>
        <v>7786</v>
      </c>
      <c r="K100" s="12">
        <f ca="1">IFERROR(__xludf.DUMMYFUNCTION("""COMPUTED_VALUE"""),4411)</f>
        <v>4411</v>
      </c>
      <c r="L100" s="12">
        <f ca="1">IFERROR(__xludf.DUMMYFUNCTION("""COMPUTED_VALUE"""),993)</f>
        <v>993</v>
      </c>
      <c r="M100" s="12">
        <f ca="1">IFERROR(__xludf.DUMMYFUNCTION("""COMPUTED_VALUE"""),498)</f>
        <v>498</v>
      </c>
      <c r="N100" s="12">
        <f ca="1">IFERROR(__xludf.DUMMYFUNCTION("""COMPUTED_VALUE"""),464)</f>
        <v>464</v>
      </c>
      <c r="O100" s="12">
        <f ca="1">IFERROR(__xludf.DUMMYFUNCTION("""COMPUTED_VALUE"""),31)</f>
        <v>31</v>
      </c>
      <c r="P100" s="12">
        <f ca="1">IFERROR(__xludf.DUMMYFUNCTION("""COMPUTED_VALUE"""),3)</f>
        <v>3</v>
      </c>
      <c r="Q100" s="12">
        <f ca="1">IFERROR(__xludf.DUMMYFUNCTION("""COMPUTED_VALUE"""),89)</f>
        <v>89</v>
      </c>
      <c r="R100" s="12">
        <f ca="1">IFERROR(__xludf.DUMMYFUNCTION("""COMPUTED_VALUE"""),8)</f>
        <v>8</v>
      </c>
      <c r="S100" s="12">
        <f ca="1">IFERROR(__xludf.DUMMYFUNCTION("""COMPUTED_VALUE"""),2)</f>
        <v>2</v>
      </c>
      <c r="T100" s="12">
        <f ca="1">IFERROR(__xludf.DUMMYFUNCTION("""COMPUTED_VALUE"""),102)</f>
        <v>102</v>
      </c>
      <c r="U100" s="12">
        <f ca="1">IFERROR(__xludf.DUMMYFUNCTION("""COMPUTED_VALUE"""),10)</f>
        <v>10</v>
      </c>
    </row>
    <row r="101" spans="1:21" x14ac:dyDescent="0.25">
      <c r="A101" s="11">
        <f ca="1">IFERROR(__xludf.DUMMYFUNCTION("""COMPUTED_VALUE"""),43989)</f>
        <v>43989</v>
      </c>
      <c r="B101" s="12">
        <f ca="1">IFERROR(__xludf.DUMMYFUNCTION("""COMPUTED_VALUE"""),31186)</f>
        <v>31186</v>
      </c>
      <c r="C101" s="12">
        <f ca="1">IFERROR(__xludf.DUMMYFUNCTION("""COMPUTED_VALUE"""),18837)</f>
        <v>18837</v>
      </c>
      <c r="D101" s="12">
        <f ca="1">IFERROR(__xludf.DUMMYFUNCTION("""COMPUTED_VALUE"""),10498)</f>
        <v>10498</v>
      </c>
      <c r="E101" s="12">
        <f ca="1">IFERROR(__xludf.DUMMYFUNCTION("""COMPUTED_VALUE"""),1851)</f>
        <v>1851</v>
      </c>
      <c r="F101" s="12">
        <f ca="1">IFERROR(__xludf.DUMMYFUNCTION("""COMPUTED_VALUE"""),537)</f>
        <v>537</v>
      </c>
      <c r="G101" s="12">
        <f ca="1">IFERROR(__xludf.DUMMYFUNCTION("""COMPUTED_VALUE"""),3170)</f>
        <v>3170</v>
      </c>
      <c r="H101" s="12">
        <f ca="1">IFERROR(__xludf.DUMMYFUNCTION("""COMPUTED_VALUE"""),2794)</f>
        <v>2794</v>
      </c>
      <c r="I101" s="12">
        <f ca="1">IFERROR(__xludf.DUMMYFUNCTION("""COMPUTED_VALUE"""),1445)</f>
        <v>1445</v>
      </c>
      <c r="J101" s="12">
        <f ca="1">IFERROR(__xludf.DUMMYFUNCTION("""COMPUTED_VALUE"""),7946)</f>
        <v>7946</v>
      </c>
      <c r="K101" s="12">
        <f ca="1">IFERROR(__xludf.DUMMYFUNCTION("""COMPUTED_VALUE"""),4239)</f>
        <v>4239</v>
      </c>
      <c r="L101" s="12">
        <f ca="1">IFERROR(__xludf.DUMMYFUNCTION("""COMPUTED_VALUE"""),672)</f>
        <v>672</v>
      </c>
      <c r="M101" s="12">
        <f ca="1">IFERROR(__xludf.DUMMYFUNCTION("""COMPUTED_VALUE"""),31)</f>
        <v>31</v>
      </c>
      <c r="N101" s="12">
        <f ca="1">IFERROR(__xludf.DUMMYFUNCTION("""COMPUTED_VALUE"""),591)</f>
        <v>591</v>
      </c>
      <c r="O101" s="12">
        <f ca="1">IFERROR(__xludf.DUMMYFUNCTION("""COMPUTED_VALUE"""),50)</f>
        <v>50</v>
      </c>
      <c r="P101" s="12">
        <f ca="1">IFERROR(__xludf.DUMMYFUNCTION("""COMPUTED_VALUE"""),2)</f>
        <v>2</v>
      </c>
      <c r="Q101" s="12">
        <f ca="1">IFERROR(__xludf.DUMMYFUNCTION("""COMPUTED_VALUE"""),330)</f>
        <v>330</v>
      </c>
      <c r="R101" s="12">
        <f ca="1">IFERROR(__xludf.DUMMYFUNCTION("""COMPUTED_VALUE"""),18)</f>
        <v>18</v>
      </c>
      <c r="S101" s="12">
        <f ca="1">IFERROR(__xludf.DUMMYFUNCTION("""COMPUTED_VALUE"""),-190)</f>
        <v>-190</v>
      </c>
      <c r="T101" s="12">
        <f ca="1">IFERROR(__xludf.DUMMYFUNCTION("""COMPUTED_VALUE"""),160)</f>
        <v>160</v>
      </c>
      <c r="U101" s="12">
        <f ca="1">IFERROR(__xludf.DUMMYFUNCTION("""COMPUTED_VALUE"""),-172)</f>
        <v>-172</v>
      </c>
    </row>
    <row r="102" spans="1:21" x14ac:dyDescent="0.25">
      <c r="A102" s="11">
        <f ca="1">IFERROR(__xludf.DUMMYFUNCTION("""COMPUTED_VALUE"""),43990)</f>
        <v>43990</v>
      </c>
      <c r="B102" s="12">
        <f ca="1">IFERROR(__xludf.DUMMYFUNCTION("""COMPUTED_VALUE"""),32033)</f>
        <v>32033</v>
      </c>
      <c r="C102" s="12">
        <f ca="1">IFERROR(__xludf.DUMMYFUNCTION("""COMPUTED_VALUE"""),19246)</f>
        <v>19246</v>
      </c>
      <c r="D102" s="12">
        <f ca="1">IFERROR(__xludf.DUMMYFUNCTION("""COMPUTED_VALUE"""),10904)</f>
        <v>10904</v>
      </c>
      <c r="E102" s="12">
        <f ca="1">IFERROR(__xludf.DUMMYFUNCTION("""COMPUTED_VALUE"""),1883)</f>
        <v>1883</v>
      </c>
      <c r="F102" s="12">
        <f ca="1">IFERROR(__xludf.DUMMYFUNCTION("""COMPUTED_VALUE"""),538)</f>
        <v>538</v>
      </c>
      <c r="G102" s="12">
        <f ca="1">IFERROR(__xludf.DUMMYFUNCTION("""COMPUTED_VALUE"""),3205)</f>
        <v>3205</v>
      </c>
      <c r="H102" s="12">
        <f ca="1">IFERROR(__xludf.DUMMYFUNCTION("""COMPUTED_VALUE"""),2846)</f>
        <v>2846</v>
      </c>
      <c r="I102" s="12">
        <f ca="1">IFERROR(__xludf.DUMMYFUNCTION("""COMPUTED_VALUE"""),1448)</f>
        <v>1448</v>
      </c>
      <c r="J102" s="12">
        <f ca="1">IFERROR(__xludf.DUMMYFUNCTION("""COMPUTED_VALUE"""),8037)</f>
        <v>8037</v>
      </c>
      <c r="K102" s="12">
        <f ca="1">IFERROR(__xludf.DUMMYFUNCTION("""COMPUTED_VALUE"""),4294)</f>
        <v>4294</v>
      </c>
      <c r="L102" s="12">
        <f ca="1">IFERROR(__xludf.DUMMYFUNCTION("""COMPUTED_VALUE"""),847)</f>
        <v>847</v>
      </c>
      <c r="M102" s="12">
        <f ca="1">IFERROR(__xludf.DUMMYFUNCTION("""COMPUTED_VALUE"""),409)</f>
        <v>409</v>
      </c>
      <c r="N102" s="12">
        <f ca="1">IFERROR(__xludf.DUMMYFUNCTION("""COMPUTED_VALUE"""),406)</f>
        <v>406</v>
      </c>
      <c r="O102" s="12">
        <f ca="1">IFERROR(__xludf.DUMMYFUNCTION("""COMPUTED_VALUE"""),32)</f>
        <v>32</v>
      </c>
      <c r="P102" s="12">
        <f ca="1">IFERROR(__xludf.DUMMYFUNCTION("""COMPUTED_VALUE"""),1)</f>
        <v>1</v>
      </c>
      <c r="Q102" s="12">
        <f ca="1">IFERROR(__xludf.DUMMYFUNCTION("""COMPUTED_VALUE"""),35)</f>
        <v>35</v>
      </c>
      <c r="R102" s="12">
        <f ca="1">IFERROR(__xludf.DUMMYFUNCTION("""COMPUTED_VALUE"""),52)</f>
        <v>52</v>
      </c>
      <c r="S102" s="12">
        <f ca="1">IFERROR(__xludf.DUMMYFUNCTION("""COMPUTED_VALUE"""),3)</f>
        <v>3</v>
      </c>
      <c r="T102" s="12">
        <f ca="1">IFERROR(__xludf.DUMMYFUNCTION("""COMPUTED_VALUE"""),91)</f>
        <v>91</v>
      </c>
      <c r="U102" s="12">
        <f ca="1">IFERROR(__xludf.DUMMYFUNCTION("""COMPUTED_VALUE"""),55)</f>
        <v>55</v>
      </c>
    </row>
    <row r="103" spans="1:21" x14ac:dyDescent="0.25">
      <c r="A103" s="11">
        <f ca="1">IFERROR(__xludf.DUMMYFUNCTION("""COMPUTED_VALUE"""),43991)</f>
        <v>43991</v>
      </c>
      <c r="B103" s="12">
        <f ca="1">IFERROR(__xludf.DUMMYFUNCTION("""COMPUTED_VALUE"""),33076)</f>
        <v>33076</v>
      </c>
      <c r="C103" s="12">
        <f ca="1">IFERROR(__xludf.DUMMYFUNCTION("""COMPUTED_VALUE"""),19739)</f>
        <v>19739</v>
      </c>
      <c r="D103" s="12">
        <f ca="1">IFERROR(__xludf.DUMMYFUNCTION("""COMPUTED_VALUE"""),11414)</f>
        <v>11414</v>
      </c>
      <c r="E103" s="12">
        <f ca="1">IFERROR(__xludf.DUMMYFUNCTION("""COMPUTED_VALUE"""),1923)</f>
        <v>1923</v>
      </c>
      <c r="F103" s="12">
        <f ca="1">IFERROR(__xludf.DUMMYFUNCTION("""COMPUTED_VALUE"""),547)</f>
        <v>547</v>
      </c>
      <c r="G103" s="12">
        <f ca="1">IFERROR(__xludf.DUMMYFUNCTION("""COMPUTED_VALUE"""),3369)</f>
        <v>3369</v>
      </c>
      <c r="H103" s="12">
        <f ca="1">IFERROR(__xludf.DUMMYFUNCTION("""COMPUTED_VALUE"""),2918)</f>
        <v>2918</v>
      </c>
      <c r="I103" s="12">
        <f ca="1">IFERROR(__xludf.DUMMYFUNCTION("""COMPUTED_VALUE"""),1442)</f>
        <v>1442</v>
      </c>
      <c r="J103" s="12">
        <f ca="1">IFERROR(__xludf.DUMMYFUNCTION("""COMPUTED_VALUE"""),8276)</f>
        <v>8276</v>
      </c>
      <c r="K103" s="12">
        <f ca="1">IFERROR(__xludf.DUMMYFUNCTION("""COMPUTED_VALUE"""),4360)</f>
        <v>4360</v>
      </c>
      <c r="L103" s="12">
        <f ca="1">IFERROR(__xludf.DUMMYFUNCTION("""COMPUTED_VALUE"""),1043)</f>
        <v>1043</v>
      </c>
      <c r="M103" s="12">
        <f ca="1">IFERROR(__xludf.DUMMYFUNCTION("""COMPUTED_VALUE"""),493)</f>
        <v>493</v>
      </c>
      <c r="N103" s="12">
        <f ca="1">IFERROR(__xludf.DUMMYFUNCTION("""COMPUTED_VALUE"""),510)</f>
        <v>510</v>
      </c>
      <c r="O103" s="12">
        <f ca="1">IFERROR(__xludf.DUMMYFUNCTION("""COMPUTED_VALUE"""),40)</f>
        <v>40</v>
      </c>
      <c r="P103" s="12">
        <f ca="1">IFERROR(__xludf.DUMMYFUNCTION("""COMPUTED_VALUE"""),9)</f>
        <v>9</v>
      </c>
      <c r="Q103" s="12">
        <f ca="1">IFERROR(__xludf.DUMMYFUNCTION("""COMPUTED_VALUE"""),164)</f>
        <v>164</v>
      </c>
      <c r="R103" s="12">
        <f ca="1">IFERROR(__xludf.DUMMYFUNCTION("""COMPUTED_VALUE"""),72)</f>
        <v>72</v>
      </c>
      <c r="S103" s="12">
        <f ca="1">IFERROR(__xludf.DUMMYFUNCTION("""COMPUTED_VALUE"""),-6)</f>
        <v>-6</v>
      </c>
      <c r="T103" s="12">
        <f ca="1">IFERROR(__xludf.DUMMYFUNCTION("""COMPUTED_VALUE"""),239)</f>
        <v>239</v>
      </c>
      <c r="U103" s="12">
        <f ca="1">IFERROR(__xludf.DUMMYFUNCTION("""COMPUTED_VALUE"""),66)</f>
        <v>66</v>
      </c>
    </row>
    <row r="104" spans="1:21" x14ac:dyDescent="0.25">
      <c r="A104" s="11">
        <f ca="1">IFERROR(__xludf.DUMMYFUNCTION("""COMPUTED_VALUE"""),43992)</f>
        <v>43992</v>
      </c>
      <c r="B104" s="12">
        <f ca="1">IFERROR(__xludf.DUMMYFUNCTION("""COMPUTED_VALUE"""),34316)</f>
        <v>34316</v>
      </c>
      <c r="C104" s="12">
        <f ca="1">IFERROR(__xludf.DUMMYFUNCTION("""COMPUTED_VALUE"""),20228)</f>
        <v>20228</v>
      </c>
      <c r="D104" s="12">
        <f ca="1">IFERROR(__xludf.DUMMYFUNCTION("""COMPUTED_VALUE"""),12129)</f>
        <v>12129</v>
      </c>
      <c r="E104" s="12">
        <f ca="1">IFERROR(__xludf.DUMMYFUNCTION("""COMPUTED_VALUE"""),1959)</f>
        <v>1959</v>
      </c>
      <c r="F104" s="12">
        <f ca="1">IFERROR(__xludf.DUMMYFUNCTION("""COMPUTED_VALUE"""),551)</f>
        <v>551</v>
      </c>
      <c r="G104" s="12">
        <f ca="1">IFERROR(__xludf.DUMMYFUNCTION("""COMPUTED_VALUE"""),3517)</f>
        <v>3517</v>
      </c>
      <c r="H104" s="12">
        <f ca="1">IFERROR(__xludf.DUMMYFUNCTION("""COMPUTED_VALUE"""),2928)</f>
        <v>2928</v>
      </c>
      <c r="I104" s="12">
        <f ca="1">IFERROR(__xludf.DUMMYFUNCTION("""COMPUTED_VALUE"""),1427)</f>
        <v>1427</v>
      </c>
      <c r="J104" s="12">
        <f ca="1">IFERROR(__xludf.DUMMYFUNCTION("""COMPUTED_VALUE"""),8423)</f>
        <v>8423</v>
      </c>
      <c r="K104" s="12">
        <f ca="1">IFERROR(__xludf.DUMMYFUNCTION("""COMPUTED_VALUE"""),4355)</f>
        <v>4355</v>
      </c>
      <c r="L104" s="12">
        <f ca="1">IFERROR(__xludf.DUMMYFUNCTION("""COMPUTED_VALUE"""),1240)</f>
        <v>1240</v>
      </c>
      <c r="M104" s="12">
        <f ca="1">IFERROR(__xludf.DUMMYFUNCTION("""COMPUTED_VALUE"""),489)</f>
        <v>489</v>
      </c>
      <c r="N104" s="12">
        <f ca="1">IFERROR(__xludf.DUMMYFUNCTION("""COMPUTED_VALUE"""),715)</f>
        <v>715</v>
      </c>
      <c r="O104" s="12">
        <f ca="1">IFERROR(__xludf.DUMMYFUNCTION("""COMPUTED_VALUE"""),36)</f>
        <v>36</v>
      </c>
      <c r="P104" s="12">
        <f ca="1">IFERROR(__xludf.DUMMYFUNCTION("""COMPUTED_VALUE"""),4)</f>
        <v>4</v>
      </c>
      <c r="Q104" s="12">
        <f ca="1">IFERROR(__xludf.DUMMYFUNCTION("""COMPUTED_VALUE"""),148)</f>
        <v>148</v>
      </c>
      <c r="R104" s="12">
        <f ca="1">IFERROR(__xludf.DUMMYFUNCTION("""COMPUTED_VALUE"""),10)</f>
        <v>10</v>
      </c>
      <c r="S104" s="12">
        <f ca="1">IFERROR(__xludf.DUMMYFUNCTION("""COMPUTED_VALUE"""),-15)</f>
        <v>-15</v>
      </c>
      <c r="T104" s="12">
        <f ca="1">IFERROR(__xludf.DUMMYFUNCTION("""COMPUTED_VALUE"""),147)</f>
        <v>147</v>
      </c>
      <c r="U104" s="12">
        <f ca="1">IFERROR(__xludf.DUMMYFUNCTION("""COMPUTED_VALUE"""),-5)</f>
        <v>-5</v>
      </c>
    </row>
    <row r="105" spans="1:21" x14ac:dyDescent="0.25">
      <c r="A105" s="11">
        <f ca="1">IFERROR(__xludf.DUMMYFUNCTION("""COMPUTED_VALUE"""),43993)</f>
        <v>43993</v>
      </c>
      <c r="B105" s="12">
        <f ca="1">IFERROR(__xludf.DUMMYFUNCTION("""COMPUTED_VALUE"""),35295)</f>
        <v>35295</v>
      </c>
      <c r="C105" s="12">
        <f ca="1">IFERROR(__xludf.DUMMYFUNCTION("""COMPUTED_VALUE"""),20659)</f>
        <v>20659</v>
      </c>
      <c r="D105" s="12">
        <f ca="1">IFERROR(__xludf.DUMMYFUNCTION("""COMPUTED_VALUE"""),12636)</f>
        <v>12636</v>
      </c>
      <c r="E105" s="12">
        <f ca="1">IFERROR(__xludf.DUMMYFUNCTION("""COMPUTED_VALUE"""),2000)</f>
        <v>2000</v>
      </c>
      <c r="F105" s="12">
        <f ca="1">IFERROR(__xludf.DUMMYFUNCTION("""COMPUTED_VALUE"""),555)</f>
        <v>555</v>
      </c>
      <c r="G105" s="12">
        <f ca="1">IFERROR(__xludf.DUMMYFUNCTION("""COMPUTED_VALUE"""),3664)</f>
        <v>3664</v>
      </c>
      <c r="H105" s="12">
        <f ca="1">IFERROR(__xludf.DUMMYFUNCTION("""COMPUTED_VALUE"""),2887)</f>
        <v>2887</v>
      </c>
      <c r="I105" s="12">
        <f ca="1">IFERROR(__xludf.DUMMYFUNCTION("""COMPUTED_VALUE"""),1446)</f>
        <v>1446</v>
      </c>
      <c r="J105" s="12">
        <f ca="1">IFERROR(__xludf.DUMMYFUNCTION("""COMPUTED_VALUE"""),8552)</f>
        <v>8552</v>
      </c>
      <c r="K105" s="12">
        <f ca="1">IFERROR(__xludf.DUMMYFUNCTION("""COMPUTED_VALUE"""),4333)</f>
        <v>4333</v>
      </c>
      <c r="L105" s="12">
        <f ca="1">IFERROR(__xludf.DUMMYFUNCTION("""COMPUTED_VALUE"""),979)</f>
        <v>979</v>
      </c>
      <c r="M105" s="12">
        <f ca="1">IFERROR(__xludf.DUMMYFUNCTION("""COMPUTED_VALUE"""),431)</f>
        <v>431</v>
      </c>
      <c r="N105" s="12">
        <f ca="1">IFERROR(__xludf.DUMMYFUNCTION("""COMPUTED_VALUE"""),507)</f>
        <v>507</v>
      </c>
      <c r="O105" s="12">
        <f ca="1">IFERROR(__xludf.DUMMYFUNCTION("""COMPUTED_VALUE"""),41)</f>
        <v>41</v>
      </c>
      <c r="P105" s="12">
        <f ca="1">IFERROR(__xludf.DUMMYFUNCTION("""COMPUTED_VALUE"""),4)</f>
        <v>4</v>
      </c>
      <c r="Q105" s="12">
        <f ca="1">IFERROR(__xludf.DUMMYFUNCTION("""COMPUTED_VALUE"""),147)</f>
        <v>147</v>
      </c>
      <c r="R105" s="12">
        <f ca="1">IFERROR(__xludf.DUMMYFUNCTION("""COMPUTED_VALUE"""),-41)</f>
        <v>-41</v>
      </c>
      <c r="S105" s="12">
        <f ca="1">IFERROR(__xludf.DUMMYFUNCTION("""COMPUTED_VALUE"""),19)</f>
        <v>19</v>
      </c>
      <c r="T105" s="12">
        <f ca="1">IFERROR(__xludf.DUMMYFUNCTION("""COMPUTED_VALUE"""),129)</f>
        <v>129</v>
      </c>
      <c r="U105" s="12">
        <f ca="1">IFERROR(__xludf.DUMMYFUNCTION("""COMPUTED_VALUE"""),-22)</f>
        <v>-22</v>
      </c>
    </row>
    <row r="106" spans="1:21" x14ac:dyDescent="0.25">
      <c r="A106" s="11">
        <f ca="1">IFERROR(__xludf.DUMMYFUNCTION("""COMPUTED_VALUE"""),43994)</f>
        <v>43994</v>
      </c>
      <c r="B106" s="12">
        <f ca="1">IFERROR(__xludf.DUMMYFUNCTION("""COMPUTED_VALUE"""),36406)</f>
        <v>36406</v>
      </c>
      <c r="C106" s="12">
        <f ca="1">IFERROR(__xludf.DUMMYFUNCTION("""COMPUTED_VALUE"""),21145)</f>
        <v>21145</v>
      </c>
      <c r="D106" s="12">
        <f ca="1">IFERROR(__xludf.DUMMYFUNCTION("""COMPUTED_VALUE"""),13213)</f>
        <v>13213</v>
      </c>
      <c r="E106" s="12">
        <f ca="1">IFERROR(__xludf.DUMMYFUNCTION("""COMPUTED_VALUE"""),2048)</f>
        <v>2048</v>
      </c>
      <c r="F106" s="12">
        <f ca="1">IFERROR(__xludf.DUMMYFUNCTION("""COMPUTED_VALUE"""),561)</f>
        <v>561</v>
      </c>
      <c r="G106" s="12">
        <f ca="1">IFERROR(__xludf.DUMMYFUNCTION("""COMPUTED_VALUE"""),3780)</f>
        <v>3780</v>
      </c>
      <c r="H106" s="12">
        <f ca="1">IFERROR(__xludf.DUMMYFUNCTION("""COMPUTED_VALUE"""),2863)</f>
        <v>2863</v>
      </c>
      <c r="I106" s="12">
        <f ca="1">IFERROR(__xludf.DUMMYFUNCTION("""COMPUTED_VALUE"""),1424)</f>
        <v>1424</v>
      </c>
      <c r="J106" s="12">
        <f ca="1">IFERROR(__xludf.DUMMYFUNCTION("""COMPUTED_VALUE"""),8628)</f>
        <v>8628</v>
      </c>
      <c r="K106" s="12">
        <f ca="1">IFERROR(__xludf.DUMMYFUNCTION("""COMPUTED_VALUE"""),4287)</f>
        <v>4287</v>
      </c>
      <c r="L106" s="12">
        <f ca="1">IFERROR(__xludf.DUMMYFUNCTION("""COMPUTED_VALUE"""),1111)</f>
        <v>1111</v>
      </c>
      <c r="M106" s="12">
        <f ca="1">IFERROR(__xludf.DUMMYFUNCTION("""COMPUTED_VALUE"""),486)</f>
        <v>486</v>
      </c>
      <c r="N106" s="12">
        <f ca="1">IFERROR(__xludf.DUMMYFUNCTION("""COMPUTED_VALUE"""),577)</f>
        <v>577</v>
      </c>
      <c r="O106" s="12">
        <f ca="1">IFERROR(__xludf.DUMMYFUNCTION("""COMPUTED_VALUE"""),48)</f>
        <v>48</v>
      </c>
      <c r="P106" s="12">
        <f ca="1">IFERROR(__xludf.DUMMYFUNCTION("""COMPUTED_VALUE"""),6)</f>
        <v>6</v>
      </c>
      <c r="Q106" s="12">
        <f ca="1">IFERROR(__xludf.DUMMYFUNCTION("""COMPUTED_VALUE"""),116)</f>
        <v>116</v>
      </c>
      <c r="R106" s="12">
        <f ca="1">IFERROR(__xludf.DUMMYFUNCTION("""COMPUTED_VALUE"""),-24)</f>
        <v>-24</v>
      </c>
      <c r="S106" s="12">
        <f ca="1">IFERROR(__xludf.DUMMYFUNCTION("""COMPUTED_VALUE"""),-22)</f>
        <v>-22</v>
      </c>
      <c r="T106" s="12">
        <f ca="1">IFERROR(__xludf.DUMMYFUNCTION("""COMPUTED_VALUE"""),76)</f>
        <v>76</v>
      </c>
      <c r="U106" s="12">
        <f ca="1">IFERROR(__xludf.DUMMYFUNCTION("""COMPUTED_VALUE"""),-46)</f>
        <v>-46</v>
      </c>
    </row>
    <row r="107" spans="1:21" x14ac:dyDescent="0.25">
      <c r="A107" s="11">
        <f ca="1">IFERROR(__xludf.DUMMYFUNCTION("""COMPUTED_VALUE"""),43995)</f>
        <v>43995</v>
      </c>
      <c r="B107" s="12">
        <f ca="1">IFERROR(__xludf.DUMMYFUNCTION("""COMPUTED_VALUE"""),37420)</f>
        <v>37420</v>
      </c>
      <c r="C107" s="12">
        <f ca="1">IFERROR(__xludf.DUMMYFUNCTION("""COMPUTED_VALUE"""),21553)</f>
        <v>21553</v>
      </c>
      <c r="D107" s="12">
        <f ca="1">IFERROR(__xludf.DUMMYFUNCTION("""COMPUTED_VALUE"""),13776)</f>
        <v>13776</v>
      </c>
      <c r="E107" s="12">
        <f ca="1">IFERROR(__xludf.DUMMYFUNCTION("""COMPUTED_VALUE"""),2091)</f>
        <v>2091</v>
      </c>
      <c r="F107" s="12">
        <f ca="1">IFERROR(__xludf.DUMMYFUNCTION("""COMPUTED_VALUE"""),564)</f>
        <v>564</v>
      </c>
      <c r="G107" s="12">
        <f ca="1">IFERROR(__xludf.DUMMYFUNCTION("""COMPUTED_VALUE"""),3840)</f>
        <v>3840</v>
      </c>
      <c r="H107" s="12">
        <f ca="1">IFERROR(__xludf.DUMMYFUNCTION("""COMPUTED_VALUE"""),2925)</f>
        <v>2925</v>
      </c>
      <c r="I107" s="12">
        <f ca="1">IFERROR(__xludf.DUMMYFUNCTION("""COMPUTED_VALUE"""),1419)</f>
        <v>1419</v>
      </c>
      <c r="J107" s="12">
        <f ca="1">IFERROR(__xludf.DUMMYFUNCTION("""COMPUTED_VALUE"""),8748)</f>
        <v>8748</v>
      </c>
      <c r="K107" s="12">
        <f ca="1">IFERROR(__xludf.DUMMYFUNCTION("""COMPUTED_VALUE"""),4344)</f>
        <v>4344</v>
      </c>
      <c r="L107" s="12">
        <f ca="1">IFERROR(__xludf.DUMMYFUNCTION("""COMPUTED_VALUE"""),1014)</f>
        <v>1014</v>
      </c>
      <c r="M107" s="12">
        <f ca="1">IFERROR(__xludf.DUMMYFUNCTION("""COMPUTED_VALUE"""),408)</f>
        <v>408</v>
      </c>
      <c r="N107" s="12">
        <f ca="1">IFERROR(__xludf.DUMMYFUNCTION("""COMPUTED_VALUE"""),563)</f>
        <v>563</v>
      </c>
      <c r="O107" s="12">
        <f ca="1">IFERROR(__xludf.DUMMYFUNCTION("""COMPUTED_VALUE"""),43)</f>
        <v>43</v>
      </c>
      <c r="P107" s="12">
        <f ca="1">IFERROR(__xludf.DUMMYFUNCTION("""COMPUTED_VALUE"""),3)</f>
        <v>3</v>
      </c>
      <c r="Q107" s="12">
        <f ca="1">IFERROR(__xludf.DUMMYFUNCTION("""COMPUTED_VALUE"""),60)</f>
        <v>60</v>
      </c>
      <c r="R107" s="12">
        <f ca="1">IFERROR(__xludf.DUMMYFUNCTION("""COMPUTED_VALUE"""),62)</f>
        <v>62</v>
      </c>
      <c r="S107" s="12">
        <f ca="1">IFERROR(__xludf.DUMMYFUNCTION("""COMPUTED_VALUE"""),-5)</f>
        <v>-5</v>
      </c>
      <c r="T107" s="12">
        <f ca="1">IFERROR(__xludf.DUMMYFUNCTION("""COMPUTED_VALUE"""),120)</f>
        <v>120</v>
      </c>
      <c r="U107" s="12">
        <f ca="1">IFERROR(__xludf.DUMMYFUNCTION("""COMPUTED_VALUE"""),57)</f>
        <v>57</v>
      </c>
    </row>
    <row r="108" spans="1:21" x14ac:dyDescent="0.25">
      <c r="A108" s="11">
        <f ca="1">IFERROR(__xludf.DUMMYFUNCTION("""COMPUTED_VALUE"""),43996)</f>
        <v>43996</v>
      </c>
      <c r="B108" s="12">
        <f ca="1">IFERROR(__xludf.DUMMYFUNCTION("""COMPUTED_VALUE"""),38277)</f>
        <v>38277</v>
      </c>
      <c r="C108" s="12">
        <f ca="1">IFERROR(__xludf.DUMMYFUNCTION("""COMPUTED_VALUE"""),21612)</f>
        <v>21612</v>
      </c>
      <c r="D108" s="12">
        <f ca="1">IFERROR(__xludf.DUMMYFUNCTION("""COMPUTED_VALUE"""),14531)</f>
        <v>14531</v>
      </c>
      <c r="E108" s="12">
        <f ca="1">IFERROR(__xludf.DUMMYFUNCTION("""COMPUTED_VALUE"""),2134)</f>
        <v>2134</v>
      </c>
      <c r="F108" s="12">
        <f ca="1">IFERROR(__xludf.DUMMYFUNCTION("""COMPUTED_VALUE"""),571)</f>
        <v>571</v>
      </c>
      <c r="G108" s="12">
        <f ca="1">IFERROR(__xludf.DUMMYFUNCTION("""COMPUTED_VALUE"""),4091)</f>
        <v>4091</v>
      </c>
      <c r="H108" s="12">
        <f ca="1">IFERROR(__xludf.DUMMYFUNCTION("""COMPUTED_VALUE"""),2833)</f>
        <v>2833</v>
      </c>
      <c r="I108" s="12">
        <f ca="1">IFERROR(__xludf.DUMMYFUNCTION("""COMPUTED_VALUE"""),1368)</f>
        <v>1368</v>
      </c>
      <c r="J108" s="12">
        <f ca="1">IFERROR(__xludf.DUMMYFUNCTION("""COMPUTED_VALUE"""),8863)</f>
        <v>8863</v>
      </c>
      <c r="K108" s="12">
        <f ca="1">IFERROR(__xludf.DUMMYFUNCTION("""COMPUTED_VALUE"""),4201)</f>
        <v>4201</v>
      </c>
      <c r="L108" s="12">
        <f ca="1">IFERROR(__xludf.DUMMYFUNCTION("""COMPUTED_VALUE"""),857)</f>
        <v>857</v>
      </c>
      <c r="M108" s="12">
        <f ca="1">IFERROR(__xludf.DUMMYFUNCTION("""COMPUTED_VALUE"""),59)</f>
        <v>59</v>
      </c>
      <c r="N108" s="12">
        <f ca="1">IFERROR(__xludf.DUMMYFUNCTION("""COMPUTED_VALUE"""),755)</f>
        <v>755</v>
      </c>
      <c r="O108" s="12">
        <f ca="1">IFERROR(__xludf.DUMMYFUNCTION("""COMPUTED_VALUE"""),43)</f>
        <v>43</v>
      </c>
      <c r="P108" s="12">
        <f ca="1">IFERROR(__xludf.DUMMYFUNCTION("""COMPUTED_VALUE"""),7)</f>
        <v>7</v>
      </c>
      <c r="Q108" s="12">
        <f ca="1">IFERROR(__xludf.DUMMYFUNCTION("""COMPUTED_VALUE"""),251)</f>
        <v>251</v>
      </c>
      <c r="R108" s="12">
        <f ca="1">IFERROR(__xludf.DUMMYFUNCTION("""COMPUTED_VALUE"""),-92)</f>
        <v>-92</v>
      </c>
      <c r="S108" s="12">
        <f ca="1">IFERROR(__xludf.DUMMYFUNCTION("""COMPUTED_VALUE"""),-51)</f>
        <v>-51</v>
      </c>
      <c r="T108" s="12">
        <f ca="1">IFERROR(__xludf.DUMMYFUNCTION("""COMPUTED_VALUE"""),115)</f>
        <v>115</v>
      </c>
      <c r="U108" s="12">
        <f ca="1">IFERROR(__xludf.DUMMYFUNCTION("""COMPUTED_VALUE"""),-143)</f>
        <v>-143</v>
      </c>
    </row>
    <row r="109" spans="1:21" x14ac:dyDescent="0.25">
      <c r="A109" s="11">
        <f ca="1">IFERROR(__xludf.DUMMYFUNCTION("""COMPUTED_VALUE"""),43997)</f>
        <v>43997</v>
      </c>
      <c r="B109" s="12">
        <f ca="1">IFERROR(__xludf.DUMMYFUNCTION("""COMPUTED_VALUE"""),39294)</f>
        <v>39294</v>
      </c>
      <c r="C109" s="12">
        <f ca="1">IFERROR(__xludf.DUMMYFUNCTION("""COMPUTED_VALUE"""),21973)</f>
        <v>21973</v>
      </c>
      <c r="D109" s="12">
        <f ca="1">IFERROR(__xludf.DUMMYFUNCTION("""COMPUTED_VALUE"""),15123)</f>
        <v>15123</v>
      </c>
      <c r="E109" s="12">
        <f ca="1">IFERROR(__xludf.DUMMYFUNCTION("""COMPUTED_VALUE"""),2198)</f>
        <v>2198</v>
      </c>
      <c r="F109" s="12">
        <f ca="1">IFERROR(__xludf.DUMMYFUNCTION("""COMPUTED_VALUE"""),580)</f>
        <v>580</v>
      </c>
      <c r="G109" s="12">
        <f ca="1">IFERROR(__xludf.DUMMYFUNCTION("""COMPUTED_VALUE"""),4198)</f>
        <v>4198</v>
      </c>
      <c r="H109" s="12">
        <f ca="1">IFERROR(__xludf.DUMMYFUNCTION("""COMPUTED_VALUE"""),2800)</f>
        <v>2800</v>
      </c>
      <c r="I109" s="12">
        <f ca="1">IFERROR(__xludf.DUMMYFUNCTION("""COMPUTED_VALUE"""),1390)</f>
        <v>1390</v>
      </c>
      <c r="J109" s="12">
        <f ca="1">IFERROR(__xludf.DUMMYFUNCTION("""COMPUTED_VALUE"""),8968)</f>
        <v>8968</v>
      </c>
      <c r="K109" s="12">
        <f ca="1">IFERROR(__xludf.DUMMYFUNCTION("""COMPUTED_VALUE"""),4190)</f>
        <v>4190</v>
      </c>
      <c r="L109" s="12">
        <f ca="1">IFERROR(__xludf.DUMMYFUNCTION("""COMPUTED_VALUE"""),1017)</f>
        <v>1017</v>
      </c>
      <c r="M109" s="12">
        <f ca="1">IFERROR(__xludf.DUMMYFUNCTION("""COMPUTED_VALUE"""),361)</f>
        <v>361</v>
      </c>
      <c r="N109" s="12">
        <f ca="1">IFERROR(__xludf.DUMMYFUNCTION("""COMPUTED_VALUE"""),592)</f>
        <v>592</v>
      </c>
      <c r="O109" s="12">
        <f ca="1">IFERROR(__xludf.DUMMYFUNCTION("""COMPUTED_VALUE"""),64)</f>
        <v>64</v>
      </c>
      <c r="P109" s="12">
        <f ca="1">IFERROR(__xludf.DUMMYFUNCTION("""COMPUTED_VALUE"""),9)</f>
        <v>9</v>
      </c>
      <c r="Q109" s="12">
        <f ca="1">IFERROR(__xludf.DUMMYFUNCTION("""COMPUTED_VALUE"""),107)</f>
        <v>107</v>
      </c>
      <c r="R109" s="12">
        <f ca="1">IFERROR(__xludf.DUMMYFUNCTION("""COMPUTED_VALUE"""),-33)</f>
        <v>-33</v>
      </c>
      <c r="S109" s="12">
        <f ca="1">IFERROR(__xludf.DUMMYFUNCTION("""COMPUTED_VALUE"""),22)</f>
        <v>22</v>
      </c>
      <c r="T109" s="12">
        <f ca="1">IFERROR(__xludf.DUMMYFUNCTION("""COMPUTED_VALUE"""),105)</f>
        <v>105</v>
      </c>
      <c r="U109" s="12">
        <f ca="1">IFERROR(__xludf.DUMMYFUNCTION("""COMPUTED_VALUE"""),-11)</f>
        <v>-11</v>
      </c>
    </row>
    <row r="110" spans="1:21" x14ac:dyDescent="0.25">
      <c r="A110" s="11">
        <f ca="1">IFERROR(__xludf.DUMMYFUNCTION("""COMPUTED_VALUE"""),43998)</f>
        <v>43998</v>
      </c>
      <c r="B110" s="12">
        <f ca="1">IFERROR(__xludf.DUMMYFUNCTION("""COMPUTED_VALUE"""),40400)</f>
        <v>40400</v>
      </c>
      <c r="C110" s="12">
        <f ca="1">IFERROR(__xludf.DUMMYFUNCTION("""COMPUTED_VALUE"""),22466)</f>
        <v>22466</v>
      </c>
      <c r="D110" s="12">
        <f ca="1">IFERROR(__xludf.DUMMYFUNCTION("""COMPUTED_VALUE"""),15703)</f>
        <v>15703</v>
      </c>
      <c r="E110" s="12">
        <f ca="1">IFERROR(__xludf.DUMMYFUNCTION("""COMPUTED_VALUE"""),2231)</f>
        <v>2231</v>
      </c>
      <c r="F110" s="12">
        <f ca="1">IFERROR(__xludf.DUMMYFUNCTION("""COMPUTED_VALUE"""),583)</f>
        <v>583</v>
      </c>
      <c r="G110" s="12">
        <f ca="1">IFERROR(__xludf.DUMMYFUNCTION("""COMPUTED_VALUE"""),4329)</f>
        <v>4329</v>
      </c>
      <c r="H110" s="12">
        <f ca="1">IFERROR(__xludf.DUMMYFUNCTION("""COMPUTED_VALUE"""),2764)</f>
        <v>2764</v>
      </c>
      <c r="I110" s="12">
        <f ca="1">IFERROR(__xludf.DUMMYFUNCTION("""COMPUTED_VALUE"""),1416)</f>
        <v>1416</v>
      </c>
      <c r="J110" s="12">
        <f ca="1">IFERROR(__xludf.DUMMYFUNCTION("""COMPUTED_VALUE"""),9092)</f>
        <v>9092</v>
      </c>
      <c r="K110" s="12">
        <f ca="1">IFERROR(__xludf.DUMMYFUNCTION("""COMPUTED_VALUE"""),4180)</f>
        <v>4180</v>
      </c>
      <c r="L110" s="12">
        <f ca="1">IFERROR(__xludf.DUMMYFUNCTION("""COMPUTED_VALUE"""),1106)</f>
        <v>1106</v>
      </c>
      <c r="M110" s="12">
        <f ca="1">IFERROR(__xludf.DUMMYFUNCTION("""COMPUTED_VALUE"""),493)</f>
        <v>493</v>
      </c>
      <c r="N110" s="12">
        <f ca="1">IFERROR(__xludf.DUMMYFUNCTION("""COMPUTED_VALUE"""),580)</f>
        <v>580</v>
      </c>
      <c r="O110" s="12">
        <f ca="1">IFERROR(__xludf.DUMMYFUNCTION("""COMPUTED_VALUE"""),33)</f>
        <v>33</v>
      </c>
      <c r="P110" s="12">
        <f ca="1">IFERROR(__xludf.DUMMYFUNCTION("""COMPUTED_VALUE"""),3)</f>
        <v>3</v>
      </c>
      <c r="Q110" s="12">
        <f ca="1">IFERROR(__xludf.DUMMYFUNCTION("""COMPUTED_VALUE"""),131)</f>
        <v>131</v>
      </c>
      <c r="R110" s="12">
        <f ca="1">IFERROR(__xludf.DUMMYFUNCTION("""COMPUTED_VALUE"""),-36)</f>
        <v>-36</v>
      </c>
      <c r="S110" s="12">
        <f ca="1">IFERROR(__xludf.DUMMYFUNCTION("""COMPUTED_VALUE"""),26)</f>
        <v>26</v>
      </c>
      <c r="T110" s="12">
        <f ca="1">IFERROR(__xludf.DUMMYFUNCTION("""COMPUTED_VALUE"""),124)</f>
        <v>124</v>
      </c>
      <c r="U110" s="12">
        <f ca="1">IFERROR(__xludf.DUMMYFUNCTION("""COMPUTED_VALUE"""),-10)</f>
        <v>-10</v>
      </c>
    </row>
    <row r="111" spans="1:21" x14ac:dyDescent="0.25">
      <c r="A111" s="11">
        <f ca="1">IFERROR(__xludf.DUMMYFUNCTION("""COMPUTED_VALUE"""),43999)</f>
        <v>43999</v>
      </c>
      <c r="B111" s="12">
        <f ca="1">IFERROR(__xludf.DUMMYFUNCTION("""COMPUTED_VALUE"""),41431)</f>
        <v>41431</v>
      </c>
      <c r="C111" s="12">
        <f ca="1">IFERROR(__xludf.DUMMYFUNCTION("""COMPUTED_VALUE"""),22912)</f>
        <v>22912</v>
      </c>
      <c r="D111" s="12">
        <f ca="1">IFERROR(__xludf.DUMMYFUNCTION("""COMPUTED_VALUE"""),16243)</f>
        <v>16243</v>
      </c>
      <c r="E111" s="12">
        <f ca="1">IFERROR(__xludf.DUMMYFUNCTION("""COMPUTED_VALUE"""),2276)</f>
        <v>2276</v>
      </c>
      <c r="F111" s="12">
        <f ca="1">IFERROR(__xludf.DUMMYFUNCTION("""COMPUTED_VALUE"""),588)</f>
        <v>588</v>
      </c>
      <c r="G111" s="12">
        <f ca="1">IFERROR(__xludf.DUMMYFUNCTION("""COMPUTED_VALUE"""),4444)</f>
        <v>4444</v>
      </c>
      <c r="H111" s="12">
        <f ca="1">IFERROR(__xludf.DUMMYFUNCTION("""COMPUTED_VALUE"""),2775)</f>
        <v>2775</v>
      </c>
      <c r="I111" s="12">
        <f ca="1">IFERROR(__xludf.DUMMYFUNCTION("""COMPUTED_VALUE"""),1402)</f>
        <v>1402</v>
      </c>
      <c r="J111" s="12">
        <f ca="1">IFERROR(__xludf.DUMMYFUNCTION("""COMPUTED_VALUE"""),9209)</f>
        <v>9209</v>
      </c>
      <c r="K111" s="12">
        <f ca="1">IFERROR(__xludf.DUMMYFUNCTION("""COMPUTED_VALUE"""),4177)</f>
        <v>4177</v>
      </c>
      <c r="L111" s="12">
        <f ca="1">IFERROR(__xludf.DUMMYFUNCTION("""COMPUTED_VALUE"""),1031)</f>
        <v>1031</v>
      </c>
      <c r="M111" s="12">
        <f ca="1">IFERROR(__xludf.DUMMYFUNCTION("""COMPUTED_VALUE"""),446)</f>
        <v>446</v>
      </c>
      <c r="N111" s="12">
        <f ca="1">IFERROR(__xludf.DUMMYFUNCTION("""COMPUTED_VALUE"""),540)</f>
        <v>540</v>
      </c>
      <c r="O111" s="12">
        <f ca="1">IFERROR(__xludf.DUMMYFUNCTION("""COMPUTED_VALUE"""),45)</f>
        <v>45</v>
      </c>
      <c r="P111" s="12">
        <f ca="1">IFERROR(__xludf.DUMMYFUNCTION("""COMPUTED_VALUE"""),5)</f>
        <v>5</v>
      </c>
      <c r="Q111" s="12">
        <f ca="1">IFERROR(__xludf.DUMMYFUNCTION("""COMPUTED_VALUE"""),115)</f>
        <v>115</v>
      </c>
      <c r="R111" s="12">
        <f ca="1">IFERROR(__xludf.DUMMYFUNCTION("""COMPUTED_VALUE"""),11)</f>
        <v>11</v>
      </c>
      <c r="S111" s="12">
        <f ca="1">IFERROR(__xludf.DUMMYFUNCTION("""COMPUTED_VALUE"""),-14)</f>
        <v>-14</v>
      </c>
      <c r="T111" s="12">
        <f ca="1">IFERROR(__xludf.DUMMYFUNCTION("""COMPUTED_VALUE"""),117)</f>
        <v>117</v>
      </c>
      <c r="U111" s="12">
        <f ca="1">IFERROR(__xludf.DUMMYFUNCTION("""COMPUTED_VALUE"""),-3)</f>
        <v>-3</v>
      </c>
    </row>
    <row r="112" spans="1:21" x14ac:dyDescent="0.25">
      <c r="A112" s="11">
        <f ca="1">IFERROR(__xludf.DUMMYFUNCTION("""COMPUTED_VALUE"""),44000)</f>
        <v>44000</v>
      </c>
      <c r="B112" s="12">
        <f ca="1">IFERROR(__xludf.DUMMYFUNCTION("""COMPUTED_VALUE"""),42762)</f>
        <v>42762</v>
      </c>
      <c r="C112" s="12">
        <f ca="1">IFERROR(__xludf.DUMMYFUNCTION("""COMPUTED_VALUE"""),23625)</f>
        <v>23625</v>
      </c>
      <c r="D112" s="12">
        <f ca="1">IFERROR(__xludf.DUMMYFUNCTION("""COMPUTED_VALUE"""),16798)</f>
        <v>16798</v>
      </c>
      <c r="E112" s="12">
        <f ca="1">IFERROR(__xludf.DUMMYFUNCTION("""COMPUTED_VALUE"""),2339)</f>
        <v>2339</v>
      </c>
      <c r="F112" s="12">
        <f ca="1">IFERROR(__xludf.DUMMYFUNCTION("""COMPUTED_VALUE"""),594)</f>
        <v>594</v>
      </c>
      <c r="G112" s="12">
        <f ca="1">IFERROR(__xludf.DUMMYFUNCTION("""COMPUTED_VALUE"""),4592)</f>
        <v>4592</v>
      </c>
      <c r="H112" s="12">
        <f ca="1">IFERROR(__xludf.DUMMYFUNCTION("""COMPUTED_VALUE"""),2822)</f>
        <v>2822</v>
      </c>
      <c r="I112" s="12">
        <f ca="1">IFERROR(__xludf.DUMMYFUNCTION("""COMPUTED_VALUE"""),1377)</f>
        <v>1377</v>
      </c>
      <c r="J112" s="12">
        <f ca="1">IFERROR(__xludf.DUMMYFUNCTION("""COMPUTED_VALUE"""),9385)</f>
        <v>9385</v>
      </c>
      <c r="K112" s="12">
        <f ca="1">IFERROR(__xludf.DUMMYFUNCTION("""COMPUTED_VALUE"""),4199)</f>
        <v>4199</v>
      </c>
      <c r="L112" s="12">
        <f ca="1">IFERROR(__xludf.DUMMYFUNCTION("""COMPUTED_VALUE"""),1331)</f>
        <v>1331</v>
      </c>
      <c r="M112" s="12">
        <f ca="1">IFERROR(__xludf.DUMMYFUNCTION("""COMPUTED_VALUE"""),713)</f>
        <v>713</v>
      </c>
      <c r="N112" s="12">
        <f ca="1">IFERROR(__xludf.DUMMYFUNCTION("""COMPUTED_VALUE"""),555)</f>
        <v>555</v>
      </c>
      <c r="O112" s="12">
        <f ca="1">IFERROR(__xludf.DUMMYFUNCTION("""COMPUTED_VALUE"""),63)</f>
        <v>63</v>
      </c>
      <c r="P112" s="12">
        <f ca="1">IFERROR(__xludf.DUMMYFUNCTION("""COMPUTED_VALUE"""),6)</f>
        <v>6</v>
      </c>
      <c r="Q112" s="12">
        <f ca="1">IFERROR(__xludf.DUMMYFUNCTION("""COMPUTED_VALUE"""),148)</f>
        <v>148</v>
      </c>
      <c r="R112" s="12">
        <f ca="1">IFERROR(__xludf.DUMMYFUNCTION("""COMPUTED_VALUE"""),47)</f>
        <v>47</v>
      </c>
      <c r="S112" s="12">
        <f ca="1">IFERROR(__xludf.DUMMYFUNCTION("""COMPUTED_VALUE"""),-25)</f>
        <v>-25</v>
      </c>
      <c r="T112" s="12">
        <f ca="1">IFERROR(__xludf.DUMMYFUNCTION("""COMPUTED_VALUE"""),176)</f>
        <v>176</v>
      </c>
      <c r="U112" s="12">
        <f ca="1">IFERROR(__xludf.DUMMYFUNCTION("""COMPUTED_VALUE"""),22)</f>
        <v>22</v>
      </c>
    </row>
    <row r="113" spans="1:21" x14ac:dyDescent="0.25">
      <c r="A113" s="11">
        <f ca="1">IFERROR(__xludf.DUMMYFUNCTION("""COMPUTED_VALUE"""),44001)</f>
        <v>44001</v>
      </c>
      <c r="B113" s="12">
        <f ca="1">IFERROR(__xludf.DUMMYFUNCTION("""COMPUTED_VALUE"""),43803)</f>
        <v>43803</v>
      </c>
      <c r="C113" s="12">
        <f ca="1">IFERROR(__xludf.DUMMYFUNCTION("""COMPUTED_VALUE"""),24081)</f>
        <v>24081</v>
      </c>
      <c r="D113" s="12">
        <f ca="1">IFERROR(__xludf.DUMMYFUNCTION("""COMPUTED_VALUE"""),17349)</f>
        <v>17349</v>
      </c>
      <c r="E113" s="12">
        <f ca="1">IFERROR(__xludf.DUMMYFUNCTION("""COMPUTED_VALUE"""),2373)</f>
        <v>2373</v>
      </c>
      <c r="F113" s="12">
        <f ca="1">IFERROR(__xludf.DUMMYFUNCTION("""COMPUTED_VALUE"""),599)</f>
        <v>599</v>
      </c>
      <c r="G113" s="12">
        <f ca="1">IFERROR(__xludf.DUMMYFUNCTION("""COMPUTED_VALUE"""),4682)</f>
        <v>4682</v>
      </c>
      <c r="H113" s="12">
        <f ca="1">IFERROR(__xludf.DUMMYFUNCTION("""COMPUTED_VALUE"""),2862)</f>
        <v>2862</v>
      </c>
      <c r="I113" s="12">
        <f ca="1">IFERROR(__xludf.DUMMYFUNCTION("""COMPUTED_VALUE"""),1382)</f>
        <v>1382</v>
      </c>
      <c r="J113" s="12">
        <f ca="1">IFERROR(__xludf.DUMMYFUNCTION("""COMPUTED_VALUE"""),9525)</f>
        <v>9525</v>
      </c>
      <c r="K113" s="12">
        <f ca="1">IFERROR(__xludf.DUMMYFUNCTION("""COMPUTED_VALUE"""),4244)</f>
        <v>4244</v>
      </c>
      <c r="L113" s="12">
        <f ca="1">IFERROR(__xludf.DUMMYFUNCTION("""COMPUTED_VALUE"""),1041)</f>
        <v>1041</v>
      </c>
      <c r="M113" s="12">
        <f ca="1">IFERROR(__xludf.DUMMYFUNCTION("""COMPUTED_VALUE"""),456)</f>
        <v>456</v>
      </c>
      <c r="N113" s="12">
        <f ca="1">IFERROR(__xludf.DUMMYFUNCTION("""COMPUTED_VALUE"""),551)</f>
        <v>551</v>
      </c>
      <c r="O113" s="12">
        <f ca="1">IFERROR(__xludf.DUMMYFUNCTION("""COMPUTED_VALUE"""),34)</f>
        <v>34</v>
      </c>
      <c r="P113" s="12">
        <f ca="1">IFERROR(__xludf.DUMMYFUNCTION("""COMPUTED_VALUE"""),5)</f>
        <v>5</v>
      </c>
      <c r="Q113" s="12">
        <f ca="1">IFERROR(__xludf.DUMMYFUNCTION("""COMPUTED_VALUE"""),90)</f>
        <v>90</v>
      </c>
      <c r="R113" s="12">
        <f ca="1">IFERROR(__xludf.DUMMYFUNCTION("""COMPUTED_VALUE"""),40)</f>
        <v>40</v>
      </c>
      <c r="S113" s="12">
        <f ca="1">IFERROR(__xludf.DUMMYFUNCTION("""COMPUTED_VALUE"""),5)</f>
        <v>5</v>
      </c>
      <c r="T113" s="12">
        <f ca="1">IFERROR(__xludf.DUMMYFUNCTION("""COMPUTED_VALUE"""),140)</f>
        <v>140</v>
      </c>
      <c r="U113" s="12">
        <f ca="1">IFERROR(__xludf.DUMMYFUNCTION("""COMPUTED_VALUE"""),45)</f>
        <v>45</v>
      </c>
    </row>
    <row r="114" spans="1:21" x14ac:dyDescent="0.25">
      <c r="A114" s="11">
        <f ca="1">IFERROR(__xludf.DUMMYFUNCTION("""COMPUTED_VALUE"""),44002)</f>
        <v>44002</v>
      </c>
      <c r="B114" s="12">
        <f ca="1">IFERROR(__xludf.DUMMYFUNCTION("""COMPUTED_VALUE"""),45029)</f>
        <v>45029</v>
      </c>
      <c r="C114" s="12">
        <f ca="1">IFERROR(__xludf.DUMMYFUNCTION("""COMPUTED_VALUE"""),24717)</f>
        <v>24717</v>
      </c>
      <c r="D114" s="12">
        <f ca="1">IFERROR(__xludf.DUMMYFUNCTION("""COMPUTED_VALUE"""),17883)</f>
        <v>17883</v>
      </c>
      <c r="E114" s="12">
        <f ca="1">IFERROR(__xludf.DUMMYFUNCTION("""COMPUTED_VALUE"""),2429)</f>
        <v>2429</v>
      </c>
      <c r="F114" s="12">
        <f ca="1">IFERROR(__xludf.DUMMYFUNCTION("""COMPUTED_VALUE"""),603)</f>
        <v>603</v>
      </c>
      <c r="G114" s="12">
        <f ca="1">IFERROR(__xludf.DUMMYFUNCTION("""COMPUTED_VALUE"""),4821)</f>
        <v>4821</v>
      </c>
      <c r="H114" s="12">
        <f ca="1">IFERROR(__xludf.DUMMYFUNCTION("""COMPUTED_VALUE"""),2939)</f>
        <v>2939</v>
      </c>
      <c r="I114" s="12">
        <f ca="1">IFERROR(__xludf.DUMMYFUNCTION("""COMPUTED_VALUE"""),1340)</f>
        <v>1340</v>
      </c>
      <c r="J114" s="12">
        <f ca="1">IFERROR(__xludf.DUMMYFUNCTION("""COMPUTED_VALUE"""),9703)</f>
        <v>9703</v>
      </c>
      <c r="K114" s="12">
        <f ca="1">IFERROR(__xludf.DUMMYFUNCTION("""COMPUTED_VALUE"""),4279)</f>
        <v>4279</v>
      </c>
      <c r="L114" s="12">
        <f ca="1">IFERROR(__xludf.DUMMYFUNCTION("""COMPUTED_VALUE"""),1226)</f>
        <v>1226</v>
      </c>
      <c r="M114" s="12">
        <f ca="1">IFERROR(__xludf.DUMMYFUNCTION("""COMPUTED_VALUE"""),636)</f>
        <v>636</v>
      </c>
      <c r="N114" s="12">
        <f ca="1">IFERROR(__xludf.DUMMYFUNCTION("""COMPUTED_VALUE"""),534)</f>
        <v>534</v>
      </c>
      <c r="O114" s="12">
        <f ca="1">IFERROR(__xludf.DUMMYFUNCTION("""COMPUTED_VALUE"""),56)</f>
        <v>56</v>
      </c>
      <c r="P114" s="12">
        <f ca="1">IFERROR(__xludf.DUMMYFUNCTION("""COMPUTED_VALUE"""),4)</f>
        <v>4</v>
      </c>
      <c r="Q114" s="12">
        <f ca="1">IFERROR(__xludf.DUMMYFUNCTION("""COMPUTED_VALUE"""),139)</f>
        <v>139</v>
      </c>
      <c r="R114" s="12">
        <f ca="1">IFERROR(__xludf.DUMMYFUNCTION("""COMPUTED_VALUE"""),77)</f>
        <v>77</v>
      </c>
      <c r="S114" s="12">
        <f ca="1">IFERROR(__xludf.DUMMYFUNCTION("""COMPUTED_VALUE"""),-42)</f>
        <v>-42</v>
      </c>
      <c r="T114" s="12">
        <f ca="1">IFERROR(__xludf.DUMMYFUNCTION("""COMPUTED_VALUE"""),178)</f>
        <v>178</v>
      </c>
      <c r="U114" s="12">
        <f ca="1">IFERROR(__xludf.DUMMYFUNCTION("""COMPUTED_VALUE"""),35)</f>
        <v>35</v>
      </c>
    </row>
    <row r="115" spans="1:21" x14ac:dyDescent="0.25">
      <c r="A115" s="11">
        <f ca="1">IFERROR(__xludf.DUMMYFUNCTION("""COMPUTED_VALUE"""),44003)</f>
        <v>44003</v>
      </c>
      <c r="B115" s="12">
        <f ca="1">IFERROR(__xludf.DUMMYFUNCTION("""COMPUTED_VALUE"""),45891)</f>
        <v>45891</v>
      </c>
      <c r="C115" s="12">
        <f ca="1">IFERROR(__xludf.DUMMYFUNCTION("""COMPUTED_VALUE"""),25022)</f>
        <v>25022</v>
      </c>
      <c r="D115" s="12">
        <f ca="1">IFERROR(__xludf.DUMMYFUNCTION("""COMPUTED_VALUE"""),18404)</f>
        <v>18404</v>
      </c>
      <c r="E115" s="12">
        <f ca="1">IFERROR(__xludf.DUMMYFUNCTION("""COMPUTED_VALUE"""),2465)</f>
        <v>2465</v>
      </c>
      <c r="F115" s="12">
        <f ca="1">IFERROR(__xludf.DUMMYFUNCTION("""COMPUTED_VALUE"""),615)</f>
        <v>615</v>
      </c>
      <c r="G115" s="12">
        <f ca="1">IFERROR(__xludf.DUMMYFUNCTION("""COMPUTED_VALUE"""),5054)</f>
        <v>5054</v>
      </c>
      <c r="H115" s="12">
        <f ca="1">IFERROR(__xludf.DUMMYFUNCTION("""COMPUTED_VALUE"""),2874)</f>
        <v>2874</v>
      </c>
      <c r="I115" s="12">
        <f ca="1">IFERROR(__xludf.DUMMYFUNCTION("""COMPUTED_VALUE"""),1287)</f>
        <v>1287</v>
      </c>
      <c r="J115" s="12">
        <f ca="1">IFERROR(__xludf.DUMMYFUNCTION("""COMPUTED_VALUE"""),9830)</f>
        <v>9830</v>
      </c>
      <c r="K115" s="12">
        <f ca="1">IFERROR(__xludf.DUMMYFUNCTION("""COMPUTED_VALUE"""),4161)</f>
        <v>4161</v>
      </c>
      <c r="L115" s="12">
        <f ca="1">IFERROR(__xludf.DUMMYFUNCTION("""COMPUTED_VALUE"""),862)</f>
        <v>862</v>
      </c>
      <c r="M115" s="12">
        <f ca="1">IFERROR(__xludf.DUMMYFUNCTION("""COMPUTED_VALUE"""),305)</f>
        <v>305</v>
      </c>
      <c r="N115" s="12">
        <f ca="1">IFERROR(__xludf.DUMMYFUNCTION("""COMPUTED_VALUE"""),521)</f>
        <v>521</v>
      </c>
      <c r="O115" s="12">
        <f ca="1">IFERROR(__xludf.DUMMYFUNCTION("""COMPUTED_VALUE"""),36)</f>
        <v>36</v>
      </c>
      <c r="P115" s="12">
        <f ca="1">IFERROR(__xludf.DUMMYFUNCTION("""COMPUTED_VALUE"""),12)</f>
        <v>12</v>
      </c>
      <c r="Q115" s="12">
        <f ca="1">IFERROR(__xludf.DUMMYFUNCTION("""COMPUTED_VALUE"""),233)</f>
        <v>233</v>
      </c>
      <c r="R115" s="12">
        <f ca="1">IFERROR(__xludf.DUMMYFUNCTION("""COMPUTED_VALUE"""),-65)</f>
        <v>-65</v>
      </c>
      <c r="S115" s="12">
        <f ca="1">IFERROR(__xludf.DUMMYFUNCTION("""COMPUTED_VALUE"""),-53)</f>
        <v>-53</v>
      </c>
      <c r="T115" s="12">
        <f ca="1">IFERROR(__xludf.DUMMYFUNCTION("""COMPUTED_VALUE"""),127)</f>
        <v>127</v>
      </c>
      <c r="U115" s="12">
        <f ca="1">IFERROR(__xludf.DUMMYFUNCTION("""COMPUTED_VALUE"""),-118)</f>
        <v>-118</v>
      </c>
    </row>
    <row r="116" spans="1:21" x14ac:dyDescent="0.25">
      <c r="A116" s="11">
        <f ca="1">IFERROR(__xludf.DUMMYFUNCTION("""COMPUTED_VALUE"""),44004)</f>
        <v>44004</v>
      </c>
      <c r="B116" s="12">
        <f ca="1">IFERROR(__xludf.DUMMYFUNCTION("""COMPUTED_VALUE"""),46845)</f>
        <v>46845</v>
      </c>
      <c r="C116" s="12">
        <f ca="1">IFERROR(__xludf.DUMMYFUNCTION("""COMPUTED_VALUE"""),25610)</f>
        <v>25610</v>
      </c>
      <c r="D116" s="12">
        <f ca="1">IFERROR(__xludf.DUMMYFUNCTION("""COMPUTED_VALUE"""),18735)</f>
        <v>18735</v>
      </c>
      <c r="E116" s="12">
        <f ca="1">IFERROR(__xludf.DUMMYFUNCTION("""COMPUTED_VALUE"""),2500)</f>
        <v>2500</v>
      </c>
      <c r="F116" s="12">
        <f ca="1">IFERROR(__xludf.DUMMYFUNCTION("""COMPUTED_VALUE"""),618)</f>
        <v>618</v>
      </c>
      <c r="G116" s="12">
        <f ca="1">IFERROR(__xludf.DUMMYFUNCTION("""COMPUTED_VALUE"""),5128)</f>
        <v>5128</v>
      </c>
      <c r="H116" s="12">
        <f ca="1">IFERROR(__xludf.DUMMYFUNCTION("""COMPUTED_VALUE"""),2901)</f>
        <v>2901</v>
      </c>
      <c r="I116" s="12">
        <f ca="1">IFERROR(__xludf.DUMMYFUNCTION("""COMPUTED_VALUE"""),1310)</f>
        <v>1310</v>
      </c>
      <c r="J116" s="12">
        <f ca="1">IFERROR(__xludf.DUMMYFUNCTION("""COMPUTED_VALUE"""),9957)</f>
        <v>9957</v>
      </c>
      <c r="K116" s="12">
        <f ca="1">IFERROR(__xludf.DUMMYFUNCTION("""COMPUTED_VALUE"""),4211)</f>
        <v>4211</v>
      </c>
      <c r="L116" s="12">
        <f ca="1">IFERROR(__xludf.DUMMYFUNCTION("""COMPUTED_VALUE"""),954)</f>
        <v>954</v>
      </c>
      <c r="M116" s="12">
        <f ca="1">IFERROR(__xludf.DUMMYFUNCTION("""COMPUTED_VALUE"""),588)</f>
        <v>588</v>
      </c>
      <c r="N116" s="12">
        <f ca="1">IFERROR(__xludf.DUMMYFUNCTION("""COMPUTED_VALUE"""),331)</f>
        <v>331</v>
      </c>
      <c r="O116" s="12">
        <f ca="1">IFERROR(__xludf.DUMMYFUNCTION("""COMPUTED_VALUE"""),35)</f>
        <v>35</v>
      </c>
      <c r="P116" s="12">
        <f ca="1">IFERROR(__xludf.DUMMYFUNCTION("""COMPUTED_VALUE"""),3)</f>
        <v>3</v>
      </c>
      <c r="Q116" s="12">
        <f ca="1">IFERROR(__xludf.DUMMYFUNCTION("""COMPUTED_VALUE"""),74)</f>
        <v>74</v>
      </c>
      <c r="R116" s="12">
        <f ca="1">IFERROR(__xludf.DUMMYFUNCTION("""COMPUTED_VALUE"""),27)</f>
        <v>27</v>
      </c>
      <c r="S116" s="12">
        <f ca="1">IFERROR(__xludf.DUMMYFUNCTION("""COMPUTED_VALUE"""),23)</f>
        <v>23</v>
      </c>
      <c r="T116" s="12">
        <f ca="1">IFERROR(__xludf.DUMMYFUNCTION("""COMPUTED_VALUE"""),127)</f>
        <v>127</v>
      </c>
      <c r="U116" s="12">
        <f ca="1">IFERROR(__xludf.DUMMYFUNCTION("""COMPUTED_VALUE"""),50)</f>
        <v>50</v>
      </c>
    </row>
    <row r="117" spans="1:21" x14ac:dyDescent="0.25">
      <c r="A117" s="11">
        <f ca="1">IFERROR(__xludf.DUMMYFUNCTION("""COMPUTED_VALUE"""),44005)</f>
        <v>44005</v>
      </c>
      <c r="B117" s="12">
        <f ca="1">IFERROR(__xludf.DUMMYFUNCTION("""COMPUTED_VALUE"""),47896)</f>
        <v>47896</v>
      </c>
      <c r="C117" s="12">
        <f ca="1">IFERROR(__xludf.DUMMYFUNCTION("""COMPUTED_VALUE"""),26120)</f>
        <v>26120</v>
      </c>
      <c r="D117" s="12">
        <f ca="1">IFERROR(__xludf.DUMMYFUNCTION("""COMPUTED_VALUE"""),19241)</f>
        <v>19241</v>
      </c>
      <c r="E117" s="12">
        <f ca="1">IFERROR(__xludf.DUMMYFUNCTION("""COMPUTED_VALUE"""),2535)</f>
        <v>2535</v>
      </c>
      <c r="F117" s="12">
        <f ca="1">IFERROR(__xludf.DUMMYFUNCTION("""COMPUTED_VALUE"""),619)</f>
        <v>619</v>
      </c>
      <c r="G117" s="12">
        <f ca="1">IFERROR(__xludf.DUMMYFUNCTION("""COMPUTED_VALUE"""),5228)</f>
        <v>5228</v>
      </c>
      <c r="H117" s="12">
        <f ca="1">IFERROR(__xludf.DUMMYFUNCTION("""COMPUTED_VALUE"""),2957)</f>
        <v>2957</v>
      </c>
      <c r="I117" s="12">
        <f ca="1">IFERROR(__xludf.DUMMYFUNCTION("""COMPUTED_VALUE"""),1319)</f>
        <v>1319</v>
      </c>
      <c r="J117" s="12">
        <f ca="1">IFERROR(__xludf.DUMMYFUNCTION("""COMPUTED_VALUE"""),10123)</f>
        <v>10123</v>
      </c>
      <c r="K117" s="12">
        <f ca="1">IFERROR(__xludf.DUMMYFUNCTION("""COMPUTED_VALUE"""),4276)</f>
        <v>4276</v>
      </c>
      <c r="L117" s="12">
        <f ca="1">IFERROR(__xludf.DUMMYFUNCTION("""COMPUTED_VALUE"""),1051)</f>
        <v>1051</v>
      </c>
      <c r="M117" s="12">
        <f ca="1">IFERROR(__xludf.DUMMYFUNCTION("""COMPUTED_VALUE"""),510)</f>
        <v>510</v>
      </c>
      <c r="N117" s="12">
        <f ca="1">IFERROR(__xludf.DUMMYFUNCTION("""COMPUTED_VALUE"""),506)</f>
        <v>506</v>
      </c>
      <c r="O117" s="12">
        <f ca="1">IFERROR(__xludf.DUMMYFUNCTION("""COMPUTED_VALUE"""),35)</f>
        <v>35</v>
      </c>
      <c r="P117" s="12">
        <f ca="1">IFERROR(__xludf.DUMMYFUNCTION("""COMPUTED_VALUE"""),1)</f>
        <v>1</v>
      </c>
      <c r="Q117" s="12">
        <f ca="1">IFERROR(__xludf.DUMMYFUNCTION("""COMPUTED_VALUE"""),100)</f>
        <v>100</v>
      </c>
      <c r="R117" s="12">
        <f ca="1">IFERROR(__xludf.DUMMYFUNCTION("""COMPUTED_VALUE"""),56)</f>
        <v>56</v>
      </c>
      <c r="S117" s="12">
        <f ca="1">IFERROR(__xludf.DUMMYFUNCTION("""COMPUTED_VALUE"""),9)</f>
        <v>9</v>
      </c>
      <c r="T117" s="12">
        <f ca="1">IFERROR(__xludf.DUMMYFUNCTION("""COMPUTED_VALUE"""),166)</f>
        <v>166</v>
      </c>
      <c r="U117" s="12">
        <f ca="1">IFERROR(__xludf.DUMMYFUNCTION("""COMPUTED_VALUE"""),65)</f>
        <v>65</v>
      </c>
    </row>
    <row r="118" spans="1:21" x14ac:dyDescent="0.25">
      <c r="A118" s="11">
        <f ca="1">IFERROR(__xludf.DUMMYFUNCTION("""COMPUTED_VALUE"""),44006)</f>
        <v>44006</v>
      </c>
      <c r="B118" s="12">
        <f ca="1">IFERROR(__xludf.DUMMYFUNCTION("""COMPUTED_VALUE"""),49009)</f>
        <v>49009</v>
      </c>
      <c r="C118" s="12">
        <f ca="1">IFERROR(__xludf.DUMMYFUNCTION("""COMPUTED_VALUE"""),26778)</f>
        <v>26778</v>
      </c>
      <c r="D118" s="12">
        <f ca="1">IFERROR(__xludf.DUMMYFUNCTION("""COMPUTED_VALUE"""),19658)</f>
        <v>19658</v>
      </c>
      <c r="E118" s="12">
        <f ca="1">IFERROR(__xludf.DUMMYFUNCTION("""COMPUTED_VALUE"""),2573)</f>
        <v>2573</v>
      </c>
      <c r="F118" s="12">
        <f ca="1">IFERROR(__xludf.DUMMYFUNCTION("""COMPUTED_VALUE"""),628)</f>
        <v>628</v>
      </c>
      <c r="G118" s="12">
        <f ca="1">IFERROR(__xludf.DUMMYFUNCTION("""COMPUTED_VALUE"""),5322)</f>
        <v>5322</v>
      </c>
      <c r="H118" s="12">
        <f ca="1">IFERROR(__xludf.DUMMYFUNCTION("""COMPUTED_VALUE"""),2978)</f>
        <v>2978</v>
      </c>
      <c r="I118" s="12">
        <f ca="1">IFERROR(__xludf.DUMMYFUNCTION("""COMPUTED_VALUE"""),1349)</f>
        <v>1349</v>
      </c>
      <c r="J118" s="12">
        <f ca="1">IFERROR(__xludf.DUMMYFUNCTION("""COMPUTED_VALUE"""),10277)</f>
        <v>10277</v>
      </c>
      <c r="K118" s="12">
        <f ca="1">IFERROR(__xludf.DUMMYFUNCTION("""COMPUTED_VALUE"""),4327)</f>
        <v>4327</v>
      </c>
      <c r="L118" s="12">
        <f ca="1">IFERROR(__xludf.DUMMYFUNCTION("""COMPUTED_VALUE"""),1113)</f>
        <v>1113</v>
      </c>
      <c r="M118" s="12">
        <f ca="1">IFERROR(__xludf.DUMMYFUNCTION("""COMPUTED_VALUE"""),658)</f>
        <v>658</v>
      </c>
      <c r="N118" s="12">
        <f ca="1">IFERROR(__xludf.DUMMYFUNCTION("""COMPUTED_VALUE"""),417)</f>
        <v>417</v>
      </c>
      <c r="O118" s="12">
        <f ca="1">IFERROR(__xludf.DUMMYFUNCTION("""COMPUTED_VALUE"""),38)</f>
        <v>38</v>
      </c>
      <c r="P118" s="12">
        <f ca="1">IFERROR(__xludf.DUMMYFUNCTION("""COMPUTED_VALUE"""),9)</f>
        <v>9</v>
      </c>
      <c r="Q118" s="12">
        <f ca="1">IFERROR(__xludf.DUMMYFUNCTION("""COMPUTED_VALUE"""),94)</f>
        <v>94</v>
      </c>
      <c r="R118" s="12">
        <f ca="1">IFERROR(__xludf.DUMMYFUNCTION("""COMPUTED_VALUE"""),21)</f>
        <v>21</v>
      </c>
      <c r="S118" s="12">
        <f ca="1">IFERROR(__xludf.DUMMYFUNCTION("""COMPUTED_VALUE"""),30)</f>
        <v>30</v>
      </c>
      <c r="T118" s="12">
        <f ca="1">IFERROR(__xludf.DUMMYFUNCTION("""COMPUTED_VALUE"""),154)</f>
        <v>154</v>
      </c>
      <c r="U118" s="12">
        <f ca="1">IFERROR(__xludf.DUMMYFUNCTION("""COMPUTED_VALUE"""),51)</f>
        <v>51</v>
      </c>
    </row>
    <row r="119" spans="1:21" x14ac:dyDescent="0.25">
      <c r="A119" s="11">
        <f ca="1">IFERROR(__xludf.DUMMYFUNCTION("""COMPUTED_VALUE"""),44007)</f>
        <v>44007</v>
      </c>
      <c r="B119" s="12">
        <f ca="1">IFERROR(__xludf.DUMMYFUNCTION("""COMPUTED_VALUE"""),50187)</f>
        <v>50187</v>
      </c>
      <c r="C119" s="12">
        <f ca="1">IFERROR(__xludf.DUMMYFUNCTION("""COMPUTED_VALUE"""),27118)</f>
        <v>27118</v>
      </c>
      <c r="D119" s="12">
        <f ca="1">IFERROR(__xludf.DUMMYFUNCTION("""COMPUTED_VALUE"""),20449)</f>
        <v>20449</v>
      </c>
      <c r="E119" s="12">
        <f ca="1">IFERROR(__xludf.DUMMYFUNCTION("""COMPUTED_VALUE"""),2620)</f>
        <v>2620</v>
      </c>
      <c r="F119" s="12">
        <f ca="1">IFERROR(__xludf.DUMMYFUNCTION("""COMPUTED_VALUE"""),631)</f>
        <v>631</v>
      </c>
      <c r="G119" s="12">
        <f ca="1">IFERROR(__xludf.DUMMYFUNCTION("""COMPUTED_VALUE"""),5435)</f>
        <v>5435</v>
      </c>
      <c r="H119" s="12">
        <f ca="1">IFERROR(__xludf.DUMMYFUNCTION("""COMPUTED_VALUE"""),3068)</f>
        <v>3068</v>
      </c>
      <c r="I119" s="12">
        <f ca="1">IFERROR(__xludf.DUMMYFUNCTION("""COMPUTED_VALUE"""),1338)</f>
        <v>1338</v>
      </c>
      <c r="J119" s="12">
        <f ca="1">IFERROR(__xludf.DUMMYFUNCTION("""COMPUTED_VALUE"""),10472)</f>
        <v>10472</v>
      </c>
      <c r="K119" s="12">
        <f ca="1">IFERROR(__xludf.DUMMYFUNCTION("""COMPUTED_VALUE"""),4406)</f>
        <v>4406</v>
      </c>
      <c r="L119" s="12">
        <f ca="1">IFERROR(__xludf.DUMMYFUNCTION("""COMPUTED_VALUE"""),1178)</f>
        <v>1178</v>
      </c>
      <c r="M119" s="12">
        <f ca="1">IFERROR(__xludf.DUMMYFUNCTION("""COMPUTED_VALUE"""),340)</f>
        <v>340</v>
      </c>
      <c r="N119" s="12">
        <f ca="1">IFERROR(__xludf.DUMMYFUNCTION("""COMPUTED_VALUE"""),791)</f>
        <v>791</v>
      </c>
      <c r="O119" s="12">
        <f ca="1">IFERROR(__xludf.DUMMYFUNCTION("""COMPUTED_VALUE"""),47)</f>
        <v>47</v>
      </c>
      <c r="P119" s="12">
        <f ca="1">IFERROR(__xludf.DUMMYFUNCTION("""COMPUTED_VALUE"""),3)</f>
        <v>3</v>
      </c>
      <c r="Q119" s="12">
        <f ca="1">IFERROR(__xludf.DUMMYFUNCTION("""COMPUTED_VALUE"""),113)</f>
        <v>113</v>
      </c>
      <c r="R119" s="12">
        <f ca="1">IFERROR(__xludf.DUMMYFUNCTION("""COMPUTED_VALUE"""),90)</f>
        <v>90</v>
      </c>
      <c r="S119" s="12">
        <f ca="1">IFERROR(__xludf.DUMMYFUNCTION("""COMPUTED_VALUE"""),-11)</f>
        <v>-11</v>
      </c>
      <c r="T119" s="12">
        <f ca="1">IFERROR(__xludf.DUMMYFUNCTION("""COMPUTED_VALUE"""),195)</f>
        <v>195</v>
      </c>
      <c r="U119" s="12">
        <f ca="1">IFERROR(__xludf.DUMMYFUNCTION("""COMPUTED_VALUE"""),79)</f>
        <v>79</v>
      </c>
    </row>
    <row r="120" spans="1:21" x14ac:dyDescent="0.25">
      <c r="A120" s="11">
        <f ca="1">IFERROR(__xludf.DUMMYFUNCTION("""COMPUTED_VALUE"""),44008)</f>
        <v>44008</v>
      </c>
      <c r="B120" s="12">
        <f ca="1">IFERROR(__xludf.DUMMYFUNCTION("""COMPUTED_VALUE"""),51427)</f>
        <v>51427</v>
      </c>
      <c r="C120" s="12">
        <f ca="1">IFERROR(__xludf.DUMMYFUNCTION("""COMPUTED_VALUE"""),27411)</f>
        <v>27411</v>
      </c>
      <c r="D120" s="12">
        <f ca="1">IFERROR(__xludf.DUMMYFUNCTION("""COMPUTED_VALUE"""),21333)</f>
        <v>21333</v>
      </c>
      <c r="E120" s="12">
        <f ca="1">IFERROR(__xludf.DUMMYFUNCTION("""COMPUTED_VALUE"""),2683)</f>
        <v>2683</v>
      </c>
      <c r="F120" s="12">
        <f ca="1">IFERROR(__xludf.DUMMYFUNCTION("""COMPUTED_VALUE"""),632)</f>
        <v>632</v>
      </c>
      <c r="G120" s="12">
        <f ca="1">IFERROR(__xludf.DUMMYFUNCTION("""COMPUTED_VALUE"""),5542)</f>
        <v>5542</v>
      </c>
      <c r="H120" s="12">
        <f ca="1">IFERROR(__xludf.DUMMYFUNCTION("""COMPUTED_VALUE"""),3136)</f>
        <v>3136</v>
      </c>
      <c r="I120" s="12">
        <f ca="1">IFERROR(__xludf.DUMMYFUNCTION("""COMPUTED_VALUE"""),1330)</f>
        <v>1330</v>
      </c>
      <c r="J120" s="12">
        <f ca="1">IFERROR(__xludf.DUMMYFUNCTION("""COMPUTED_VALUE"""),10640)</f>
        <v>10640</v>
      </c>
      <c r="K120" s="12">
        <f ca="1">IFERROR(__xludf.DUMMYFUNCTION("""COMPUTED_VALUE"""),4466)</f>
        <v>4466</v>
      </c>
      <c r="L120" s="12">
        <f ca="1">IFERROR(__xludf.DUMMYFUNCTION("""COMPUTED_VALUE"""),1240)</f>
        <v>1240</v>
      </c>
      <c r="M120" s="12">
        <f ca="1">IFERROR(__xludf.DUMMYFUNCTION("""COMPUTED_VALUE"""),293)</f>
        <v>293</v>
      </c>
      <c r="N120" s="12">
        <f ca="1">IFERROR(__xludf.DUMMYFUNCTION("""COMPUTED_VALUE"""),884)</f>
        <v>884</v>
      </c>
      <c r="O120" s="12">
        <f ca="1">IFERROR(__xludf.DUMMYFUNCTION("""COMPUTED_VALUE"""),63)</f>
        <v>63</v>
      </c>
      <c r="P120" s="12">
        <f ca="1">IFERROR(__xludf.DUMMYFUNCTION("""COMPUTED_VALUE"""),1)</f>
        <v>1</v>
      </c>
      <c r="Q120" s="12">
        <f ca="1">IFERROR(__xludf.DUMMYFUNCTION("""COMPUTED_VALUE"""),107)</f>
        <v>107</v>
      </c>
      <c r="R120" s="12">
        <f ca="1">IFERROR(__xludf.DUMMYFUNCTION("""COMPUTED_VALUE"""),68)</f>
        <v>68</v>
      </c>
      <c r="S120" s="12">
        <f ca="1">IFERROR(__xludf.DUMMYFUNCTION("""COMPUTED_VALUE"""),-8)</f>
        <v>-8</v>
      </c>
      <c r="T120" s="12">
        <f ca="1">IFERROR(__xludf.DUMMYFUNCTION("""COMPUTED_VALUE"""),168)</f>
        <v>168</v>
      </c>
      <c r="U120" s="12">
        <f ca="1">IFERROR(__xludf.DUMMYFUNCTION("""COMPUTED_VALUE"""),60)</f>
        <v>60</v>
      </c>
    </row>
    <row r="121" spans="1:21" x14ac:dyDescent="0.25">
      <c r="A121" s="11">
        <f ca="1">IFERROR(__xludf.DUMMYFUNCTION("""COMPUTED_VALUE"""),44009)</f>
        <v>44009</v>
      </c>
      <c r="B121" s="12">
        <f ca="1">IFERROR(__xludf.DUMMYFUNCTION("""COMPUTED_VALUE"""),52812)</f>
        <v>52812</v>
      </c>
      <c r="C121" s="12">
        <f ca="1">IFERROR(__xludf.DUMMYFUNCTION("""COMPUTED_VALUE"""),28183)</f>
        <v>28183</v>
      </c>
      <c r="D121" s="12">
        <f ca="1">IFERROR(__xludf.DUMMYFUNCTION("""COMPUTED_VALUE"""),21909)</f>
        <v>21909</v>
      </c>
      <c r="E121" s="12">
        <f ca="1">IFERROR(__xludf.DUMMYFUNCTION("""COMPUTED_VALUE"""),2720)</f>
        <v>2720</v>
      </c>
      <c r="F121" s="12">
        <f ca="1">IFERROR(__xludf.DUMMYFUNCTION("""COMPUTED_VALUE"""),632)</f>
        <v>632</v>
      </c>
      <c r="G121" s="12">
        <f ca="1">IFERROR(__xludf.DUMMYFUNCTION("""COMPUTED_VALUE"""),5610)</f>
        <v>5610</v>
      </c>
      <c r="H121" s="12">
        <f ca="1">IFERROR(__xludf.DUMMYFUNCTION("""COMPUTED_VALUE"""),3256)</f>
        <v>3256</v>
      </c>
      <c r="I121" s="12">
        <f ca="1">IFERROR(__xludf.DUMMYFUNCTION("""COMPUTED_VALUE"""),1355)</f>
        <v>1355</v>
      </c>
      <c r="J121" s="12">
        <f ca="1">IFERROR(__xludf.DUMMYFUNCTION("""COMPUTED_VALUE"""),10853)</f>
        <v>10853</v>
      </c>
      <c r="K121" s="12">
        <f ca="1">IFERROR(__xludf.DUMMYFUNCTION("""COMPUTED_VALUE"""),4611)</f>
        <v>4611</v>
      </c>
      <c r="L121" s="12">
        <f ca="1">IFERROR(__xludf.DUMMYFUNCTION("""COMPUTED_VALUE"""),1385)</f>
        <v>1385</v>
      </c>
      <c r="M121" s="12">
        <f ca="1">IFERROR(__xludf.DUMMYFUNCTION("""COMPUTED_VALUE"""),772)</f>
        <v>772</v>
      </c>
      <c r="N121" s="12">
        <f ca="1">IFERROR(__xludf.DUMMYFUNCTION("""COMPUTED_VALUE"""),576)</f>
        <v>576</v>
      </c>
      <c r="O121" s="12">
        <f ca="1">IFERROR(__xludf.DUMMYFUNCTION("""COMPUTED_VALUE"""),37)</f>
        <v>37</v>
      </c>
      <c r="P121" s="12">
        <f ca="1">IFERROR(__xludf.DUMMYFUNCTION("""COMPUTED_VALUE"""),0)</f>
        <v>0</v>
      </c>
      <c r="Q121" s="12">
        <f ca="1">IFERROR(__xludf.DUMMYFUNCTION("""COMPUTED_VALUE"""),68)</f>
        <v>68</v>
      </c>
      <c r="R121" s="12">
        <f ca="1">IFERROR(__xludf.DUMMYFUNCTION("""COMPUTED_VALUE"""),120)</f>
        <v>120</v>
      </c>
      <c r="S121" s="12">
        <f ca="1">IFERROR(__xludf.DUMMYFUNCTION("""COMPUTED_VALUE"""),25)</f>
        <v>25</v>
      </c>
      <c r="T121" s="12">
        <f ca="1">IFERROR(__xludf.DUMMYFUNCTION("""COMPUTED_VALUE"""),213)</f>
        <v>213</v>
      </c>
      <c r="U121" s="12">
        <f ca="1">IFERROR(__xludf.DUMMYFUNCTION("""COMPUTED_VALUE"""),145)</f>
        <v>145</v>
      </c>
    </row>
    <row r="122" spans="1:21" x14ac:dyDescent="0.25">
      <c r="A122" s="11">
        <f ca="1">IFERROR(__xludf.DUMMYFUNCTION("""COMPUTED_VALUE"""),44010)</f>
        <v>44010</v>
      </c>
      <c r="B122" s="12">
        <f ca="1">IFERROR(__xludf.DUMMYFUNCTION("""COMPUTED_VALUE"""),54010)</f>
        <v>54010</v>
      </c>
      <c r="C122" s="12">
        <f ca="1">IFERROR(__xludf.DUMMYFUNCTION("""COMPUTED_VALUE"""),28320)</f>
        <v>28320</v>
      </c>
      <c r="D122" s="12">
        <f ca="1">IFERROR(__xludf.DUMMYFUNCTION("""COMPUTED_VALUE"""),22936)</f>
        <v>22936</v>
      </c>
      <c r="E122" s="12">
        <f ca="1">IFERROR(__xludf.DUMMYFUNCTION("""COMPUTED_VALUE"""),2754)</f>
        <v>2754</v>
      </c>
      <c r="F122" s="12">
        <f ca="1">IFERROR(__xludf.DUMMYFUNCTION("""COMPUTED_VALUE"""),635)</f>
        <v>635</v>
      </c>
      <c r="G122" s="12">
        <f ca="1">IFERROR(__xludf.DUMMYFUNCTION("""COMPUTED_VALUE"""),5865)</f>
        <v>5865</v>
      </c>
      <c r="H122" s="12">
        <f ca="1">IFERROR(__xludf.DUMMYFUNCTION("""COMPUTED_VALUE"""),3163)</f>
        <v>3163</v>
      </c>
      <c r="I122" s="12">
        <f ca="1">IFERROR(__xludf.DUMMYFUNCTION("""COMPUTED_VALUE"""),1322)</f>
        <v>1322</v>
      </c>
      <c r="J122" s="12">
        <f ca="1">IFERROR(__xludf.DUMMYFUNCTION("""COMPUTED_VALUE"""),10985)</f>
        <v>10985</v>
      </c>
      <c r="K122" s="12">
        <f ca="1">IFERROR(__xludf.DUMMYFUNCTION("""COMPUTED_VALUE"""),4485)</f>
        <v>4485</v>
      </c>
      <c r="L122" s="12">
        <f ca="1">IFERROR(__xludf.DUMMYFUNCTION("""COMPUTED_VALUE"""),1198)</f>
        <v>1198</v>
      </c>
      <c r="M122" s="12">
        <f ca="1">IFERROR(__xludf.DUMMYFUNCTION("""COMPUTED_VALUE"""),137)</f>
        <v>137</v>
      </c>
      <c r="N122" s="12">
        <f ca="1">IFERROR(__xludf.DUMMYFUNCTION("""COMPUTED_VALUE"""),1027)</f>
        <v>1027</v>
      </c>
      <c r="O122" s="12">
        <f ca="1">IFERROR(__xludf.DUMMYFUNCTION("""COMPUTED_VALUE"""),34)</f>
        <v>34</v>
      </c>
      <c r="P122" s="12">
        <f ca="1">IFERROR(__xludf.DUMMYFUNCTION("""COMPUTED_VALUE"""),3)</f>
        <v>3</v>
      </c>
      <c r="Q122" s="12">
        <f ca="1">IFERROR(__xludf.DUMMYFUNCTION("""COMPUTED_VALUE"""),255)</f>
        <v>255</v>
      </c>
      <c r="R122" s="12">
        <f ca="1">IFERROR(__xludf.DUMMYFUNCTION("""COMPUTED_VALUE"""),-93)</f>
        <v>-93</v>
      </c>
      <c r="S122" s="12">
        <f ca="1">IFERROR(__xludf.DUMMYFUNCTION("""COMPUTED_VALUE"""),-33)</f>
        <v>-33</v>
      </c>
      <c r="T122" s="12">
        <f ca="1">IFERROR(__xludf.DUMMYFUNCTION("""COMPUTED_VALUE"""),132)</f>
        <v>132</v>
      </c>
      <c r="U122" s="12">
        <f ca="1">IFERROR(__xludf.DUMMYFUNCTION("""COMPUTED_VALUE"""),-126)</f>
        <v>-126</v>
      </c>
    </row>
    <row r="123" spans="1:21" x14ac:dyDescent="0.25">
      <c r="A123" s="11">
        <f ca="1">IFERROR(__xludf.DUMMYFUNCTION("""COMPUTED_VALUE"""),44011)</f>
        <v>44011</v>
      </c>
      <c r="B123" s="12">
        <f ca="1">IFERROR(__xludf.DUMMYFUNCTION("""COMPUTED_VALUE"""),55092)</f>
        <v>55092</v>
      </c>
      <c r="C123" s="12">
        <f ca="1">IFERROR(__xludf.DUMMYFUNCTION("""COMPUTED_VALUE"""),28487)</f>
        <v>28487</v>
      </c>
      <c r="D123" s="12">
        <f ca="1">IFERROR(__xludf.DUMMYFUNCTION("""COMPUTED_VALUE"""),23800)</f>
        <v>23800</v>
      </c>
      <c r="E123" s="12">
        <f ca="1">IFERROR(__xludf.DUMMYFUNCTION("""COMPUTED_VALUE"""),2805)</f>
        <v>2805</v>
      </c>
      <c r="F123" s="12">
        <f ca="1">IFERROR(__xludf.DUMMYFUNCTION("""COMPUTED_VALUE"""),636)</f>
        <v>636</v>
      </c>
      <c r="G123" s="12">
        <f ca="1">IFERROR(__xludf.DUMMYFUNCTION("""COMPUTED_VALUE"""),6118)</f>
        <v>6118</v>
      </c>
      <c r="H123" s="12">
        <f ca="1">IFERROR(__xludf.DUMMYFUNCTION("""COMPUTED_VALUE"""),3299)</f>
        <v>3299</v>
      </c>
      <c r="I123" s="12">
        <f ca="1">IFERROR(__xludf.DUMMYFUNCTION("""COMPUTED_VALUE"""),1027)</f>
        <v>1027</v>
      </c>
      <c r="J123" s="12">
        <f ca="1">IFERROR(__xludf.DUMMYFUNCTION("""COMPUTED_VALUE"""),11080)</f>
        <v>11080</v>
      </c>
      <c r="K123" s="12">
        <f ca="1">IFERROR(__xludf.DUMMYFUNCTION("""COMPUTED_VALUE"""),4326)</f>
        <v>4326</v>
      </c>
      <c r="L123" s="12">
        <f ca="1">IFERROR(__xludf.DUMMYFUNCTION("""COMPUTED_VALUE"""),1082)</f>
        <v>1082</v>
      </c>
      <c r="M123" s="12">
        <f ca="1">IFERROR(__xludf.DUMMYFUNCTION("""COMPUTED_VALUE"""),167)</f>
        <v>167</v>
      </c>
      <c r="N123" s="12">
        <f ca="1">IFERROR(__xludf.DUMMYFUNCTION("""COMPUTED_VALUE"""),864)</f>
        <v>864</v>
      </c>
      <c r="O123" s="12">
        <f ca="1">IFERROR(__xludf.DUMMYFUNCTION("""COMPUTED_VALUE"""),51)</f>
        <v>51</v>
      </c>
      <c r="P123" s="12">
        <f ca="1">IFERROR(__xludf.DUMMYFUNCTION("""COMPUTED_VALUE"""),1)</f>
        <v>1</v>
      </c>
      <c r="Q123" s="12">
        <f ca="1">IFERROR(__xludf.DUMMYFUNCTION("""COMPUTED_VALUE"""),253)</f>
        <v>253</v>
      </c>
      <c r="R123" s="12">
        <f ca="1">IFERROR(__xludf.DUMMYFUNCTION("""COMPUTED_VALUE"""),136)</f>
        <v>136</v>
      </c>
      <c r="S123" s="12">
        <f ca="1">IFERROR(__xludf.DUMMYFUNCTION("""COMPUTED_VALUE"""),-295)</f>
        <v>-295</v>
      </c>
      <c r="T123" s="12">
        <f ca="1">IFERROR(__xludf.DUMMYFUNCTION("""COMPUTED_VALUE"""),95)</f>
        <v>95</v>
      </c>
      <c r="U123" s="12">
        <f ca="1">IFERROR(__xludf.DUMMYFUNCTION("""COMPUTED_VALUE"""),-159)</f>
        <v>-159</v>
      </c>
    </row>
    <row r="124" spans="1:21" x14ac:dyDescent="0.25">
      <c r="A124" s="11">
        <f ca="1">IFERROR(__xludf.DUMMYFUNCTION("""COMPUTED_VALUE"""),44012)</f>
        <v>44012</v>
      </c>
      <c r="B124" s="12">
        <f ca="1">IFERROR(__xludf.DUMMYFUNCTION("""COMPUTED_VALUE"""),56385)</f>
        <v>56385</v>
      </c>
      <c r="C124" s="12">
        <f ca="1">IFERROR(__xludf.DUMMYFUNCTION("""COMPUTED_VALUE"""),28703)</f>
        <v>28703</v>
      </c>
      <c r="D124" s="12">
        <f ca="1">IFERROR(__xludf.DUMMYFUNCTION("""COMPUTED_VALUE"""),24806)</f>
        <v>24806</v>
      </c>
      <c r="E124" s="12">
        <f ca="1">IFERROR(__xludf.DUMMYFUNCTION("""COMPUTED_VALUE"""),2876)</f>
        <v>2876</v>
      </c>
      <c r="F124" s="12">
        <f ca="1">IFERROR(__xludf.DUMMYFUNCTION("""COMPUTED_VALUE"""),641)</f>
        <v>641</v>
      </c>
      <c r="G124" s="12">
        <f ca="1">IFERROR(__xludf.DUMMYFUNCTION("""COMPUTED_VALUE"""),6512)</f>
        <v>6512</v>
      </c>
      <c r="H124" s="12">
        <f ca="1">IFERROR(__xludf.DUMMYFUNCTION("""COMPUTED_VALUE"""),3172)</f>
        <v>3172</v>
      </c>
      <c r="I124" s="12">
        <f ca="1">IFERROR(__xludf.DUMMYFUNCTION("""COMPUTED_VALUE"""),951)</f>
        <v>951</v>
      </c>
      <c r="J124" s="12">
        <f ca="1">IFERROR(__xludf.DUMMYFUNCTION("""COMPUTED_VALUE"""),11276)</f>
        <v>11276</v>
      </c>
      <c r="K124" s="12">
        <f ca="1">IFERROR(__xludf.DUMMYFUNCTION("""COMPUTED_VALUE"""),4123)</f>
        <v>4123</v>
      </c>
      <c r="L124" s="12">
        <f ca="1">IFERROR(__xludf.DUMMYFUNCTION("""COMPUTED_VALUE"""),1293)</f>
        <v>1293</v>
      </c>
      <c r="M124" s="12">
        <f ca="1">IFERROR(__xludf.DUMMYFUNCTION("""COMPUTED_VALUE"""),216)</f>
        <v>216</v>
      </c>
      <c r="N124" s="12">
        <f ca="1">IFERROR(__xludf.DUMMYFUNCTION("""COMPUTED_VALUE"""),1006)</f>
        <v>1006</v>
      </c>
      <c r="O124" s="12">
        <f ca="1">IFERROR(__xludf.DUMMYFUNCTION("""COMPUTED_VALUE"""),71)</f>
        <v>71</v>
      </c>
      <c r="P124" s="12">
        <f ca="1">IFERROR(__xludf.DUMMYFUNCTION("""COMPUTED_VALUE"""),5)</f>
        <v>5</v>
      </c>
      <c r="Q124" s="12">
        <f ca="1">IFERROR(__xludf.DUMMYFUNCTION("""COMPUTED_VALUE"""),394)</f>
        <v>394</v>
      </c>
      <c r="R124" s="12">
        <f ca="1">IFERROR(__xludf.DUMMYFUNCTION("""COMPUTED_VALUE"""),-127)</f>
        <v>-127</v>
      </c>
      <c r="S124" s="12">
        <f ca="1">IFERROR(__xludf.DUMMYFUNCTION("""COMPUTED_VALUE"""),-76)</f>
        <v>-76</v>
      </c>
      <c r="T124" s="12">
        <f ca="1">IFERROR(__xludf.DUMMYFUNCTION("""COMPUTED_VALUE"""),196)</f>
        <v>196</v>
      </c>
      <c r="U124" s="12">
        <f ca="1">IFERROR(__xludf.DUMMYFUNCTION("""COMPUTED_VALUE"""),-203)</f>
        <v>-203</v>
      </c>
    </row>
    <row r="125" spans="1:21" x14ac:dyDescent="0.25">
      <c r="A125" s="11">
        <f ca="1">IFERROR(__xludf.DUMMYFUNCTION("""COMPUTED_VALUE"""),44013)</f>
        <v>44013</v>
      </c>
      <c r="B125" s="12">
        <f ca="1">IFERROR(__xludf.DUMMYFUNCTION("""COMPUTED_VALUE"""),57770)</f>
        <v>57770</v>
      </c>
      <c r="C125" s="12">
        <f ca="1">IFERROR(__xludf.DUMMYFUNCTION("""COMPUTED_VALUE"""),29241)</f>
        <v>29241</v>
      </c>
      <c r="D125" s="12">
        <f ca="1">IFERROR(__xludf.DUMMYFUNCTION("""COMPUTED_VALUE"""),25595)</f>
        <v>25595</v>
      </c>
      <c r="E125" s="12">
        <f ca="1">IFERROR(__xludf.DUMMYFUNCTION("""COMPUTED_VALUE"""),2934)</f>
        <v>2934</v>
      </c>
      <c r="F125" s="12">
        <f ca="1">IFERROR(__xludf.DUMMYFUNCTION("""COMPUTED_VALUE"""),644)</f>
        <v>644</v>
      </c>
      <c r="G125" s="12">
        <f ca="1">IFERROR(__xludf.DUMMYFUNCTION("""COMPUTED_VALUE"""),6680)</f>
        <v>6680</v>
      </c>
      <c r="H125" s="12">
        <f ca="1">IFERROR(__xludf.DUMMYFUNCTION("""COMPUTED_VALUE"""),3269)</f>
        <v>3269</v>
      </c>
      <c r="I125" s="12">
        <f ca="1">IFERROR(__xludf.DUMMYFUNCTION("""COMPUTED_VALUE"""),889)</f>
        <v>889</v>
      </c>
      <c r="J125" s="12">
        <f ca="1">IFERROR(__xludf.DUMMYFUNCTION("""COMPUTED_VALUE"""),11482)</f>
        <v>11482</v>
      </c>
      <c r="K125" s="12">
        <f ca="1">IFERROR(__xludf.DUMMYFUNCTION("""COMPUTED_VALUE"""),4158)</f>
        <v>4158</v>
      </c>
      <c r="L125" s="12">
        <f ca="1">IFERROR(__xludf.DUMMYFUNCTION("""COMPUTED_VALUE"""),1385)</f>
        <v>1385</v>
      </c>
      <c r="M125" s="12">
        <f ca="1">IFERROR(__xludf.DUMMYFUNCTION("""COMPUTED_VALUE"""),538)</f>
        <v>538</v>
      </c>
      <c r="N125" s="12">
        <f ca="1">IFERROR(__xludf.DUMMYFUNCTION("""COMPUTED_VALUE"""),789)</f>
        <v>789</v>
      </c>
      <c r="O125" s="12">
        <f ca="1">IFERROR(__xludf.DUMMYFUNCTION("""COMPUTED_VALUE"""),58)</f>
        <v>58</v>
      </c>
      <c r="P125" s="12">
        <f ca="1">IFERROR(__xludf.DUMMYFUNCTION("""COMPUTED_VALUE"""),3)</f>
        <v>3</v>
      </c>
      <c r="Q125" s="12">
        <f ca="1">IFERROR(__xludf.DUMMYFUNCTION("""COMPUTED_VALUE"""),168)</f>
        <v>168</v>
      </c>
      <c r="R125" s="12">
        <f ca="1">IFERROR(__xludf.DUMMYFUNCTION("""COMPUTED_VALUE"""),97)</f>
        <v>97</v>
      </c>
      <c r="S125" s="12">
        <f ca="1">IFERROR(__xludf.DUMMYFUNCTION("""COMPUTED_VALUE"""),-62)</f>
        <v>-62</v>
      </c>
      <c r="T125" s="12">
        <f ca="1">IFERROR(__xludf.DUMMYFUNCTION("""COMPUTED_VALUE"""),206)</f>
        <v>206</v>
      </c>
      <c r="U125" s="12">
        <f ca="1">IFERROR(__xludf.DUMMYFUNCTION("""COMPUTED_VALUE"""),35)</f>
        <v>35</v>
      </c>
    </row>
    <row r="126" spans="1:21" x14ac:dyDescent="0.25">
      <c r="A126" s="11">
        <f ca="1">IFERROR(__xludf.DUMMYFUNCTION("""COMPUTED_VALUE"""),44014)</f>
        <v>44014</v>
      </c>
      <c r="B126" s="12">
        <f ca="1">IFERROR(__xludf.DUMMYFUNCTION("""COMPUTED_VALUE"""),59394)</f>
        <v>59394</v>
      </c>
      <c r="C126" s="12">
        <f ca="1">IFERROR(__xludf.DUMMYFUNCTION("""COMPUTED_VALUE"""),29740)</f>
        <v>29740</v>
      </c>
      <c r="D126" s="12">
        <f ca="1">IFERROR(__xludf.DUMMYFUNCTION("""COMPUTED_VALUE"""),26667)</f>
        <v>26667</v>
      </c>
      <c r="E126" s="12">
        <f ca="1">IFERROR(__xludf.DUMMYFUNCTION("""COMPUTED_VALUE"""),2987)</f>
        <v>2987</v>
      </c>
      <c r="F126" s="12">
        <f ca="1">IFERROR(__xludf.DUMMYFUNCTION("""COMPUTED_VALUE"""),646)</f>
        <v>646</v>
      </c>
      <c r="G126" s="12">
        <f ca="1">IFERROR(__xludf.DUMMYFUNCTION("""COMPUTED_VALUE"""),6871)</f>
        <v>6871</v>
      </c>
      <c r="H126" s="12">
        <f ca="1">IFERROR(__xludf.DUMMYFUNCTION("""COMPUTED_VALUE"""),3356)</f>
        <v>3356</v>
      </c>
      <c r="I126" s="12">
        <f ca="1">IFERROR(__xludf.DUMMYFUNCTION("""COMPUTED_VALUE"""),804)</f>
        <v>804</v>
      </c>
      <c r="J126" s="12">
        <f ca="1">IFERROR(__xludf.DUMMYFUNCTION("""COMPUTED_VALUE"""),11677)</f>
        <v>11677</v>
      </c>
      <c r="K126" s="12">
        <f ca="1">IFERROR(__xludf.DUMMYFUNCTION("""COMPUTED_VALUE"""),4160)</f>
        <v>4160</v>
      </c>
      <c r="L126" s="12">
        <f ca="1">IFERROR(__xludf.DUMMYFUNCTION("""COMPUTED_VALUE"""),1624)</f>
        <v>1624</v>
      </c>
      <c r="M126" s="12">
        <f ca="1">IFERROR(__xludf.DUMMYFUNCTION("""COMPUTED_VALUE"""),499)</f>
        <v>499</v>
      </c>
      <c r="N126" s="12">
        <f ca="1">IFERROR(__xludf.DUMMYFUNCTION("""COMPUTED_VALUE"""),1072)</f>
        <v>1072</v>
      </c>
      <c r="O126" s="12">
        <f ca="1">IFERROR(__xludf.DUMMYFUNCTION("""COMPUTED_VALUE"""),53)</f>
        <v>53</v>
      </c>
      <c r="P126" s="12">
        <f ca="1">IFERROR(__xludf.DUMMYFUNCTION("""COMPUTED_VALUE"""),2)</f>
        <v>2</v>
      </c>
      <c r="Q126" s="12">
        <f ca="1">IFERROR(__xludf.DUMMYFUNCTION("""COMPUTED_VALUE"""),191)</f>
        <v>191</v>
      </c>
      <c r="R126" s="12">
        <f ca="1">IFERROR(__xludf.DUMMYFUNCTION("""COMPUTED_VALUE"""),87)</f>
        <v>87</v>
      </c>
      <c r="S126" s="12">
        <f ca="1">IFERROR(__xludf.DUMMYFUNCTION("""COMPUTED_VALUE"""),-85)</f>
        <v>-85</v>
      </c>
      <c r="T126" s="12">
        <f ca="1">IFERROR(__xludf.DUMMYFUNCTION("""COMPUTED_VALUE"""),195)</f>
        <v>195</v>
      </c>
      <c r="U126" s="12">
        <f ca="1">IFERROR(__xludf.DUMMYFUNCTION("""COMPUTED_VALUE"""),2)</f>
        <v>2</v>
      </c>
    </row>
    <row r="127" spans="1:21" x14ac:dyDescent="0.25">
      <c r="A127" s="11">
        <f ca="1">IFERROR(__xludf.DUMMYFUNCTION("""COMPUTED_VALUE"""),44015)</f>
        <v>44015</v>
      </c>
      <c r="B127" s="12">
        <f ca="1">IFERROR(__xludf.DUMMYFUNCTION("""COMPUTED_VALUE"""),60695)</f>
        <v>60695</v>
      </c>
      <c r="C127" s="12">
        <f ca="1">IFERROR(__xludf.DUMMYFUNCTION("""COMPUTED_VALUE"""),30091)</f>
        <v>30091</v>
      </c>
      <c r="D127" s="12">
        <f ca="1">IFERROR(__xludf.DUMMYFUNCTION("""COMPUTED_VALUE"""),27568)</f>
        <v>27568</v>
      </c>
      <c r="E127" s="12">
        <f ca="1">IFERROR(__xludf.DUMMYFUNCTION("""COMPUTED_VALUE"""),3036)</f>
        <v>3036</v>
      </c>
      <c r="F127" s="12">
        <f ca="1">IFERROR(__xludf.DUMMYFUNCTION("""COMPUTED_VALUE"""),648)</f>
        <v>648</v>
      </c>
      <c r="G127" s="12">
        <f ca="1">IFERROR(__xludf.DUMMYFUNCTION("""COMPUTED_VALUE"""),7109)</f>
        <v>7109</v>
      </c>
      <c r="H127" s="12">
        <f ca="1">IFERROR(__xludf.DUMMYFUNCTION("""COMPUTED_VALUE"""),3331)</f>
        <v>3331</v>
      </c>
      <c r="I127" s="12">
        <f ca="1">IFERROR(__xludf.DUMMYFUNCTION("""COMPUTED_VALUE"""),736)</f>
        <v>736</v>
      </c>
      <c r="J127" s="12">
        <f ca="1">IFERROR(__xludf.DUMMYFUNCTION("""COMPUTED_VALUE"""),11824)</f>
        <v>11824</v>
      </c>
      <c r="K127" s="12">
        <f ca="1">IFERROR(__xludf.DUMMYFUNCTION("""COMPUTED_VALUE"""),4067)</f>
        <v>4067</v>
      </c>
      <c r="L127" s="12">
        <f ca="1">IFERROR(__xludf.DUMMYFUNCTION("""COMPUTED_VALUE"""),1301)</f>
        <v>1301</v>
      </c>
      <c r="M127" s="12">
        <f ca="1">IFERROR(__xludf.DUMMYFUNCTION("""COMPUTED_VALUE"""),351)</f>
        <v>351</v>
      </c>
      <c r="N127" s="12">
        <f ca="1">IFERROR(__xludf.DUMMYFUNCTION("""COMPUTED_VALUE"""),901)</f>
        <v>901</v>
      </c>
      <c r="O127" s="12">
        <f ca="1">IFERROR(__xludf.DUMMYFUNCTION("""COMPUTED_VALUE"""),49)</f>
        <v>49</v>
      </c>
      <c r="P127" s="12">
        <f ca="1">IFERROR(__xludf.DUMMYFUNCTION("""COMPUTED_VALUE"""),2)</f>
        <v>2</v>
      </c>
      <c r="Q127" s="12">
        <f ca="1">IFERROR(__xludf.DUMMYFUNCTION("""COMPUTED_VALUE"""),238)</f>
        <v>238</v>
      </c>
      <c r="R127" s="12">
        <f ca="1">IFERROR(__xludf.DUMMYFUNCTION("""COMPUTED_VALUE"""),-25)</f>
        <v>-25</v>
      </c>
      <c r="S127" s="12">
        <f ca="1">IFERROR(__xludf.DUMMYFUNCTION("""COMPUTED_VALUE"""),-68)</f>
        <v>-68</v>
      </c>
      <c r="T127" s="12">
        <f ca="1">IFERROR(__xludf.DUMMYFUNCTION("""COMPUTED_VALUE"""),147)</f>
        <v>147</v>
      </c>
      <c r="U127" s="12">
        <f ca="1">IFERROR(__xludf.DUMMYFUNCTION("""COMPUTED_VALUE"""),-93)</f>
        <v>-93</v>
      </c>
    </row>
    <row r="128" spans="1:21" x14ac:dyDescent="0.25">
      <c r="A128" s="11">
        <f ca="1">IFERROR(__xludf.DUMMYFUNCTION("""COMPUTED_VALUE"""),44016)</f>
        <v>44016</v>
      </c>
      <c r="B128" s="12">
        <f ca="1">IFERROR(__xludf.DUMMYFUNCTION("""COMPUTED_VALUE"""),62142)</f>
        <v>62142</v>
      </c>
      <c r="C128" s="12">
        <f ca="1">IFERROR(__xludf.DUMMYFUNCTION("""COMPUTED_VALUE"""),30834)</f>
        <v>30834</v>
      </c>
      <c r="D128" s="12">
        <f ca="1">IFERROR(__xludf.DUMMYFUNCTION("""COMPUTED_VALUE"""),28219)</f>
        <v>28219</v>
      </c>
      <c r="E128" s="12">
        <f ca="1">IFERROR(__xludf.DUMMYFUNCTION("""COMPUTED_VALUE"""),3089)</f>
        <v>3089</v>
      </c>
      <c r="F128" s="12">
        <f ca="1">IFERROR(__xludf.DUMMYFUNCTION("""COMPUTED_VALUE"""),650)</f>
        <v>650</v>
      </c>
      <c r="G128" s="12">
        <f ca="1">IFERROR(__xludf.DUMMYFUNCTION("""COMPUTED_VALUE"""),7377)</f>
        <v>7377</v>
      </c>
      <c r="H128" s="12">
        <f ca="1">IFERROR(__xludf.DUMMYFUNCTION("""COMPUTED_VALUE"""),3366)</f>
        <v>3366</v>
      </c>
      <c r="I128" s="12">
        <f ca="1">IFERROR(__xludf.DUMMYFUNCTION("""COMPUTED_VALUE"""),646)</f>
        <v>646</v>
      </c>
      <c r="J128" s="12">
        <f ca="1">IFERROR(__xludf.DUMMYFUNCTION("""COMPUTED_VALUE"""),12039)</f>
        <v>12039</v>
      </c>
      <c r="K128" s="12">
        <f ca="1">IFERROR(__xludf.DUMMYFUNCTION("""COMPUTED_VALUE"""),4012)</f>
        <v>4012</v>
      </c>
      <c r="L128" s="12">
        <f ca="1">IFERROR(__xludf.DUMMYFUNCTION("""COMPUTED_VALUE"""),1447)</f>
        <v>1447</v>
      </c>
      <c r="M128" s="12">
        <f ca="1">IFERROR(__xludf.DUMMYFUNCTION("""COMPUTED_VALUE"""),743)</f>
        <v>743</v>
      </c>
      <c r="N128" s="12">
        <f ca="1">IFERROR(__xludf.DUMMYFUNCTION("""COMPUTED_VALUE"""),651)</f>
        <v>651</v>
      </c>
      <c r="O128" s="12">
        <f ca="1">IFERROR(__xludf.DUMMYFUNCTION("""COMPUTED_VALUE"""),53)</f>
        <v>53</v>
      </c>
      <c r="P128" s="12">
        <f ca="1">IFERROR(__xludf.DUMMYFUNCTION("""COMPUTED_VALUE"""),2)</f>
        <v>2</v>
      </c>
      <c r="Q128" s="12">
        <f ca="1">IFERROR(__xludf.DUMMYFUNCTION("""COMPUTED_VALUE"""),268)</f>
        <v>268</v>
      </c>
      <c r="R128" s="12">
        <f ca="1">IFERROR(__xludf.DUMMYFUNCTION("""COMPUTED_VALUE"""),35)</f>
        <v>35</v>
      </c>
      <c r="S128" s="12">
        <f ca="1">IFERROR(__xludf.DUMMYFUNCTION("""COMPUTED_VALUE"""),-90)</f>
        <v>-90</v>
      </c>
      <c r="T128" s="12">
        <f ca="1">IFERROR(__xludf.DUMMYFUNCTION("""COMPUTED_VALUE"""),215)</f>
        <v>215</v>
      </c>
      <c r="U128" s="12">
        <f ca="1">IFERROR(__xludf.DUMMYFUNCTION("""COMPUTED_VALUE"""),-55)</f>
        <v>-55</v>
      </c>
    </row>
    <row r="129" spans="1:21" x14ac:dyDescent="0.25">
      <c r="A129" s="11">
        <f ca="1">IFERROR(__xludf.DUMMYFUNCTION("""COMPUTED_VALUE"""),44017)</f>
        <v>44017</v>
      </c>
      <c r="B129" s="12">
        <f ca="1">IFERROR(__xludf.DUMMYFUNCTION("""COMPUTED_VALUE"""),63749)</f>
        <v>63749</v>
      </c>
      <c r="C129" s="12">
        <f ca="1">IFERROR(__xludf.DUMMYFUNCTION("""COMPUTED_VALUE"""),31473)</f>
        <v>31473</v>
      </c>
      <c r="D129" s="12">
        <f ca="1">IFERROR(__xludf.DUMMYFUNCTION("""COMPUTED_VALUE"""),29105)</f>
        <v>29105</v>
      </c>
      <c r="E129" s="12">
        <f ca="1">IFERROR(__xludf.DUMMYFUNCTION("""COMPUTED_VALUE"""),3171)</f>
        <v>3171</v>
      </c>
      <c r="F129" s="12">
        <f ca="1">IFERROR(__xludf.DUMMYFUNCTION("""COMPUTED_VALUE"""),658)</f>
        <v>658</v>
      </c>
      <c r="G129" s="12">
        <f ca="1">IFERROR(__xludf.DUMMYFUNCTION("""COMPUTED_VALUE"""),7663)</f>
        <v>7663</v>
      </c>
      <c r="H129" s="12">
        <f ca="1">IFERROR(__xludf.DUMMYFUNCTION("""COMPUTED_VALUE"""),3390)</f>
        <v>3390</v>
      </c>
      <c r="I129" s="12">
        <f ca="1">IFERROR(__xludf.DUMMYFUNCTION("""COMPUTED_VALUE"""),584)</f>
        <v>584</v>
      </c>
      <c r="J129" s="12">
        <f ca="1">IFERROR(__xludf.DUMMYFUNCTION("""COMPUTED_VALUE"""),12295)</f>
        <v>12295</v>
      </c>
      <c r="K129" s="12">
        <f ca="1">IFERROR(__xludf.DUMMYFUNCTION("""COMPUTED_VALUE"""),3974)</f>
        <v>3974</v>
      </c>
      <c r="L129" s="12">
        <f ca="1">IFERROR(__xludf.DUMMYFUNCTION("""COMPUTED_VALUE"""),1607)</f>
        <v>1607</v>
      </c>
      <c r="M129" s="12">
        <f ca="1">IFERROR(__xludf.DUMMYFUNCTION("""COMPUTED_VALUE"""),639)</f>
        <v>639</v>
      </c>
      <c r="N129" s="12">
        <f ca="1">IFERROR(__xludf.DUMMYFUNCTION("""COMPUTED_VALUE"""),886)</f>
        <v>886</v>
      </c>
      <c r="O129" s="12">
        <f ca="1">IFERROR(__xludf.DUMMYFUNCTION("""COMPUTED_VALUE"""),82)</f>
        <v>82</v>
      </c>
      <c r="P129" s="12">
        <f ca="1">IFERROR(__xludf.DUMMYFUNCTION("""COMPUTED_VALUE"""),8)</f>
        <v>8</v>
      </c>
      <c r="Q129" s="12">
        <f ca="1">IFERROR(__xludf.DUMMYFUNCTION("""COMPUTED_VALUE"""),286)</f>
        <v>286</v>
      </c>
      <c r="R129" s="12">
        <f ca="1">IFERROR(__xludf.DUMMYFUNCTION("""COMPUTED_VALUE"""),24)</f>
        <v>24</v>
      </c>
      <c r="S129" s="12">
        <f ca="1">IFERROR(__xludf.DUMMYFUNCTION("""COMPUTED_VALUE"""),-62)</f>
        <v>-62</v>
      </c>
      <c r="T129" s="12">
        <f ca="1">IFERROR(__xludf.DUMMYFUNCTION("""COMPUTED_VALUE"""),256)</f>
        <v>256</v>
      </c>
      <c r="U129" s="12">
        <f ca="1">IFERROR(__xludf.DUMMYFUNCTION("""COMPUTED_VALUE"""),-38)</f>
        <v>-38</v>
      </c>
    </row>
    <row r="130" spans="1:21" x14ac:dyDescent="0.25">
      <c r="A130" s="11">
        <f ca="1">IFERROR(__xludf.DUMMYFUNCTION("""COMPUTED_VALUE"""),44018)</f>
        <v>44018</v>
      </c>
      <c r="B130" s="12">
        <f ca="1">IFERROR(__xludf.DUMMYFUNCTION("""COMPUTED_VALUE"""),64958)</f>
        <v>64958</v>
      </c>
      <c r="C130" s="12">
        <f ca="1">IFERROR(__xludf.DUMMYFUNCTION("""COMPUTED_VALUE"""),31798)</f>
        <v>31798</v>
      </c>
      <c r="D130" s="12">
        <f ca="1">IFERROR(__xludf.DUMMYFUNCTION("""COMPUTED_VALUE"""),29919)</f>
        <v>29919</v>
      </c>
      <c r="E130" s="12">
        <f ca="1">IFERROR(__xludf.DUMMYFUNCTION("""COMPUTED_VALUE"""),3241)</f>
        <v>3241</v>
      </c>
      <c r="F130" s="12">
        <f ca="1">IFERROR(__xludf.DUMMYFUNCTION("""COMPUTED_VALUE"""),658)</f>
        <v>658</v>
      </c>
      <c r="G130" s="12">
        <f ca="1">IFERROR(__xludf.DUMMYFUNCTION("""COMPUTED_VALUE"""),8033)</f>
        <v>8033</v>
      </c>
      <c r="H130" s="12">
        <f ca="1">IFERROR(__xludf.DUMMYFUNCTION("""COMPUTED_VALUE"""),3340)</f>
        <v>3340</v>
      </c>
      <c r="I130" s="12">
        <f ca="1">IFERROR(__xludf.DUMMYFUNCTION("""COMPUTED_VALUE"""),495)</f>
        <v>495</v>
      </c>
      <c r="J130" s="12">
        <f ca="1">IFERROR(__xludf.DUMMYFUNCTION("""COMPUTED_VALUE"""),12526)</f>
        <v>12526</v>
      </c>
      <c r="K130" s="12">
        <f ca="1">IFERROR(__xludf.DUMMYFUNCTION("""COMPUTED_VALUE"""),3835)</f>
        <v>3835</v>
      </c>
      <c r="L130" s="12">
        <f ca="1">IFERROR(__xludf.DUMMYFUNCTION("""COMPUTED_VALUE"""),1209)</f>
        <v>1209</v>
      </c>
      <c r="M130" s="12">
        <f ca="1">IFERROR(__xludf.DUMMYFUNCTION("""COMPUTED_VALUE"""),325)</f>
        <v>325</v>
      </c>
      <c r="N130" s="12">
        <f ca="1">IFERROR(__xludf.DUMMYFUNCTION("""COMPUTED_VALUE"""),814)</f>
        <v>814</v>
      </c>
      <c r="O130" s="12">
        <f ca="1">IFERROR(__xludf.DUMMYFUNCTION("""COMPUTED_VALUE"""),70)</f>
        <v>70</v>
      </c>
      <c r="P130" s="12">
        <f ca="1">IFERROR(__xludf.DUMMYFUNCTION("""COMPUTED_VALUE"""),0)</f>
        <v>0</v>
      </c>
      <c r="Q130" s="12">
        <f ca="1">IFERROR(__xludf.DUMMYFUNCTION("""COMPUTED_VALUE"""),370)</f>
        <v>370</v>
      </c>
      <c r="R130" s="12">
        <f ca="1">IFERROR(__xludf.DUMMYFUNCTION("""COMPUTED_VALUE"""),-50)</f>
        <v>-50</v>
      </c>
      <c r="S130" s="12">
        <f ca="1">IFERROR(__xludf.DUMMYFUNCTION("""COMPUTED_VALUE"""),-89)</f>
        <v>-89</v>
      </c>
      <c r="T130" s="12">
        <f ca="1">IFERROR(__xludf.DUMMYFUNCTION("""COMPUTED_VALUE"""),231)</f>
        <v>231</v>
      </c>
      <c r="U130" s="12">
        <f ca="1">IFERROR(__xludf.DUMMYFUNCTION("""COMPUTED_VALUE"""),-139)</f>
        <v>-139</v>
      </c>
    </row>
    <row r="131" spans="1:21" x14ac:dyDescent="0.25">
      <c r="A131" s="11">
        <f ca="1">IFERROR(__xludf.DUMMYFUNCTION("""COMPUTED_VALUE"""),44019)</f>
        <v>44019</v>
      </c>
      <c r="B131" s="12">
        <f ca="1">IFERROR(__xludf.DUMMYFUNCTION("""COMPUTED_VALUE"""),66226)</f>
        <v>66226</v>
      </c>
      <c r="C131" s="12">
        <f ca="1">IFERROR(__xludf.DUMMYFUNCTION("""COMPUTED_VALUE"""),32132)</f>
        <v>32132</v>
      </c>
      <c r="D131" s="12">
        <f ca="1">IFERROR(__xludf.DUMMYFUNCTION("""COMPUTED_VALUE"""),30785)</f>
        <v>30785</v>
      </c>
      <c r="E131" s="12">
        <f ca="1">IFERROR(__xludf.DUMMYFUNCTION("""COMPUTED_VALUE"""),3309)</f>
        <v>3309</v>
      </c>
      <c r="F131" s="12">
        <f ca="1">IFERROR(__xludf.DUMMYFUNCTION("""COMPUTED_VALUE"""),664)</f>
        <v>664</v>
      </c>
      <c r="G131" s="12">
        <f ca="1">IFERROR(__xludf.DUMMYFUNCTION("""COMPUTED_VALUE"""),8277)</f>
        <v>8277</v>
      </c>
      <c r="H131" s="12">
        <f ca="1">IFERROR(__xludf.DUMMYFUNCTION("""COMPUTED_VALUE"""),3379)</f>
        <v>3379</v>
      </c>
      <c r="I131" s="12">
        <f ca="1">IFERROR(__xludf.DUMMYFUNCTION("""COMPUTED_VALUE"""),405)</f>
        <v>405</v>
      </c>
      <c r="J131" s="12">
        <f ca="1">IFERROR(__xludf.DUMMYFUNCTION("""COMPUTED_VALUE"""),12725)</f>
        <v>12725</v>
      </c>
      <c r="K131" s="12">
        <f ca="1">IFERROR(__xludf.DUMMYFUNCTION("""COMPUTED_VALUE"""),3784)</f>
        <v>3784</v>
      </c>
      <c r="L131" s="12">
        <f ca="1">IFERROR(__xludf.DUMMYFUNCTION("""COMPUTED_VALUE"""),1268)</f>
        <v>1268</v>
      </c>
      <c r="M131" s="12">
        <f ca="1">IFERROR(__xludf.DUMMYFUNCTION("""COMPUTED_VALUE"""),334)</f>
        <v>334</v>
      </c>
      <c r="N131" s="12">
        <f ca="1">IFERROR(__xludf.DUMMYFUNCTION("""COMPUTED_VALUE"""),866)</f>
        <v>866</v>
      </c>
      <c r="O131" s="12">
        <f ca="1">IFERROR(__xludf.DUMMYFUNCTION("""COMPUTED_VALUE"""),68)</f>
        <v>68</v>
      </c>
      <c r="P131" s="12">
        <f ca="1">IFERROR(__xludf.DUMMYFUNCTION("""COMPUTED_VALUE"""),6)</f>
        <v>6</v>
      </c>
      <c r="Q131" s="12">
        <f ca="1">IFERROR(__xludf.DUMMYFUNCTION("""COMPUTED_VALUE"""),244)</f>
        <v>244</v>
      </c>
      <c r="R131" s="12">
        <f ca="1">IFERROR(__xludf.DUMMYFUNCTION("""COMPUTED_VALUE"""),39)</f>
        <v>39</v>
      </c>
      <c r="S131" s="12">
        <f ca="1">IFERROR(__xludf.DUMMYFUNCTION("""COMPUTED_VALUE"""),-90)</f>
        <v>-90</v>
      </c>
      <c r="T131" s="12">
        <f ca="1">IFERROR(__xludf.DUMMYFUNCTION("""COMPUTED_VALUE"""),199)</f>
        <v>199</v>
      </c>
      <c r="U131" s="12">
        <f ca="1">IFERROR(__xludf.DUMMYFUNCTION("""COMPUTED_VALUE"""),-51)</f>
        <v>-51</v>
      </c>
    </row>
    <row r="132" spans="1:21" x14ac:dyDescent="0.25">
      <c r="A132" s="11">
        <f ca="1">IFERROR(__xludf.DUMMYFUNCTION("""COMPUTED_VALUE"""),44020)</f>
        <v>44020</v>
      </c>
      <c r="B132" s="12">
        <f ca="1">IFERROR(__xludf.DUMMYFUNCTION("""COMPUTED_VALUE"""),68079)</f>
        <v>68079</v>
      </c>
      <c r="C132" s="12">
        <f ca="1">IFERROR(__xludf.DUMMYFUNCTION("""COMPUTED_VALUE"""),33135)</f>
        <v>33135</v>
      </c>
      <c r="D132" s="12">
        <f ca="1">IFERROR(__xludf.DUMMYFUNCTION("""COMPUTED_VALUE"""),31585)</f>
        <v>31585</v>
      </c>
      <c r="E132" s="12">
        <f ca="1">IFERROR(__xludf.DUMMYFUNCTION("""COMPUTED_VALUE"""),3359)</f>
        <v>3359</v>
      </c>
      <c r="F132" s="12">
        <f ca="1">IFERROR(__xludf.DUMMYFUNCTION("""COMPUTED_VALUE"""),667)</f>
        <v>667</v>
      </c>
      <c r="G132" s="12">
        <f ca="1">IFERROR(__xludf.DUMMYFUNCTION("""COMPUTED_VALUE"""),8429)</f>
        <v>8429</v>
      </c>
      <c r="H132" s="12">
        <f ca="1">IFERROR(__xludf.DUMMYFUNCTION("""COMPUTED_VALUE"""),3556)</f>
        <v>3556</v>
      </c>
      <c r="I132" s="12">
        <f ca="1">IFERROR(__xludf.DUMMYFUNCTION("""COMPUTED_VALUE"""),417)</f>
        <v>417</v>
      </c>
      <c r="J132" s="12">
        <f ca="1">IFERROR(__xludf.DUMMYFUNCTION("""COMPUTED_VALUE"""),13069)</f>
        <v>13069</v>
      </c>
      <c r="K132" s="12">
        <f ca="1">IFERROR(__xludf.DUMMYFUNCTION("""COMPUTED_VALUE"""),3973)</f>
        <v>3973</v>
      </c>
      <c r="L132" s="12">
        <f ca="1">IFERROR(__xludf.DUMMYFUNCTION("""COMPUTED_VALUE"""),1853)</f>
        <v>1853</v>
      </c>
      <c r="M132" s="12">
        <f ca="1">IFERROR(__xludf.DUMMYFUNCTION("""COMPUTED_VALUE"""),1003)</f>
        <v>1003</v>
      </c>
      <c r="N132" s="12">
        <f ca="1">IFERROR(__xludf.DUMMYFUNCTION("""COMPUTED_VALUE"""),800)</f>
        <v>800</v>
      </c>
      <c r="O132" s="12">
        <f ca="1">IFERROR(__xludf.DUMMYFUNCTION("""COMPUTED_VALUE"""),50)</f>
        <v>50</v>
      </c>
      <c r="P132" s="12">
        <f ca="1">IFERROR(__xludf.DUMMYFUNCTION("""COMPUTED_VALUE"""),3)</f>
        <v>3</v>
      </c>
      <c r="Q132" s="12">
        <f ca="1">IFERROR(__xludf.DUMMYFUNCTION("""COMPUTED_VALUE"""),152)</f>
        <v>152</v>
      </c>
      <c r="R132" s="12">
        <f ca="1">IFERROR(__xludf.DUMMYFUNCTION("""COMPUTED_VALUE"""),177)</f>
        <v>177</v>
      </c>
      <c r="S132" s="12">
        <f ca="1">IFERROR(__xludf.DUMMYFUNCTION("""COMPUTED_VALUE"""),12)</f>
        <v>12</v>
      </c>
      <c r="T132" s="12">
        <f ca="1">IFERROR(__xludf.DUMMYFUNCTION("""COMPUTED_VALUE"""),344)</f>
        <v>344</v>
      </c>
      <c r="U132" s="12">
        <f ca="1">IFERROR(__xludf.DUMMYFUNCTION("""COMPUTED_VALUE"""),189)</f>
        <v>189</v>
      </c>
    </row>
    <row r="133" spans="1:21" x14ac:dyDescent="0.25">
      <c r="A133" s="11">
        <f ca="1">IFERROR(__xludf.DUMMYFUNCTION("""COMPUTED_VALUE"""),44021)</f>
        <v>44021</v>
      </c>
      <c r="B133" s="12">
        <f ca="1">IFERROR(__xludf.DUMMYFUNCTION("""COMPUTED_VALUE"""),70736)</f>
        <v>70736</v>
      </c>
      <c r="C133" s="12">
        <f ca="1">IFERROR(__xludf.DUMMYFUNCTION("""COMPUTED_VALUE"""),34668)</f>
        <v>34668</v>
      </c>
      <c r="D133" s="12">
        <f ca="1">IFERROR(__xludf.DUMMYFUNCTION("""COMPUTED_VALUE"""),32651)</f>
        <v>32651</v>
      </c>
      <c r="E133" s="12">
        <f ca="1">IFERROR(__xludf.DUMMYFUNCTION("""COMPUTED_VALUE"""),3417)</f>
        <v>3417</v>
      </c>
      <c r="F133" s="12">
        <f ca="1">IFERROR(__xludf.DUMMYFUNCTION("""COMPUTED_VALUE"""),677)</f>
        <v>677</v>
      </c>
      <c r="G133" s="12">
        <f ca="1">IFERROR(__xludf.DUMMYFUNCTION("""COMPUTED_VALUE"""),8647)</f>
        <v>8647</v>
      </c>
      <c r="H133" s="12">
        <f ca="1">IFERROR(__xludf.DUMMYFUNCTION("""COMPUTED_VALUE"""),3584)</f>
        <v>3584</v>
      </c>
      <c r="I133" s="12">
        <f ca="1">IFERROR(__xludf.DUMMYFUNCTION("""COMPUTED_VALUE"""),451)</f>
        <v>451</v>
      </c>
      <c r="J133" s="12">
        <f ca="1">IFERROR(__xludf.DUMMYFUNCTION("""COMPUTED_VALUE"""),13359)</f>
        <v>13359</v>
      </c>
      <c r="K133" s="12">
        <f ca="1">IFERROR(__xludf.DUMMYFUNCTION("""COMPUTED_VALUE"""),4035)</f>
        <v>4035</v>
      </c>
      <c r="L133" s="12">
        <f ca="1">IFERROR(__xludf.DUMMYFUNCTION("""COMPUTED_VALUE"""),2657)</f>
        <v>2657</v>
      </c>
      <c r="M133" s="12">
        <f ca="1">IFERROR(__xludf.DUMMYFUNCTION("""COMPUTED_VALUE"""),1533)</f>
        <v>1533</v>
      </c>
      <c r="N133" s="12">
        <f ca="1">IFERROR(__xludf.DUMMYFUNCTION("""COMPUTED_VALUE"""),1066)</f>
        <v>1066</v>
      </c>
      <c r="O133" s="12">
        <f ca="1">IFERROR(__xludf.DUMMYFUNCTION("""COMPUTED_VALUE"""),58)</f>
        <v>58</v>
      </c>
      <c r="P133" s="12">
        <f ca="1">IFERROR(__xludf.DUMMYFUNCTION("""COMPUTED_VALUE"""),10)</f>
        <v>10</v>
      </c>
      <c r="Q133" s="12">
        <f ca="1">IFERROR(__xludf.DUMMYFUNCTION("""COMPUTED_VALUE"""),218)</f>
        <v>218</v>
      </c>
      <c r="R133" s="12">
        <f ca="1">IFERROR(__xludf.DUMMYFUNCTION("""COMPUTED_VALUE"""),28)</f>
        <v>28</v>
      </c>
      <c r="S133" s="12">
        <f ca="1">IFERROR(__xludf.DUMMYFUNCTION("""COMPUTED_VALUE"""),34)</f>
        <v>34</v>
      </c>
      <c r="T133" s="12">
        <f ca="1">IFERROR(__xludf.DUMMYFUNCTION("""COMPUTED_VALUE"""),290)</f>
        <v>290</v>
      </c>
      <c r="U133" s="12">
        <f ca="1">IFERROR(__xludf.DUMMYFUNCTION("""COMPUTED_VALUE"""),62)</f>
        <v>62</v>
      </c>
    </row>
    <row r="134" spans="1:21" x14ac:dyDescent="0.25">
      <c r="A134" s="11">
        <f ca="1">IFERROR(__xludf.DUMMYFUNCTION("""COMPUTED_VALUE"""),44022)</f>
        <v>44022</v>
      </c>
      <c r="B134" s="12">
        <f ca="1">IFERROR(__xludf.DUMMYFUNCTION("""COMPUTED_VALUE"""),72347)</f>
        <v>72347</v>
      </c>
      <c r="C134" s="12">
        <f ca="1">IFERROR(__xludf.DUMMYFUNCTION("""COMPUTED_VALUE"""),35349)</f>
        <v>35349</v>
      </c>
      <c r="D134" s="12">
        <f ca="1">IFERROR(__xludf.DUMMYFUNCTION("""COMPUTED_VALUE"""),33529)</f>
        <v>33529</v>
      </c>
      <c r="E134" s="12">
        <f ca="1">IFERROR(__xludf.DUMMYFUNCTION("""COMPUTED_VALUE"""),3469)</f>
        <v>3469</v>
      </c>
      <c r="F134" s="12">
        <f ca="1">IFERROR(__xludf.DUMMYFUNCTION("""COMPUTED_VALUE"""),684)</f>
        <v>684</v>
      </c>
      <c r="G134" s="12">
        <f ca="1">IFERROR(__xludf.DUMMYFUNCTION("""COMPUTED_VALUE"""),8825)</f>
        <v>8825</v>
      </c>
      <c r="H134" s="12">
        <f ca="1">IFERROR(__xludf.DUMMYFUNCTION("""COMPUTED_VALUE"""),3613)</f>
        <v>3613</v>
      </c>
      <c r="I134" s="12">
        <f ca="1">IFERROR(__xludf.DUMMYFUNCTION("""COMPUTED_VALUE"""),476)</f>
        <v>476</v>
      </c>
      <c r="J134" s="12">
        <f ca="1">IFERROR(__xludf.DUMMYFUNCTION("""COMPUTED_VALUE"""),13598)</f>
        <v>13598</v>
      </c>
      <c r="K134" s="12">
        <f ca="1">IFERROR(__xludf.DUMMYFUNCTION("""COMPUTED_VALUE"""),4089)</f>
        <v>4089</v>
      </c>
      <c r="L134" s="12">
        <f ca="1">IFERROR(__xludf.DUMMYFUNCTION("""COMPUTED_VALUE"""),1611)</f>
        <v>1611</v>
      </c>
      <c r="M134" s="12">
        <f ca="1">IFERROR(__xludf.DUMMYFUNCTION("""COMPUTED_VALUE"""),681)</f>
        <v>681</v>
      </c>
      <c r="N134" s="12">
        <f ca="1">IFERROR(__xludf.DUMMYFUNCTION("""COMPUTED_VALUE"""),878)</f>
        <v>878</v>
      </c>
      <c r="O134" s="12">
        <f ca="1">IFERROR(__xludf.DUMMYFUNCTION("""COMPUTED_VALUE"""),52)</f>
        <v>52</v>
      </c>
      <c r="P134" s="12">
        <f ca="1">IFERROR(__xludf.DUMMYFUNCTION("""COMPUTED_VALUE"""),7)</f>
        <v>7</v>
      </c>
      <c r="Q134" s="12">
        <f ca="1">IFERROR(__xludf.DUMMYFUNCTION("""COMPUTED_VALUE"""),178)</f>
        <v>178</v>
      </c>
      <c r="R134" s="12">
        <f ca="1">IFERROR(__xludf.DUMMYFUNCTION("""COMPUTED_VALUE"""),29)</f>
        <v>29</v>
      </c>
      <c r="S134" s="12">
        <f ca="1">IFERROR(__xludf.DUMMYFUNCTION("""COMPUTED_VALUE"""),25)</f>
        <v>25</v>
      </c>
      <c r="T134" s="12">
        <f ca="1">IFERROR(__xludf.DUMMYFUNCTION("""COMPUTED_VALUE"""),239)</f>
        <v>239</v>
      </c>
      <c r="U134" s="12">
        <f ca="1">IFERROR(__xludf.DUMMYFUNCTION("""COMPUTED_VALUE"""),54)</f>
        <v>54</v>
      </c>
    </row>
    <row r="135" spans="1:21" x14ac:dyDescent="0.25">
      <c r="A135" s="11">
        <f ca="1">IFERROR(__xludf.DUMMYFUNCTION("""COMPUTED_VALUE"""),44023)</f>
        <v>44023</v>
      </c>
      <c r="B135" s="12">
        <f ca="1">IFERROR(__xludf.DUMMYFUNCTION("""COMPUTED_VALUE"""),74018)</f>
        <v>74018</v>
      </c>
      <c r="C135" s="12">
        <f ca="1">IFERROR(__xludf.DUMMYFUNCTION("""COMPUTED_VALUE"""),35764)</f>
        <v>35764</v>
      </c>
      <c r="D135" s="12">
        <f ca="1">IFERROR(__xludf.DUMMYFUNCTION("""COMPUTED_VALUE"""),34719)</f>
        <v>34719</v>
      </c>
      <c r="E135" s="12">
        <f ca="1">IFERROR(__xludf.DUMMYFUNCTION("""COMPUTED_VALUE"""),3535)</f>
        <v>3535</v>
      </c>
      <c r="F135" s="12">
        <f ca="1">IFERROR(__xludf.DUMMYFUNCTION("""COMPUTED_VALUE"""),690)</f>
        <v>690</v>
      </c>
      <c r="G135" s="12">
        <f ca="1">IFERROR(__xludf.DUMMYFUNCTION("""COMPUTED_VALUE"""),9040)</f>
        <v>9040</v>
      </c>
      <c r="H135" s="12">
        <f ca="1">IFERROR(__xludf.DUMMYFUNCTION("""COMPUTED_VALUE"""),3732)</f>
        <v>3732</v>
      </c>
      <c r="I135" s="12">
        <f ca="1">IFERROR(__xludf.DUMMYFUNCTION("""COMPUTED_VALUE"""),495)</f>
        <v>495</v>
      </c>
      <c r="J135" s="12">
        <f ca="1">IFERROR(__xludf.DUMMYFUNCTION("""COMPUTED_VALUE"""),13957)</f>
        <v>13957</v>
      </c>
      <c r="K135" s="12">
        <f ca="1">IFERROR(__xludf.DUMMYFUNCTION("""COMPUTED_VALUE"""),4227)</f>
        <v>4227</v>
      </c>
      <c r="L135" s="12">
        <f ca="1">IFERROR(__xludf.DUMMYFUNCTION("""COMPUTED_VALUE"""),1671)</f>
        <v>1671</v>
      </c>
      <c r="M135" s="12">
        <f ca="1">IFERROR(__xludf.DUMMYFUNCTION("""COMPUTED_VALUE"""),415)</f>
        <v>415</v>
      </c>
      <c r="N135" s="12">
        <f ca="1">IFERROR(__xludf.DUMMYFUNCTION("""COMPUTED_VALUE"""),1190)</f>
        <v>1190</v>
      </c>
      <c r="O135" s="12">
        <f ca="1">IFERROR(__xludf.DUMMYFUNCTION("""COMPUTED_VALUE"""),66)</f>
        <v>66</v>
      </c>
      <c r="P135" s="12">
        <f ca="1">IFERROR(__xludf.DUMMYFUNCTION("""COMPUTED_VALUE"""),6)</f>
        <v>6</v>
      </c>
      <c r="Q135" s="12">
        <f ca="1">IFERROR(__xludf.DUMMYFUNCTION("""COMPUTED_VALUE"""),215)</f>
        <v>215</v>
      </c>
      <c r="R135" s="12">
        <f ca="1">IFERROR(__xludf.DUMMYFUNCTION("""COMPUTED_VALUE"""),119)</f>
        <v>119</v>
      </c>
      <c r="S135" s="12">
        <f ca="1">IFERROR(__xludf.DUMMYFUNCTION("""COMPUTED_VALUE"""),19)</f>
        <v>19</v>
      </c>
      <c r="T135" s="12">
        <f ca="1">IFERROR(__xludf.DUMMYFUNCTION("""COMPUTED_VALUE"""),359)</f>
        <v>359</v>
      </c>
      <c r="U135" s="12">
        <f ca="1">IFERROR(__xludf.DUMMYFUNCTION("""COMPUTED_VALUE"""),138)</f>
        <v>138</v>
      </c>
    </row>
    <row r="136" spans="1:21" x14ac:dyDescent="0.25">
      <c r="A136" s="11">
        <f ca="1">IFERROR(__xludf.DUMMYFUNCTION("""COMPUTED_VALUE"""),44024)</f>
        <v>44024</v>
      </c>
      <c r="B136" s="12">
        <f ca="1">IFERROR(__xludf.DUMMYFUNCTION("""COMPUTED_VALUE"""),75699)</f>
        <v>75699</v>
      </c>
      <c r="C136" s="12">
        <f ca="1">IFERROR(__xludf.DUMMYFUNCTION("""COMPUTED_VALUE"""),36455)</f>
        <v>36455</v>
      </c>
      <c r="D136" s="12">
        <f ca="1">IFERROR(__xludf.DUMMYFUNCTION("""COMPUTED_VALUE"""),35638)</f>
        <v>35638</v>
      </c>
      <c r="E136" s="12">
        <f ca="1">IFERROR(__xludf.DUMMYFUNCTION("""COMPUTED_VALUE"""),3606)</f>
        <v>3606</v>
      </c>
      <c r="F136" s="12">
        <f ca="1">IFERROR(__xludf.DUMMYFUNCTION("""COMPUTED_VALUE"""),702)</f>
        <v>702</v>
      </c>
      <c r="G136" s="12">
        <f ca="1">IFERROR(__xludf.DUMMYFUNCTION("""COMPUTED_VALUE"""),9200)</f>
        <v>9200</v>
      </c>
      <c r="H136" s="12">
        <f ca="1">IFERROR(__xludf.DUMMYFUNCTION("""COMPUTED_VALUE"""),3905)</f>
        <v>3905</v>
      </c>
      <c r="I136" s="12">
        <f ca="1">IFERROR(__xludf.DUMMYFUNCTION("""COMPUTED_VALUE"""),554)</f>
        <v>554</v>
      </c>
      <c r="J136" s="12">
        <f ca="1">IFERROR(__xludf.DUMMYFUNCTION("""COMPUTED_VALUE"""),14361)</f>
        <v>14361</v>
      </c>
      <c r="K136" s="12">
        <f ca="1">IFERROR(__xludf.DUMMYFUNCTION("""COMPUTED_VALUE"""),4459)</f>
        <v>4459</v>
      </c>
      <c r="L136" s="12">
        <f ca="1">IFERROR(__xludf.DUMMYFUNCTION("""COMPUTED_VALUE"""),1681)</f>
        <v>1681</v>
      </c>
      <c r="M136" s="12">
        <f ca="1">IFERROR(__xludf.DUMMYFUNCTION("""COMPUTED_VALUE"""),691)</f>
        <v>691</v>
      </c>
      <c r="N136" s="12">
        <f ca="1">IFERROR(__xludf.DUMMYFUNCTION("""COMPUTED_VALUE"""),919)</f>
        <v>919</v>
      </c>
      <c r="O136" s="12">
        <f ca="1">IFERROR(__xludf.DUMMYFUNCTION("""COMPUTED_VALUE"""),71)</f>
        <v>71</v>
      </c>
      <c r="P136" s="12">
        <f ca="1">IFERROR(__xludf.DUMMYFUNCTION("""COMPUTED_VALUE"""),12)</f>
        <v>12</v>
      </c>
      <c r="Q136" s="12">
        <f ca="1">IFERROR(__xludf.DUMMYFUNCTION("""COMPUTED_VALUE"""),160)</f>
        <v>160</v>
      </c>
      <c r="R136" s="12">
        <f ca="1">IFERROR(__xludf.DUMMYFUNCTION("""COMPUTED_VALUE"""),173)</f>
        <v>173</v>
      </c>
      <c r="S136" s="12">
        <f ca="1">IFERROR(__xludf.DUMMYFUNCTION("""COMPUTED_VALUE"""),59)</f>
        <v>59</v>
      </c>
      <c r="T136" s="12">
        <f ca="1">IFERROR(__xludf.DUMMYFUNCTION("""COMPUTED_VALUE"""),404)</f>
        <v>404</v>
      </c>
      <c r="U136" s="12">
        <f ca="1">IFERROR(__xludf.DUMMYFUNCTION("""COMPUTED_VALUE"""),232)</f>
        <v>232</v>
      </c>
    </row>
    <row r="137" spans="1:21" x14ac:dyDescent="0.25">
      <c r="A137" s="11">
        <f ca="1">IFERROR(__xludf.DUMMYFUNCTION("""COMPUTED_VALUE"""),44025)</f>
        <v>44025</v>
      </c>
      <c r="B137" s="12">
        <f ca="1">IFERROR(__xludf.DUMMYFUNCTION("""COMPUTED_VALUE"""),76981)</f>
        <v>76981</v>
      </c>
      <c r="C137" s="12">
        <f ca="1">IFERROR(__xludf.DUMMYFUNCTION("""COMPUTED_VALUE"""),36636)</f>
        <v>36636</v>
      </c>
      <c r="D137" s="12">
        <f ca="1">IFERROR(__xludf.DUMMYFUNCTION("""COMPUTED_VALUE"""),36689)</f>
        <v>36689</v>
      </c>
      <c r="E137" s="12">
        <f ca="1">IFERROR(__xludf.DUMMYFUNCTION("""COMPUTED_VALUE"""),3656)</f>
        <v>3656</v>
      </c>
      <c r="F137" s="12">
        <f ca="1">IFERROR(__xludf.DUMMYFUNCTION("""COMPUTED_VALUE"""),710)</f>
        <v>710</v>
      </c>
      <c r="G137" s="12">
        <f ca="1">IFERROR(__xludf.DUMMYFUNCTION("""COMPUTED_VALUE"""),9408)</f>
        <v>9408</v>
      </c>
      <c r="H137" s="12">
        <f ca="1">IFERROR(__xludf.DUMMYFUNCTION("""COMPUTED_VALUE"""),3924)</f>
        <v>3924</v>
      </c>
      <c r="I137" s="12">
        <f ca="1">IFERROR(__xludf.DUMMYFUNCTION("""COMPUTED_VALUE"""),597)</f>
        <v>597</v>
      </c>
      <c r="J137" s="12">
        <f ca="1">IFERROR(__xludf.DUMMYFUNCTION("""COMPUTED_VALUE"""),14639)</f>
        <v>14639</v>
      </c>
      <c r="K137" s="12">
        <f ca="1">IFERROR(__xludf.DUMMYFUNCTION("""COMPUTED_VALUE"""),4521)</f>
        <v>4521</v>
      </c>
      <c r="L137" s="12">
        <f ca="1">IFERROR(__xludf.DUMMYFUNCTION("""COMPUTED_VALUE"""),1282)</f>
        <v>1282</v>
      </c>
      <c r="M137" s="12">
        <f ca="1">IFERROR(__xludf.DUMMYFUNCTION("""COMPUTED_VALUE"""),181)</f>
        <v>181</v>
      </c>
      <c r="N137" s="12">
        <f ca="1">IFERROR(__xludf.DUMMYFUNCTION("""COMPUTED_VALUE"""),1051)</f>
        <v>1051</v>
      </c>
      <c r="O137" s="12">
        <f ca="1">IFERROR(__xludf.DUMMYFUNCTION("""COMPUTED_VALUE"""),50)</f>
        <v>50</v>
      </c>
      <c r="P137" s="12">
        <f ca="1">IFERROR(__xludf.DUMMYFUNCTION("""COMPUTED_VALUE"""),8)</f>
        <v>8</v>
      </c>
      <c r="Q137" s="12">
        <f ca="1">IFERROR(__xludf.DUMMYFUNCTION("""COMPUTED_VALUE"""),208)</f>
        <v>208</v>
      </c>
      <c r="R137" s="12">
        <f ca="1">IFERROR(__xludf.DUMMYFUNCTION("""COMPUTED_VALUE"""),19)</f>
        <v>19</v>
      </c>
      <c r="S137" s="12">
        <f ca="1">IFERROR(__xludf.DUMMYFUNCTION("""COMPUTED_VALUE"""),43)</f>
        <v>43</v>
      </c>
      <c r="T137" s="12">
        <f ca="1">IFERROR(__xludf.DUMMYFUNCTION("""COMPUTED_VALUE"""),278)</f>
        <v>278</v>
      </c>
      <c r="U137" s="12">
        <f ca="1">IFERROR(__xludf.DUMMYFUNCTION("""COMPUTED_VALUE"""),62)</f>
        <v>62</v>
      </c>
    </row>
    <row r="138" spans="1:21" x14ac:dyDescent="0.25">
      <c r="A138" s="11">
        <f ca="1">IFERROR(__xludf.DUMMYFUNCTION("""COMPUTED_VALUE"""),44026)</f>
        <v>44026</v>
      </c>
      <c r="B138" s="12">
        <f ca="1">IFERROR(__xludf.DUMMYFUNCTION("""COMPUTED_VALUE"""),78572)</f>
        <v>78572</v>
      </c>
      <c r="C138" s="12">
        <f ca="1">IFERROR(__xludf.DUMMYFUNCTION("""COMPUTED_VALUE"""),37226)</f>
        <v>37226</v>
      </c>
      <c r="D138" s="12">
        <f ca="1">IFERROR(__xludf.DUMMYFUNCTION("""COMPUTED_VALUE"""),37636)</f>
        <v>37636</v>
      </c>
      <c r="E138" s="12">
        <f ca="1">IFERROR(__xludf.DUMMYFUNCTION("""COMPUTED_VALUE"""),3710)</f>
        <v>3710</v>
      </c>
      <c r="F138" s="12">
        <f ca="1">IFERROR(__xludf.DUMMYFUNCTION("""COMPUTED_VALUE"""),714)</f>
        <v>714</v>
      </c>
      <c r="G138" s="12">
        <f ca="1">IFERROR(__xludf.DUMMYFUNCTION("""COMPUTED_VALUE"""),9528)</f>
        <v>9528</v>
      </c>
      <c r="H138" s="12">
        <f ca="1">IFERROR(__xludf.DUMMYFUNCTION("""COMPUTED_VALUE"""),4053)</f>
        <v>4053</v>
      </c>
      <c r="I138" s="12">
        <f ca="1">IFERROR(__xludf.DUMMYFUNCTION("""COMPUTED_VALUE"""),619)</f>
        <v>619</v>
      </c>
      <c r="J138" s="12">
        <f ca="1">IFERROR(__xludf.DUMMYFUNCTION("""COMPUTED_VALUE"""),14914)</f>
        <v>14914</v>
      </c>
      <c r="K138" s="12">
        <f ca="1">IFERROR(__xludf.DUMMYFUNCTION("""COMPUTED_VALUE"""),4672)</f>
        <v>4672</v>
      </c>
      <c r="L138" s="12">
        <f ca="1">IFERROR(__xludf.DUMMYFUNCTION("""COMPUTED_VALUE"""),1591)</f>
        <v>1591</v>
      </c>
      <c r="M138" s="12">
        <f ca="1">IFERROR(__xludf.DUMMYFUNCTION("""COMPUTED_VALUE"""),590)</f>
        <v>590</v>
      </c>
      <c r="N138" s="12">
        <f ca="1">IFERROR(__xludf.DUMMYFUNCTION("""COMPUTED_VALUE"""),947)</f>
        <v>947</v>
      </c>
      <c r="O138" s="12">
        <f ca="1">IFERROR(__xludf.DUMMYFUNCTION("""COMPUTED_VALUE"""),54)</f>
        <v>54</v>
      </c>
      <c r="P138" s="12">
        <f ca="1">IFERROR(__xludf.DUMMYFUNCTION("""COMPUTED_VALUE"""),4)</f>
        <v>4</v>
      </c>
      <c r="Q138" s="12">
        <f ca="1">IFERROR(__xludf.DUMMYFUNCTION("""COMPUTED_VALUE"""),120)</f>
        <v>120</v>
      </c>
      <c r="R138" s="12">
        <f ca="1">IFERROR(__xludf.DUMMYFUNCTION("""COMPUTED_VALUE"""),129)</f>
        <v>129</v>
      </c>
      <c r="S138" s="12">
        <f ca="1">IFERROR(__xludf.DUMMYFUNCTION("""COMPUTED_VALUE"""),22)</f>
        <v>22</v>
      </c>
      <c r="T138" s="12">
        <f ca="1">IFERROR(__xludf.DUMMYFUNCTION("""COMPUTED_VALUE"""),275)</f>
        <v>275</v>
      </c>
      <c r="U138" s="12">
        <f ca="1">IFERROR(__xludf.DUMMYFUNCTION("""COMPUTED_VALUE"""),151)</f>
        <v>151</v>
      </c>
    </row>
    <row r="139" spans="1:21" x14ac:dyDescent="0.25">
      <c r="A139" s="11">
        <f ca="1">IFERROR(__xludf.DUMMYFUNCTION("""COMPUTED_VALUE"""),44027)</f>
        <v>44027</v>
      </c>
      <c r="B139" s="12">
        <f ca="1">IFERROR(__xludf.DUMMYFUNCTION("""COMPUTED_VALUE"""),80094)</f>
        <v>80094</v>
      </c>
      <c r="C139" s="12">
        <f ca="1">IFERROR(__xludf.DUMMYFUNCTION("""COMPUTED_VALUE"""),37247)</f>
        <v>37247</v>
      </c>
      <c r="D139" s="12">
        <f ca="1">IFERROR(__xludf.DUMMYFUNCTION("""COMPUTED_VALUE"""),39050)</f>
        <v>39050</v>
      </c>
      <c r="E139" s="12">
        <f ca="1">IFERROR(__xludf.DUMMYFUNCTION("""COMPUTED_VALUE"""),3797)</f>
        <v>3797</v>
      </c>
      <c r="F139" s="12">
        <f ca="1">IFERROR(__xludf.DUMMYFUNCTION("""COMPUTED_VALUE"""),720)</f>
        <v>720</v>
      </c>
      <c r="G139" s="12">
        <f ca="1">IFERROR(__xludf.DUMMYFUNCTION("""COMPUTED_VALUE"""),9721)</f>
        <v>9721</v>
      </c>
      <c r="H139" s="12">
        <f ca="1">IFERROR(__xludf.DUMMYFUNCTION("""COMPUTED_VALUE"""),4041)</f>
        <v>4041</v>
      </c>
      <c r="I139" s="12">
        <f ca="1">IFERROR(__xludf.DUMMYFUNCTION("""COMPUTED_VALUE"""),691)</f>
        <v>691</v>
      </c>
      <c r="J139" s="12">
        <f ca="1">IFERROR(__xludf.DUMMYFUNCTION("""COMPUTED_VALUE"""),15173)</f>
        <v>15173</v>
      </c>
      <c r="K139" s="12">
        <f ca="1">IFERROR(__xludf.DUMMYFUNCTION("""COMPUTED_VALUE"""),4732)</f>
        <v>4732</v>
      </c>
      <c r="L139" s="12">
        <f ca="1">IFERROR(__xludf.DUMMYFUNCTION("""COMPUTED_VALUE"""),1522)</f>
        <v>1522</v>
      </c>
      <c r="M139" s="12">
        <f ca="1">IFERROR(__xludf.DUMMYFUNCTION("""COMPUTED_VALUE"""),21)</f>
        <v>21</v>
      </c>
      <c r="N139" s="12">
        <f ca="1">IFERROR(__xludf.DUMMYFUNCTION("""COMPUTED_VALUE"""),1414)</f>
        <v>1414</v>
      </c>
      <c r="O139" s="12">
        <f ca="1">IFERROR(__xludf.DUMMYFUNCTION("""COMPUTED_VALUE"""),87)</f>
        <v>87</v>
      </c>
      <c r="P139" s="12">
        <f ca="1">IFERROR(__xludf.DUMMYFUNCTION("""COMPUTED_VALUE"""),6)</f>
        <v>6</v>
      </c>
      <c r="Q139" s="12">
        <f ca="1">IFERROR(__xludf.DUMMYFUNCTION("""COMPUTED_VALUE"""),193)</f>
        <v>193</v>
      </c>
      <c r="R139" s="12">
        <f ca="1">IFERROR(__xludf.DUMMYFUNCTION("""COMPUTED_VALUE"""),-12)</f>
        <v>-12</v>
      </c>
      <c r="S139" s="12">
        <f ca="1">IFERROR(__xludf.DUMMYFUNCTION("""COMPUTED_VALUE"""),72)</f>
        <v>72</v>
      </c>
      <c r="T139" s="12">
        <f ca="1">IFERROR(__xludf.DUMMYFUNCTION("""COMPUTED_VALUE"""),259)</f>
        <v>259</v>
      </c>
      <c r="U139" s="12">
        <f ca="1">IFERROR(__xludf.DUMMYFUNCTION("""COMPUTED_VALUE"""),60)</f>
        <v>60</v>
      </c>
    </row>
    <row r="140" spans="1:21" x14ac:dyDescent="0.25">
      <c r="A140" s="11">
        <f ca="1">IFERROR(__xludf.DUMMYFUNCTION("""COMPUTED_VALUE"""),44028)</f>
        <v>44028</v>
      </c>
      <c r="B140" s="12">
        <f ca="1">IFERROR(__xludf.DUMMYFUNCTION("""COMPUTED_VALUE"""),81668)</f>
        <v>81668</v>
      </c>
      <c r="C140" s="12">
        <f ca="1">IFERROR(__xludf.DUMMYFUNCTION("""COMPUTED_VALUE"""),37450)</f>
        <v>37450</v>
      </c>
      <c r="D140" s="12">
        <f ca="1">IFERROR(__xludf.DUMMYFUNCTION("""COMPUTED_VALUE"""),40345)</f>
        <v>40345</v>
      </c>
      <c r="E140" s="12">
        <f ca="1">IFERROR(__xludf.DUMMYFUNCTION("""COMPUTED_VALUE"""),3873)</f>
        <v>3873</v>
      </c>
      <c r="F140" s="12">
        <f ca="1">IFERROR(__xludf.DUMMYFUNCTION("""COMPUTED_VALUE"""),722)</f>
        <v>722</v>
      </c>
      <c r="G140" s="12">
        <f ca="1">IFERROR(__xludf.DUMMYFUNCTION("""COMPUTED_VALUE"""),9857)</f>
        <v>9857</v>
      </c>
      <c r="H140" s="12">
        <f ca="1">IFERROR(__xludf.DUMMYFUNCTION("""COMPUTED_VALUE"""),4110)</f>
        <v>4110</v>
      </c>
      <c r="I140" s="12">
        <f ca="1">IFERROR(__xludf.DUMMYFUNCTION("""COMPUTED_VALUE"""),777)</f>
        <v>777</v>
      </c>
      <c r="J140" s="12">
        <f ca="1">IFERROR(__xludf.DUMMYFUNCTION("""COMPUTED_VALUE"""),15466)</f>
        <v>15466</v>
      </c>
      <c r="K140" s="12">
        <f ca="1">IFERROR(__xludf.DUMMYFUNCTION("""COMPUTED_VALUE"""),4887)</f>
        <v>4887</v>
      </c>
      <c r="L140" s="12">
        <f ca="1">IFERROR(__xludf.DUMMYFUNCTION("""COMPUTED_VALUE"""),1574)</f>
        <v>1574</v>
      </c>
      <c r="M140" s="12">
        <f ca="1">IFERROR(__xludf.DUMMYFUNCTION("""COMPUTED_VALUE"""),203)</f>
        <v>203</v>
      </c>
      <c r="N140" s="12">
        <f ca="1">IFERROR(__xludf.DUMMYFUNCTION("""COMPUTED_VALUE"""),1295)</f>
        <v>1295</v>
      </c>
      <c r="O140" s="12">
        <f ca="1">IFERROR(__xludf.DUMMYFUNCTION("""COMPUTED_VALUE"""),76)</f>
        <v>76</v>
      </c>
      <c r="P140" s="12">
        <f ca="1">IFERROR(__xludf.DUMMYFUNCTION("""COMPUTED_VALUE"""),2)</f>
        <v>2</v>
      </c>
      <c r="Q140" s="12">
        <f ca="1">IFERROR(__xludf.DUMMYFUNCTION("""COMPUTED_VALUE"""),136)</f>
        <v>136</v>
      </c>
      <c r="R140" s="12">
        <f ca="1">IFERROR(__xludf.DUMMYFUNCTION("""COMPUTED_VALUE"""),69)</f>
        <v>69</v>
      </c>
      <c r="S140" s="12">
        <f ca="1">IFERROR(__xludf.DUMMYFUNCTION("""COMPUTED_VALUE"""),86)</f>
        <v>86</v>
      </c>
      <c r="T140" s="12">
        <f ca="1">IFERROR(__xludf.DUMMYFUNCTION("""COMPUTED_VALUE"""),293)</f>
        <v>293</v>
      </c>
      <c r="U140" s="12">
        <f ca="1">IFERROR(__xludf.DUMMYFUNCTION("""COMPUTED_VALUE"""),155)</f>
        <v>155</v>
      </c>
    </row>
    <row r="141" spans="1:21" x14ac:dyDescent="0.25">
      <c r="A141" s="11">
        <f ca="1">IFERROR(__xludf.DUMMYFUNCTION("""COMPUTED_VALUE"""),44029)</f>
        <v>44029</v>
      </c>
      <c r="B141" s="12">
        <f ca="1">IFERROR(__xludf.DUMMYFUNCTION("""COMPUTED_VALUE"""),83130)</f>
        <v>83130</v>
      </c>
      <c r="C141" s="12">
        <f ca="1">IFERROR(__xludf.DUMMYFUNCTION("""COMPUTED_VALUE"""),37339)</f>
        <v>37339</v>
      </c>
      <c r="D141" s="12">
        <f ca="1">IFERROR(__xludf.DUMMYFUNCTION("""COMPUTED_VALUE"""),41834)</f>
        <v>41834</v>
      </c>
      <c r="E141" s="12">
        <f ca="1">IFERROR(__xludf.DUMMYFUNCTION("""COMPUTED_VALUE"""),3957)</f>
        <v>3957</v>
      </c>
      <c r="F141" s="12">
        <f ca="1">IFERROR(__xludf.DUMMYFUNCTION("""COMPUTED_VALUE"""),731)</f>
        <v>731</v>
      </c>
      <c r="G141" s="12">
        <f ca="1">IFERROR(__xludf.DUMMYFUNCTION("""COMPUTED_VALUE"""),9994)</f>
        <v>9994</v>
      </c>
      <c r="H141" s="12">
        <f ca="1">IFERROR(__xludf.DUMMYFUNCTION("""COMPUTED_VALUE"""),4156)</f>
        <v>4156</v>
      </c>
      <c r="I141" s="12">
        <f ca="1">IFERROR(__xludf.DUMMYFUNCTION("""COMPUTED_VALUE"""),826)</f>
        <v>826</v>
      </c>
      <c r="J141" s="12">
        <f ca="1">IFERROR(__xludf.DUMMYFUNCTION("""COMPUTED_VALUE"""),15707)</f>
        <v>15707</v>
      </c>
      <c r="K141" s="12">
        <f ca="1">IFERROR(__xludf.DUMMYFUNCTION("""COMPUTED_VALUE"""),4982)</f>
        <v>4982</v>
      </c>
      <c r="L141" s="12">
        <f ca="1">IFERROR(__xludf.DUMMYFUNCTION("""COMPUTED_VALUE"""),1462)</f>
        <v>1462</v>
      </c>
      <c r="M141" s="12">
        <f ca="1">IFERROR(__xludf.DUMMYFUNCTION("""COMPUTED_VALUE"""),-111)</f>
        <v>-111</v>
      </c>
      <c r="N141" s="12">
        <f ca="1">IFERROR(__xludf.DUMMYFUNCTION("""COMPUTED_VALUE"""),1489)</f>
        <v>1489</v>
      </c>
      <c r="O141" s="12">
        <f ca="1">IFERROR(__xludf.DUMMYFUNCTION("""COMPUTED_VALUE"""),84)</f>
        <v>84</v>
      </c>
      <c r="P141" s="12">
        <f ca="1">IFERROR(__xludf.DUMMYFUNCTION("""COMPUTED_VALUE"""),9)</f>
        <v>9</v>
      </c>
      <c r="Q141" s="12">
        <f ca="1">IFERROR(__xludf.DUMMYFUNCTION("""COMPUTED_VALUE"""),137)</f>
        <v>137</v>
      </c>
      <c r="R141" s="12">
        <f ca="1">IFERROR(__xludf.DUMMYFUNCTION("""COMPUTED_VALUE"""),46)</f>
        <v>46</v>
      </c>
      <c r="S141" s="12">
        <f ca="1">IFERROR(__xludf.DUMMYFUNCTION("""COMPUTED_VALUE"""),49)</f>
        <v>49</v>
      </c>
      <c r="T141" s="12">
        <f ca="1">IFERROR(__xludf.DUMMYFUNCTION("""COMPUTED_VALUE"""),241)</f>
        <v>241</v>
      </c>
      <c r="U141" s="12">
        <f ca="1">IFERROR(__xludf.DUMMYFUNCTION("""COMPUTED_VALUE"""),95)</f>
        <v>95</v>
      </c>
    </row>
    <row r="142" spans="1:21" x14ac:dyDescent="0.25">
      <c r="A142" s="11">
        <f ca="1">IFERROR(__xludf.DUMMYFUNCTION("""COMPUTED_VALUE"""),44030)</f>
        <v>44030</v>
      </c>
      <c r="B142" s="12">
        <f ca="1">IFERROR(__xludf.DUMMYFUNCTION("""COMPUTED_VALUE"""),84882)</f>
        <v>84882</v>
      </c>
      <c r="C142" s="12">
        <f ca="1">IFERROR(__xludf.DUMMYFUNCTION("""COMPUTED_VALUE"""),37598)</f>
        <v>37598</v>
      </c>
      <c r="D142" s="12">
        <f ca="1">IFERROR(__xludf.DUMMYFUNCTION("""COMPUTED_VALUE"""),43268)</f>
        <v>43268</v>
      </c>
      <c r="E142" s="12">
        <f ca="1">IFERROR(__xludf.DUMMYFUNCTION("""COMPUTED_VALUE"""),4016)</f>
        <v>4016</v>
      </c>
      <c r="F142" s="12">
        <f ca="1">IFERROR(__xludf.DUMMYFUNCTION("""COMPUTED_VALUE"""),740)</f>
        <v>740</v>
      </c>
      <c r="G142" s="12">
        <f ca="1">IFERROR(__xludf.DUMMYFUNCTION("""COMPUTED_VALUE"""),10117)</f>
        <v>10117</v>
      </c>
      <c r="H142" s="12">
        <f ca="1">IFERROR(__xludf.DUMMYFUNCTION("""COMPUTED_VALUE"""),4289)</f>
        <v>4289</v>
      </c>
      <c r="I142" s="12">
        <f ca="1">IFERROR(__xludf.DUMMYFUNCTION("""COMPUTED_VALUE"""),892)</f>
        <v>892</v>
      </c>
      <c r="J142" s="12">
        <f ca="1">IFERROR(__xludf.DUMMYFUNCTION("""COMPUTED_VALUE"""),16038)</f>
        <v>16038</v>
      </c>
      <c r="K142" s="12">
        <f ca="1">IFERROR(__xludf.DUMMYFUNCTION("""COMPUTED_VALUE"""),5181)</f>
        <v>5181</v>
      </c>
      <c r="L142" s="12">
        <f ca="1">IFERROR(__xludf.DUMMYFUNCTION("""COMPUTED_VALUE"""),1752)</f>
        <v>1752</v>
      </c>
      <c r="M142" s="12">
        <f ca="1">IFERROR(__xludf.DUMMYFUNCTION("""COMPUTED_VALUE"""),259)</f>
        <v>259</v>
      </c>
      <c r="N142" s="12">
        <f ca="1">IFERROR(__xludf.DUMMYFUNCTION("""COMPUTED_VALUE"""),1434)</f>
        <v>1434</v>
      </c>
      <c r="O142" s="12">
        <f ca="1">IFERROR(__xludf.DUMMYFUNCTION("""COMPUTED_VALUE"""),59)</f>
        <v>59</v>
      </c>
      <c r="P142" s="12">
        <f ca="1">IFERROR(__xludf.DUMMYFUNCTION("""COMPUTED_VALUE"""),9)</f>
        <v>9</v>
      </c>
      <c r="Q142" s="12">
        <f ca="1">IFERROR(__xludf.DUMMYFUNCTION("""COMPUTED_VALUE"""),123)</f>
        <v>123</v>
      </c>
      <c r="R142" s="12">
        <f ca="1">IFERROR(__xludf.DUMMYFUNCTION("""COMPUTED_VALUE"""),133)</f>
        <v>133</v>
      </c>
      <c r="S142" s="12">
        <f ca="1">IFERROR(__xludf.DUMMYFUNCTION("""COMPUTED_VALUE"""),66)</f>
        <v>66</v>
      </c>
      <c r="T142" s="12">
        <f ca="1">IFERROR(__xludf.DUMMYFUNCTION("""COMPUTED_VALUE"""),331)</f>
        <v>331</v>
      </c>
      <c r="U142" s="12">
        <f ca="1">IFERROR(__xludf.DUMMYFUNCTION("""COMPUTED_VALUE"""),199)</f>
        <v>199</v>
      </c>
    </row>
    <row r="143" spans="1:21" x14ac:dyDescent="0.25">
      <c r="A143" s="11">
        <f ca="1">IFERROR(__xludf.DUMMYFUNCTION("""COMPUTED_VALUE"""),44031)</f>
        <v>44031</v>
      </c>
      <c r="B143" s="12">
        <f ca="1">IFERROR(__xludf.DUMMYFUNCTION("""COMPUTED_VALUE"""),86521)</f>
        <v>86521</v>
      </c>
      <c r="C143" s="12">
        <f ca="1">IFERROR(__xludf.DUMMYFUNCTION("""COMPUTED_VALUE"""),36977)</f>
        <v>36977</v>
      </c>
      <c r="D143" s="12">
        <f ca="1">IFERROR(__xludf.DUMMYFUNCTION("""COMPUTED_VALUE"""),45401)</f>
        <v>45401</v>
      </c>
      <c r="E143" s="12">
        <f ca="1">IFERROR(__xludf.DUMMYFUNCTION("""COMPUTED_VALUE"""),4143)</f>
        <v>4143</v>
      </c>
      <c r="F143" s="12">
        <f ca="1">IFERROR(__xludf.DUMMYFUNCTION("""COMPUTED_VALUE"""),748)</f>
        <v>748</v>
      </c>
      <c r="G143" s="12">
        <f ca="1">IFERROR(__xludf.DUMMYFUNCTION("""COMPUTED_VALUE"""),10444)</f>
        <v>10444</v>
      </c>
      <c r="H143" s="12">
        <f ca="1">IFERROR(__xludf.DUMMYFUNCTION("""COMPUTED_VALUE"""),4236)</f>
        <v>4236</v>
      </c>
      <c r="I143" s="12">
        <f ca="1">IFERROR(__xludf.DUMMYFUNCTION("""COMPUTED_VALUE"""),923)</f>
        <v>923</v>
      </c>
      <c r="J143" s="12">
        <f ca="1">IFERROR(__xludf.DUMMYFUNCTION("""COMPUTED_VALUE"""),16351)</f>
        <v>16351</v>
      </c>
      <c r="K143" s="12">
        <f ca="1">IFERROR(__xludf.DUMMYFUNCTION("""COMPUTED_VALUE"""),5159)</f>
        <v>5159</v>
      </c>
      <c r="L143" s="12">
        <f ca="1">IFERROR(__xludf.DUMMYFUNCTION("""COMPUTED_VALUE"""),1639)</f>
        <v>1639</v>
      </c>
      <c r="M143" s="12">
        <f ca="1">IFERROR(__xludf.DUMMYFUNCTION("""COMPUTED_VALUE"""),-621)</f>
        <v>-621</v>
      </c>
      <c r="N143" s="12">
        <f ca="1">IFERROR(__xludf.DUMMYFUNCTION("""COMPUTED_VALUE"""),2133)</f>
        <v>2133</v>
      </c>
      <c r="O143" s="12">
        <f ca="1">IFERROR(__xludf.DUMMYFUNCTION("""COMPUTED_VALUE"""),127)</f>
        <v>127</v>
      </c>
      <c r="P143" s="12">
        <f ca="1">IFERROR(__xludf.DUMMYFUNCTION("""COMPUTED_VALUE"""),8)</f>
        <v>8</v>
      </c>
      <c r="Q143" s="12">
        <f ca="1">IFERROR(__xludf.DUMMYFUNCTION("""COMPUTED_VALUE"""),327)</f>
        <v>327</v>
      </c>
      <c r="R143" s="12">
        <f ca="1">IFERROR(__xludf.DUMMYFUNCTION("""COMPUTED_VALUE"""),-53)</f>
        <v>-53</v>
      </c>
      <c r="S143" s="12">
        <f ca="1">IFERROR(__xludf.DUMMYFUNCTION("""COMPUTED_VALUE"""),31)</f>
        <v>31</v>
      </c>
      <c r="T143" s="12">
        <f ca="1">IFERROR(__xludf.DUMMYFUNCTION("""COMPUTED_VALUE"""),313)</f>
        <v>313</v>
      </c>
      <c r="U143" s="12">
        <f ca="1">IFERROR(__xludf.DUMMYFUNCTION("""COMPUTED_VALUE"""),-22)</f>
        <v>-22</v>
      </c>
    </row>
    <row r="144" spans="1:21" x14ac:dyDescent="0.25">
      <c r="A144" s="11">
        <f ca="1">IFERROR(__xludf.DUMMYFUNCTION("""COMPUTED_VALUE"""),44032)</f>
        <v>44032</v>
      </c>
      <c r="B144" s="12">
        <f ca="1">IFERROR(__xludf.DUMMYFUNCTION("""COMPUTED_VALUE"""),88214)</f>
        <v>88214</v>
      </c>
      <c r="C144" s="12">
        <f ca="1">IFERROR(__xludf.DUMMYFUNCTION("""COMPUTED_VALUE"""),36998)</f>
        <v>36998</v>
      </c>
      <c r="D144" s="12">
        <f ca="1">IFERROR(__xludf.DUMMYFUNCTION("""COMPUTED_VALUE"""),46977)</f>
        <v>46977</v>
      </c>
      <c r="E144" s="12">
        <f ca="1">IFERROR(__xludf.DUMMYFUNCTION("""COMPUTED_VALUE"""),4239)</f>
        <v>4239</v>
      </c>
      <c r="F144" s="12">
        <f ca="1">IFERROR(__xludf.DUMMYFUNCTION("""COMPUTED_VALUE"""),749)</f>
        <v>749</v>
      </c>
      <c r="G144" s="12">
        <f ca="1">IFERROR(__xludf.DUMMYFUNCTION("""COMPUTED_VALUE"""),10602)</f>
        <v>10602</v>
      </c>
      <c r="H144" s="12">
        <f ca="1">IFERROR(__xludf.DUMMYFUNCTION("""COMPUTED_VALUE"""),4335)</f>
        <v>4335</v>
      </c>
      <c r="I144" s="12">
        <f ca="1">IFERROR(__xludf.DUMMYFUNCTION("""COMPUTED_VALUE"""),1026)</f>
        <v>1026</v>
      </c>
      <c r="J144" s="12">
        <f ca="1">IFERROR(__xludf.DUMMYFUNCTION("""COMPUTED_VALUE"""),16712)</f>
        <v>16712</v>
      </c>
      <c r="K144" s="12">
        <f ca="1">IFERROR(__xludf.DUMMYFUNCTION("""COMPUTED_VALUE"""),5361)</f>
        <v>5361</v>
      </c>
      <c r="L144" s="12">
        <f ca="1">IFERROR(__xludf.DUMMYFUNCTION("""COMPUTED_VALUE"""),1693)</f>
        <v>1693</v>
      </c>
      <c r="M144" s="12">
        <f ca="1">IFERROR(__xludf.DUMMYFUNCTION("""COMPUTED_VALUE"""),21)</f>
        <v>21</v>
      </c>
      <c r="N144" s="12">
        <f ca="1">IFERROR(__xludf.DUMMYFUNCTION("""COMPUTED_VALUE"""),1576)</f>
        <v>1576</v>
      </c>
      <c r="O144" s="12">
        <f ca="1">IFERROR(__xludf.DUMMYFUNCTION("""COMPUTED_VALUE"""),96)</f>
        <v>96</v>
      </c>
      <c r="P144" s="12">
        <f ca="1">IFERROR(__xludf.DUMMYFUNCTION("""COMPUTED_VALUE"""),1)</f>
        <v>1</v>
      </c>
      <c r="Q144" s="12">
        <f ca="1">IFERROR(__xludf.DUMMYFUNCTION("""COMPUTED_VALUE"""),158)</f>
        <v>158</v>
      </c>
      <c r="R144" s="12">
        <f ca="1">IFERROR(__xludf.DUMMYFUNCTION("""COMPUTED_VALUE"""),99)</f>
        <v>99</v>
      </c>
      <c r="S144" s="12">
        <f ca="1">IFERROR(__xludf.DUMMYFUNCTION("""COMPUTED_VALUE"""),103)</f>
        <v>103</v>
      </c>
      <c r="T144" s="12">
        <f ca="1">IFERROR(__xludf.DUMMYFUNCTION("""COMPUTED_VALUE"""),361)</f>
        <v>361</v>
      </c>
      <c r="U144" s="12">
        <f ca="1">IFERROR(__xludf.DUMMYFUNCTION("""COMPUTED_VALUE"""),202)</f>
        <v>202</v>
      </c>
    </row>
    <row r="145" spans="1:21" x14ac:dyDescent="0.25">
      <c r="A145" s="11">
        <f ca="1">IFERROR(__xludf.DUMMYFUNCTION("""COMPUTED_VALUE"""),44033)</f>
        <v>44033</v>
      </c>
      <c r="B145" s="12">
        <f ca="1">IFERROR(__xludf.DUMMYFUNCTION("""COMPUTED_VALUE"""),89869)</f>
        <v>89869</v>
      </c>
      <c r="C145" s="12">
        <f ca="1">IFERROR(__xludf.DUMMYFUNCTION("""COMPUTED_VALUE"""),37083)</f>
        <v>37083</v>
      </c>
      <c r="D145" s="12">
        <f ca="1">IFERROR(__xludf.DUMMYFUNCTION("""COMPUTED_VALUE"""),48466)</f>
        <v>48466</v>
      </c>
      <c r="E145" s="12">
        <f ca="1">IFERROR(__xludf.DUMMYFUNCTION("""COMPUTED_VALUE"""),4320)</f>
        <v>4320</v>
      </c>
      <c r="F145" s="12">
        <f ca="1">IFERROR(__xludf.DUMMYFUNCTION("""COMPUTED_VALUE"""),758)</f>
        <v>758</v>
      </c>
      <c r="G145" s="12">
        <f ca="1">IFERROR(__xludf.DUMMYFUNCTION("""COMPUTED_VALUE"""),10864)</f>
        <v>10864</v>
      </c>
      <c r="H145" s="12">
        <f ca="1">IFERROR(__xludf.DUMMYFUNCTION("""COMPUTED_VALUE"""),4458)</f>
        <v>4458</v>
      </c>
      <c r="I145" s="12">
        <f ca="1">IFERROR(__xludf.DUMMYFUNCTION("""COMPUTED_VALUE"""),1073)</f>
        <v>1073</v>
      </c>
      <c r="J145" s="12">
        <f ca="1">IFERROR(__xludf.DUMMYFUNCTION("""COMPUTED_VALUE"""),17153)</f>
        <v>17153</v>
      </c>
      <c r="K145" s="12">
        <f ca="1">IFERROR(__xludf.DUMMYFUNCTION("""COMPUTED_VALUE"""),5531)</f>
        <v>5531</v>
      </c>
      <c r="L145" s="12">
        <f ca="1">IFERROR(__xludf.DUMMYFUNCTION("""COMPUTED_VALUE"""),1655)</f>
        <v>1655</v>
      </c>
      <c r="M145" s="12">
        <f ca="1">IFERROR(__xludf.DUMMYFUNCTION("""COMPUTED_VALUE"""),85)</f>
        <v>85</v>
      </c>
      <c r="N145" s="12">
        <f ca="1">IFERROR(__xludf.DUMMYFUNCTION("""COMPUTED_VALUE"""),1489)</f>
        <v>1489</v>
      </c>
      <c r="O145" s="12">
        <f ca="1">IFERROR(__xludf.DUMMYFUNCTION("""COMPUTED_VALUE"""),81)</f>
        <v>81</v>
      </c>
      <c r="P145" s="12">
        <f ca="1">IFERROR(__xludf.DUMMYFUNCTION("""COMPUTED_VALUE"""),9)</f>
        <v>9</v>
      </c>
      <c r="Q145" s="12">
        <f ca="1">IFERROR(__xludf.DUMMYFUNCTION("""COMPUTED_VALUE"""),262)</f>
        <v>262</v>
      </c>
      <c r="R145" s="12">
        <f ca="1">IFERROR(__xludf.DUMMYFUNCTION("""COMPUTED_VALUE"""),123)</f>
        <v>123</v>
      </c>
      <c r="S145" s="12">
        <f ca="1">IFERROR(__xludf.DUMMYFUNCTION("""COMPUTED_VALUE"""),47)</f>
        <v>47</v>
      </c>
      <c r="T145" s="12">
        <f ca="1">IFERROR(__xludf.DUMMYFUNCTION("""COMPUTED_VALUE"""),441)</f>
        <v>441</v>
      </c>
      <c r="U145" s="12">
        <f ca="1">IFERROR(__xludf.DUMMYFUNCTION("""COMPUTED_VALUE"""),170)</f>
        <v>170</v>
      </c>
    </row>
    <row r="146" spans="1:21" x14ac:dyDescent="0.25">
      <c r="A146" s="11">
        <f ca="1">IFERROR(__xludf.DUMMYFUNCTION("""COMPUTED_VALUE"""),44034)</f>
        <v>44034</v>
      </c>
      <c r="B146" s="12">
        <f ca="1">IFERROR(__xludf.DUMMYFUNCTION("""COMPUTED_VALUE"""),91751)</f>
        <v>91751</v>
      </c>
      <c r="C146" s="12">
        <f ca="1">IFERROR(__xludf.DUMMYFUNCTION("""COMPUTED_VALUE"""),37037)</f>
        <v>37037</v>
      </c>
      <c r="D146" s="12">
        <f ca="1">IFERROR(__xludf.DUMMYFUNCTION("""COMPUTED_VALUE"""),50255)</f>
        <v>50255</v>
      </c>
      <c r="E146" s="12">
        <f ca="1">IFERROR(__xludf.DUMMYFUNCTION("""COMPUTED_VALUE"""),4459)</f>
        <v>4459</v>
      </c>
      <c r="F146" s="12">
        <f ca="1">IFERROR(__xludf.DUMMYFUNCTION("""COMPUTED_VALUE"""),766)</f>
        <v>766</v>
      </c>
      <c r="G146" s="12">
        <f ca="1">IFERROR(__xludf.DUMMYFUNCTION("""COMPUTED_VALUE"""),11187)</f>
        <v>11187</v>
      </c>
      <c r="H146" s="12">
        <f ca="1">IFERROR(__xludf.DUMMYFUNCTION("""COMPUTED_VALUE"""),4383)</f>
        <v>4383</v>
      </c>
      <c r="I146" s="12">
        <f ca="1">IFERROR(__xludf.DUMMYFUNCTION("""COMPUTED_VALUE"""),1193)</f>
        <v>1193</v>
      </c>
      <c r="J146" s="12">
        <f ca="1">IFERROR(__xludf.DUMMYFUNCTION("""COMPUTED_VALUE"""),17529)</f>
        <v>17529</v>
      </c>
      <c r="K146" s="12">
        <f ca="1">IFERROR(__xludf.DUMMYFUNCTION("""COMPUTED_VALUE"""),5576)</f>
        <v>5576</v>
      </c>
      <c r="L146" s="12">
        <f ca="1">IFERROR(__xludf.DUMMYFUNCTION("""COMPUTED_VALUE"""),1882)</f>
        <v>1882</v>
      </c>
      <c r="M146" s="12">
        <f ca="1">IFERROR(__xludf.DUMMYFUNCTION("""COMPUTED_VALUE"""),-46)</f>
        <v>-46</v>
      </c>
      <c r="N146" s="12">
        <f ca="1">IFERROR(__xludf.DUMMYFUNCTION("""COMPUTED_VALUE"""),1789)</f>
        <v>1789</v>
      </c>
      <c r="O146" s="12">
        <f ca="1">IFERROR(__xludf.DUMMYFUNCTION("""COMPUTED_VALUE"""),139)</f>
        <v>139</v>
      </c>
      <c r="P146" s="12">
        <f ca="1">IFERROR(__xludf.DUMMYFUNCTION("""COMPUTED_VALUE"""),8)</f>
        <v>8</v>
      </c>
      <c r="Q146" s="12">
        <f ca="1">IFERROR(__xludf.DUMMYFUNCTION("""COMPUTED_VALUE"""),323)</f>
        <v>323</v>
      </c>
      <c r="R146" s="12">
        <f ca="1">IFERROR(__xludf.DUMMYFUNCTION("""COMPUTED_VALUE"""),-75)</f>
        <v>-75</v>
      </c>
      <c r="S146" s="12">
        <f ca="1">IFERROR(__xludf.DUMMYFUNCTION("""COMPUTED_VALUE"""),120)</f>
        <v>120</v>
      </c>
      <c r="T146" s="12">
        <f ca="1">IFERROR(__xludf.DUMMYFUNCTION("""COMPUTED_VALUE"""),376)</f>
        <v>376</v>
      </c>
      <c r="U146" s="12">
        <f ca="1">IFERROR(__xludf.DUMMYFUNCTION("""COMPUTED_VALUE"""),45)</f>
        <v>45</v>
      </c>
    </row>
    <row r="147" spans="1:21" x14ac:dyDescent="0.25">
      <c r="A147" s="11">
        <f ca="1">IFERROR(__xludf.DUMMYFUNCTION("""COMPUTED_VALUE"""),44035)</f>
        <v>44035</v>
      </c>
      <c r="B147" s="12">
        <f ca="1">IFERROR(__xludf.DUMMYFUNCTION("""COMPUTED_VALUE"""),93657)</f>
        <v>93657</v>
      </c>
      <c r="C147" s="12">
        <f ca="1">IFERROR(__xludf.DUMMYFUNCTION("""COMPUTED_VALUE"""),36917)</f>
        <v>36917</v>
      </c>
      <c r="D147" s="12">
        <f ca="1">IFERROR(__xludf.DUMMYFUNCTION("""COMPUTED_VALUE"""),52164)</f>
        <v>52164</v>
      </c>
      <c r="E147" s="12">
        <f ca="1">IFERROR(__xludf.DUMMYFUNCTION("""COMPUTED_VALUE"""),4576)</f>
        <v>4576</v>
      </c>
      <c r="F147" s="12">
        <f ca="1">IFERROR(__xludf.DUMMYFUNCTION("""COMPUTED_VALUE"""),767)</f>
        <v>767</v>
      </c>
      <c r="G147" s="12">
        <f ca="1">IFERROR(__xludf.DUMMYFUNCTION("""COMPUTED_VALUE"""),11302)</f>
        <v>11302</v>
      </c>
      <c r="H147" s="12">
        <f ca="1">IFERROR(__xludf.DUMMYFUNCTION("""COMPUTED_VALUE"""),4675)</f>
        <v>4675</v>
      </c>
      <c r="I147" s="12">
        <f ca="1">IFERROR(__xludf.DUMMYFUNCTION("""COMPUTED_VALUE"""),1201)</f>
        <v>1201</v>
      </c>
      <c r="J147" s="12">
        <f ca="1">IFERROR(__xludf.DUMMYFUNCTION("""COMPUTED_VALUE"""),17945)</f>
        <v>17945</v>
      </c>
      <c r="K147" s="12">
        <f ca="1">IFERROR(__xludf.DUMMYFUNCTION("""COMPUTED_VALUE"""),5876)</f>
        <v>5876</v>
      </c>
      <c r="L147" s="12">
        <f ca="1">IFERROR(__xludf.DUMMYFUNCTION("""COMPUTED_VALUE"""),1906)</f>
        <v>1906</v>
      </c>
      <c r="M147" s="12">
        <f ca="1">IFERROR(__xludf.DUMMYFUNCTION("""COMPUTED_VALUE"""),-120)</f>
        <v>-120</v>
      </c>
      <c r="N147" s="12">
        <f ca="1">IFERROR(__xludf.DUMMYFUNCTION("""COMPUTED_VALUE"""),1909)</f>
        <v>1909</v>
      </c>
      <c r="O147" s="12">
        <f ca="1">IFERROR(__xludf.DUMMYFUNCTION("""COMPUTED_VALUE"""),117)</f>
        <v>117</v>
      </c>
      <c r="P147" s="12">
        <f ca="1">IFERROR(__xludf.DUMMYFUNCTION("""COMPUTED_VALUE"""),1)</f>
        <v>1</v>
      </c>
      <c r="Q147" s="12">
        <f ca="1">IFERROR(__xludf.DUMMYFUNCTION("""COMPUTED_VALUE"""),115)</f>
        <v>115</v>
      </c>
      <c r="R147" s="12">
        <f ca="1">IFERROR(__xludf.DUMMYFUNCTION("""COMPUTED_VALUE"""),292)</f>
        <v>292</v>
      </c>
      <c r="S147" s="12">
        <f ca="1">IFERROR(__xludf.DUMMYFUNCTION("""COMPUTED_VALUE"""),8)</f>
        <v>8</v>
      </c>
      <c r="T147" s="12">
        <f ca="1">IFERROR(__xludf.DUMMYFUNCTION("""COMPUTED_VALUE"""),416)</f>
        <v>416</v>
      </c>
      <c r="U147" s="12">
        <f ca="1">IFERROR(__xludf.DUMMYFUNCTION("""COMPUTED_VALUE"""),300)</f>
        <v>300</v>
      </c>
    </row>
    <row r="148" spans="1:21" x14ac:dyDescent="0.25">
      <c r="A148" s="11">
        <f ca="1">IFERROR(__xludf.DUMMYFUNCTION("""COMPUTED_VALUE"""),44036)</f>
        <v>44036</v>
      </c>
      <c r="B148" s="12">
        <f ca="1">IFERROR(__xludf.DUMMYFUNCTION("""COMPUTED_VALUE"""),95418)</f>
        <v>95418</v>
      </c>
      <c r="C148" s="12">
        <f ca="1">IFERROR(__xludf.DUMMYFUNCTION("""COMPUTED_VALUE"""),36808)</f>
        <v>36808</v>
      </c>
      <c r="D148" s="12">
        <f ca="1">IFERROR(__xludf.DUMMYFUNCTION("""COMPUTED_VALUE"""),53945)</f>
        <v>53945</v>
      </c>
      <c r="E148" s="12">
        <f ca="1">IFERROR(__xludf.DUMMYFUNCTION("""COMPUTED_VALUE"""),4665)</f>
        <v>4665</v>
      </c>
      <c r="F148" s="12">
        <f ca="1">IFERROR(__xludf.DUMMYFUNCTION("""COMPUTED_VALUE"""),768)</f>
        <v>768</v>
      </c>
      <c r="G148" s="12">
        <f ca="1">IFERROR(__xludf.DUMMYFUNCTION("""COMPUTED_VALUE"""),11585)</f>
        <v>11585</v>
      </c>
      <c r="H148" s="12">
        <f ca="1">IFERROR(__xludf.DUMMYFUNCTION("""COMPUTED_VALUE"""),4577)</f>
        <v>4577</v>
      </c>
      <c r="I148" s="12">
        <f ca="1">IFERROR(__xludf.DUMMYFUNCTION("""COMPUTED_VALUE"""),1300)</f>
        <v>1300</v>
      </c>
      <c r="J148" s="12">
        <f ca="1">IFERROR(__xludf.DUMMYFUNCTION("""COMPUTED_VALUE"""),18230)</f>
        <v>18230</v>
      </c>
      <c r="K148" s="12">
        <f ca="1">IFERROR(__xludf.DUMMYFUNCTION("""COMPUTED_VALUE"""),5877)</f>
        <v>5877</v>
      </c>
      <c r="L148" s="12">
        <f ca="1">IFERROR(__xludf.DUMMYFUNCTION("""COMPUTED_VALUE"""),1761)</f>
        <v>1761</v>
      </c>
      <c r="M148" s="12">
        <f ca="1">IFERROR(__xludf.DUMMYFUNCTION("""COMPUTED_VALUE"""),-109)</f>
        <v>-109</v>
      </c>
      <c r="N148" s="12">
        <f ca="1">IFERROR(__xludf.DUMMYFUNCTION("""COMPUTED_VALUE"""),1781)</f>
        <v>1781</v>
      </c>
      <c r="O148" s="12">
        <f ca="1">IFERROR(__xludf.DUMMYFUNCTION("""COMPUTED_VALUE"""),89)</f>
        <v>89</v>
      </c>
      <c r="P148" s="12">
        <f ca="1">IFERROR(__xludf.DUMMYFUNCTION("""COMPUTED_VALUE"""),1)</f>
        <v>1</v>
      </c>
      <c r="Q148" s="12">
        <f ca="1">IFERROR(__xludf.DUMMYFUNCTION("""COMPUTED_VALUE"""),283)</f>
        <v>283</v>
      </c>
      <c r="R148" s="12">
        <f ca="1">IFERROR(__xludf.DUMMYFUNCTION("""COMPUTED_VALUE"""),-98)</f>
        <v>-98</v>
      </c>
      <c r="S148" s="12">
        <f ca="1">IFERROR(__xludf.DUMMYFUNCTION("""COMPUTED_VALUE"""),99)</f>
        <v>99</v>
      </c>
      <c r="T148" s="12">
        <f ca="1">IFERROR(__xludf.DUMMYFUNCTION("""COMPUTED_VALUE"""),285)</f>
        <v>285</v>
      </c>
      <c r="U148" s="12">
        <f ca="1">IFERROR(__xludf.DUMMYFUNCTION("""COMPUTED_VALUE"""),1)</f>
        <v>1</v>
      </c>
    </row>
    <row r="149" spans="1:21" x14ac:dyDescent="0.25">
      <c r="A149" s="11">
        <f ca="1">IFERROR(__xludf.DUMMYFUNCTION("""COMPUTED_VALUE"""),44037)</f>
        <v>44037</v>
      </c>
      <c r="B149" s="12">
        <f ca="1">IFERROR(__xludf.DUMMYFUNCTION("""COMPUTED_VALUE"""),97286)</f>
        <v>97286</v>
      </c>
      <c r="C149" s="12">
        <f ca="1">IFERROR(__xludf.DUMMYFUNCTION("""COMPUTED_VALUE"""),37218)</f>
        <v>37218</v>
      </c>
      <c r="D149" s="12">
        <f ca="1">IFERROR(__xludf.DUMMYFUNCTION("""COMPUTED_VALUE"""),55354)</f>
        <v>55354</v>
      </c>
      <c r="E149" s="12">
        <f ca="1">IFERROR(__xludf.DUMMYFUNCTION("""COMPUTED_VALUE"""),4714)</f>
        <v>4714</v>
      </c>
      <c r="F149" s="12">
        <f ca="1">IFERROR(__xludf.DUMMYFUNCTION("""COMPUTED_VALUE"""),769)</f>
        <v>769</v>
      </c>
      <c r="G149" s="12">
        <f ca="1">IFERROR(__xludf.DUMMYFUNCTION("""COMPUTED_VALUE"""),11715)</f>
        <v>11715</v>
      </c>
      <c r="H149" s="12">
        <f ca="1">IFERROR(__xludf.DUMMYFUNCTION("""COMPUTED_VALUE"""),4729)</f>
        <v>4729</v>
      </c>
      <c r="I149" s="12">
        <f ca="1">IFERROR(__xludf.DUMMYFUNCTION("""COMPUTED_VALUE"""),1410)</f>
        <v>1410</v>
      </c>
      <c r="J149" s="12">
        <f ca="1">IFERROR(__xludf.DUMMYFUNCTION("""COMPUTED_VALUE"""),18623)</f>
        <v>18623</v>
      </c>
      <c r="K149" s="12">
        <f ca="1">IFERROR(__xludf.DUMMYFUNCTION("""COMPUTED_VALUE"""),6139)</f>
        <v>6139</v>
      </c>
      <c r="L149" s="12">
        <f ca="1">IFERROR(__xludf.DUMMYFUNCTION("""COMPUTED_VALUE"""),1868)</f>
        <v>1868</v>
      </c>
      <c r="M149" s="12">
        <f ca="1">IFERROR(__xludf.DUMMYFUNCTION("""COMPUTED_VALUE"""),410)</f>
        <v>410</v>
      </c>
      <c r="N149" s="12">
        <f ca="1">IFERROR(__xludf.DUMMYFUNCTION("""COMPUTED_VALUE"""),1409)</f>
        <v>1409</v>
      </c>
      <c r="O149" s="12">
        <f ca="1">IFERROR(__xludf.DUMMYFUNCTION("""COMPUTED_VALUE"""),49)</f>
        <v>49</v>
      </c>
      <c r="P149" s="12">
        <f ca="1">IFERROR(__xludf.DUMMYFUNCTION("""COMPUTED_VALUE"""),1)</f>
        <v>1</v>
      </c>
      <c r="Q149" s="12">
        <f ca="1">IFERROR(__xludf.DUMMYFUNCTION("""COMPUTED_VALUE"""),130)</f>
        <v>130</v>
      </c>
      <c r="R149" s="12">
        <f ca="1">IFERROR(__xludf.DUMMYFUNCTION("""COMPUTED_VALUE"""),152)</f>
        <v>152</v>
      </c>
      <c r="S149" s="12">
        <f ca="1">IFERROR(__xludf.DUMMYFUNCTION("""COMPUTED_VALUE"""),110)</f>
        <v>110</v>
      </c>
      <c r="T149" s="12">
        <f ca="1">IFERROR(__xludf.DUMMYFUNCTION("""COMPUTED_VALUE"""),393)</f>
        <v>393</v>
      </c>
      <c r="U149" s="12">
        <f ca="1">IFERROR(__xludf.DUMMYFUNCTION("""COMPUTED_VALUE"""),262)</f>
        <v>262</v>
      </c>
    </row>
    <row r="150" spans="1:21" x14ac:dyDescent="0.25">
      <c r="A150" s="11">
        <f ca="1">IFERROR(__xludf.DUMMYFUNCTION("""COMPUTED_VALUE"""),44038)</f>
        <v>44038</v>
      </c>
      <c r="B150" s="12">
        <f ca="1">IFERROR(__xludf.DUMMYFUNCTION("""COMPUTED_VALUE"""),98778)</f>
        <v>98778</v>
      </c>
      <c r="C150" s="12">
        <f ca="1">IFERROR(__xludf.DUMMYFUNCTION("""COMPUTED_VALUE"""),37342)</f>
        <v>37342</v>
      </c>
      <c r="D150" s="12">
        <f ca="1">IFERROR(__xludf.DUMMYFUNCTION("""COMPUTED_VALUE"""),56655)</f>
        <v>56655</v>
      </c>
      <c r="E150" s="12">
        <f ca="1">IFERROR(__xludf.DUMMYFUNCTION("""COMPUTED_VALUE"""),4781)</f>
        <v>4781</v>
      </c>
      <c r="F150" s="12">
        <f ca="1">IFERROR(__xludf.DUMMYFUNCTION("""COMPUTED_VALUE"""),779)</f>
        <v>779</v>
      </c>
      <c r="G150" s="12">
        <f ca="1">IFERROR(__xludf.DUMMYFUNCTION("""COMPUTED_VALUE"""),11889)</f>
        <v>11889</v>
      </c>
      <c r="H150" s="12">
        <f ca="1">IFERROR(__xludf.DUMMYFUNCTION("""COMPUTED_VALUE"""),4842)</f>
        <v>4842</v>
      </c>
      <c r="I150" s="12">
        <f ca="1">IFERROR(__xludf.DUMMYFUNCTION("""COMPUTED_VALUE"""),1491)</f>
        <v>1491</v>
      </c>
      <c r="J150" s="12">
        <f ca="1">IFERROR(__xludf.DUMMYFUNCTION("""COMPUTED_VALUE"""),19001)</f>
        <v>19001</v>
      </c>
      <c r="K150" s="12">
        <f ca="1">IFERROR(__xludf.DUMMYFUNCTION("""COMPUTED_VALUE"""),6333)</f>
        <v>6333</v>
      </c>
      <c r="L150" s="12">
        <f ca="1">IFERROR(__xludf.DUMMYFUNCTION("""COMPUTED_VALUE"""),1492)</f>
        <v>1492</v>
      </c>
      <c r="M150" s="12">
        <f ca="1">IFERROR(__xludf.DUMMYFUNCTION("""COMPUTED_VALUE"""),124)</f>
        <v>124</v>
      </c>
      <c r="N150" s="12">
        <f ca="1">IFERROR(__xludf.DUMMYFUNCTION("""COMPUTED_VALUE"""),1301)</f>
        <v>1301</v>
      </c>
      <c r="O150" s="12">
        <f ca="1">IFERROR(__xludf.DUMMYFUNCTION("""COMPUTED_VALUE"""),67)</f>
        <v>67</v>
      </c>
      <c r="P150" s="12">
        <f ca="1">IFERROR(__xludf.DUMMYFUNCTION("""COMPUTED_VALUE"""),10)</f>
        <v>10</v>
      </c>
      <c r="Q150" s="12">
        <f ca="1">IFERROR(__xludf.DUMMYFUNCTION("""COMPUTED_VALUE"""),174)</f>
        <v>174</v>
      </c>
      <c r="R150" s="12">
        <f ca="1">IFERROR(__xludf.DUMMYFUNCTION("""COMPUTED_VALUE"""),113)</f>
        <v>113</v>
      </c>
      <c r="S150" s="12">
        <f ca="1">IFERROR(__xludf.DUMMYFUNCTION("""COMPUTED_VALUE"""),81)</f>
        <v>81</v>
      </c>
      <c r="T150" s="12">
        <f ca="1">IFERROR(__xludf.DUMMYFUNCTION("""COMPUTED_VALUE"""),378)</f>
        <v>378</v>
      </c>
      <c r="U150" s="12">
        <f ca="1">IFERROR(__xludf.DUMMYFUNCTION("""COMPUTED_VALUE"""),194)</f>
        <v>194</v>
      </c>
    </row>
    <row r="151" spans="1:21" x14ac:dyDescent="0.25">
      <c r="A151" s="11">
        <f ca="1">IFERROR(__xludf.DUMMYFUNCTION("""COMPUTED_VALUE"""),44039)</f>
        <v>44039</v>
      </c>
      <c r="B151" s="12">
        <f ca="1">IFERROR(__xludf.DUMMYFUNCTION("""COMPUTED_VALUE"""),100303)</f>
        <v>100303</v>
      </c>
      <c r="C151" s="12">
        <f ca="1">IFERROR(__xludf.DUMMYFUNCTION("""COMPUTED_VALUE"""),37292)</f>
        <v>37292</v>
      </c>
      <c r="D151" s="12">
        <f ca="1">IFERROR(__xludf.DUMMYFUNCTION("""COMPUTED_VALUE"""),58173)</f>
        <v>58173</v>
      </c>
      <c r="E151" s="12">
        <f ca="1">IFERROR(__xludf.DUMMYFUNCTION("""COMPUTED_VALUE"""),4838)</f>
        <v>4838</v>
      </c>
      <c r="F151" s="12">
        <f ca="1">IFERROR(__xludf.DUMMYFUNCTION("""COMPUTED_VALUE"""),782)</f>
        <v>782</v>
      </c>
      <c r="G151" s="12">
        <f ca="1">IFERROR(__xludf.DUMMYFUNCTION("""COMPUTED_VALUE"""),11996)</f>
        <v>11996</v>
      </c>
      <c r="H151" s="12">
        <f ca="1">IFERROR(__xludf.DUMMYFUNCTION("""COMPUTED_VALUE"""),4993)</f>
        <v>4993</v>
      </c>
      <c r="I151" s="12">
        <f ca="1">IFERROR(__xludf.DUMMYFUNCTION("""COMPUTED_VALUE"""),1702)</f>
        <v>1702</v>
      </c>
      <c r="J151" s="12">
        <f ca="1">IFERROR(__xludf.DUMMYFUNCTION("""COMPUTED_VALUE"""),19473)</f>
        <v>19473</v>
      </c>
      <c r="K151" s="12">
        <f ca="1">IFERROR(__xludf.DUMMYFUNCTION("""COMPUTED_VALUE"""),6695)</f>
        <v>6695</v>
      </c>
      <c r="L151" s="12">
        <f ca="1">IFERROR(__xludf.DUMMYFUNCTION("""COMPUTED_VALUE"""),1525)</f>
        <v>1525</v>
      </c>
      <c r="M151" s="12">
        <f ca="1">IFERROR(__xludf.DUMMYFUNCTION("""COMPUTED_VALUE"""),-50)</f>
        <v>-50</v>
      </c>
      <c r="N151" s="12">
        <f ca="1">IFERROR(__xludf.DUMMYFUNCTION("""COMPUTED_VALUE"""),1518)</f>
        <v>1518</v>
      </c>
      <c r="O151" s="12">
        <f ca="1">IFERROR(__xludf.DUMMYFUNCTION("""COMPUTED_VALUE"""),57)</f>
        <v>57</v>
      </c>
      <c r="P151" s="12">
        <f ca="1">IFERROR(__xludf.DUMMYFUNCTION("""COMPUTED_VALUE"""),3)</f>
        <v>3</v>
      </c>
      <c r="Q151" s="12">
        <f ca="1">IFERROR(__xludf.DUMMYFUNCTION("""COMPUTED_VALUE"""),107)</f>
        <v>107</v>
      </c>
      <c r="R151" s="12">
        <f ca="1">IFERROR(__xludf.DUMMYFUNCTION("""COMPUTED_VALUE"""),151)</f>
        <v>151</v>
      </c>
      <c r="S151" s="12">
        <f ca="1">IFERROR(__xludf.DUMMYFUNCTION("""COMPUTED_VALUE"""),211)</f>
        <v>211</v>
      </c>
      <c r="T151" s="12">
        <f ca="1">IFERROR(__xludf.DUMMYFUNCTION("""COMPUTED_VALUE"""),472)</f>
        <v>472</v>
      </c>
      <c r="U151" s="12">
        <f ca="1">IFERROR(__xludf.DUMMYFUNCTION("""COMPUTED_VALUE"""),362)</f>
        <v>362</v>
      </c>
    </row>
    <row r="152" spans="1:21" x14ac:dyDescent="0.25">
      <c r="A152" s="11">
        <f ca="1">IFERROR(__xludf.DUMMYFUNCTION("""COMPUTED_VALUE"""),44040)</f>
        <v>44040</v>
      </c>
      <c r="B152" s="12">
        <f ca="1">IFERROR(__xludf.DUMMYFUNCTION("""COMPUTED_VALUE"""),102051)</f>
        <v>102051</v>
      </c>
      <c r="C152" s="12">
        <f ca="1">IFERROR(__xludf.DUMMYFUNCTION("""COMPUTED_VALUE"""),36611)</f>
        <v>36611</v>
      </c>
      <c r="D152" s="12">
        <f ca="1">IFERROR(__xludf.DUMMYFUNCTION("""COMPUTED_VALUE"""),60539)</f>
        <v>60539</v>
      </c>
      <c r="E152" s="12">
        <f ca="1">IFERROR(__xludf.DUMMYFUNCTION("""COMPUTED_VALUE"""),4901)</f>
        <v>4901</v>
      </c>
      <c r="F152" s="12">
        <f ca="1">IFERROR(__xludf.DUMMYFUNCTION("""COMPUTED_VALUE"""),795)</f>
        <v>795</v>
      </c>
      <c r="G152" s="12">
        <f ca="1">IFERROR(__xludf.DUMMYFUNCTION("""COMPUTED_VALUE"""),12373)</f>
        <v>12373</v>
      </c>
      <c r="H152" s="12">
        <f ca="1">IFERROR(__xludf.DUMMYFUNCTION("""COMPUTED_VALUE"""),4869)</f>
        <v>4869</v>
      </c>
      <c r="I152" s="12">
        <f ca="1">IFERROR(__xludf.DUMMYFUNCTION("""COMPUTED_VALUE"""),1848)</f>
        <v>1848</v>
      </c>
      <c r="J152" s="12">
        <f ca="1">IFERROR(__xludf.DUMMYFUNCTION("""COMPUTED_VALUE"""),19885)</f>
        <v>19885</v>
      </c>
      <c r="K152" s="12">
        <f ca="1">IFERROR(__xludf.DUMMYFUNCTION("""COMPUTED_VALUE"""),6717)</f>
        <v>6717</v>
      </c>
      <c r="L152" s="12">
        <f ca="1">IFERROR(__xludf.DUMMYFUNCTION("""COMPUTED_VALUE"""),1748)</f>
        <v>1748</v>
      </c>
      <c r="M152" s="12">
        <f ca="1">IFERROR(__xludf.DUMMYFUNCTION("""COMPUTED_VALUE"""),-681)</f>
        <v>-681</v>
      </c>
      <c r="N152" s="12">
        <f ca="1">IFERROR(__xludf.DUMMYFUNCTION("""COMPUTED_VALUE"""),2366)</f>
        <v>2366</v>
      </c>
      <c r="O152" s="12">
        <f ca="1">IFERROR(__xludf.DUMMYFUNCTION("""COMPUTED_VALUE"""),63)</f>
        <v>63</v>
      </c>
      <c r="P152" s="12">
        <f ca="1">IFERROR(__xludf.DUMMYFUNCTION("""COMPUTED_VALUE"""),13)</f>
        <v>13</v>
      </c>
      <c r="Q152" s="12">
        <f ca="1">IFERROR(__xludf.DUMMYFUNCTION("""COMPUTED_VALUE"""),377)</f>
        <v>377</v>
      </c>
      <c r="R152" s="12">
        <f ca="1">IFERROR(__xludf.DUMMYFUNCTION("""COMPUTED_VALUE"""),-124)</f>
        <v>-124</v>
      </c>
      <c r="S152" s="12">
        <f ca="1">IFERROR(__xludf.DUMMYFUNCTION("""COMPUTED_VALUE"""),146)</f>
        <v>146</v>
      </c>
      <c r="T152" s="12">
        <f ca="1">IFERROR(__xludf.DUMMYFUNCTION("""COMPUTED_VALUE"""),412)</f>
        <v>412</v>
      </c>
      <c r="U152" s="12">
        <f ca="1">IFERROR(__xludf.DUMMYFUNCTION("""COMPUTED_VALUE"""),22)</f>
        <v>22</v>
      </c>
    </row>
    <row r="153" spans="1:21" x14ac:dyDescent="0.25">
      <c r="A153" s="11">
        <f ca="1">IFERROR(__xludf.DUMMYFUNCTION("""COMPUTED_VALUE"""),44041)</f>
        <v>44041</v>
      </c>
      <c r="B153" s="12">
        <f ca="1">IFERROR(__xludf.DUMMYFUNCTION("""COMPUTED_VALUE"""),104432)</f>
        <v>104432</v>
      </c>
      <c r="C153" s="12">
        <f ca="1">IFERROR(__xludf.DUMMYFUNCTION("""COMPUTED_VALUE"""),37319)</f>
        <v>37319</v>
      </c>
      <c r="D153" s="12">
        <f ca="1">IFERROR(__xludf.DUMMYFUNCTION("""COMPUTED_VALUE"""),62138)</f>
        <v>62138</v>
      </c>
      <c r="E153" s="12">
        <f ca="1">IFERROR(__xludf.DUMMYFUNCTION("""COMPUTED_VALUE"""),4975)</f>
        <v>4975</v>
      </c>
      <c r="F153" s="12">
        <f ca="1">IFERROR(__xludf.DUMMYFUNCTION("""COMPUTED_VALUE"""),820)</f>
        <v>820</v>
      </c>
      <c r="G153" s="12">
        <f ca="1">IFERROR(__xludf.DUMMYFUNCTION("""COMPUTED_VALUE"""),12613)</f>
        <v>12613</v>
      </c>
      <c r="H153" s="12">
        <f ca="1">IFERROR(__xludf.DUMMYFUNCTION("""COMPUTED_VALUE"""),5093)</f>
        <v>5093</v>
      </c>
      <c r="I153" s="12">
        <f ca="1">IFERROR(__xludf.DUMMYFUNCTION("""COMPUTED_VALUE"""),1944)</f>
        <v>1944</v>
      </c>
      <c r="J153" s="12">
        <f ca="1">IFERROR(__xludf.DUMMYFUNCTION("""COMPUTED_VALUE"""),20470)</f>
        <v>20470</v>
      </c>
      <c r="K153" s="12">
        <f ca="1">IFERROR(__xludf.DUMMYFUNCTION("""COMPUTED_VALUE"""),7037)</f>
        <v>7037</v>
      </c>
      <c r="L153" s="12">
        <f ca="1">IFERROR(__xludf.DUMMYFUNCTION("""COMPUTED_VALUE"""),2381)</f>
        <v>2381</v>
      </c>
      <c r="M153" s="12">
        <f ca="1">IFERROR(__xludf.DUMMYFUNCTION("""COMPUTED_VALUE"""),708)</f>
        <v>708</v>
      </c>
      <c r="N153" s="12">
        <f ca="1">IFERROR(__xludf.DUMMYFUNCTION("""COMPUTED_VALUE"""),1599)</f>
        <v>1599</v>
      </c>
      <c r="O153" s="12">
        <f ca="1">IFERROR(__xludf.DUMMYFUNCTION("""COMPUTED_VALUE"""),74)</f>
        <v>74</v>
      </c>
      <c r="P153" s="12">
        <f ca="1">IFERROR(__xludf.DUMMYFUNCTION("""COMPUTED_VALUE"""),25)</f>
        <v>25</v>
      </c>
      <c r="Q153" s="12">
        <f ca="1">IFERROR(__xludf.DUMMYFUNCTION("""COMPUTED_VALUE"""),240)</f>
        <v>240</v>
      </c>
      <c r="R153" s="12">
        <f ca="1">IFERROR(__xludf.DUMMYFUNCTION("""COMPUTED_VALUE"""),224)</f>
        <v>224</v>
      </c>
      <c r="S153" s="12">
        <f ca="1">IFERROR(__xludf.DUMMYFUNCTION("""COMPUTED_VALUE"""),96)</f>
        <v>96</v>
      </c>
      <c r="T153" s="12">
        <f ca="1">IFERROR(__xludf.DUMMYFUNCTION("""COMPUTED_VALUE"""),585)</f>
        <v>585</v>
      </c>
      <c r="U153" s="12">
        <f ca="1">IFERROR(__xludf.DUMMYFUNCTION("""COMPUTED_VALUE"""),320)</f>
        <v>320</v>
      </c>
    </row>
    <row r="154" spans="1:21" x14ac:dyDescent="0.25">
      <c r="A154" s="11">
        <f ca="1">IFERROR(__xludf.DUMMYFUNCTION("""COMPUTED_VALUE"""),44042)</f>
        <v>44042</v>
      </c>
      <c r="B154" s="12">
        <f ca="1">IFERROR(__xludf.DUMMYFUNCTION("""COMPUTED_VALUE"""),106336)</f>
        <v>106336</v>
      </c>
      <c r="C154" s="12">
        <f ca="1">IFERROR(__xludf.DUMMYFUNCTION("""COMPUTED_VALUE"""),36986)</f>
        <v>36986</v>
      </c>
      <c r="D154" s="12">
        <f ca="1">IFERROR(__xludf.DUMMYFUNCTION("""COMPUTED_VALUE"""),64292)</f>
        <v>64292</v>
      </c>
      <c r="E154" s="12">
        <f ca="1">IFERROR(__xludf.DUMMYFUNCTION("""COMPUTED_VALUE"""),5058)</f>
        <v>5058</v>
      </c>
      <c r="F154" s="12">
        <f ca="1">IFERROR(__xludf.DUMMYFUNCTION("""COMPUTED_VALUE"""),821)</f>
        <v>821</v>
      </c>
      <c r="G154" s="12">
        <f ca="1">IFERROR(__xludf.DUMMYFUNCTION("""COMPUTED_VALUE"""),12801)</f>
        <v>12801</v>
      </c>
      <c r="H154" s="12">
        <f ca="1">IFERROR(__xludf.DUMMYFUNCTION("""COMPUTED_VALUE"""),5098)</f>
        <v>5098</v>
      </c>
      <c r="I154" s="12">
        <f ca="1">IFERROR(__xludf.DUMMYFUNCTION("""COMPUTED_VALUE"""),2049)</f>
        <v>2049</v>
      </c>
      <c r="J154" s="12">
        <f ca="1">IFERROR(__xludf.DUMMYFUNCTION("""COMPUTED_VALUE"""),20769)</f>
        <v>20769</v>
      </c>
      <c r="K154" s="12">
        <f ca="1">IFERROR(__xludf.DUMMYFUNCTION("""COMPUTED_VALUE"""),7147)</f>
        <v>7147</v>
      </c>
      <c r="L154" s="12">
        <f ca="1">IFERROR(__xludf.DUMMYFUNCTION("""COMPUTED_VALUE"""),1904)</f>
        <v>1904</v>
      </c>
      <c r="M154" s="12">
        <f ca="1">IFERROR(__xludf.DUMMYFUNCTION("""COMPUTED_VALUE"""),-333)</f>
        <v>-333</v>
      </c>
      <c r="N154" s="12">
        <f ca="1">IFERROR(__xludf.DUMMYFUNCTION("""COMPUTED_VALUE"""),2154)</f>
        <v>2154</v>
      </c>
      <c r="O154" s="12">
        <f ca="1">IFERROR(__xludf.DUMMYFUNCTION("""COMPUTED_VALUE"""),83)</f>
        <v>83</v>
      </c>
      <c r="P154" s="12">
        <f ca="1">IFERROR(__xludf.DUMMYFUNCTION("""COMPUTED_VALUE"""),1)</f>
        <v>1</v>
      </c>
      <c r="Q154" s="12">
        <f ca="1">IFERROR(__xludf.DUMMYFUNCTION("""COMPUTED_VALUE"""),188)</f>
        <v>188</v>
      </c>
      <c r="R154" s="12">
        <f ca="1">IFERROR(__xludf.DUMMYFUNCTION("""COMPUTED_VALUE"""),5)</f>
        <v>5</v>
      </c>
      <c r="S154" s="12">
        <f ca="1">IFERROR(__xludf.DUMMYFUNCTION("""COMPUTED_VALUE"""),105)</f>
        <v>105</v>
      </c>
      <c r="T154" s="12">
        <f ca="1">IFERROR(__xludf.DUMMYFUNCTION("""COMPUTED_VALUE"""),299)</f>
        <v>299</v>
      </c>
      <c r="U154" s="12">
        <f ca="1">IFERROR(__xludf.DUMMYFUNCTION("""COMPUTED_VALUE"""),110)</f>
        <v>110</v>
      </c>
    </row>
    <row r="155" spans="1:21" x14ac:dyDescent="0.25">
      <c r="A155" s="11">
        <f ca="1">IFERROR(__xludf.DUMMYFUNCTION("""COMPUTED_VALUE"""),44043)</f>
        <v>44043</v>
      </c>
      <c r="B155" s="12">
        <f ca="1">IFERROR(__xludf.DUMMYFUNCTION("""COMPUTED_VALUE"""),108376)</f>
        <v>108376</v>
      </c>
      <c r="C155" s="12">
        <f ca="1">IFERROR(__xludf.DUMMYFUNCTION("""COMPUTED_VALUE"""),37338)</f>
        <v>37338</v>
      </c>
      <c r="D155" s="12">
        <f ca="1">IFERROR(__xludf.DUMMYFUNCTION("""COMPUTED_VALUE"""),65907)</f>
        <v>65907</v>
      </c>
      <c r="E155" s="12">
        <f ca="1">IFERROR(__xludf.DUMMYFUNCTION("""COMPUTED_VALUE"""),5131)</f>
        <v>5131</v>
      </c>
      <c r="F155" s="12">
        <f ca="1">IFERROR(__xludf.DUMMYFUNCTION("""COMPUTED_VALUE"""),836)</f>
        <v>836</v>
      </c>
      <c r="G155" s="12">
        <f ca="1">IFERROR(__xludf.DUMMYFUNCTION("""COMPUTED_VALUE"""),13208)</f>
        <v>13208</v>
      </c>
      <c r="H155" s="12">
        <f ca="1">IFERROR(__xludf.DUMMYFUNCTION("""COMPUTED_VALUE"""),4974)</f>
        <v>4974</v>
      </c>
      <c r="I155" s="12">
        <f ca="1">IFERROR(__xludf.DUMMYFUNCTION("""COMPUTED_VALUE"""),2183)</f>
        <v>2183</v>
      </c>
      <c r="J155" s="12">
        <f ca="1">IFERROR(__xludf.DUMMYFUNCTION("""COMPUTED_VALUE"""),21201)</f>
        <v>21201</v>
      </c>
      <c r="K155" s="12">
        <f ca="1">IFERROR(__xludf.DUMMYFUNCTION("""COMPUTED_VALUE"""),7157)</f>
        <v>7157</v>
      </c>
      <c r="L155" s="12">
        <f ca="1">IFERROR(__xludf.DUMMYFUNCTION("""COMPUTED_VALUE"""),2040)</f>
        <v>2040</v>
      </c>
      <c r="M155" s="12">
        <f ca="1">IFERROR(__xludf.DUMMYFUNCTION("""COMPUTED_VALUE"""),352)</f>
        <v>352</v>
      </c>
      <c r="N155" s="12">
        <f ca="1">IFERROR(__xludf.DUMMYFUNCTION("""COMPUTED_VALUE"""),1615)</f>
        <v>1615</v>
      </c>
      <c r="O155" s="12">
        <f ca="1">IFERROR(__xludf.DUMMYFUNCTION("""COMPUTED_VALUE"""),73)</f>
        <v>73</v>
      </c>
      <c r="P155" s="12">
        <f ca="1">IFERROR(__xludf.DUMMYFUNCTION("""COMPUTED_VALUE"""),15)</f>
        <v>15</v>
      </c>
      <c r="Q155" s="12">
        <f ca="1">IFERROR(__xludf.DUMMYFUNCTION("""COMPUTED_VALUE"""),407)</f>
        <v>407</v>
      </c>
      <c r="R155" s="12">
        <f ca="1">IFERROR(__xludf.DUMMYFUNCTION("""COMPUTED_VALUE"""),-124)</f>
        <v>-124</v>
      </c>
      <c r="S155" s="12">
        <f ca="1">IFERROR(__xludf.DUMMYFUNCTION("""COMPUTED_VALUE"""),134)</f>
        <v>134</v>
      </c>
      <c r="T155" s="12">
        <f ca="1">IFERROR(__xludf.DUMMYFUNCTION("""COMPUTED_VALUE"""),432)</f>
        <v>432</v>
      </c>
      <c r="U155" s="12">
        <f ca="1">IFERROR(__xludf.DUMMYFUNCTION("""COMPUTED_VALUE"""),10)</f>
        <v>10</v>
      </c>
    </row>
    <row r="156" spans="1:21" x14ac:dyDescent="0.25">
      <c r="A156" s="11">
        <f ca="1">IFERROR(__xludf.DUMMYFUNCTION("""COMPUTED_VALUE"""),44044)</f>
        <v>44044</v>
      </c>
      <c r="B156" s="12">
        <f ca="1">IFERROR(__xludf.DUMMYFUNCTION("""COMPUTED_VALUE"""),109936)</f>
        <v>109936</v>
      </c>
      <c r="C156" s="12">
        <f ca="1">IFERROR(__xludf.DUMMYFUNCTION("""COMPUTED_VALUE"""),36824)</f>
        <v>36824</v>
      </c>
      <c r="D156" s="12">
        <f ca="1">IFERROR(__xludf.DUMMYFUNCTION("""COMPUTED_VALUE"""),67919)</f>
        <v>67919</v>
      </c>
      <c r="E156" s="12">
        <f ca="1">IFERROR(__xludf.DUMMYFUNCTION("""COMPUTED_VALUE"""),5193)</f>
        <v>5193</v>
      </c>
      <c r="F156" s="12">
        <f ca="1">IFERROR(__xludf.DUMMYFUNCTION("""COMPUTED_VALUE"""),852)</f>
        <v>852</v>
      </c>
      <c r="G156" s="12">
        <f ca="1">IFERROR(__xludf.DUMMYFUNCTION("""COMPUTED_VALUE"""),13887)</f>
        <v>13887</v>
      </c>
      <c r="H156" s="12">
        <f ca="1">IFERROR(__xludf.DUMMYFUNCTION("""COMPUTED_VALUE"""),4683)</f>
        <v>4683</v>
      </c>
      <c r="I156" s="12">
        <f ca="1">IFERROR(__xludf.DUMMYFUNCTION("""COMPUTED_VALUE"""),2153)</f>
        <v>2153</v>
      </c>
      <c r="J156" s="12">
        <f ca="1">IFERROR(__xludf.DUMMYFUNCTION("""COMPUTED_VALUE"""),21575)</f>
        <v>21575</v>
      </c>
      <c r="K156" s="12">
        <f ca="1">IFERROR(__xludf.DUMMYFUNCTION("""COMPUTED_VALUE"""),6836)</f>
        <v>6836</v>
      </c>
      <c r="L156" s="12">
        <f ca="1">IFERROR(__xludf.DUMMYFUNCTION("""COMPUTED_VALUE"""),1560)</f>
        <v>1560</v>
      </c>
      <c r="M156" s="12">
        <f ca="1">IFERROR(__xludf.DUMMYFUNCTION("""COMPUTED_VALUE"""),-514)</f>
        <v>-514</v>
      </c>
      <c r="N156" s="12">
        <f ca="1">IFERROR(__xludf.DUMMYFUNCTION("""COMPUTED_VALUE"""),2012)</f>
        <v>2012</v>
      </c>
      <c r="O156" s="12">
        <f ca="1">IFERROR(__xludf.DUMMYFUNCTION("""COMPUTED_VALUE"""),62)</f>
        <v>62</v>
      </c>
      <c r="P156" s="12">
        <f ca="1">IFERROR(__xludf.DUMMYFUNCTION("""COMPUTED_VALUE"""),16)</f>
        <v>16</v>
      </c>
      <c r="Q156" s="12">
        <f ca="1">IFERROR(__xludf.DUMMYFUNCTION("""COMPUTED_VALUE"""),679)</f>
        <v>679</v>
      </c>
      <c r="R156" s="12">
        <f ca="1">IFERROR(__xludf.DUMMYFUNCTION("""COMPUTED_VALUE"""),-291)</f>
        <v>-291</v>
      </c>
      <c r="S156" s="12">
        <f ca="1">IFERROR(__xludf.DUMMYFUNCTION("""COMPUTED_VALUE"""),-30)</f>
        <v>-30</v>
      </c>
      <c r="T156" s="12">
        <f ca="1">IFERROR(__xludf.DUMMYFUNCTION("""COMPUTED_VALUE"""),374)</f>
        <v>374</v>
      </c>
      <c r="U156" s="12">
        <f ca="1">IFERROR(__xludf.DUMMYFUNCTION("""COMPUTED_VALUE"""),-321)</f>
        <v>-321</v>
      </c>
    </row>
    <row r="157" spans="1:21" x14ac:dyDescent="0.25">
      <c r="A157" s="11">
        <f ca="1">IFERROR(__xludf.DUMMYFUNCTION("""COMPUTED_VALUE"""),44045)</f>
        <v>44045</v>
      </c>
      <c r="B157" s="12">
        <f ca="1">IFERROR(__xludf.DUMMYFUNCTION("""COMPUTED_VALUE"""),111455)</f>
        <v>111455</v>
      </c>
      <c r="C157" s="12">
        <f ca="1">IFERROR(__xludf.DUMMYFUNCTION("""COMPUTED_VALUE"""),37244)</f>
        <v>37244</v>
      </c>
      <c r="D157" s="12">
        <f ca="1">IFERROR(__xludf.DUMMYFUNCTION("""COMPUTED_VALUE"""),68975)</f>
        <v>68975</v>
      </c>
      <c r="E157" s="12">
        <f ca="1">IFERROR(__xludf.DUMMYFUNCTION("""COMPUTED_VALUE"""),5236)</f>
        <v>5236</v>
      </c>
      <c r="F157" s="12">
        <f ca="1">IFERROR(__xludf.DUMMYFUNCTION("""COMPUTED_VALUE"""),852)</f>
        <v>852</v>
      </c>
      <c r="G157" s="12">
        <f ca="1">IFERROR(__xludf.DUMMYFUNCTION("""COMPUTED_VALUE"""),14027)</f>
        <v>14027</v>
      </c>
      <c r="H157" s="12">
        <f ca="1">IFERROR(__xludf.DUMMYFUNCTION("""COMPUTED_VALUE"""),4916)</f>
        <v>4916</v>
      </c>
      <c r="I157" s="12">
        <f ca="1">IFERROR(__xludf.DUMMYFUNCTION("""COMPUTED_VALUE"""),2159)</f>
        <v>2159</v>
      </c>
      <c r="J157" s="12">
        <f ca="1">IFERROR(__xludf.DUMMYFUNCTION("""COMPUTED_VALUE"""),21954)</f>
        <v>21954</v>
      </c>
      <c r="K157" s="12">
        <f ca="1">IFERROR(__xludf.DUMMYFUNCTION("""COMPUTED_VALUE"""),7075)</f>
        <v>7075</v>
      </c>
      <c r="L157" s="12">
        <f ca="1">IFERROR(__xludf.DUMMYFUNCTION("""COMPUTED_VALUE"""),1519)</f>
        <v>1519</v>
      </c>
      <c r="M157" s="12">
        <f ca="1">IFERROR(__xludf.DUMMYFUNCTION("""COMPUTED_VALUE"""),420)</f>
        <v>420</v>
      </c>
      <c r="N157" s="12">
        <f ca="1">IFERROR(__xludf.DUMMYFUNCTION("""COMPUTED_VALUE"""),1056)</f>
        <v>1056</v>
      </c>
      <c r="O157" s="12">
        <f ca="1">IFERROR(__xludf.DUMMYFUNCTION("""COMPUTED_VALUE"""),43)</f>
        <v>43</v>
      </c>
      <c r="P157" s="12">
        <f ca="1">IFERROR(__xludf.DUMMYFUNCTION("""COMPUTED_VALUE"""),0)</f>
        <v>0</v>
      </c>
      <c r="Q157" s="12">
        <f ca="1">IFERROR(__xludf.DUMMYFUNCTION("""COMPUTED_VALUE"""),140)</f>
        <v>140</v>
      </c>
      <c r="R157" s="12">
        <f ca="1">IFERROR(__xludf.DUMMYFUNCTION("""COMPUTED_VALUE"""),233)</f>
        <v>233</v>
      </c>
      <c r="S157" s="12">
        <f ca="1">IFERROR(__xludf.DUMMYFUNCTION("""COMPUTED_VALUE"""),6)</f>
        <v>6</v>
      </c>
      <c r="T157" s="12">
        <f ca="1">IFERROR(__xludf.DUMMYFUNCTION("""COMPUTED_VALUE"""),379)</f>
        <v>379</v>
      </c>
      <c r="U157" s="12">
        <f ca="1">IFERROR(__xludf.DUMMYFUNCTION("""COMPUTED_VALUE"""),239)</f>
        <v>239</v>
      </c>
    </row>
    <row r="158" spans="1:21" x14ac:dyDescent="0.25">
      <c r="A158" s="11">
        <f ca="1">IFERROR(__xludf.DUMMYFUNCTION("""COMPUTED_VALUE"""),44046)</f>
        <v>44046</v>
      </c>
      <c r="B158" s="12">
        <f ca="1">IFERROR(__xludf.DUMMYFUNCTION("""COMPUTED_VALUE"""),113134)</f>
        <v>113134</v>
      </c>
      <c r="C158" s="12">
        <f ca="1">IFERROR(__xludf.DUMMYFUNCTION("""COMPUTED_VALUE"""),37595)</f>
        <v>37595</v>
      </c>
      <c r="D158" s="12">
        <f ca="1">IFERROR(__xludf.DUMMYFUNCTION("""COMPUTED_VALUE"""),70237)</f>
        <v>70237</v>
      </c>
      <c r="E158" s="12">
        <f ca="1">IFERROR(__xludf.DUMMYFUNCTION("""COMPUTED_VALUE"""),5302)</f>
        <v>5302</v>
      </c>
      <c r="F158" s="12">
        <f ca="1">IFERROR(__xludf.DUMMYFUNCTION("""COMPUTED_VALUE"""),867)</f>
        <v>867</v>
      </c>
      <c r="G158" s="12">
        <f ca="1">IFERROR(__xludf.DUMMYFUNCTION("""COMPUTED_VALUE"""),14165)</f>
        <v>14165</v>
      </c>
      <c r="H158" s="12">
        <f ca="1">IFERROR(__xludf.DUMMYFUNCTION("""COMPUTED_VALUE"""),5084)</f>
        <v>5084</v>
      </c>
      <c r="I158" s="12">
        <f ca="1">IFERROR(__xludf.DUMMYFUNCTION("""COMPUTED_VALUE"""),2327)</f>
        <v>2327</v>
      </c>
      <c r="J158" s="12">
        <f ca="1">IFERROR(__xludf.DUMMYFUNCTION("""COMPUTED_VALUE"""),22443)</f>
        <v>22443</v>
      </c>
      <c r="K158" s="12">
        <f ca="1">IFERROR(__xludf.DUMMYFUNCTION("""COMPUTED_VALUE"""),7411)</f>
        <v>7411</v>
      </c>
      <c r="L158" s="12">
        <f ca="1">IFERROR(__xludf.DUMMYFUNCTION("""COMPUTED_VALUE"""),1679)</f>
        <v>1679</v>
      </c>
      <c r="M158" s="12">
        <f ca="1">IFERROR(__xludf.DUMMYFUNCTION("""COMPUTED_VALUE"""),351)</f>
        <v>351</v>
      </c>
      <c r="N158" s="12">
        <f ca="1">IFERROR(__xludf.DUMMYFUNCTION("""COMPUTED_VALUE"""),1262)</f>
        <v>1262</v>
      </c>
      <c r="O158" s="12">
        <f ca="1">IFERROR(__xludf.DUMMYFUNCTION("""COMPUTED_VALUE"""),66)</f>
        <v>66</v>
      </c>
      <c r="P158" s="12">
        <f ca="1">IFERROR(__xludf.DUMMYFUNCTION("""COMPUTED_VALUE"""),15)</f>
        <v>15</v>
      </c>
      <c r="Q158" s="12">
        <f ca="1">IFERROR(__xludf.DUMMYFUNCTION("""COMPUTED_VALUE"""),138)</f>
        <v>138</v>
      </c>
      <c r="R158" s="12">
        <f ca="1">IFERROR(__xludf.DUMMYFUNCTION("""COMPUTED_VALUE"""),168)</f>
        <v>168</v>
      </c>
      <c r="S158" s="12">
        <f ca="1">IFERROR(__xludf.DUMMYFUNCTION("""COMPUTED_VALUE"""),168)</f>
        <v>168</v>
      </c>
      <c r="T158" s="12">
        <f ca="1">IFERROR(__xludf.DUMMYFUNCTION("""COMPUTED_VALUE"""),489)</f>
        <v>489</v>
      </c>
      <c r="U158" s="12">
        <f ca="1">IFERROR(__xludf.DUMMYFUNCTION("""COMPUTED_VALUE"""),336)</f>
        <v>336</v>
      </c>
    </row>
    <row r="159" spans="1:21" x14ac:dyDescent="0.25">
      <c r="A159" s="11">
        <f ca="1">IFERROR(__xludf.DUMMYFUNCTION("""COMPUTED_VALUE"""),44047)</f>
        <v>44047</v>
      </c>
      <c r="B159" s="12">
        <f ca="1">IFERROR(__xludf.DUMMYFUNCTION("""COMPUTED_VALUE"""),115056)</f>
        <v>115056</v>
      </c>
      <c r="C159" s="12">
        <f ca="1">IFERROR(__xludf.DUMMYFUNCTION("""COMPUTED_VALUE"""),37618)</f>
        <v>37618</v>
      </c>
      <c r="D159" s="12">
        <f ca="1">IFERROR(__xludf.DUMMYFUNCTION("""COMPUTED_VALUE"""),72050)</f>
        <v>72050</v>
      </c>
      <c r="E159" s="12">
        <f ca="1">IFERROR(__xludf.DUMMYFUNCTION("""COMPUTED_VALUE"""),5388)</f>
        <v>5388</v>
      </c>
      <c r="F159" s="12">
        <f ca="1">IFERROR(__xludf.DUMMYFUNCTION("""COMPUTED_VALUE"""),880)</f>
        <v>880</v>
      </c>
      <c r="G159" s="12">
        <f ca="1">IFERROR(__xludf.DUMMYFUNCTION("""COMPUTED_VALUE"""),14381)</f>
        <v>14381</v>
      </c>
      <c r="H159" s="12">
        <f ca="1">IFERROR(__xludf.DUMMYFUNCTION("""COMPUTED_VALUE"""),5216)</f>
        <v>5216</v>
      </c>
      <c r="I159" s="12">
        <f ca="1">IFERROR(__xludf.DUMMYFUNCTION("""COMPUTED_VALUE"""),2432)</f>
        <v>2432</v>
      </c>
      <c r="J159" s="12">
        <f ca="1">IFERROR(__xludf.DUMMYFUNCTION("""COMPUTED_VALUE"""),22909)</f>
        <v>22909</v>
      </c>
      <c r="K159" s="12">
        <f ca="1">IFERROR(__xludf.DUMMYFUNCTION("""COMPUTED_VALUE"""),7648)</f>
        <v>7648</v>
      </c>
      <c r="L159" s="12">
        <f ca="1">IFERROR(__xludf.DUMMYFUNCTION("""COMPUTED_VALUE"""),1922)</f>
        <v>1922</v>
      </c>
      <c r="M159" s="12">
        <f ca="1">IFERROR(__xludf.DUMMYFUNCTION("""COMPUTED_VALUE"""),23)</f>
        <v>23</v>
      </c>
      <c r="N159" s="12">
        <f ca="1">IFERROR(__xludf.DUMMYFUNCTION("""COMPUTED_VALUE"""),1813)</f>
        <v>1813</v>
      </c>
      <c r="O159" s="12">
        <f ca="1">IFERROR(__xludf.DUMMYFUNCTION("""COMPUTED_VALUE"""),86)</f>
        <v>86</v>
      </c>
      <c r="P159" s="12">
        <f ca="1">IFERROR(__xludf.DUMMYFUNCTION("""COMPUTED_VALUE"""),13)</f>
        <v>13</v>
      </c>
      <c r="Q159" s="12">
        <f ca="1">IFERROR(__xludf.DUMMYFUNCTION("""COMPUTED_VALUE"""),216)</f>
        <v>216</v>
      </c>
      <c r="R159" s="12">
        <f ca="1">IFERROR(__xludf.DUMMYFUNCTION("""COMPUTED_VALUE"""),132)</f>
        <v>132</v>
      </c>
      <c r="S159" s="12">
        <f ca="1">IFERROR(__xludf.DUMMYFUNCTION("""COMPUTED_VALUE"""),105)</f>
        <v>105</v>
      </c>
      <c r="T159" s="12">
        <f ca="1">IFERROR(__xludf.DUMMYFUNCTION("""COMPUTED_VALUE"""),466)</f>
        <v>466</v>
      </c>
      <c r="U159" s="12">
        <f ca="1">IFERROR(__xludf.DUMMYFUNCTION("""COMPUTED_VALUE"""),237)</f>
        <v>237</v>
      </c>
    </row>
    <row r="160" spans="1:21" x14ac:dyDescent="0.25">
      <c r="A160" s="11">
        <f ca="1">IFERROR(__xludf.DUMMYFUNCTION("""COMPUTED_VALUE"""),44048)</f>
        <v>44048</v>
      </c>
      <c r="B160" s="12">
        <f ca="1">IFERROR(__xludf.DUMMYFUNCTION("""COMPUTED_VALUE"""),116871)</f>
        <v>116871</v>
      </c>
      <c r="C160" s="12">
        <f ca="1">IFERROR(__xludf.DUMMYFUNCTION("""COMPUTED_VALUE"""),37530)</f>
        <v>37530</v>
      </c>
      <c r="D160" s="12">
        <f ca="1">IFERROR(__xludf.DUMMYFUNCTION("""COMPUTED_VALUE"""),73889)</f>
        <v>73889</v>
      </c>
      <c r="E160" s="12">
        <f ca="1">IFERROR(__xludf.DUMMYFUNCTION("""COMPUTED_VALUE"""),5452)</f>
        <v>5452</v>
      </c>
      <c r="F160" s="12">
        <f ca="1">IFERROR(__xludf.DUMMYFUNCTION("""COMPUTED_VALUE"""),895)</f>
        <v>895</v>
      </c>
      <c r="G160" s="12">
        <f ca="1">IFERROR(__xludf.DUMMYFUNCTION("""COMPUTED_VALUE"""),14760)</f>
        <v>14760</v>
      </c>
      <c r="H160" s="12">
        <f ca="1">IFERROR(__xludf.DUMMYFUNCTION("""COMPUTED_VALUE"""),5128)</f>
        <v>5128</v>
      </c>
      <c r="I160" s="12">
        <f ca="1">IFERROR(__xludf.DUMMYFUNCTION("""COMPUTED_VALUE"""),2483)</f>
        <v>2483</v>
      </c>
      <c r="J160" s="12">
        <f ca="1">IFERROR(__xludf.DUMMYFUNCTION("""COMPUTED_VALUE"""),23266)</f>
        <v>23266</v>
      </c>
      <c r="K160" s="12">
        <f ca="1">IFERROR(__xludf.DUMMYFUNCTION("""COMPUTED_VALUE"""),7611)</f>
        <v>7611</v>
      </c>
      <c r="L160" s="12">
        <f ca="1">IFERROR(__xludf.DUMMYFUNCTION("""COMPUTED_VALUE"""),1815)</f>
        <v>1815</v>
      </c>
      <c r="M160" s="12">
        <f ca="1">IFERROR(__xludf.DUMMYFUNCTION("""COMPUTED_VALUE"""),-88)</f>
        <v>-88</v>
      </c>
      <c r="N160" s="12">
        <f ca="1">IFERROR(__xludf.DUMMYFUNCTION("""COMPUTED_VALUE"""),1839)</f>
        <v>1839</v>
      </c>
      <c r="O160" s="12">
        <f ca="1">IFERROR(__xludf.DUMMYFUNCTION("""COMPUTED_VALUE"""),64)</f>
        <v>64</v>
      </c>
      <c r="P160" s="12">
        <f ca="1">IFERROR(__xludf.DUMMYFUNCTION("""COMPUTED_VALUE"""),15)</f>
        <v>15</v>
      </c>
      <c r="Q160" s="12">
        <f ca="1">IFERROR(__xludf.DUMMYFUNCTION("""COMPUTED_VALUE"""),379)</f>
        <v>379</v>
      </c>
      <c r="R160" s="12">
        <f ca="1">IFERROR(__xludf.DUMMYFUNCTION("""COMPUTED_VALUE"""),-88)</f>
        <v>-88</v>
      </c>
      <c r="S160" s="12">
        <f ca="1">IFERROR(__xludf.DUMMYFUNCTION("""COMPUTED_VALUE"""),51)</f>
        <v>51</v>
      </c>
      <c r="T160" s="12">
        <f ca="1">IFERROR(__xludf.DUMMYFUNCTION("""COMPUTED_VALUE"""),357)</f>
        <v>357</v>
      </c>
      <c r="U160" s="12">
        <f ca="1">IFERROR(__xludf.DUMMYFUNCTION("""COMPUTED_VALUE"""),-37)</f>
        <v>-37</v>
      </c>
    </row>
    <row r="161" spans="1:21" x14ac:dyDescent="0.25">
      <c r="A161" s="11">
        <f ca="1">IFERROR(__xludf.DUMMYFUNCTION("""COMPUTED_VALUE"""),44049)</f>
        <v>44049</v>
      </c>
      <c r="B161" s="12">
        <f ca="1">IFERROR(__xludf.DUMMYFUNCTION("""COMPUTED_VALUE"""),118753)</f>
        <v>118753</v>
      </c>
      <c r="C161" s="12">
        <f ca="1">IFERROR(__xludf.DUMMYFUNCTION("""COMPUTED_VALUE"""),37587)</f>
        <v>37587</v>
      </c>
      <c r="D161" s="12">
        <f ca="1">IFERROR(__xludf.DUMMYFUNCTION("""COMPUTED_VALUE"""),75645)</f>
        <v>75645</v>
      </c>
      <c r="E161" s="12">
        <f ca="1">IFERROR(__xludf.DUMMYFUNCTION("""COMPUTED_VALUE"""),5521)</f>
        <v>5521</v>
      </c>
      <c r="F161" s="12">
        <f ca="1">IFERROR(__xludf.DUMMYFUNCTION("""COMPUTED_VALUE"""),908)</f>
        <v>908</v>
      </c>
      <c r="G161" s="12">
        <f ca="1">IFERROR(__xludf.DUMMYFUNCTION("""COMPUTED_VALUE"""),15006)</f>
        <v>15006</v>
      </c>
      <c r="H161" s="12">
        <f ca="1">IFERROR(__xludf.DUMMYFUNCTION("""COMPUTED_VALUE"""),5397)</f>
        <v>5397</v>
      </c>
      <c r="I161" s="12">
        <f ca="1">IFERROR(__xludf.DUMMYFUNCTION("""COMPUTED_VALUE"""),2552)</f>
        <v>2552</v>
      </c>
      <c r="J161" s="12">
        <f ca="1">IFERROR(__xludf.DUMMYFUNCTION("""COMPUTED_VALUE"""),23863)</f>
        <v>23863</v>
      </c>
      <c r="K161" s="12">
        <f ca="1">IFERROR(__xludf.DUMMYFUNCTION("""COMPUTED_VALUE"""),7949)</f>
        <v>7949</v>
      </c>
      <c r="L161" s="12">
        <f ca="1">IFERROR(__xludf.DUMMYFUNCTION("""COMPUTED_VALUE"""),1882)</f>
        <v>1882</v>
      </c>
      <c r="M161" s="12">
        <f ca="1">IFERROR(__xludf.DUMMYFUNCTION("""COMPUTED_VALUE"""),57)</f>
        <v>57</v>
      </c>
      <c r="N161" s="12">
        <f ca="1">IFERROR(__xludf.DUMMYFUNCTION("""COMPUTED_VALUE"""),1756)</f>
        <v>1756</v>
      </c>
      <c r="O161" s="12">
        <f ca="1">IFERROR(__xludf.DUMMYFUNCTION("""COMPUTED_VALUE"""),69)</f>
        <v>69</v>
      </c>
      <c r="P161" s="12">
        <f ca="1">IFERROR(__xludf.DUMMYFUNCTION("""COMPUTED_VALUE"""),13)</f>
        <v>13</v>
      </c>
      <c r="Q161" s="12">
        <f ca="1">IFERROR(__xludf.DUMMYFUNCTION("""COMPUTED_VALUE"""),246)</f>
        <v>246</v>
      </c>
      <c r="R161" s="12">
        <f ca="1">IFERROR(__xludf.DUMMYFUNCTION("""COMPUTED_VALUE"""),269)</f>
        <v>269</v>
      </c>
      <c r="S161" s="12">
        <f ca="1">IFERROR(__xludf.DUMMYFUNCTION("""COMPUTED_VALUE"""),69)</f>
        <v>69</v>
      </c>
      <c r="T161" s="12">
        <f ca="1">IFERROR(__xludf.DUMMYFUNCTION("""COMPUTED_VALUE"""),597)</f>
        <v>597</v>
      </c>
      <c r="U161" s="12">
        <f ca="1">IFERROR(__xludf.DUMMYFUNCTION("""COMPUTED_VALUE"""),338)</f>
        <v>338</v>
      </c>
    </row>
    <row r="162" spans="1:21" x14ac:dyDescent="0.25">
      <c r="A162" s="11">
        <f ca="1">IFERROR(__xludf.DUMMYFUNCTION("""COMPUTED_VALUE"""),44050)</f>
        <v>44050</v>
      </c>
      <c r="B162" s="12">
        <f ca="1">IFERROR(__xludf.DUMMYFUNCTION("""COMPUTED_VALUE"""),121226)</f>
        <v>121226</v>
      </c>
      <c r="C162" s="12">
        <f ca="1">IFERROR(__xludf.DUMMYFUNCTION("""COMPUTED_VALUE"""),38076)</f>
        <v>38076</v>
      </c>
      <c r="D162" s="12">
        <f ca="1">IFERROR(__xludf.DUMMYFUNCTION("""COMPUTED_VALUE"""),77557)</f>
        <v>77557</v>
      </c>
      <c r="E162" s="12">
        <f ca="1">IFERROR(__xludf.DUMMYFUNCTION("""COMPUTED_VALUE"""),5593)</f>
        <v>5593</v>
      </c>
      <c r="F162" s="12">
        <f ca="1">IFERROR(__xludf.DUMMYFUNCTION("""COMPUTED_VALUE"""),922)</f>
        <v>922</v>
      </c>
      <c r="G162" s="12">
        <f ca="1">IFERROR(__xludf.DUMMYFUNCTION("""COMPUTED_VALUE"""),15201)</f>
        <v>15201</v>
      </c>
      <c r="H162" s="12">
        <f ca="1">IFERROR(__xludf.DUMMYFUNCTION("""COMPUTED_VALUE"""),5803)</f>
        <v>5803</v>
      </c>
      <c r="I162" s="12">
        <f ca="1">IFERROR(__xludf.DUMMYFUNCTION("""COMPUTED_VALUE"""),2595)</f>
        <v>2595</v>
      </c>
      <c r="J162" s="12">
        <f ca="1">IFERROR(__xludf.DUMMYFUNCTION("""COMPUTED_VALUE"""),24521)</f>
        <v>24521</v>
      </c>
      <c r="K162" s="12">
        <f ca="1">IFERROR(__xludf.DUMMYFUNCTION("""COMPUTED_VALUE"""),8398)</f>
        <v>8398</v>
      </c>
      <c r="L162" s="12">
        <f ca="1">IFERROR(__xludf.DUMMYFUNCTION("""COMPUTED_VALUE"""),2473)</f>
        <v>2473</v>
      </c>
      <c r="M162" s="12">
        <f ca="1">IFERROR(__xludf.DUMMYFUNCTION("""COMPUTED_VALUE"""),489)</f>
        <v>489</v>
      </c>
      <c r="N162" s="12">
        <f ca="1">IFERROR(__xludf.DUMMYFUNCTION("""COMPUTED_VALUE"""),1912)</f>
        <v>1912</v>
      </c>
      <c r="O162" s="12">
        <f ca="1">IFERROR(__xludf.DUMMYFUNCTION("""COMPUTED_VALUE"""),72)</f>
        <v>72</v>
      </c>
      <c r="P162" s="12">
        <f ca="1">IFERROR(__xludf.DUMMYFUNCTION("""COMPUTED_VALUE"""),14)</f>
        <v>14</v>
      </c>
      <c r="Q162" s="12">
        <f ca="1">IFERROR(__xludf.DUMMYFUNCTION("""COMPUTED_VALUE"""),195)</f>
        <v>195</v>
      </c>
      <c r="R162" s="12">
        <f ca="1">IFERROR(__xludf.DUMMYFUNCTION("""COMPUTED_VALUE"""),406)</f>
        <v>406</v>
      </c>
      <c r="S162" s="12">
        <f ca="1">IFERROR(__xludf.DUMMYFUNCTION("""COMPUTED_VALUE"""),43)</f>
        <v>43</v>
      </c>
      <c r="T162" s="12">
        <f ca="1">IFERROR(__xludf.DUMMYFUNCTION("""COMPUTED_VALUE"""),658)</f>
        <v>658</v>
      </c>
      <c r="U162" s="12">
        <f ca="1">IFERROR(__xludf.DUMMYFUNCTION("""COMPUTED_VALUE"""),449)</f>
        <v>449</v>
      </c>
    </row>
    <row r="163" spans="1:21" x14ac:dyDescent="0.25">
      <c r="A163" s="11">
        <f ca="1">IFERROR(__xludf.DUMMYFUNCTION("""COMPUTED_VALUE"""),44051)</f>
        <v>44051</v>
      </c>
      <c r="B163" s="12">
        <f ca="1">IFERROR(__xludf.DUMMYFUNCTION("""COMPUTED_VALUE"""),123503)</f>
        <v>123503</v>
      </c>
      <c r="C163" s="12">
        <f ca="1">IFERROR(__xludf.DUMMYFUNCTION("""COMPUTED_VALUE"""),38539)</f>
        <v>38539</v>
      </c>
      <c r="D163" s="12">
        <f ca="1">IFERROR(__xludf.DUMMYFUNCTION("""COMPUTED_VALUE"""),79306)</f>
        <v>79306</v>
      </c>
      <c r="E163" s="12">
        <f ca="1">IFERROR(__xludf.DUMMYFUNCTION("""COMPUTED_VALUE"""),5658)</f>
        <v>5658</v>
      </c>
      <c r="F163" s="12">
        <f ca="1">IFERROR(__xludf.DUMMYFUNCTION("""COMPUTED_VALUE"""),934)</f>
        <v>934</v>
      </c>
      <c r="G163" s="12">
        <f ca="1">IFERROR(__xludf.DUMMYFUNCTION("""COMPUTED_VALUE"""),15710)</f>
        <v>15710</v>
      </c>
      <c r="H163" s="12">
        <f ca="1">IFERROR(__xludf.DUMMYFUNCTION("""COMPUTED_VALUE"""),6110)</f>
        <v>6110</v>
      </c>
      <c r="I163" s="12">
        <f ca="1">IFERROR(__xludf.DUMMYFUNCTION("""COMPUTED_VALUE"""),2488)</f>
        <v>2488</v>
      </c>
      <c r="J163" s="12">
        <f ca="1">IFERROR(__xludf.DUMMYFUNCTION("""COMPUTED_VALUE"""),25242)</f>
        <v>25242</v>
      </c>
      <c r="K163" s="12">
        <f ca="1">IFERROR(__xludf.DUMMYFUNCTION("""COMPUTED_VALUE"""),8598)</f>
        <v>8598</v>
      </c>
      <c r="L163" s="12">
        <f ca="1">IFERROR(__xludf.DUMMYFUNCTION("""COMPUTED_VALUE"""),2277)</f>
        <v>2277</v>
      </c>
      <c r="M163" s="12">
        <f ca="1">IFERROR(__xludf.DUMMYFUNCTION("""COMPUTED_VALUE"""),463)</f>
        <v>463</v>
      </c>
      <c r="N163" s="12">
        <f ca="1">IFERROR(__xludf.DUMMYFUNCTION("""COMPUTED_VALUE"""),1749)</f>
        <v>1749</v>
      </c>
      <c r="O163" s="12">
        <f ca="1">IFERROR(__xludf.DUMMYFUNCTION("""COMPUTED_VALUE"""),65)</f>
        <v>65</v>
      </c>
      <c r="P163" s="12">
        <f ca="1">IFERROR(__xludf.DUMMYFUNCTION("""COMPUTED_VALUE"""),12)</f>
        <v>12</v>
      </c>
      <c r="Q163" s="12">
        <f ca="1">IFERROR(__xludf.DUMMYFUNCTION("""COMPUTED_VALUE"""),509)</f>
        <v>509</v>
      </c>
      <c r="R163" s="12">
        <f ca="1">IFERROR(__xludf.DUMMYFUNCTION("""COMPUTED_VALUE"""),307)</f>
        <v>307</v>
      </c>
      <c r="S163" s="12">
        <f ca="1">IFERROR(__xludf.DUMMYFUNCTION("""COMPUTED_VALUE"""),-107)</f>
        <v>-107</v>
      </c>
      <c r="T163" s="12">
        <f ca="1">IFERROR(__xludf.DUMMYFUNCTION("""COMPUTED_VALUE"""),721)</f>
        <v>721</v>
      </c>
      <c r="U163" s="12">
        <f ca="1">IFERROR(__xludf.DUMMYFUNCTION("""COMPUTED_VALUE"""),200)</f>
        <v>200</v>
      </c>
    </row>
    <row r="164" spans="1:21" x14ac:dyDescent="0.25">
      <c r="A164" s="11">
        <f ca="1">IFERROR(__xludf.DUMMYFUNCTION("""COMPUTED_VALUE"""),44052)</f>
        <v>44052</v>
      </c>
      <c r="B164" s="12">
        <f ca="1">IFERROR(__xludf.DUMMYFUNCTION("""COMPUTED_VALUE"""),125396)</f>
        <v>125396</v>
      </c>
      <c r="C164" s="12">
        <f ca="1">IFERROR(__xludf.DUMMYFUNCTION("""COMPUTED_VALUE"""),38721)</f>
        <v>38721</v>
      </c>
      <c r="D164" s="12">
        <f ca="1">IFERROR(__xludf.DUMMYFUNCTION("""COMPUTED_VALUE"""),80952)</f>
        <v>80952</v>
      </c>
      <c r="E164" s="12">
        <f ca="1">IFERROR(__xludf.DUMMYFUNCTION("""COMPUTED_VALUE"""),5723)</f>
        <v>5723</v>
      </c>
      <c r="F164" s="12">
        <f ca="1">IFERROR(__xludf.DUMMYFUNCTION("""COMPUTED_VALUE"""),939)</f>
        <v>939</v>
      </c>
      <c r="G164" s="12">
        <f ca="1">IFERROR(__xludf.DUMMYFUNCTION("""COMPUTED_VALUE"""),16268)</f>
        <v>16268</v>
      </c>
      <c r="H164" s="12">
        <f ca="1">IFERROR(__xludf.DUMMYFUNCTION("""COMPUTED_VALUE"""),6091)</f>
        <v>6091</v>
      </c>
      <c r="I164" s="12">
        <f ca="1">IFERROR(__xludf.DUMMYFUNCTION("""COMPUTED_VALUE"""),2416)</f>
        <v>2416</v>
      </c>
      <c r="J164" s="12">
        <f ca="1">IFERROR(__xludf.DUMMYFUNCTION("""COMPUTED_VALUE"""),25714)</f>
        <v>25714</v>
      </c>
      <c r="K164" s="12">
        <f ca="1">IFERROR(__xludf.DUMMYFUNCTION("""COMPUTED_VALUE"""),8507)</f>
        <v>8507</v>
      </c>
      <c r="L164" s="12">
        <f ca="1">IFERROR(__xludf.DUMMYFUNCTION("""COMPUTED_VALUE"""),1893)</f>
        <v>1893</v>
      </c>
      <c r="M164" s="12">
        <f ca="1">IFERROR(__xludf.DUMMYFUNCTION("""COMPUTED_VALUE"""),182)</f>
        <v>182</v>
      </c>
      <c r="N164" s="12">
        <f ca="1">IFERROR(__xludf.DUMMYFUNCTION("""COMPUTED_VALUE"""),1646)</f>
        <v>1646</v>
      </c>
      <c r="O164" s="12">
        <f ca="1">IFERROR(__xludf.DUMMYFUNCTION("""COMPUTED_VALUE"""),65)</f>
        <v>65</v>
      </c>
      <c r="P164" s="12">
        <f ca="1">IFERROR(__xludf.DUMMYFUNCTION("""COMPUTED_VALUE"""),5)</f>
        <v>5</v>
      </c>
      <c r="Q164" s="12">
        <f ca="1">IFERROR(__xludf.DUMMYFUNCTION("""COMPUTED_VALUE"""),558)</f>
        <v>558</v>
      </c>
      <c r="R164" s="12">
        <f ca="1">IFERROR(__xludf.DUMMYFUNCTION("""COMPUTED_VALUE"""),-19)</f>
        <v>-19</v>
      </c>
      <c r="S164" s="12">
        <f ca="1">IFERROR(__xludf.DUMMYFUNCTION("""COMPUTED_VALUE"""),-72)</f>
        <v>-72</v>
      </c>
      <c r="T164" s="12">
        <f ca="1">IFERROR(__xludf.DUMMYFUNCTION("""COMPUTED_VALUE"""),472)</f>
        <v>472</v>
      </c>
      <c r="U164" s="12">
        <f ca="1">IFERROR(__xludf.DUMMYFUNCTION("""COMPUTED_VALUE"""),-91)</f>
        <v>-91</v>
      </c>
    </row>
    <row r="165" spans="1:21" x14ac:dyDescent="0.25">
      <c r="A165" s="11">
        <f ca="1">IFERROR(__xludf.DUMMYFUNCTION("""COMPUTED_VALUE"""),44053)</f>
        <v>44053</v>
      </c>
      <c r="B165" s="12">
        <f ca="1">IFERROR(__xludf.DUMMYFUNCTION("""COMPUTED_VALUE"""),127083)</f>
        <v>127083</v>
      </c>
      <c r="C165" s="12">
        <f ca="1">IFERROR(__xludf.DUMMYFUNCTION("""COMPUTED_VALUE"""),39082)</f>
        <v>39082</v>
      </c>
      <c r="D165" s="12">
        <f ca="1">IFERROR(__xludf.DUMMYFUNCTION("""COMPUTED_VALUE"""),82236)</f>
        <v>82236</v>
      </c>
      <c r="E165" s="12">
        <f ca="1">IFERROR(__xludf.DUMMYFUNCTION("""COMPUTED_VALUE"""),5765)</f>
        <v>5765</v>
      </c>
      <c r="F165" s="12">
        <f ca="1">IFERROR(__xludf.DUMMYFUNCTION("""COMPUTED_VALUE"""),940)</f>
        <v>940</v>
      </c>
      <c r="G165" s="12">
        <f ca="1">IFERROR(__xludf.DUMMYFUNCTION("""COMPUTED_VALUE"""),16446)</f>
        <v>16446</v>
      </c>
      <c r="H165" s="12">
        <f ca="1">IFERROR(__xludf.DUMMYFUNCTION("""COMPUTED_VALUE"""),6252)</f>
        <v>6252</v>
      </c>
      <c r="I165" s="12">
        <f ca="1">IFERROR(__xludf.DUMMYFUNCTION("""COMPUTED_VALUE"""),2555)</f>
        <v>2555</v>
      </c>
      <c r="J165" s="12">
        <f ca="1">IFERROR(__xludf.DUMMYFUNCTION("""COMPUTED_VALUE"""),26193)</f>
        <v>26193</v>
      </c>
      <c r="K165" s="12">
        <f ca="1">IFERROR(__xludf.DUMMYFUNCTION("""COMPUTED_VALUE"""),8807)</f>
        <v>8807</v>
      </c>
      <c r="L165" s="12">
        <f ca="1">IFERROR(__xludf.DUMMYFUNCTION("""COMPUTED_VALUE"""),1687)</f>
        <v>1687</v>
      </c>
      <c r="M165" s="12">
        <f ca="1">IFERROR(__xludf.DUMMYFUNCTION("""COMPUTED_VALUE"""),361)</f>
        <v>361</v>
      </c>
      <c r="N165" s="12">
        <f ca="1">IFERROR(__xludf.DUMMYFUNCTION("""COMPUTED_VALUE"""),1284)</f>
        <v>1284</v>
      </c>
      <c r="O165" s="12">
        <f ca="1">IFERROR(__xludf.DUMMYFUNCTION("""COMPUTED_VALUE"""),42)</f>
        <v>42</v>
      </c>
      <c r="P165" s="12">
        <f ca="1">IFERROR(__xludf.DUMMYFUNCTION("""COMPUTED_VALUE"""),1)</f>
        <v>1</v>
      </c>
      <c r="Q165" s="12">
        <f ca="1">IFERROR(__xludf.DUMMYFUNCTION("""COMPUTED_VALUE"""),178)</f>
        <v>178</v>
      </c>
      <c r="R165" s="12">
        <f ca="1">IFERROR(__xludf.DUMMYFUNCTION("""COMPUTED_VALUE"""),161)</f>
        <v>161</v>
      </c>
      <c r="S165" s="12">
        <f ca="1">IFERROR(__xludf.DUMMYFUNCTION("""COMPUTED_VALUE"""),139)</f>
        <v>139</v>
      </c>
      <c r="T165" s="12">
        <f ca="1">IFERROR(__xludf.DUMMYFUNCTION("""COMPUTED_VALUE"""),479)</f>
        <v>479</v>
      </c>
      <c r="U165" s="12">
        <f ca="1">IFERROR(__xludf.DUMMYFUNCTION("""COMPUTED_VALUE"""),300)</f>
        <v>300</v>
      </c>
    </row>
    <row r="166" spans="1:21" x14ac:dyDescent="0.25">
      <c r="A166" s="11">
        <f ca="1">IFERROR(__xludf.DUMMYFUNCTION("""COMPUTED_VALUE"""),44054)</f>
        <v>44054</v>
      </c>
      <c r="B166" s="12">
        <f ca="1">IFERROR(__xludf.DUMMYFUNCTION("""COMPUTED_VALUE"""),128776)</f>
        <v>128776</v>
      </c>
      <c r="C166" s="12">
        <f ca="1">IFERROR(__xludf.DUMMYFUNCTION("""COMPUTED_VALUE"""),39242)</f>
        <v>39242</v>
      </c>
      <c r="D166" s="12">
        <f ca="1">IFERROR(__xludf.DUMMYFUNCTION("""COMPUTED_VALUE"""),83710)</f>
        <v>83710</v>
      </c>
      <c r="E166" s="12">
        <f ca="1">IFERROR(__xludf.DUMMYFUNCTION("""COMPUTED_VALUE"""),5824)</f>
        <v>5824</v>
      </c>
      <c r="F166" s="12">
        <f ca="1">IFERROR(__xludf.DUMMYFUNCTION("""COMPUTED_VALUE"""),953)</f>
        <v>953</v>
      </c>
      <c r="G166" s="12">
        <f ca="1">IFERROR(__xludf.DUMMYFUNCTION("""COMPUTED_VALUE"""),16927)</f>
        <v>16927</v>
      </c>
      <c r="H166" s="12">
        <f ca="1">IFERROR(__xludf.DUMMYFUNCTION("""COMPUTED_VALUE"""),6236)</f>
        <v>6236</v>
      </c>
      <c r="I166" s="12">
        <f ca="1">IFERROR(__xludf.DUMMYFUNCTION("""COMPUTED_VALUE"""),2548)</f>
        <v>2548</v>
      </c>
      <c r="J166" s="12">
        <f ca="1">IFERROR(__xludf.DUMMYFUNCTION("""COMPUTED_VALUE"""),26664)</f>
        <v>26664</v>
      </c>
      <c r="K166" s="12">
        <f ca="1">IFERROR(__xludf.DUMMYFUNCTION("""COMPUTED_VALUE"""),8784)</f>
        <v>8784</v>
      </c>
      <c r="L166" s="12">
        <f ca="1">IFERROR(__xludf.DUMMYFUNCTION("""COMPUTED_VALUE"""),1693)</f>
        <v>1693</v>
      </c>
      <c r="M166" s="12">
        <f ca="1">IFERROR(__xludf.DUMMYFUNCTION("""COMPUTED_VALUE"""),160)</f>
        <v>160</v>
      </c>
      <c r="N166" s="12">
        <f ca="1">IFERROR(__xludf.DUMMYFUNCTION("""COMPUTED_VALUE"""),1474)</f>
        <v>1474</v>
      </c>
      <c r="O166" s="12">
        <f ca="1">IFERROR(__xludf.DUMMYFUNCTION("""COMPUTED_VALUE"""),59)</f>
        <v>59</v>
      </c>
      <c r="P166" s="12">
        <f ca="1">IFERROR(__xludf.DUMMYFUNCTION("""COMPUTED_VALUE"""),13)</f>
        <v>13</v>
      </c>
      <c r="Q166" s="12">
        <f ca="1">IFERROR(__xludf.DUMMYFUNCTION("""COMPUTED_VALUE"""),481)</f>
        <v>481</v>
      </c>
      <c r="R166" s="12">
        <f ca="1">IFERROR(__xludf.DUMMYFUNCTION("""COMPUTED_VALUE"""),-16)</f>
        <v>-16</v>
      </c>
      <c r="S166" s="12">
        <f ca="1">IFERROR(__xludf.DUMMYFUNCTION("""COMPUTED_VALUE"""),-7)</f>
        <v>-7</v>
      </c>
      <c r="T166" s="12">
        <f ca="1">IFERROR(__xludf.DUMMYFUNCTION("""COMPUTED_VALUE"""),471)</f>
        <v>471</v>
      </c>
      <c r="U166" s="12">
        <f ca="1">IFERROR(__xludf.DUMMYFUNCTION("""COMPUTED_VALUE"""),-23)</f>
        <v>-23</v>
      </c>
    </row>
    <row r="167" spans="1:21" x14ac:dyDescent="0.25">
      <c r="A167" s="11">
        <f ca="1">IFERROR(__xludf.DUMMYFUNCTION("""COMPUTED_VALUE"""),44055)</f>
        <v>44055</v>
      </c>
      <c r="B167" s="12">
        <f ca="1">IFERROR(__xludf.DUMMYFUNCTION("""COMPUTED_VALUE"""),130718)</f>
        <v>130718</v>
      </c>
      <c r="C167" s="12">
        <f ca="1">IFERROR(__xludf.DUMMYFUNCTION("""COMPUTED_VALUE"""),39017)</f>
        <v>39017</v>
      </c>
      <c r="D167" s="12">
        <f ca="1">IFERROR(__xludf.DUMMYFUNCTION("""COMPUTED_VALUE"""),85798)</f>
        <v>85798</v>
      </c>
      <c r="E167" s="12">
        <f ca="1">IFERROR(__xludf.DUMMYFUNCTION("""COMPUTED_VALUE"""),5903)</f>
        <v>5903</v>
      </c>
      <c r="F167" s="12">
        <f ca="1">IFERROR(__xludf.DUMMYFUNCTION("""COMPUTED_VALUE"""),968)</f>
        <v>968</v>
      </c>
      <c r="G167" s="12">
        <f ca="1">IFERROR(__xludf.DUMMYFUNCTION("""COMPUTED_VALUE"""),17349)</f>
        <v>17349</v>
      </c>
      <c r="H167" s="12">
        <f ca="1">IFERROR(__xludf.DUMMYFUNCTION("""COMPUTED_VALUE"""),6208)</f>
        <v>6208</v>
      </c>
      <c r="I167" s="12">
        <f ca="1">IFERROR(__xludf.DUMMYFUNCTION("""COMPUTED_VALUE"""),2717)</f>
        <v>2717</v>
      </c>
      <c r="J167" s="12">
        <f ca="1">IFERROR(__xludf.DUMMYFUNCTION("""COMPUTED_VALUE"""),27242)</f>
        <v>27242</v>
      </c>
      <c r="K167" s="12">
        <f ca="1">IFERROR(__xludf.DUMMYFUNCTION("""COMPUTED_VALUE"""),8925)</f>
        <v>8925</v>
      </c>
      <c r="L167" s="12">
        <f ca="1">IFERROR(__xludf.DUMMYFUNCTION("""COMPUTED_VALUE"""),1942)</f>
        <v>1942</v>
      </c>
      <c r="M167" s="12">
        <f ca="1">IFERROR(__xludf.DUMMYFUNCTION("""COMPUTED_VALUE"""),-225)</f>
        <v>-225</v>
      </c>
      <c r="N167" s="12">
        <f ca="1">IFERROR(__xludf.DUMMYFUNCTION("""COMPUTED_VALUE"""),2088)</f>
        <v>2088</v>
      </c>
      <c r="O167" s="12">
        <f ca="1">IFERROR(__xludf.DUMMYFUNCTION("""COMPUTED_VALUE"""),79)</f>
        <v>79</v>
      </c>
      <c r="P167" s="12">
        <f ca="1">IFERROR(__xludf.DUMMYFUNCTION("""COMPUTED_VALUE"""),15)</f>
        <v>15</v>
      </c>
      <c r="Q167" s="12">
        <f ca="1">IFERROR(__xludf.DUMMYFUNCTION("""COMPUTED_VALUE"""),422)</f>
        <v>422</v>
      </c>
      <c r="R167" s="12">
        <f ca="1">IFERROR(__xludf.DUMMYFUNCTION("""COMPUTED_VALUE"""),-28)</f>
        <v>-28</v>
      </c>
      <c r="S167" s="12">
        <f ca="1">IFERROR(__xludf.DUMMYFUNCTION("""COMPUTED_VALUE"""),169)</f>
        <v>169</v>
      </c>
      <c r="T167" s="12">
        <f ca="1">IFERROR(__xludf.DUMMYFUNCTION("""COMPUTED_VALUE"""),578)</f>
        <v>578</v>
      </c>
      <c r="U167" s="12">
        <f ca="1">IFERROR(__xludf.DUMMYFUNCTION("""COMPUTED_VALUE"""),141)</f>
        <v>141</v>
      </c>
    </row>
    <row r="168" spans="1:21" x14ac:dyDescent="0.25">
      <c r="A168" s="11">
        <f ca="1">IFERROR(__xludf.DUMMYFUNCTION("""COMPUTED_VALUE"""),44056)</f>
        <v>44056</v>
      </c>
      <c r="B168" s="12">
        <f ca="1">IFERROR(__xludf.DUMMYFUNCTION("""COMPUTED_VALUE"""),132816)</f>
        <v>132816</v>
      </c>
      <c r="C168" s="12">
        <f ca="1">IFERROR(__xludf.DUMMYFUNCTION("""COMPUTED_VALUE"""),39290)</f>
        <v>39290</v>
      </c>
      <c r="D168" s="12">
        <f ca="1">IFERROR(__xludf.DUMMYFUNCTION("""COMPUTED_VALUE"""),87558)</f>
        <v>87558</v>
      </c>
      <c r="E168" s="12">
        <f ca="1">IFERROR(__xludf.DUMMYFUNCTION("""COMPUTED_VALUE"""),5968)</f>
        <v>5968</v>
      </c>
      <c r="F168" s="12">
        <f ca="1">IFERROR(__xludf.DUMMYFUNCTION("""COMPUTED_VALUE"""),981)</f>
        <v>981</v>
      </c>
      <c r="G168" s="12">
        <f ca="1">IFERROR(__xludf.DUMMYFUNCTION("""COMPUTED_VALUE"""),17838)</f>
        <v>17838</v>
      </c>
      <c r="H168" s="12">
        <f ca="1">IFERROR(__xludf.DUMMYFUNCTION("""COMPUTED_VALUE"""),6330)</f>
        <v>6330</v>
      </c>
      <c r="I168" s="12">
        <f ca="1">IFERROR(__xludf.DUMMYFUNCTION("""COMPUTED_VALUE"""),2714)</f>
        <v>2714</v>
      </c>
      <c r="J168" s="12">
        <f ca="1">IFERROR(__xludf.DUMMYFUNCTION("""COMPUTED_VALUE"""),27863)</f>
        <v>27863</v>
      </c>
      <c r="K168" s="12">
        <f ca="1">IFERROR(__xludf.DUMMYFUNCTION("""COMPUTED_VALUE"""),9044)</f>
        <v>9044</v>
      </c>
      <c r="L168" s="12">
        <f ca="1">IFERROR(__xludf.DUMMYFUNCTION("""COMPUTED_VALUE"""),2098)</f>
        <v>2098</v>
      </c>
      <c r="M168" s="12">
        <f ca="1">IFERROR(__xludf.DUMMYFUNCTION("""COMPUTED_VALUE"""),273)</f>
        <v>273</v>
      </c>
      <c r="N168" s="12">
        <f ca="1">IFERROR(__xludf.DUMMYFUNCTION("""COMPUTED_VALUE"""),1760)</f>
        <v>1760</v>
      </c>
      <c r="O168" s="12">
        <f ca="1">IFERROR(__xludf.DUMMYFUNCTION("""COMPUTED_VALUE"""),65)</f>
        <v>65</v>
      </c>
      <c r="P168" s="12">
        <f ca="1">IFERROR(__xludf.DUMMYFUNCTION("""COMPUTED_VALUE"""),13)</f>
        <v>13</v>
      </c>
      <c r="Q168" s="12">
        <f ca="1">IFERROR(__xludf.DUMMYFUNCTION("""COMPUTED_VALUE"""),489)</f>
        <v>489</v>
      </c>
      <c r="R168" s="12">
        <f ca="1">IFERROR(__xludf.DUMMYFUNCTION("""COMPUTED_VALUE"""),122)</f>
        <v>122</v>
      </c>
      <c r="S168" s="12">
        <f ca="1">IFERROR(__xludf.DUMMYFUNCTION("""COMPUTED_VALUE"""),-3)</f>
        <v>-3</v>
      </c>
      <c r="T168" s="12">
        <f ca="1">IFERROR(__xludf.DUMMYFUNCTION("""COMPUTED_VALUE"""),621)</f>
        <v>621</v>
      </c>
      <c r="U168" s="12">
        <f ca="1">IFERROR(__xludf.DUMMYFUNCTION("""COMPUTED_VALUE"""),119)</f>
        <v>119</v>
      </c>
    </row>
    <row r="169" spans="1:21" x14ac:dyDescent="0.25">
      <c r="A169" s="11">
        <f ca="1">IFERROR(__xludf.DUMMYFUNCTION("""COMPUTED_VALUE"""),44057)</f>
        <v>44057</v>
      </c>
      <c r="B169" s="12">
        <f ca="1">IFERROR(__xludf.DUMMYFUNCTION("""COMPUTED_VALUE"""),135123)</f>
        <v>135123</v>
      </c>
      <c r="C169" s="12">
        <f ca="1">IFERROR(__xludf.DUMMYFUNCTION("""COMPUTED_VALUE"""),39484)</f>
        <v>39484</v>
      </c>
      <c r="D169" s="12">
        <f ca="1">IFERROR(__xludf.DUMMYFUNCTION("""COMPUTED_VALUE"""),89618)</f>
        <v>89618</v>
      </c>
      <c r="E169" s="12">
        <f ca="1">IFERROR(__xludf.DUMMYFUNCTION("""COMPUTED_VALUE"""),6021)</f>
        <v>6021</v>
      </c>
      <c r="F169" s="12">
        <f ca="1">IFERROR(__xludf.DUMMYFUNCTION("""COMPUTED_VALUE"""),985)</f>
        <v>985</v>
      </c>
      <c r="G169" s="12">
        <f ca="1">IFERROR(__xludf.DUMMYFUNCTION("""COMPUTED_VALUE"""),18528)</f>
        <v>18528</v>
      </c>
      <c r="H169" s="12">
        <f ca="1">IFERROR(__xludf.DUMMYFUNCTION("""COMPUTED_VALUE"""),6331)</f>
        <v>6331</v>
      </c>
      <c r="I169" s="12">
        <f ca="1">IFERROR(__xludf.DUMMYFUNCTION("""COMPUTED_VALUE"""),2594)</f>
        <v>2594</v>
      </c>
      <c r="J169" s="12">
        <f ca="1">IFERROR(__xludf.DUMMYFUNCTION("""COMPUTED_VALUE"""),28438)</f>
        <v>28438</v>
      </c>
      <c r="K169" s="12">
        <f ca="1">IFERROR(__xludf.DUMMYFUNCTION("""COMPUTED_VALUE"""),8925)</f>
        <v>8925</v>
      </c>
      <c r="L169" s="12">
        <f ca="1">IFERROR(__xludf.DUMMYFUNCTION("""COMPUTED_VALUE"""),2307)</f>
        <v>2307</v>
      </c>
      <c r="M169" s="12">
        <f ca="1">IFERROR(__xludf.DUMMYFUNCTION("""COMPUTED_VALUE"""),194)</f>
        <v>194</v>
      </c>
      <c r="N169" s="12">
        <f ca="1">IFERROR(__xludf.DUMMYFUNCTION("""COMPUTED_VALUE"""),2060)</f>
        <v>2060</v>
      </c>
      <c r="O169" s="12">
        <f ca="1">IFERROR(__xludf.DUMMYFUNCTION("""COMPUTED_VALUE"""),53)</f>
        <v>53</v>
      </c>
      <c r="P169" s="12">
        <f ca="1">IFERROR(__xludf.DUMMYFUNCTION("""COMPUTED_VALUE"""),4)</f>
        <v>4</v>
      </c>
      <c r="Q169" s="12">
        <f ca="1">IFERROR(__xludf.DUMMYFUNCTION("""COMPUTED_VALUE"""),690)</f>
        <v>690</v>
      </c>
      <c r="R169" s="12">
        <f ca="1">IFERROR(__xludf.DUMMYFUNCTION("""COMPUTED_VALUE"""),1)</f>
        <v>1</v>
      </c>
      <c r="S169" s="12">
        <f ca="1">IFERROR(__xludf.DUMMYFUNCTION("""COMPUTED_VALUE"""),-120)</f>
        <v>-120</v>
      </c>
      <c r="T169" s="12">
        <f ca="1">IFERROR(__xludf.DUMMYFUNCTION("""COMPUTED_VALUE"""),575)</f>
        <v>575</v>
      </c>
      <c r="U169" s="12">
        <f ca="1">IFERROR(__xludf.DUMMYFUNCTION("""COMPUTED_VALUE"""),-119)</f>
        <v>-119</v>
      </c>
    </row>
    <row r="170" spans="1:21" x14ac:dyDescent="0.25">
      <c r="A170" s="11">
        <f ca="1">IFERROR(__xludf.DUMMYFUNCTION("""COMPUTED_VALUE"""),44058)</f>
        <v>44058</v>
      </c>
      <c r="B170" s="12">
        <f ca="1">IFERROR(__xludf.DUMMYFUNCTION("""COMPUTED_VALUE"""),137468)</f>
        <v>137468</v>
      </c>
      <c r="C170" s="12">
        <f ca="1">IFERROR(__xludf.DUMMYFUNCTION("""COMPUTED_VALUE"""),40076)</f>
        <v>40076</v>
      </c>
      <c r="D170" s="12">
        <f ca="1">IFERROR(__xludf.DUMMYFUNCTION("""COMPUTED_VALUE"""),91321)</f>
        <v>91321</v>
      </c>
      <c r="E170" s="12">
        <f ca="1">IFERROR(__xludf.DUMMYFUNCTION("""COMPUTED_VALUE"""),6071)</f>
        <v>6071</v>
      </c>
      <c r="F170" s="12">
        <f ca="1">IFERROR(__xludf.DUMMYFUNCTION("""COMPUTED_VALUE"""),991)</f>
        <v>991</v>
      </c>
      <c r="G170" s="12">
        <f ca="1">IFERROR(__xludf.DUMMYFUNCTION("""COMPUTED_VALUE"""),18974)</f>
        <v>18974</v>
      </c>
      <c r="H170" s="12">
        <f ca="1">IFERROR(__xludf.DUMMYFUNCTION("""COMPUTED_VALUE"""),6457)</f>
        <v>6457</v>
      </c>
      <c r="I170" s="12">
        <f ca="1">IFERROR(__xludf.DUMMYFUNCTION("""COMPUTED_VALUE"""),2614)</f>
        <v>2614</v>
      </c>
      <c r="J170" s="12">
        <f ca="1">IFERROR(__xludf.DUMMYFUNCTION("""COMPUTED_VALUE"""),29036)</f>
        <v>29036</v>
      </c>
      <c r="K170" s="12">
        <f ca="1">IFERROR(__xludf.DUMMYFUNCTION("""COMPUTED_VALUE"""),9071)</f>
        <v>9071</v>
      </c>
      <c r="L170" s="12">
        <f ca="1">IFERROR(__xludf.DUMMYFUNCTION("""COMPUTED_VALUE"""),2345)</f>
        <v>2345</v>
      </c>
      <c r="M170" s="12">
        <f ca="1">IFERROR(__xludf.DUMMYFUNCTION("""COMPUTED_VALUE"""),592)</f>
        <v>592</v>
      </c>
      <c r="N170" s="12">
        <f ca="1">IFERROR(__xludf.DUMMYFUNCTION("""COMPUTED_VALUE"""),1703)</f>
        <v>1703</v>
      </c>
      <c r="O170" s="12">
        <f ca="1">IFERROR(__xludf.DUMMYFUNCTION("""COMPUTED_VALUE"""),50)</f>
        <v>50</v>
      </c>
      <c r="P170" s="12">
        <f ca="1">IFERROR(__xludf.DUMMYFUNCTION("""COMPUTED_VALUE"""),6)</f>
        <v>6</v>
      </c>
      <c r="Q170" s="12">
        <f ca="1">IFERROR(__xludf.DUMMYFUNCTION("""COMPUTED_VALUE"""),446)</f>
        <v>446</v>
      </c>
      <c r="R170" s="12">
        <f ca="1">IFERROR(__xludf.DUMMYFUNCTION("""COMPUTED_VALUE"""),126)</f>
        <v>126</v>
      </c>
      <c r="S170" s="12">
        <f ca="1">IFERROR(__xludf.DUMMYFUNCTION("""COMPUTED_VALUE"""),20)</f>
        <v>20</v>
      </c>
      <c r="T170" s="12">
        <f ca="1">IFERROR(__xludf.DUMMYFUNCTION("""COMPUTED_VALUE"""),598)</f>
        <v>598</v>
      </c>
      <c r="U170" s="12">
        <f ca="1">IFERROR(__xludf.DUMMYFUNCTION("""COMPUTED_VALUE"""),146)</f>
        <v>146</v>
      </c>
    </row>
    <row r="171" spans="1:21" x14ac:dyDescent="0.25">
      <c r="A171" s="11">
        <f ca="1">IFERROR(__xludf.DUMMYFUNCTION("""COMPUTED_VALUE"""),44059)</f>
        <v>44059</v>
      </c>
      <c r="B171" s="12">
        <f ca="1">IFERROR(__xludf.DUMMYFUNCTION("""COMPUTED_VALUE"""),139549)</f>
        <v>139549</v>
      </c>
      <c r="C171" s="12">
        <f ca="1">IFERROR(__xludf.DUMMYFUNCTION("""COMPUTED_VALUE"""),40296)</f>
        <v>40296</v>
      </c>
      <c r="D171" s="12">
        <f ca="1">IFERROR(__xludf.DUMMYFUNCTION("""COMPUTED_VALUE"""),93103)</f>
        <v>93103</v>
      </c>
      <c r="E171" s="12">
        <f ca="1">IFERROR(__xludf.DUMMYFUNCTION("""COMPUTED_VALUE"""),6150)</f>
        <v>6150</v>
      </c>
      <c r="F171" s="12">
        <f ca="1">IFERROR(__xludf.DUMMYFUNCTION("""COMPUTED_VALUE"""),995)</f>
        <v>995</v>
      </c>
      <c r="G171" s="12">
        <f ca="1">IFERROR(__xludf.DUMMYFUNCTION("""COMPUTED_VALUE"""),19708)</f>
        <v>19708</v>
      </c>
      <c r="H171" s="12">
        <f ca="1">IFERROR(__xludf.DUMMYFUNCTION("""COMPUTED_VALUE"""),6284)</f>
        <v>6284</v>
      </c>
      <c r="I171" s="12">
        <f ca="1">IFERROR(__xludf.DUMMYFUNCTION("""COMPUTED_VALUE"""),2567)</f>
        <v>2567</v>
      </c>
      <c r="J171" s="12">
        <f ca="1">IFERROR(__xludf.DUMMYFUNCTION("""COMPUTED_VALUE"""),29554)</f>
        <v>29554</v>
      </c>
      <c r="K171" s="12">
        <f ca="1">IFERROR(__xludf.DUMMYFUNCTION("""COMPUTED_VALUE"""),8851)</f>
        <v>8851</v>
      </c>
      <c r="L171" s="12">
        <f ca="1">IFERROR(__xludf.DUMMYFUNCTION("""COMPUTED_VALUE"""),2081)</f>
        <v>2081</v>
      </c>
      <c r="M171" s="12">
        <f ca="1">IFERROR(__xludf.DUMMYFUNCTION("""COMPUTED_VALUE"""),220)</f>
        <v>220</v>
      </c>
      <c r="N171" s="12">
        <f ca="1">IFERROR(__xludf.DUMMYFUNCTION("""COMPUTED_VALUE"""),1782)</f>
        <v>1782</v>
      </c>
      <c r="O171" s="12">
        <f ca="1">IFERROR(__xludf.DUMMYFUNCTION("""COMPUTED_VALUE"""),79)</f>
        <v>79</v>
      </c>
      <c r="P171" s="12">
        <f ca="1">IFERROR(__xludf.DUMMYFUNCTION("""COMPUTED_VALUE"""),4)</f>
        <v>4</v>
      </c>
      <c r="Q171" s="12">
        <f ca="1">IFERROR(__xludf.DUMMYFUNCTION("""COMPUTED_VALUE"""),734)</f>
        <v>734</v>
      </c>
      <c r="R171" s="12">
        <f ca="1">IFERROR(__xludf.DUMMYFUNCTION("""COMPUTED_VALUE"""),-173)</f>
        <v>-173</v>
      </c>
      <c r="S171" s="12">
        <f ca="1">IFERROR(__xludf.DUMMYFUNCTION("""COMPUTED_VALUE"""),-47)</f>
        <v>-47</v>
      </c>
      <c r="T171" s="12">
        <f ca="1">IFERROR(__xludf.DUMMYFUNCTION("""COMPUTED_VALUE"""),518)</f>
        <v>518</v>
      </c>
      <c r="U171" s="12">
        <f ca="1">IFERROR(__xludf.DUMMYFUNCTION("""COMPUTED_VALUE"""),-220)</f>
        <v>-220</v>
      </c>
    </row>
    <row r="172" spans="1:21" x14ac:dyDescent="0.25">
      <c r="A172" s="11">
        <f ca="1">IFERROR(__xludf.DUMMYFUNCTION("""COMPUTED_VALUE"""),44060)</f>
        <v>44060</v>
      </c>
      <c r="B172" s="12">
        <f ca="1">IFERROR(__xludf.DUMMYFUNCTION("""COMPUTED_VALUE"""),141370)</f>
        <v>141370</v>
      </c>
      <c r="C172" s="12">
        <f ca="1">IFERROR(__xludf.DUMMYFUNCTION("""COMPUTED_VALUE"""),40705)</f>
        <v>40705</v>
      </c>
      <c r="D172" s="12">
        <f ca="1">IFERROR(__xludf.DUMMYFUNCTION("""COMPUTED_VALUE"""),94458)</f>
        <v>94458</v>
      </c>
      <c r="E172" s="12">
        <f ca="1">IFERROR(__xludf.DUMMYFUNCTION("""COMPUTED_VALUE"""),6207)</f>
        <v>6207</v>
      </c>
      <c r="F172" s="12">
        <f ca="1">IFERROR(__xludf.DUMMYFUNCTION("""COMPUTED_VALUE"""),1011)</f>
        <v>1011</v>
      </c>
      <c r="G172" s="12">
        <f ca="1">IFERROR(__xludf.DUMMYFUNCTION("""COMPUTED_VALUE"""),19916)</f>
        <v>19916</v>
      </c>
      <c r="H172" s="12">
        <f ca="1">IFERROR(__xludf.DUMMYFUNCTION("""COMPUTED_VALUE"""),6514)</f>
        <v>6514</v>
      </c>
      <c r="I172" s="12">
        <f ca="1">IFERROR(__xludf.DUMMYFUNCTION("""COMPUTED_VALUE"""),2651)</f>
        <v>2651</v>
      </c>
      <c r="J172" s="12">
        <f ca="1">IFERROR(__xludf.DUMMYFUNCTION("""COMPUTED_VALUE"""),30092)</f>
        <v>30092</v>
      </c>
      <c r="K172" s="12">
        <f ca="1">IFERROR(__xludf.DUMMYFUNCTION("""COMPUTED_VALUE"""),9165)</f>
        <v>9165</v>
      </c>
      <c r="L172" s="12">
        <f ca="1">IFERROR(__xludf.DUMMYFUNCTION("""COMPUTED_VALUE"""),1821)</f>
        <v>1821</v>
      </c>
      <c r="M172" s="12">
        <f ca="1">IFERROR(__xludf.DUMMYFUNCTION("""COMPUTED_VALUE"""),409)</f>
        <v>409</v>
      </c>
      <c r="N172" s="12">
        <f ca="1">IFERROR(__xludf.DUMMYFUNCTION("""COMPUTED_VALUE"""),1355)</f>
        <v>1355</v>
      </c>
      <c r="O172" s="12">
        <f ca="1">IFERROR(__xludf.DUMMYFUNCTION("""COMPUTED_VALUE"""),57)</f>
        <v>57</v>
      </c>
      <c r="P172" s="12">
        <f ca="1">IFERROR(__xludf.DUMMYFUNCTION("""COMPUTED_VALUE"""),16)</f>
        <v>16</v>
      </c>
      <c r="Q172" s="12">
        <f ca="1">IFERROR(__xludf.DUMMYFUNCTION("""COMPUTED_VALUE"""),208)</f>
        <v>208</v>
      </c>
      <c r="R172" s="12">
        <f ca="1">IFERROR(__xludf.DUMMYFUNCTION("""COMPUTED_VALUE"""),230)</f>
        <v>230</v>
      </c>
      <c r="S172" s="12">
        <f ca="1">IFERROR(__xludf.DUMMYFUNCTION("""COMPUTED_VALUE"""),84)</f>
        <v>84</v>
      </c>
      <c r="T172" s="12">
        <f ca="1">IFERROR(__xludf.DUMMYFUNCTION("""COMPUTED_VALUE"""),538)</f>
        <v>538</v>
      </c>
      <c r="U172" s="12">
        <f ca="1">IFERROR(__xludf.DUMMYFUNCTION("""COMPUTED_VALUE"""),314)</f>
        <v>314</v>
      </c>
    </row>
    <row r="173" spans="1:21" x14ac:dyDescent="0.25">
      <c r="A173" s="11">
        <f ca="1">IFERROR(__xludf.DUMMYFUNCTION("""COMPUTED_VALUE"""),44061)</f>
        <v>44061</v>
      </c>
      <c r="B173" s="12">
        <f ca="1">IFERROR(__xludf.DUMMYFUNCTION("""COMPUTED_VALUE"""),143043)</f>
        <v>143043</v>
      </c>
      <c r="C173" s="12">
        <f ca="1">IFERROR(__xludf.DUMMYFUNCTION("""COMPUTED_VALUE"""),40460)</f>
        <v>40460</v>
      </c>
      <c r="D173" s="12">
        <f ca="1">IFERROR(__xludf.DUMMYFUNCTION("""COMPUTED_VALUE"""),96306)</f>
        <v>96306</v>
      </c>
      <c r="E173" s="12">
        <f ca="1">IFERROR(__xludf.DUMMYFUNCTION("""COMPUTED_VALUE"""),6277)</f>
        <v>6277</v>
      </c>
      <c r="F173" s="12">
        <f ca="1">IFERROR(__xludf.DUMMYFUNCTION("""COMPUTED_VALUE"""),1028)</f>
        <v>1028</v>
      </c>
      <c r="G173" s="12">
        <f ca="1">IFERROR(__xludf.DUMMYFUNCTION("""COMPUTED_VALUE"""),20505)</f>
        <v>20505</v>
      </c>
      <c r="H173" s="12">
        <f ca="1">IFERROR(__xludf.DUMMYFUNCTION("""COMPUTED_VALUE"""),6602)</f>
        <v>6602</v>
      </c>
      <c r="I173" s="12">
        <f ca="1">IFERROR(__xludf.DUMMYFUNCTION("""COMPUTED_VALUE"""),2462)</f>
        <v>2462</v>
      </c>
      <c r="J173" s="12">
        <f ca="1">IFERROR(__xludf.DUMMYFUNCTION("""COMPUTED_VALUE"""),30597)</f>
        <v>30597</v>
      </c>
      <c r="K173" s="12">
        <f ca="1">IFERROR(__xludf.DUMMYFUNCTION("""COMPUTED_VALUE"""),9064)</f>
        <v>9064</v>
      </c>
      <c r="L173" s="12">
        <f ca="1">IFERROR(__xludf.DUMMYFUNCTION("""COMPUTED_VALUE"""),1673)</f>
        <v>1673</v>
      </c>
      <c r="M173" s="12">
        <f ca="1">IFERROR(__xludf.DUMMYFUNCTION("""COMPUTED_VALUE"""),-245)</f>
        <v>-245</v>
      </c>
      <c r="N173" s="12">
        <f ca="1">IFERROR(__xludf.DUMMYFUNCTION("""COMPUTED_VALUE"""),1848)</f>
        <v>1848</v>
      </c>
      <c r="O173" s="12">
        <f ca="1">IFERROR(__xludf.DUMMYFUNCTION("""COMPUTED_VALUE"""),70)</f>
        <v>70</v>
      </c>
      <c r="P173" s="12">
        <f ca="1">IFERROR(__xludf.DUMMYFUNCTION("""COMPUTED_VALUE"""),17)</f>
        <v>17</v>
      </c>
      <c r="Q173" s="12">
        <f ca="1">IFERROR(__xludf.DUMMYFUNCTION("""COMPUTED_VALUE"""),589)</f>
        <v>589</v>
      </c>
      <c r="R173" s="12">
        <f ca="1">IFERROR(__xludf.DUMMYFUNCTION("""COMPUTED_VALUE"""),88)</f>
        <v>88</v>
      </c>
      <c r="S173" s="12">
        <f ca="1">IFERROR(__xludf.DUMMYFUNCTION("""COMPUTED_VALUE"""),-189)</f>
        <v>-189</v>
      </c>
      <c r="T173" s="12">
        <f ca="1">IFERROR(__xludf.DUMMYFUNCTION("""COMPUTED_VALUE"""),505)</f>
        <v>505</v>
      </c>
      <c r="U173" s="12">
        <f ca="1">IFERROR(__xludf.DUMMYFUNCTION("""COMPUTED_VALUE"""),-101)</f>
        <v>-101</v>
      </c>
    </row>
    <row r="174" spans="1:21" x14ac:dyDescent="0.25">
      <c r="A174" s="11">
        <f ca="1">IFERROR(__xludf.DUMMYFUNCTION("""COMPUTED_VALUE"""),44062)</f>
        <v>44062</v>
      </c>
      <c r="B174" s="12">
        <f ca="1">IFERROR(__xludf.DUMMYFUNCTION("""COMPUTED_VALUE"""),144945)</f>
        <v>144945</v>
      </c>
      <c r="C174" s="12">
        <f ca="1">IFERROR(__xludf.DUMMYFUNCTION("""COMPUTED_VALUE"""),39942)</f>
        <v>39942</v>
      </c>
      <c r="D174" s="12">
        <f ca="1">IFERROR(__xludf.DUMMYFUNCTION("""COMPUTED_VALUE"""),98657)</f>
        <v>98657</v>
      </c>
      <c r="E174" s="12">
        <f ca="1">IFERROR(__xludf.DUMMYFUNCTION("""COMPUTED_VALUE"""),6346)</f>
        <v>6346</v>
      </c>
      <c r="F174" s="12">
        <f ca="1">IFERROR(__xludf.DUMMYFUNCTION("""COMPUTED_VALUE"""),1046)</f>
        <v>1046</v>
      </c>
      <c r="G174" s="12">
        <f ca="1">IFERROR(__xludf.DUMMYFUNCTION("""COMPUTED_VALUE"""),21069)</f>
        <v>21069</v>
      </c>
      <c r="H174" s="12">
        <f ca="1">IFERROR(__xludf.DUMMYFUNCTION("""COMPUTED_VALUE"""),6488)</f>
        <v>6488</v>
      </c>
      <c r="I174" s="12">
        <f ca="1">IFERROR(__xludf.DUMMYFUNCTION("""COMPUTED_VALUE"""),2559)</f>
        <v>2559</v>
      </c>
      <c r="J174" s="12">
        <f ca="1">IFERROR(__xludf.DUMMYFUNCTION("""COMPUTED_VALUE"""),31162)</f>
        <v>31162</v>
      </c>
      <c r="K174" s="12">
        <f ca="1">IFERROR(__xludf.DUMMYFUNCTION("""COMPUTED_VALUE"""),9047)</f>
        <v>9047</v>
      </c>
      <c r="L174" s="12">
        <f ca="1">IFERROR(__xludf.DUMMYFUNCTION("""COMPUTED_VALUE"""),1902)</f>
        <v>1902</v>
      </c>
      <c r="M174" s="12">
        <f ca="1">IFERROR(__xludf.DUMMYFUNCTION("""COMPUTED_VALUE"""),-518)</f>
        <v>-518</v>
      </c>
      <c r="N174" s="12">
        <f ca="1">IFERROR(__xludf.DUMMYFUNCTION("""COMPUTED_VALUE"""),2351)</f>
        <v>2351</v>
      </c>
      <c r="O174" s="12">
        <f ca="1">IFERROR(__xludf.DUMMYFUNCTION("""COMPUTED_VALUE"""),69)</f>
        <v>69</v>
      </c>
      <c r="P174" s="12">
        <f ca="1">IFERROR(__xludf.DUMMYFUNCTION("""COMPUTED_VALUE"""),18)</f>
        <v>18</v>
      </c>
      <c r="Q174" s="12">
        <f ca="1">IFERROR(__xludf.DUMMYFUNCTION("""COMPUTED_VALUE"""),564)</f>
        <v>564</v>
      </c>
      <c r="R174" s="12">
        <f ca="1">IFERROR(__xludf.DUMMYFUNCTION("""COMPUTED_VALUE"""),-114)</f>
        <v>-114</v>
      </c>
      <c r="S174" s="12">
        <f ca="1">IFERROR(__xludf.DUMMYFUNCTION("""COMPUTED_VALUE"""),97)</f>
        <v>97</v>
      </c>
      <c r="T174" s="12">
        <f ca="1">IFERROR(__xludf.DUMMYFUNCTION("""COMPUTED_VALUE"""),565)</f>
        <v>565</v>
      </c>
      <c r="U174" s="12">
        <f ca="1">IFERROR(__xludf.DUMMYFUNCTION("""COMPUTED_VALUE"""),-17)</f>
        <v>-17</v>
      </c>
    </row>
    <row r="175" spans="1:21" x14ac:dyDescent="0.25">
      <c r="A175" s="11">
        <f ca="1">IFERROR(__xludf.DUMMYFUNCTION("""COMPUTED_VALUE"""),44063)</f>
        <v>44063</v>
      </c>
      <c r="B175" s="12">
        <f ca="1">IFERROR(__xludf.DUMMYFUNCTION("""COMPUTED_VALUE"""),147211)</f>
        <v>147211</v>
      </c>
      <c r="C175" s="12">
        <f ca="1">IFERROR(__xludf.DUMMYFUNCTION("""COMPUTED_VALUE"""),40119)</f>
        <v>40119</v>
      </c>
      <c r="D175" s="12">
        <f ca="1">IFERROR(__xludf.DUMMYFUNCTION("""COMPUTED_VALUE"""),100674)</f>
        <v>100674</v>
      </c>
      <c r="E175" s="12">
        <f ca="1">IFERROR(__xludf.DUMMYFUNCTION("""COMPUTED_VALUE"""),6418)</f>
        <v>6418</v>
      </c>
      <c r="F175" s="12">
        <f ca="1">IFERROR(__xludf.DUMMYFUNCTION("""COMPUTED_VALUE"""),1061)</f>
        <v>1061</v>
      </c>
      <c r="G175" s="12">
        <f ca="1">IFERROR(__xludf.DUMMYFUNCTION("""COMPUTED_VALUE"""),21795)</f>
        <v>21795</v>
      </c>
      <c r="H175" s="12">
        <f ca="1">IFERROR(__xludf.DUMMYFUNCTION("""COMPUTED_VALUE"""),6357)</f>
        <v>6357</v>
      </c>
      <c r="I175" s="12">
        <f ca="1">IFERROR(__xludf.DUMMYFUNCTION("""COMPUTED_VALUE"""),2544)</f>
        <v>2544</v>
      </c>
      <c r="J175" s="12">
        <f ca="1">IFERROR(__xludf.DUMMYFUNCTION("""COMPUTED_VALUE"""),31757)</f>
        <v>31757</v>
      </c>
      <c r="K175" s="12">
        <f ca="1">IFERROR(__xludf.DUMMYFUNCTION("""COMPUTED_VALUE"""),8901)</f>
        <v>8901</v>
      </c>
      <c r="L175" s="12">
        <f ca="1">IFERROR(__xludf.DUMMYFUNCTION("""COMPUTED_VALUE"""),2266)</f>
        <v>2266</v>
      </c>
      <c r="M175" s="12">
        <f ca="1">IFERROR(__xludf.DUMMYFUNCTION("""COMPUTED_VALUE"""),177)</f>
        <v>177</v>
      </c>
      <c r="N175" s="12">
        <f ca="1">IFERROR(__xludf.DUMMYFUNCTION("""COMPUTED_VALUE"""),2017)</f>
        <v>2017</v>
      </c>
      <c r="O175" s="12">
        <f ca="1">IFERROR(__xludf.DUMMYFUNCTION("""COMPUTED_VALUE"""),72)</f>
        <v>72</v>
      </c>
      <c r="P175" s="12">
        <f ca="1">IFERROR(__xludf.DUMMYFUNCTION("""COMPUTED_VALUE"""),15)</f>
        <v>15</v>
      </c>
      <c r="Q175" s="12">
        <f ca="1">IFERROR(__xludf.DUMMYFUNCTION("""COMPUTED_VALUE"""),726)</f>
        <v>726</v>
      </c>
      <c r="R175" s="12">
        <f ca="1">IFERROR(__xludf.DUMMYFUNCTION("""COMPUTED_VALUE"""),-131)</f>
        <v>-131</v>
      </c>
      <c r="S175" s="12">
        <f ca="1">IFERROR(__xludf.DUMMYFUNCTION("""COMPUTED_VALUE"""),-15)</f>
        <v>-15</v>
      </c>
      <c r="T175" s="12">
        <f ca="1">IFERROR(__xludf.DUMMYFUNCTION("""COMPUTED_VALUE"""),595)</f>
        <v>595</v>
      </c>
      <c r="U175" s="12">
        <f ca="1">IFERROR(__xludf.DUMMYFUNCTION("""COMPUTED_VALUE"""),-146)</f>
        <v>-146</v>
      </c>
    </row>
    <row r="176" spans="1:21" x14ac:dyDescent="0.25">
      <c r="A176" s="11">
        <f ca="1">IFERROR(__xludf.DUMMYFUNCTION("""COMPUTED_VALUE"""),44064)</f>
        <v>44064</v>
      </c>
      <c r="B176" s="12">
        <f ca="1">IFERROR(__xludf.DUMMYFUNCTION("""COMPUTED_VALUE"""),149408)</f>
        <v>149408</v>
      </c>
      <c r="C176" s="12">
        <f ca="1">IFERROR(__xludf.DUMMYFUNCTION("""COMPUTED_VALUE"""),39917)</f>
        <v>39917</v>
      </c>
      <c r="D176" s="12">
        <f ca="1">IFERROR(__xludf.DUMMYFUNCTION("""COMPUTED_VALUE"""),102991)</f>
        <v>102991</v>
      </c>
      <c r="E176" s="12">
        <f ca="1">IFERROR(__xludf.DUMMYFUNCTION("""COMPUTED_VALUE"""),6500)</f>
        <v>6500</v>
      </c>
      <c r="F176" s="12">
        <f ca="1">IFERROR(__xludf.DUMMYFUNCTION("""COMPUTED_VALUE"""),1076)</f>
        <v>1076</v>
      </c>
      <c r="G176" s="12">
        <f ca="1">IFERROR(__xludf.DUMMYFUNCTION("""COMPUTED_VALUE"""),22228)</f>
        <v>22228</v>
      </c>
      <c r="H176" s="12">
        <f ca="1">IFERROR(__xludf.DUMMYFUNCTION("""COMPUTED_VALUE"""),6518)</f>
        <v>6518</v>
      </c>
      <c r="I176" s="12">
        <f ca="1">IFERROR(__xludf.DUMMYFUNCTION("""COMPUTED_VALUE"""),2576)</f>
        <v>2576</v>
      </c>
      <c r="J176" s="12">
        <f ca="1">IFERROR(__xludf.DUMMYFUNCTION("""COMPUTED_VALUE"""),32398)</f>
        <v>32398</v>
      </c>
      <c r="K176" s="12">
        <f ca="1">IFERROR(__xludf.DUMMYFUNCTION("""COMPUTED_VALUE"""),9094)</f>
        <v>9094</v>
      </c>
      <c r="L176" s="12">
        <f ca="1">IFERROR(__xludf.DUMMYFUNCTION("""COMPUTED_VALUE"""),2197)</f>
        <v>2197</v>
      </c>
      <c r="M176" s="12">
        <f ca="1">IFERROR(__xludf.DUMMYFUNCTION("""COMPUTED_VALUE"""),-202)</f>
        <v>-202</v>
      </c>
      <c r="N176" s="12">
        <f ca="1">IFERROR(__xludf.DUMMYFUNCTION("""COMPUTED_VALUE"""),2317)</f>
        <v>2317</v>
      </c>
      <c r="O176" s="12">
        <f ca="1">IFERROR(__xludf.DUMMYFUNCTION("""COMPUTED_VALUE"""),82)</f>
        <v>82</v>
      </c>
      <c r="P176" s="12">
        <f ca="1">IFERROR(__xludf.DUMMYFUNCTION("""COMPUTED_VALUE"""),15)</f>
        <v>15</v>
      </c>
      <c r="Q176" s="12">
        <f ca="1">IFERROR(__xludf.DUMMYFUNCTION("""COMPUTED_VALUE"""),433)</f>
        <v>433</v>
      </c>
      <c r="R176" s="12">
        <f ca="1">IFERROR(__xludf.DUMMYFUNCTION("""COMPUTED_VALUE"""),161)</f>
        <v>161</v>
      </c>
      <c r="S176" s="12">
        <f ca="1">IFERROR(__xludf.DUMMYFUNCTION("""COMPUTED_VALUE"""),32)</f>
        <v>32</v>
      </c>
      <c r="T176" s="12">
        <f ca="1">IFERROR(__xludf.DUMMYFUNCTION("""COMPUTED_VALUE"""),641)</f>
        <v>641</v>
      </c>
      <c r="U176" s="12">
        <f ca="1">IFERROR(__xludf.DUMMYFUNCTION("""COMPUTED_VALUE"""),193)</f>
        <v>193</v>
      </c>
    </row>
    <row r="177" spans="1:21" x14ac:dyDescent="0.25">
      <c r="A177" s="11">
        <f ca="1">IFERROR(__xludf.DUMMYFUNCTION("""COMPUTED_VALUE"""),44065)</f>
        <v>44065</v>
      </c>
      <c r="B177" s="12">
        <f ca="1">IFERROR(__xludf.DUMMYFUNCTION("""COMPUTED_VALUE"""),151498)</f>
        <v>151498</v>
      </c>
      <c r="C177" s="12">
        <f ca="1">IFERROR(__xludf.DUMMYFUNCTION("""COMPUTED_VALUE"""),39706)</f>
        <v>39706</v>
      </c>
      <c r="D177" s="12">
        <f ca="1">IFERROR(__xludf.DUMMYFUNCTION("""COMPUTED_VALUE"""),105198)</f>
        <v>105198</v>
      </c>
      <c r="E177" s="12">
        <f ca="1">IFERROR(__xludf.DUMMYFUNCTION("""COMPUTED_VALUE"""),6594)</f>
        <v>6594</v>
      </c>
      <c r="F177" s="12">
        <f ca="1">IFERROR(__xludf.DUMMYFUNCTION("""COMPUTED_VALUE"""),1091)</f>
        <v>1091</v>
      </c>
      <c r="G177" s="12">
        <f ca="1">IFERROR(__xludf.DUMMYFUNCTION("""COMPUTED_VALUE"""),22877)</f>
        <v>22877</v>
      </c>
      <c r="H177" s="12">
        <f ca="1">IFERROR(__xludf.DUMMYFUNCTION("""COMPUTED_VALUE"""),6269)</f>
        <v>6269</v>
      </c>
      <c r="I177" s="12">
        <f ca="1">IFERROR(__xludf.DUMMYFUNCTION("""COMPUTED_VALUE"""),2762)</f>
        <v>2762</v>
      </c>
      <c r="J177" s="12">
        <f ca="1">IFERROR(__xludf.DUMMYFUNCTION("""COMPUTED_VALUE"""),32999)</f>
        <v>32999</v>
      </c>
      <c r="K177" s="12">
        <f ca="1">IFERROR(__xludf.DUMMYFUNCTION("""COMPUTED_VALUE"""),9031)</f>
        <v>9031</v>
      </c>
      <c r="L177" s="12">
        <f ca="1">IFERROR(__xludf.DUMMYFUNCTION("""COMPUTED_VALUE"""),2090)</f>
        <v>2090</v>
      </c>
      <c r="M177" s="12">
        <f ca="1">IFERROR(__xludf.DUMMYFUNCTION("""COMPUTED_VALUE"""),-211)</f>
        <v>-211</v>
      </c>
      <c r="N177" s="12">
        <f ca="1">IFERROR(__xludf.DUMMYFUNCTION("""COMPUTED_VALUE"""),2207)</f>
        <v>2207</v>
      </c>
      <c r="O177" s="12">
        <f ca="1">IFERROR(__xludf.DUMMYFUNCTION("""COMPUTED_VALUE"""),94)</f>
        <v>94</v>
      </c>
      <c r="P177" s="12">
        <f ca="1">IFERROR(__xludf.DUMMYFUNCTION("""COMPUTED_VALUE"""),15)</f>
        <v>15</v>
      </c>
      <c r="Q177" s="12">
        <f ca="1">IFERROR(__xludf.DUMMYFUNCTION("""COMPUTED_VALUE"""),649)</f>
        <v>649</v>
      </c>
      <c r="R177" s="12">
        <f ca="1">IFERROR(__xludf.DUMMYFUNCTION("""COMPUTED_VALUE"""),-249)</f>
        <v>-249</v>
      </c>
      <c r="S177" s="12">
        <f ca="1">IFERROR(__xludf.DUMMYFUNCTION("""COMPUTED_VALUE"""),186)</f>
        <v>186</v>
      </c>
      <c r="T177" s="12">
        <f ca="1">IFERROR(__xludf.DUMMYFUNCTION("""COMPUTED_VALUE"""),601)</f>
        <v>601</v>
      </c>
      <c r="U177" s="12">
        <f ca="1">IFERROR(__xludf.DUMMYFUNCTION("""COMPUTED_VALUE"""),-63)</f>
        <v>-63</v>
      </c>
    </row>
    <row r="178" spans="1:21" x14ac:dyDescent="0.25">
      <c r="A178" s="11">
        <f ca="1">IFERROR(__xludf.DUMMYFUNCTION("""COMPUTED_VALUE"""),44066)</f>
        <v>44066</v>
      </c>
      <c r="B178" s="12">
        <f ca="1">IFERROR(__xludf.DUMMYFUNCTION("""COMPUTED_VALUE"""),153535)</f>
        <v>153535</v>
      </c>
      <c r="C178" s="12">
        <f ca="1">IFERROR(__xludf.DUMMYFUNCTION("""COMPUTED_VALUE"""),39355)</f>
        <v>39355</v>
      </c>
      <c r="D178" s="12">
        <f ca="1">IFERROR(__xludf.DUMMYFUNCTION("""COMPUTED_VALUE"""),107500)</f>
        <v>107500</v>
      </c>
      <c r="E178" s="12">
        <f ca="1">IFERROR(__xludf.DUMMYFUNCTION("""COMPUTED_VALUE"""),6680)</f>
        <v>6680</v>
      </c>
      <c r="F178" s="12">
        <f ca="1">IFERROR(__xludf.DUMMYFUNCTION("""COMPUTED_VALUE"""),1107)</f>
        <v>1107</v>
      </c>
      <c r="G178" s="12">
        <f ca="1">IFERROR(__xludf.DUMMYFUNCTION("""COMPUTED_VALUE"""),23567)</f>
        <v>23567</v>
      </c>
      <c r="H178" s="12">
        <f ca="1">IFERROR(__xludf.DUMMYFUNCTION("""COMPUTED_VALUE"""),6040)</f>
        <v>6040</v>
      </c>
      <c r="I178" s="12">
        <f ca="1">IFERROR(__xludf.DUMMYFUNCTION("""COMPUTED_VALUE"""),2922)</f>
        <v>2922</v>
      </c>
      <c r="J178" s="12">
        <f ca="1">IFERROR(__xludf.DUMMYFUNCTION("""COMPUTED_VALUE"""),33636)</f>
        <v>33636</v>
      </c>
      <c r="K178" s="12">
        <f ca="1">IFERROR(__xludf.DUMMYFUNCTION("""COMPUTED_VALUE"""),8962)</f>
        <v>8962</v>
      </c>
      <c r="L178" s="12">
        <f ca="1">IFERROR(__xludf.DUMMYFUNCTION("""COMPUTED_VALUE"""),2037)</f>
        <v>2037</v>
      </c>
      <c r="M178" s="12">
        <f ca="1">IFERROR(__xludf.DUMMYFUNCTION("""COMPUTED_VALUE"""),-351)</f>
        <v>-351</v>
      </c>
      <c r="N178" s="12">
        <f ca="1">IFERROR(__xludf.DUMMYFUNCTION("""COMPUTED_VALUE"""),2302)</f>
        <v>2302</v>
      </c>
      <c r="O178" s="12">
        <f ca="1">IFERROR(__xludf.DUMMYFUNCTION("""COMPUTED_VALUE"""),86)</f>
        <v>86</v>
      </c>
      <c r="P178" s="12">
        <f ca="1">IFERROR(__xludf.DUMMYFUNCTION("""COMPUTED_VALUE"""),16)</f>
        <v>16</v>
      </c>
      <c r="Q178" s="12">
        <f ca="1">IFERROR(__xludf.DUMMYFUNCTION("""COMPUTED_VALUE"""),690)</f>
        <v>690</v>
      </c>
      <c r="R178" s="12">
        <f ca="1">IFERROR(__xludf.DUMMYFUNCTION("""COMPUTED_VALUE"""),-229)</f>
        <v>-229</v>
      </c>
      <c r="S178" s="12">
        <f ca="1">IFERROR(__xludf.DUMMYFUNCTION("""COMPUTED_VALUE"""),160)</f>
        <v>160</v>
      </c>
      <c r="T178" s="12">
        <f ca="1">IFERROR(__xludf.DUMMYFUNCTION("""COMPUTED_VALUE"""),637)</f>
        <v>637</v>
      </c>
      <c r="U178" s="12">
        <f ca="1">IFERROR(__xludf.DUMMYFUNCTION("""COMPUTED_VALUE"""),-69)</f>
        <v>-69</v>
      </c>
    </row>
    <row r="179" spans="1:21" x14ac:dyDescent="0.25">
      <c r="A179" s="11">
        <f ca="1">IFERROR(__xludf.DUMMYFUNCTION("""COMPUTED_VALUE"""),44067)</f>
        <v>44067</v>
      </c>
      <c r="B179" s="12">
        <f ca="1">IFERROR(__xludf.DUMMYFUNCTION("""COMPUTED_VALUE"""),155412)</f>
        <v>155412</v>
      </c>
      <c r="C179" s="12">
        <f ca="1">IFERROR(__xludf.DUMMYFUNCTION("""COMPUTED_VALUE"""),37593)</f>
        <v>37593</v>
      </c>
      <c r="D179" s="12">
        <f ca="1">IFERROR(__xludf.DUMMYFUNCTION("""COMPUTED_VALUE"""),111060)</f>
        <v>111060</v>
      </c>
      <c r="E179" s="12">
        <f ca="1">IFERROR(__xludf.DUMMYFUNCTION("""COMPUTED_VALUE"""),6759)</f>
        <v>6759</v>
      </c>
      <c r="F179" s="12">
        <f ca="1">IFERROR(__xludf.DUMMYFUNCTION("""COMPUTED_VALUE"""),1112)</f>
        <v>1112</v>
      </c>
      <c r="G179" s="12">
        <f ca="1">IFERROR(__xludf.DUMMYFUNCTION("""COMPUTED_VALUE"""),25463)</f>
        <v>25463</v>
      </c>
      <c r="H179" s="12">
        <f ca="1">IFERROR(__xludf.DUMMYFUNCTION("""COMPUTED_VALUE"""),5090)</f>
        <v>5090</v>
      </c>
      <c r="I179" s="12">
        <f ca="1">IFERROR(__xludf.DUMMYFUNCTION("""COMPUTED_VALUE"""),2630)</f>
        <v>2630</v>
      </c>
      <c r="J179" s="12">
        <f ca="1">IFERROR(__xludf.DUMMYFUNCTION("""COMPUTED_VALUE"""),34295)</f>
        <v>34295</v>
      </c>
      <c r="K179" s="12">
        <f ca="1">IFERROR(__xludf.DUMMYFUNCTION("""COMPUTED_VALUE"""),7720)</f>
        <v>7720</v>
      </c>
      <c r="L179" s="12">
        <f ca="1">IFERROR(__xludf.DUMMYFUNCTION("""COMPUTED_VALUE"""),1877)</f>
        <v>1877</v>
      </c>
      <c r="M179" s="12">
        <f ca="1">IFERROR(__xludf.DUMMYFUNCTION("""COMPUTED_VALUE"""),-1762)</f>
        <v>-1762</v>
      </c>
      <c r="N179" s="12">
        <f ca="1">IFERROR(__xludf.DUMMYFUNCTION("""COMPUTED_VALUE"""),3560)</f>
        <v>3560</v>
      </c>
      <c r="O179" s="12">
        <f ca="1">IFERROR(__xludf.DUMMYFUNCTION("""COMPUTED_VALUE"""),79)</f>
        <v>79</v>
      </c>
      <c r="P179" s="12">
        <f ca="1">IFERROR(__xludf.DUMMYFUNCTION("""COMPUTED_VALUE"""),5)</f>
        <v>5</v>
      </c>
      <c r="Q179" s="12">
        <f ca="1">IFERROR(__xludf.DUMMYFUNCTION("""COMPUTED_VALUE"""),1896)</f>
        <v>1896</v>
      </c>
      <c r="R179" s="12">
        <f ca="1">IFERROR(__xludf.DUMMYFUNCTION("""COMPUTED_VALUE"""),-950)</f>
        <v>-950</v>
      </c>
      <c r="S179" s="12">
        <f ca="1">IFERROR(__xludf.DUMMYFUNCTION("""COMPUTED_VALUE"""),-292)</f>
        <v>-292</v>
      </c>
      <c r="T179" s="12">
        <f ca="1">IFERROR(__xludf.DUMMYFUNCTION("""COMPUTED_VALUE"""),659)</f>
        <v>659</v>
      </c>
      <c r="U179" s="12">
        <f ca="1">IFERROR(__xludf.DUMMYFUNCTION("""COMPUTED_VALUE"""),-1242)</f>
        <v>-1242</v>
      </c>
    </row>
    <row r="180" spans="1:21" x14ac:dyDescent="0.25">
      <c r="A180" s="11">
        <f ca="1">IFERROR(__xludf.DUMMYFUNCTION("""COMPUTED_VALUE"""),44068)</f>
        <v>44068</v>
      </c>
      <c r="B180" s="12">
        <f ca="1">IFERROR(__xludf.DUMMYFUNCTION("""COMPUTED_VALUE"""),157859)</f>
        <v>157859</v>
      </c>
      <c r="C180" s="12">
        <f ca="1">IFERROR(__xludf.DUMMYFUNCTION("""COMPUTED_VALUE"""),38134)</f>
        <v>38134</v>
      </c>
      <c r="D180" s="12">
        <f ca="1">IFERROR(__xludf.DUMMYFUNCTION("""COMPUTED_VALUE"""),112867)</f>
        <v>112867</v>
      </c>
      <c r="E180" s="12">
        <f ca="1">IFERROR(__xludf.DUMMYFUNCTION("""COMPUTED_VALUE"""),6858)</f>
        <v>6858</v>
      </c>
      <c r="F180" s="12">
        <f ca="1">IFERROR(__xludf.DUMMYFUNCTION("""COMPUTED_VALUE"""),1129)</f>
        <v>1129</v>
      </c>
      <c r="G180" s="12">
        <f ca="1">IFERROR(__xludf.DUMMYFUNCTION("""COMPUTED_VALUE"""),25986)</f>
        <v>25986</v>
      </c>
      <c r="H180" s="12">
        <f ca="1">IFERROR(__xludf.DUMMYFUNCTION("""COMPUTED_VALUE"""),5130)</f>
        <v>5130</v>
      </c>
      <c r="I180" s="12">
        <f ca="1">IFERROR(__xludf.DUMMYFUNCTION("""COMPUTED_VALUE"""),2686)</f>
        <v>2686</v>
      </c>
      <c r="J180" s="12">
        <f ca="1">IFERROR(__xludf.DUMMYFUNCTION("""COMPUTED_VALUE"""),34931)</f>
        <v>34931</v>
      </c>
      <c r="K180" s="12">
        <f ca="1">IFERROR(__xludf.DUMMYFUNCTION("""COMPUTED_VALUE"""),7816)</f>
        <v>7816</v>
      </c>
      <c r="L180" s="12">
        <f ca="1">IFERROR(__xludf.DUMMYFUNCTION("""COMPUTED_VALUE"""),2447)</f>
        <v>2447</v>
      </c>
      <c r="M180" s="12">
        <f ca="1">IFERROR(__xludf.DUMMYFUNCTION("""COMPUTED_VALUE"""),541)</f>
        <v>541</v>
      </c>
      <c r="N180" s="12">
        <f ca="1">IFERROR(__xludf.DUMMYFUNCTION("""COMPUTED_VALUE"""),1807)</f>
        <v>1807</v>
      </c>
      <c r="O180" s="12">
        <f ca="1">IFERROR(__xludf.DUMMYFUNCTION("""COMPUTED_VALUE"""),99)</f>
        <v>99</v>
      </c>
      <c r="P180" s="12">
        <f ca="1">IFERROR(__xludf.DUMMYFUNCTION("""COMPUTED_VALUE"""),17)</f>
        <v>17</v>
      </c>
      <c r="Q180" s="12">
        <f ca="1">IFERROR(__xludf.DUMMYFUNCTION("""COMPUTED_VALUE"""),523)</f>
        <v>523</v>
      </c>
      <c r="R180" s="12">
        <f ca="1">IFERROR(__xludf.DUMMYFUNCTION("""COMPUTED_VALUE"""),40)</f>
        <v>40</v>
      </c>
      <c r="S180" s="12">
        <f ca="1">IFERROR(__xludf.DUMMYFUNCTION("""COMPUTED_VALUE"""),56)</f>
        <v>56</v>
      </c>
      <c r="T180" s="12">
        <f ca="1">IFERROR(__xludf.DUMMYFUNCTION("""COMPUTED_VALUE"""),636)</f>
        <v>636</v>
      </c>
      <c r="U180" s="12">
        <f ca="1">IFERROR(__xludf.DUMMYFUNCTION("""COMPUTED_VALUE"""),96)</f>
        <v>96</v>
      </c>
    </row>
    <row r="181" spans="1:21" x14ac:dyDescent="0.25">
      <c r="A181" s="11">
        <f ca="1">IFERROR(__xludf.DUMMYFUNCTION("""COMPUTED_VALUE"""),44069)</f>
        <v>44069</v>
      </c>
      <c r="B181" s="12">
        <f ca="1">IFERROR(__xludf.DUMMYFUNCTION("""COMPUTED_VALUE"""),160165)</f>
        <v>160165</v>
      </c>
      <c r="C181" s="12">
        <f ca="1">IFERROR(__xludf.DUMMYFUNCTION("""COMPUTED_VALUE"""),37812)</f>
        <v>37812</v>
      </c>
      <c r="D181" s="12">
        <f ca="1">IFERROR(__xludf.DUMMYFUNCTION("""COMPUTED_VALUE"""),115409)</f>
        <v>115409</v>
      </c>
      <c r="E181" s="12">
        <f ca="1">IFERROR(__xludf.DUMMYFUNCTION("""COMPUTED_VALUE"""),6944)</f>
        <v>6944</v>
      </c>
      <c r="F181" s="12">
        <f ca="1">IFERROR(__xludf.DUMMYFUNCTION("""COMPUTED_VALUE"""),1144)</f>
        <v>1144</v>
      </c>
      <c r="G181" s="12">
        <f ca="1">IFERROR(__xludf.DUMMYFUNCTION("""COMPUTED_VALUE"""),26750)</f>
        <v>26750</v>
      </c>
      <c r="H181" s="12">
        <f ca="1">IFERROR(__xludf.DUMMYFUNCTION("""COMPUTED_VALUE"""),4978)</f>
        <v>4978</v>
      </c>
      <c r="I181" s="12">
        <f ca="1">IFERROR(__xludf.DUMMYFUNCTION("""COMPUTED_VALUE"""),2770)</f>
        <v>2770</v>
      </c>
      <c r="J181" s="12">
        <f ca="1">IFERROR(__xludf.DUMMYFUNCTION("""COMPUTED_VALUE"""),35642)</f>
        <v>35642</v>
      </c>
      <c r="K181" s="12">
        <f ca="1">IFERROR(__xludf.DUMMYFUNCTION("""COMPUTED_VALUE"""),7748)</f>
        <v>7748</v>
      </c>
      <c r="L181" s="12">
        <f ca="1">IFERROR(__xludf.DUMMYFUNCTION("""COMPUTED_VALUE"""),2306)</f>
        <v>2306</v>
      </c>
      <c r="M181" s="12">
        <f ca="1">IFERROR(__xludf.DUMMYFUNCTION("""COMPUTED_VALUE"""),-322)</f>
        <v>-322</v>
      </c>
      <c r="N181" s="12">
        <f ca="1">IFERROR(__xludf.DUMMYFUNCTION("""COMPUTED_VALUE"""),2542)</f>
        <v>2542</v>
      </c>
      <c r="O181" s="12">
        <f ca="1">IFERROR(__xludf.DUMMYFUNCTION("""COMPUTED_VALUE"""),86)</f>
        <v>86</v>
      </c>
      <c r="P181" s="12">
        <f ca="1">IFERROR(__xludf.DUMMYFUNCTION("""COMPUTED_VALUE"""),15)</f>
        <v>15</v>
      </c>
      <c r="Q181" s="12">
        <f ca="1">IFERROR(__xludf.DUMMYFUNCTION("""COMPUTED_VALUE"""),764)</f>
        <v>764</v>
      </c>
      <c r="R181" s="12">
        <f ca="1">IFERROR(__xludf.DUMMYFUNCTION("""COMPUTED_VALUE"""),-152)</f>
        <v>-152</v>
      </c>
      <c r="S181" s="12">
        <f ca="1">IFERROR(__xludf.DUMMYFUNCTION("""COMPUTED_VALUE"""),84)</f>
        <v>84</v>
      </c>
      <c r="T181" s="12">
        <f ca="1">IFERROR(__xludf.DUMMYFUNCTION("""COMPUTED_VALUE"""),711)</f>
        <v>711</v>
      </c>
      <c r="U181" s="12">
        <f ca="1">IFERROR(__xludf.DUMMYFUNCTION("""COMPUTED_VALUE"""),-68)</f>
        <v>-68</v>
      </c>
    </row>
    <row r="182" spans="1:21" x14ac:dyDescent="0.25">
      <c r="A182" s="11">
        <f ca="1">IFERROR(__xludf.DUMMYFUNCTION("""COMPUTED_VALUE"""),44070)</f>
        <v>44070</v>
      </c>
      <c r="B182" s="12">
        <f ca="1">IFERROR(__xludf.DUMMYFUNCTION("""COMPUTED_VALUE"""),162884)</f>
        <v>162884</v>
      </c>
      <c r="C182" s="12">
        <f ca="1">IFERROR(__xludf.DUMMYFUNCTION("""COMPUTED_VALUE"""),37245)</f>
        <v>37245</v>
      </c>
      <c r="D182" s="12">
        <f ca="1">IFERROR(__xludf.DUMMYFUNCTION("""COMPUTED_VALUE"""),118575)</f>
        <v>118575</v>
      </c>
      <c r="E182" s="12">
        <f ca="1">IFERROR(__xludf.DUMMYFUNCTION("""COMPUTED_VALUE"""),7064)</f>
        <v>7064</v>
      </c>
      <c r="F182" s="12">
        <f ca="1">IFERROR(__xludf.DUMMYFUNCTION("""COMPUTED_VALUE"""),1147)</f>
        <v>1147</v>
      </c>
      <c r="G182" s="12">
        <f ca="1">IFERROR(__xludf.DUMMYFUNCTION("""COMPUTED_VALUE"""),28288)</f>
        <v>28288</v>
      </c>
      <c r="H182" s="12">
        <f ca="1">IFERROR(__xludf.DUMMYFUNCTION("""COMPUTED_VALUE"""),4499)</f>
        <v>4499</v>
      </c>
      <c r="I182" s="12">
        <f ca="1">IFERROR(__xludf.DUMMYFUNCTION("""COMPUTED_VALUE"""),2528)</f>
        <v>2528</v>
      </c>
      <c r="J182" s="12">
        <f ca="1">IFERROR(__xludf.DUMMYFUNCTION("""COMPUTED_VALUE"""),36462)</f>
        <v>36462</v>
      </c>
      <c r="K182" s="12">
        <f ca="1">IFERROR(__xludf.DUMMYFUNCTION("""COMPUTED_VALUE"""),7027)</f>
        <v>7027</v>
      </c>
      <c r="L182" s="12">
        <f ca="1">IFERROR(__xludf.DUMMYFUNCTION("""COMPUTED_VALUE"""),2719)</f>
        <v>2719</v>
      </c>
      <c r="M182" s="12">
        <f ca="1">IFERROR(__xludf.DUMMYFUNCTION("""COMPUTED_VALUE"""),-567)</f>
        <v>-567</v>
      </c>
      <c r="N182" s="12">
        <f ca="1">IFERROR(__xludf.DUMMYFUNCTION("""COMPUTED_VALUE"""),3166)</f>
        <v>3166</v>
      </c>
      <c r="O182" s="12">
        <f ca="1">IFERROR(__xludf.DUMMYFUNCTION("""COMPUTED_VALUE"""),120)</f>
        <v>120</v>
      </c>
      <c r="P182" s="12">
        <f ca="1">IFERROR(__xludf.DUMMYFUNCTION("""COMPUTED_VALUE"""),3)</f>
        <v>3</v>
      </c>
      <c r="Q182" s="12">
        <f ca="1">IFERROR(__xludf.DUMMYFUNCTION("""COMPUTED_VALUE"""),1538)</f>
        <v>1538</v>
      </c>
      <c r="R182" s="12">
        <f ca="1">IFERROR(__xludf.DUMMYFUNCTION("""COMPUTED_VALUE"""),-479)</f>
        <v>-479</v>
      </c>
      <c r="S182" s="12">
        <f ca="1">IFERROR(__xludf.DUMMYFUNCTION("""COMPUTED_VALUE"""),-242)</f>
        <v>-242</v>
      </c>
      <c r="T182" s="12">
        <f ca="1">IFERROR(__xludf.DUMMYFUNCTION("""COMPUTED_VALUE"""),820)</f>
        <v>820</v>
      </c>
      <c r="U182" s="12">
        <f ca="1">IFERROR(__xludf.DUMMYFUNCTION("""COMPUTED_VALUE"""),-721)</f>
        <v>-721</v>
      </c>
    </row>
    <row r="183" spans="1:21" x14ac:dyDescent="0.25">
      <c r="A183" s="11">
        <f ca="1">IFERROR(__xludf.DUMMYFUNCTION("""COMPUTED_VALUE"""),44071)</f>
        <v>44071</v>
      </c>
      <c r="B183" s="12">
        <f ca="1">IFERROR(__xludf.DUMMYFUNCTION("""COMPUTED_VALUE"""),165887)</f>
        <v>165887</v>
      </c>
      <c r="C183" s="12">
        <f ca="1">IFERROR(__xludf.DUMMYFUNCTION("""COMPUTED_VALUE"""),37818)</f>
        <v>37818</v>
      </c>
      <c r="D183" s="12">
        <f ca="1">IFERROR(__xludf.DUMMYFUNCTION("""COMPUTED_VALUE"""),120900)</f>
        <v>120900</v>
      </c>
      <c r="E183" s="12">
        <f ca="1">IFERROR(__xludf.DUMMYFUNCTION("""COMPUTED_VALUE"""),7169)</f>
        <v>7169</v>
      </c>
      <c r="F183" s="12">
        <f ca="1">IFERROR(__xludf.DUMMYFUNCTION("""COMPUTED_VALUE"""),1154)</f>
        <v>1154</v>
      </c>
      <c r="G183" s="12">
        <f ca="1">IFERROR(__xludf.DUMMYFUNCTION("""COMPUTED_VALUE"""),29169)</f>
        <v>29169</v>
      </c>
      <c r="H183" s="12">
        <f ca="1">IFERROR(__xludf.DUMMYFUNCTION("""COMPUTED_VALUE"""),4128)</f>
        <v>4128</v>
      </c>
      <c r="I183" s="12">
        <f ca="1">IFERROR(__xludf.DUMMYFUNCTION("""COMPUTED_VALUE"""),2827)</f>
        <v>2827</v>
      </c>
      <c r="J183" s="12">
        <f ca="1">IFERROR(__xludf.DUMMYFUNCTION("""COMPUTED_VALUE"""),37278)</f>
        <v>37278</v>
      </c>
      <c r="K183" s="12">
        <f ca="1">IFERROR(__xludf.DUMMYFUNCTION("""COMPUTED_VALUE"""),6955)</f>
        <v>6955</v>
      </c>
      <c r="L183" s="12">
        <f ca="1">IFERROR(__xludf.DUMMYFUNCTION("""COMPUTED_VALUE"""),3003)</f>
        <v>3003</v>
      </c>
      <c r="M183" s="12">
        <f ca="1">IFERROR(__xludf.DUMMYFUNCTION("""COMPUTED_VALUE"""),573)</f>
        <v>573</v>
      </c>
      <c r="N183" s="12">
        <f ca="1">IFERROR(__xludf.DUMMYFUNCTION("""COMPUTED_VALUE"""),2325)</f>
        <v>2325</v>
      </c>
      <c r="O183" s="12">
        <f ca="1">IFERROR(__xludf.DUMMYFUNCTION("""COMPUTED_VALUE"""),105)</f>
        <v>105</v>
      </c>
      <c r="P183" s="12">
        <f ca="1">IFERROR(__xludf.DUMMYFUNCTION("""COMPUTED_VALUE"""),7)</f>
        <v>7</v>
      </c>
      <c r="Q183" s="12">
        <f ca="1">IFERROR(__xludf.DUMMYFUNCTION("""COMPUTED_VALUE"""),881)</f>
        <v>881</v>
      </c>
      <c r="R183" s="12">
        <f ca="1">IFERROR(__xludf.DUMMYFUNCTION("""COMPUTED_VALUE"""),-371)</f>
        <v>-371</v>
      </c>
      <c r="S183" s="12">
        <f ca="1">IFERROR(__xludf.DUMMYFUNCTION("""COMPUTED_VALUE"""),299)</f>
        <v>299</v>
      </c>
      <c r="T183" s="12">
        <f ca="1">IFERROR(__xludf.DUMMYFUNCTION("""COMPUTED_VALUE"""),816)</f>
        <v>816</v>
      </c>
      <c r="U183" s="12">
        <f ca="1">IFERROR(__xludf.DUMMYFUNCTION("""COMPUTED_VALUE"""),-72)</f>
        <v>-72</v>
      </c>
    </row>
    <row r="184" spans="1:21" x14ac:dyDescent="0.25">
      <c r="A184" s="11">
        <f ca="1">IFERROR(__xludf.DUMMYFUNCTION("""COMPUTED_VALUE"""),44072)</f>
        <v>44072</v>
      </c>
      <c r="B184" s="12">
        <f ca="1">IFERROR(__xludf.DUMMYFUNCTION("""COMPUTED_VALUE"""),169195)</f>
        <v>169195</v>
      </c>
      <c r="C184" s="12">
        <f ca="1">IFERROR(__xludf.DUMMYFUNCTION("""COMPUTED_VALUE"""),39132)</f>
        <v>39132</v>
      </c>
      <c r="D184" s="12">
        <f ca="1">IFERROR(__xludf.DUMMYFUNCTION("""COMPUTED_VALUE"""),122802)</f>
        <v>122802</v>
      </c>
      <c r="E184" s="12">
        <f ca="1">IFERROR(__xludf.DUMMYFUNCTION("""COMPUTED_VALUE"""),7261)</f>
        <v>7261</v>
      </c>
      <c r="F184" s="12">
        <f ca="1">IFERROR(__xludf.DUMMYFUNCTION("""COMPUTED_VALUE"""),1172)</f>
        <v>1172</v>
      </c>
      <c r="G184" s="12">
        <f ca="1">IFERROR(__xludf.DUMMYFUNCTION("""COMPUTED_VALUE"""),29768)</f>
        <v>29768</v>
      </c>
      <c r="H184" s="12">
        <f ca="1">IFERROR(__xludf.DUMMYFUNCTION("""COMPUTED_VALUE"""),4414)</f>
        <v>4414</v>
      </c>
      <c r="I184" s="12">
        <f ca="1">IFERROR(__xludf.DUMMYFUNCTION("""COMPUTED_VALUE"""),2812)</f>
        <v>2812</v>
      </c>
      <c r="J184" s="12">
        <f ca="1">IFERROR(__xludf.DUMMYFUNCTION("""COMPUTED_VALUE"""),38166)</f>
        <v>38166</v>
      </c>
      <c r="K184" s="12">
        <f ca="1">IFERROR(__xludf.DUMMYFUNCTION("""COMPUTED_VALUE"""),7226)</f>
        <v>7226</v>
      </c>
      <c r="L184" s="12">
        <f ca="1">IFERROR(__xludf.DUMMYFUNCTION("""COMPUTED_VALUE"""),3308)</f>
        <v>3308</v>
      </c>
      <c r="M184" s="12">
        <f ca="1">IFERROR(__xludf.DUMMYFUNCTION("""COMPUTED_VALUE"""),1314)</f>
        <v>1314</v>
      </c>
      <c r="N184" s="12">
        <f ca="1">IFERROR(__xludf.DUMMYFUNCTION("""COMPUTED_VALUE"""),1902)</f>
        <v>1902</v>
      </c>
      <c r="O184" s="12">
        <f ca="1">IFERROR(__xludf.DUMMYFUNCTION("""COMPUTED_VALUE"""),92)</f>
        <v>92</v>
      </c>
      <c r="P184" s="12">
        <f ca="1">IFERROR(__xludf.DUMMYFUNCTION("""COMPUTED_VALUE"""),18)</f>
        <v>18</v>
      </c>
      <c r="Q184" s="12">
        <f ca="1">IFERROR(__xludf.DUMMYFUNCTION("""COMPUTED_VALUE"""),599)</f>
        <v>599</v>
      </c>
      <c r="R184" s="12">
        <f ca="1">IFERROR(__xludf.DUMMYFUNCTION("""COMPUTED_VALUE"""),286)</f>
        <v>286</v>
      </c>
      <c r="S184" s="12">
        <f ca="1">IFERROR(__xludf.DUMMYFUNCTION("""COMPUTED_VALUE"""),-15)</f>
        <v>-15</v>
      </c>
      <c r="T184" s="12">
        <f ca="1">IFERROR(__xludf.DUMMYFUNCTION("""COMPUTED_VALUE"""),888)</f>
        <v>888</v>
      </c>
      <c r="U184" s="12">
        <f ca="1">IFERROR(__xludf.DUMMYFUNCTION("""COMPUTED_VALUE"""),271)</f>
        <v>271</v>
      </c>
    </row>
    <row r="185" spans="1:21" x14ac:dyDescent="0.25">
      <c r="A185" s="11">
        <f ca="1">IFERROR(__xludf.DUMMYFUNCTION("""COMPUTED_VALUE"""),44073)</f>
        <v>44073</v>
      </c>
      <c r="B185" s="12">
        <f ca="1">IFERROR(__xludf.DUMMYFUNCTION("""COMPUTED_VALUE"""),172053)</f>
        <v>172053</v>
      </c>
      <c r="C185" s="12">
        <f ca="1">IFERROR(__xludf.DUMMYFUNCTION("""COMPUTED_VALUE"""),40525)</f>
        <v>40525</v>
      </c>
      <c r="D185" s="12">
        <f ca="1">IFERROR(__xludf.DUMMYFUNCTION("""COMPUTED_VALUE"""),124185)</f>
        <v>124185</v>
      </c>
      <c r="E185" s="12">
        <f ca="1">IFERROR(__xludf.DUMMYFUNCTION("""COMPUTED_VALUE"""),7343)</f>
        <v>7343</v>
      </c>
      <c r="F185" s="12">
        <f ca="1">IFERROR(__xludf.DUMMYFUNCTION("""COMPUTED_VALUE"""),1186)</f>
        <v>1186</v>
      </c>
      <c r="G185" s="12">
        <f ca="1">IFERROR(__xludf.DUMMYFUNCTION("""COMPUTED_VALUE"""),30134)</f>
        <v>30134</v>
      </c>
      <c r="H185" s="12">
        <f ca="1">IFERROR(__xludf.DUMMYFUNCTION("""COMPUTED_VALUE"""),4945)</f>
        <v>4945</v>
      </c>
      <c r="I185" s="12">
        <f ca="1">IFERROR(__xludf.DUMMYFUNCTION("""COMPUTED_VALUE"""),3015)</f>
        <v>3015</v>
      </c>
      <c r="J185" s="12">
        <f ca="1">IFERROR(__xludf.DUMMYFUNCTION("""COMPUTED_VALUE"""),39280)</f>
        <v>39280</v>
      </c>
      <c r="K185" s="12">
        <f ca="1">IFERROR(__xludf.DUMMYFUNCTION("""COMPUTED_VALUE"""),7960)</f>
        <v>7960</v>
      </c>
      <c r="L185" s="12">
        <f ca="1">IFERROR(__xludf.DUMMYFUNCTION("""COMPUTED_VALUE"""),2858)</f>
        <v>2858</v>
      </c>
      <c r="M185" s="12">
        <f ca="1">IFERROR(__xludf.DUMMYFUNCTION("""COMPUTED_VALUE"""),1393)</f>
        <v>1393</v>
      </c>
      <c r="N185" s="12">
        <f ca="1">IFERROR(__xludf.DUMMYFUNCTION("""COMPUTED_VALUE"""),1383)</f>
        <v>1383</v>
      </c>
      <c r="O185" s="12">
        <f ca="1">IFERROR(__xludf.DUMMYFUNCTION("""COMPUTED_VALUE"""),82)</f>
        <v>82</v>
      </c>
      <c r="P185" s="12">
        <f ca="1">IFERROR(__xludf.DUMMYFUNCTION("""COMPUTED_VALUE"""),14)</f>
        <v>14</v>
      </c>
      <c r="Q185" s="12">
        <f ca="1">IFERROR(__xludf.DUMMYFUNCTION("""COMPUTED_VALUE"""),366)</f>
        <v>366</v>
      </c>
      <c r="R185" s="12">
        <f ca="1">IFERROR(__xludf.DUMMYFUNCTION("""COMPUTED_VALUE"""),531)</f>
        <v>531</v>
      </c>
      <c r="S185" s="12">
        <f ca="1">IFERROR(__xludf.DUMMYFUNCTION("""COMPUTED_VALUE"""),203)</f>
        <v>203</v>
      </c>
      <c r="T185" s="12">
        <f ca="1">IFERROR(__xludf.DUMMYFUNCTION("""COMPUTED_VALUE"""),1114)</f>
        <v>1114</v>
      </c>
      <c r="U185" s="12">
        <f ca="1">IFERROR(__xludf.DUMMYFUNCTION("""COMPUTED_VALUE"""),734)</f>
        <v>734</v>
      </c>
    </row>
    <row r="186" spans="1:21" x14ac:dyDescent="0.25">
      <c r="A186" s="11">
        <f ca="1">IFERROR(__xludf.DUMMYFUNCTION("""COMPUTED_VALUE"""),44074)</f>
        <v>44074</v>
      </c>
      <c r="B186" s="12">
        <f ca="1">IFERROR(__xludf.DUMMYFUNCTION("""COMPUTED_VALUE"""),174796)</f>
        <v>174796</v>
      </c>
      <c r="C186" s="12">
        <f ca="1">IFERROR(__xludf.DUMMYFUNCTION("""COMPUTED_VALUE"""),41420)</f>
        <v>41420</v>
      </c>
      <c r="D186" s="12">
        <f ca="1">IFERROR(__xludf.DUMMYFUNCTION("""COMPUTED_VALUE"""),125959)</f>
        <v>125959</v>
      </c>
      <c r="E186" s="12">
        <f ca="1">IFERROR(__xludf.DUMMYFUNCTION("""COMPUTED_VALUE"""),7417)</f>
        <v>7417</v>
      </c>
      <c r="F186" s="12">
        <f ca="1">IFERROR(__xludf.DUMMYFUNCTION("""COMPUTED_VALUE"""),1202)</f>
        <v>1202</v>
      </c>
      <c r="G186" s="12">
        <f ca="1">IFERROR(__xludf.DUMMYFUNCTION("""COMPUTED_VALUE"""),30538)</f>
        <v>30538</v>
      </c>
      <c r="H186" s="12">
        <f ca="1">IFERROR(__xludf.DUMMYFUNCTION("""COMPUTED_VALUE"""),5281)</f>
        <v>5281</v>
      </c>
      <c r="I186" s="12">
        <f ca="1">IFERROR(__xludf.DUMMYFUNCTION("""COMPUTED_VALUE"""),3288)</f>
        <v>3288</v>
      </c>
      <c r="J186" s="12">
        <f ca="1">IFERROR(__xludf.DUMMYFUNCTION("""COMPUTED_VALUE"""),40309)</f>
        <v>40309</v>
      </c>
      <c r="K186" s="12">
        <f ca="1">IFERROR(__xludf.DUMMYFUNCTION("""COMPUTED_VALUE"""),8569)</f>
        <v>8569</v>
      </c>
      <c r="L186" s="12">
        <f ca="1">IFERROR(__xludf.DUMMYFUNCTION("""COMPUTED_VALUE"""),2743)</f>
        <v>2743</v>
      </c>
      <c r="M186" s="12">
        <f ca="1">IFERROR(__xludf.DUMMYFUNCTION("""COMPUTED_VALUE"""),895)</f>
        <v>895</v>
      </c>
      <c r="N186" s="12">
        <f ca="1">IFERROR(__xludf.DUMMYFUNCTION("""COMPUTED_VALUE"""),1774)</f>
        <v>1774</v>
      </c>
      <c r="O186" s="12">
        <f ca="1">IFERROR(__xludf.DUMMYFUNCTION("""COMPUTED_VALUE"""),74)</f>
        <v>74</v>
      </c>
      <c r="P186" s="12">
        <f ca="1">IFERROR(__xludf.DUMMYFUNCTION("""COMPUTED_VALUE"""),16)</f>
        <v>16</v>
      </c>
      <c r="Q186" s="12">
        <f ca="1">IFERROR(__xludf.DUMMYFUNCTION("""COMPUTED_VALUE"""),404)</f>
        <v>404</v>
      </c>
      <c r="R186" s="12">
        <f ca="1">IFERROR(__xludf.DUMMYFUNCTION("""COMPUTED_VALUE"""),336)</f>
        <v>336</v>
      </c>
      <c r="S186" s="12">
        <f ca="1">IFERROR(__xludf.DUMMYFUNCTION("""COMPUTED_VALUE"""),273)</f>
        <v>273</v>
      </c>
      <c r="T186" s="12">
        <f ca="1">IFERROR(__xludf.DUMMYFUNCTION("""COMPUTED_VALUE"""),1029)</f>
        <v>1029</v>
      </c>
      <c r="U186" s="12">
        <f ca="1">IFERROR(__xludf.DUMMYFUNCTION("""COMPUTED_VALUE"""),609)</f>
        <v>609</v>
      </c>
    </row>
    <row r="187" spans="1:21" x14ac:dyDescent="0.25">
      <c r="A187" s="11">
        <f ca="1">IFERROR(__xludf.DUMMYFUNCTION("""COMPUTED_VALUE"""),44075)</f>
        <v>44075</v>
      </c>
      <c r="B187" s="12">
        <f ca="1">IFERROR(__xludf.DUMMYFUNCTION("""COMPUTED_VALUE"""),177571)</f>
        <v>177571</v>
      </c>
      <c r="C187" s="12">
        <f ca="1">IFERROR(__xludf.DUMMYFUNCTION("""COMPUTED_VALUE"""),42009)</f>
        <v>42009</v>
      </c>
      <c r="D187" s="12">
        <f ca="1">IFERROR(__xludf.DUMMYFUNCTION("""COMPUTED_VALUE"""),128057)</f>
        <v>128057</v>
      </c>
      <c r="E187" s="12">
        <f ca="1">IFERROR(__xludf.DUMMYFUNCTION("""COMPUTED_VALUE"""),7505)</f>
        <v>7505</v>
      </c>
      <c r="F187" s="12">
        <f ca="1">IFERROR(__xludf.DUMMYFUNCTION("""COMPUTED_VALUE"""),1219)</f>
        <v>1219</v>
      </c>
      <c r="G187" s="12">
        <f ca="1">IFERROR(__xludf.DUMMYFUNCTION("""COMPUTED_VALUE"""),31267)</f>
        <v>31267</v>
      </c>
      <c r="H187" s="12">
        <f ca="1">IFERROR(__xludf.DUMMYFUNCTION("""COMPUTED_VALUE"""),5423)</f>
        <v>5423</v>
      </c>
      <c r="I187" s="12">
        <f ca="1">IFERROR(__xludf.DUMMYFUNCTION("""COMPUTED_VALUE"""),3341)</f>
        <v>3341</v>
      </c>
      <c r="J187" s="12">
        <f ca="1">IFERROR(__xludf.DUMMYFUNCTION("""COMPUTED_VALUE"""),41250)</f>
        <v>41250</v>
      </c>
      <c r="K187" s="12">
        <f ca="1">IFERROR(__xludf.DUMMYFUNCTION("""COMPUTED_VALUE"""),8764)</f>
        <v>8764</v>
      </c>
      <c r="L187" s="12">
        <f ca="1">IFERROR(__xludf.DUMMYFUNCTION("""COMPUTED_VALUE"""),2775)</f>
        <v>2775</v>
      </c>
      <c r="M187" s="12">
        <f ca="1">IFERROR(__xludf.DUMMYFUNCTION("""COMPUTED_VALUE"""),589)</f>
        <v>589</v>
      </c>
      <c r="N187" s="12">
        <f ca="1">IFERROR(__xludf.DUMMYFUNCTION("""COMPUTED_VALUE"""),2098)</f>
        <v>2098</v>
      </c>
      <c r="O187" s="12">
        <f ca="1">IFERROR(__xludf.DUMMYFUNCTION("""COMPUTED_VALUE"""),88)</f>
        <v>88</v>
      </c>
      <c r="P187" s="12">
        <f ca="1">IFERROR(__xludf.DUMMYFUNCTION("""COMPUTED_VALUE"""),17)</f>
        <v>17</v>
      </c>
      <c r="Q187" s="12">
        <f ca="1">IFERROR(__xludf.DUMMYFUNCTION("""COMPUTED_VALUE"""),729)</f>
        <v>729</v>
      </c>
      <c r="R187" s="12">
        <f ca="1">IFERROR(__xludf.DUMMYFUNCTION("""COMPUTED_VALUE"""),142)</f>
        <v>142</v>
      </c>
      <c r="S187" s="12">
        <f ca="1">IFERROR(__xludf.DUMMYFUNCTION("""COMPUTED_VALUE"""),53)</f>
        <v>53</v>
      </c>
      <c r="T187" s="12">
        <f ca="1">IFERROR(__xludf.DUMMYFUNCTION("""COMPUTED_VALUE"""),941)</f>
        <v>941</v>
      </c>
      <c r="U187" s="12">
        <f ca="1">IFERROR(__xludf.DUMMYFUNCTION("""COMPUTED_VALUE"""),195)</f>
        <v>195</v>
      </c>
    </row>
    <row r="188" spans="1:21" x14ac:dyDescent="0.25">
      <c r="A188" s="11">
        <f ca="1">IFERROR(__xludf.DUMMYFUNCTION("""COMPUTED_VALUE"""),44076)</f>
        <v>44076</v>
      </c>
      <c r="B188" s="12">
        <f ca="1">IFERROR(__xludf.DUMMYFUNCTION("""COMPUTED_VALUE"""),180646)</f>
        <v>180646</v>
      </c>
      <c r="C188" s="12">
        <f ca="1">IFERROR(__xludf.DUMMYFUNCTION("""COMPUTED_VALUE"""),43059)</f>
        <v>43059</v>
      </c>
      <c r="D188" s="12">
        <f ca="1">IFERROR(__xludf.DUMMYFUNCTION("""COMPUTED_VALUE"""),129971)</f>
        <v>129971</v>
      </c>
      <c r="E188" s="12">
        <f ca="1">IFERROR(__xludf.DUMMYFUNCTION("""COMPUTED_VALUE"""),7616)</f>
        <v>7616</v>
      </c>
      <c r="F188" s="12">
        <f ca="1">IFERROR(__xludf.DUMMYFUNCTION("""COMPUTED_VALUE"""),1237)</f>
        <v>1237</v>
      </c>
      <c r="G188" s="12">
        <f ca="1">IFERROR(__xludf.DUMMYFUNCTION("""COMPUTED_VALUE"""),31741)</f>
        <v>31741</v>
      </c>
      <c r="H188" s="12">
        <f ca="1">IFERROR(__xludf.DUMMYFUNCTION("""COMPUTED_VALUE"""),5757)</f>
        <v>5757</v>
      </c>
      <c r="I188" s="12">
        <f ca="1">IFERROR(__xludf.DUMMYFUNCTION("""COMPUTED_VALUE"""),3568)</f>
        <v>3568</v>
      </c>
      <c r="J188" s="12">
        <f ca="1">IFERROR(__xludf.DUMMYFUNCTION("""COMPUTED_VALUE"""),42303)</f>
        <v>42303</v>
      </c>
      <c r="K188" s="12">
        <f ca="1">IFERROR(__xludf.DUMMYFUNCTION("""COMPUTED_VALUE"""),9325)</f>
        <v>9325</v>
      </c>
      <c r="L188" s="12">
        <f ca="1">IFERROR(__xludf.DUMMYFUNCTION("""COMPUTED_VALUE"""),3075)</f>
        <v>3075</v>
      </c>
      <c r="M188" s="12">
        <f ca="1">IFERROR(__xludf.DUMMYFUNCTION("""COMPUTED_VALUE"""),1050)</f>
        <v>1050</v>
      </c>
      <c r="N188" s="12">
        <f ca="1">IFERROR(__xludf.DUMMYFUNCTION("""COMPUTED_VALUE"""),1914)</f>
        <v>1914</v>
      </c>
      <c r="O188" s="12">
        <f ca="1">IFERROR(__xludf.DUMMYFUNCTION("""COMPUTED_VALUE"""),111)</f>
        <v>111</v>
      </c>
      <c r="P188" s="12">
        <f ca="1">IFERROR(__xludf.DUMMYFUNCTION("""COMPUTED_VALUE"""),18)</f>
        <v>18</v>
      </c>
      <c r="Q188" s="12">
        <f ca="1">IFERROR(__xludf.DUMMYFUNCTION("""COMPUTED_VALUE"""),474)</f>
        <v>474</v>
      </c>
      <c r="R188" s="12">
        <f ca="1">IFERROR(__xludf.DUMMYFUNCTION("""COMPUTED_VALUE"""),334)</f>
        <v>334</v>
      </c>
      <c r="S188" s="12">
        <f ca="1">IFERROR(__xludf.DUMMYFUNCTION("""COMPUTED_VALUE"""),227)</f>
        <v>227</v>
      </c>
      <c r="T188" s="12">
        <f ca="1">IFERROR(__xludf.DUMMYFUNCTION("""COMPUTED_VALUE"""),1053)</f>
        <v>1053</v>
      </c>
      <c r="U188" s="12">
        <f ca="1">IFERROR(__xludf.DUMMYFUNCTION("""COMPUTED_VALUE"""),561)</f>
        <v>561</v>
      </c>
    </row>
    <row r="189" spans="1:21" x14ac:dyDescent="0.25">
      <c r="A189" s="11">
        <f ca="1">IFERROR(__xludf.DUMMYFUNCTION("""COMPUTED_VALUE"""),44077)</f>
        <v>44077</v>
      </c>
      <c r="B189" s="12">
        <f ca="1">IFERROR(__xludf.DUMMYFUNCTION("""COMPUTED_VALUE"""),184268)</f>
        <v>184268</v>
      </c>
      <c r="C189" s="12">
        <f ca="1">IFERROR(__xludf.DUMMYFUNCTION("""COMPUTED_VALUE"""),44463)</f>
        <v>44463</v>
      </c>
      <c r="D189" s="12">
        <f ca="1">IFERROR(__xludf.DUMMYFUNCTION("""COMPUTED_VALUE"""),132055)</f>
        <v>132055</v>
      </c>
      <c r="E189" s="12">
        <f ca="1">IFERROR(__xludf.DUMMYFUNCTION("""COMPUTED_VALUE"""),7750)</f>
        <v>7750</v>
      </c>
      <c r="F189" s="12">
        <f ca="1">IFERROR(__xludf.DUMMYFUNCTION("""COMPUTED_VALUE"""),1253)</f>
        <v>1253</v>
      </c>
      <c r="G189" s="12">
        <f ca="1">IFERROR(__xludf.DUMMYFUNCTION("""COMPUTED_VALUE"""),32424)</f>
        <v>32424</v>
      </c>
      <c r="H189" s="12">
        <f ca="1">IFERROR(__xludf.DUMMYFUNCTION("""COMPUTED_VALUE"""),6323)</f>
        <v>6323</v>
      </c>
      <c r="I189" s="12">
        <f ca="1">IFERROR(__xludf.DUMMYFUNCTION("""COMPUTED_VALUE"""),3709)</f>
        <v>3709</v>
      </c>
      <c r="J189" s="12">
        <f ca="1">IFERROR(__xludf.DUMMYFUNCTION("""COMPUTED_VALUE"""),43709)</f>
        <v>43709</v>
      </c>
      <c r="K189" s="12">
        <f ca="1">IFERROR(__xludf.DUMMYFUNCTION("""COMPUTED_VALUE"""),10032)</f>
        <v>10032</v>
      </c>
      <c r="L189" s="12">
        <f ca="1">IFERROR(__xludf.DUMMYFUNCTION("""COMPUTED_VALUE"""),3622)</f>
        <v>3622</v>
      </c>
      <c r="M189" s="12">
        <f ca="1">IFERROR(__xludf.DUMMYFUNCTION("""COMPUTED_VALUE"""),1404)</f>
        <v>1404</v>
      </c>
      <c r="N189" s="12">
        <f ca="1">IFERROR(__xludf.DUMMYFUNCTION("""COMPUTED_VALUE"""),2084)</f>
        <v>2084</v>
      </c>
      <c r="O189" s="12">
        <f ca="1">IFERROR(__xludf.DUMMYFUNCTION("""COMPUTED_VALUE"""),134)</f>
        <v>134</v>
      </c>
      <c r="P189" s="12">
        <f ca="1">IFERROR(__xludf.DUMMYFUNCTION("""COMPUTED_VALUE"""),16)</f>
        <v>16</v>
      </c>
      <c r="Q189" s="12">
        <f ca="1">IFERROR(__xludf.DUMMYFUNCTION("""COMPUTED_VALUE"""),683)</f>
        <v>683</v>
      </c>
      <c r="R189" s="12">
        <f ca="1">IFERROR(__xludf.DUMMYFUNCTION("""COMPUTED_VALUE"""),566)</f>
        <v>566</v>
      </c>
      <c r="S189" s="12">
        <f ca="1">IFERROR(__xludf.DUMMYFUNCTION("""COMPUTED_VALUE"""),141)</f>
        <v>141</v>
      </c>
      <c r="T189" s="12">
        <f ca="1">IFERROR(__xludf.DUMMYFUNCTION("""COMPUTED_VALUE"""),1406)</f>
        <v>1406</v>
      </c>
      <c r="U189" s="12">
        <f ca="1">IFERROR(__xludf.DUMMYFUNCTION("""COMPUTED_VALUE"""),707)</f>
        <v>707</v>
      </c>
    </row>
    <row r="190" spans="1:21" x14ac:dyDescent="0.25">
      <c r="A190" s="11">
        <f ca="1">IFERROR(__xludf.DUMMYFUNCTION("""COMPUTED_VALUE"""),44078)</f>
        <v>44078</v>
      </c>
      <c r="B190" s="12">
        <f ca="1">IFERROR(__xludf.DUMMYFUNCTION("""COMPUTED_VALUE"""),187537)</f>
        <v>187537</v>
      </c>
      <c r="C190" s="12">
        <f ca="1">IFERROR(__xludf.DUMMYFUNCTION("""COMPUTED_VALUE"""),45524)</f>
        <v>45524</v>
      </c>
      <c r="D190" s="12">
        <f ca="1">IFERROR(__xludf.DUMMYFUNCTION("""COMPUTED_VALUE"""),134181)</f>
        <v>134181</v>
      </c>
      <c r="E190" s="12">
        <f ca="1">IFERROR(__xludf.DUMMYFUNCTION("""COMPUTED_VALUE"""),7832)</f>
        <v>7832</v>
      </c>
      <c r="F190" s="12">
        <f ca="1">IFERROR(__xludf.DUMMYFUNCTION("""COMPUTED_VALUE"""),1260)</f>
        <v>1260</v>
      </c>
      <c r="G190" s="12">
        <f ca="1">IFERROR(__xludf.DUMMYFUNCTION("""COMPUTED_VALUE"""),33260)</f>
        <v>33260</v>
      </c>
      <c r="H190" s="12">
        <f ca="1">IFERROR(__xludf.DUMMYFUNCTION("""COMPUTED_VALUE"""),6257)</f>
        <v>6257</v>
      </c>
      <c r="I190" s="12">
        <f ca="1">IFERROR(__xludf.DUMMYFUNCTION("""COMPUTED_VALUE"""),3827)</f>
        <v>3827</v>
      </c>
      <c r="J190" s="12">
        <f ca="1">IFERROR(__xludf.DUMMYFUNCTION("""COMPUTED_VALUE"""),44604)</f>
        <v>44604</v>
      </c>
      <c r="K190" s="12">
        <f ca="1">IFERROR(__xludf.DUMMYFUNCTION("""COMPUTED_VALUE"""),10084)</f>
        <v>10084</v>
      </c>
      <c r="L190" s="12">
        <f ca="1">IFERROR(__xludf.DUMMYFUNCTION("""COMPUTED_VALUE"""),3269)</f>
        <v>3269</v>
      </c>
      <c r="M190" s="12">
        <f ca="1">IFERROR(__xludf.DUMMYFUNCTION("""COMPUTED_VALUE"""),1061)</f>
        <v>1061</v>
      </c>
      <c r="N190" s="12">
        <f ca="1">IFERROR(__xludf.DUMMYFUNCTION("""COMPUTED_VALUE"""),2126)</f>
        <v>2126</v>
      </c>
      <c r="O190" s="12">
        <f ca="1">IFERROR(__xludf.DUMMYFUNCTION("""COMPUTED_VALUE"""),82)</f>
        <v>82</v>
      </c>
      <c r="P190" s="12">
        <f ca="1">IFERROR(__xludf.DUMMYFUNCTION("""COMPUTED_VALUE"""),7)</f>
        <v>7</v>
      </c>
      <c r="Q190" s="12">
        <f ca="1">IFERROR(__xludf.DUMMYFUNCTION("""COMPUTED_VALUE"""),836)</f>
        <v>836</v>
      </c>
      <c r="R190" s="12">
        <f ca="1">IFERROR(__xludf.DUMMYFUNCTION("""COMPUTED_VALUE"""),-66)</f>
        <v>-66</v>
      </c>
      <c r="S190" s="12">
        <f ca="1">IFERROR(__xludf.DUMMYFUNCTION("""COMPUTED_VALUE"""),118)</f>
        <v>118</v>
      </c>
      <c r="T190" s="12">
        <f ca="1">IFERROR(__xludf.DUMMYFUNCTION("""COMPUTED_VALUE"""),895)</f>
        <v>895</v>
      </c>
      <c r="U190" s="12">
        <f ca="1">IFERROR(__xludf.DUMMYFUNCTION("""COMPUTED_VALUE"""),52)</f>
        <v>52</v>
      </c>
    </row>
    <row r="191" spans="1:21" x14ac:dyDescent="0.25">
      <c r="A191" s="11">
        <f ca="1">IFERROR(__xludf.DUMMYFUNCTION("""COMPUTED_VALUE"""),44079)</f>
        <v>44079</v>
      </c>
      <c r="B191" s="12">
        <f ca="1">IFERROR(__xludf.DUMMYFUNCTION("""COMPUTED_VALUE"""),190665)</f>
        <v>190665</v>
      </c>
      <c r="C191" s="12">
        <f ca="1">IFERROR(__xludf.DUMMYFUNCTION("""COMPUTED_VALUE"""),46324)</f>
        <v>46324</v>
      </c>
      <c r="D191" s="12">
        <f ca="1">IFERROR(__xludf.DUMMYFUNCTION("""COMPUTED_VALUE"""),136401)</f>
        <v>136401</v>
      </c>
      <c r="E191" s="12">
        <f ca="1">IFERROR(__xludf.DUMMYFUNCTION("""COMPUTED_VALUE"""),7940)</f>
        <v>7940</v>
      </c>
      <c r="F191" s="12">
        <f ca="1">IFERROR(__xludf.DUMMYFUNCTION("""COMPUTED_VALUE"""),1277)</f>
        <v>1277</v>
      </c>
      <c r="G191" s="12">
        <f ca="1">IFERROR(__xludf.DUMMYFUNCTION("""COMPUTED_VALUE"""),33991)</f>
        <v>33991</v>
      </c>
      <c r="H191" s="12">
        <f ca="1">IFERROR(__xludf.DUMMYFUNCTION("""COMPUTED_VALUE"""),6501)</f>
        <v>6501</v>
      </c>
      <c r="I191" s="12">
        <f ca="1">IFERROR(__xludf.DUMMYFUNCTION("""COMPUTED_VALUE"""),3677)</f>
        <v>3677</v>
      </c>
      <c r="J191" s="12">
        <f ca="1">IFERROR(__xludf.DUMMYFUNCTION("""COMPUTED_VALUE"""),45446)</f>
        <v>45446</v>
      </c>
      <c r="K191" s="12">
        <f ca="1">IFERROR(__xludf.DUMMYFUNCTION("""COMPUTED_VALUE"""),10178)</f>
        <v>10178</v>
      </c>
      <c r="L191" s="12">
        <f ca="1">IFERROR(__xludf.DUMMYFUNCTION("""COMPUTED_VALUE"""),3128)</f>
        <v>3128</v>
      </c>
      <c r="M191" s="12">
        <f ca="1">IFERROR(__xludf.DUMMYFUNCTION("""COMPUTED_VALUE"""),800)</f>
        <v>800</v>
      </c>
      <c r="N191" s="12">
        <f ca="1">IFERROR(__xludf.DUMMYFUNCTION("""COMPUTED_VALUE"""),2220)</f>
        <v>2220</v>
      </c>
      <c r="O191" s="12">
        <f ca="1">IFERROR(__xludf.DUMMYFUNCTION("""COMPUTED_VALUE"""),108)</f>
        <v>108</v>
      </c>
      <c r="P191" s="12">
        <f ca="1">IFERROR(__xludf.DUMMYFUNCTION("""COMPUTED_VALUE"""),17)</f>
        <v>17</v>
      </c>
      <c r="Q191" s="12">
        <f ca="1">IFERROR(__xludf.DUMMYFUNCTION("""COMPUTED_VALUE"""),731)</f>
        <v>731</v>
      </c>
      <c r="R191" s="12">
        <f ca="1">IFERROR(__xludf.DUMMYFUNCTION("""COMPUTED_VALUE"""),244)</f>
        <v>244</v>
      </c>
      <c r="S191" s="12">
        <f ca="1">IFERROR(__xludf.DUMMYFUNCTION("""COMPUTED_VALUE"""),-150)</f>
        <v>-150</v>
      </c>
      <c r="T191" s="12">
        <f ca="1">IFERROR(__xludf.DUMMYFUNCTION("""COMPUTED_VALUE"""),842)</f>
        <v>842</v>
      </c>
      <c r="U191" s="12">
        <f ca="1">IFERROR(__xludf.DUMMYFUNCTION("""COMPUTED_VALUE"""),94)</f>
        <v>94</v>
      </c>
    </row>
    <row r="192" spans="1:21" x14ac:dyDescent="0.25">
      <c r="A192" s="11">
        <f ca="1">IFERROR(__xludf.DUMMYFUNCTION("""COMPUTED_VALUE"""),44080)</f>
        <v>44080</v>
      </c>
      <c r="B192" s="12">
        <f ca="1">IFERROR(__xludf.DUMMYFUNCTION("""COMPUTED_VALUE"""),194109)</f>
        <v>194109</v>
      </c>
      <c r="C192" s="12">
        <f ca="1">IFERROR(__xludf.DUMMYFUNCTION("""COMPUTED_VALUE"""),47509)</f>
        <v>47509</v>
      </c>
      <c r="D192" s="12">
        <f ca="1">IFERROR(__xludf.DUMMYFUNCTION("""COMPUTED_VALUE"""),138575)</f>
        <v>138575</v>
      </c>
      <c r="E192" s="12">
        <f ca="1">IFERROR(__xludf.DUMMYFUNCTION("""COMPUTED_VALUE"""),8025)</f>
        <v>8025</v>
      </c>
      <c r="F192" s="12">
        <f ca="1">IFERROR(__xludf.DUMMYFUNCTION("""COMPUTED_VALUE"""),1289)</f>
        <v>1289</v>
      </c>
      <c r="G192" s="12">
        <f ca="1">IFERROR(__xludf.DUMMYFUNCTION("""COMPUTED_VALUE"""),34738)</f>
        <v>34738</v>
      </c>
      <c r="H192" s="12">
        <f ca="1">IFERROR(__xludf.DUMMYFUNCTION("""COMPUTED_VALUE"""),6582)</f>
        <v>6582</v>
      </c>
      <c r="I192" s="12">
        <f ca="1">IFERROR(__xludf.DUMMYFUNCTION("""COMPUTED_VALUE"""),4082)</f>
        <v>4082</v>
      </c>
      <c r="J192" s="12">
        <f ca="1">IFERROR(__xludf.DUMMYFUNCTION("""COMPUTED_VALUE"""),46691)</f>
        <v>46691</v>
      </c>
      <c r="K192" s="12">
        <f ca="1">IFERROR(__xludf.DUMMYFUNCTION("""COMPUTED_VALUE"""),10664)</f>
        <v>10664</v>
      </c>
      <c r="L192" s="12">
        <f ca="1">IFERROR(__xludf.DUMMYFUNCTION("""COMPUTED_VALUE"""),3444)</f>
        <v>3444</v>
      </c>
      <c r="M192" s="12">
        <f ca="1">IFERROR(__xludf.DUMMYFUNCTION("""COMPUTED_VALUE"""),1185)</f>
        <v>1185</v>
      </c>
      <c r="N192" s="12">
        <f ca="1">IFERROR(__xludf.DUMMYFUNCTION("""COMPUTED_VALUE"""),2174)</f>
        <v>2174</v>
      </c>
      <c r="O192" s="12">
        <f ca="1">IFERROR(__xludf.DUMMYFUNCTION("""COMPUTED_VALUE"""),85)</f>
        <v>85</v>
      </c>
      <c r="P192" s="12">
        <f ca="1">IFERROR(__xludf.DUMMYFUNCTION("""COMPUTED_VALUE"""),12)</f>
        <v>12</v>
      </c>
      <c r="Q192" s="12">
        <f ca="1">IFERROR(__xludf.DUMMYFUNCTION("""COMPUTED_VALUE"""),747)</f>
        <v>747</v>
      </c>
      <c r="R192" s="12">
        <f ca="1">IFERROR(__xludf.DUMMYFUNCTION("""COMPUTED_VALUE"""),81)</f>
        <v>81</v>
      </c>
      <c r="S192" s="12">
        <f ca="1">IFERROR(__xludf.DUMMYFUNCTION("""COMPUTED_VALUE"""),405)</f>
        <v>405</v>
      </c>
      <c r="T192" s="12">
        <f ca="1">IFERROR(__xludf.DUMMYFUNCTION("""COMPUTED_VALUE"""),1245)</f>
        <v>1245</v>
      </c>
      <c r="U192" s="12">
        <f ca="1">IFERROR(__xludf.DUMMYFUNCTION("""COMPUTED_VALUE"""),486)</f>
        <v>486</v>
      </c>
    </row>
    <row r="193" spans="1:21" x14ac:dyDescent="0.25">
      <c r="A193" s="11">
        <f ca="1">IFERROR(__xludf.DUMMYFUNCTION("""COMPUTED_VALUE"""),44081)</f>
        <v>44081</v>
      </c>
      <c r="B193" s="12">
        <f ca="1">IFERROR(__xludf.DUMMYFUNCTION("""COMPUTED_VALUE"""),196989)</f>
        <v>196989</v>
      </c>
      <c r="C193" s="12">
        <f ca="1">IFERROR(__xludf.DUMMYFUNCTION("""COMPUTED_VALUE"""),48207)</f>
        <v>48207</v>
      </c>
      <c r="D193" s="12">
        <f ca="1">IFERROR(__xludf.DUMMYFUNCTION("""COMPUTED_VALUE"""),140652)</f>
        <v>140652</v>
      </c>
      <c r="E193" s="12">
        <f ca="1">IFERROR(__xludf.DUMMYFUNCTION("""COMPUTED_VALUE"""),8130)</f>
        <v>8130</v>
      </c>
      <c r="F193" s="12">
        <f ca="1">IFERROR(__xludf.DUMMYFUNCTION("""COMPUTED_VALUE"""),1318)</f>
        <v>1318</v>
      </c>
      <c r="G193" s="12">
        <f ca="1">IFERROR(__xludf.DUMMYFUNCTION("""COMPUTED_VALUE"""),35431)</f>
        <v>35431</v>
      </c>
      <c r="H193" s="12">
        <f ca="1">IFERROR(__xludf.DUMMYFUNCTION("""COMPUTED_VALUE"""),6706)</f>
        <v>6706</v>
      </c>
      <c r="I193" s="12">
        <f ca="1">IFERROR(__xludf.DUMMYFUNCTION("""COMPUTED_VALUE"""),4341)</f>
        <v>4341</v>
      </c>
      <c r="J193" s="12">
        <f ca="1">IFERROR(__xludf.DUMMYFUNCTION("""COMPUTED_VALUE"""),47796)</f>
        <v>47796</v>
      </c>
      <c r="K193" s="12">
        <f ca="1">IFERROR(__xludf.DUMMYFUNCTION("""COMPUTED_VALUE"""),11047)</f>
        <v>11047</v>
      </c>
      <c r="L193" s="12">
        <f ca="1">IFERROR(__xludf.DUMMYFUNCTION("""COMPUTED_VALUE"""),2880)</f>
        <v>2880</v>
      </c>
      <c r="M193" s="12">
        <f ca="1">IFERROR(__xludf.DUMMYFUNCTION("""COMPUTED_VALUE"""),698)</f>
        <v>698</v>
      </c>
      <c r="N193" s="12">
        <f ca="1">IFERROR(__xludf.DUMMYFUNCTION("""COMPUTED_VALUE"""),2077)</f>
        <v>2077</v>
      </c>
      <c r="O193" s="12">
        <f ca="1">IFERROR(__xludf.DUMMYFUNCTION("""COMPUTED_VALUE"""),105)</f>
        <v>105</v>
      </c>
      <c r="P193" s="12">
        <f ca="1">IFERROR(__xludf.DUMMYFUNCTION("""COMPUTED_VALUE"""),29)</f>
        <v>29</v>
      </c>
      <c r="Q193" s="12">
        <f ca="1">IFERROR(__xludf.DUMMYFUNCTION("""COMPUTED_VALUE"""),693)</f>
        <v>693</v>
      </c>
      <c r="R193" s="12">
        <f ca="1">IFERROR(__xludf.DUMMYFUNCTION("""COMPUTED_VALUE"""),124)</f>
        <v>124</v>
      </c>
      <c r="S193" s="12">
        <f ca="1">IFERROR(__xludf.DUMMYFUNCTION("""COMPUTED_VALUE"""),259)</f>
        <v>259</v>
      </c>
      <c r="T193" s="12">
        <f ca="1">IFERROR(__xludf.DUMMYFUNCTION("""COMPUTED_VALUE"""),1105)</f>
        <v>1105</v>
      </c>
      <c r="U193" s="12">
        <f ca="1">IFERROR(__xludf.DUMMYFUNCTION("""COMPUTED_VALUE"""),383)</f>
        <v>383</v>
      </c>
    </row>
    <row r="194" spans="1:21" x14ac:dyDescent="0.25">
      <c r="A194" s="11">
        <f ca="1">IFERROR(__xludf.DUMMYFUNCTION("""COMPUTED_VALUE"""),44082)</f>
        <v>44082</v>
      </c>
      <c r="B194" s="12">
        <f ca="1">IFERROR(__xludf.DUMMYFUNCTION("""COMPUTED_VALUE"""),200035)</f>
        <v>200035</v>
      </c>
      <c r="C194" s="12">
        <f ca="1">IFERROR(__xludf.DUMMYFUNCTION("""COMPUTED_VALUE"""),48847)</f>
        <v>48847</v>
      </c>
      <c r="D194" s="12">
        <f ca="1">IFERROR(__xludf.DUMMYFUNCTION("""COMPUTED_VALUE"""),142958)</f>
        <v>142958</v>
      </c>
      <c r="E194" s="12">
        <f ca="1">IFERROR(__xludf.DUMMYFUNCTION("""COMPUTED_VALUE"""),8230)</f>
        <v>8230</v>
      </c>
      <c r="F194" s="12">
        <f ca="1">IFERROR(__xludf.DUMMYFUNCTION("""COMPUTED_VALUE"""),1330)</f>
        <v>1330</v>
      </c>
      <c r="G194" s="12">
        <f ca="1">IFERROR(__xludf.DUMMYFUNCTION("""COMPUTED_VALUE"""),36451)</f>
        <v>36451</v>
      </c>
      <c r="H194" s="12">
        <f ca="1">IFERROR(__xludf.DUMMYFUNCTION("""COMPUTED_VALUE"""),6598)</f>
        <v>6598</v>
      </c>
      <c r="I194" s="12">
        <f ca="1">IFERROR(__xludf.DUMMYFUNCTION("""COMPUTED_VALUE"""),4432)</f>
        <v>4432</v>
      </c>
      <c r="J194" s="12">
        <f ca="1">IFERROR(__xludf.DUMMYFUNCTION("""COMPUTED_VALUE"""),48811)</f>
        <v>48811</v>
      </c>
      <c r="K194" s="12">
        <f ca="1">IFERROR(__xludf.DUMMYFUNCTION("""COMPUTED_VALUE"""),11030)</f>
        <v>11030</v>
      </c>
      <c r="L194" s="12">
        <f ca="1">IFERROR(__xludf.DUMMYFUNCTION("""COMPUTED_VALUE"""),3046)</f>
        <v>3046</v>
      </c>
      <c r="M194" s="12">
        <f ca="1">IFERROR(__xludf.DUMMYFUNCTION("""COMPUTED_VALUE"""),640)</f>
        <v>640</v>
      </c>
      <c r="N194" s="12">
        <f ca="1">IFERROR(__xludf.DUMMYFUNCTION("""COMPUTED_VALUE"""),2306)</f>
        <v>2306</v>
      </c>
      <c r="O194" s="12">
        <f ca="1">IFERROR(__xludf.DUMMYFUNCTION("""COMPUTED_VALUE"""),100)</f>
        <v>100</v>
      </c>
      <c r="P194" s="12">
        <f ca="1">IFERROR(__xludf.DUMMYFUNCTION("""COMPUTED_VALUE"""),12)</f>
        <v>12</v>
      </c>
      <c r="Q194" s="12">
        <f ca="1">IFERROR(__xludf.DUMMYFUNCTION("""COMPUTED_VALUE"""),1020)</f>
        <v>1020</v>
      </c>
      <c r="R194" s="12">
        <f ca="1">IFERROR(__xludf.DUMMYFUNCTION("""COMPUTED_VALUE"""),-108)</f>
        <v>-108</v>
      </c>
      <c r="S194" s="12">
        <f ca="1">IFERROR(__xludf.DUMMYFUNCTION("""COMPUTED_VALUE"""),91)</f>
        <v>91</v>
      </c>
      <c r="T194" s="12">
        <f ca="1">IFERROR(__xludf.DUMMYFUNCTION("""COMPUTED_VALUE"""),1015)</f>
        <v>1015</v>
      </c>
      <c r="U194" s="12">
        <f ca="1">IFERROR(__xludf.DUMMYFUNCTION("""COMPUTED_VALUE"""),-17)</f>
        <v>-17</v>
      </c>
    </row>
    <row r="195" spans="1:21" x14ac:dyDescent="0.25">
      <c r="A195" s="11">
        <f ca="1">IFERROR(__xludf.DUMMYFUNCTION("""COMPUTED_VALUE"""),44083)</f>
        <v>44083</v>
      </c>
      <c r="B195" s="12">
        <f ca="1">IFERROR(__xludf.DUMMYFUNCTION("""COMPUTED_VALUE"""),203342)</f>
        <v>203342</v>
      </c>
      <c r="C195" s="12">
        <f ca="1">IFERROR(__xludf.DUMMYFUNCTION("""COMPUTED_VALUE"""),49806)</f>
        <v>49806</v>
      </c>
      <c r="D195" s="12">
        <f ca="1">IFERROR(__xludf.DUMMYFUNCTION("""COMPUTED_VALUE"""),145200)</f>
        <v>145200</v>
      </c>
      <c r="E195" s="12">
        <f ca="1">IFERROR(__xludf.DUMMYFUNCTION("""COMPUTED_VALUE"""),8336)</f>
        <v>8336</v>
      </c>
      <c r="F195" s="12">
        <f ca="1">IFERROR(__xludf.DUMMYFUNCTION("""COMPUTED_VALUE"""),1347)</f>
        <v>1347</v>
      </c>
      <c r="G195" s="12">
        <f ca="1">IFERROR(__xludf.DUMMYFUNCTION("""COMPUTED_VALUE"""),37245)</f>
        <v>37245</v>
      </c>
      <c r="H195" s="12">
        <f ca="1">IFERROR(__xludf.DUMMYFUNCTION("""COMPUTED_VALUE"""),6691)</f>
        <v>6691</v>
      </c>
      <c r="I195" s="12">
        <f ca="1">IFERROR(__xludf.DUMMYFUNCTION("""COMPUTED_VALUE"""),4554)</f>
        <v>4554</v>
      </c>
      <c r="J195" s="12">
        <f ca="1">IFERROR(__xludf.DUMMYFUNCTION("""COMPUTED_VALUE"""),49837)</f>
        <v>49837</v>
      </c>
      <c r="K195" s="12">
        <f ca="1">IFERROR(__xludf.DUMMYFUNCTION("""COMPUTED_VALUE"""),11245)</f>
        <v>11245</v>
      </c>
      <c r="L195" s="12">
        <f ca="1">IFERROR(__xludf.DUMMYFUNCTION("""COMPUTED_VALUE"""),3307)</f>
        <v>3307</v>
      </c>
      <c r="M195" s="12">
        <f ca="1">IFERROR(__xludf.DUMMYFUNCTION("""COMPUTED_VALUE"""),959)</f>
        <v>959</v>
      </c>
      <c r="N195" s="12">
        <f ca="1">IFERROR(__xludf.DUMMYFUNCTION("""COMPUTED_VALUE"""),2242)</f>
        <v>2242</v>
      </c>
      <c r="O195" s="12">
        <f ca="1">IFERROR(__xludf.DUMMYFUNCTION("""COMPUTED_VALUE"""),106)</f>
        <v>106</v>
      </c>
      <c r="P195" s="12">
        <f ca="1">IFERROR(__xludf.DUMMYFUNCTION("""COMPUTED_VALUE"""),17)</f>
        <v>17</v>
      </c>
      <c r="Q195" s="12">
        <f ca="1">IFERROR(__xludf.DUMMYFUNCTION("""COMPUTED_VALUE"""),794)</f>
        <v>794</v>
      </c>
      <c r="R195" s="12">
        <f ca="1">IFERROR(__xludf.DUMMYFUNCTION("""COMPUTED_VALUE"""),93)</f>
        <v>93</v>
      </c>
      <c r="S195" s="12">
        <f ca="1">IFERROR(__xludf.DUMMYFUNCTION("""COMPUTED_VALUE"""),122)</f>
        <v>122</v>
      </c>
      <c r="T195" s="12">
        <f ca="1">IFERROR(__xludf.DUMMYFUNCTION("""COMPUTED_VALUE"""),1026)</f>
        <v>1026</v>
      </c>
      <c r="U195" s="12">
        <f ca="1">IFERROR(__xludf.DUMMYFUNCTION("""COMPUTED_VALUE"""),215)</f>
        <v>215</v>
      </c>
    </row>
    <row r="196" spans="1:21" x14ac:dyDescent="0.25">
      <c r="A196" s="11">
        <f ca="1">IFERROR(__xludf.DUMMYFUNCTION("""COMPUTED_VALUE"""),44084)</f>
        <v>44084</v>
      </c>
      <c r="B196" s="12">
        <f ca="1">IFERROR(__xludf.DUMMYFUNCTION("""COMPUTED_VALUE"""),207203)</f>
        <v>207203</v>
      </c>
      <c r="C196" s="12">
        <f ca="1">IFERROR(__xludf.DUMMYFUNCTION("""COMPUTED_VALUE"""),51237)</f>
        <v>51237</v>
      </c>
      <c r="D196" s="12">
        <f ca="1">IFERROR(__xludf.DUMMYFUNCTION("""COMPUTED_VALUE"""),147510)</f>
        <v>147510</v>
      </c>
      <c r="E196" s="12">
        <f ca="1">IFERROR(__xludf.DUMMYFUNCTION("""COMPUTED_VALUE"""),8456)</f>
        <v>8456</v>
      </c>
      <c r="F196" s="12">
        <f ca="1">IFERROR(__xludf.DUMMYFUNCTION("""COMPUTED_VALUE"""),1365)</f>
        <v>1365</v>
      </c>
      <c r="G196" s="12">
        <f ca="1">IFERROR(__xludf.DUMMYFUNCTION("""COMPUTED_VALUE"""),38226)</f>
        <v>38226</v>
      </c>
      <c r="H196" s="12">
        <f ca="1">IFERROR(__xludf.DUMMYFUNCTION("""COMPUTED_VALUE"""),6968)</f>
        <v>6968</v>
      </c>
      <c r="I196" s="12">
        <f ca="1">IFERROR(__xludf.DUMMYFUNCTION("""COMPUTED_VALUE"""),4728)</f>
        <v>4728</v>
      </c>
      <c r="J196" s="12">
        <f ca="1">IFERROR(__xludf.DUMMYFUNCTION("""COMPUTED_VALUE"""),51287)</f>
        <v>51287</v>
      </c>
      <c r="K196" s="12">
        <f ca="1">IFERROR(__xludf.DUMMYFUNCTION("""COMPUTED_VALUE"""),11696)</f>
        <v>11696</v>
      </c>
      <c r="L196" s="12">
        <f ca="1">IFERROR(__xludf.DUMMYFUNCTION("""COMPUTED_VALUE"""),3861)</f>
        <v>3861</v>
      </c>
      <c r="M196" s="12">
        <f ca="1">IFERROR(__xludf.DUMMYFUNCTION("""COMPUTED_VALUE"""),1431)</f>
        <v>1431</v>
      </c>
      <c r="N196" s="12">
        <f ca="1">IFERROR(__xludf.DUMMYFUNCTION("""COMPUTED_VALUE"""),2310)</f>
        <v>2310</v>
      </c>
      <c r="O196" s="12">
        <f ca="1">IFERROR(__xludf.DUMMYFUNCTION("""COMPUTED_VALUE"""),120)</f>
        <v>120</v>
      </c>
      <c r="P196" s="12">
        <f ca="1">IFERROR(__xludf.DUMMYFUNCTION("""COMPUTED_VALUE"""),18)</f>
        <v>18</v>
      </c>
      <c r="Q196" s="12">
        <f ca="1">IFERROR(__xludf.DUMMYFUNCTION("""COMPUTED_VALUE"""),981)</f>
        <v>981</v>
      </c>
      <c r="R196" s="12">
        <f ca="1">IFERROR(__xludf.DUMMYFUNCTION("""COMPUTED_VALUE"""),277)</f>
        <v>277</v>
      </c>
      <c r="S196" s="12">
        <f ca="1">IFERROR(__xludf.DUMMYFUNCTION("""COMPUTED_VALUE"""),174)</f>
        <v>174</v>
      </c>
      <c r="T196" s="12">
        <f ca="1">IFERROR(__xludf.DUMMYFUNCTION("""COMPUTED_VALUE"""),1450)</f>
        <v>1450</v>
      </c>
      <c r="U196" s="12">
        <f ca="1">IFERROR(__xludf.DUMMYFUNCTION("""COMPUTED_VALUE"""),451)</f>
        <v>451</v>
      </c>
    </row>
    <row r="197" spans="1:21" x14ac:dyDescent="0.25">
      <c r="A197" s="11">
        <f ca="1">IFERROR(__xludf.DUMMYFUNCTION("""COMPUTED_VALUE"""),44085)</f>
        <v>44085</v>
      </c>
      <c r="B197" s="12">
        <f ca="1">IFERROR(__xludf.DUMMYFUNCTION("""COMPUTED_VALUE"""),210940)</f>
        <v>210940</v>
      </c>
      <c r="C197" s="12">
        <f ca="1">IFERROR(__xludf.DUMMYFUNCTION("""COMPUTED_VALUE"""),52179)</f>
        <v>52179</v>
      </c>
      <c r="D197" s="12">
        <f ca="1">IFERROR(__xludf.DUMMYFUNCTION("""COMPUTED_VALUE"""),150217)</f>
        <v>150217</v>
      </c>
      <c r="E197" s="12">
        <f ca="1">IFERROR(__xludf.DUMMYFUNCTION("""COMPUTED_VALUE"""),8544)</f>
        <v>8544</v>
      </c>
      <c r="F197" s="12">
        <f ca="1">IFERROR(__xludf.DUMMYFUNCTION("""COMPUTED_VALUE"""),1382)</f>
        <v>1382</v>
      </c>
      <c r="G197" s="12">
        <f ca="1">IFERROR(__xludf.DUMMYFUNCTION("""COMPUTED_VALUE"""),39115)</f>
        <v>39115</v>
      </c>
      <c r="H197" s="12">
        <f ca="1">IFERROR(__xludf.DUMMYFUNCTION("""COMPUTED_VALUE"""),7143)</f>
        <v>7143</v>
      </c>
      <c r="I197" s="12">
        <f ca="1">IFERROR(__xludf.DUMMYFUNCTION("""COMPUTED_VALUE"""),4681)</f>
        <v>4681</v>
      </c>
      <c r="J197" s="12">
        <f ca="1">IFERROR(__xludf.DUMMYFUNCTION("""COMPUTED_VALUE"""),52321)</f>
        <v>52321</v>
      </c>
      <c r="K197" s="12">
        <f ca="1">IFERROR(__xludf.DUMMYFUNCTION("""COMPUTED_VALUE"""),11824)</f>
        <v>11824</v>
      </c>
      <c r="L197" s="12">
        <f ca="1">IFERROR(__xludf.DUMMYFUNCTION("""COMPUTED_VALUE"""),3737)</f>
        <v>3737</v>
      </c>
      <c r="M197" s="12">
        <f ca="1">IFERROR(__xludf.DUMMYFUNCTION("""COMPUTED_VALUE"""),942)</f>
        <v>942</v>
      </c>
      <c r="N197" s="12">
        <f ca="1">IFERROR(__xludf.DUMMYFUNCTION("""COMPUTED_VALUE"""),2707)</f>
        <v>2707</v>
      </c>
      <c r="O197" s="12">
        <f ca="1">IFERROR(__xludf.DUMMYFUNCTION("""COMPUTED_VALUE"""),88)</f>
        <v>88</v>
      </c>
      <c r="P197" s="12">
        <f ca="1">IFERROR(__xludf.DUMMYFUNCTION("""COMPUTED_VALUE"""),17)</f>
        <v>17</v>
      </c>
      <c r="Q197" s="12">
        <f ca="1">IFERROR(__xludf.DUMMYFUNCTION("""COMPUTED_VALUE"""),889)</f>
        <v>889</v>
      </c>
      <c r="R197" s="12">
        <f ca="1">IFERROR(__xludf.DUMMYFUNCTION("""COMPUTED_VALUE"""),175)</f>
        <v>175</v>
      </c>
      <c r="S197" s="12">
        <f ca="1">IFERROR(__xludf.DUMMYFUNCTION("""COMPUTED_VALUE"""),-47)</f>
        <v>-47</v>
      </c>
      <c r="T197" s="12">
        <f ca="1">IFERROR(__xludf.DUMMYFUNCTION("""COMPUTED_VALUE"""),1034)</f>
        <v>1034</v>
      </c>
      <c r="U197" s="12">
        <f ca="1">IFERROR(__xludf.DUMMYFUNCTION("""COMPUTED_VALUE"""),128)</f>
        <v>128</v>
      </c>
    </row>
    <row r="198" spans="1:21" x14ac:dyDescent="0.25">
      <c r="A198" s="11">
        <f ca="1">IFERROR(__xludf.DUMMYFUNCTION("""COMPUTED_VALUE"""),44086)</f>
        <v>44086</v>
      </c>
      <c r="B198" s="12">
        <f ca="1">IFERROR(__xludf.DUMMYFUNCTION("""COMPUTED_VALUE"""),214746)</f>
        <v>214746</v>
      </c>
      <c r="C198" s="12">
        <f ca="1">IFERROR(__xludf.DUMMYFUNCTION("""COMPUTED_VALUE"""),53638)</f>
        <v>53638</v>
      </c>
      <c r="D198" s="12">
        <f ca="1">IFERROR(__xludf.DUMMYFUNCTION("""COMPUTED_VALUE"""),152458)</f>
        <v>152458</v>
      </c>
      <c r="E198" s="12">
        <f ca="1">IFERROR(__xludf.DUMMYFUNCTION("""COMPUTED_VALUE"""),8650)</f>
        <v>8650</v>
      </c>
      <c r="F198" s="12">
        <f ca="1">IFERROR(__xludf.DUMMYFUNCTION("""COMPUTED_VALUE"""),1404)</f>
        <v>1404</v>
      </c>
      <c r="G198" s="12">
        <f ca="1">IFERROR(__xludf.DUMMYFUNCTION("""COMPUTED_VALUE"""),40183)</f>
        <v>40183</v>
      </c>
      <c r="H198" s="12">
        <f ca="1">IFERROR(__xludf.DUMMYFUNCTION("""COMPUTED_VALUE"""),7490)</f>
        <v>7490</v>
      </c>
      <c r="I198" s="12">
        <f ca="1">IFERROR(__xludf.DUMMYFUNCTION("""COMPUTED_VALUE"""),4684)</f>
        <v>4684</v>
      </c>
      <c r="J198" s="12">
        <f ca="1">IFERROR(__xludf.DUMMYFUNCTION("""COMPUTED_VALUE"""),53761)</f>
        <v>53761</v>
      </c>
      <c r="K198" s="12">
        <f ca="1">IFERROR(__xludf.DUMMYFUNCTION("""COMPUTED_VALUE"""),12174)</f>
        <v>12174</v>
      </c>
      <c r="L198" s="12">
        <f ca="1">IFERROR(__xludf.DUMMYFUNCTION("""COMPUTED_VALUE"""),3806)</f>
        <v>3806</v>
      </c>
      <c r="M198" s="12">
        <f ca="1">IFERROR(__xludf.DUMMYFUNCTION("""COMPUTED_VALUE"""),1459)</f>
        <v>1459</v>
      </c>
      <c r="N198" s="12">
        <f ca="1">IFERROR(__xludf.DUMMYFUNCTION("""COMPUTED_VALUE"""),2241)</f>
        <v>2241</v>
      </c>
      <c r="O198" s="12">
        <f ca="1">IFERROR(__xludf.DUMMYFUNCTION("""COMPUTED_VALUE"""),106)</f>
        <v>106</v>
      </c>
      <c r="P198" s="12">
        <f ca="1">IFERROR(__xludf.DUMMYFUNCTION("""COMPUTED_VALUE"""),22)</f>
        <v>22</v>
      </c>
      <c r="Q198" s="12">
        <f ca="1">IFERROR(__xludf.DUMMYFUNCTION("""COMPUTED_VALUE"""),1068)</f>
        <v>1068</v>
      </c>
      <c r="R198" s="12">
        <f ca="1">IFERROR(__xludf.DUMMYFUNCTION("""COMPUTED_VALUE"""),347)</f>
        <v>347</v>
      </c>
      <c r="S198" s="12">
        <f ca="1">IFERROR(__xludf.DUMMYFUNCTION("""COMPUTED_VALUE"""),3)</f>
        <v>3</v>
      </c>
      <c r="T198" s="12">
        <f ca="1">IFERROR(__xludf.DUMMYFUNCTION("""COMPUTED_VALUE"""),1440)</f>
        <v>1440</v>
      </c>
      <c r="U198" s="12">
        <f ca="1">IFERROR(__xludf.DUMMYFUNCTION("""COMPUTED_VALUE"""),350)</f>
        <v>350</v>
      </c>
    </row>
    <row r="199" spans="1:21" x14ac:dyDescent="0.25">
      <c r="A199" s="11">
        <f ca="1">IFERROR(__xludf.DUMMYFUNCTION("""COMPUTED_VALUE"""),44087)</f>
        <v>44087</v>
      </c>
      <c r="B199" s="12">
        <f ca="1">IFERROR(__xludf.DUMMYFUNCTION("""COMPUTED_VALUE"""),218382)</f>
        <v>218382</v>
      </c>
      <c r="C199" s="12">
        <f ca="1">IFERROR(__xludf.DUMMYFUNCTION("""COMPUTED_VALUE"""),54649)</f>
        <v>54649</v>
      </c>
      <c r="D199" s="12">
        <f ca="1">IFERROR(__xludf.DUMMYFUNCTION("""COMPUTED_VALUE"""),155010)</f>
        <v>155010</v>
      </c>
      <c r="E199" s="12">
        <f ca="1">IFERROR(__xludf.DUMMYFUNCTION("""COMPUTED_VALUE"""),8723)</f>
        <v>8723</v>
      </c>
      <c r="F199" s="12">
        <f ca="1">IFERROR(__xludf.DUMMYFUNCTION("""COMPUTED_VALUE"""),1410)</f>
        <v>1410</v>
      </c>
      <c r="G199" s="12">
        <f ca="1">IFERROR(__xludf.DUMMYFUNCTION("""COMPUTED_VALUE"""),41014)</f>
        <v>41014</v>
      </c>
      <c r="H199" s="12">
        <f ca="1">IFERROR(__xludf.DUMMYFUNCTION("""COMPUTED_VALUE"""),7791)</f>
        <v>7791</v>
      </c>
      <c r="I199" s="12">
        <f ca="1">IFERROR(__xludf.DUMMYFUNCTION("""COMPUTED_VALUE"""),4649)</f>
        <v>4649</v>
      </c>
      <c r="J199" s="12">
        <f ca="1">IFERROR(__xludf.DUMMYFUNCTION("""COMPUTED_VALUE"""),54864)</f>
        <v>54864</v>
      </c>
      <c r="K199" s="12">
        <f ca="1">IFERROR(__xludf.DUMMYFUNCTION("""COMPUTED_VALUE"""),12440)</f>
        <v>12440</v>
      </c>
      <c r="L199" s="12">
        <f ca="1">IFERROR(__xludf.DUMMYFUNCTION("""COMPUTED_VALUE"""),3636)</f>
        <v>3636</v>
      </c>
      <c r="M199" s="12">
        <f ca="1">IFERROR(__xludf.DUMMYFUNCTION("""COMPUTED_VALUE"""),1011)</f>
        <v>1011</v>
      </c>
      <c r="N199" s="12">
        <f ca="1">IFERROR(__xludf.DUMMYFUNCTION("""COMPUTED_VALUE"""),2552)</f>
        <v>2552</v>
      </c>
      <c r="O199" s="12">
        <f ca="1">IFERROR(__xludf.DUMMYFUNCTION("""COMPUTED_VALUE"""),73)</f>
        <v>73</v>
      </c>
      <c r="P199" s="12">
        <f ca="1">IFERROR(__xludf.DUMMYFUNCTION("""COMPUTED_VALUE"""),6)</f>
        <v>6</v>
      </c>
      <c r="Q199" s="12">
        <f ca="1">IFERROR(__xludf.DUMMYFUNCTION("""COMPUTED_VALUE"""),831)</f>
        <v>831</v>
      </c>
      <c r="R199" s="12">
        <f ca="1">IFERROR(__xludf.DUMMYFUNCTION("""COMPUTED_VALUE"""),301)</f>
        <v>301</v>
      </c>
      <c r="S199" s="12">
        <f ca="1">IFERROR(__xludf.DUMMYFUNCTION("""COMPUTED_VALUE"""),-35)</f>
        <v>-35</v>
      </c>
      <c r="T199" s="12">
        <f ca="1">IFERROR(__xludf.DUMMYFUNCTION("""COMPUTED_VALUE"""),1103)</f>
        <v>1103</v>
      </c>
      <c r="U199" s="12">
        <f ca="1">IFERROR(__xludf.DUMMYFUNCTION("""COMPUTED_VALUE"""),266)</f>
        <v>266</v>
      </c>
    </row>
    <row r="200" spans="1:21" x14ac:dyDescent="0.25">
      <c r="A200" s="11">
        <f ca="1">IFERROR(__xludf.DUMMYFUNCTION("""COMPUTED_VALUE"""),44088)</f>
        <v>44088</v>
      </c>
      <c r="B200" s="12">
        <f ca="1">IFERROR(__xludf.DUMMYFUNCTION("""COMPUTED_VALUE"""),221523)</f>
        <v>221523</v>
      </c>
      <c r="C200" s="12">
        <f ca="1">IFERROR(__xludf.DUMMYFUNCTION("""COMPUTED_VALUE"""),54277)</f>
        <v>54277</v>
      </c>
      <c r="D200" s="12">
        <f ca="1">IFERROR(__xludf.DUMMYFUNCTION("""COMPUTED_VALUE"""),158405)</f>
        <v>158405</v>
      </c>
      <c r="E200" s="12">
        <f ca="1">IFERROR(__xludf.DUMMYFUNCTION("""COMPUTED_VALUE"""),8841)</f>
        <v>8841</v>
      </c>
      <c r="F200" s="12">
        <f ca="1">IFERROR(__xludf.DUMMYFUNCTION("""COMPUTED_VALUE"""),1440)</f>
        <v>1440</v>
      </c>
      <c r="G200" s="12">
        <f ca="1">IFERROR(__xludf.DUMMYFUNCTION("""COMPUTED_VALUE"""),42325)</f>
        <v>42325</v>
      </c>
      <c r="H200" s="12">
        <f ca="1">IFERROR(__xludf.DUMMYFUNCTION("""COMPUTED_VALUE"""),7530)</f>
        <v>7530</v>
      </c>
      <c r="I200" s="12">
        <f ca="1">IFERROR(__xludf.DUMMYFUNCTION("""COMPUTED_VALUE"""),4631)</f>
        <v>4631</v>
      </c>
      <c r="J200" s="12">
        <f ca="1">IFERROR(__xludf.DUMMYFUNCTION("""COMPUTED_VALUE"""),55926)</f>
        <v>55926</v>
      </c>
      <c r="K200" s="12">
        <f ca="1">IFERROR(__xludf.DUMMYFUNCTION("""COMPUTED_VALUE"""),12161)</f>
        <v>12161</v>
      </c>
      <c r="L200" s="12">
        <f ca="1">IFERROR(__xludf.DUMMYFUNCTION("""COMPUTED_VALUE"""),3141)</f>
        <v>3141</v>
      </c>
      <c r="M200" s="12">
        <f ca="1">IFERROR(__xludf.DUMMYFUNCTION("""COMPUTED_VALUE"""),-372)</f>
        <v>-372</v>
      </c>
      <c r="N200" s="12">
        <f ca="1">IFERROR(__xludf.DUMMYFUNCTION("""COMPUTED_VALUE"""),3395)</f>
        <v>3395</v>
      </c>
      <c r="O200" s="12">
        <f ca="1">IFERROR(__xludf.DUMMYFUNCTION("""COMPUTED_VALUE"""),118)</f>
        <v>118</v>
      </c>
      <c r="P200" s="12">
        <f ca="1">IFERROR(__xludf.DUMMYFUNCTION("""COMPUTED_VALUE"""),30)</f>
        <v>30</v>
      </c>
      <c r="Q200" s="12">
        <f ca="1">IFERROR(__xludf.DUMMYFUNCTION("""COMPUTED_VALUE"""),1311)</f>
        <v>1311</v>
      </c>
      <c r="R200" s="12">
        <f ca="1">IFERROR(__xludf.DUMMYFUNCTION("""COMPUTED_VALUE"""),-261)</f>
        <v>-261</v>
      </c>
      <c r="S200" s="12">
        <f ca="1">IFERROR(__xludf.DUMMYFUNCTION("""COMPUTED_VALUE"""),-18)</f>
        <v>-18</v>
      </c>
      <c r="T200" s="12">
        <f ca="1">IFERROR(__xludf.DUMMYFUNCTION("""COMPUTED_VALUE"""),1062)</f>
        <v>1062</v>
      </c>
      <c r="U200" s="12">
        <f ca="1">IFERROR(__xludf.DUMMYFUNCTION("""COMPUTED_VALUE"""),-279)</f>
        <v>-279</v>
      </c>
    </row>
    <row r="201" spans="1:21" x14ac:dyDescent="0.25">
      <c r="A201" s="11">
        <f ca="1">IFERROR(__xludf.DUMMYFUNCTION("""COMPUTED_VALUE"""),44089)</f>
        <v>44089</v>
      </c>
      <c r="B201" s="12">
        <f ca="1">IFERROR(__xludf.DUMMYFUNCTION("""COMPUTED_VALUE"""),225030)</f>
        <v>225030</v>
      </c>
      <c r="C201" s="12">
        <f ca="1">IFERROR(__xludf.DUMMYFUNCTION("""COMPUTED_VALUE"""),55000)</f>
        <v>55000</v>
      </c>
      <c r="D201" s="12">
        <f ca="1">IFERROR(__xludf.DUMMYFUNCTION("""COMPUTED_VALUE"""),161065)</f>
        <v>161065</v>
      </c>
      <c r="E201" s="12">
        <f ca="1">IFERROR(__xludf.DUMMYFUNCTION("""COMPUTED_VALUE"""),8965)</f>
        <v>8965</v>
      </c>
      <c r="F201" s="12">
        <f ca="1">IFERROR(__xludf.DUMMYFUNCTION("""COMPUTED_VALUE"""),1468)</f>
        <v>1468</v>
      </c>
      <c r="G201" s="12">
        <f ca="1">IFERROR(__xludf.DUMMYFUNCTION("""COMPUTED_VALUE"""),43306)</f>
        <v>43306</v>
      </c>
      <c r="H201" s="12">
        <f ca="1">IFERROR(__xludf.DUMMYFUNCTION("""COMPUTED_VALUE"""),7711)</f>
        <v>7711</v>
      </c>
      <c r="I201" s="12">
        <f ca="1">IFERROR(__xludf.DUMMYFUNCTION("""COMPUTED_VALUE"""),4468)</f>
        <v>4468</v>
      </c>
      <c r="J201" s="12">
        <f ca="1">IFERROR(__xludf.DUMMYFUNCTION("""COMPUTED_VALUE"""),56953)</f>
        <v>56953</v>
      </c>
      <c r="K201" s="12">
        <f ca="1">IFERROR(__xludf.DUMMYFUNCTION("""COMPUTED_VALUE"""),12179)</f>
        <v>12179</v>
      </c>
      <c r="L201" s="12">
        <f ca="1">IFERROR(__xludf.DUMMYFUNCTION("""COMPUTED_VALUE"""),3507)</f>
        <v>3507</v>
      </c>
      <c r="M201" s="12">
        <f ca="1">IFERROR(__xludf.DUMMYFUNCTION("""COMPUTED_VALUE"""),723)</f>
        <v>723</v>
      </c>
      <c r="N201" s="12">
        <f ca="1">IFERROR(__xludf.DUMMYFUNCTION("""COMPUTED_VALUE"""),2660)</f>
        <v>2660</v>
      </c>
      <c r="O201" s="12">
        <f ca="1">IFERROR(__xludf.DUMMYFUNCTION("""COMPUTED_VALUE"""),124)</f>
        <v>124</v>
      </c>
      <c r="P201" s="12">
        <f ca="1">IFERROR(__xludf.DUMMYFUNCTION("""COMPUTED_VALUE"""),28)</f>
        <v>28</v>
      </c>
      <c r="Q201" s="12">
        <f ca="1">IFERROR(__xludf.DUMMYFUNCTION("""COMPUTED_VALUE"""),981)</f>
        <v>981</v>
      </c>
      <c r="R201" s="12">
        <f ca="1">IFERROR(__xludf.DUMMYFUNCTION("""COMPUTED_VALUE"""),181)</f>
        <v>181</v>
      </c>
      <c r="S201" s="12">
        <f ca="1">IFERROR(__xludf.DUMMYFUNCTION("""COMPUTED_VALUE"""),-163)</f>
        <v>-163</v>
      </c>
      <c r="T201" s="12">
        <f ca="1">IFERROR(__xludf.DUMMYFUNCTION("""COMPUTED_VALUE"""),1027)</f>
        <v>1027</v>
      </c>
      <c r="U201" s="12">
        <f ca="1">IFERROR(__xludf.DUMMYFUNCTION("""COMPUTED_VALUE"""),18)</f>
        <v>18</v>
      </c>
    </row>
    <row r="202" spans="1:21" x14ac:dyDescent="0.25">
      <c r="A202" s="11">
        <f ca="1">IFERROR(__xludf.DUMMYFUNCTION("""COMPUTED_VALUE"""),44090)</f>
        <v>44090</v>
      </c>
      <c r="B202" s="12">
        <f ca="1">IFERROR(__xludf.DUMMYFUNCTION("""COMPUTED_VALUE"""),228993)</f>
        <v>228993</v>
      </c>
      <c r="C202" s="12">
        <f ca="1">IFERROR(__xludf.DUMMYFUNCTION("""COMPUTED_VALUE"""),55792)</f>
        <v>55792</v>
      </c>
      <c r="D202" s="12">
        <f ca="1">IFERROR(__xludf.DUMMYFUNCTION("""COMPUTED_VALUE"""),164101)</f>
        <v>164101</v>
      </c>
      <c r="E202" s="12">
        <f ca="1">IFERROR(__xludf.DUMMYFUNCTION("""COMPUTED_VALUE"""),9100)</f>
        <v>9100</v>
      </c>
      <c r="F202" s="12">
        <f ca="1">IFERROR(__xludf.DUMMYFUNCTION("""COMPUTED_VALUE"""),1498)</f>
        <v>1498</v>
      </c>
      <c r="G202" s="12">
        <f ca="1">IFERROR(__xludf.DUMMYFUNCTION("""COMPUTED_VALUE"""),44251)</f>
        <v>44251</v>
      </c>
      <c r="H202" s="12">
        <f ca="1">IFERROR(__xludf.DUMMYFUNCTION("""COMPUTED_VALUE"""),7907)</f>
        <v>7907</v>
      </c>
      <c r="I202" s="12">
        <f ca="1">IFERROR(__xludf.DUMMYFUNCTION("""COMPUTED_VALUE"""),4802)</f>
        <v>4802</v>
      </c>
      <c r="J202" s="12">
        <f ca="1">IFERROR(__xludf.DUMMYFUNCTION("""COMPUTED_VALUE"""),58458)</f>
        <v>58458</v>
      </c>
      <c r="K202" s="12">
        <f ca="1">IFERROR(__xludf.DUMMYFUNCTION("""COMPUTED_VALUE"""),12709)</f>
        <v>12709</v>
      </c>
      <c r="L202" s="12">
        <f ca="1">IFERROR(__xludf.DUMMYFUNCTION("""COMPUTED_VALUE"""),3963)</f>
        <v>3963</v>
      </c>
      <c r="M202" s="12">
        <f ca="1">IFERROR(__xludf.DUMMYFUNCTION("""COMPUTED_VALUE"""),792)</f>
        <v>792</v>
      </c>
      <c r="N202" s="12">
        <f ca="1">IFERROR(__xludf.DUMMYFUNCTION("""COMPUTED_VALUE"""),3036)</f>
        <v>3036</v>
      </c>
      <c r="O202" s="12">
        <f ca="1">IFERROR(__xludf.DUMMYFUNCTION("""COMPUTED_VALUE"""),135)</f>
        <v>135</v>
      </c>
      <c r="P202" s="12">
        <f ca="1">IFERROR(__xludf.DUMMYFUNCTION("""COMPUTED_VALUE"""),30)</f>
        <v>30</v>
      </c>
      <c r="Q202" s="12">
        <f ca="1">IFERROR(__xludf.DUMMYFUNCTION("""COMPUTED_VALUE"""),945)</f>
        <v>945</v>
      </c>
      <c r="R202" s="12">
        <f ca="1">IFERROR(__xludf.DUMMYFUNCTION("""COMPUTED_VALUE"""),196)</f>
        <v>196</v>
      </c>
      <c r="S202" s="12">
        <f ca="1">IFERROR(__xludf.DUMMYFUNCTION("""COMPUTED_VALUE"""),334)</f>
        <v>334</v>
      </c>
      <c r="T202" s="12">
        <f ca="1">IFERROR(__xludf.DUMMYFUNCTION("""COMPUTED_VALUE"""),1505)</f>
        <v>1505</v>
      </c>
      <c r="U202" s="12">
        <f ca="1">IFERROR(__xludf.DUMMYFUNCTION("""COMPUTED_VALUE"""),530)</f>
        <v>530</v>
      </c>
    </row>
    <row r="203" spans="1:21" x14ac:dyDescent="0.25">
      <c r="A203" s="11">
        <f ca="1">IFERROR(__xludf.DUMMYFUNCTION("""COMPUTED_VALUE"""),44091)</f>
        <v>44091</v>
      </c>
      <c r="B203" s="12">
        <f ca="1">IFERROR(__xludf.DUMMYFUNCTION("""COMPUTED_VALUE"""),232628)</f>
        <v>232628</v>
      </c>
      <c r="C203" s="12">
        <f ca="1">IFERROR(__xludf.DUMMYFUNCTION("""COMPUTED_VALUE"""),56720)</f>
        <v>56720</v>
      </c>
      <c r="D203" s="12">
        <f ca="1">IFERROR(__xludf.DUMMYFUNCTION("""COMPUTED_VALUE"""),166686)</f>
        <v>166686</v>
      </c>
      <c r="E203" s="12">
        <f ca="1">IFERROR(__xludf.DUMMYFUNCTION("""COMPUTED_VALUE"""),9222)</f>
        <v>9222</v>
      </c>
      <c r="F203" s="12">
        <f ca="1">IFERROR(__xludf.DUMMYFUNCTION("""COMPUTED_VALUE"""),1513)</f>
        <v>1513</v>
      </c>
      <c r="G203" s="12">
        <f ca="1">IFERROR(__xludf.DUMMYFUNCTION("""COMPUTED_VALUE"""),45207)</f>
        <v>45207</v>
      </c>
      <c r="H203" s="12">
        <f ca="1">IFERROR(__xludf.DUMMYFUNCTION("""COMPUTED_VALUE"""),8013)</f>
        <v>8013</v>
      </c>
      <c r="I203" s="12">
        <f ca="1">IFERROR(__xludf.DUMMYFUNCTION("""COMPUTED_VALUE"""),4739)</f>
        <v>4739</v>
      </c>
      <c r="J203" s="12">
        <f ca="1">IFERROR(__xludf.DUMMYFUNCTION("""COMPUTED_VALUE"""),59472)</f>
        <v>59472</v>
      </c>
      <c r="K203" s="12">
        <f ca="1">IFERROR(__xludf.DUMMYFUNCTION("""COMPUTED_VALUE"""),12752)</f>
        <v>12752</v>
      </c>
      <c r="L203" s="12">
        <f ca="1">IFERROR(__xludf.DUMMYFUNCTION("""COMPUTED_VALUE"""),3635)</f>
        <v>3635</v>
      </c>
      <c r="M203" s="12">
        <f ca="1">IFERROR(__xludf.DUMMYFUNCTION("""COMPUTED_VALUE"""),928)</f>
        <v>928</v>
      </c>
      <c r="N203" s="12">
        <f ca="1">IFERROR(__xludf.DUMMYFUNCTION("""COMPUTED_VALUE"""),2585)</f>
        <v>2585</v>
      </c>
      <c r="O203" s="12">
        <f ca="1">IFERROR(__xludf.DUMMYFUNCTION("""COMPUTED_VALUE"""),122)</f>
        <v>122</v>
      </c>
      <c r="P203" s="12">
        <f ca="1">IFERROR(__xludf.DUMMYFUNCTION("""COMPUTED_VALUE"""),15)</f>
        <v>15</v>
      </c>
      <c r="Q203" s="12">
        <f ca="1">IFERROR(__xludf.DUMMYFUNCTION("""COMPUTED_VALUE"""),956)</f>
        <v>956</v>
      </c>
      <c r="R203" s="12">
        <f ca="1">IFERROR(__xludf.DUMMYFUNCTION("""COMPUTED_VALUE"""),106)</f>
        <v>106</v>
      </c>
      <c r="S203" s="12">
        <f ca="1">IFERROR(__xludf.DUMMYFUNCTION("""COMPUTED_VALUE"""),-63)</f>
        <v>-63</v>
      </c>
      <c r="T203" s="12">
        <f ca="1">IFERROR(__xludf.DUMMYFUNCTION("""COMPUTED_VALUE"""),1014)</f>
        <v>1014</v>
      </c>
      <c r="U203" s="12">
        <f ca="1">IFERROR(__xludf.DUMMYFUNCTION("""COMPUTED_VALUE"""),43)</f>
        <v>43</v>
      </c>
    </row>
    <row r="204" spans="1:21" x14ac:dyDescent="0.25">
      <c r="A204" s="11">
        <f ca="1">IFERROR(__xludf.DUMMYFUNCTION("""COMPUTED_VALUE"""),44092)</f>
        <v>44092</v>
      </c>
      <c r="B204" s="12">
        <f ca="1">IFERROR(__xludf.DUMMYFUNCTION("""COMPUTED_VALUE"""),236519)</f>
        <v>236519</v>
      </c>
      <c r="C204" s="12">
        <f ca="1">IFERROR(__xludf.DUMMYFUNCTION("""COMPUTED_VALUE"""),56409)</f>
        <v>56409</v>
      </c>
      <c r="D204" s="12">
        <f ca="1">IFERROR(__xludf.DUMMYFUNCTION("""COMPUTED_VALUE"""),170774)</f>
        <v>170774</v>
      </c>
      <c r="E204" s="12">
        <f ca="1">IFERROR(__xludf.DUMMYFUNCTION("""COMPUTED_VALUE"""),9336)</f>
        <v>9336</v>
      </c>
      <c r="F204" s="12">
        <f ca="1">IFERROR(__xludf.DUMMYFUNCTION("""COMPUTED_VALUE"""),1535)</f>
        <v>1535</v>
      </c>
      <c r="G204" s="12">
        <f ca="1">IFERROR(__xludf.DUMMYFUNCTION("""COMPUTED_VALUE"""),46235)</f>
        <v>46235</v>
      </c>
      <c r="H204" s="12">
        <f ca="1">IFERROR(__xludf.DUMMYFUNCTION("""COMPUTED_VALUE"""),8450)</f>
        <v>8450</v>
      </c>
      <c r="I204" s="12">
        <f ca="1">IFERROR(__xludf.DUMMYFUNCTION("""COMPUTED_VALUE"""),4655)</f>
        <v>4655</v>
      </c>
      <c r="J204" s="12">
        <f ca="1">IFERROR(__xludf.DUMMYFUNCTION("""COMPUTED_VALUE"""),60875)</f>
        <v>60875</v>
      </c>
      <c r="K204" s="12">
        <f ca="1">IFERROR(__xludf.DUMMYFUNCTION("""COMPUTED_VALUE"""),13105)</f>
        <v>13105</v>
      </c>
      <c r="L204" s="12">
        <f ca="1">IFERROR(__xludf.DUMMYFUNCTION("""COMPUTED_VALUE"""),3891)</f>
        <v>3891</v>
      </c>
      <c r="M204" s="12">
        <f ca="1">IFERROR(__xludf.DUMMYFUNCTION("""COMPUTED_VALUE"""),-311)</f>
        <v>-311</v>
      </c>
      <c r="N204" s="12">
        <f ca="1">IFERROR(__xludf.DUMMYFUNCTION("""COMPUTED_VALUE"""),4088)</f>
        <v>4088</v>
      </c>
      <c r="O204" s="12">
        <f ca="1">IFERROR(__xludf.DUMMYFUNCTION("""COMPUTED_VALUE"""),114)</f>
        <v>114</v>
      </c>
      <c r="P204" s="12">
        <f ca="1">IFERROR(__xludf.DUMMYFUNCTION("""COMPUTED_VALUE"""),22)</f>
        <v>22</v>
      </c>
      <c r="Q204" s="12">
        <f ca="1">IFERROR(__xludf.DUMMYFUNCTION("""COMPUTED_VALUE"""),1028)</f>
        <v>1028</v>
      </c>
      <c r="R204" s="12">
        <f ca="1">IFERROR(__xludf.DUMMYFUNCTION("""COMPUTED_VALUE"""),437)</f>
        <v>437</v>
      </c>
      <c r="S204" s="12">
        <f ca="1">IFERROR(__xludf.DUMMYFUNCTION("""COMPUTED_VALUE"""),-84)</f>
        <v>-84</v>
      </c>
      <c r="T204" s="12">
        <f ca="1">IFERROR(__xludf.DUMMYFUNCTION("""COMPUTED_VALUE"""),1403)</f>
        <v>1403</v>
      </c>
      <c r="U204" s="12">
        <f ca="1">IFERROR(__xludf.DUMMYFUNCTION("""COMPUTED_VALUE"""),353)</f>
        <v>353</v>
      </c>
    </row>
    <row r="205" spans="1:21" x14ac:dyDescent="0.25">
      <c r="A205" s="11">
        <f ca="1">IFERROR(__xludf.DUMMYFUNCTION("""COMPUTED_VALUE"""),44093)</f>
        <v>44093</v>
      </c>
      <c r="B205" s="12">
        <f ca="1">IFERROR(__xludf.DUMMYFUNCTION("""COMPUTED_VALUE"""),240687)</f>
        <v>240687</v>
      </c>
      <c r="C205" s="12">
        <f ca="1">IFERROR(__xludf.DUMMYFUNCTION("""COMPUTED_VALUE"""),56889)</f>
        <v>56889</v>
      </c>
      <c r="D205" s="12">
        <f ca="1">IFERROR(__xludf.DUMMYFUNCTION("""COMPUTED_VALUE"""),174350)</f>
        <v>174350</v>
      </c>
      <c r="E205" s="12">
        <f ca="1">IFERROR(__xludf.DUMMYFUNCTION("""COMPUTED_VALUE"""),9448)</f>
        <v>9448</v>
      </c>
      <c r="F205" s="12">
        <f ca="1">IFERROR(__xludf.DUMMYFUNCTION("""COMPUTED_VALUE"""),1546)</f>
        <v>1546</v>
      </c>
      <c r="G205" s="12">
        <f ca="1">IFERROR(__xludf.DUMMYFUNCTION("""COMPUTED_VALUE"""),47260)</f>
        <v>47260</v>
      </c>
      <c r="H205" s="12">
        <f ca="1">IFERROR(__xludf.DUMMYFUNCTION("""COMPUTED_VALUE"""),8696)</f>
        <v>8696</v>
      </c>
      <c r="I205" s="12">
        <f ca="1">IFERROR(__xludf.DUMMYFUNCTION("""COMPUTED_VALUE"""),4305)</f>
        <v>4305</v>
      </c>
      <c r="J205" s="12">
        <f ca="1">IFERROR(__xludf.DUMMYFUNCTION("""COMPUTED_VALUE"""),61807)</f>
        <v>61807</v>
      </c>
      <c r="K205" s="12">
        <f ca="1">IFERROR(__xludf.DUMMYFUNCTION("""COMPUTED_VALUE"""),13001)</f>
        <v>13001</v>
      </c>
      <c r="L205" s="12">
        <f ca="1">IFERROR(__xludf.DUMMYFUNCTION("""COMPUTED_VALUE"""),4168)</f>
        <v>4168</v>
      </c>
      <c r="M205" s="12">
        <f ca="1">IFERROR(__xludf.DUMMYFUNCTION("""COMPUTED_VALUE"""),480)</f>
        <v>480</v>
      </c>
      <c r="N205" s="12">
        <f ca="1">IFERROR(__xludf.DUMMYFUNCTION("""COMPUTED_VALUE"""),3576)</f>
        <v>3576</v>
      </c>
      <c r="O205" s="12">
        <f ca="1">IFERROR(__xludf.DUMMYFUNCTION("""COMPUTED_VALUE"""),112)</f>
        <v>112</v>
      </c>
      <c r="P205" s="12">
        <f ca="1">IFERROR(__xludf.DUMMYFUNCTION("""COMPUTED_VALUE"""),11)</f>
        <v>11</v>
      </c>
      <c r="Q205" s="12">
        <f ca="1">IFERROR(__xludf.DUMMYFUNCTION("""COMPUTED_VALUE"""),1025)</f>
        <v>1025</v>
      </c>
      <c r="R205" s="12">
        <f ca="1">IFERROR(__xludf.DUMMYFUNCTION("""COMPUTED_VALUE"""),246)</f>
        <v>246</v>
      </c>
      <c r="S205" s="12">
        <f ca="1">IFERROR(__xludf.DUMMYFUNCTION("""COMPUTED_VALUE"""),-350)</f>
        <v>-350</v>
      </c>
      <c r="T205" s="12">
        <f ca="1">IFERROR(__xludf.DUMMYFUNCTION("""COMPUTED_VALUE"""),932)</f>
        <v>932</v>
      </c>
      <c r="U205" s="12">
        <f ca="1">IFERROR(__xludf.DUMMYFUNCTION("""COMPUTED_VALUE"""),-104)</f>
        <v>-104</v>
      </c>
    </row>
    <row r="206" spans="1:21" x14ac:dyDescent="0.25">
      <c r="A206" s="11">
        <f ca="1">IFERROR(__xludf.DUMMYFUNCTION("""COMPUTED_VALUE"""),44094)</f>
        <v>44094</v>
      </c>
      <c r="B206" s="12">
        <f ca="1">IFERROR(__xludf.DUMMYFUNCTION("""COMPUTED_VALUE"""),244676)</f>
        <v>244676</v>
      </c>
      <c r="C206" s="12">
        <f ca="1">IFERROR(__xludf.DUMMYFUNCTION("""COMPUTED_VALUE"""),57796)</f>
        <v>57796</v>
      </c>
      <c r="D206" s="12">
        <f ca="1">IFERROR(__xludf.DUMMYFUNCTION("""COMPUTED_VALUE"""),177327)</f>
        <v>177327</v>
      </c>
      <c r="E206" s="12">
        <f ca="1">IFERROR(__xludf.DUMMYFUNCTION("""COMPUTED_VALUE"""),9553)</f>
        <v>9553</v>
      </c>
      <c r="F206" s="12">
        <f ca="1">IFERROR(__xludf.DUMMYFUNCTION("""COMPUTED_VALUE"""),1561)</f>
        <v>1561</v>
      </c>
      <c r="G206" s="12">
        <f ca="1">IFERROR(__xludf.DUMMYFUNCTION("""COMPUTED_VALUE"""),49209)</f>
        <v>49209</v>
      </c>
      <c r="H206" s="12">
        <f ca="1">IFERROR(__xludf.DUMMYFUNCTION("""COMPUTED_VALUE"""),8297)</f>
        <v>8297</v>
      </c>
      <c r="I206" s="12">
        <f ca="1">IFERROR(__xludf.DUMMYFUNCTION("""COMPUTED_VALUE"""),3819)</f>
        <v>3819</v>
      </c>
      <c r="J206" s="12">
        <f ca="1">IFERROR(__xludf.DUMMYFUNCTION("""COMPUTED_VALUE"""),62886)</f>
        <v>62886</v>
      </c>
      <c r="K206" s="12">
        <f ca="1">IFERROR(__xludf.DUMMYFUNCTION("""COMPUTED_VALUE"""),12116)</f>
        <v>12116</v>
      </c>
      <c r="L206" s="12">
        <f ca="1">IFERROR(__xludf.DUMMYFUNCTION("""COMPUTED_VALUE"""),3989)</f>
        <v>3989</v>
      </c>
      <c r="M206" s="12">
        <f ca="1">IFERROR(__xludf.DUMMYFUNCTION("""COMPUTED_VALUE"""),907)</f>
        <v>907</v>
      </c>
      <c r="N206" s="12">
        <f ca="1">IFERROR(__xludf.DUMMYFUNCTION("""COMPUTED_VALUE"""),2977)</f>
        <v>2977</v>
      </c>
      <c r="O206" s="12">
        <f ca="1">IFERROR(__xludf.DUMMYFUNCTION("""COMPUTED_VALUE"""),105)</f>
        <v>105</v>
      </c>
      <c r="P206" s="12">
        <f ca="1">IFERROR(__xludf.DUMMYFUNCTION("""COMPUTED_VALUE"""),15)</f>
        <v>15</v>
      </c>
      <c r="Q206" s="12">
        <f ca="1">IFERROR(__xludf.DUMMYFUNCTION("""COMPUTED_VALUE"""),1949)</f>
        <v>1949</v>
      </c>
      <c r="R206" s="12">
        <f ca="1">IFERROR(__xludf.DUMMYFUNCTION("""COMPUTED_VALUE"""),-399)</f>
        <v>-399</v>
      </c>
      <c r="S206" s="12">
        <f ca="1">IFERROR(__xludf.DUMMYFUNCTION("""COMPUTED_VALUE"""),-486)</f>
        <v>-486</v>
      </c>
      <c r="T206" s="12">
        <f ca="1">IFERROR(__xludf.DUMMYFUNCTION("""COMPUTED_VALUE"""),1079)</f>
        <v>1079</v>
      </c>
      <c r="U206" s="12">
        <f ca="1">IFERROR(__xludf.DUMMYFUNCTION("""COMPUTED_VALUE"""),-885)</f>
        <v>-885</v>
      </c>
    </row>
    <row r="207" spans="1:21" x14ac:dyDescent="0.25">
      <c r="A207" s="11">
        <f ca="1">IFERROR(__xludf.DUMMYFUNCTION("""COMPUTED_VALUE"""),44095)</f>
        <v>44095</v>
      </c>
      <c r="B207" s="12">
        <f ca="1">IFERROR(__xludf.DUMMYFUNCTION("""COMPUTED_VALUE"""),248852)</f>
        <v>248852</v>
      </c>
      <c r="C207" s="12">
        <f ca="1">IFERROR(__xludf.DUMMYFUNCTION("""COMPUTED_VALUE"""),58378)</f>
        <v>58378</v>
      </c>
      <c r="D207" s="12">
        <f ca="1">IFERROR(__xludf.DUMMYFUNCTION("""COMPUTED_VALUE"""),180797)</f>
        <v>180797</v>
      </c>
      <c r="E207" s="12">
        <f ca="1">IFERROR(__xludf.DUMMYFUNCTION("""COMPUTED_VALUE"""),9677)</f>
        <v>9677</v>
      </c>
      <c r="F207" s="12">
        <f ca="1">IFERROR(__xludf.DUMMYFUNCTION("""COMPUTED_VALUE"""),1592)</f>
        <v>1592</v>
      </c>
      <c r="G207" s="12">
        <f ca="1">IFERROR(__xludf.DUMMYFUNCTION("""COMPUTED_VALUE"""),49630)</f>
        <v>49630</v>
      </c>
      <c r="H207" s="12">
        <f ca="1">IFERROR(__xludf.DUMMYFUNCTION("""COMPUTED_VALUE"""),9225)</f>
        <v>9225</v>
      </c>
      <c r="I207" s="12">
        <f ca="1">IFERROR(__xludf.DUMMYFUNCTION("""COMPUTED_VALUE"""),3749)</f>
        <v>3749</v>
      </c>
      <c r="J207" s="12">
        <f ca="1">IFERROR(__xludf.DUMMYFUNCTION("""COMPUTED_VALUE"""),64196)</f>
        <v>64196</v>
      </c>
      <c r="K207" s="12">
        <f ca="1">IFERROR(__xludf.DUMMYFUNCTION("""COMPUTED_VALUE"""),12974)</f>
        <v>12974</v>
      </c>
      <c r="L207" s="12">
        <f ca="1">IFERROR(__xludf.DUMMYFUNCTION("""COMPUTED_VALUE"""),4176)</f>
        <v>4176</v>
      </c>
      <c r="M207" s="12">
        <f ca="1">IFERROR(__xludf.DUMMYFUNCTION("""COMPUTED_VALUE"""),582)</f>
        <v>582</v>
      </c>
      <c r="N207" s="12">
        <f ca="1">IFERROR(__xludf.DUMMYFUNCTION("""COMPUTED_VALUE"""),3470)</f>
        <v>3470</v>
      </c>
      <c r="O207" s="12">
        <f ca="1">IFERROR(__xludf.DUMMYFUNCTION("""COMPUTED_VALUE"""),124)</f>
        <v>124</v>
      </c>
      <c r="P207" s="12">
        <f ca="1">IFERROR(__xludf.DUMMYFUNCTION("""COMPUTED_VALUE"""),31)</f>
        <v>31</v>
      </c>
      <c r="Q207" s="12">
        <f ca="1">IFERROR(__xludf.DUMMYFUNCTION("""COMPUTED_VALUE"""),421)</f>
        <v>421</v>
      </c>
      <c r="R207" s="12">
        <f ca="1">IFERROR(__xludf.DUMMYFUNCTION("""COMPUTED_VALUE"""),928)</f>
        <v>928</v>
      </c>
      <c r="S207" s="12">
        <f ca="1">IFERROR(__xludf.DUMMYFUNCTION("""COMPUTED_VALUE"""),-70)</f>
        <v>-70</v>
      </c>
      <c r="T207" s="12">
        <f ca="1">IFERROR(__xludf.DUMMYFUNCTION("""COMPUTED_VALUE"""),1310)</f>
        <v>1310</v>
      </c>
      <c r="U207" s="12">
        <f ca="1">IFERROR(__xludf.DUMMYFUNCTION("""COMPUTED_VALUE"""),858)</f>
        <v>858</v>
      </c>
    </row>
    <row r="208" spans="1:21" x14ac:dyDescent="0.25">
      <c r="A208" s="11">
        <f ca="1">IFERROR(__xludf.DUMMYFUNCTION("""COMPUTED_VALUE"""),44096)</f>
        <v>44096</v>
      </c>
      <c r="B208" s="12">
        <f ca="1">IFERROR(__xludf.DUMMYFUNCTION("""COMPUTED_VALUE"""),252923)</f>
        <v>252923</v>
      </c>
      <c r="C208" s="12">
        <f ca="1">IFERROR(__xludf.DUMMYFUNCTION("""COMPUTED_VALUE"""),58788)</f>
        <v>58788</v>
      </c>
      <c r="D208" s="12">
        <f ca="1">IFERROR(__xludf.DUMMYFUNCTION("""COMPUTED_VALUE"""),184298)</f>
        <v>184298</v>
      </c>
      <c r="E208" s="12">
        <f ca="1">IFERROR(__xludf.DUMMYFUNCTION("""COMPUTED_VALUE"""),9837)</f>
        <v>9837</v>
      </c>
      <c r="F208" s="12">
        <f ca="1">IFERROR(__xludf.DUMMYFUNCTION("""COMPUTED_VALUE"""),1624)</f>
        <v>1624</v>
      </c>
      <c r="G208" s="12">
        <f ca="1">IFERROR(__xludf.DUMMYFUNCTION("""COMPUTED_VALUE"""),50473)</f>
        <v>50473</v>
      </c>
      <c r="H208" s="12">
        <f ca="1">IFERROR(__xludf.DUMMYFUNCTION("""COMPUTED_VALUE"""),9380)</f>
        <v>9380</v>
      </c>
      <c r="I208" s="12">
        <f ca="1">IFERROR(__xludf.DUMMYFUNCTION("""COMPUTED_VALUE"""),3841)</f>
        <v>3841</v>
      </c>
      <c r="J208" s="12">
        <f ca="1">IFERROR(__xludf.DUMMYFUNCTION("""COMPUTED_VALUE"""),65318)</f>
        <v>65318</v>
      </c>
      <c r="K208" s="12">
        <f ca="1">IFERROR(__xludf.DUMMYFUNCTION("""COMPUTED_VALUE"""),13221)</f>
        <v>13221</v>
      </c>
      <c r="L208" s="12">
        <f ca="1">IFERROR(__xludf.DUMMYFUNCTION("""COMPUTED_VALUE"""),4071)</f>
        <v>4071</v>
      </c>
      <c r="M208" s="12">
        <f ca="1">IFERROR(__xludf.DUMMYFUNCTION("""COMPUTED_VALUE"""),410)</f>
        <v>410</v>
      </c>
      <c r="N208" s="12">
        <f ca="1">IFERROR(__xludf.DUMMYFUNCTION("""COMPUTED_VALUE"""),3501)</f>
        <v>3501</v>
      </c>
      <c r="O208" s="12">
        <f ca="1">IFERROR(__xludf.DUMMYFUNCTION("""COMPUTED_VALUE"""),160)</f>
        <v>160</v>
      </c>
      <c r="P208" s="12">
        <f ca="1">IFERROR(__xludf.DUMMYFUNCTION("""COMPUTED_VALUE"""),32)</f>
        <v>32</v>
      </c>
      <c r="Q208" s="12">
        <f ca="1">IFERROR(__xludf.DUMMYFUNCTION("""COMPUTED_VALUE"""),843)</f>
        <v>843</v>
      </c>
      <c r="R208" s="12">
        <f ca="1">IFERROR(__xludf.DUMMYFUNCTION("""COMPUTED_VALUE"""),155)</f>
        <v>155</v>
      </c>
      <c r="S208" s="12">
        <f ca="1">IFERROR(__xludf.DUMMYFUNCTION("""COMPUTED_VALUE"""),92)</f>
        <v>92</v>
      </c>
      <c r="T208" s="12">
        <f ca="1">IFERROR(__xludf.DUMMYFUNCTION("""COMPUTED_VALUE"""),1122)</f>
        <v>1122</v>
      </c>
      <c r="U208" s="12">
        <f ca="1">IFERROR(__xludf.DUMMYFUNCTION("""COMPUTED_VALUE"""),247)</f>
        <v>247</v>
      </c>
    </row>
    <row r="209" spans="1:21" x14ac:dyDescent="0.25">
      <c r="A209" s="11">
        <f ca="1">IFERROR(__xludf.DUMMYFUNCTION("""COMPUTED_VALUE"""),44097)</f>
        <v>44097</v>
      </c>
      <c r="B209" s="12">
        <f ca="1">IFERROR(__xludf.DUMMYFUNCTION("""COMPUTED_VALUE"""),257388)</f>
        <v>257388</v>
      </c>
      <c r="C209" s="12">
        <f ca="1">IFERROR(__xludf.DUMMYFUNCTION("""COMPUTED_VALUE"""),59453)</f>
        <v>59453</v>
      </c>
      <c r="D209" s="12">
        <f ca="1">IFERROR(__xludf.DUMMYFUNCTION("""COMPUTED_VALUE"""),187958)</f>
        <v>187958</v>
      </c>
      <c r="E209" s="12">
        <f ca="1">IFERROR(__xludf.DUMMYFUNCTION("""COMPUTED_VALUE"""),9977)</f>
        <v>9977</v>
      </c>
      <c r="F209" s="12">
        <f ca="1">IFERROR(__xludf.DUMMYFUNCTION("""COMPUTED_VALUE"""),1650)</f>
        <v>1650</v>
      </c>
      <c r="G209" s="12">
        <f ca="1">IFERROR(__xludf.DUMMYFUNCTION("""COMPUTED_VALUE"""),51578)</f>
        <v>51578</v>
      </c>
      <c r="H209" s="12">
        <f ca="1">IFERROR(__xludf.DUMMYFUNCTION("""COMPUTED_VALUE"""),9611)</f>
        <v>9611</v>
      </c>
      <c r="I209" s="12">
        <f ca="1">IFERROR(__xludf.DUMMYFUNCTION("""COMPUTED_VALUE"""),3666)</f>
        <v>3666</v>
      </c>
      <c r="J209" s="12">
        <f ca="1">IFERROR(__xludf.DUMMYFUNCTION("""COMPUTED_VALUE"""),66505)</f>
        <v>66505</v>
      </c>
      <c r="K209" s="12">
        <f ca="1">IFERROR(__xludf.DUMMYFUNCTION("""COMPUTED_VALUE"""),13277)</f>
        <v>13277</v>
      </c>
      <c r="L209" s="12">
        <f ca="1">IFERROR(__xludf.DUMMYFUNCTION("""COMPUTED_VALUE"""),4465)</f>
        <v>4465</v>
      </c>
      <c r="M209" s="12">
        <f ca="1">IFERROR(__xludf.DUMMYFUNCTION("""COMPUTED_VALUE"""),665)</f>
        <v>665</v>
      </c>
      <c r="N209" s="12">
        <f ca="1">IFERROR(__xludf.DUMMYFUNCTION("""COMPUTED_VALUE"""),3660)</f>
        <v>3660</v>
      </c>
      <c r="O209" s="12">
        <f ca="1">IFERROR(__xludf.DUMMYFUNCTION("""COMPUTED_VALUE"""),140)</f>
        <v>140</v>
      </c>
      <c r="P209" s="12">
        <f ca="1">IFERROR(__xludf.DUMMYFUNCTION("""COMPUTED_VALUE"""),26)</f>
        <v>26</v>
      </c>
      <c r="Q209" s="12">
        <f ca="1">IFERROR(__xludf.DUMMYFUNCTION("""COMPUTED_VALUE"""),1105)</f>
        <v>1105</v>
      </c>
      <c r="R209" s="12">
        <f ca="1">IFERROR(__xludf.DUMMYFUNCTION("""COMPUTED_VALUE"""),231)</f>
        <v>231</v>
      </c>
      <c r="S209" s="12">
        <f ca="1">IFERROR(__xludf.DUMMYFUNCTION("""COMPUTED_VALUE"""),-175)</f>
        <v>-175</v>
      </c>
      <c r="T209" s="12">
        <f ca="1">IFERROR(__xludf.DUMMYFUNCTION("""COMPUTED_VALUE"""),1187)</f>
        <v>1187</v>
      </c>
      <c r="U209" s="12">
        <f ca="1">IFERROR(__xludf.DUMMYFUNCTION("""COMPUTED_VALUE"""),56)</f>
        <v>56</v>
      </c>
    </row>
    <row r="210" spans="1:21" x14ac:dyDescent="0.25">
      <c r="A210" s="11">
        <f ca="1">IFERROR(__xludf.DUMMYFUNCTION("""COMPUTED_VALUE"""),44098)</f>
        <v>44098</v>
      </c>
      <c r="B210" s="12">
        <f ca="1">IFERROR(__xludf.DUMMYFUNCTION("""COMPUTED_VALUE"""),262022)</f>
        <v>262022</v>
      </c>
      <c r="C210" s="12">
        <f ca="1">IFERROR(__xludf.DUMMYFUNCTION("""COMPUTED_VALUE"""),60064)</f>
        <v>60064</v>
      </c>
      <c r="D210" s="12">
        <f ca="1">IFERROR(__xludf.DUMMYFUNCTION("""COMPUTED_VALUE"""),191853)</f>
        <v>191853</v>
      </c>
      <c r="E210" s="12">
        <f ca="1">IFERROR(__xludf.DUMMYFUNCTION("""COMPUTED_VALUE"""),10105)</f>
        <v>10105</v>
      </c>
      <c r="F210" s="12">
        <f ca="1">IFERROR(__xludf.DUMMYFUNCTION("""COMPUTED_VALUE"""),1664)</f>
        <v>1664</v>
      </c>
      <c r="G210" s="12">
        <f ca="1">IFERROR(__xludf.DUMMYFUNCTION("""COMPUTED_VALUE"""),52742)</f>
        <v>52742</v>
      </c>
      <c r="H210" s="12">
        <f ca="1">IFERROR(__xludf.DUMMYFUNCTION("""COMPUTED_VALUE"""),9714)</f>
        <v>9714</v>
      </c>
      <c r="I210" s="12">
        <f ca="1">IFERROR(__xludf.DUMMYFUNCTION("""COMPUTED_VALUE"""),3518)</f>
        <v>3518</v>
      </c>
      <c r="J210" s="12">
        <f ca="1">IFERROR(__xludf.DUMMYFUNCTION("""COMPUTED_VALUE"""),67638)</f>
        <v>67638</v>
      </c>
      <c r="K210" s="12">
        <f ca="1">IFERROR(__xludf.DUMMYFUNCTION("""COMPUTED_VALUE"""),13232)</f>
        <v>13232</v>
      </c>
      <c r="L210" s="12">
        <f ca="1">IFERROR(__xludf.DUMMYFUNCTION("""COMPUTED_VALUE"""),4634)</f>
        <v>4634</v>
      </c>
      <c r="M210" s="12">
        <f ca="1">IFERROR(__xludf.DUMMYFUNCTION("""COMPUTED_VALUE"""),611)</f>
        <v>611</v>
      </c>
      <c r="N210" s="12">
        <f ca="1">IFERROR(__xludf.DUMMYFUNCTION("""COMPUTED_VALUE"""),3895)</f>
        <v>3895</v>
      </c>
      <c r="O210" s="12">
        <f ca="1">IFERROR(__xludf.DUMMYFUNCTION("""COMPUTED_VALUE"""),128)</f>
        <v>128</v>
      </c>
      <c r="P210" s="12">
        <f ca="1">IFERROR(__xludf.DUMMYFUNCTION("""COMPUTED_VALUE"""),14)</f>
        <v>14</v>
      </c>
      <c r="Q210" s="12">
        <f ca="1">IFERROR(__xludf.DUMMYFUNCTION("""COMPUTED_VALUE"""),1164)</f>
        <v>1164</v>
      </c>
      <c r="R210" s="12">
        <f ca="1">IFERROR(__xludf.DUMMYFUNCTION("""COMPUTED_VALUE"""),103)</f>
        <v>103</v>
      </c>
      <c r="S210" s="12">
        <f ca="1">IFERROR(__xludf.DUMMYFUNCTION("""COMPUTED_VALUE"""),-148)</f>
        <v>-148</v>
      </c>
      <c r="T210" s="12">
        <f ca="1">IFERROR(__xludf.DUMMYFUNCTION("""COMPUTED_VALUE"""),1133)</f>
        <v>1133</v>
      </c>
      <c r="U210" s="12">
        <f ca="1">IFERROR(__xludf.DUMMYFUNCTION("""COMPUTED_VALUE"""),-45)</f>
        <v>-45</v>
      </c>
    </row>
    <row r="211" spans="1:21" x14ac:dyDescent="0.25">
      <c r="A211" s="11">
        <f ca="1">IFERROR(__xludf.DUMMYFUNCTION("""COMPUTED_VALUE"""),44099)</f>
        <v>44099</v>
      </c>
      <c r="B211" s="12">
        <f ca="1">IFERROR(__xludf.DUMMYFUNCTION("""COMPUTED_VALUE"""),266845)</f>
        <v>266845</v>
      </c>
      <c r="C211" s="12">
        <f ca="1">IFERROR(__xludf.DUMMYFUNCTION("""COMPUTED_VALUE"""),60431)</f>
        <v>60431</v>
      </c>
      <c r="D211" s="12">
        <f ca="1">IFERROR(__xludf.DUMMYFUNCTION("""COMPUTED_VALUE"""),196196)</f>
        <v>196196</v>
      </c>
      <c r="E211" s="12">
        <f ca="1">IFERROR(__xludf.DUMMYFUNCTION("""COMPUTED_VALUE"""),10218)</f>
        <v>10218</v>
      </c>
      <c r="F211" s="12">
        <f ca="1">IFERROR(__xludf.DUMMYFUNCTION("""COMPUTED_VALUE"""),1677)</f>
        <v>1677</v>
      </c>
      <c r="G211" s="12">
        <f ca="1">IFERROR(__xludf.DUMMYFUNCTION("""COMPUTED_VALUE"""),54352)</f>
        <v>54352</v>
      </c>
      <c r="H211" s="12">
        <f ca="1">IFERROR(__xludf.DUMMYFUNCTION("""COMPUTED_VALUE"""),10027)</f>
        <v>10027</v>
      </c>
      <c r="I211" s="12">
        <f ca="1">IFERROR(__xludf.DUMMYFUNCTION("""COMPUTED_VALUE"""),2871)</f>
        <v>2871</v>
      </c>
      <c r="J211" s="12">
        <f ca="1">IFERROR(__xludf.DUMMYFUNCTION("""COMPUTED_VALUE"""),68927)</f>
        <v>68927</v>
      </c>
      <c r="K211" s="12">
        <f ca="1">IFERROR(__xludf.DUMMYFUNCTION("""COMPUTED_VALUE"""),12898)</f>
        <v>12898</v>
      </c>
      <c r="L211" s="12">
        <f ca="1">IFERROR(__xludf.DUMMYFUNCTION("""COMPUTED_VALUE"""),4823)</f>
        <v>4823</v>
      </c>
      <c r="M211" s="12">
        <f ca="1">IFERROR(__xludf.DUMMYFUNCTION("""COMPUTED_VALUE"""),367)</f>
        <v>367</v>
      </c>
      <c r="N211" s="12">
        <f ca="1">IFERROR(__xludf.DUMMYFUNCTION("""COMPUTED_VALUE"""),4343)</f>
        <v>4343</v>
      </c>
      <c r="O211" s="12">
        <f ca="1">IFERROR(__xludf.DUMMYFUNCTION("""COMPUTED_VALUE"""),113)</f>
        <v>113</v>
      </c>
      <c r="P211" s="12">
        <f ca="1">IFERROR(__xludf.DUMMYFUNCTION("""COMPUTED_VALUE"""),13)</f>
        <v>13</v>
      </c>
      <c r="Q211" s="12">
        <f ca="1">IFERROR(__xludf.DUMMYFUNCTION("""COMPUTED_VALUE"""),1610)</f>
        <v>1610</v>
      </c>
      <c r="R211" s="12">
        <f ca="1">IFERROR(__xludf.DUMMYFUNCTION("""COMPUTED_VALUE"""),313)</f>
        <v>313</v>
      </c>
      <c r="S211" s="12">
        <f ca="1">IFERROR(__xludf.DUMMYFUNCTION("""COMPUTED_VALUE"""),-647)</f>
        <v>-647</v>
      </c>
      <c r="T211" s="12">
        <f ca="1">IFERROR(__xludf.DUMMYFUNCTION("""COMPUTED_VALUE"""),1289)</f>
        <v>1289</v>
      </c>
      <c r="U211" s="12">
        <f ca="1">IFERROR(__xludf.DUMMYFUNCTION("""COMPUTED_VALUE"""),-334)</f>
        <v>-334</v>
      </c>
    </row>
    <row r="212" spans="1:21" x14ac:dyDescent="0.25">
      <c r="A212" s="11">
        <f ca="1">IFERROR(__xludf.DUMMYFUNCTION("""COMPUTED_VALUE"""),44100)</f>
        <v>44100</v>
      </c>
      <c r="B212" s="12">
        <f ca="1">IFERROR(__xludf.DUMMYFUNCTION("""COMPUTED_VALUE"""),271339)</f>
        <v>271339</v>
      </c>
      <c r="C212" s="12">
        <f ca="1">IFERROR(__xludf.DUMMYFUNCTION("""COMPUTED_VALUE"""),61628)</f>
        <v>61628</v>
      </c>
      <c r="D212" s="12">
        <f ca="1">IFERROR(__xludf.DUMMYFUNCTION("""COMPUTED_VALUE"""),199403)</f>
        <v>199403</v>
      </c>
      <c r="E212" s="12">
        <f ca="1">IFERROR(__xludf.DUMMYFUNCTION("""COMPUTED_VALUE"""),10308)</f>
        <v>10308</v>
      </c>
      <c r="F212" s="12">
        <f ca="1">IFERROR(__xludf.DUMMYFUNCTION("""COMPUTED_VALUE"""),1679)</f>
        <v>1679</v>
      </c>
      <c r="G212" s="12">
        <f ca="1">IFERROR(__xludf.DUMMYFUNCTION("""COMPUTED_VALUE"""),55350)</f>
        <v>55350</v>
      </c>
      <c r="H212" s="12">
        <f ca="1">IFERROR(__xludf.DUMMYFUNCTION("""COMPUTED_VALUE"""),10594)</f>
        <v>10594</v>
      </c>
      <c r="I212" s="12">
        <f ca="1">IFERROR(__xludf.DUMMYFUNCTION("""COMPUTED_VALUE"""),2561)</f>
        <v>2561</v>
      </c>
      <c r="J212" s="12">
        <f ca="1">IFERROR(__xludf.DUMMYFUNCTION("""COMPUTED_VALUE"""),70184)</f>
        <v>70184</v>
      </c>
      <c r="K212" s="12">
        <f ca="1">IFERROR(__xludf.DUMMYFUNCTION("""COMPUTED_VALUE"""),13155)</f>
        <v>13155</v>
      </c>
      <c r="L212" s="12">
        <f ca="1">IFERROR(__xludf.DUMMYFUNCTION("""COMPUTED_VALUE"""),4494)</f>
        <v>4494</v>
      </c>
      <c r="M212" s="12">
        <f ca="1">IFERROR(__xludf.DUMMYFUNCTION("""COMPUTED_VALUE"""),1197)</f>
        <v>1197</v>
      </c>
      <c r="N212" s="12">
        <f ca="1">IFERROR(__xludf.DUMMYFUNCTION("""COMPUTED_VALUE"""),3207)</f>
        <v>3207</v>
      </c>
      <c r="O212" s="12">
        <f ca="1">IFERROR(__xludf.DUMMYFUNCTION("""COMPUTED_VALUE"""),90)</f>
        <v>90</v>
      </c>
      <c r="P212" s="12">
        <f ca="1">IFERROR(__xludf.DUMMYFUNCTION("""COMPUTED_VALUE"""),2)</f>
        <v>2</v>
      </c>
      <c r="Q212" s="12">
        <f ca="1">IFERROR(__xludf.DUMMYFUNCTION("""COMPUTED_VALUE"""),998)</f>
        <v>998</v>
      </c>
      <c r="R212" s="12">
        <f ca="1">IFERROR(__xludf.DUMMYFUNCTION("""COMPUTED_VALUE"""),567)</f>
        <v>567</v>
      </c>
      <c r="S212" s="12">
        <f ca="1">IFERROR(__xludf.DUMMYFUNCTION("""COMPUTED_VALUE"""),-310)</f>
        <v>-310</v>
      </c>
      <c r="T212" s="12">
        <f ca="1">IFERROR(__xludf.DUMMYFUNCTION("""COMPUTED_VALUE"""),1257)</f>
        <v>1257</v>
      </c>
      <c r="U212" s="12">
        <f ca="1">IFERROR(__xludf.DUMMYFUNCTION("""COMPUTED_VALUE"""),257)</f>
        <v>257</v>
      </c>
    </row>
    <row r="213" spans="1:21" x14ac:dyDescent="0.25">
      <c r="A213" s="11">
        <f ca="1">IFERROR(__xludf.DUMMYFUNCTION("""COMPUTED_VALUE"""),44101)</f>
        <v>44101</v>
      </c>
      <c r="B213" s="12">
        <f ca="1">IFERROR(__xludf.DUMMYFUNCTION("""COMPUTED_VALUE"""),275213)</f>
        <v>275213</v>
      </c>
      <c r="C213" s="12">
        <f ca="1">IFERROR(__xludf.DUMMYFUNCTION("""COMPUTED_VALUE"""),61813)</f>
        <v>61813</v>
      </c>
      <c r="D213" s="12">
        <f ca="1">IFERROR(__xludf.DUMMYFUNCTION("""COMPUTED_VALUE"""),203014)</f>
        <v>203014</v>
      </c>
      <c r="E213" s="12">
        <f ca="1">IFERROR(__xludf.DUMMYFUNCTION("""COMPUTED_VALUE"""),10386)</f>
        <v>10386</v>
      </c>
      <c r="F213" s="12">
        <f ca="1">IFERROR(__xludf.DUMMYFUNCTION("""COMPUTED_VALUE"""),1692)</f>
        <v>1692</v>
      </c>
      <c r="G213" s="12">
        <f ca="1">IFERROR(__xludf.DUMMYFUNCTION("""COMPUTED_VALUE"""),56413)</f>
        <v>56413</v>
      </c>
      <c r="H213" s="12">
        <f ca="1">IFERROR(__xludf.DUMMYFUNCTION("""COMPUTED_VALUE"""),10915)</f>
        <v>10915</v>
      </c>
      <c r="I213" s="12">
        <f ca="1">IFERROR(__xludf.DUMMYFUNCTION("""COMPUTED_VALUE"""),2350)</f>
        <v>2350</v>
      </c>
      <c r="J213" s="12">
        <f ca="1">IFERROR(__xludf.DUMMYFUNCTION("""COMPUTED_VALUE"""),71370)</f>
        <v>71370</v>
      </c>
      <c r="K213" s="12">
        <f ca="1">IFERROR(__xludf.DUMMYFUNCTION("""COMPUTED_VALUE"""),13265)</f>
        <v>13265</v>
      </c>
      <c r="L213" s="12">
        <f ca="1">IFERROR(__xludf.DUMMYFUNCTION("""COMPUTED_VALUE"""),3874)</f>
        <v>3874</v>
      </c>
      <c r="M213" s="12">
        <f ca="1">IFERROR(__xludf.DUMMYFUNCTION("""COMPUTED_VALUE"""),185)</f>
        <v>185</v>
      </c>
      <c r="N213" s="12">
        <f ca="1">IFERROR(__xludf.DUMMYFUNCTION("""COMPUTED_VALUE"""),3611)</f>
        <v>3611</v>
      </c>
      <c r="O213" s="12">
        <f ca="1">IFERROR(__xludf.DUMMYFUNCTION("""COMPUTED_VALUE"""),78)</f>
        <v>78</v>
      </c>
      <c r="P213" s="12">
        <f ca="1">IFERROR(__xludf.DUMMYFUNCTION("""COMPUTED_VALUE"""),13)</f>
        <v>13</v>
      </c>
      <c r="Q213" s="12">
        <f ca="1">IFERROR(__xludf.DUMMYFUNCTION("""COMPUTED_VALUE"""),1063)</f>
        <v>1063</v>
      </c>
      <c r="R213" s="12">
        <f ca="1">IFERROR(__xludf.DUMMYFUNCTION("""COMPUTED_VALUE"""),321)</f>
        <v>321</v>
      </c>
      <c r="S213" s="12">
        <f ca="1">IFERROR(__xludf.DUMMYFUNCTION("""COMPUTED_VALUE"""),-211)</f>
        <v>-211</v>
      </c>
      <c r="T213" s="12">
        <f ca="1">IFERROR(__xludf.DUMMYFUNCTION("""COMPUTED_VALUE"""),1186)</f>
        <v>1186</v>
      </c>
      <c r="U213" s="12">
        <f ca="1">IFERROR(__xludf.DUMMYFUNCTION("""COMPUTED_VALUE"""),110)</f>
        <v>110</v>
      </c>
    </row>
    <row r="214" spans="1:21" x14ac:dyDescent="0.25">
      <c r="A214" s="11">
        <f ca="1">IFERROR(__xludf.DUMMYFUNCTION("""COMPUTED_VALUE"""),44102)</f>
        <v>44102</v>
      </c>
      <c r="B214" s="12">
        <f ca="1">IFERROR(__xludf.DUMMYFUNCTION("""COMPUTED_VALUE"""),278722)</f>
        <v>278722</v>
      </c>
      <c r="C214" s="12">
        <f ca="1">IFERROR(__xludf.DUMMYFUNCTION("""COMPUTED_VALUE"""),61379)</f>
        <v>61379</v>
      </c>
      <c r="D214" s="12">
        <f ca="1">IFERROR(__xludf.DUMMYFUNCTION("""COMPUTED_VALUE"""),206870)</f>
        <v>206870</v>
      </c>
      <c r="E214" s="12">
        <f ca="1">IFERROR(__xludf.DUMMYFUNCTION("""COMPUTED_VALUE"""),10473)</f>
        <v>10473</v>
      </c>
      <c r="F214" s="12">
        <f ca="1">IFERROR(__xludf.DUMMYFUNCTION("""COMPUTED_VALUE"""),1704)</f>
        <v>1704</v>
      </c>
      <c r="G214" s="12">
        <f ca="1">IFERROR(__xludf.DUMMYFUNCTION("""COMPUTED_VALUE"""),57741)</f>
        <v>57741</v>
      </c>
      <c r="H214" s="12">
        <f ca="1">IFERROR(__xludf.DUMMYFUNCTION("""COMPUTED_VALUE"""),10474)</f>
        <v>10474</v>
      </c>
      <c r="I214" s="12">
        <f ca="1">IFERROR(__xludf.DUMMYFUNCTION("""COMPUTED_VALUE"""),2258)</f>
        <v>2258</v>
      </c>
      <c r="J214" s="12">
        <f ca="1">IFERROR(__xludf.DUMMYFUNCTION("""COMPUTED_VALUE"""),72177)</f>
        <v>72177</v>
      </c>
      <c r="K214" s="12">
        <f ca="1">IFERROR(__xludf.DUMMYFUNCTION("""COMPUTED_VALUE"""),12732)</f>
        <v>12732</v>
      </c>
      <c r="L214" s="12">
        <f ca="1">IFERROR(__xludf.DUMMYFUNCTION("""COMPUTED_VALUE"""),3509)</f>
        <v>3509</v>
      </c>
      <c r="M214" s="12">
        <f ca="1">IFERROR(__xludf.DUMMYFUNCTION("""COMPUTED_VALUE"""),-434)</f>
        <v>-434</v>
      </c>
      <c r="N214" s="12">
        <f ca="1">IFERROR(__xludf.DUMMYFUNCTION("""COMPUTED_VALUE"""),3856)</f>
        <v>3856</v>
      </c>
      <c r="O214" s="12">
        <f ca="1">IFERROR(__xludf.DUMMYFUNCTION("""COMPUTED_VALUE"""),87)</f>
        <v>87</v>
      </c>
      <c r="P214" s="12">
        <f ca="1">IFERROR(__xludf.DUMMYFUNCTION("""COMPUTED_VALUE"""),12)</f>
        <v>12</v>
      </c>
      <c r="Q214" s="12">
        <f ca="1">IFERROR(__xludf.DUMMYFUNCTION("""COMPUTED_VALUE"""),1328)</f>
        <v>1328</v>
      </c>
      <c r="R214" s="12">
        <f ca="1">IFERROR(__xludf.DUMMYFUNCTION("""COMPUTED_VALUE"""),-441)</f>
        <v>-441</v>
      </c>
      <c r="S214" s="12">
        <f ca="1">IFERROR(__xludf.DUMMYFUNCTION("""COMPUTED_VALUE"""),-92)</f>
        <v>-92</v>
      </c>
      <c r="T214" s="12">
        <f ca="1">IFERROR(__xludf.DUMMYFUNCTION("""COMPUTED_VALUE"""),807)</f>
        <v>807</v>
      </c>
      <c r="U214" s="12">
        <f ca="1">IFERROR(__xludf.DUMMYFUNCTION("""COMPUTED_VALUE"""),-533)</f>
        <v>-533</v>
      </c>
    </row>
    <row r="215" spans="1:21" x14ac:dyDescent="0.25">
      <c r="A215" s="11">
        <f ca="1">IFERROR(__xludf.DUMMYFUNCTION("""COMPUTED_VALUE"""),44103)</f>
        <v>44103</v>
      </c>
      <c r="B215" s="12">
        <f ca="1">IFERROR(__xludf.DUMMYFUNCTION("""COMPUTED_VALUE"""),282724)</f>
        <v>282724</v>
      </c>
      <c r="C215" s="12">
        <f ca="1">IFERROR(__xludf.DUMMYFUNCTION("""COMPUTED_VALUE"""),61686)</f>
        <v>61686</v>
      </c>
      <c r="D215" s="12">
        <f ca="1">IFERROR(__xludf.DUMMYFUNCTION("""COMPUTED_VALUE"""),210437)</f>
        <v>210437</v>
      </c>
      <c r="E215" s="12">
        <f ca="1">IFERROR(__xludf.DUMMYFUNCTION("""COMPUTED_VALUE"""),10601)</f>
        <v>10601</v>
      </c>
      <c r="F215" s="12">
        <f ca="1">IFERROR(__xludf.DUMMYFUNCTION("""COMPUTED_VALUE"""),1718)</f>
        <v>1718</v>
      </c>
      <c r="G215" s="12">
        <f ca="1">IFERROR(__xludf.DUMMYFUNCTION("""COMPUTED_VALUE"""),58865)</f>
        <v>58865</v>
      </c>
      <c r="H215" s="12">
        <f ca="1">IFERROR(__xludf.DUMMYFUNCTION("""COMPUTED_VALUE"""),10659)</f>
        <v>10659</v>
      </c>
      <c r="I215" s="12">
        <f ca="1">IFERROR(__xludf.DUMMYFUNCTION("""COMPUTED_VALUE"""),2067)</f>
        <v>2067</v>
      </c>
      <c r="J215" s="12">
        <f ca="1">IFERROR(__xludf.DUMMYFUNCTION("""COMPUTED_VALUE"""),73309)</f>
        <v>73309</v>
      </c>
      <c r="K215" s="12">
        <f ca="1">IFERROR(__xludf.DUMMYFUNCTION("""COMPUTED_VALUE"""),12726)</f>
        <v>12726</v>
      </c>
      <c r="L215" s="12">
        <f ca="1">IFERROR(__xludf.DUMMYFUNCTION("""COMPUTED_VALUE"""),4002)</f>
        <v>4002</v>
      </c>
      <c r="M215" s="12">
        <f ca="1">IFERROR(__xludf.DUMMYFUNCTION("""COMPUTED_VALUE"""),307)</f>
        <v>307</v>
      </c>
      <c r="N215" s="12">
        <f ca="1">IFERROR(__xludf.DUMMYFUNCTION("""COMPUTED_VALUE"""),3567)</f>
        <v>3567</v>
      </c>
      <c r="O215" s="12">
        <f ca="1">IFERROR(__xludf.DUMMYFUNCTION("""COMPUTED_VALUE"""),128)</f>
        <v>128</v>
      </c>
      <c r="P215" s="12">
        <f ca="1">IFERROR(__xludf.DUMMYFUNCTION("""COMPUTED_VALUE"""),14)</f>
        <v>14</v>
      </c>
      <c r="Q215" s="12">
        <f ca="1">IFERROR(__xludf.DUMMYFUNCTION("""COMPUTED_VALUE"""),1124)</f>
        <v>1124</v>
      </c>
      <c r="R215" s="12">
        <f ca="1">IFERROR(__xludf.DUMMYFUNCTION("""COMPUTED_VALUE"""),185)</f>
        <v>185</v>
      </c>
      <c r="S215" s="12">
        <f ca="1">IFERROR(__xludf.DUMMYFUNCTION("""COMPUTED_VALUE"""),-191)</f>
        <v>-191</v>
      </c>
      <c r="T215" s="12">
        <f ca="1">IFERROR(__xludf.DUMMYFUNCTION("""COMPUTED_VALUE"""),1132)</f>
        <v>1132</v>
      </c>
      <c r="U215" s="12">
        <f ca="1">IFERROR(__xludf.DUMMYFUNCTION("""COMPUTED_VALUE"""),-6)</f>
        <v>-6</v>
      </c>
    </row>
    <row r="216" spans="1:21" x14ac:dyDescent="0.25">
      <c r="A216" s="11">
        <f ca="1">IFERROR(__xludf.DUMMYFUNCTION("""COMPUTED_VALUE"""),44104)</f>
        <v>44104</v>
      </c>
      <c r="B216" s="12">
        <f ca="1">IFERROR(__xludf.DUMMYFUNCTION("""COMPUTED_VALUE"""),287008)</f>
        <v>287008</v>
      </c>
      <c r="C216" s="12">
        <f ca="1">IFERROR(__xludf.DUMMYFUNCTION("""COMPUTED_VALUE"""),61321)</f>
        <v>61321</v>
      </c>
      <c r="D216" s="12">
        <f ca="1">IFERROR(__xludf.DUMMYFUNCTION("""COMPUTED_VALUE"""),214947)</f>
        <v>214947</v>
      </c>
      <c r="E216" s="12">
        <f ca="1">IFERROR(__xludf.DUMMYFUNCTION("""COMPUTED_VALUE"""),10740)</f>
        <v>10740</v>
      </c>
      <c r="F216" s="12">
        <f ca="1">IFERROR(__xludf.DUMMYFUNCTION("""COMPUTED_VALUE"""),1731)</f>
        <v>1731</v>
      </c>
      <c r="G216" s="12">
        <f ca="1">IFERROR(__xludf.DUMMYFUNCTION("""COMPUTED_VALUE"""),60320)</f>
        <v>60320</v>
      </c>
      <c r="H216" s="12">
        <f ca="1">IFERROR(__xludf.DUMMYFUNCTION("""COMPUTED_VALUE"""),10353)</f>
        <v>10353</v>
      </c>
      <c r="I216" s="12">
        <f ca="1">IFERROR(__xludf.DUMMYFUNCTION("""COMPUTED_VALUE"""),1964)</f>
        <v>1964</v>
      </c>
      <c r="J216" s="12">
        <f ca="1">IFERROR(__xludf.DUMMYFUNCTION("""COMPUTED_VALUE"""),74368)</f>
        <v>74368</v>
      </c>
      <c r="K216" s="12">
        <f ca="1">IFERROR(__xludf.DUMMYFUNCTION("""COMPUTED_VALUE"""),12317)</f>
        <v>12317</v>
      </c>
      <c r="L216" s="12">
        <f ca="1">IFERROR(__xludf.DUMMYFUNCTION("""COMPUTED_VALUE"""),4284)</f>
        <v>4284</v>
      </c>
      <c r="M216" s="12">
        <f ca="1">IFERROR(__xludf.DUMMYFUNCTION("""COMPUTED_VALUE"""),-365)</f>
        <v>-365</v>
      </c>
      <c r="N216" s="12">
        <f ca="1">IFERROR(__xludf.DUMMYFUNCTION("""COMPUTED_VALUE"""),4510)</f>
        <v>4510</v>
      </c>
      <c r="O216" s="12">
        <f ca="1">IFERROR(__xludf.DUMMYFUNCTION("""COMPUTED_VALUE"""),139)</f>
        <v>139</v>
      </c>
      <c r="P216" s="12">
        <f ca="1">IFERROR(__xludf.DUMMYFUNCTION("""COMPUTED_VALUE"""),13)</f>
        <v>13</v>
      </c>
      <c r="Q216" s="12">
        <f ca="1">IFERROR(__xludf.DUMMYFUNCTION("""COMPUTED_VALUE"""),1455)</f>
        <v>1455</v>
      </c>
      <c r="R216" s="12">
        <f ca="1">IFERROR(__xludf.DUMMYFUNCTION("""COMPUTED_VALUE"""),-306)</f>
        <v>-306</v>
      </c>
      <c r="S216" s="12">
        <f ca="1">IFERROR(__xludf.DUMMYFUNCTION("""COMPUTED_VALUE"""),-103)</f>
        <v>-103</v>
      </c>
      <c r="T216" s="12">
        <f ca="1">IFERROR(__xludf.DUMMYFUNCTION("""COMPUTED_VALUE"""),1059)</f>
        <v>1059</v>
      </c>
      <c r="U216" s="12">
        <f ca="1">IFERROR(__xludf.DUMMYFUNCTION("""COMPUTED_VALUE"""),-409)</f>
        <v>-409</v>
      </c>
    </row>
    <row r="217" spans="1:21" x14ac:dyDescent="0.25">
      <c r="A217" s="11">
        <f ca="1">IFERROR(__xludf.DUMMYFUNCTION("""COMPUTED_VALUE"""),44105)</f>
        <v>44105</v>
      </c>
      <c r="B217" s="12">
        <f ca="1">IFERROR(__xludf.DUMMYFUNCTION("""COMPUTED_VALUE"""),291182)</f>
        <v>291182</v>
      </c>
      <c r="C217" s="12">
        <f ca="1">IFERROR(__xludf.DUMMYFUNCTION("""COMPUTED_VALUE"""),61839)</f>
        <v>61839</v>
      </c>
      <c r="D217" s="12">
        <f ca="1">IFERROR(__xludf.DUMMYFUNCTION("""COMPUTED_VALUE"""),218487)</f>
        <v>218487</v>
      </c>
      <c r="E217" s="12">
        <f ca="1">IFERROR(__xludf.DUMMYFUNCTION("""COMPUTED_VALUE"""),10856)</f>
        <v>10856</v>
      </c>
      <c r="F217" s="12">
        <f ca="1">IFERROR(__xludf.DUMMYFUNCTION("""COMPUTED_VALUE"""),1737)</f>
        <v>1737</v>
      </c>
      <c r="G217" s="12">
        <f ca="1">IFERROR(__xludf.DUMMYFUNCTION("""COMPUTED_VALUE"""),61444)</f>
        <v>61444</v>
      </c>
      <c r="H217" s="12">
        <f ca="1">IFERROR(__xludf.DUMMYFUNCTION("""COMPUTED_VALUE"""),10545)</f>
        <v>10545</v>
      </c>
      <c r="I217" s="12">
        <f ca="1">IFERROR(__xludf.DUMMYFUNCTION("""COMPUTED_VALUE"""),1795)</f>
        <v>1795</v>
      </c>
      <c r="J217" s="12">
        <f ca="1">IFERROR(__xludf.DUMMYFUNCTION("""COMPUTED_VALUE"""),75521)</f>
        <v>75521</v>
      </c>
      <c r="K217" s="12">
        <f ca="1">IFERROR(__xludf.DUMMYFUNCTION("""COMPUTED_VALUE"""),12340)</f>
        <v>12340</v>
      </c>
      <c r="L217" s="12">
        <f ca="1">IFERROR(__xludf.DUMMYFUNCTION("""COMPUTED_VALUE"""),4174)</f>
        <v>4174</v>
      </c>
      <c r="M217" s="12">
        <f ca="1">IFERROR(__xludf.DUMMYFUNCTION("""COMPUTED_VALUE"""),518)</f>
        <v>518</v>
      </c>
      <c r="N217" s="12">
        <f ca="1">IFERROR(__xludf.DUMMYFUNCTION("""COMPUTED_VALUE"""),3540)</f>
        <v>3540</v>
      </c>
      <c r="O217" s="12">
        <f ca="1">IFERROR(__xludf.DUMMYFUNCTION("""COMPUTED_VALUE"""),116)</f>
        <v>116</v>
      </c>
      <c r="P217" s="12">
        <f ca="1">IFERROR(__xludf.DUMMYFUNCTION("""COMPUTED_VALUE"""),6)</f>
        <v>6</v>
      </c>
      <c r="Q217" s="12">
        <f ca="1">IFERROR(__xludf.DUMMYFUNCTION("""COMPUTED_VALUE"""),1124)</f>
        <v>1124</v>
      </c>
      <c r="R217" s="12">
        <f ca="1">IFERROR(__xludf.DUMMYFUNCTION("""COMPUTED_VALUE"""),192)</f>
        <v>192</v>
      </c>
      <c r="S217" s="12">
        <f ca="1">IFERROR(__xludf.DUMMYFUNCTION("""COMPUTED_VALUE"""),-169)</f>
        <v>-169</v>
      </c>
      <c r="T217" s="12">
        <f ca="1">IFERROR(__xludf.DUMMYFUNCTION("""COMPUTED_VALUE"""),1153)</f>
        <v>1153</v>
      </c>
      <c r="U217" s="12">
        <f ca="1">IFERROR(__xludf.DUMMYFUNCTION("""COMPUTED_VALUE"""),23)</f>
        <v>23</v>
      </c>
    </row>
    <row r="218" spans="1:21" x14ac:dyDescent="0.25">
      <c r="A218" s="11">
        <f ca="1">IFERROR(__xludf.DUMMYFUNCTION("""COMPUTED_VALUE"""),44106)</f>
        <v>44106</v>
      </c>
      <c r="B218" s="12">
        <f ca="1">IFERROR(__xludf.DUMMYFUNCTION("""COMPUTED_VALUE"""),295499)</f>
        <v>295499</v>
      </c>
      <c r="C218" s="12">
        <f ca="1">IFERROR(__xludf.DUMMYFUNCTION("""COMPUTED_VALUE"""),63187)</f>
        <v>63187</v>
      </c>
      <c r="D218" s="12">
        <f ca="1">IFERROR(__xludf.DUMMYFUNCTION("""COMPUTED_VALUE"""),221340)</f>
        <v>221340</v>
      </c>
      <c r="E218" s="12">
        <f ca="1">IFERROR(__xludf.DUMMYFUNCTION("""COMPUTED_VALUE"""),10972)</f>
        <v>10972</v>
      </c>
      <c r="F218" s="12">
        <f ca="1">IFERROR(__xludf.DUMMYFUNCTION("""COMPUTED_VALUE"""),1740)</f>
        <v>1740</v>
      </c>
      <c r="G218" s="12">
        <f ca="1">IFERROR(__xludf.DUMMYFUNCTION("""COMPUTED_VALUE"""),62279)</f>
        <v>62279</v>
      </c>
      <c r="H218" s="12">
        <f ca="1">IFERROR(__xludf.DUMMYFUNCTION("""COMPUTED_VALUE"""),10496)</f>
        <v>10496</v>
      </c>
      <c r="I218" s="12">
        <f ca="1">IFERROR(__xludf.DUMMYFUNCTION("""COMPUTED_VALUE"""),2104)</f>
        <v>2104</v>
      </c>
      <c r="J218" s="12">
        <f ca="1">IFERROR(__xludf.DUMMYFUNCTION("""COMPUTED_VALUE"""),76619)</f>
        <v>76619</v>
      </c>
      <c r="K218" s="12">
        <f ca="1">IFERROR(__xludf.DUMMYFUNCTION("""COMPUTED_VALUE"""),12600)</f>
        <v>12600</v>
      </c>
      <c r="L218" s="12">
        <f ca="1">IFERROR(__xludf.DUMMYFUNCTION("""COMPUTED_VALUE"""),4317)</f>
        <v>4317</v>
      </c>
      <c r="M218" s="12">
        <f ca="1">IFERROR(__xludf.DUMMYFUNCTION("""COMPUTED_VALUE"""),1348)</f>
        <v>1348</v>
      </c>
      <c r="N218" s="12">
        <f ca="1">IFERROR(__xludf.DUMMYFUNCTION("""COMPUTED_VALUE"""),2853)</f>
        <v>2853</v>
      </c>
      <c r="O218" s="12">
        <f ca="1">IFERROR(__xludf.DUMMYFUNCTION("""COMPUTED_VALUE"""),116)</f>
        <v>116</v>
      </c>
      <c r="P218" s="12">
        <f ca="1">IFERROR(__xludf.DUMMYFUNCTION("""COMPUTED_VALUE"""),3)</f>
        <v>3</v>
      </c>
      <c r="Q218" s="12">
        <f ca="1">IFERROR(__xludf.DUMMYFUNCTION("""COMPUTED_VALUE"""),835)</f>
        <v>835</v>
      </c>
      <c r="R218" s="12">
        <f ca="1">IFERROR(__xludf.DUMMYFUNCTION("""COMPUTED_VALUE"""),-49)</f>
        <v>-49</v>
      </c>
      <c r="S218" s="12">
        <f ca="1">IFERROR(__xludf.DUMMYFUNCTION("""COMPUTED_VALUE"""),309)</f>
        <v>309</v>
      </c>
      <c r="T218" s="12">
        <f ca="1">IFERROR(__xludf.DUMMYFUNCTION("""COMPUTED_VALUE"""),1098)</f>
        <v>1098</v>
      </c>
      <c r="U218" s="12">
        <f ca="1">IFERROR(__xludf.DUMMYFUNCTION("""COMPUTED_VALUE"""),260)</f>
        <v>260</v>
      </c>
    </row>
    <row r="219" spans="1:21" x14ac:dyDescent="0.25">
      <c r="A219" s="11">
        <f ca="1">IFERROR(__xludf.DUMMYFUNCTION("""COMPUTED_VALUE"""),44107)</f>
        <v>44107</v>
      </c>
      <c r="B219" s="12">
        <f ca="1">IFERROR(__xludf.DUMMYFUNCTION("""COMPUTED_VALUE"""),299506)</f>
        <v>299506</v>
      </c>
      <c r="C219" s="12">
        <f ca="1">IFERROR(__xludf.DUMMYFUNCTION("""COMPUTED_VALUE"""),63399)</f>
        <v>63399</v>
      </c>
      <c r="D219" s="12">
        <f ca="1">IFERROR(__xludf.DUMMYFUNCTION("""COMPUTED_VALUE"""),225052)</f>
        <v>225052</v>
      </c>
      <c r="E219" s="12">
        <f ca="1">IFERROR(__xludf.DUMMYFUNCTION("""COMPUTED_VALUE"""),11055)</f>
        <v>11055</v>
      </c>
      <c r="F219" s="12">
        <f ca="1">IFERROR(__xludf.DUMMYFUNCTION("""COMPUTED_VALUE"""),1743)</f>
        <v>1743</v>
      </c>
      <c r="G219" s="12">
        <f ca="1">IFERROR(__xludf.DUMMYFUNCTION("""COMPUTED_VALUE"""),63286)</f>
        <v>63286</v>
      </c>
      <c r="H219" s="12">
        <f ca="1">IFERROR(__xludf.DUMMYFUNCTION("""COMPUTED_VALUE"""),10652)</f>
        <v>10652</v>
      </c>
      <c r="I219" s="12">
        <f ca="1">IFERROR(__xludf.DUMMYFUNCTION("""COMPUTED_VALUE"""),2103)</f>
        <v>2103</v>
      </c>
      <c r="J219" s="12">
        <f ca="1">IFERROR(__xludf.DUMMYFUNCTION("""COMPUTED_VALUE"""),77784)</f>
        <v>77784</v>
      </c>
      <c r="K219" s="12">
        <f ca="1">IFERROR(__xludf.DUMMYFUNCTION("""COMPUTED_VALUE"""),12755)</f>
        <v>12755</v>
      </c>
      <c r="L219" s="12">
        <f ca="1">IFERROR(__xludf.DUMMYFUNCTION("""COMPUTED_VALUE"""),4007)</f>
        <v>4007</v>
      </c>
      <c r="M219" s="12">
        <f ca="1">IFERROR(__xludf.DUMMYFUNCTION("""COMPUTED_VALUE"""),212)</f>
        <v>212</v>
      </c>
      <c r="N219" s="12">
        <f ca="1">IFERROR(__xludf.DUMMYFUNCTION("""COMPUTED_VALUE"""),3712)</f>
        <v>3712</v>
      </c>
      <c r="O219" s="12">
        <f ca="1">IFERROR(__xludf.DUMMYFUNCTION("""COMPUTED_VALUE"""),83)</f>
        <v>83</v>
      </c>
      <c r="P219" s="12">
        <f ca="1">IFERROR(__xludf.DUMMYFUNCTION("""COMPUTED_VALUE"""),3)</f>
        <v>3</v>
      </c>
      <c r="Q219" s="12">
        <f ca="1">IFERROR(__xludf.DUMMYFUNCTION("""COMPUTED_VALUE"""),1007)</f>
        <v>1007</v>
      </c>
      <c r="R219" s="12">
        <f ca="1">IFERROR(__xludf.DUMMYFUNCTION("""COMPUTED_VALUE"""),156)</f>
        <v>156</v>
      </c>
      <c r="S219" s="12">
        <f ca="1">IFERROR(__xludf.DUMMYFUNCTION("""COMPUTED_VALUE"""),-1)</f>
        <v>-1</v>
      </c>
      <c r="T219" s="12">
        <f ca="1">IFERROR(__xludf.DUMMYFUNCTION("""COMPUTED_VALUE"""),1165)</f>
        <v>1165</v>
      </c>
      <c r="U219" s="12">
        <f ca="1">IFERROR(__xludf.DUMMYFUNCTION("""COMPUTED_VALUE"""),155)</f>
        <v>155</v>
      </c>
    </row>
    <row r="220" spans="1:21" x14ac:dyDescent="0.25">
      <c r="A220" s="11">
        <f ca="1">IFERROR(__xludf.DUMMYFUNCTION("""COMPUTED_VALUE"""),44108)</f>
        <v>44108</v>
      </c>
      <c r="B220" s="12">
        <f ca="1">IFERROR(__xludf.DUMMYFUNCTION("""COMPUTED_VALUE"""),303498)</f>
        <v>303498</v>
      </c>
      <c r="C220" s="12">
        <f ca="1">IFERROR(__xludf.DUMMYFUNCTION("""COMPUTED_VALUE"""),63894)</f>
        <v>63894</v>
      </c>
      <c r="D220" s="12">
        <f ca="1">IFERROR(__xludf.DUMMYFUNCTION("""COMPUTED_VALUE"""),228453)</f>
        <v>228453</v>
      </c>
      <c r="E220" s="12">
        <f ca="1">IFERROR(__xludf.DUMMYFUNCTION("""COMPUTED_VALUE"""),11151)</f>
        <v>11151</v>
      </c>
      <c r="F220" s="12">
        <f ca="1">IFERROR(__xludf.DUMMYFUNCTION("""COMPUTED_VALUE"""),1761)</f>
        <v>1761</v>
      </c>
      <c r="G220" s="12">
        <f ca="1">IFERROR(__xludf.DUMMYFUNCTION("""COMPUTED_VALUE"""),64319)</f>
        <v>64319</v>
      </c>
      <c r="H220" s="12">
        <f ca="1">IFERROR(__xludf.DUMMYFUNCTION("""COMPUTED_VALUE"""),11091)</f>
        <v>11091</v>
      </c>
      <c r="I220" s="12">
        <f ca="1">IFERROR(__xludf.DUMMYFUNCTION("""COMPUTED_VALUE"""),2043)</f>
        <v>2043</v>
      </c>
      <c r="J220" s="12">
        <f ca="1">IFERROR(__xludf.DUMMYFUNCTION("""COMPUTED_VALUE"""),79214)</f>
        <v>79214</v>
      </c>
      <c r="K220" s="12">
        <f ca="1">IFERROR(__xludf.DUMMYFUNCTION("""COMPUTED_VALUE"""),13134)</f>
        <v>13134</v>
      </c>
      <c r="L220" s="12">
        <f ca="1">IFERROR(__xludf.DUMMYFUNCTION("""COMPUTED_VALUE"""),3992)</f>
        <v>3992</v>
      </c>
      <c r="M220" s="12">
        <f ca="1">IFERROR(__xludf.DUMMYFUNCTION("""COMPUTED_VALUE"""),495)</f>
        <v>495</v>
      </c>
      <c r="N220" s="12">
        <f ca="1">IFERROR(__xludf.DUMMYFUNCTION("""COMPUTED_VALUE"""),3401)</f>
        <v>3401</v>
      </c>
      <c r="O220" s="12">
        <f ca="1">IFERROR(__xludf.DUMMYFUNCTION("""COMPUTED_VALUE"""),96)</f>
        <v>96</v>
      </c>
      <c r="P220" s="12">
        <f ca="1">IFERROR(__xludf.DUMMYFUNCTION("""COMPUTED_VALUE"""),18)</f>
        <v>18</v>
      </c>
      <c r="Q220" s="12">
        <f ca="1">IFERROR(__xludf.DUMMYFUNCTION("""COMPUTED_VALUE"""),1033)</f>
        <v>1033</v>
      </c>
      <c r="R220" s="12">
        <f ca="1">IFERROR(__xludf.DUMMYFUNCTION("""COMPUTED_VALUE"""),439)</f>
        <v>439</v>
      </c>
      <c r="S220" s="12">
        <f ca="1">IFERROR(__xludf.DUMMYFUNCTION("""COMPUTED_VALUE"""),-60)</f>
        <v>-60</v>
      </c>
      <c r="T220" s="12">
        <f ca="1">IFERROR(__xludf.DUMMYFUNCTION("""COMPUTED_VALUE"""),1430)</f>
        <v>1430</v>
      </c>
      <c r="U220" s="12">
        <f ca="1">IFERROR(__xludf.DUMMYFUNCTION("""COMPUTED_VALUE"""),379)</f>
        <v>379</v>
      </c>
    </row>
    <row r="221" spans="1:21" x14ac:dyDescent="0.25">
      <c r="A221" s="11">
        <f ca="1">IFERROR(__xludf.DUMMYFUNCTION("""COMPUTED_VALUE"""),44109)</f>
        <v>44109</v>
      </c>
      <c r="B221" s="12">
        <f ca="1">IFERROR(__xludf.DUMMYFUNCTION("""COMPUTED_VALUE"""),307120)</f>
        <v>307120</v>
      </c>
      <c r="C221" s="12">
        <f ca="1">IFERROR(__xludf.DUMMYFUNCTION("""COMPUTED_VALUE"""),63274)</f>
        <v>63274</v>
      </c>
      <c r="D221" s="12">
        <f ca="1">IFERROR(__xludf.DUMMYFUNCTION("""COMPUTED_VALUE"""),232593)</f>
        <v>232593</v>
      </c>
      <c r="E221" s="12">
        <f ca="1">IFERROR(__xludf.DUMMYFUNCTION("""COMPUTED_VALUE"""),11253)</f>
        <v>11253</v>
      </c>
      <c r="F221" s="12">
        <f ca="1">IFERROR(__xludf.DUMMYFUNCTION("""COMPUTED_VALUE"""),1772)</f>
        <v>1772</v>
      </c>
      <c r="G221" s="12">
        <f ca="1">IFERROR(__xludf.DUMMYFUNCTION("""COMPUTED_VALUE"""),65295)</f>
        <v>65295</v>
      </c>
      <c r="H221" s="12">
        <f ca="1">IFERROR(__xludf.DUMMYFUNCTION("""COMPUTED_VALUE"""),10912)</f>
        <v>10912</v>
      </c>
      <c r="I221" s="12">
        <f ca="1">IFERROR(__xludf.DUMMYFUNCTION("""COMPUTED_VALUE"""),2057)</f>
        <v>2057</v>
      </c>
      <c r="J221" s="12">
        <f ca="1">IFERROR(__xludf.DUMMYFUNCTION("""COMPUTED_VALUE"""),80036)</f>
        <v>80036</v>
      </c>
      <c r="K221" s="12">
        <f ca="1">IFERROR(__xludf.DUMMYFUNCTION("""COMPUTED_VALUE"""),12969)</f>
        <v>12969</v>
      </c>
      <c r="L221" s="12">
        <f ca="1">IFERROR(__xludf.DUMMYFUNCTION("""COMPUTED_VALUE"""),3622)</f>
        <v>3622</v>
      </c>
      <c r="M221" s="12">
        <f ca="1">IFERROR(__xludf.DUMMYFUNCTION("""COMPUTED_VALUE"""),-620)</f>
        <v>-620</v>
      </c>
      <c r="N221" s="12">
        <f ca="1">IFERROR(__xludf.DUMMYFUNCTION("""COMPUTED_VALUE"""),4140)</f>
        <v>4140</v>
      </c>
      <c r="O221" s="12">
        <f ca="1">IFERROR(__xludf.DUMMYFUNCTION("""COMPUTED_VALUE"""),102)</f>
        <v>102</v>
      </c>
      <c r="P221" s="12">
        <f ca="1">IFERROR(__xludf.DUMMYFUNCTION("""COMPUTED_VALUE"""),11)</f>
        <v>11</v>
      </c>
      <c r="Q221" s="12">
        <f ca="1">IFERROR(__xludf.DUMMYFUNCTION("""COMPUTED_VALUE"""),976)</f>
        <v>976</v>
      </c>
      <c r="R221" s="12">
        <f ca="1">IFERROR(__xludf.DUMMYFUNCTION("""COMPUTED_VALUE"""),-179)</f>
        <v>-179</v>
      </c>
      <c r="S221" s="12">
        <f ca="1">IFERROR(__xludf.DUMMYFUNCTION("""COMPUTED_VALUE"""),14)</f>
        <v>14</v>
      </c>
      <c r="T221" s="12">
        <f ca="1">IFERROR(__xludf.DUMMYFUNCTION("""COMPUTED_VALUE"""),822)</f>
        <v>822</v>
      </c>
      <c r="U221" s="12">
        <f ca="1">IFERROR(__xludf.DUMMYFUNCTION("""COMPUTED_VALUE"""),-165)</f>
        <v>-165</v>
      </c>
    </row>
    <row r="222" spans="1:21" x14ac:dyDescent="0.25">
      <c r="A222" s="11">
        <f ca="1">IFERROR(__xludf.DUMMYFUNCTION("""COMPUTED_VALUE"""),44110)</f>
        <v>44110</v>
      </c>
      <c r="B222" s="12">
        <f ca="1">IFERROR(__xludf.DUMMYFUNCTION("""COMPUTED_VALUE"""),311176)</f>
        <v>311176</v>
      </c>
      <c r="C222" s="12">
        <f ca="1">IFERROR(__xludf.DUMMYFUNCTION("""COMPUTED_VALUE"""),63365)</f>
        <v>63365</v>
      </c>
      <c r="D222" s="12">
        <f ca="1">IFERROR(__xludf.DUMMYFUNCTION("""COMPUTED_VALUE"""),236437)</f>
        <v>236437</v>
      </c>
      <c r="E222" s="12">
        <f ca="1">IFERROR(__xludf.DUMMYFUNCTION("""COMPUTED_VALUE"""),11374)</f>
        <v>11374</v>
      </c>
      <c r="F222" s="12">
        <f ca="1">IFERROR(__xludf.DUMMYFUNCTION("""COMPUTED_VALUE"""),1806)</f>
        <v>1806</v>
      </c>
      <c r="G222" s="12">
        <f ca="1">IFERROR(__xludf.DUMMYFUNCTION("""COMPUTED_VALUE"""),66315)</f>
        <v>66315</v>
      </c>
      <c r="H222" s="12">
        <f ca="1">IFERROR(__xludf.DUMMYFUNCTION("""COMPUTED_VALUE"""),10787)</f>
        <v>10787</v>
      </c>
      <c r="I222" s="12">
        <f ca="1">IFERROR(__xludf.DUMMYFUNCTION("""COMPUTED_VALUE"""),2135)</f>
        <v>2135</v>
      </c>
      <c r="J222" s="12">
        <f ca="1">IFERROR(__xludf.DUMMYFUNCTION("""COMPUTED_VALUE"""),81043)</f>
        <v>81043</v>
      </c>
      <c r="K222" s="12">
        <f ca="1">IFERROR(__xludf.DUMMYFUNCTION("""COMPUTED_VALUE"""),12922)</f>
        <v>12922</v>
      </c>
      <c r="L222" s="12">
        <f ca="1">IFERROR(__xludf.DUMMYFUNCTION("""COMPUTED_VALUE"""),4056)</f>
        <v>4056</v>
      </c>
      <c r="M222" s="12">
        <f ca="1">IFERROR(__xludf.DUMMYFUNCTION("""COMPUTED_VALUE"""),91)</f>
        <v>91</v>
      </c>
      <c r="N222" s="12">
        <f ca="1">IFERROR(__xludf.DUMMYFUNCTION("""COMPUTED_VALUE"""),3844)</f>
        <v>3844</v>
      </c>
      <c r="O222" s="12">
        <f ca="1">IFERROR(__xludf.DUMMYFUNCTION("""COMPUTED_VALUE"""),121)</f>
        <v>121</v>
      </c>
      <c r="P222" s="12">
        <f ca="1">IFERROR(__xludf.DUMMYFUNCTION("""COMPUTED_VALUE"""),34)</f>
        <v>34</v>
      </c>
      <c r="Q222" s="12">
        <f ca="1">IFERROR(__xludf.DUMMYFUNCTION("""COMPUTED_VALUE"""),1020)</f>
        <v>1020</v>
      </c>
      <c r="R222" s="12">
        <f ca="1">IFERROR(__xludf.DUMMYFUNCTION("""COMPUTED_VALUE"""),-125)</f>
        <v>-125</v>
      </c>
      <c r="S222" s="12">
        <f ca="1">IFERROR(__xludf.DUMMYFUNCTION("""COMPUTED_VALUE"""),78)</f>
        <v>78</v>
      </c>
      <c r="T222" s="12">
        <f ca="1">IFERROR(__xludf.DUMMYFUNCTION("""COMPUTED_VALUE"""),1007)</f>
        <v>1007</v>
      </c>
      <c r="U222" s="12">
        <f ca="1">IFERROR(__xludf.DUMMYFUNCTION("""COMPUTED_VALUE"""),-47)</f>
        <v>-47</v>
      </c>
    </row>
    <row r="223" spans="1:21" x14ac:dyDescent="0.25">
      <c r="A223" s="11">
        <f ca="1">IFERROR(__xludf.DUMMYFUNCTION("""COMPUTED_VALUE"""),44111)</f>
        <v>44111</v>
      </c>
      <c r="B223" s="12">
        <f ca="1">IFERROR(__xludf.DUMMYFUNCTION("""COMPUTED_VALUE"""),315714)</f>
        <v>315714</v>
      </c>
      <c r="C223" s="12">
        <f ca="1">IFERROR(__xludf.DUMMYFUNCTION("""COMPUTED_VALUE"""),63951)</f>
        <v>63951</v>
      </c>
      <c r="D223" s="12">
        <f ca="1">IFERROR(__xludf.DUMMYFUNCTION("""COMPUTED_VALUE"""),240291)</f>
        <v>240291</v>
      </c>
      <c r="E223" s="12">
        <f ca="1">IFERROR(__xludf.DUMMYFUNCTION("""COMPUTED_VALUE"""),11472)</f>
        <v>11472</v>
      </c>
      <c r="F223" s="12">
        <f ca="1">IFERROR(__xludf.DUMMYFUNCTION("""COMPUTED_VALUE"""),1819)</f>
        <v>1819</v>
      </c>
      <c r="G223" s="12">
        <f ca="1">IFERROR(__xludf.DUMMYFUNCTION("""COMPUTED_VALUE"""),67310)</f>
        <v>67310</v>
      </c>
      <c r="H223" s="12">
        <f ca="1">IFERROR(__xludf.DUMMYFUNCTION("""COMPUTED_VALUE"""),10807)</f>
        <v>10807</v>
      </c>
      <c r="I223" s="12">
        <f ca="1">IFERROR(__xludf.DUMMYFUNCTION("""COMPUTED_VALUE"""),2447)</f>
        <v>2447</v>
      </c>
      <c r="J223" s="12">
        <f ca="1">IFERROR(__xludf.DUMMYFUNCTION("""COMPUTED_VALUE"""),82383)</f>
        <v>82383</v>
      </c>
      <c r="K223" s="12">
        <f ca="1">IFERROR(__xludf.DUMMYFUNCTION("""COMPUTED_VALUE"""),13254)</f>
        <v>13254</v>
      </c>
      <c r="L223" s="12">
        <f ca="1">IFERROR(__xludf.DUMMYFUNCTION("""COMPUTED_VALUE"""),4538)</f>
        <v>4538</v>
      </c>
      <c r="M223" s="12">
        <f ca="1">IFERROR(__xludf.DUMMYFUNCTION("""COMPUTED_VALUE"""),586)</f>
        <v>586</v>
      </c>
      <c r="N223" s="12">
        <f ca="1">IFERROR(__xludf.DUMMYFUNCTION("""COMPUTED_VALUE"""),3854)</f>
        <v>3854</v>
      </c>
      <c r="O223" s="12">
        <f ca="1">IFERROR(__xludf.DUMMYFUNCTION("""COMPUTED_VALUE"""),98)</f>
        <v>98</v>
      </c>
      <c r="P223" s="12">
        <f ca="1">IFERROR(__xludf.DUMMYFUNCTION("""COMPUTED_VALUE"""),13)</f>
        <v>13</v>
      </c>
      <c r="Q223" s="12">
        <f ca="1">IFERROR(__xludf.DUMMYFUNCTION("""COMPUTED_VALUE"""),995)</f>
        <v>995</v>
      </c>
      <c r="R223" s="12">
        <f ca="1">IFERROR(__xludf.DUMMYFUNCTION("""COMPUTED_VALUE"""),20)</f>
        <v>20</v>
      </c>
      <c r="S223" s="12">
        <f ca="1">IFERROR(__xludf.DUMMYFUNCTION("""COMPUTED_VALUE"""),312)</f>
        <v>312</v>
      </c>
      <c r="T223" s="12">
        <f ca="1">IFERROR(__xludf.DUMMYFUNCTION("""COMPUTED_VALUE"""),1340)</f>
        <v>1340</v>
      </c>
      <c r="U223" s="12">
        <f ca="1">IFERROR(__xludf.DUMMYFUNCTION("""COMPUTED_VALUE"""),332)</f>
        <v>332</v>
      </c>
    </row>
    <row r="224" spans="1:21" x14ac:dyDescent="0.25">
      <c r="A224" s="11">
        <f ca="1">IFERROR(__xludf.DUMMYFUNCTION("""COMPUTED_VALUE"""),44112)</f>
        <v>44112</v>
      </c>
      <c r="B224" s="12">
        <f ca="1">IFERROR(__xludf.DUMMYFUNCTION("""COMPUTED_VALUE"""),320564)</f>
        <v>320564</v>
      </c>
      <c r="C224" s="12">
        <f ca="1">IFERROR(__xludf.DUMMYFUNCTION("""COMPUTED_VALUE"""),64924)</f>
        <v>64924</v>
      </c>
      <c r="D224" s="12">
        <f ca="1">IFERROR(__xludf.DUMMYFUNCTION("""COMPUTED_VALUE"""),244060)</f>
        <v>244060</v>
      </c>
      <c r="E224" s="12">
        <f ca="1">IFERROR(__xludf.DUMMYFUNCTION("""COMPUTED_VALUE"""),11580)</f>
        <v>11580</v>
      </c>
      <c r="F224" s="12">
        <f ca="1">IFERROR(__xludf.DUMMYFUNCTION("""COMPUTED_VALUE"""),1838)</f>
        <v>1838</v>
      </c>
      <c r="G224" s="12">
        <f ca="1">IFERROR(__xludf.DUMMYFUNCTION("""COMPUTED_VALUE"""),68352)</f>
        <v>68352</v>
      </c>
      <c r="H224" s="12">
        <f ca="1">IFERROR(__xludf.DUMMYFUNCTION("""COMPUTED_VALUE"""),10717)</f>
        <v>10717</v>
      </c>
      <c r="I224" s="12">
        <f ca="1">IFERROR(__xludf.DUMMYFUNCTION("""COMPUTED_VALUE"""),2485)</f>
        <v>2485</v>
      </c>
      <c r="J224" s="12">
        <f ca="1">IFERROR(__xludf.DUMMYFUNCTION("""COMPUTED_VALUE"""),83392)</f>
        <v>83392</v>
      </c>
      <c r="K224" s="12">
        <f ca="1">IFERROR(__xludf.DUMMYFUNCTION("""COMPUTED_VALUE"""),13202)</f>
        <v>13202</v>
      </c>
      <c r="L224" s="12">
        <f ca="1">IFERROR(__xludf.DUMMYFUNCTION("""COMPUTED_VALUE"""),4850)</f>
        <v>4850</v>
      </c>
      <c r="M224" s="12">
        <f ca="1">IFERROR(__xludf.DUMMYFUNCTION("""COMPUTED_VALUE"""),973)</f>
        <v>973</v>
      </c>
      <c r="N224" s="12">
        <f ca="1">IFERROR(__xludf.DUMMYFUNCTION("""COMPUTED_VALUE"""),3769)</f>
        <v>3769</v>
      </c>
      <c r="O224" s="12">
        <f ca="1">IFERROR(__xludf.DUMMYFUNCTION("""COMPUTED_VALUE"""),108)</f>
        <v>108</v>
      </c>
      <c r="P224" s="12">
        <f ca="1">IFERROR(__xludf.DUMMYFUNCTION("""COMPUTED_VALUE"""),19)</f>
        <v>19</v>
      </c>
      <c r="Q224" s="12">
        <f ca="1">IFERROR(__xludf.DUMMYFUNCTION("""COMPUTED_VALUE"""),1042)</f>
        <v>1042</v>
      </c>
      <c r="R224" s="12">
        <f ca="1">IFERROR(__xludf.DUMMYFUNCTION("""COMPUTED_VALUE"""),-90)</f>
        <v>-90</v>
      </c>
      <c r="S224" s="12">
        <f ca="1">IFERROR(__xludf.DUMMYFUNCTION("""COMPUTED_VALUE"""),38)</f>
        <v>38</v>
      </c>
      <c r="T224" s="12">
        <f ca="1">IFERROR(__xludf.DUMMYFUNCTION("""COMPUTED_VALUE"""),1009)</f>
        <v>1009</v>
      </c>
      <c r="U224" s="12">
        <f ca="1">IFERROR(__xludf.DUMMYFUNCTION("""COMPUTED_VALUE"""),-52)</f>
        <v>-52</v>
      </c>
    </row>
    <row r="225" spans="1:21" x14ac:dyDescent="0.25">
      <c r="A225" s="11">
        <f ca="1">IFERROR(__xludf.DUMMYFUNCTION("""COMPUTED_VALUE"""),44113)</f>
        <v>44113</v>
      </c>
      <c r="B225" s="12">
        <f ca="1">IFERROR(__xludf.DUMMYFUNCTION("""COMPUTED_VALUE"""),324658)</f>
        <v>324658</v>
      </c>
      <c r="C225" s="12">
        <f ca="1">IFERROR(__xludf.DUMMYFUNCTION("""COMPUTED_VALUE"""),65314)</f>
        <v>65314</v>
      </c>
      <c r="D225" s="12">
        <f ca="1">IFERROR(__xludf.DUMMYFUNCTION("""COMPUTED_VALUE"""),247667)</f>
        <v>247667</v>
      </c>
      <c r="E225" s="12">
        <f ca="1">IFERROR(__xludf.DUMMYFUNCTION("""COMPUTED_VALUE"""),11677)</f>
        <v>11677</v>
      </c>
      <c r="F225" s="12">
        <f ca="1">IFERROR(__xludf.DUMMYFUNCTION("""COMPUTED_VALUE"""),1860)</f>
        <v>1860</v>
      </c>
      <c r="G225" s="12">
        <f ca="1">IFERROR(__xludf.DUMMYFUNCTION("""COMPUTED_VALUE"""),69203)</f>
        <v>69203</v>
      </c>
      <c r="H225" s="12">
        <f ca="1">IFERROR(__xludf.DUMMYFUNCTION("""COMPUTED_VALUE"""),10746)</f>
        <v>10746</v>
      </c>
      <c r="I225" s="12">
        <f ca="1">IFERROR(__xludf.DUMMYFUNCTION("""COMPUTED_VALUE"""),2555)</f>
        <v>2555</v>
      </c>
      <c r="J225" s="12">
        <f ca="1">IFERROR(__xludf.DUMMYFUNCTION("""COMPUTED_VALUE"""),84364)</f>
        <v>84364</v>
      </c>
      <c r="K225" s="12">
        <f ca="1">IFERROR(__xludf.DUMMYFUNCTION("""COMPUTED_VALUE"""),13301)</f>
        <v>13301</v>
      </c>
      <c r="L225" s="12">
        <f ca="1">IFERROR(__xludf.DUMMYFUNCTION("""COMPUTED_VALUE"""),4094)</f>
        <v>4094</v>
      </c>
      <c r="M225" s="12">
        <f ca="1">IFERROR(__xludf.DUMMYFUNCTION("""COMPUTED_VALUE"""),390)</f>
        <v>390</v>
      </c>
      <c r="N225" s="12">
        <f ca="1">IFERROR(__xludf.DUMMYFUNCTION("""COMPUTED_VALUE"""),3607)</f>
        <v>3607</v>
      </c>
      <c r="O225" s="12">
        <f ca="1">IFERROR(__xludf.DUMMYFUNCTION("""COMPUTED_VALUE"""),97)</f>
        <v>97</v>
      </c>
      <c r="P225" s="12">
        <f ca="1">IFERROR(__xludf.DUMMYFUNCTION("""COMPUTED_VALUE"""),22)</f>
        <v>22</v>
      </c>
      <c r="Q225" s="12">
        <f ca="1">IFERROR(__xludf.DUMMYFUNCTION("""COMPUTED_VALUE"""),851)</f>
        <v>851</v>
      </c>
      <c r="R225" s="12">
        <f ca="1">IFERROR(__xludf.DUMMYFUNCTION("""COMPUTED_VALUE"""),29)</f>
        <v>29</v>
      </c>
      <c r="S225" s="12">
        <f ca="1">IFERROR(__xludf.DUMMYFUNCTION("""COMPUTED_VALUE"""),70)</f>
        <v>70</v>
      </c>
      <c r="T225" s="12">
        <f ca="1">IFERROR(__xludf.DUMMYFUNCTION("""COMPUTED_VALUE"""),972)</f>
        <v>972</v>
      </c>
      <c r="U225" s="12">
        <f ca="1">IFERROR(__xludf.DUMMYFUNCTION("""COMPUTED_VALUE"""),99)</f>
        <v>99</v>
      </c>
    </row>
    <row r="226" spans="1:21" x14ac:dyDescent="0.25">
      <c r="A226" s="11">
        <f ca="1">IFERROR(__xludf.DUMMYFUNCTION("""COMPUTED_VALUE"""),44114)</f>
        <v>44114</v>
      </c>
      <c r="B226" s="12">
        <f ca="1">IFERROR(__xludf.DUMMYFUNCTION("""COMPUTED_VALUE"""),328952)</f>
        <v>328952</v>
      </c>
      <c r="C226" s="12">
        <f ca="1">IFERROR(__xludf.DUMMYFUNCTION("""COMPUTED_VALUE"""),65706)</f>
        <v>65706</v>
      </c>
      <c r="D226" s="12">
        <f ca="1">IFERROR(__xludf.DUMMYFUNCTION("""COMPUTED_VALUE"""),251481)</f>
        <v>251481</v>
      </c>
      <c r="E226" s="12">
        <f ca="1">IFERROR(__xludf.DUMMYFUNCTION("""COMPUTED_VALUE"""),11765)</f>
        <v>11765</v>
      </c>
      <c r="F226" s="12">
        <f ca="1">IFERROR(__xludf.DUMMYFUNCTION("""COMPUTED_VALUE"""),1877)</f>
        <v>1877</v>
      </c>
      <c r="G226" s="12">
        <f ca="1">IFERROR(__xludf.DUMMYFUNCTION("""COMPUTED_VALUE"""),70487)</f>
        <v>70487</v>
      </c>
      <c r="H226" s="12">
        <f ca="1">IFERROR(__xludf.DUMMYFUNCTION("""COMPUTED_VALUE"""),10698)</f>
        <v>10698</v>
      </c>
      <c r="I226" s="12">
        <f ca="1">IFERROR(__xludf.DUMMYFUNCTION("""COMPUTED_VALUE"""),2555)</f>
        <v>2555</v>
      </c>
      <c r="J226" s="12">
        <f ca="1">IFERROR(__xludf.DUMMYFUNCTION("""COMPUTED_VALUE"""),85617)</f>
        <v>85617</v>
      </c>
      <c r="K226" s="12">
        <f ca="1">IFERROR(__xludf.DUMMYFUNCTION("""COMPUTED_VALUE"""),13253)</f>
        <v>13253</v>
      </c>
      <c r="L226" s="12">
        <f ca="1">IFERROR(__xludf.DUMMYFUNCTION("""COMPUTED_VALUE"""),4294)</f>
        <v>4294</v>
      </c>
      <c r="M226" s="12">
        <f ca="1">IFERROR(__xludf.DUMMYFUNCTION("""COMPUTED_VALUE"""),392)</f>
        <v>392</v>
      </c>
      <c r="N226" s="12">
        <f ca="1">IFERROR(__xludf.DUMMYFUNCTION("""COMPUTED_VALUE"""),3814)</f>
        <v>3814</v>
      </c>
      <c r="O226" s="12">
        <f ca="1">IFERROR(__xludf.DUMMYFUNCTION("""COMPUTED_VALUE"""),88)</f>
        <v>88</v>
      </c>
      <c r="P226" s="12">
        <f ca="1">IFERROR(__xludf.DUMMYFUNCTION("""COMPUTED_VALUE"""),17)</f>
        <v>17</v>
      </c>
      <c r="Q226" s="12">
        <f ca="1">IFERROR(__xludf.DUMMYFUNCTION("""COMPUTED_VALUE"""),1284)</f>
        <v>1284</v>
      </c>
      <c r="R226" s="12">
        <f ca="1">IFERROR(__xludf.DUMMYFUNCTION("""COMPUTED_VALUE"""),-48)</f>
        <v>-48</v>
      </c>
      <c r="S226" s="12">
        <f ca="1">IFERROR(__xludf.DUMMYFUNCTION("""COMPUTED_VALUE"""),0)</f>
        <v>0</v>
      </c>
      <c r="T226" s="12">
        <f ca="1">IFERROR(__xludf.DUMMYFUNCTION("""COMPUTED_VALUE"""),1253)</f>
        <v>1253</v>
      </c>
      <c r="U226" s="12">
        <f ca="1">IFERROR(__xludf.DUMMYFUNCTION("""COMPUTED_VALUE"""),-48)</f>
        <v>-48</v>
      </c>
    </row>
    <row r="227" spans="1:21" x14ac:dyDescent="0.25">
      <c r="A227" s="11">
        <f ca="1">IFERROR(__xludf.DUMMYFUNCTION("""COMPUTED_VALUE"""),44115)</f>
        <v>44115</v>
      </c>
      <c r="B227" s="12">
        <f ca="1">IFERROR(__xludf.DUMMYFUNCTION("""COMPUTED_VALUE"""),333449)</f>
        <v>333449</v>
      </c>
      <c r="C227" s="12">
        <f ca="1">IFERROR(__xludf.DUMMYFUNCTION("""COMPUTED_VALUE"""),66578)</f>
        <v>66578</v>
      </c>
      <c r="D227" s="12">
        <f ca="1">IFERROR(__xludf.DUMMYFUNCTION("""COMPUTED_VALUE"""),255027)</f>
        <v>255027</v>
      </c>
      <c r="E227" s="12">
        <f ca="1">IFERROR(__xludf.DUMMYFUNCTION("""COMPUTED_VALUE"""),11844)</f>
        <v>11844</v>
      </c>
      <c r="F227" s="12">
        <f ca="1">IFERROR(__xludf.DUMMYFUNCTION("""COMPUTED_VALUE"""),1901)</f>
        <v>1901</v>
      </c>
      <c r="G227" s="12">
        <f ca="1">IFERROR(__xludf.DUMMYFUNCTION("""COMPUTED_VALUE"""),71549)</f>
        <v>71549</v>
      </c>
      <c r="H227" s="12">
        <f ca="1">IFERROR(__xludf.DUMMYFUNCTION("""COMPUTED_VALUE"""),10863)</f>
        <v>10863</v>
      </c>
      <c r="I227" s="12">
        <f ca="1">IFERROR(__xludf.DUMMYFUNCTION("""COMPUTED_VALUE"""),2693)</f>
        <v>2693</v>
      </c>
      <c r="J227" s="12">
        <f ca="1">IFERROR(__xludf.DUMMYFUNCTION("""COMPUTED_VALUE"""),87006)</f>
        <v>87006</v>
      </c>
      <c r="K227" s="12">
        <f ca="1">IFERROR(__xludf.DUMMYFUNCTION("""COMPUTED_VALUE"""),13556)</f>
        <v>13556</v>
      </c>
      <c r="L227" s="12">
        <f ca="1">IFERROR(__xludf.DUMMYFUNCTION("""COMPUTED_VALUE"""),4497)</f>
        <v>4497</v>
      </c>
      <c r="M227" s="12">
        <f ca="1">IFERROR(__xludf.DUMMYFUNCTION("""COMPUTED_VALUE"""),872)</f>
        <v>872</v>
      </c>
      <c r="N227" s="12">
        <f ca="1">IFERROR(__xludf.DUMMYFUNCTION("""COMPUTED_VALUE"""),3546)</f>
        <v>3546</v>
      </c>
      <c r="O227" s="12">
        <f ca="1">IFERROR(__xludf.DUMMYFUNCTION("""COMPUTED_VALUE"""),79)</f>
        <v>79</v>
      </c>
      <c r="P227" s="12">
        <f ca="1">IFERROR(__xludf.DUMMYFUNCTION("""COMPUTED_VALUE"""),24)</f>
        <v>24</v>
      </c>
      <c r="Q227" s="12">
        <f ca="1">IFERROR(__xludf.DUMMYFUNCTION("""COMPUTED_VALUE"""),1062)</f>
        <v>1062</v>
      </c>
      <c r="R227" s="12">
        <f ca="1">IFERROR(__xludf.DUMMYFUNCTION("""COMPUTED_VALUE"""),165)</f>
        <v>165</v>
      </c>
      <c r="S227" s="12">
        <f ca="1">IFERROR(__xludf.DUMMYFUNCTION("""COMPUTED_VALUE"""),138)</f>
        <v>138</v>
      </c>
      <c r="T227" s="12">
        <f ca="1">IFERROR(__xludf.DUMMYFUNCTION("""COMPUTED_VALUE"""),1389)</f>
        <v>1389</v>
      </c>
      <c r="U227" s="12">
        <f ca="1">IFERROR(__xludf.DUMMYFUNCTION("""COMPUTED_VALUE"""),303)</f>
        <v>303</v>
      </c>
    </row>
    <row r="228" spans="1:21" x14ac:dyDescent="0.25">
      <c r="A228" s="11">
        <f ca="1">IFERROR(__xludf.DUMMYFUNCTION("""COMPUTED_VALUE"""),44116)</f>
        <v>44116</v>
      </c>
      <c r="B228" s="12">
        <f ca="1">IFERROR(__xludf.DUMMYFUNCTION("""COMPUTED_VALUE"""),336716)</f>
        <v>336716</v>
      </c>
      <c r="C228" s="12">
        <f ca="1">IFERROR(__xludf.DUMMYFUNCTION("""COMPUTED_VALUE"""),66262)</f>
        <v>66262</v>
      </c>
      <c r="D228" s="12">
        <f ca="1">IFERROR(__xludf.DUMMYFUNCTION("""COMPUTED_VALUE"""),258519)</f>
        <v>258519</v>
      </c>
      <c r="E228" s="12">
        <f ca="1">IFERROR(__xludf.DUMMYFUNCTION("""COMPUTED_VALUE"""),11935)</f>
        <v>11935</v>
      </c>
      <c r="F228" s="12">
        <f ca="1">IFERROR(__xludf.DUMMYFUNCTION("""COMPUTED_VALUE"""),1922)</f>
        <v>1922</v>
      </c>
      <c r="G228" s="12">
        <f ca="1">IFERROR(__xludf.DUMMYFUNCTION("""COMPUTED_VALUE"""),72633)</f>
        <v>72633</v>
      </c>
      <c r="H228" s="12">
        <f ca="1">IFERROR(__xludf.DUMMYFUNCTION("""COMPUTED_VALUE"""),10814)</f>
        <v>10814</v>
      </c>
      <c r="I228" s="12">
        <f ca="1">IFERROR(__xludf.DUMMYFUNCTION("""COMPUTED_VALUE"""),2805)</f>
        <v>2805</v>
      </c>
      <c r="J228" s="12">
        <f ca="1">IFERROR(__xludf.DUMMYFUNCTION("""COMPUTED_VALUE"""),88174)</f>
        <v>88174</v>
      </c>
      <c r="K228" s="12">
        <f ca="1">IFERROR(__xludf.DUMMYFUNCTION("""COMPUTED_VALUE"""),13619)</f>
        <v>13619</v>
      </c>
      <c r="L228" s="12">
        <f ca="1">IFERROR(__xludf.DUMMYFUNCTION("""COMPUTED_VALUE"""),3267)</f>
        <v>3267</v>
      </c>
      <c r="M228" s="12">
        <f ca="1">IFERROR(__xludf.DUMMYFUNCTION("""COMPUTED_VALUE"""),-316)</f>
        <v>-316</v>
      </c>
      <c r="N228" s="12">
        <f ca="1">IFERROR(__xludf.DUMMYFUNCTION("""COMPUTED_VALUE"""),3492)</f>
        <v>3492</v>
      </c>
      <c r="O228" s="12">
        <f ca="1">IFERROR(__xludf.DUMMYFUNCTION("""COMPUTED_VALUE"""),91)</f>
        <v>91</v>
      </c>
      <c r="P228" s="12">
        <f ca="1">IFERROR(__xludf.DUMMYFUNCTION("""COMPUTED_VALUE"""),21)</f>
        <v>21</v>
      </c>
      <c r="Q228" s="12">
        <f ca="1">IFERROR(__xludf.DUMMYFUNCTION("""COMPUTED_VALUE"""),1084)</f>
        <v>1084</v>
      </c>
      <c r="R228" s="12">
        <f ca="1">IFERROR(__xludf.DUMMYFUNCTION("""COMPUTED_VALUE"""),-49)</f>
        <v>-49</v>
      </c>
      <c r="S228" s="12">
        <f ca="1">IFERROR(__xludf.DUMMYFUNCTION("""COMPUTED_VALUE"""),112)</f>
        <v>112</v>
      </c>
      <c r="T228" s="12">
        <f ca="1">IFERROR(__xludf.DUMMYFUNCTION("""COMPUTED_VALUE"""),1168)</f>
        <v>1168</v>
      </c>
      <c r="U228" s="12">
        <f ca="1">IFERROR(__xludf.DUMMYFUNCTION("""COMPUTED_VALUE"""),63)</f>
        <v>63</v>
      </c>
    </row>
    <row r="229" spans="1:21" x14ac:dyDescent="0.25">
      <c r="A229" s="11">
        <f ca="1">IFERROR(__xludf.DUMMYFUNCTION("""COMPUTED_VALUE"""),44117)</f>
        <v>44117</v>
      </c>
      <c r="B229" s="12">
        <f ca="1">IFERROR(__xludf.DUMMYFUNCTION("""COMPUTED_VALUE"""),340622)</f>
        <v>340622</v>
      </c>
      <c r="C229" s="12">
        <f ca="1">IFERROR(__xludf.DUMMYFUNCTION("""COMPUTED_VALUE"""),65299)</f>
        <v>65299</v>
      </c>
      <c r="D229" s="12">
        <f ca="1">IFERROR(__xludf.DUMMYFUNCTION("""COMPUTED_VALUE"""),263296)</f>
        <v>263296</v>
      </c>
      <c r="E229" s="12">
        <f ca="1">IFERROR(__xludf.DUMMYFUNCTION("""COMPUTED_VALUE"""),12027)</f>
        <v>12027</v>
      </c>
      <c r="F229" s="12">
        <f ca="1">IFERROR(__xludf.DUMMYFUNCTION("""COMPUTED_VALUE"""),1944)</f>
        <v>1944</v>
      </c>
      <c r="G229" s="12">
        <f ca="1">IFERROR(__xludf.DUMMYFUNCTION("""COMPUTED_VALUE"""),73733)</f>
        <v>73733</v>
      </c>
      <c r="H229" s="12">
        <f ca="1">IFERROR(__xludf.DUMMYFUNCTION("""COMPUTED_VALUE"""),10908)</f>
        <v>10908</v>
      </c>
      <c r="I229" s="12">
        <f ca="1">IFERROR(__xludf.DUMMYFUNCTION("""COMPUTED_VALUE"""),2643)</f>
        <v>2643</v>
      </c>
      <c r="J229" s="12">
        <f ca="1">IFERROR(__xludf.DUMMYFUNCTION("""COMPUTED_VALUE"""),89228)</f>
        <v>89228</v>
      </c>
      <c r="K229" s="12">
        <f ca="1">IFERROR(__xludf.DUMMYFUNCTION("""COMPUTED_VALUE"""),13551)</f>
        <v>13551</v>
      </c>
      <c r="L229" s="12">
        <f ca="1">IFERROR(__xludf.DUMMYFUNCTION("""COMPUTED_VALUE"""),3906)</f>
        <v>3906</v>
      </c>
      <c r="M229" s="12">
        <f ca="1">IFERROR(__xludf.DUMMYFUNCTION("""COMPUTED_VALUE"""),-963)</f>
        <v>-963</v>
      </c>
      <c r="N229" s="12">
        <f ca="1">IFERROR(__xludf.DUMMYFUNCTION("""COMPUTED_VALUE"""),4777)</f>
        <v>4777</v>
      </c>
      <c r="O229" s="12">
        <f ca="1">IFERROR(__xludf.DUMMYFUNCTION("""COMPUTED_VALUE"""),92)</f>
        <v>92</v>
      </c>
      <c r="P229" s="12">
        <f ca="1">IFERROR(__xludf.DUMMYFUNCTION("""COMPUTED_VALUE"""),22)</f>
        <v>22</v>
      </c>
      <c r="Q229" s="12">
        <f ca="1">IFERROR(__xludf.DUMMYFUNCTION("""COMPUTED_VALUE"""),1100)</f>
        <v>1100</v>
      </c>
      <c r="R229" s="12">
        <f ca="1">IFERROR(__xludf.DUMMYFUNCTION("""COMPUTED_VALUE"""),94)</f>
        <v>94</v>
      </c>
      <c r="S229" s="12">
        <f ca="1">IFERROR(__xludf.DUMMYFUNCTION("""COMPUTED_VALUE"""),-162)</f>
        <v>-162</v>
      </c>
      <c r="T229" s="12">
        <f ca="1">IFERROR(__xludf.DUMMYFUNCTION("""COMPUTED_VALUE"""),1054)</f>
        <v>1054</v>
      </c>
      <c r="U229" s="12">
        <f ca="1">IFERROR(__xludf.DUMMYFUNCTION("""COMPUTED_VALUE"""),-68)</f>
        <v>-68</v>
      </c>
    </row>
    <row r="230" spans="1:21" x14ac:dyDescent="0.25">
      <c r="A230" s="11">
        <f ca="1">IFERROR(__xludf.DUMMYFUNCTION("""COMPUTED_VALUE"""),44118)</f>
        <v>44118</v>
      </c>
      <c r="B230" s="12">
        <f ca="1">IFERROR(__xludf.DUMMYFUNCTION("""COMPUTED_VALUE"""),344749)</f>
        <v>344749</v>
      </c>
      <c r="C230" s="12">
        <f ca="1">IFERROR(__xludf.DUMMYFUNCTION("""COMPUTED_VALUE"""),64742)</f>
        <v>64742</v>
      </c>
      <c r="D230" s="12">
        <f ca="1">IFERROR(__xludf.DUMMYFUNCTION("""COMPUTED_VALUE"""),267851)</f>
        <v>267851</v>
      </c>
      <c r="E230" s="12">
        <f ca="1">IFERROR(__xludf.DUMMYFUNCTION("""COMPUTED_VALUE"""),12156)</f>
        <v>12156</v>
      </c>
      <c r="F230" s="12">
        <f ca="1">IFERROR(__xludf.DUMMYFUNCTION("""COMPUTED_VALUE"""),1961)</f>
        <v>1961</v>
      </c>
      <c r="G230" s="12">
        <f ca="1">IFERROR(__xludf.DUMMYFUNCTION("""COMPUTED_VALUE"""),74924)</f>
        <v>74924</v>
      </c>
      <c r="H230" s="12">
        <f ca="1">IFERROR(__xludf.DUMMYFUNCTION("""COMPUTED_VALUE"""),10822)</f>
        <v>10822</v>
      </c>
      <c r="I230" s="12">
        <f ca="1">IFERROR(__xludf.DUMMYFUNCTION("""COMPUTED_VALUE"""),2559)</f>
        <v>2559</v>
      </c>
      <c r="J230" s="12">
        <f ca="1">IFERROR(__xludf.DUMMYFUNCTION("""COMPUTED_VALUE"""),90266)</f>
        <v>90266</v>
      </c>
      <c r="K230" s="12">
        <f ca="1">IFERROR(__xludf.DUMMYFUNCTION("""COMPUTED_VALUE"""),13381)</f>
        <v>13381</v>
      </c>
      <c r="L230" s="12">
        <f ca="1">IFERROR(__xludf.DUMMYFUNCTION("""COMPUTED_VALUE"""),4127)</f>
        <v>4127</v>
      </c>
      <c r="M230" s="12">
        <f ca="1">IFERROR(__xludf.DUMMYFUNCTION("""COMPUTED_VALUE"""),-557)</f>
        <v>-557</v>
      </c>
      <c r="N230" s="12">
        <f ca="1">IFERROR(__xludf.DUMMYFUNCTION("""COMPUTED_VALUE"""),4555)</f>
        <v>4555</v>
      </c>
      <c r="O230" s="12">
        <f ca="1">IFERROR(__xludf.DUMMYFUNCTION("""COMPUTED_VALUE"""),129)</f>
        <v>129</v>
      </c>
      <c r="P230" s="12">
        <f ca="1">IFERROR(__xludf.DUMMYFUNCTION("""COMPUTED_VALUE"""),17)</f>
        <v>17</v>
      </c>
      <c r="Q230" s="12">
        <f ca="1">IFERROR(__xludf.DUMMYFUNCTION("""COMPUTED_VALUE"""),1191)</f>
        <v>1191</v>
      </c>
      <c r="R230" s="12">
        <f ca="1">IFERROR(__xludf.DUMMYFUNCTION("""COMPUTED_VALUE"""),-86)</f>
        <v>-86</v>
      </c>
      <c r="S230" s="12">
        <f ca="1">IFERROR(__xludf.DUMMYFUNCTION("""COMPUTED_VALUE"""),-84)</f>
        <v>-84</v>
      </c>
      <c r="T230" s="12">
        <f ca="1">IFERROR(__xludf.DUMMYFUNCTION("""COMPUTED_VALUE"""),1038)</f>
        <v>1038</v>
      </c>
      <c r="U230" s="12">
        <f ca="1">IFERROR(__xludf.DUMMYFUNCTION("""COMPUTED_VALUE"""),-170)</f>
        <v>-170</v>
      </c>
    </row>
    <row r="231" spans="1:21" x14ac:dyDescent="0.25">
      <c r="A231" s="11">
        <f ca="1">IFERROR(__xludf.DUMMYFUNCTION("""COMPUTED_VALUE"""),44119)</f>
        <v>44119</v>
      </c>
      <c r="B231" s="12">
        <f ca="1">IFERROR(__xludf.DUMMYFUNCTION("""COMPUTED_VALUE"""),349160)</f>
        <v>349160</v>
      </c>
      <c r="C231" s="12">
        <f ca="1">IFERROR(__xludf.DUMMYFUNCTION("""COMPUTED_VALUE"""),63231)</f>
        <v>63231</v>
      </c>
      <c r="D231" s="12">
        <f ca="1">IFERROR(__xludf.DUMMYFUNCTION("""COMPUTED_VALUE"""),273661)</f>
        <v>273661</v>
      </c>
      <c r="E231" s="12">
        <f ca="1">IFERROR(__xludf.DUMMYFUNCTION("""COMPUTED_VALUE"""),12268)</f>
        <v>12268</v>
      </c>
      <c r="F231" s="12">
        <f ca="1">IFERROR(__xludf.DUMMYFUNCTION("""COMPUTED_VALUE"""),1984)</f>
        <v>1984</v>
      </c>
      <c r="G231" s="12">
        <f ca="1">IFERROR(__xludf.DUMMYFUNCTION("""COMPUTED_VALUE"""),75974)</f>
        <v>75974</v>
      </c>
      <c r="H231" s="12">
        <f ca="1">IFERROR(__xludf.DUMMYFUNCTION("""COMPUTED_VALUE"""),10636)</f>
        <v>10636</v>
      </c>
      <c r="I231" s="12">
        <f ca="1">IFERROR(__xludf.DUMMYFUNCTION("""COMPUTED_VALUE"""),2743)</f>
        <v>2743</v>
      </c>
      <c r="J231" s="12">
        <f ca="1">IFERROR(__xludf.DUMMYFUNCTION("""COMPUTED_VALUE"""),91337)</f>
        <v>91337</v>
      </c>
      <c r="K231" s="12">
        <f ca="1">IFERROR(__xludf.DUMMYFUNCTION("""COMPUTED_VALUE"""),13379)</f>
        <v>13379</v>
      </c>
      <c r="L231" s="12">
        <f ca="1">IFERROR(__xludf.DUMMYFUNCTION("""COMPUTED_VALUE"""),4411)</f>
        <v>4411</v>
      </c>
      <c r="M231" s="12">
        <f ca="1">IFERROR(__xludf.DUMMYFUNCTION("""COMPUTED_VALUE"""),-1511)</f>
        <v>-1511</v>
      </c>
      <c r="N231" s="12">
        <f ca="1">IFERROR(__xludf.DUMMYFUNCTION("""COMPUTED_VALUE"""),5810)</f>
        <v>5810</v>
      </c>
      <c r="O231" s="12">
        <f ca="1">IFERROR(__xludf.DUMMYFUNCTION("""COMPUTED_VALUE"""),112)</f>
        <v>112</v>
      </c>
      <c r="P231" s="12">
        <f ca="1">IFERROR(__xludf.DUMMYFUNCTION("""COMPUTED_VALUE"""),23)</f>
        <v>23</v>
      </c>
      <c r="Q231" s="12">
        <f ca="1">IFERROR(__xludf.DUMMYFUNCTION("""COMPUTED_VALUE"""),1050)</f>
        <v>1050</v>
      </c>
      <c r="R231" s="12">
        <f ca="1">IFERROR(__xludf.DUMMYFUNCTION("""COMPUTED_VALUE"""),-186)</f>
        <v>-186</v>
      </c>
      <c r="S231" s="12">
        <f ca="1">IFERROR(__xludf.DUMMYFUNCTION("""COMPUTED_VALUE"""),184)</f>
        <v>184</v>
      </c>
      <c r="T231" s="12">
        <f ca="1">IFERROR(__xludf.DUMMYFUNCTION("""COMPUTED_VALUE"""),1071)</f>
        <v>1071</v>
      </c>
      <c r="U231" s="12">
        <f ca="1">IFERROR(__xludf.DUMMYFUNCTION("""COMPUTED_VALUE"""),-2)</f>
        <v>-2</v>
      </c>
    </row>
    <row r="232" spans="1:21" x14ac:dyDescent="0.25">
      <c r="A232" s="11">
        <f ca="1">IFERROR(__xludf.DUMMYFUNCTION("""COMPUTED_VALUE"""),44120)</f>
        <v>44120</v>
      </c>
      <c r="B232" s="12">
        <f ca="1">IFERROR(__xludf.DUMMYFUNCTION("""COMPUTED_VALUE"""),353461)</f>
        <v>353461</v>
      </c>
      <c r="C232" s="12">
        <f ca="1">IFERROR(__xludf.DUMMYFUNCTION("""COMPUTED_VALUE"""),63570)</f>
        <v>63570</v>
      </c>
      <c r="D232" s="12">
        <f ca="1">IFERROR(__xludf.DUMMYFUNCTION("""COMPUTED_VALUE"""),277544)</f>
        <v>277544</v>
      </c>
      <c r="E232" s="12">
        <f ca="1">IFERROR(__xludf.DUMMYFUNCTION("""COMPUTED_VALUE"""),12347)</f>
        <v>12347</v>
      </c>
      <c r="F232" s="12">
        <f ca="1">IFERROR(__xludf.DUMMYFUNCTION("""COMPUTED_VALUE"""),2008)</f>
        <v>2008</v>
      </c>
      <c r="G232" s="12">
        <f ca="1">IFERROR(__xludf.DUMMYFUNCTION("""COMPUTED_VALUE"""),76956)</f>
        <v>76956</v>
      </c>
      <c r="H232" s="12">
        <f ca="1">IFERROR(__xludf.DUMMYFUNCTION("""COMPUTED_VALUE"""),10498)</f>
        <v>10498</v>
      </c>
      <c r="I232" s="12">
        <f ca="1">IFERROR(__xludf.DUMMYFUNCTION("""COMPUTED_VALUE"""),2920)</f>
        <v>2920</v>
      </c>
      <c r="J232" s="12">
        <f ca="1">IFERROR(__xludf.DUMMYFUNCTION("""COMPUTED_VALUE"""),92382)</f>
        <v>92382</v>
      </c>
      <c r="K232" s="12">
        <f ca="1">IFERROR(__xludf.DUMMYFUNCTION("""COMPUTED_VALUE"""),13418)</f>
        <v>13418</v>
      </c>
      <c r="L232" s="12">
        <f ca="1">IFERROR(__xludf.DUMMYFUNCTION("""COMPUTED_VALUE"""),4301)</f>
        <v>4301</v>
      </c>
      <c r="M232" s="12">
        <f ca="1">IFERROR(__xludf.DUMMYFUNCTION("""COMPUTED_VALUE"""),339)</f>
        <v>339</v>
      </c>
      <c r="N232" s="12">
        <f ca="1">IFERROR(__xludf.DUMMYFUNCTION("""COMPUTED_VALUE"""),3883)</f>
        <v>3883</v>
      </c>
      <c r="O232" s="12">
        <f ca="1">IFERROR(__xludf.DUMMYFUNCTION("""COMPUTED_VALUE"""),79)</f>
        <v>79</v>
      </c>
      <c r="P232" s="12">
        <f ca="1">IFERROR(__xludf.DUMMYFUNCTION("""COMPUTED_VALUE"""),24)</f>
        <v>24</v>
      </c>
      <c r="Q232" s="12">
        <f ca="1">IFERROR(__xludf.DUMMYFUNCTION("""COMPUTED_VALUE"""),982)</f>
        <v>982</v>
      </c>
      <c r="R232" s="12">
        <f ca="1">IFERROR(__xludf.DUMMYFUNCTION("""COMPUTED_VALUE"""),-138)</f>
        <v>-138</v>
      </c>
      <c r="S232" s="12">
        <f ca="1">IFERROR(__xludf.DUMMYFUNCTION("""COMPUTED_VALUE"""),177)</f>
        <v>177</v>
      </c>
      <c r="T232" s="12">
        <f ca="1">IFERROR(__xludf.DUMMYFUNCTION("""COMPUTED_VALUE"""),1045)</f>
        <v>1045</v>
      </c>
      <c r="U232" s="12">
        <f ca="1">IFERROR(__xludf.DUMMYFUNCTION("""COMPUTED_VALUE"""),39)</f>
        <v>39</v>
      </c>
    </row>
    <row r="233" spans="1:21" x14ac:dyDescent="0.25">
      <c r="A233" s="11">
        <f ca="1">IFERROR(__xludf.DUMMYFUNCTION("""COMPUTED_VALUE"""),44121)</f>
        <v>44121</v>
      </c>
      <c r="B233" s="12">
        <f ca="1">IFERROR(__xludf.DUMMYFUNCTION("""COMPUTED_VALUE"""),357762)</f>
        <v>357762</v>
      </c>
      <c r="C233" s="12">
        <f ca="1">IFERROR(__xludf.DUMMYFUNCTION("""COMPUTED_VALUE"""),63739)</f>
        <v>63739</v>
      </c>
      <c r="D233" s="12">
        <f ca="1">IFERROR(__xludf.DUMMYFUNCTION("""COMPUTED_VALUE"""),281592)</f>
        <v>281592</v>
      </c>
      <c r="E233" s="12">
        <f ca="1">IFERROR(__xludf.DUMMYFUNCTION("""COMPUTED_VALUE"""),12431)</f>
        <v>12431</v>
      </c>
      <c r="F233" s="12">
        <f ca="1">IFERROR(__xludf.DUMMYFUNCTION("""COMPUTED_VALUE"""),2032)</f>
        <v>2032</v>
      </c>
      <c r="G233" s="12">
        <f ca="1">IFERROR(__xludf.DUMMYFUNCTION("""COMPUTED_VALUE"""),78062)</f>
        <v>78062</v>
      </c>
      <c r="H233" s="12">
        <f ca="1">IFERROR(__xludf.DUMMYFUNCTION("""COMPUTED_VALUE"""),10591)</f>
        <v>10591</v>
      </c>
      <c r="I233" s="12">
        <f ca="1">IFERROR(__xludf.DUMMYFUNCTION("""COMPUTED_VALUE"""),2671)</f>
        <v>2671</v>
      </c>
      <c r="J233" s="12">
        <f ca="1">IFERROR(__xludf.DUMMYFUNCTION("""COMPUTED_VALUE"""),93356)</f>
        <v>93356</v>
      </c>
      <c r="K233" s="12">
        <f ca="1">IFERROR(__xludf.DUMMYFUNCTION("""COMPUTED_VALUE"""),13262)</f>
        <v>13262</v>
      </c>
      <c r="L233" s="12">
        <f ca="1">IFERROR(__xludf.DUMMYFUNCTION("""COMPUTED_VALUE"""),4301)</f>
        <v>4301</v>
      </c>
      <c r="M233" s="12">
        <f ca="1">IFERROR(__xludf.DUMMYFUNCTION("""COMPUTED_VALUE"""),169)</f>
        <v>169</v>
      </c>
      <c r="N233" s="12">
        <f ca="1">IFERROR(__xludf.DUMMYFUNCTION("""COMPUTED_VALUE"""),4048)</f>
        <v>4048</v>
      </c>
      <c r="O233" s="12">
        <f ca="1">IFERROR(__xludf.DUMMYFUNCTION("""COMPUTED_VALUE"""),84)</f>
        <v>84</v>
      </c>
      <c r="P233" s="12">
        <f ca="1">IFERROR(__xludf.DUMMYFUNCTION("""COMPUTED_VALUE"""),24)</f>
        <v>24</v>
      </c>
      <c r="Q233" s="12">
        <f ca="1">IFERROR(__xludf.DUMMYFUNCTION("""COMPUTED_VALUE"""),1106)</f>
        <v>1106</v>
      </c>
      <c r="R233" s="12">
        <f ca="1">IFERROR(__xludf.DUMMYFUNCTION("""COMPUTED_VALUE"""),93)</f>
        <v>93</v>
      </c>
      <c r="S233" s="12">
        <f ca="1">IFERROR(__xludf.DUMMYFUNCTION("""COMPUTED_VALUE"""),-249)</f>
        <v>-249</v>
      </c>
      <c r="T233" s="12">
        <f ca="1">IFERROR(__xludf.DUMMYFUNCTION("""COMPUTED_VALUE"""),974)</f>
        <v>974</v>
      </c>
      <c r="U233" s="12">
        <f ca="1">IFERROR(__xludf.DUMMYFUNCTION("""COMPUTED_VALUE"""),-156)</f>
        <v>-156</v>
      </c>
    </row>
    <row r="234" spans="1:21" x14ac:dyDescent="0.25">
      <c r="A234" s="11">
        <f ca="1">IFERROR(__xludf.DUMMYFUNCTION("""COMPUTED_VALUE"""),44122)</f>
        <v>44122</v>
      </c>
      <c r="B234" s="12">
        <f ca="1">IFERROR(__xludf.DUMMYFUNCTION("""COMPUTED_VALUE"""),361867)</f>
        <v>361867</v>
      </c>
      <c r="C234" s="12">
        <f ca="1">IFERROR(__xludf.DUMMYFUNCTION("""COMPUTED_VALUE"""),64032)</f>
        <v>64032</v>
      </c>
      <c r="D234" s="12">
        <f ca="1">IFERROR(__xludf.DUMMYFUNCTION("""COMPUTED_VALUE"""),285324)</f>
        <v>285324</v>
      </c>
      <c r="E234" s="12">
        <f ca="1">IFERROR(__xludf.DUMMYFUNCTION("""COMPUTED_VALUE"""),12511)</f>
        <v>12511</v>
      </c>
      <c r="F234" s="12">
        <f ca="1">IFERROR(__xludf.DUMMYFUNCTION("""COMPUTED_VALUE"""),2051)</f>
        <v>2051</v>
      </c>
      <c r="G234" s="12">
        <f ca="1">IFERROR(__xludf.DUMMYFUNCTION("""COMPUTED_VALUE"""),79136)</f>
        <v>79136</v>
      </c>
      <c r="H234" s="12">
        <f ca="1">IFERROR(__xludf.DUMMYFUNCTION("""COMPUTED_VALUE"""),10782)</f>
        <v>10782</v>
      </c>
      <c r="I234" s="12">
        <f ca="1">IFERROR(__xludf.DUMMYFUNCTION("""COMPUTED_VALUE"""),2358)</f>
        <v>2358</v>
      </c>
      <c r="J234" s="12">
        <f ca="1">IFERROR(__xludf.DUMMYFUNCTION("""COMPUTED_VALUE"""),94327)</f>
        <v>94327</v>
      </c>
      <c r="K234" s="12">
        <f ca="1">IFERROR(__xludf.DUMMYFUNCTION("""COMPUTED_VALUE"""),13140)</f>
        <v>13140</v>
      </c>
      <c r="L234" s="12">
        <f ca="1">IFERROR(__xludf.DUMMYFUNCTION("""COMPUTED_VALUE"""),4105)</f>
        <v>4105</v>
      </c>
      <c r="M234" s="12">
        <f ca="1">IFERROR(__xludf.DUMMYFUNCTION("""COMPUTED_VALUE"""),293)</f>
        <v>293</v>
      </c>
      <c r="N234" s="12">
        <f ca="1">IFERROR(__xludf.DUMMYFUNCTION("""COMPUTED_VALUE"""),3732)</f>
        <v>3732</v>
      </c>
      <c r="O234" s="12">
        <f ca="1">IFERROR(__xludf.DUMMYFUNCTION("""COMPUTED_VALUE"""),80)</f>
        <v>80</v>
      </c>
      <c r="P234" s="12">
        <f ca="1">IFERROR(__xludf.DUMMYFUNCTION("""COMPUTED_VALUE"""),19)</f>
        <v>19</v>
      </c>
      <c r="Q234" s="12">
        <f ca="1">IFERROR(__xludf.DUMMYFUNCTION("""COMPUTED_VALUE"""),1074)</f>
        <v>1074</v>
      </c>
      <c r="R234" s="12">
        <f ca="1">IFERROR(__xludf.DUMMYFUNCTION("""COMPUTED_VALUE"""),191)</f>
        <v>191</v>
      </c>
      <c r="S234" s="12">
        <f ca="1">IFERROR(__xludf.DUMMYFUNCTION("""COMPUTED_VALUE"""),-313)</f>
        <v>-313</v>
      </c>
      <c r="T234" s="12">
        <f ca="1">IFERROR(__xludf.DUMMYFUNCTION("""COMPUTED_VALUE"""),971)</f>
        <v>971</v>
      </c>
      <c r="U234" s="12">
        <f ca="1">IFERROR(__xludf.DUMMYFUNCTION("""COMPUTED_VALUE"""),-122)</f>
        <v>-122</v>
      </c>
    </row>
    <row r="235" spans="1:21" x14ac:dyDescent="0.25">
      <c r="A235" s="11">
        <f ca="1">IFERROR(__xludf.DUMMYFUNCTION("""COMPUTED_VALUE"""),44123)</f>
        <v>44123</v>
      </c>
      <c r="B235" s="12">
        <f ca="1">IFERROR(__xludf.DUMMYFUNCTION("""COMPUTED_VALUE"""),365240)</f>
        <v>365240</v>
      </c>
      <c r="C235" s="12">
        <f ca="1">IFERROR(__xludf.DUMMYFUNCTION("""COMPUTED_VALUE"""),63380)</f>
        <v>63380</v>
      </c>
      <c r="D235" s="12">
        <f ca="1">IFERROR(__xludf.DUMMYFUNCTION("""COMPUTED_VALUE"""),289243)</f>
        <v>289243</v>
      </c>
      <c r="E235" s="12">
        <f ca="1">IFERROR(__xludf.DUMMYFUNCTION("""COMPUTED_VALUE"""),12617)</f>
        <v>12617</v>
      </c>
      <c r="F235" s="12">
        <f ca="1">IFERROR(__xludf.DUMMYFUNCTION("""COMPUTED_VALUE"""),2064)</f>
        <v>2064</v>
      </c>
      <c r="G235" s="12">
        <f ca="1">IFERROR(__xludf.DUMMYFUNCTION("""COMPUTED_VALUE"""),80261)</f>
        <v>80261</v>
      </c>
      <c r="H235" s="12">
        <f ca="1">IFERROR(__xludf.DUMMYFUNCTION("""COMPUTED_VALUE"""),10325)</f>
        <v>10325</v>
      </c>
      <c r="I235" s="12">
        <f ca="1">IFERROR(__xludf.DUMMYFUNCTION("""COMPUTED_VALUE"""),2603)</f>
        <v>2603</v>
      </c>
      <c r="J235" s="12">
        <f ca="1">IFERROR(__xludf.DUMMYFUNCTION("""COMPUTED_VALUE"""),95253)</f>
        <v>95253</v>
      </c>
      <c r="K235" s="12">
        <f ca="1">IFERROR(__xludf.DUMMYFUNCTION("""COMPUTED_VALUE"""),12928)</f>
        <v>12928</v>
      </c>
      <c r="L235" s="12">
        <f ca="1">IFERROR(__xludf.DUMMYFUNCTION("""COMPUTED_VALUE"""),3373)</f>
        <v>3373</v>
      </c>
      <c r="M235" s="12">
        <f ca="1">IFERROR(__xludf.DUMMYFUNCTION("""COMPUTED_VALUE"""),-652)</f>
        <v>-652</v>
      </c>
      <c r="N235" s="12">
        <f ca="1">IFERROR(__xludf.DUMMYFUNCTION("""COMPUTED_VALUE"""),3919)</f>
        <v>3919</v>
      </c>
      <c r="O235" s="12">
        <f ca="1">IFERROR(__xludf.DUMMYFUNCTION("""COMPUTED_VALUE"""),106)</f>
        <v>106</v>
      </c>
      <c r="P235" s="12">
        <f ca="1">IFERROR(__xludf.DUMMYFUNCTION("""COMPUTED_VALUE"""),13)</f>
        <v>13</v>
      </c>
      <c r="Q235" s="12">
        <f ca="1">IFERROR(__xludf.DUMMYFUNCTION("""COMPUTED_VALUE"""),1125)</f>
        <v>1125</v>
      </c>
      <c r="R235" s="12">
        <f ca="1">IFERROR(__xludf.DUMMYFUNCTION("""COMPUTED_VALUE"""),-457)</f>
        <v>-457</v>
      </c>
      <c r="S235" s="12">
        <f ca="1">IFERROR(__xludf.DUMMYFUNCTION("""COMPUTED_VALUE"""),245)</f>
        <v>245</v>
      </c>
      <c r="T235" s="12">
        <f ca="1">IFERROR(__xludf.DUMMYFUNCTION("""COMPUTED_VALUE"""),926)</f>
        <v>926</v>
      </c>
      <c r="U235" s="12">
        <f ca="1">IFERROR(__xludf.DUMMYFUNCTION("""COMPUTED_VALUE"""),-212)</f>
        <v>-212</v>
      </c>
    </row>
    <row r="236" spans="1:21" x14ac:dyDescent="0.25">
      <c r="A236" s="11">
        <f ca="1">IFERROR(__xludf.DUMMYFUNCTION("""COMPUTED_VALUE"""),44124)</f>
        <v>44124</v>
      </c>
      <c r="B236" s="12">
        <f ca="1">IFERROR(__xludf.DUMMYFUNCTION("""COMPUTED_VALUE"""),368842)</f>
        <v>368842</v>
      </c>
      <c r="C236" s="12">
        <f ca="1">IFERROR(__xludf.DUMMYFUNCTION("""COMPUTED_VALUE"""),62455)</f>
        <v>62455</v>
      </c>
      <c r="D236" s="12">
        <f ca="1">IFERROR(__xludf.DUMMYFUNCTION("""COMPUTED_VALUE"""),293653)</f>
        <v>293653</v>
      </c>
      <c r="E236" s="12">
        <f ca="1">IFERROR(__xludf.DUMMYFUNCTION("""COMPUTED_VALUE"""),12734)</f>
        <v>12734</v>
      </c>
      <c r="F236" s="12">
        <f ca="1">IFERROR(__xludf.DUMMYFUNCTION("""COMPUTED_VALUE"""),2086)</f>
        <v>2086</v>
      </c>
      <c r="G236" s="12">
        <f ca="1">IFERROR(__xludf.DUMMYFUNCTION("""COMPUTED_VALUE"""),81107)</f>
        <v>81107</v>
      </c>
      <c r="H236" s="12">
        <f ca="1">IFERROR(__xludf.DUMMYFUNCTION("""COMPUTED_VALUE"""),10292)</f>
        <v>10292</v>
      </c>
      <c r="I236" s="12">
        <f ca="1">IFERROR(__xludf.DUMMYFUNCTION("""COMPUTED_VALUE"""),2732)</f>
        <v>2732</v>
      </c>
      <c r="J236" s="12">
        <f ca="1">IFERROR(__xludf.DUMMYFUNCTION("""COMPUTED_VALUE"""),96217)</f>
        <v>96217</v>
      </c>
      <c r="K236" s="12">
        <f ca="1">IFERROR(__xludf.DUMMYFUNCTION("""COMPUTED_VALUE"""),13024)</f>
        <v>13024</v>
      </c>
      <c r="L236" s="12">
        <f ca="1">IFERROR(__xludf.DUMMYFUNCTION("""COMPUTED_VALUE"""),3602)</f>
        <v>3602</v>
      </c>
      <c r="M236" s="12">
        <f ca="1">IFERROR(__xludf.DUMMYFUNCTION("""COMPUTED_VALUE"""),-925)</f>
        <v>-925</v>
      </c>
      <c r="N236" s="12">
        <f ca="1">IFERROR(__xludf.DUMMYFUNCTION("""COMPUTED_VALUE"""),4410)</f>
        <v>4410</v>
      </c>
      <c r="O236" s="12">
        <f ca="1">IFERROR(__xludf.DUMMYFUNCTION("""COMPUTED_VALUE"""),117)</f>
        <v>117</v>
      </c>
      <c r="P236" s="12">
        <f ca="1">IFERROR(__xludf.DUMMYFUNCTION("""COMPUTED_VALUE"""),22)</f>
        <v>22</v>
      </c>
      <c r="Q236" s="12">
        <f ca="1">IFERROR(__xludf.DUMMYFUNCTION("""COMPUTED_VALUE"""),846)</f>
        <v>846</v>
      </c>
      <c r="R236" s="12">
        <f ca="1">IFERROR(__xludf.DUMMYFUNCTION("""COMPUTED_VALUE"""),-33)</f>
        <v>-33</v>
      </c>
      <c r="S236" s="12">
        <f ca="1">IFERROR(__xludf.DUMMYFUNCTION("""COMPUTED_VALUE"""),129)</f>
        <v>129</v>
      </c>
      <c r="T236" s="12">
        <f ca="1">IFERROR(__xludf.DUMMYFUNCTION("""COMPUTED_VALUE"""),964)</f>
        <v>964</v>
      </c>
      <c r="U236" s="12">
        <f ca="1">IFERROR(__xludf.DUMMYFUNCTION("""COMPUTED_VALUE"""),96)</f>
        <v>96</v>
      </c>
    </row>
    <row r="237" spans="1:21" x14ac:dyDescent="0.25">
      <c r="A237" s="11">
        <f ca="1">IFERROR(__xludf.DUMMYFUNCTION("""COMPUTED_VALUE"""),44125)</f>
        <v>44125</v>
      </c>
      <c r="B237" s="12">
        <f ca="1">IFERROR(__xludf.DUMMYFUNCTION("""COMPUTED_VALUE"""),373109)</f>
        <v>373109</v>
      </c>
      <c r="C237" s="12">
        <f ca="1">IFERROR(__xludf.DUMMYFUNCTION("""COMPUTED_VALUE"""),62743)</f>
        <v>62743</v>
      </c>
      <c r="D237" s="12">
        <f ca="1">IFERROR(__xludf.DUMMYFUNCTION("""COMPUTED_VALUE"""),297509)</f>
        <v>297509</v>
      </c>
      <c r="E237" s="12">
        <f ca="1">IFERROR(__xludf.DUMMYFUNCTION("""COMPUTED_VALUE"""),12857)</f>
        <v>12857</v>
      </c>
      <c r="F237" s="12">
        <f ca="1">IFERROR(__xludf.DUMMYFUNCTION("""COMPUTED_VALUE"""),2105)</f>
        <v>2105</v>
      </c>
      <c r="G237" s="12">
        <f ca="1">IFERROR(__xludf.DUMMYFUNCTION("""COMPUTED_VALUE"""),82178)</f>
        <v>82178</v>
      </c>
      <c r="H237" s="12">
        <f ca="1">IFERROR(__xludf.DUMMYFUNCTION("""COMPUTED_VALUE"""),10273)</f>
        <v>10273</v>
      </c>
      <c r="I237" s="12">
        <f ca="1">IFERROR(__xludf.DUMMYFUNCTION("""COMPUTED_VALUE"""),2661)</f>
        <v>2661</v>
      </c>
      <c r="J237" s="12">
        <f ca="1">IFERROR(__xludf.DUMMYFUNCTION("""COMPUTED_VALUE"""),97217)</f>
        <v>97217</v>
      </c>
      <c r="K237" s="12">
        <f ca="1">IFERROR(__xludf.DUMMYFUNCTION("""COMPUTED_VALUE"""),12934)</f>
        <v>12934</v>
      </c>
      <c r="L237" s="12">
        <f ca="1">IFERROR(__xludf.DUMMYFUNCTION("""COMPUTED_VALUE"""),4267)</f>
        <v>4267</v>
      </c>
      <c r="M237" s="12">
        <f ca="1">IFERROR(__xludf.DUMMYFUNCTION("""COMPUTED_VALUE"""),288)</f>
        <v>288</v>
      </c>
      <c r="N237" s="12">
        <f ca="1">IFERROR(__xludf.DUMMYFUNCTION("""COMPUTED_VALUE"""),3856)</f>
        <v>3856</v>
      </c>
      <c r="O237" s="12">
        <f ca="1">IFERROR(__xludf.DUMMYFUNCTION("""COMPUTED_VALUE"""),123)</f>
        <v>123</v>
      </c>
      <c r="P237" s="12">
        <f ca="1">IFERROR(__xludf.DUMMYFUNCTION("""COMPUTED_VALUE"""),19)</f>
        <v>19</v>
      </c>
      <c r="Q237" s="12">
        <f ca="1">IFERROR(__xludf.DUMMYFUNCTION("""COMPUTED_VALUE"""),1071)</f>
        <v>1071</v>
      </c>
      <c r="R237" s="12">
        <f ca="1">IFERROR(__xludf.DUMMYFUNCTION("""COMPUTED_VALUE"""),-19)</f>
        <v>-19</v>
      </c>
      <c r="S237" s="12">
        <f ca="1">IFERROR(__xludf.DUMMYFUNCTION("""COMPUTED_VALUE"""),-71)</f>
        <v>-71</v>
      </c>
      <c r="T237" s="12">
        <f ca="1">IFERROR(__xludf.DUMMYFUNCTION("""COMPUTED_VALUE"""),1000)</f>
        <v>1000</v>
      </c>
      <c r="U237" s="12">
        <f ca="1">IFERROR(__xludf.DUMMYFUNCTION("""COMPUTED_VALUE"""),-90)</f>
        <v>-90</v>
      </c>
    </row>
    <row r="238" spans="1:21" x14ac:dyDescent="0.25">
      <c r="A238" s="11">
        <f ca="1">IFERROR(__xludf.DUMMYFUNCTION("""COMPUTED_VALUE"""),44126)</f>
        <v>44126</v>
      </c>
      <c r="B238" s="12">
        <f ca="1">IFERROR(__xludf.DUMMYFUNCTION("""COMPUTED_VALUE"""),377541)</f>
        <v>377541</v>
      </c>
      <c r="C238" s="12">
        <f ca="1">IFERROR(__xludf.DUMMYFUNCTION("""COMPUTED_VALUE"""),63576)</f>
        <v>63576</v>
      </c>
      <c r="D238" s="12">
        <f ca="1">IFERROR(__xludf.DUMMYFUNCTION("""COMPUTED_VALUE"""),301006)</f>
        <v>301006</v>
      </c>
      <c r="E238" s="12">
        <f ca="1">IFERROR(__xludf.DUMMYFUNCTION("""COMPUTED_VALUE"""),12959)</f>
        <v>12959</v>
      </c>
      <c r="F238" s="12">
        <f ca="1">IFERROR(__xludf.DUMMYFUNCTION("""COMPUTED_VALUE"""),2120)</f>
        <v>2120</v>
      </c>
      <c r="G238" s="12">
        <f ca="1">IFERROR(__xludf.DUMMYFUNCTION("""COMPUTED_VALUE"""),83338)</f>
        <v>83338</v>
      </c>
      <c r="H238" s="12">
        <f ca="1">IFERROR(__xludf.DUMMYFUNCTION("""COMPUTED_VALUE"""),9980)</f>
        <v>9980</v>
      </c>
      <c r="I238" s="12">
        <f ca="1">IFERROR(__xludf.DUMMYFUNCTION("""COMPUTED_VALUE"""),2768)</f>
        <v>2768</v>
      </c>
      <c r="J238" s="12">
        <f ca="1">IFERROR(__xludf.DUMMYFUNCTION("""COMPUTED_VALUE"""),98206)</f>
        <v>98206</v>
      </c>
      <c r="K238" s="12">
        <f ca="1">IFERROR(__xludf.DUMMYFUNCTION("""COMPUTED_VALUE"""),12748)</f>
        <v>12748</v>
      </c>
      <c r="L238" s="12">
        <f ca="1">IFERROR(__xludf.DUMMYFUNCTION("""COMPUTED_VALUE"""),4432)</f>
        <v>4432</v>
      </c>
      <c r="M238" s="12">
        <f ca="1">IFERROR(__xludf.DUMMYFUNCTION("""COMPUTED_VALUE"""),833)</f>
        <v>833</v>
      </c>
      <c r="N238" s="12">
        <f ca="1">IFERROR(__xludf.DUMMYFUNCTION("""COMPUTED_VALUE"""),3497)</f>
        <v>3497</v>
      </c>
      <c r="O238" s="12">
        <f ca="1">IFERROR(__xludf.DUMMYFUNCTION("""COMPUTED_VALUE"""),102)</f>
        <v>102</v>
      </c>
      <c r="P238" s="12">
        <f ca="1">IFERROR(__xludf.DUMMYFUNCTION("""COMPUTED_VALUE"""),15)</f>
        <v>15</v>
      </c>
      <c r="Q238" s="12">
        <f ca="1">IFERROR(__xludf.DUMMYFUNCTION("""COMPUTED_VALUE"""),1160)</f>
        <v>1160</v>
      </c>
      <c r="R238" s="12">
        <f ca="1">IFERROR(__xludf.DUMMYFUNCTION("""COMPUTED_VALUE"""),-293)</f>
        <v>-293</v>
      </c>
      <c r="S238" s="12">
        <f ca="1">IFERROR(__xludf.DUMMYFUNCTION("""COMPUTED_VALUE"""),107)</f>
        <v>107</v>
      </c>
      <c r="T238" s="12">
        <f ca="1">IFERROR(__xludf.DUMMYFUNCTION("""COMPUTED_VALUE"""),989)</f>
        <v>989</v>
      </c>
      <c r="U238" s="12">
        <f ca="1">IFERROR(__xludf.DUMMYFUNCTION("""COMPUTED_VALUE"""),-186)</f>
        <v>-186</v>
      </c>
    </row>
    <row r="239" spans="1:21" x14ac:dyDescent="0.25">
      <c r="A239" s="11">
        <f ca="1">IFERROR(__xludf.DUMMYFUNCTION("""COMPUTED_VALUE"""),44127)</f>
        <v>44127</v>
      </c>
      <c r="B239" s="12">
        <f ca="1">IFERROR(__xludf.DUMMYFUNCTION("""COMPUTED_VALUE"""),381910)</f>
        <v>381910</v>
      </c>
      <c r="C239" s="12">
        <f ca="1">IFERROR(__xludf.DUMMYFUNCTION("""COMPUTED_VALUE"""),63733)</f>
        <v>63733</v>
      </c>
      <c r="D239" s="12">
        <f ca="1">IFERROR(__xludf.DUMMYFUNCTION("""COMPUTED_VALUE"""),305100)</f>
        <v>305100</v>
      </c>
      <c r="E239" s="12">
        <f ca="1">IFERROR(__xludf.DUMMYFUNCTION("""COMPUTED_VALUE"""),13077)</f>
        <v>13077</v>
      </c>
      <c r="F239" s="12">
        <f ca="1">IFERROR(__xludf.DUMMYFUNCTION("""COMPUTED_VALUE"""),2138)</f>
        <v>2138</v>
      </c>
      <c r="G239" s="12">
        <f ca="1">IFERROR(__xludf.DUMMYFUNCTION("""COMPUTED_VALUE"""),84430)</f>
        <v>84430</v>
      </c>
      <c r="H239" s="12">
        <f ca="1">IFERROR(__xludf.DUMMYFUNCTION("""COMPUTED_VALUE"""),9604)</f>
        <v>9604</v>
      </c>
      <c r="I239" s="12">
        <f ca="1">IFERROR(__xludf.DUMMYFUNCTION("""COMPUTED_VALUE"""),2986)</f>
        <v>2986</v>
      </c>
      <c r="J239" s="12">
        <f ca="1">IFERROR(__xludf.DUMMYFUNCTION("""COMPUTED_VALUE"""),99158)</f>
        <v>99158</v>
      </c>
      <c r="K239" s="12">
        <f ca="1">IFERROR(__xludf.DUMMYFUNCTION("""COMPUTED_VALUE"""),12590)</f>
        <v>12590</v>
      </c>
      <c r="L239" s="12">
        <f ca="1">IFERROR(__xludf.DUMMYFUNCTION("""COMPUTED_VALUE"""),4369)</f>
        <v>4369</v>
      </c>
      <c r="M239" s="12">
        <f ca="1">IFERROR(__xludf.DUMMYFUNCTION("""COMPUTED_VALUE"""),157)</f>
        <v>157</v>
      </c>
      <c r="N239" s="12">
        <f ca="1">IFERROR(__xludf.DUMMYFUNCTION("""COMPUTED_VALUE"""),4094)</f>
        <v>4094</v>
      </c>
      <c r="O239" s="12">
        <f ca="1">IFERROR(__xludf.DUMMYFUNCTION("""COMPUTED_VALUE"""),118)</f>
        <v>118</v>
      </c>
      <c r="P239" s="12">
        <f ca="1">IFERROR(__xludf.DUMMYFUNCTION("""COMPUTED_VALUE"""),18)</f>
        <v>18</v>
      </c>
      <c r="Q239" s="12">
        <f ca="1">IFERROR(__xludf.DUMMYFUNCTION("""COMPUTED_VALUE"""),1092)</f>
        <v>1092</v>
      </c>
      <c r="R239" s="12">
        <f ca="1">IFERROR(__xludf.DUMMYFUNCTION("""COMPUTED_VALUE"""),-376)</f>
        <v>-376</v>
      </c>
      <c r="S239" s="12">
        <f ca="1">IFERROR(__xludf.DUMMYFUNCTION("""COMPUTED_VALUE"""),218)</f>
        <v>218</v>
      </c>
      <c r="T239" s="12">
        <f ca="1">IFERROR(__xludf.DUMMYFUNCTION("""COMPUTED_VALUE"""),952)</f>
        <v>952</v>
      </c>
      <c r="U239" s="12">
        <f ca="1">IFERROR(__xludf.DUMMYFUNCTION("""COMPUTED_VALUE"""),-158)</f>
        <v>-158</v>
      </c>
    </row>
    <row r="240" spans="1:21" x14ac:dyDescent="0.25">
      <c r="A240" s="11">
        <f ca="1">IFERROR(__xludf.DUMMYFUNCTION("""COMPUTED_VALUE"""),44128)</f>
        <v>44128</v>
      </c>
      <c r="B240" s="12">
        <f ca="1">IFERROR(__xludf.DUMMYFUNCTION("""COMPUTED_VALUE"""),385980)</f>
        <v>385980</v>
      </c>
      <c r="C240" s="12">
        <f ca="1">IFERROR(__xludf.DUMMYFUNCTION("""COMPUTED_VALUE"""),63556)</f>
        <v>63556</v>
      </c>
      <c r="D240" s="12">
        <f ca="1">IFERROR(__xludf.DUMMYFUNCTION("""COMPUTED_VALUE"""),309219)</f>
        <v>309219</v>
      </c>
      <c r="E240" s="12">
        <f ca="1">IFERROR(__xludf.DUMMYFUNCTION("""COMPUTED_VALUE"""),13205)</f>
        <v>13205</v>
      </c>
      <c r="F240" s="12">
        <f ca="1">IFERROR(__xludf.DUMMYFUNCTION("""COMPUTED_VALUE"""),2153)</f>
        <v>2153</v>
      </c>
      <c r="G240" s="12">
        <f ca="1">IFERROR(__xludf.DUMMYFUNCTION("""COMPUTED_VALUE"""),85586)</f>
        <v>85586</v>
      </c>
      <c r="H240" s="12">
        <f ca="1">IFERROR(__xludf.DUMMYFUNCTION("""COMPUTED_VALUE"""),9557)</f>
        <v>9557</v>
      </c>
      <c r="I240" s="12">
        <f ca="1">IFERROR(__xludf.DUMMYFUNCTION("""COMPUTED_VALUE"""),2924)</f>
        <v>2924</v>
      </c>
      <c r="J240" s="12">
        <f ca="1">IFERROR(__xludf.DUMMYFUNCTION("""COMPUTED_VALUE"""),100220)</f>
        <v>100220</v>
      </c>
      <c r="K240" s="12">
        <f ca="1">IFERROR(__xludf.DUMMYFUNCTION("""COMPUTED_VALUE"""),12481)</f>
        <v>12481</v>
      </c>
      <c r="L240" s="12">
        <f ca="1">IFERROR(__xludf.DUMMYFUNCTION("""COMPUTED_VALUE"""),4070)</f>
        <v>4070</v>
      </c>
      <c r="M240" s="12">
        <f ca="1">IFERROR(__xludf.DUMMYFUNCTION("""COMPUTED_VALUE"""),-177)</f>
        <v>-177</v>
      </c>
      <c r="N240" s="12">
        <f ca="1">IFERROR(__xludf.DUMMYFUNCTION("""COMPUTED_VALUE"""),4119)</f>
        <v>4119</v>
      </c>
      <c r="O240" s="12">
        <f ca="1">IFERROR(__xludf.DUMMYFUNCTION("""COMPUTED_VALUE"""),128)</f>
        <v>128</v>
      </c>
      <c r="P240" s="12">
        <f ca="1">IFERROR(__xludf.DUMMYFUNCTION("""COMPUTED_VALUE"""),15)</f>
        <v>15</v>
      </c>
      <c r="Q240" s="12">
        <f ca="1">IFERROR(__xludf.DUMMYFUNCTION("""COMPUTED_VALUE"""),1156)</f>
        <v>1156</v>
      </c>
      <c r="R240" s="12">
        <f ca="1">IFERROR(__xludf.DUMMYFUNCTION("""COMPUTED_VALUE"""),-47)</f>
        <v>-47</v>
      </c>
      <c r="S240" s="12">
        <f ca="1">IFERROR(__xludf.DUMMYFUNCTION("""COMPUTED_VALUE"""),-62)</f>
        <v>-62</v>
      </c>
      <c r="T240" s="12">
        <f ca="1">IFERROR(__xludf.DUMMYFUNCTION("""COMPUTED_VALUE"""),1062)</f>
        <v>1062</v>
      </c>
      <c r="U240" s="12">
        <f ca="1">IFERROR(__xludf.DUMMYFUNCTION("""COMPUTED_VALUE"""),-109)</f>
        <v>-109</v>
      </c>
    </row>
    <row r="241" spans="1:21" x14ac:dyDescent="0.25">
      <c r="A241" s="11">
        <f ca="1">IFERROR(__xludf.DUMMYFUNCTION("""COMPUTED_VALUE"""),44129)</f>
        <v>44129</v>
      </c>
      <c r="B241" s="12">
        <f ca="1">IFERROR(__xludf.DUMMYFUNCTION("""COMPUTED_VALUE"""),389712)</f>
        <v>389712</v>
      </c>
      <c r="C241" s="12">
        <f ca="1">IFERROR(__xludf.DUMMYFUNCTION("""COMPUTED_VALUE"""),62649)</f>
        <v>62649</v>
      </c>
      <c r="D241" s="12">
        <f ca="1">IFERROR(__xludf.DUMMYFUNCTION("""COMPUTED_VALUE"""),313764)</f>
        <v>313764</v>
      </c>
      <c r="E241" s="12">
        <f ca="1">IFERROR(__xludf.DUMMYFUNCTION("""COMPUTED_VALUE"""),13299)</f>
        <v>13299</v>
      </c>
      <c r="F241" s="12">
        <f ca="1">IFERROR(__xludf.DUMMYFUNCTION("""COMPUTED_VALUE"""),2164)</f>
        <v>2164</v>
      </c>
      <c r="G241" s="12">
        <f ca="1">IFERROR(__xludf.DUMMYFUNCTION("""COMPUTED_VALUE"""),86815)</f>
        <v>86815</v>
      </c>
      <c r="H241" s="12">
        <f ca="1">IFERROR(__xludf.DUMMYFUNCTION("""COMPUTED_VALUE"""),9151)</f>
        <v>9151</v>
      </c>
      <c r="I241" s="12">
        <f ca="1">IFERROR(__xludf.DUMMYFUNCTION("""COMPUTED_VALUE"""),2861)</f>
        <v>2861</v>
      </c>
      <c r="J241" s="12">
        <f ca="1">IFERROR(__xludf.DUMMYFUNCTION("""COMPUTED_VALUE"""),100991)</f>
        <v>100991</v>
      </c>
      <c r="K241" s="12">
        <f ca="1">IFERROR(__xludf.DUMMYFUNCTION("""COMPUTED_VALUE"""),12012)</f>
        <v>12012</v>
      </c>
      <c r="L241" s="12">
        <f ca="1">IFERROR(__xludf.DUMMYFUNCTION("""COMPUTED_VALUE"""),3732)</f>
        <v>3732</v>
      </c>
      <c r="M241" s="12">
        <f ca="1">IFERROR(__xludf.DUMMYFUNCTION("""COMPUTED_VALUE"""),-907)</f>
        <v>-907</v>
      </c>
      <c r="N241" s="12">
        <f ca="1">IFERROR(__xludf.DUMMYFUNCTION("""COMPUTED_VALUE"""),4545)</f>
        <v>4545</v>
      </c>
      <c r="O241" s="12">
        <f ca="1">IFERROR(__xludf.DUMMYFUNCTION("""COMPUTED_VALUE"""),94)</f>
        <v>94</v>
      </c>
      <c r="P241" s="12">
        <f ca="1">IFERROR(__xludf.DUMMYFUNCTION("""COMPUTED_VALUE"""),11)</f>
        <v>11</v>
      </c>
      <c r="Q241" s="12">
        <f ca="1">IFERROR(__xludf.DUMMYFUNCTION("""COMPUTED_VALUE"""),1229)</f>
        <v>1229</v>
      </c>
      <c r="R241" s="12">
        <f ca="1">IFERROR(__xludf.DUMMYFUNCTION("""COMPUTED_VALUE"""),-406)</f>
        <v>-406</v>
      </c>
      <c r="S241" s="12">
        <f ca="1">IFERROR(__xludf.DUMMYFUNCTION("""COMPUTED_VALUE"""),-63)</f>
        <v>-63</v>
      </c>
      <c r="T241" s="12">
        <f ca="1">IFERROR(__xludf.DUMMYFUNCTION("""COMPUTED_VALUE"""),771)</f>
        <v>771</v>
      </c>
      <c r="U241" s="12">
        <f ca="1">IFERROR(__xludf.DUMMYFUNCTION("""COMPUTED_VALUE"""),-469)</f>
        <v>-469</v>
      </c>
    </row>
    <row r="242" spans="1:21" x14ac:dyDescent="0.25">
      <c r="A242" s="11">
        <f ca="1">IFERROR(__xludf.DUMMYFUNCTION("""COMPUTED_VALUE"""),44130)</f>
        <v>44130</v>
      </c>
      <c r="B242" s="12">
        <f ca="1">IFERROR(__xludf.DUMMYFUNCTION("""COMPUTED_VALUE"""),392934)</f>
        <v>392934</v>
      </c>
      <c r="C242" s="12">
        <f ca="1">IFERROR(__xludf.DUMMYFUNCTION("""COMPUTED_VALUE"""),61851)</f>
        <v>61851</v>
      </c>
      <c r="D242" s="12">
        <f ca="1">IFERROR(__xludf.DUMMYFUNCTION("""COMPUTED_VALUE"""),317672)</f>
        <v>317672</v>
      </c>
      <c r="E242" s="12">
        <f ca="1">IFERROR(__xludf.DUMMYFUNCTION("""COMPUTED_VALUE"""),13411)</f>
        <v>13411</v>
      </c>
      <c r="F242" s="12">
        <f ca="1">IFERROR(__xludf.DUMMYFUNCTION("""COMPUTED_VALUE"""),2185)</f>
        <v>2185</v>
      </c>
      <c r="G242" s="12">
        <f ca="1">IFERROR(__xludf.DUMMYFUNCTION("""COMPUTED_VALUE"""),87977)</f>
        <v>87977</v>
      </c>
      <c r="H242" s="12">
        <f ca="1">IFERROR(__xludf.DUMMYFUNCTION("""COMPUTED_VALUE"""),8960)</f>
        <v>8960</v>
      </c>
      <c r="I242" s="12">
        <f ca="1">IFERROR(__xludf.DUMMYFUNCTION("""COMPUTED_VALUE"""),2775)</f>
        <v>2775</v>
      </c>
      <c r="J242" s="12">
        <f ca="1">IFERROR(__xludf.DUMMYFUNCTION("""COMPUTED_VALUE"""),101897)</f>
        <v>101897</v>
      </c>
      <c r="K242" s="12">
        <f ca="1">IFERROR(__xludf.DUMMYFUNCTION("""COMPUTED_VALUE"""),11735)</f>
        <v>11735</v>
      </c>
      <c r="L242" s="12">
        <f ca="1">IFERROR(__xludf.DUMMYFUNCTION("""COMPUTED_VALUE"""),3222)</f>
        <v>3222</v>
      </c>
      <c r="M242" s="12">
        <f ca="1">IFERROR(__xludf.DUMMYFUNCTION("""COMPUTED_VALUE"""),-798)</f>
        <v>-798</v>
      </c>
      <c r="N242" s="12">
        <f ca="1">IFERROR(__xludf.DUMMYFUNCTION("""COMPUTED_VALUE"""),3908)</f>
        <v>3908</v>
      </c>
      <c r="O242" s="12">
        <f ca="1">IFERROR(__xludf.DUMMYFUNCTION("""COMPUTED_VALUE"""),112)</f>
        <v>112</v>
      </c>
      <c r="P242" s="12">
        <f ca="1">IFERROR(__xludf.DUMMYFUNCTION("""COMPUTED_VALUE"""),21)</f>
        <v>21</v>
      </c>
      <c r="Q242" s="12">
        <f ca="1">IFERROR(__xludf.DUMMYFUNCTION("""COMPUTED_VALUE"""),1162)</f>
        <v>1162</v>
      </c>
      <c r="R242" s="12">
        <f ca="1">IFERROR(__xludf.DUMMYFUNCTION("""COMPUTED_VALUE"""),-191)</f>
        <v>-191</v>
      </c>
      <c r="S242" s="12">
        <f ca="1">IFERROR(__xludf.DUMMYFUNCTION("""COMPUTED_VALUE"""),-86)</f>
        <v>-86</v>
      </c>
      <c r="T242" s="12">
        <f ca="1">IFERROR(__xludf.DUMMYFUNCTION("""COMPUTED_VALUE"""),906)</f>
        <v>906</v>
      </c>
      <c r="U242" s="12">
        <f ca="1">IFERROR(__xludf.DUMMYFUNCTION("""COMPUTED_VALUE"""),-277)</f>
        <v>-277</v>
      </c>
    </row>
    <row r="243" spans="1:21" x14ac:dyDescent="0.25">
      <c r="A243" s="11">
        <f ca="1">IFERROR(__xludf.DUMMYFUNCTION("""COMPUTED_VALUE"""),44131)</f>
        <v>44131</v>
      </c>
      <c r="B243" s="12">
        <f ca="1">IFERROR(__xludf.DUMMYFUNCTION("""COMPUTED_VALUE"""),396454)</f>
        <v>396454</v>
      </c>
      <c r="C243" s="12">
        <f ca="1">IFERROR(__xludf.DUMMYFUNCTION("""COMPUTED_VALUE"""),60694)</f>
        <v>60694</v>
      </c>
      <c r="D243" s="12">
        <f ca="1">IFERROR(__xludf.DUMMYFUNCTION("""COMPUTED_VALUE"""),322248)</f>
        <v>322248</v>
      </c>
      <c r="E243" s="12">
        <f ca="1">IFERROR(__xludf.DUMMYFUNCTION("""COMPUTED_VALUE"""),13512)</f>
        <v>13512</v>
      </c>
      <c r="F243" s="12">
        <f ca="1">IFERROR(__xludf.DUMMYFUNCTION("""COMPUTED_VALUE"""),2195)</f>
        <v>2195</v>
      </c>
      <c r="G243" s="12">
        <f ca="1">IFERROR(__xludf.DUMMYFUNCTION("""COMPUTED_VALUE"""),89060)</f>
        <v>89060</v>
      </c>
      <c r="H243" s="12">
        <f ca="1">IFERROR(__xludf.DUMMYFUNCTION("""COMPUTED_VALUE"""),8743)</f>
        <v>8743</v>
      </c>
      <c r="I243" s="12">
        <f ca="1">IFERROR(__xludf.DUMMYFUNCTION("""COMPUTED_VALUE"""),2680)</f>
        <v>2680</v>
      </c>
      <c r="J243" s="12">
        <f ca="1">IFERROR(__xludf.DUMMYFUNCTION("""COMPUTED_VALUE"""),102678)</f>
        <v>102678</v>
      </c>
      <c r="K243" s="12">
        <f ca="1">IFERROR(__xludf.DUMMYFUNCTION("""COMPUTED_VALUE"""),11423)</f>
        <v>11423</v>
      </c>
      <c r="L243" s="12">
        <f ca="1">IFERROR(__xludf.DUMMYFUNCTION("""COMPUTED_VALUE"""),3520)</f>
        <v>3520</v>
      </c>
      <c r="M243" s="12">
        <f ca="1">IFERROR(__xludf.DUMMYFUNCTION("""COMPUTED_VALUE"""),-1157)</f>
        <v>-1157</v>
      </c>
      <c r="N243" s="12">
        <f ca="1">IFERROR(__xludf.DUMMYFUNCTION("""COMPUTED_VALUE"""),4576)</f>
        <v>4576</v>
      </c>
      <c r="O243" s="12">
        <f ca="1">IFERROR(__xludf.DUMMYFUNCTION("""COMPUTED_VALUE"""),101)</f>
        <v>101</v>
      </c>
      <c r="P243" s="12">
        <f ca="1">IFERROR(__xludf.DUMMYFUNCTION("""COMPUTED_VALUE"""),10)</f>
        <v>10</v>
      </c>
      <c r="Q243" s="12">
        <f ca="1">IFERROR(__xludf.DUMMYFUNCTION("""COMPUTED_VALUE"""),1083)</f>
        <v>1083</v>
      </c>
      <c r="R243" s="12">
        <f ca="1">IFERROR(__xludf.DUMMYFUNCTION("""COMPUTED_VALUE"""),-217)</f>
        <v>-217</v>
      </c>
      <c r="S243" s="12">
        <f ca="1">IFERROR(__xludf.DUMMYFUNCTION("""COMPUTED_VALUE"""),-95)</f>
        <v>-95</v>
      </c>
      <c r="T243" s="12">
        <f ca="1">IFERROR(__xludf.DUMMYFUNCTION("""COMPUTED_VALUE"""),781)</f>
        <v>781</v>
      </c>
      <c r="U243" s="12">
        <f ca="1">IFERROR(__xludf.DUMMYFUNCTION("""COMPUTED_VALUE"""),-312)</f>
        <v>-312</v>
      </c>
    </row>
    <row r="244" spans="1:21" x14ac:dyDescent="0.25">
      <c r="A244" s="11">
        <f ca="1">IFERROR(__xludf.DUMMYFUNCTION("""COMPUTED_VALUE"""),44132)</f>
        <v>44132</v>
      </c>
      <c r="B244" s="12">
        <f ca="1">IFERROR(__xludf.DUMMYFUNCTION("""COMPUTED_VALUE"""),400483)</f>
        <v>400483</v>
      </c>
      <c r="C244" s="12">
        <f ca="1">IFERROR(__xludf.DUMMYFUNCTION("""COMPUTED_VALUE"""),61078)</f>
        <v>61078</v>
      </c>
      <c r="D244" s="12">
        <f ca="1">IFERROR(__xludf.DUMMYFUNCTION("""COMPUTED_VALUE"""),325793)</f>
        <v>325793</v>
      </c>
      <c r="E244" s="12">
        <f ca="1">IFERROR(__xludf.DUMMYFUNCTION("""COMPUTED_VALUE"""),13612)</f>
        <v>13612</v>
      </c>
      <c r="F244" s="12">
        <f ca="1">IFERROR(__xludf.DUMMYFUNCTION("""COMPUTED_VALUE"""),2211)</f>
        <v>2211</v>
      </c>
      <c r="G244" s="12">
        <f ca="1">IFERROR(__xludf.DUMMYFUNCTION("""COMPUTED_VALUE"""),90157)</f>
        <v>90157</v>
      </c>
      <c r="H244" s="12">
        <f ca="1">IFERROR(__xludf.DUMMYFUNCTION("""COMPUTED_VALUE"""),8438)</f>
        <v>8438</v>
      </c>
      <c r="I244" s="12">
        <f ca="1">IFERROR(__xludf.DUMMYFUNCTION("""COMPUTED_VALUE"""),2716)</f>
        <v>2716</v>
      </c>
      <c r="J244" s="12">
        <f ca="1">IFERROR(__xludf.DUMMYFUNCTION("""COMPUTED_VALUE"""),103522)</f>
        <v>103522</v>
      </c>
      <c r="K244" s="12">
        <f ca="1">IFERROR(__xludf.DUMMYFUNCTION("""COMPUTED_VALUE"""),11154)</f>
        <v>11154</v>
      </c>
      <c r="L244" s="12">
        <f ca="1">IFERROR(__xludf.DUMMYFUNCTION("""COMPUTED_VALUE"""),4029)</f>
        <v>4029</v>
      </c>
      <c r="M244" s="12">
        <f ca="1">IFERROR(__xludf.DUMMYFUNCTION("""COMPUTED_VALUE"""),384)</f>
        <v>384</v>
      </c>
      <c r="N244" s="12">
        <f ca="1">IFERROR(__xludf.DUMMYFUNCTION("""COMPUTED_VALUE"""),3545)</f>
        <v>3545</v>
      </c>
      <c r="O244" s="12">
        <f ca="1">IFERROR(__xludf.DUMMYFUNCTION("""COMPUTED_VALUE"""),100)</f>
        <v>100</v>
      </c>
      <c r="P244" s="12">
        <f ca="1">IFERROR(__xludf.DUMMYFUNCTION("""COMPUTED_VALUE"""),16)</f>
        <v>16</v>
      </c>
      <c r="Q244" s="12">
        <f ca="1">IFERROR(__xludf.DUMMYFUNCTION("""COMPUTED_VALUE"""),1097)</f>
        <v>1097</v>
      </c>
      <c r="R244" s="12">
        <f ca="1">IFERROR(__xludf.DUMMYFUNCTION("""COMPUTED_VALUE"""),-305)</f>
        <v>-305</v>
      </c>
      <c r="S244" s="12">
        <f ca="1">IFERROR(__xludf.DUMMYFUNCTION("""COMPUTED_VALUE"""),36)</f>
        <v>36</v>
      </c>
      <c r="T244" s="12">
        <f ca="1">IFERROR(__xludf.DUMMYFUNCTION("""COMPUTED_VALUE"""),844)</f>
        <v>844</v>
      </c>
      <c r="U244" s="12">
        <f ca="1">IFERROR(__xludf.DUMMYFUNCTION("""COMPUTED_VALUE"""),-269)</f>
        <v>-269</v>
      </c>
    </row>
    <row r="245" spans="1:21" x14ac:dyDescent="0.25">
      <c r="A245" s="11">
        <f ca="1">IFERROR(__xludf.DUMMYFUNCTION("""COMPUTED_VALUE"""),44133)</f>
        <v>44133</v>
      </c>
      <c r="B245" s="12">
        <f ca="1">IFERROR(__xludf.DUMMYFUNCTION("""COMPUTED_VALUE"""),404048)</f>
        <v>404048</v>
      </c>
      <c r="C245" s="12">
        <f ca="1">IFERROR(__xludf.DUMMYFUNCTION("""COMPUTED_VALUE"""),60569)</f>
        <v>60569</v>
      </c>
      <c r="D245" s="12">
        <f ca="1">IFERROR(__xludf.DUMMYFUNCTION("""COMPUTED_VALUE"""),329778)</f>
        <v>329778</v>
      </c>
      <c r="E245" s="12">
        <f ca="1">IFERROR(__xludf.DUMMYFUNCTION("""COMPUTED_VALUE"""),13701)</f>
        <v>13701</v>
      </c>
      <c r="F245" s="12">
        <f ca="1">IFERROR(__xludf.DUMMYFUNCTION("""COMPUTED_VALUE"""),2225)</f>
        <v>2225</v>
      </c>
      <c r="G245" s="12">
        <f ca="1">IFERROR(__xludf.DUMMYFUNCTION("""COMPUTED_VALUE"""),91235)</f>
        <v>91235</v>
      </c>
      <c r="H245" s="12">
        <f ca="1">IFERROR(__xludf.DUMMYFUNCTION("""COMPUTED_VALUE"""),7951)</f>
        <v>7951</v>
      </c>
      <c r="I245" s="12">
        <f ca="1">IFERROR(__xludf.DUMMYFUNCTION("""COMPUTED_VALUE"""),2824)</f>
        <v>2824</v>
      </c>
      <c r="J245" s="12">
        <f ca="1">IFERROR(__xludf.DUMMYFUNCTION("""COMPUTED_VALUE"""),104235)</f>
        <v>104235</v>
      </c>
      <c r="K245" s="12">
        <f ca="1">IFERROR(__xludf.DUMMYFUNCTION("""COMPUTED_VALUE"""),10775)</f>
        <v>10775</v>
      </c>
      <c r="L245" s="12">
        <f ca="1">IFERROR(__xludf.DUMMYFUNCTION("""COMPUTED_VALUE"""),3565)</f>
        <v>3565</v>
      </c>
      <c r="M245" s="12">
        <f ca="1">IFERROR(__xludf.DUMMYFUNCTION("""COMPUTED_VALUE"""),-509)</f>
        <v>-509</v>
      </c>
      <c r="N245" s="12">
        <f ca="1">IFERROR(__xludf.DUMMYFUNCTION("""COMPUTED_VALUE"""),3985)</f>
        <v>3985</v>
      </c>
      <c r="O245" s="12">
        <f ca="1">IFERROR(__xludf.DUMMYFUNCTION("""COMPUTED_VALUE"""),89)</f>
        <v>89</v>
      </c>
      <c r="P245" s="12">
        <f ca="1">IFERROR(__xludf.DUMMYFUNCTION("""COMPUTED_VALUE"""),14)</f>
        <v>14</v>
      </c>
      <c r="Q245" s="12">
        <f ca="1">IFERROR(__xludf.DUMMYFUNCTION("""COMPUTED_VALUE"""),1078)</f>
        <v>1078</v>
      </c>
      <c r="R245" s="12">
        <f ca="1">IFERROR(__xludf.DUMMYFUNCTION("""COMPUTED_VALUE"""),-487)</f>
        <v>-487</v>
      </c>
      <c r="S245" s="12">
        <f ca="1">IFERROR(__xludf.DUMMYFUNCTION("""COMPUTED_VALUE"""),108)</f>
        <v>108</v>
      </c>
      <c r="T245" s="12">
        <f ca="1">IFERROR(__xludf.DUMMYFUNCTION("""COMPUTED_VALUE"""),713)</f>
        <v>713</v>
      </c>
      <c r="U245" s="12">
        <f ca="1">IFERROR(__xludf.DUMMYFUNCTION("""COMPUTED_VALUE"""),-379)</f>
        <v>-379</v>
      </c>
    </row>
    <row r="246" spans="1:21" x14ac:dyDescent="0.25">
      <c r="A246" s="11">
        <f ca="1">IFERROR(__xludf.DUMMYFUNCTION("""COMPUTED_VALUE"""),44134)</f>
        <v>44134</v>
      </c>
      <c r="B246" s="12">
        <f ca="1">IFERROR(__xludf.DUMMYFUNCTION("""COMPUTED_VALUE"""),406945)</f>
        <v>406945</v>
      </c>
      <c r="C246" s="12">
        <f ca="1">IFERROR(__xludf.DUMMYFUNCTION("""COMPUTED_VALUE"""),58868)</f>
        <v>58868</v>
      </c>
      <c r="D246" s="12">
        <f ca="1">IFERROR(__xludf.DUMMYFUNCTION("""COMPUTED_VALUE"""),334295)</f>
        <v>334295</v>
      </c>
      <c r="E246" s="12">
        <f ca="1">IFERROR(__xludf.DUMMYFUNCTION("""COMPUTED_VALUE"""),13782)</f>
        <v>13782</v>
      </c>
      <c r="F246" s="12">
        <f ca="1">IFERROR(__xludf.DUMMYFUNCTION("""COMPUTED_VALUE"""),2239)</f>
        <v>2239</v>
      </c>
      <c r="G246" s="12">
        <f ca="1">IFERROR(__xludf.DUMMYFUNCTION("""COMPUTED_VALUE"""),92312)</f>
        <v>92312</v>
      </c>
      <c r="H246" s="12">
        <f ca="1">IFERROR(__xludf.DUMMYFUNCTION("""COMPUTED_VALUE"""),7457)</f>
        <v>7457</v>
      </c>
      <c r="I246" s="12">
        <f ca="1">IFERROR(__xludf.DUMMYFUNCTION("""COMPUTED_VALUE"""),2839)</f>
        <v>2839</v>
      </c>
      <c r="J246" s="12">
        <f ca="1">IFERROR(__xludf.DUMMYFUNCTION("""COMPUTED_VALUE"""),104847)</f>
        <v>104847</v>
      </c>
      <c r="K246" s="12">
        <f ca="1">IFERROR(__xludf.DUMMYFUNCTION("""COMPUTED_VALUE"""),10296)</f>
        <v>10296</v>
      </c>
      <c r="L246" s="12">
        <f ca="1">IFERROR(__xludf.DUMMYFUNCTION("""COMPUTED_VALUE"""),2897)</f>
        <v>2897</v>
      </c>
      <c r="M246" s="12">
        <f ca="1">IFERROR(__xludf.DUMMYFUNCTION("""COMPUTED_VALUE"""),-1701)</f>
        <v>-1701</v>
      </c>
      <c r="N246" s="12">
        <f ca="1">IFERROR(__xludf.DUMMYFUNCTION("""COMPUTED_VALUE"""),4517)</f>
        <v>4517</v>
      </c>
      <c r="O246" s="12">
        <f ca="1">IFERROR(__xludf.DUMMYFUNCTION("""COMPUTED_VALUE"""),81)</f>
        <v>81</v>
      </c>
      <c r="P246" s="12">
        <f ca="1">IFERROR(__xludf.DUMMYFUNCTION("""COMPUTED_VALUE"""),14)</f>
        <v>14</v>
      </c>
      <c r="Q246" s="12">
        <f ca="1">IFERROR(__xludf.DUMMYFUNCTION("""COMPUTED_VALUE"""),1077)</f>
        <v>1077</v>
      </c>
      <c r="R246" s="12">
        <f ca="1">IFERROR(__xludf.DUMMYFUNCTION("""COMPUTED_VALUE"""),-494)</f>
        <v>-494</v>
      </c>
      <c r="S246" s="12">
        <f ca="1">IFERROR(__xludf.DUMMYFUNCTION("""COMPUTED_VALUE"""),15)</f>
        <v>15</v>
      </c>
      <c r="T246" s="12">
        <f ca="1">IFERROR(__xludf.DUMMYFUNCTION("""COMPUTED_VALUE"""),612)</f>
        <v>612</v>
      </c>
      <c r="U246" s="12">
        <f ca="1">IFERROR(__xludf.DUMMYFUNCTION("""COMPUTED_VALUE"""),-479)</f>
        <v>-479</v>
      </c>
    </row>
    <row r="247" spans="1:21" x14ac:dyDescent="0.25">
      <c r="A247" s="11">
        <f ca="1">IFERROR(__xludf.DUMMYFUNCTION("""COMPUTED_VALUE"""),44135)</f>
        <v>44135</v>
      </c>
      <c r="B247" s="12">
        <f ca="1">IFERROR(__xludf.DUMMYFUNCTION("""COMPUTED_VALUE"""),410088)</f>
        <v>410088</v>
      </c>
      <c r="C247" s="12">
        <f ca="1">IFERROR(__xludf.DUMMYFUNCTION("""COMPUTED_VALUE"""),58418)</f>
        <v>58418</v>
      </c>
      <c r="D247" s="12">
        <f ca="1">IFERROR(__xludf.DUMMYFUNCTION("""COMPUTED_VALUE"""),337801)</f>
        <v>337801</v>
      </c>
      <c r="E247" s="12">
        <f ca="1">IFERROR(__xludf.DUMMYFUNCTION("""COMPUTED_VALUE"""),13869)</f>
        <v>13869</v>
      </c>
      <c r="F247" s="12">
        <f ca="1">IFERROR(__xludf.DUMMYFUNCTION("""COMPUTED_VALUE"""),2255)</f>
        <v>2255</v>
      </c>
      <c r="G247" s="12">
        <f ca="1">IFERROR(__xludf.DUMMYFUNCTION("""COMPUTED_VALUE"""),94434)</f>
        <v>94434</v>
      </c>
      <c r="H247" s="12">
        <f ca="1">IFERROR(__xludf.DUMMYFUNCTION("""COMPUTED_VALUE"""),6524)</f>
        <v>6524</v>
      </c>
      <c r="I247" s="12">
        <f ca="1">IFERROR(__xludf.DUMMYFUNCTION("""COMPUTED_VALUE"""),2384)</f>
        <v>2384</v>
      </c>
      <c r="J247" s="12">
        <f ca="1">IFERROR(__xludf.DUMMYFUNCTION("""COMPUTED_VALUE"""),105597)</f>
        <v>105597</v>
      </c>
      <c r="K247" s="12">
        <f ca="1">IFERROR(__xludf.DUMMYFUNCTION("""COMPUTED_VALUE"""),8908)</f>
        <v>8908</v>
      </c>
      <c r="L247" s="12">
        <f ca="1">IFERROR(__xludf.DUMMYFUNCTION("""COMPUTED_VALUE"""),3143)</f>
        <v>3143</v>
      </c>
      <c r="M247" s="12">
        <f ca="1">IFERROR(__xludf.DUMMYFUNCTION("""COMPUTED_VALUE"""),-450)</f>
        <v>-450</v>
      </c>
      <c r="N247" s="12">
        <f ca="1">IFERROR(__xludf.DUMMYFUNCTION("""COMPUTED_VALUE"""),3506)</f>
        <v>3506</v>
      </c>
      <c r="O247" s="12">
        <f ca="1">IFERROR(__xludf.DUMMYFUNCTION("""COMPUTED_VALUE"""),87)</f>
        <v>87</v>
      </c>
      <c r="P247" s="12">
        <f ca="1">IFERROR(__xludf.DUMMYFUNCTION("""COMPUTED_VALUE"""),16)</f>
        <v>16</v>
      </c>
      <c r="Q247" s="12">
        <f ca="1">IFERROR(__xludf.DUMMYFUNCTION("""COMPUTED_VALUE"""),2122)</f>
        <v>2122</v>
      </c>
      <c r="R247" s="12">
        <f ca="1">IFERROR(__xludf.DUMMYFUNCTION("""COMPUTED_VALUE"""),-933)</f>
        <v>-933</v>
      </c>
      <c r="S247" s="12">
        <f ca="1">IFERROR(__xludf.DUMMYFUNCTION("""COMPUTED_VALUE"""),-455)</f>
        <v>-455</v>
      </c>
      <c r="T247" s="12">
        <f ca="1">IFERROR(__xludf.DUMMYFUNCTION("""COMPUTED_VALUE"""),750)</f>
        <v>750</v>
      </c>
      <c r="U247" s="12">
        <f ca="1">IFERROR(__xludf.DUMMYFUNCTION("""COMPUTED_VALUE"""),-1388)</f>
        <v>-1388</v>
      </c>
    </row>
    <row r="248" spans="1:21" x14ac:dyDescent="0.25">
      <c r="A248" s="11">
        <f ca="1">IFERROR(__xludf.DUMMYFUNCTION("""COMPUTED_VALUE"""),44136)</f>
        <v>44136</v>
      </c>
      <c r="B248" s="12">
        <f ca="1">IFERROR(__xludf.DUMMYFUNCTION("""COMPUTED_VALUE"""),412784)</f>
        <v>412784</v>
      </c>
      <c r="C248" s="12">
        <f ca="1">IFERROR(__xludf.DUMMYFUNCTION("""COMPUTED_VALUE"""),56899)</f>
        <v>56899</v>
      </c>
      <c r="D248" s="12">
        <f ca="1">IFERROR(__xludf.DUMMYFUNCTION("""COMPUTED_VALUE"""),341942)</f>
        <v>341942</v>
      </c>
      <c r="E248" s="12">
        <f ca="1">IFERROR(__xludf.DUMMYFUNCTION("""COMPUTED_VALUE"""),13943)</f>
        <v>13943</v>
      </c>
      <c r="F248" s="12">
        <f ca="1">IFERROR(__xludf.DUMMYFUNCTION("""COMPUTED_VALUE"""),2273)</f>
        <v>2273</v>
      </c>
      <c r="G248" s="12">
        <f ca="1">IFERROR(__xludf.DUMMYFUNCTION("""COMPUTED_VALUE"""),94819)</f>
        <v>94819</v>
      </c>
      <c r="H248" s="12">
        <f ca="1">IFERROR(__xludf.DUMMYFUNCTION("""COMPUTED_VALUE"""),6935)</f>
        <v>6935</v>
      </c>
      <c r="I248" s="12">
        <f ca="1">IFERROR(__xludf.DUMMYFUNCTION("""COMPUTED_VALUE"""),2178)</f>
        <v>2178</v>
      </c>
      <c r="J248" s="12">
        <f ca="1">IFERROR(__xludf.DUMMYFUNCTION("""COMPUTED_VALUE"""),106205)</f>
        <v>106205</v>
      </c>
      <c r="K248" s="12">
        <f ca="1">IFERROR(__xludf.DUMMYFUNCTION("""COMPUTED_VALUE"""),9113)</f>
        <v>9113</v>
      </c>
      <c r="L248" s="12">
        <f ca="1">IFERROR(__xludf.DUMMYFUNCTION("""COMPUTED_VALUE"""),2696)</f>
        <v>2696</v>
      </c>
      <c r="M248" s="12">
        <f ca="1">IFERROR(__xludf.DUMMYFUNCTION("""COMPUTED_VALUE"""),-1519)</f>
        <v>-1519</v>
      </c>
      <c r="N248" s="12">
        <f ca="1">IFERROR(__xludf.DUMMYFUNCTION("""COMPUTED_VALUE"""),4141)</f>
        <v>4141</v>
      </c>
      <c r="O248" s="12">
        <f ca="1">IFERROR(__xludf.DUMMYFUNCTION("""COMPUTED_VALUE"""),74)</f>
        <v>74</v>
      </c>
      <c r="P248" s="12">
        <f ca="1">IFERROR(__xludf.DUMMYFUNCTION("""COMPUTED_VALUE"""),18)</f>
        <v>18</v>
      </c>
      <c r="Q248" s="12">
        <f ca="1">IFERROR(__xludf.DUMMYFUNCTION("""COMPUTED_VALUE"""),385)</f>
        <v>385</v>
      </c>
      <c r="R248" s="12">
        <f ca="1">IFERROR(__xludf.DUMMYFUNCTION("""COMPUTED_VALUE"""),411)</f>
        <v>411</v>
      </c>
      <c r="S248" s="12">
        <f ca="1">IFERROR(__xludf.DUMMYFUNCTION("""COMPUTED_VALUE"""),-206)</f>
        <v>-206</v>
      </c>
      <c r="T248" s="12">
        <f ca="1">IFERROR(__xludf.DUMMYFUNCTION("""COMPUTED_VALUE"""),608)</f>
        <v>608</v>
      </c>
      <c r="U248" s="12">
        <f ca="1">IFERROR(__xludf.DUMMYFUNCTION("""COMPUTED_VALUE"""),205)</f>
        <v>205</v>
      </c>
    </row>
    <row r="249" spans="1:21" x14ac:dyDescent="0.25">
      <c r="A249" s="11">
        <f ca="1">IFERROR(__xludf.DUMMYFUNCTION("""COMPUTED_VALUE"""),44137)</f>
        <v>44137</v>
      </c>
      <c r="B249" s="12">
        <f ca="1">IFERROR(__xludf.DUMMYFUNCTION("""COMPUTED_VALUE"""),415402)</f>
        <v>415402</v>
      </c>
      <c r="C249" s="12">
        <f ca="1">IFERROR(__xludf.DUMMYFUNCTION("""COMPUTED_VALUE"""),55792)</f>
        <v>55792</v>
      </c>
      <c r="D249" s="12">
        <f ca="1">IFERROR(__xludf.DUMMYFUNCTION("""COMPUTED_VALUE"""),345566)</f>
        <v>345566</v>
      </c>
      <c r="E249" s="12">
        <f ca="1">IFERROR(__xludf.DUMMYFUNCTION("""COMPUTED_VALUE"""),14044)</f>
        <v>14044</v>
      </c>
      <c r="F249" s="12">
        <f ca="1">IFERROR(__xludf.DUMMYFUNCTION("""COMPUTED_VALUE"""),2291)</f>
        <v>2291</v>
      </c>
      <c r="G249" s="12">
        <f ca="1">IFERROR(__xludf.DUMMYFUNCTION("""COMPUTED_VALUE"""),95876)</f>
        <v>95876</v>
      </c>
      <c r="H249" s="12">
        <f ca="1">IFERROR(__xludf.DUMMYFUNCTION("""COMPUTED_VALUE"""),7312)</f>
        <v>7312</v>
      </c>
      <c r="I249" s="12">
        <f ca="1">IFERROR(__xludf.DUMMYFUNCTION("""COMPUTED_VALUE"""),1750)</f>
        <v>1750</v>
      </c>
      <c r="J249" s="12">
        <f ca="1">IFERROR(__xludf.DUMMYFUNCTION("""COMPUTED_VALUE"""),107229)</f>
        <v>107229</v>
      </c>
      <c r="K249" s="12">
        <f ca="1">IFERROR(__xludf.DUMMYFUNCTION("""COMPUTED_VALUE"""),9062)</f>
        <v>9062</v>
      </c>
      <c r="L249" s="12">
        <f ca="1">IFERROR(__xludf.DUMMYFUNCTION("""COMPUTED_VALUE"""),2618)</f>
        <v>2618</v>
      </c>
      <c r="M249" s="12">
        <f ca="1">IFERROR(__xludf.DUMMYFUNCTION("""COMPUTED_VALUE"""),-1107)</f>
        <v>-1107</v>
      </c>
      <c r="N249" s="12">
        <f ca="1">IFERROR(__xludf.DUMMYFUNCTION("""COMPUTED_VALUE"""),3624)</f>
        <v>3624</v>
      </c>
      <c r="O249" s="12">
        <f ca="1">IFERROR(__xludf.DUMMYFUNCTION("""COMPUTED_VALUE"""),101)</f>
        <v>101</v>
      </c>
      <c r="P249" s="12">
        <f ca="1">IFERROR(__xludf.DUMMYFUNCTION("""COMPUTED_VALUE"""),18)</f>
        <v>18</v>
      </c>
      <c r="Q249" s="12">
        <f ca="1">IFERROR(__xludf.DUMMYFUNCTION("""COMPUTED_VALUE"""),1057)</f>
        <v>1057</v>
      </c>
      <c r="R249" s="12">
        <f ca="1">IFERROR(__xludf.DUMMYFUNCTION("""COMPUTED_VALUE"""),377)</f>
        <v>377</v>
      </c>
      <c r="S249" s="12">
        <f ca="1">IFERROR(__xludf.DUMMYFUNCTION("""COMPUTED_VALUE"""),-428)</f>
        <v>-428</v>
      </c>
      <c r="T249" s="12">
        <f ca="1">IFERROR(__xludf.DUMMYFUNCTION("""COMPUTED_VALUE"""),1024)</f>
        <v>1024</v>
      </c>
      <c r="U249" s="12">
        <f ca="1">IFERROR(__xludf.DUMMYFUNCTION("""COMPUTED_VALUE"""),-51)</f>
        <v>-51</v>
      </c>
    </row>
    <row r="250" spans="1:21" x14ac:dyDescent="0.25">
      <c r="A250" s="11">
        <f ca="1">IFERROR(__xludf.DUMMYFUNCTION("""COMPUTED_VALUE"""),44138)</f>
        <v>44138</v>
      </c>
      <c r="B250" s="12">
        <f ca="1">IFERROR(__xludf.DUMMYFUNCTION("""COMPUTED_VALUE"""),418375)</f>
        <v>418375</v>
      </c>
      <c r="C250" s="12">
        <f ca="1">IFERROR(__xludf.DUMMYFUNCTION("""COMPUTED_VALUE"""),54732)</f>
        <v>54732</v>
      </c>
      <c r="D250" s="12">
        <f ca="1">IFERROR(__xludf.DUMMYFUNCTION("""COMPUTED_VALUE"""),349497)</f>
        <v>349497</v>
      </c>
      <c r="E250" s="12">
        <f ca="1">IFERROR(__xludf.DUMMYFUNCTION("""COMPUTED_VALUE"""),14146)</f>
        <v>14146</v>
      </c>
      <c r="F250" s="12">
        <f ca="1">IFERROR(__xludf.DUMMYFUNCTION("""COMPUTED_VALUE"""),2300)</f>
        <v>2300</v>
      </c>
      <c r="G250" s="12">
        <f ca="1">IFERROR(__xludf.DUMMYFUNCTION("""COMPUTED_VALUE"""),96902)</f>
        <v>96902</v>
      </c>
      <c r="H250" s="12">
        <f ca="1">IFERROR(__xludf.DUMMYFUNCTION("""COMPUTED_VALUE"""),6844)</f>
        <v>6844</v>
      </c>
      <c r="I250" s="12">
        <f ca="1">IFERROR(__xludf.DUMMYFUNCTION("""COMPUTED_VALUE"""),1800)</f>
        <v>1800</v>
      </c>
      <c r="J250" s="12">
        <f ca="1">IFERROR(__xludf.DUMMYFUNCTION("""COMPUTED_VALUE"""),107846)</f>
        <v>107846</v>
      </c>
      <c r="K250" s="12">
        <f ca="1">IFERROR(__xludf.DUMMYFUNCTION("""COMPUTED_VALUE"""),8644)</f>
        <v>8644</v>
      </c>
      <c r="L250" s="12">
        <f ca="1">IFERROR(__xludf.DUMMYFUNCTION("""COMPUTED_VALUE"""),2973)</f>
        <v>2973</v>
      </c>
      <c r="M250" s="12">
        <f ca="1">IFERROR(__xludf.DUMMYFUNCTION("""COMPUTED_VALUE"""),-1060)</f>
        <v>-1060</v>
      </c>
      <c r="N250" s="12">
        <f ca="1">IFERROR(__xludf.DUMMYFUNCTION("""COMPUTED_VALUE"""),3931)</f>
        <v>3931</v>
      </c>
      <c r="O250" s="12">
        <f ca="1">IFERROR(__xludf.DUMMYFUNCTION("""COMPUTED_VALUE"""),102)</f>
        <v>102</v>
      </c>
      <c r="P250" s="12">
        <f ca="1">IFERROR(__xludf.DUMMYFUNCTION("""COMPUTED_VALUE"""),9)</f>
        <v>9</v>
      </c>
      <c r="Q250" s="12">
        <f ca="1">IFERROR(__xludf.DUMMYFUNCTION("""COMPUTED_VALUE"""),1026)</f>
        <v>1026</v>
      </c>
      <c r="R250" s="12">
        <f ca="1">IFERROR(__xludf.DUMMYFUNCTION("""COMPUTED_VALUE"""),-468)</f>
        <v>-468</v>
      </c>
      <c r="S250" s="12">
        <f ca="1">IFERROR(__xludf.DUMMYFUNCTION("""COMPUTED_VALUE"""),50)</f>
        <v>50</v>
      </c>
      <c r="T250" s="12">
        <f ca="1">IFERROR(__xludf.DUMMYFUNCTION("""COMPUTED_VALUE"""),617)</f>
        <v>617</v>
      </c>
      <c r="U250" s="12">
        <f ca="1">IFERROR(__xludf.DUMMYFUNCTION("""COMPUTED_VALUE"""),-418)</f>
        <v>-418</v>
      </c>
    </row>
    <row r="251" spans="1:21" x14ac:dyDescent="0.25">
      <c r="A251" s="11">
        <f ca="1">IFERROR(__xludf.DUMMYFUNCTION("""COMPUTED_VALUE"""),44139)</f>
        <v>44139</v>
      </c>
      <c r="B251" s="12">
        <f ca="1">IFERROR(__xludf.DUMMYFUNCTION("""COMPUTED_VALUE"""),421731)</f>
        <v>421731</v>
      </c>
      <c r="C251" s="12">
        <f ca="1">IFERROR(__xludf.DUMMYFUNCTION("""COMPUTED_VALUE"""),54190)</f>
        <v>54190</v>
      </c>
      <c r="D251" s="12">
        <f ca="1">IFERROR(__xludf.DUMMYFUNCTION("""COMPUTED_VALUE"""),353282)</f>
        <v>353282</v>
      </c>
      <c r="E251" s="12">
        <f ca="1">IFERROR(__xludf.DUMMYFUNCTION("""COMPUTED_VALUE"""),14259)</f>
        <v>14259</v>
      </c>
      <c r="F251" s="12">
        <f ca="1">IFERROR(__xludf.DUMMYFUNCTION("""COMPUTED_VALUE"""),2315)</f>
        <v>2315</v>
      </c>
      <c r="G251" s="12">
        <f ca="1">IFERROR(__xludf.DUMMYFUNCTION("""COMPUTED_VALUE"""),97833)</f>
        <v>97833</v>
      </c>
      <c r="H251" s="12">
        <f ca="1">IFERROR(__xludf.DUMMYFUNCTION("""COMPUTED_VALUE"""),6665)</f>
        <v>6665</v>
      </c>
      <c r="I251" s="12">
        <f ca="1">IFERROR(__xludf.DUMMYFUNCTION("""COMPUTED_VALUE"""),1807)</f>
        <v>1807</v>
      </c>
      <c r="J251" s="12">
        <f ca="1">IFERROR(__xludf.DUMMYFUNCTION("""COMPUTED_VALUE"""),108620)</f>
        <v>108620</v>
      </c>
      <c r="K251" s="12">
        <f ca="1">IFERROR(__xludf.DUMMYFUNCTION("""COMPUTED_VALUE"""),8472)</f>
        <v>8472</v>
      </c>
      <c r="L251" s="12">
        <f ca="1">IFERROR(__xludf.DUMMYFUNCTION("""COMPUTED_VALUE"""),3356)</f>
        <v>3356</v>
      </c>
      <c r="M251" s="12">
        <f ca="1">IFERROR(__xludf.DUMMYFUNCTION("""COMPUTED_VALUE"""),-542)</f>
        <v>-542</v>
      </c>
      <c r="N251" s="12">
        <f ca="1">IFERROR(__xludf.DUMMYFUNCTION("""COMPUTED_VALUE"""),3785)</f>
        <v>3785</v>
      </c>
      <c r="O251" s="12">
        <f ca="1">IFERROR(__xludf.DUMMYFUNCTION("""COMPUTED_VALUE"""),113)</f>
        <v>113</v>
      </c>
      <c r="P251" s="12">
        <f ca="1">IFERROR(__xludf.DUMMYFUNCTION("""COMPUTED_VALUE"""),15)</f>
        <v>15</v>
      </c>
      <c r="Q251" s="12">
        <f ca="1">IFERROR(__xludf.DUMMYFUNCTION("""COMPUTED_VALUE"""),931)</f>
        <v>931</v>
      </c>
      <c r="R251" s="12">
        <f ca="1">IFERROR(__xludf.DUMMYFUNCTION("""COMPUTED_VALUE"""),-179)</f>
        <v>-179</v>
      </c>
      <c r="S251" s="12">
        <f ca="1">IFERROR(__xludf.DUMMYFUNCTION("""COMPUTED_VALUE"""),7)</f>
        <v>7</v>
      </c>
      <c r="T251" s="12">
        <f ca="1">IFERROR(__xludf.DUMMYFUNCTION("""COMPUTED_VALUE"""),774)</f>
        <v>774</v>
      </c>
      <c r="U251" s="12">
        <f ca="1">IFERROR(__xludf.DUMMYFUNCTION("""COMPUTED_VALUE"""),-172)</f>
        <v>-172</v>
      </c>
    </row>
    <row r="252" spans="1:21" x14ac:dyDescent="0.25">
      <c r="A252" s="11">
        <f ca="1">IFERROR(__xludf.DUMMYFUNCTION("""COMPUTED_VALUE"""),44140)</f>
        <v>44140</v>
      </c>
      <c r="B252" s="12">
        <f ca="1">IFERROR(__xludf.DUMMYFUNCTION("""COMPUTED_VALUE"""),425796)</f>
        <v>425796</v>
      </c>
      <c r="C252" s="12">
        <f ca="1">IFERROR(__xludf.DUMMYFUNCTION("""COMPUTED_VALUE"""),54306)</f>
        <v>54306</v>
      </c>
      <c r="D252" s="12">
        <f ca="1">IFERROR(__xludf.DUMMYFUNCTION("""COMPUTED_VALUE"""),357142)</f>
        <v>357142</v>
      </c>
      <c r="E252" s="12">
        <f ca="1">IFERROR(__xludf.DUMMYFUNCTION("""COMPUTED_VALUE"""),14348)</f>
        <v>14348</v>
      </c>
      <c r="F252" s="12">
        <f ca="1">IFERROR(__xludf.DUMMYFUNCTION("""COMPUTED_VALUE"""),2331)</f>
        <v>2331</v>
      </c>
      <c r="G252" s="12">
        <f ca="1">IFERROR(__xludf.DUMMYFUNCTION("""COMPUTED_VALUE"""),98806)</f>
        <v>98806</v>
      </c>
      <c r="H252" s="12">
        <f ca="1">IFERROR(__xludf.DUMMYFUNCTION("""COMPUTED_VALUE"""),6260)</f>
        <v>6260</v>
      </c>
      <c r="I252" s="12">
        <f ca="1">IFERROR(__xludf.DUMMYFUNCTION("""COMPUTED_VALUE"""),2014)</f>
        <v>2014</v>
      </c>
      <c r="J252" s="12">
        <f ca="1">IFERROR(__xludf.DUMMYFUNCTION("""COMPUTED_VALUE"""),109411)</f>
        <v>109411</v>
      </c>
      <c r="K252" s="12">
        <f ca="1">IFERROR(__xludf.DUMMYFUNCTION("""COMPUTED_VALUE"""),8274)</f>
        <v>8274</v>
      </c>
      <c r="L252" s="12">
        <f ca="1">IFERROR(__xludf.DUMMYFUNCTION("""COMPUTED_VALUE"""),4065)</f>
        <v>4065</v>
      </c>
      <c r="M252" s="12">
        <f ca="1">IFERROR(__xludf.DUMMYFUNCTION("""COMPUTED_VALUE"""),116)</f>
        <v>116</v>
      </c>
      <c r="N252" s="12">
        <f ca="1">IFERROR(__xludf.DUMMYFUNCTION("""COMPUTED_VALUE"""),3860)</f>
        <v>3860</v>
      </c>
      <c r="O252" s="12">
        <f ca="1">IFERROR(__xludf.DUMMYFUNCTION("""COMPUTED_VALUE"""),89)</f>
        <v>89</v>
      </c>
      <c r="P252" s="12">
        <f ca="1">IFERROR(__xludf.DUMMYFUNCTION("""COMPUTED_VALUE"""),16)</f>
        <v>16</v>
      </c>
      <c r="Q252" s="12">
        <f ca="1">IFERROR(__xludf.DUMMYFUNCTION("""COMPUTED_VALUE"""),973)</f>
        <v>973</v>
      </c>
      <c r="R252" s="12">
        <f ca="1">IFERROR(__xludf.DUMMYFUNCTION("""COMPUTED_VALUE"""),-405)</f>
        <v>-405</v>
      </c>
      <c r="S252" s="12">
        <f ca="1">IFERROR(__xludf.DUMMYFUNCTION("""COMPUTED_VALUE"""),207)</f>
        <v>207</v>
      </c>
      <c r="T252" s="12">
        <f ca="1">IFERROR(__xludf.DUMMYFUNCTION("""COMPUTED_VALUE"""),791)</f>
        <v>791</v>
      </c>
      <c r="U252" s="12">
        <f ca="1">IFERROR(__xludf.DUMMYFUNCTION("""COMPUTED_VALUE"""),-198)</f>
        <v>-198</v>
      </c>
    </row>
    <row r="253" spans="1:21" x14ac:dyDescent="0.25">
      <c r="A253" s="11">
        <f ca="1">IFERROR(__xludf.DUMMYFUNCTION("""COMPUTED_VALUE"""),44141)</f>
        <v>44141</v>
      </c>
      <c r="B253" s="12">
        <f ca="1">IFERROR(__xludf.DUMMYFUNCTION("""COMPUTED_VALUE"""),429574)</f>
        <v>429574</v>
      </c>
      <c r="C253" s="12">
        <f ca="1">IFERROR(__xludf.DUMMYFUNCTION("""COMPUTED_VALUE"""),54427)</f>
        <v>54427</v>
      </c>
      <c r="D253" s="12">
        <f ca="1">IFERROR(__xludf.DUMMYFUNCTION("""COMPUTED_VALUE"""),360705)</f>
        <v>360705</v>
      </c>
      <c r="E253" s="12">
        <f ca="1">IFERROR(__xludf.DUMMYFUNCTION("""COMPUTED_VALUE"""),14442)</f>
        <v>14442</v>
      </c>
      <c r="F253" s="12">
        <f ca="1">IFERROR(__xludf.DUMMYFUNCTION("""COMPUTED_VALUE"""),2348)</f>
        <v>2348</v>
      </c>
      <c r="G253" s="12">
        <f ca="1">IFERROR(__xludf.DUMMYFUNCTION("""COMPUTED_VALUE"""),99830)</f>
        <v>99830</v>
      </c>
      <c r="H253" s="12">
        <f ca="1">IFERROR(__xludf.DUMMYFUNCTION("""COMPUTED_VALUE"""),6050)</f>
        <v>6050</v>
      </c>
      <c r="I253" s="12">
        <f ca="1">IFERROR(__xludf.DUMMYFUNCTION("""COMPUTED_VALUE"""),1855)</f>
        <v>1855</v>
      </c>
      <c r="J253" s="12">
        <f ca="1">IFERROR(__xludf.DUMMYFUNCTION("""COMPUTED_VALUE"""),110083)</f>
        <v>110083</v>
      </c>
      <c r="K253" s="12">
        <f ca="1">IFERROR(__xludf.DUMMYFUNCTION("""COMPUTED_VALUE"""),7905)</f>
        <v>7905</v>
      </c>
      <c r="L253" s="12">
        <f ca="1">IFERROR(__xludf.DUMMYFUNCTION("""COMPUTED_VALUE"""),3778)</f>
        <v>3778</v>
      </c>
      <c r="M253" s="12">
        <f ca="1">IFERROR(__xludf.DUMMYFUNCTION("""COMPUTED_VALUE"""),121)</f>
        <v>121</v>
      </c>
      <c r="N253" s="12">
        <f ca="1">IFERROR(__xludf.DUMMYFUNCTION("""COMPUTED_VALUE"""),3563)</f>
        <v>3563</v>
      </c>
      <c r="O253" s="12">
        <f ca="1">IFERROR(__xludf.DUMMYFUNCTION("""COMPUTED_VALUE"""),94)</f>
        <v>94</v>
      </c>
      <c r="P253" s="12">
        <f ca="1">IFERROR(__xludf.DUMMYFUNCTION("""COMPUTED_VALUE"""),17)</f>
        <v>17</v>
      </c>
      <c r="Q253" s="12">
        <f ca="1">IFERROR(__xludf.DUMMYFUNCTION("""COMPUTED_VALUE"""),1024)</f>
        <v>1024</v>
      </c>
      <c r="R253" s="12">
        <f ca="1">IFERROR(__xludf.DUMMYFUNCTION("""COMPUTED_VALUE"""),-210)</f>
        <v>-210</v>
      </c>
      <c r="S253" s="12">
        <f ca="1">IFERROR(__xludf.DUMMYFUNCTION("""COMPUTED_VALUE"""),-159)</f>
        <v>-159</v>
      </c>
      <c r="T253" s="12">
        <f ca="1">IFERROR(__xludf.DUMMYFUNCTION("""COMPUTED_VALUE"""),672)</f>
        <v>672</v>
      </c>
      <c r="U253" s="12">
        <f ca="1">IFERROR(__xludf.DUMMYFUNCTION("""COMPUTED_VALUE"""),-369)</f>
        <v>-369</v>
      </c>
    </row>
    <row r="254" spans="1:21" x14ac:dyDescent="0.25">
      <c r="A254" s="11">
        <f ca="1">IFERROR(__xludf.DUMMYFUNCTION("""COMPUTED_VALUE"""),44142)</f>
        <v>44142</v>
      </c>
      <c r="B254" s="12">
        <f ca="1">IFERROR(__xludf.DUMMYFUNCTION("""COMPUTED_VALUE"""),433836)</f>
        <v>433836</v>
      </c>
      <c r="C254" s="12">
        <f ca="1">IFERROR(__xludf.DUMMYFUNCTION("""COMPUTED_VALUE"""),54879)</f>
        <v>54879</v>
      </c>
      <c r="D254" s="12">
        <f ca="1">IFERROR(__xludf.DUMMYFUNCTION("""COMPUTED_VALUE"""),364417)</f>
        <v>364417</v>
      </c>
      <c r="E254" s="12">
        <f ca="1">IFERROR(__xludf.DUMMYFUNCTION("""COMPUTED_VALUE"""),14540)</f>
        <v>14540</v>
      </c>
      <c r="F254" s="12">
        <f ca="1">IFERROR(__xludf.DUMMYFUNCTION("""COMPUTED_VALUE"""),2359)</f>
        <v>2359</v>
      </c>
      <c r="G254" s="12">
        <f ca="1">IFERROR(__xludf.DUMMYFUNCTION("""COMPUTED_VALUE"""),100816)</f>
        <v>100816</v>
      </c>
      <c r="H254" s="12">
        <f ca="1">IFERROR(__xludf.DUMMYFUNCTION("""COMPUTED_VALUE"""),6159)</f>
        <v>6159</v>
      </c>
      <c r="I254" s="12">
        <f ca="1">IFERROR(__xludf.DUMMYFUNCTION("""COMPUTED_VALUE"""),1867)</f>
        <v>1867</v>
      </c>
      <c r="J254" s="12">
        <f ca="1">IFERROR(__xludf.DUMMYFUNCTION("""COMPUTED_VALUE"""),111201)</f>
        <v>111201</v>
      </c>
      <c r="K254" s="12">
        <f ca="1">IFERROR(__xludf.DUMMYFUNCTION("""COMPUTED_VALUE"""),8026)</f>
        <v>8026</v>
      </c>
      <c r="L254" s="12">
        <f ca="1">IFERROR(__xludf.DUMMYFUNCTION("""COMPUTED_VALUE"""),4262)</f>
        <v>4262</v>
      </c>
      <c r="M254" s="12">
        <f ca="1">IFERROR(__xludf.DUMMYFUNCTION("""COMPUTED_VALUE"""),452)</f>
        <v>452</v>
      </c>
      <c r="N254" s="12">
        <f ca="1">IFERROR(__xludf.DUMMYFUNCTION("""COMPUTED_VALUE"""),3712)</f>
        <v>3712</v>
      </c>
      <c r="O254" s="12">
        <f ca="1">IFERROR(__xludf.DUMMYFUNCTION("""COMPUTED_VALUE"""),98)</f>
        <v>98</v>
      </c>
      <c r="P254" s="12">
        <f ca="1">IFERROR(__xludf.DUMMYFUNCTION("""COMPUTED_VALUE"""),11)</f>
        <v>11</v>
      </c>
      <c r="Q254" s="12">
        <f ca="1">IFERROR(__xludf.DUMMYFUNCTION("""COMPUTED_VALUE"""),986)</f>
        <v>986</v>
      </c>
      <c r="R254" s="12">
        <f ca="1">IFERROR(__xludf.DUMMYFUNCTION("""COMPUTED_VALUE"""),109)</f>
        <v>109</v>
      </c>
      <c r="S254" s="12">
        <f ca="1">IFERROR(__xludf.DUMMYFUNCTION("""COMPUTED_VALUE"""),12)</f>
        <v>12</v>
      </c>
      <c r="T254" s="12">
        <f ca="1">IFERROR(__xludf.DUMMYFUNCTION("""COMPUTED_VALUE"""),1118)</f>
        <v>1118</v>
      </c>
      <c r="U254" s="12">
        <f ca="1">IFERROR(__xludf.DUMMYFUNCTION("""COMPUTED_VALUE"""),121)</f>
        <v>121</v>
      </c>
    </row>
    <row r="255" spans="1:21" x14ac:dyDescent="0.25">
      <c r="A255" s="11">
        <f ca="1">IFERROR(__xludf.DUMMYFUNCTION("""COMPUTED_VALUE"""),44143)</f>
        <v>44143</v>
      </c>
      <c r="B255" s="12">
        <f ca="1">IFERROR(__xludf.DUMMYFUNCTION("""COMPUTED_VALUE"""),437716)</f>
        <v>437716</v>
      </c>
      <c r="C255" s="12">
        <f ca="1">IFERROR(__xludf.DUMMYFUNCTION("""COMPUTED_VALUE"""),54804)</f>
        <v>54804</v>
      </c>
      <c r="D255" s="12">
        <f ca="1">IFERROR(__xludf.DUMMYFUNCTION("""COMPUTED_VALUE"""),368298)</f>
        <v>368298</v>
      </c>
      <c r="E255" s="12">
        <f ca="1">IFERROR(__xludf.DUMMYFUNCTION("""COMPUTED_VALUE"""),14614)</f>
        <v>14614</v>
      </c>
      <c r="F255" s="12">
        <f ca="1">IFERROR(__xludf.DUMMYFUNCTION("""COMPUTED_VALUE"""),2366)</f>
        <v>2366</v>
      </c>
      <c r="G255" s="12">
        <f ca="1">IFERROR(__xludf.DUMMYFUNCTION("""COMPUTED_VALUE"""),101791)</f>
        <v>101791</v>
      </c>
      <c r="H255" s="12">
        <f ca="1">IFERROR(__xludf.DUMMYFUNCTION("""COMPUTED_VALUE"""),6338)</f>
        <v>6338</v>
      </c>
      <c r="I255" s="12">
        <f ca="1">IFERROR(__xludf.DUMMYFUNCTION("""COMPUTED_VALUE"""),1532)</f>
        <v>1532</v>
      </c>
      <c r="J255" s="12">
        <f ca="1">IFERROR(__xludf.DUMMYFUNCTION("""COMPUTED_VALUE"""),112027)</f>
        <v>112027</v>
      </c>
      <c r="K255" s="12">
        <f ca="1">IFERROR(__xludf.DUMMYFUNCTION("""COMPUTED_VALUE"""),7870)</f>
        <v>7870</v>
      </c>
      <c r="L255" s="12">
        <f ca="1">IFERROR(__xludf.DUMMYFUNCTION("""COMPUTED_VALUE"""),3880)</f>
        <v>3880</v>
      </c>
      <c r="M255" s="12">
        <f ca="1">IFERROR(__xludf.DUMMYFUNCTION("""COMPUTED_VALUE"""),-75)</f>
        <v>-75</v>
      </c>
      <c r="N255" s="12">
        <f ca="1">IFERROR(__xludf.DUMMYFUNCTION("""COMPUTED_VALUE"""),3881)</f>
        <v>3881</v>
      </c>
      <c r="O255" s="12">
        <f ca="1">IFERROR(__xludf.DUMMYFUNCTION("""COMPUTED_VALUE"""),74)</f>
        <v>74</v>
      </c>
      <c r="P255" s="12">
        <f ca="1">IFERROR(__xludf.DUMMYFUNCTION("""COMPUTED_VALUE"""),7)</f>
        <v>7</v>
      </c>
      <c r="Q255" s="12">
        <f ca="1">IFERROR(__xludf.DUMMYFUNCTION("""COMPUTED_VALUE"""),975)</f>
        <v>975</v>
      </c>
      <c r="R255" s="12">
        <f ca="1">IFERROR(__xludf.DUMMYFUNCTION("""COMPUTED_VALUE"""),179)</f>
        <v>179</v>
      </c>
      <c r="S255" s="12">
        <f ca="1">IFERROR(__xludf.DUMMYFUNCTION("""COMPUTED_VALUE"""),-335)</f>
        <v>-335</v>
      </c>
      <c r="T255" s="12">
        <f ca="1">IFERROR(__xludf.DUMMYFUNCTION("""COMPUTED_VALUE"""),826)</f>
        <v>826</v>
      </c>
      <c r="U255" s="12">
        <f ca="1">IFERROR(__xludf.DUMMYFUNCTION("""COMPUTED_VALUE"""),-156)</f>
        <v>-156</v>
      </c>
    </row>
    <row r="256" spans="1:21" x14ac:dyDescent="0.25">
      <c r="A256" s="11">
        <f ca="1">IFERROR(__xludf.DUMMYFUNCTION("""COMPUTED_VALUE"""),44144)</f>
        <v>44144</v>
      </c>
      <c r="B256" s="12">
        <f ca="1">IFERROR(__xludf.DUMMYFUNCTION("""COMPUTED_VALUE"""),440569)</f>
        <v>440569</v>
      </c>
      <c r="C256" s="12">
        <f ca="1">IFERROR(__xludf.DUMMYFUNCTION("""COMPUTED_VALUE"""),53614)</f>
        <v>53614</v>
      </c>
      <c r="D256" s="12">
        <f ca="1">IFERROR(__xludf.DUMMYFUNCTION("""COMPUTED_VALUE"""),372266)</f>
        <v>372266</v>
      </c>
      <c r="E256" s="12">
        <f ca="1">IFERROR(__xludf.DUMMYFUNCTION("""COMPUTED_VALUE"""),14689)</f>
        <v>14689</v>
      </c>
      <c r="F256" s="12">
        <f ca="1">IFERROR(__xludf.DUMMYFUNCTION("""COMPUTED_VALUE"""),2377)</f>
        <v>2377</v>
      </c>
      <c r="G256" s="12">
        <f ca="1">IFERROR(__xludf.DUMMYFUNCTION("""COMPUTED_VALUE"""),102844)</f>
        <v>102844</v>
      </c>
      <c r="H256" s="12">
        <f ca="1">IFERROR(__xludf.DUMMYFUNCTION("""COMPUTED_VALUE"""),6050)</f>
        <v>6050</v>
      </c>
      <c r="I256" s="12">
        <f ca="1">IFERROR(__xludf.DUMMYFUNCTION("""COMPUTED_VALUE"""),1472)</f>
        <v>1472</v>
      </c>
      <c r="J256" s="12">
        <f ca="1">IFERROR(__xludf.DUMMYFUNCTION("""COMPUTED_VALUE"""),112743)</f>
        <v>112743</v>
      </c>
      <c r="K256" s="12">
        <f ca="1">IFERROR(__xludf.DUMMYFUNCTION("""COMPUTED_VALUE"""),7522)</f>
        <v>7522</v>
      </c>
      <c r="L256" s="12">
        <f ca="1">IFERROR(__xludf.DUMMYFUNCTION("""COMPUTED_VALUE"""),2853)</f>
        <v>2853</v>
      </c>
      <c r="M256" s="12">
        <f ca="1">IFERROR(__xludf.DUMMYFUNCTION("""COMPUTED_VALUE"""),-1190)</f>
        <v>-1190</v>
      </c>
      <c r="N256" s="12">
        <f ca="1">IFERROR(__xludf.DUMMYFUNCTION("""COMPUTED_VALUE"""),3968)</f>
        <v>3968</v>
      </c>
      <c r="O256" s="12">
        <f ca="1">IFERROR(__xludf.DUMMYFUNCTION("""COMPUTED_VALUE"""),75)</f>
        <v>75</v>
      </c>
      <c r="P256" s="12">
        <f ca="1">IFERROR(__xludf.DUMMYFUNCTION("""COMPUTED_VALUE"""),11)</f>
        <v>11</v>
      </c>
      <c r="Q256" s="12">
        <f ca="1">IFERROR(__xludf.DUMMYFUNCTION("""COMPUTED_VALUE"""),1053)</f>
        <v>1053</v>
      </c>
      <c r="R256" s="12">
        <f ca="1">IFERROR(__xludf.DUMMYFUNCTION("""COMPUTED_VALUE"""),-288)</f>
        <v>-288</v>
      </c>
      <c r="S256" s="12">
        <f ca="1">IFERROR(__xludf.DUMMYFUNCTION("""COMPUTED_VALUE"""),-60)</f>
        <v>-60</v>
      </c>
      <c r="T256" s="12">
        <f ca="1">IFERROR(__xludf.DUMMYFUNCTION("""COMPUTED_VALUE"""),716)</f>
        <v>716</v>
      </c>
      <c r="U256" s="12">
        <f ca="1">IFERROR(__xludf.DUMMYFUNCTION("""COMPUTED_VALUE"""),-348)</f>
        <v>-348</v>
      </c>
    </row>
    <row r="257" spans="1:21" x14ac:dyDescent="0.25">
      <c r="A257" s="11">
        <f ca="1">IFERROR(__xludf.DUMMYFUNCTION("""COMPUTED_VALUE"""),44145)</f>
        <v>44145</v>
      </c>
      <c r="B257" s="12">
        <f ca="1">IFERROR(__xludf.DUMMYFUNCTION("""COMPUTED_VALUE"""),444348)</f>
        <v>444348</v>
      </c>
      <c r="C257" s="12">
        <f ca="1">IFERROR(__xludf.DUMMYFUNCTION("""COMPUTED_VALUE"""),53846)</f>
        <v>53846</v>
      </c>
      <c r="D257" s="12">
        <f ca="1">IFERROR(__xludf.DUMMYFUNCTION("""COMPUTED_VALUE"""),375741)</f>
        <v>375741</v>
      </c>
      <c r="E257" s="12">
        <f ca="1">IFERROR(__xludf.DUMMYFUNCTION("""COMPUTED_VALUE"""),14761)</f>
        <v>14761</v>
      </c>
      <c r="F257" s="12">
        <f ca="1">IFERROR(__xludf.DUMMYFUNCTION("""COMPUTED_VALUE"""),2391)</f>
        <v>2391</v>
      </c>
      <c r="G257" s="12">
        <f ca="1">IFERROR(__xludf.DUMMYFUNCTION("""COMPUTED_VALUE"""),104144)</f>
        <v>104144</v>
      </c>
      <c r="H257" s="12">
        <f ca="1">IFERROR(__xludf.DUMMYFUNCTION("""COMPUTED_VALUE"""),5724)</f>
        <v>5724</v>
      </c>
      <c r="I257" s="12">
        <f ca="1">IFERROR(__xludf.DUMMYFUNCTION("""COMPUTED_VALUE"""),1497)</f>
        <v>1497</v>
      </c>
      <c r="J257" s="12">
        <f ca="1">IFERROR(__xludf.DUMMYFUNCTION("""COMPUTED_VALUE"""),113756)</f>
        <v>113756</v>
      </c>
      <c r="K257" s="12">
        <f ca="1">IFERROR(__xludf.DUMMYFUNCTION("""COMPUTED_VALUE"""),7221)</f>
        <v>7221</v>
      </c>
      <c r="L257" s="12">
        <f ca="1">IFERROR(__xludf.DUMMYFUNCTION("""COMPUTED_VALUE"""),3779)</f>
        <v>3779</v>
      </c>
      <c r="M257" s="12">
        <f ca="1">IFERROR(__xludf.DUMMYFUNCTION("""COMPUTED_VALUE"""),232)</f>
        <v>232</v>
      </c>
      <c r="N257" s="12">
        <f ca="1">IFERROR(__xludf.DUMMYFUNCTION("""COMPUTED_VALUE"""),3475)</f>
        <v>3475</v>
      </c>
      <c r="O257" s="12">
        <f ca="1">IFERROR(__xludf.DUMMYFUNCTION("""COMPUTED_VALUE"""),72)</f>
        <v>72</v>
      </c>
      <c r="P257" s="12">
        <f ca="1">IFERROR(__xludf.DUMMYFUNCTION("""COMPUTED_VALUE"""),14)</f>
        <v>14</v>
      </c>
      <c r="Q257" s="12">
        <f ca="1">IFERROR(__xludf.DUMMYFUNCTION("""COMPUTED_VALUE"""),1300)</f>
        <v>1300</v>
      </c>
      <c r="R257" s="12">
        <f ca="1">IFERROR(__xludf.DUMMYFUNCTION("""COMPUTED_VALUE"""),-326)</f>
        <v>-326</v>
      </c>
      <c r="S257" s="12">
        <f ca="1">IFERROR(__xludf.DUMMYFUNCTION("""COMPUTED_VALUE"""),25)</f>
        <v>25</v>
      </c>
      <c r="T257" s="12">
        <f ca="1">IFERROR(__xludf.DUMMYFUNCTION("""COMPUTED_VALUE"""),1013)</f>
        <v>1013</v>
      </c>
      <c r="U257" s="12">
        <f ca="1">IFERROR(__xludf.DUMMYFUNCTION("""COMPUTED_VALUE"""),-301)</f>
        <v>-301</v>
      </c>
    </row>
    <row r="258" spans="1:21" x14ac:dyDescent="0.25">
      <c r="A258" s="11">
        <f ca="1">IFERROR(__xludf.DUMMYFUNCTION("""COMPUTED_VALUE"""),44146)</f>
        <v>44146</v>
      </c>
      <c r="B258" s="12">
        <f ca="1">IFERROR(__xludf.DUMMYFUNCTION("""COMPUTED_VALUE"""),448118)</f>
        <v>448118</v>
      </c>
      <c r="C258" s="12">
        <f ca="1">IFERROR(__xludf.DUMMYFUNCTION("""COMPUTED_VALUE"""),54300)</f>
        <v>54300</v>
      </c>
      <c r="D258" s="12">
        <f ca="1">IFERROR(__xludf.DUMMYFUNCTION("""COMPUTED_VALUE"""),378982)</f>
        <v>378982</v>
      </c>
      <c r="E258" s="12">
        <f ca="1">IFERROR(__xludf.DUMMYFUNCTION("""COMPUTED_VALUE"""),14836)</f>
        <v>14836</v>
      </c>
      <c r="F258" s="12">
        <f ca="1">IFERROR(__xludf.DUMMYFUNCTION("""COMPUTED_VALUE"""),2403)</f>
        <v>2403</v>
      </c>
      <c r="G258" s="12">
        <f ca="1">IFERROR(__xludf.DUMMYFUNCTION("""COMPUTED_VALUE"""),105117)</f>
        <v>105117</v>
      </c>
      <c r="H258" s="12">
        <f ca="1">IFERROR(__xludf.DUMMYFUNCTION("""COMPUTED_VALUE"""),5161)</f>
        <v>5161</v>
      </c>
      <c r="I258" s="12">
        <f ca="1">IFERROR(__xludf.DUMMYFUNCTION("""COMPUTED_VALUE"""),1662)</f>
        <v>1662</v>
      </c>
      <c r="J258" s="12">
        <f ca="1">IFERROR(__xludf.DUMMYFUNCTION("""COMPUTED_VALUE"""),114343)</f>
        <v>114343</v>
      </c>
      <c r="K258" s="12">
        <f ca="1">IFERROR(__xludf.DUMMYFUNCTION("""COMPUTED_VALUE"""),6823)</f>
        <v>6823</v>
      </c>
      <c r="L258" s="12">
        <f ca="1">IFERROR(__xludf.DUMMYFUNCTION("""COMPUTED_VALUE"""),3770)</f>
        <v>3770</v>
      </c>
      <c r="M258" s="12">
        <f ca="1">IFERROR(__xludf.DUMMYFUNCTION("""COMPUTED_VALUE"""),454)</f>
        <v>454</v>
      </c>
      <c r="N258" s="12">
        <f ca="1">IFERROR(__xludf.DUMMYFUNCTION("""COMPUTED_VALUE"""),3241)</f>
        <v>3241</v>
      </c>
      <c r="O258" s="12">
        <f ca="1">IFERROR(__xludf.DUMMYFUNCTION("""COMPUTED_VALUE"""),75)</f>
        <v>75</v>
      </c>
      <c r="P258" s="12">
        <f ca="1">IFERROR(__xludf.DUMMYFUNCTION("""COMPUTED_VALUE"""),12)</f>
        <v>12</v>
      </c>
      <c r="Q258" s="12">
        <f ca="1">IFERROR(__xludf.DUMMYFUNCTION("""COMPUTED_VALUE"""),973)</f>
        <v>973</v>
      </c>
      <c r="R258" s="12">
        <f ca="1">IFERROR(__xludf.DUMMYFUNCTION("""COMPUTED_VALUE"""),-563)</f>
        <v>-563</v>
      </c>
      <c r="S258" s="12">
        <f ca="1">IFERROR(__xludf.DUMMYFUNCTION("""COMPUTED_VALUE"""),165)</f>
        <v>165</v>
      </c>
      <c r="T258" s="12">
        <f ca="1">IFERROR(__xludf.DUMMYFUNCTION("""COMPUTED_VALUE"""),587)</f>
        <v>587</v>
      </c>
      <c r="U258" s="12">
        <f ca="1">IFERROR(__xludf.DUMMYFUNCTION("""COMPUTED_VALUE"""),-398)</f>
        <v>-398</v>
      </c>
    </row>
    <row r="259" spans="1:21" x14ac:dyDescent="0.25">
      <c r="A259" s="11">
        <f ca="1">IFERROR(__xludf.DUMMYFUNCTION("""COMPUTED_VALUE"""),44147)</f>
        <v>44147</v>
      </c>
      <c r="B259" s="12">
        <f ca="1">IFERROR(__xludf.DUMMYFUNCTION("""COMPUTED_VALUE"""),452291)</f>
        <v>452291</v>
      </c>
      <c r="C259" s="12">
        <f ca="1">IFERROR(__xludf.DUMMYFUNCTION("""COMPUTED_VALUE"""),55274)</f>
        <v>55274</v>
      </c>
      <c r="D259" s="12">
        <f ca="1">IFERROR(__xludf.DUMMYFUNCTION("""COMPUTED_VALUE"""),382084)</f>
        <v>382084</v>
      </c>
      <c r="E259" s="12">
        <f ca="1">IFERROR(__xludf.DUMMYFUNCTION("""COMPUTED_VALUE"""),14933)</f>
        <v>14933</v>
      </c>
      <c r="F259" s="12">
        <f ca="1">IFERROR(__xludf.DUMMYFUNCTION("""COMPUTED_VALUE"""),2414)</f>
        <v>2414</v>
      </c>
      <c r="G259" s="12">
        <f ca="1">IFERROR(__xludf.DUMMYFUNCTION("""COMPUTED_VALUE"""),106189)</f>
        <v>106189</v>
      </c>
      <c r="H259" s="12">
        <f ca="1">IFERROR(__xludf.DUMMYFUNCTION("""COMPUTED_VALUE"""),4878)</f>
        <v>4878</v>
      </c>
      <c r="I259" s="12">
        <f ca="1">IFERROR(__xludf.DUMMYFUNCTION("""COMPUTED_VALUE"""),1693)</f>
        <v>1693</v>
      </c>
      <c r="J259" s="12">
        <f ca="1">IFERROR(__xludf.DUMMYFUNCTION("""COMPUTED_VALUE"""),115174)</f>
        <v>115174</v>
      </c>
      <c r="K259" s="12">
        <f ca="1">IFERROR(__xludf.DUMMYFUNCTION("""COMPUTED_VALUE"""),6571)</f>
        <v>6571</v>
      </c>
      <c r="L259" s="12">
        <f ca="1">IFERROR(__xludf.DUMMYFUNCTION("""COMPUTED_VALUE"""),4173)</f>
        <v>4173</v>
      </c>
      <c r="M259" s="12">
        <f ca="1">IFERROR(__xludf.DUMMYFUNCTION("""COMPUTED_VALUE"""),974)</f>
        <v>974</v>
      </c>
      <c r="N259" s="12">
        <f ca="1">IFERROR(__xludf.DUMMYFUNCTION("""COMPUTED_VALUE"""),3102)</f>
        <v>3102</v>
      </c>
      <c r="O259" s="12">
        <f ca="1">IFERROR(__xludf.DUMMYFUNCTION("""COMPUTED_VALUE"""),97)</f>
        <v>97</v>
      </c>
      <c r="P259" s="12">
        <f ca="1">IFERROR(__xludf.DUMMYFUNCTION("""COMPUTED_VALUE"""),11)</f>
        <v>11</v>
      </c>
      <c r="Q259" s="12">
        <f ca="1">IFERROR(__xludf.DUMMYFUNCTION("""COMPUTED_VALUE"""),1072)</f>
        <v>1072</v>
      </c>
      <c r="R259" s="12">
        <f ca="1">IFERROR(__xludf.DUMMYFUNCTION("""COMPUTED_VALUE"""),-283)</f>
        <v>-283</v>
      </c>
      <c r="S259" s="12">
        <f ca="1">IFERROR(__xludf.DUMMYFUNCTION("""COMPUTED_VALUE"""),31)</f>
        <v>31</v>
      </c>
      <c r="T259" s="12">
        <f ca="1">IFERROR(__xludf.DUMMYFUNCTION("""COMPUTED_VALUE"""),831)</f>
        <v>831</v>
      </c>
      <c r="U259" s="12">
        <f ca="1">IFERROR(__xludf.DUMMYFUNCTION("""COMPUTED_VALUE"""),-252)</f>
        <v>-252</v>
      </c>
    </row>
    <row r="260" spans="1:21" x14ac:dyDescent="0.25">
      <c r="A260" s="11">
        <f ca="1">IFERROR(__xludf.DUMMYFUNCTION("""COMPUTED_VALUE"""),44148)</f>
        <v>44148</v>
      </c>
      <c r="B260" s="12">
        <f ca="1">IFERROR(__xludf.DUMMYFUNCTION("""COMPUTED_VALUE"""),457735)</f>
        <v>457735</v>
      </c>
      <c r="C260" s="12">
        <f ca="1">IFERROR(__xludf.DUMMYFUNCTION("""COMPUTED_VALUE"""),57604)</f>
        <v>57604</v>
      </c>
      <c r="D260" s="12">
        <f ca="1">IFERROR(__xludf.DUMMYFUNCTION("""COMPUTED_VALUE"""),385094)</f>
        <v>385094</v>
      </c>
      <c r="E260" s="12">
        <f ca="1">IFERROR(__xludf.DUMMYFUNCTION("""COMPUTED_VALUE"""),15037)</f>
        <v>15037</v>
      </c>
      <c r="F260" s="12">
        <f ca="1">IFERROR(__xludf.DUMMYFUNCTION("""COMPUTED_VALUE"""),2428)</f>
        <v>2428</v>
      </c>
      <c r="G260" s="12">
        <f ca="1">IFERROR(__xludf.DUMMYFUNCTION("""COMPUTED_VALUE"""),107147)</f>
        <v>107147</v>
      </c>
      <c r="H260" s="12">
        <f ca="1">IFERROR(__xludf.DUMMYFUNCTION("""COMPUTED_VALUE"""),5028)</f>
        <v>5028</v>
      </c>
      <c r="I260" s="12">
        <f ca="1">IFERROR(__xludf.DUMMYFUNCTION("""COMPUTED_VALUE"""),1604)</f>
        <v>1604</v>
      </c>
      <c r="J260" s="12">
        <f ca="1">IFERROR(__xludf.DUMMYFUNCTION("""COMPUTED_VALUE"""),116207)</f>
        <v>116207</v>
      </c>
      <c r="K260" s="12">
        <f ca="1">IFERROR(__xludf.DUMMYFUNCTION("""COMPUTED_VALUE"""),6632)</f>
        <v>6632</v>
      </c>
      <c r="L260" s="12">
        <f ca="1">IFERROR(__xludf.DUMMYFUNCTION("""COMPUTED_VALUE"""),5444)</f>
        <v>5444</v>
      </c>
      <c r="M260" s="12">
        <f ca="1">IFERROR(__xludf.DUMMYFUNCTION("""COMPUTED_VALUE"""),2330)</f>
        <v>2330</v>
      </c>
      <c r="N260" s="12">
        <f ca="1">IFERROR(__xludf.DUMMYFUNCTION("""COMPUTED_VALUE"""),3010)</f>
        <v>3010</v>
      </c>
      <c r="O260" s="12">
        <f ca="1">IFERROR(__xludf.DUMMYFUNCTION("""COMPUTED_VALUE"""),104)</f>
        <v>104</v>
      </c>
      <c r="P260" s="12">
        <f ca="1">IFERROR(__xludf.DUMMYFUNCTION("""COMPUTED_VALUE"""),14)</f>
        <v>14</v>
      </c>
      <c r="Q260" s="12">
        <f ca="1">IFERROR(__xludf.DUMMYFUNCTION("""COMPUTED_VALUE"""),958)</f>
        <v>958</v>
      </c>
      <c r="R260" s="12">
        <f ca="1">IFERROR(__xludf.DUMMYFUNCTION("""COMPUTED_VALUE"""),150)</f>
        <v>150</v>
      </c>
      <c r="S260" s="12">
        <f ca="1">IFERROR(__xludf.DUMMYFUNCTION("""COMPUTED_VALUE"""),-89)</f>
        <v>-89</v>
      </c>
      <c r="T260" s="12">
        <f ca="1">IFERROR(__xludf.DUMMYFUNCTION("""COMPUTED_VALUE"""),1033)</f>
        <v>1033</v>
      </c>
      <c r="U260" s="12">
        <f ca="1">IFERROR(__xludf.DUMMYFUNCTION("""COMPUTED_VALUE"""),61)</f>
        <v>61</v>
      </c>
    </row>
    <row r="261" spans="1:21" x14ac:dyDescent="0.25">
      <c r="A261" s="11">
        <f ca="1">IFERROR(__xludf.DUMMYFUNCTION("""COMPUTED_VALUE"""),44149)</f>
        <v>44149</v>
      </c>
      <c r="B261" s="12">
        <f ca="1">IFERROR(__xludf.DUMMYFUNCTION("""COMPUTED_VALUE"""),463007)</f>
        <v>463007</v>
      </c>
      <c r="C261" s="12">
        <f ca="1">IFERROR(__xludf.DUMMYFUNCTION("""COMPUTED_VALUE"""),59765)</f>
        <v>59765</v>
      </c>
      <c r="D261" s="12">
        <f ca="1">IFERROR(__xludf.DUMMYFUNCTION("""COMPUTED_VALUE"""),388094)</f>
        <v>388094</v>
      </c>
      <c r="E261" s="12">
        <f ca="1">IFERROR(__xludf.DUMMYFUNCTION("""COMPUTED_VALUE"""),15148)</f>
        <v>15148</v>
      </c>
      <c r="F261" s="12">
        <f ca="1">IFERROR(__xludf.DUMMYFUNCTION("""COMPUTED_VALUE"""),2441)</f>
        <v>2441</v>
      </c>
      <c r="G261" s="12">
        <f ca="1">IFERROR(__xludf.DUMMYFUNCTION("""COMPUTED_VALUE"""),108209)</f>
        <v>108209</v>
      </c>
      <c r="H261" s="12">
        <f ca="1">IFERROR(__xludf.DUMMYFUNCTION("""COMPUTED_VALUE"""),4710)</f>
        <v>4710</v>
      </c>
      <c r="I261" s="12">
        <f ca="1">IFERROR(__xludf.DUMMYFUNCTION("""COMPUTED_VALUE"""),2102)</f>
        <v>2102</v>
      </c>
      <c r="J261" s="12">
        <f ca="1">IFERROR(__xludf.DUMMYFUNCTION("""COMPUTED_VALUE"""),117462)</f>
        <v>117462</v>
      </c>
      <c r="K261" s="12">
        <f ca="1">IFERROR(__xludf.DUMMYFUNCTION("""COMPUTED_VALUE"""),6812)</f>
        <v>6812</v>
      </c>
      <c r="L261" s="12">
        <f ca="1">IFERROR(__xludf.DUMMYFUNCTION("""COMPUTED_VALUE"""),5272)</f>
        <v>5272</v>
      </c>
      <c r="M261" s="12">
        <f ca="1">IFERROR(__xludf.DUMMYFUNCTION("""COMPUTED_VALUE"""),2161)</f>
        <v>2161</v>
      </c>
      <c r="N261" s="12">
        <f ca="1">IFERROR(__xludf.DUMMYFUNCTION("""COMPUTED_VALUE"""),3000)</f>
        <v>3000</v>
      </c>
      <c r="O261" s="12">
        <f ca="1">IFERROR(__xludf.DUMMYFUNCTION("""COMPUTED_VALUE"""),111)</f>
        <v>111</v>
      </c>
      <c r="P261" s="12">
        <f ca="1">IFERROR(__xludf.DUMMYFUNCTION("""COMPUTED_VALUE"""),13)</f>
        <v>13</v>
      </c>
      <c r="Q261" s="12">
        <f ca="1">IFERROR(__xludf.DUMMYFUNCTION("""COMPUTED_VALUE"""),1062)</f>
        <v>1062</v>
      </c>
      <c r="R261" s="12">
        <f ca="1">IFERROR(__xludf.DUMMYFUNCTION("""COMPUTED_VALUE"""),-318)</f>
        <v>-318</v>
      </c>
      <c r="S261" s="12">
        <f ca="1">IFERROR(__xludf.DUMMYFUNCTION("""COMPUTED_VALUE"""),498)</f>
        <v>498</v>
      </c>
      <c r="T261" s="12">
        <f ca="1">IFERROR(__xludf.DUMMYFUNCTION("""COMPUTED_VALUE"""),1255)</f>
        <v>1255</v>
      </c>
      <c r="U261" s="12">
        <f ca="1">IFERROR(__xludf.DUMMYFUNCTION("""COMPUTED_VALUE"""),180)</f>
        <v>180</v>
      </c>
    </row>
    <row r="262" spans="1:21" x14ac:dyDescent="0.25">
      <c r="A262" s="11">
        <f ca="1">IFERROR(__xludf.DUMMYFUNCTION("""COMPUTED_VALUE"""),44150)</f>
        <v>44150</v>
      </c>
      <c r="B262" s="12">
        <f ca="1">IFERROR(__xludf.DUMMYFUNCTION("""COMPUTED_VALUE"""),467113)</f>
        <v>467113</v>
      </c>
      <c r="C262" s="12">
        <f ca="1">IFERROR(__xludf.DUMMYFUNCTION("""COMPUTED_VALUE"""),59911)</f>
        <v>59911</v>
      </c>
      <c r="D262" s="12">
        <f ca="1">IFERROR(__xludf.DUMMYFUNCTION("""COMPUTED_VALUE"""),391991)</f>
        <v>391991</v>
      </c>
      <c r="E262" s="12">
        <f ca="1">IFERROR(__xludf.DUMMYFUNCTION("""COMPUTED_VALUE"""),15211)</f>
        <v>15211</v>
      </c>
      <c r="F262" s="12">
        <f ca="1">IFERROR(__xludf.DUMMYFUNCTION("""COMPUTED_VALUE"""),2448)</f>
        <v>2448</v>
      </c>
      <c r="G262" s="12">
        <f ca="1">IFERROR(__xludf.DUMMYFUNCTION("""COMPUTED_VALUE"""),109181)</f>
        <v>109181</v>
      </c>
      <c r="H262" s="12">
        <f ca="1">IFERROR(__xludf.DUMMYFUNCTION("""COMPUTED_VALUE"""),4952)</f>
        <v>4952</v>
      </c>
      <c r="I262" s="12">
        <f ca="1">IFERROR(__xludf.DUMMYFUNCTION("""COMPUTED_VALUE"""),2046)</f>
        <v>2046</v>
      </c>
      <c r="J262" s="12">
        <f ca="1">IFERROR(__xludf.DUMMYFUNCTION("""COMPUTED_VALUE"""),118627)</f>
        <v>118627</v>
      </c>
      <c r="K262" s="12">
        <f ca="1">IFERROR(__xludf.DUMMYFUNCTION("""COMPUTED_VALUE"""),6998)</f>
        <v>6998</v>
      </c>
      <c r="L262" s="12">
        <f ca="1">IFERROR(__xludf.DUMMYFUNCTION("""COMPUTED_VALUE"""),4106)</f>
        <v>4106</v>
      </c>
      <c r="M262" s="12">
        <f ca="1">IFERROR(__xludf.DUMMYFUNCTION("""COMPUTED_VALUE"""),146)</f>
        <v>146</v>
      </c>
      <c r="N262" s="12">
        <f ca="1">IFERROR(__xludf.DUMMYFUNCTION("""COMPUTED_VALUE"""),3897)</f>
        <v>3897</v>
      </c>
      <c r="O262" s="12">
        <f ca="1">IFERROR(__xludf.DUMMYFUNCTION("""COMPUTED_VALUE"""),63)</f>
        <v>63</v>
      </c>
      <c r="P262" s="12">
        <f ca="1">IFERROR(__xludf.DUMMYFUNCTION("""COMPUTED_VALUE"""),7)</f>
        <v>7</v>
      </c>
      <c r="Q262" s="12">
        <f ca="1">IFERROR(__xludf.DUMMYFUNCTION("""COMPUTED_VALUE"""),972)</f>
        <v>972</v>
      </c>
      <c r="R262" s="12">
        <f ca="1">IFERROR(__xludf.DUMMYFUNCTION("""COMPUTED_VALUE"""),242)</f>
        <v>242</v>
      </c>
      <c r="S262" s="12">
        <f ca="1">IFERROR(__xludf.DUMMYFUNCTION("""COMPUTED_VALUE"""),-56)</f>
        <v>-56</v>
      </c>
      <c r="T262" s="12">
        <f ca="1">IFERROR(__xludf.DUMMYFUNCTION("""COMPUTED_VALUE"""),1165)</f>
        <v>1165</v>
      </c>
      <c r="U262" s="12">
        <f ca="1">IFERROR(__xludf.DUMMYFUNCTION("""COMPUTED_VALUE"""),186)</f>
        <v>186</v>
      </c>
    </row>
    <row r="263" spans="1:21" x14ac:dyDescent="0.25">
      <c r="A263" s="11">
        <f ca="1">IFERROR(__xludf.DUMMYFUNCTION("""COMPUTED_VALUE"""),44151)</f>
        <v>44151</v>
      </c>
      <c r="B263" s="12">
        <f ca="1">IFERROR(__xludf.DUMMYFUNCTION("""COMPUTED_VALUE"""),470648)</f>
        <v>470648</v>
      </c>
      <c r="C263" s="12">
        <f ca="1">IFERROR(__xludf.DUMMYFUNCTION("""COMPUTED_VALUE"""),59909)</f>
        <v>59909</v>
      </c>
      <c r="D263" s="12">
        <f ca="1">IFERROR(__xludf.DUMMYFUNCTION("""COMPUTED_VALUE"""),395443)</f>
        <v>395443</v>
      </c>
      <c r="E263" s="12">
        <f ca="1">IFERROR(__xludf.DUMMYFUNCTION("""COMPUTED_VALUE"""),15296)</f>
        <v>15296</v>
      </c>
      <c r="F263" s="12">
        <f ca="1">IFERROR(__xludf.DUMMYFUNCTION("""COMPUTED_VALUE"""),2455)</f>
        <v>2455</v>
      </c>
      <c r="G263" s="12">
        <f ca="1">IFERROR(__xludf.DUMMYFUNCTION("""COMPUTED_VALUE"""),110221)</f>
        <v>110221</v>
      </c>
      <c r="H263" s="12">
        <f ca="1">IFERROR(__xludf.DUMMYFUNCTION("""COMPUTED_VALUE"""),4420)</f>
        <v>4420</v>
      </c>
      <c r="I263" s="12">
        <f ca="1">IFERROR(__xludf.DUMMYFUNCTION("""COMPUTED_VALUE"""),2537)</f>
        <v>2537</v>
      </c>
      <c r="J263" s="12">
        <f ca="1">IFERROR(__xludf.DUMMYFUNCTION("""COMPUTED_VALUE"""),119633)</f>
        <v>119633</v>
      </c>
      <c r="K263" s="12">
        <f ca="1">IFERROR(__xludf.DUMMYFUNCTION("""COMPUTED_VALUE"""),6957)</f>
        <v>6957</v>
      </c>
      <c r="L263" s="12">
        <f ca="1">IFERROR(__xludf.DUMMYFUNCTION("""COMPUTED_VALUE"""),3535)</f>
        <v>3535</v>
      </c>
      <c r="M263" s="12">
        <f ca="1">IFERROR(__xludf.DUMMYFUNCTION("""COMPUTED_VALUE"""),-2)</f>
        <v>-2</v>
      </c>
      <c r="N263" s="12">
        <f ca="1">IFERROR(__xludf.DUMMYFUNCTION("""COMPUTED_VALUE"""),3452)</f>
        <v>3452</v>
      </c>
      <c r="O263" s="12">
        <f ca="1">IFERROR(__xludf.DUMMYFUNCTION("""COMPUTED_VALUE"""),85)</f>
        <v>85</v>
      </c>
      <c r="P263" s="12">
        <f ca="1">IFERROR(__xludf.DUMMYFUNCTION("""COMPUTED_VALUE"""),7)</f>
        <v>7</v>
      </c>
      <c r="Q263" s="12">
        <f ca="1">IFERROR(__xludf.DUMMYFUNCTION("""COMPUTED_VALUE"""),1040)</f>
        <v>1040</v>
      </c>
      <c r="R263" s="12">
        <f ca="1">IFERROR(__xludf.DUMMYFUNCTION("""COMPUTED_VALUE"""),-532)</f>
        <v>-532</v>
      </c>
      <c r="S263" s="12">
        <f ca="1">IFERROR(__xludf.DUMMYFUNCTION("""COMPUTED_VALUE"""),491)</f>
        <v>491</v>
      </c>
      <c r="T263" s="12">
        <f ca="1">IFERROR(__xludf.DUMMYFUNCTION("""COMPUTED_VALUE"""),1006)</f>
        <v>1006</v>
      </c>
      <c r="U263" s="12">
        <f ca="1">IFERROR(__xludf.DUMMYFUNCTION("""COMPUTED_VALUE"""),-41)</f>
        <v>-41</v>
      </c>
    </row>
    <row r="264" spans="1:21" x14ac:dyDescent="0.25">
      <c r="A264" s="11">
        <f ca="1">IFERROR(__xludf.DUMMYFUNCTION("""COMPUTED_VALUE"""),44152)</f>
        <v>44152</v>
      </c>
      <c r="B264" s="12">
        <f ca="1">IFERROR(__xludf.DUMMYFUNCTION("""COMPUTED_VALUE"""),474455)</f>
        <v>474455</v>
      </c>
      <c r="C264" s="12">
        <f ca="1">IFERROR(__xludf.DUMMYFUNCTION("""COMPUTED_VALUE"""),60426)</f>
        <v>60426</v>
      </c>
      <c r="D264" s="12">
        <f ca="1">IFERROR(__xludf.DUMMYFUNCTION("""COMPUTED_VALUE"""),398636)</f>
        <v>398636</v>
      </c>
      <c r="E264" s="12">
        <f ca="1">IFERROR(__xludf.DUMMYFUNCTION("""COMPUTED_VALUE"""),15393)</f>
        <v>15393</v>
      </c>
      <c r="F264" s="12">
        <f ca="1">IFERROR(__xludf.DUMMYFUNCTION("""COMPUTED_VALUE"""),2459)</f>
        <v>2459</v>
      </c>
      <c r="G264" s="12">
        <f ca="1">IFERROR(__xludf.DUMMYFUNCTION("""COMPUTED_VALUE"""),111096)</f>
        <v>111096</v>
      </c>
      <c r="H264" s="12">
        <f ca="1">IFERROR(__xludf.DUMMYFUNCTION("""COMPUTED_VALUE"""),4355)</f>
        <v>4355</v>
      </c>
      <c r="I264" s="12">
        <f ca="1">IFERROR(__xludf.DUMMYFUNCTION("""COMPUTED_VALUE"""),2761)</f>
        <v>2761</v>
      </c>
      <c r="J264" s="12">
        <f ca="1">IFERROR(__xludf.DUMMYFUNCTION("""COMPUTED_VALUE"""),120671)</f>
        <v>120671</v>
      </c>
      <c r="K264" s="12">
        <f ca="1">IFERROR(__xludf.DUMMYFUNCTION("""COMPUTED_VALUE"""),7116)</f>
        <v>7116</v>
      </c>
      <c r="L264" s="12">
        <f ca="1">IFERROR(__xludf.DUMMYFUNCTION("""COMPUTED_VALUE"""),3807)</f>
        <v>3807</v>
      </c>
      <c r="M264" s="12">
        <f ca="1">IFERROR(__xludf.DUMMYFUNCTION("""COMPUTED_VALUE"""),517)</f>
        <v>517</v>
      </c>
      <c r="N264" s="12">
        <f ca="1">IFERROR(__xludf.DUMMYFUNCTION("""COMPUTED_VALUE"""),3193)</f>
        <v>3193</v>
      </c>
      <c r="O264" s="12">
        <f ca="1">IFERROR(__xludf.DUMMYFUNCTION("""COMPUTED_VALUE"""),97)</f>
        <v>97</v>
      </c>
      <c r="P264" s="12">
        <f ca="1">IFERROR(__xludf.DUMMYFUNCTION("""COMPUTED_VALUE"""),4)</f>
        <v>4</v>
      </c>
      <c r="Q264" s="12">
        <f ca="1">IFERROR(__xludf.DUMMYFUNCTION("""COMPUTED_VALUE"""),875)</f>
        <v>875</v>
      </c>
      <c r="R264" s="12">
        <f ca="1">IFERROR(__xludf.DUMMYFUNCTION("""COMPUTED_VALUE"""),-65)</f>
        <v>-65</v>
      </c>
      <c r="S264" s="12">
        <f ca="1">IFERROR(__xludf.DUMMYFUNCTION("""COMPUTED_VALUE"""),224)</f>
        <v>224</v>
      </c>
      <c r="T264" s="12">
        <f ca="1">IFERROR(__xludf.DUMMYFUNCTION("""COMPUTED_VALUE"""),1038)</f>
        <v>1038</v>
      </c>
      <c r="U264" s="12">
        <f ca="1">IFERROR(__xludf.DUMMYFUNCTION("""COMPUTED_VALUE"""),159)</f>
        <v>159</v>
      </c>
    </row>
    <row r="265" spans="1:21" x14ac:dyDescent="0.25">
      <c r="A265" s="11">
        <f ca="1">IFERROR(__xludf.DUMMYFUNCTION("""COMPUTED_VALUE"""),44153)</f>
        <v>44153</v>
      </c>
      <c r="B265" s="12">
        <f ca="1">IFERROR(__xludf.DUMMYFUNCTION("""COMPUTED_VALUE"""),478720)</f>
        <v>478720</v>
      </c>
      <c r="C265" s="12">
        <f ca="1">IFERROR(__xludf.DUMMYFUNCTION("""COMPUTED_VALUE"""),60870)</f>
        <v>60870</v>
      </c>
      <c r="D265" s="12">
        <f ca="1">IFERROR(__xludf.DUMMYFUNCTION("""COMPUTED_VALUE"""),402347)</f>
        <v>402347</v>
      </c>
      <c r="E265" s="12">
        <f ca="1">IFERROR(__xludf.DUMMYFUNCTION("""COMPUTED_VALUE"""),15503)</f>
        <v>15503</v>
      </c>
      <c r="F265" s="12">
        <f ca="1">IFERROR(__xludf.DUMMYFUNCTION("""COMPUTED_VALUE"""),2470)</f>
        <v>2470</v>
      </c>
      <c r="G265" s="12">
        <f ca="1">IFERROR(__xludf.DUMMYFUNCTION("""COMPUTED_VALUE"""),111948)</f>
        <v>111948</v>
      </c>
      <c r="H265" s="12">
        <f ca="1">IFERROR(__xludf.DUMMYFUNCTION("""COMPUTED_VALUE"""),4619)</f>
        <v>4619</v>
      </c>
      <c r="I265" s="12">
        <f ca="1">IFERROR(__xludf.DUMMYFUNCTION("""COMPUTED_VALUE"""),2781)</f>
        <v>2781</v>
      </c>
      <c r="J265" s="12">
        <f ca="1">IFERROR(__xludf.DUMMYFUNCTION("""COMPUTED_VALUE"""),121818)</f>
        <v>121818</v>
      </c>
      <c r="K265" s="12">
        <f ca="1">IFERROR(__xludf.DUMMYFUNCTION("""COMPUTED_VALUE"""),7400)</f>
        <v>7400</v>
      </c>
      <c r="L265" s="12">
        <f ca="1">IFERROR(__xludf.DUMMYFUNCTION("""COMPUTED_VALUE"""),4265)</f>
        <v>4265</v>
      </c>
      <c r="M265" s="12">
        <f ca="1">IFERROR(__xludf.DUMMYFUNCTION("""COMPUTED_VALUE"""),444)</f>
        <v>444</v>
      </c>
      <c r="N265" s="12">
        <f ca="1">IFERROR(__xludf.DUMMYFUNCTION("""COMPUTED_VALUE"""),3711)</f>
        <v>3711</v>
      </c>
      <c r="O265" s="12">
        <f ca="1">IFERROR(__xludf.DUMMYFUNCTION("""COMPUTED_VALUE"""),110)</f>
        <v>110</v>
      </c>
      <c r="P265" s="12">
        <f ca="1">IFERROR(__xludf.DUMMYFUNCTION("""COMPUTED_VALUE"""),11)</f>
        <v>11</v>
      </c>
      <c r="Q265" s="12">
        <f ca="1">IFERROR(__xludf.DUMMYFUNCTION("""COMPUTED_VALUE"""),852)</f>
        <v>852</v>
      </c>
      <c r="R265" s="12">
        <f ca="1">IFERROR(__xludf.DUMMYFUNCTION("""COMPUTED_VALUE"""),264)</f>
        <v>264</v>
      </c>
      <c r="S265" s="12">
        <f ca="1">IFERROR(__xludf.DUMMYFUNCTION("""COMPUTED_VALUE"""),20)</f>
        <v>20</v>
      </c>
      <c r="T265" s="12">
        <f ca="1">IFERROR(__xludf.DUMMYFUNCTION("""COMPUTED_VALUE"""),1147)</f>
        <v>1147</v>
      </c>
      <c r="U265" s="12">
        <f ca="1">IFERROR(__xludf.DUMMYFUNCTION("""COMPUTED_VALUE"""),284)</f>
        <v>284</v>
      </c>
    </row>
    <row r="266" spans="1:21" x14ac:dyDescent="0.25">
      <c r="A266" s="11">
        <f ca="1">IFERROR(__xludf.DUMMYFUNCTION("""COMPUTED_VALUE"""),44154)</f>
        <v>44154</v>
      </c>
      <c r="B266" s="12">
        <f ca="1">IFERROR(__xludf.DUMMYFUNCTION("""COMPUTED_VALUE"""),483518)</f>
        <v>483518</v>
      </c>
      <c r="C266" s="12">
        <f ca="1">IFERROR(__xludf.DUMMYFUNCTION("""COMPUTED_VALUE"""),61306)</f>
        <v>61306</v>
      </c>
      <c r="D266" s="12">
        <f ca="1">IFERROR(__xludf.DUMMYFUNCTION("""COMPUTED_VALUE"""),406612)</f>
        <v>406612</v>
      </c>
      <c r="E266" s="12">
        <f ca="1">IFERROR(__xludf.DUMMYFUNCTION("""COMPUTED_VALUE"""),15600)</f>
        <v>15600</v>
      </c>
      <c r="F266" s="12">
        <f ca="1">IFERROR(__xludf.DUMMYFUNCTION("""COMPUTED_VALUE"""),2484)</f>
        <v>2484</v>
      </c>
      <c r="G266" s="12">
        <f ca="1">IFERROR(__xludf.DUMMYFUNCTION("""COMPUTED_VALUE"""),112833)</f>
        <v>112833</v>
      </c>
      <c r="H266" s="12">
        <f ca="1">IFERROR(__xludf.DUMMYFUNCTION("""COMPUTED_VALUE"""),4633)</f>
        <v>4633</v>
      </c>
      <c r="I266" s="12">
        <f ca="1">IFERROR(__xludf.DUMMYFUNCTION("""COMPUTED_VALUE"""),3053)</f>
        <v>3053</v>
      </c>
      <c r="J266" s="12">
        <f ca="1">IFERROR(__xludf.DUMMYFUNCTION("""COMPUTED_VALUE"""),123003)</f>
        <v>123003</v>
      </c>
      <c r="K266" s="12">
        <f ca="1">IFERROR(__xludf.DUMMYFUNCTION("""COMPUTED_VALUE"""),7686)</f>
        <v>7686</v>
      </c>
      <c r="L266" s="12">
        <f ca="1">IFERROR(__xludf.DUMMYFUNCTION("""COMPUTED_VALUE"""),4798)</f>
        <v>4798</v>
      </c>
      <c r="M266" s="12">
        <f ca="1">IFERROR(__xludf.DUMMYFUNCTION("""COMPUTED_VALUE"""),436)</f>
        <v>436</v>
      </c>
      <c r="N266" s="12">
        <f ca="1">IFERROR(__xludf.DUMMYFUNCTION("""COMPUTED_VALUE"""),4265)</f>
        <v>4265</v>
      </c>
      <c r="O266" s="12">
        <f ca="1">IFERROR(__xludf.DUMMYFUNCTION("""COMPUTED_VALUE"""),97)</f>
        <v>97</v>
      </c>
      <c r="P266" s="12">
        <f ca="1">IFERROR(__xludf.DUMMYFUNCTION("""COMPUTED_VALUE"""),14)</f>
        <v>14</v>
      </c>
      <c r="Q266" s="12">
        <f ca="1">IFERROR(__xludf.DUMMYFUNCTION("""COMPUTED_VALUE"""),885)</f>
        <v>885</v>
      </c>
      <c r="R266" s="12">
        <f ca="1">IFERROR(__xludf.DUMMYFUNCTION("""COMPUTED_VALUE"""),14)</f>
        <v>14</v>
      </c>
      <c r="S266" s="12">
        <f ca="1">IFERROR(__xludf.DUMMYFUNCTION("""COMPUTED_VALUE"""),272)</f>
        <v>272</v>
      </c>
      <c r="T266" s="12">
        <f ca="1">IFERROR(__xludf.DUMMYFUNCTION("""COMPUTED_VALUE"""),1185)</f>
        <v>1185</v>
      </c>
      <c r="U266" s="12">
        <f ca="1">IFERROR(__xludf.DUMMYFUNCTION("""COMPUTED_VALUE"""),286)</f>
        <v>286</v>
      </c>
    </row>
    <row r="267" spans="1:21" x14ac:dyDescent="0.25">
      <c r="A267" s="11">
        <f ca="1">IFERROR(__xludf.DUMMYFUNCTION("""COMPUTED_VALUE"""),44155)</f>
        <v>44155</v>
      </c>
      <c r="B267" s="12">
        <f ca="1">IFERROR(__xludf.DUMMYFUNCTION("""COMPUTED_VALUE"""),488310)</f>
        <v>488310</v>
      </c>
      <c r="C267" s="12">
        <f ca="1">IFERROR(__xludf.DUMMYFUNCTION("""COMPUTED_VALUE"""),62080)</f>
        <v>62080</v>
      </c>
      <c r="D267" s="12">
        <f ca="1">IFERROR(__xludf.DUMMYFUNCTION("""COMPUTED_VALUE"""),410552)</f>
        <v>410552</v>
      </c>
      <c r="E267" s="12">
        <f ca="1">IFERROR(__xludf.DUMMYFUNCTION("""COMPUTED_VALUE"""),15678)</f>
        <v>15678</v>
      </c>
      <c r="F267" s="12">
        <f ca="1">IFERROR(__xludf.DUMMYFUNCTION("""COMPUTED_VALUE"""),2501)</f>
        <v>2501</v>
      </c>
      <c r="G267" s="12">
        <f ca="1">IFERROR(__xludf.DUMMYFUNCTION("""COMPUTED_VALUE"""),113739)</f>
        <v>113739</v>
      </c>
      <c r="H267" s="12">
        <f ca="1">IFERROR(__xludf.DUMMYFUNCTION("""COMPUTED_VALUE"""),4616)</f>
        <v>4616</v>
      </c>
      <c r="I267" s="12">
        <f ca="1">IFERROR(__xludf.DUMMYFUNCTION("""COMPUTED_VALUE"""),3387)</f>
        <v>3387</v>
      </c>
      <c r="J267" s="12">
        <f ca="1">IFERROR(__xludf.DUMMYFUNCTION("""COMPUTED_VALUE"""),124243)</f>
        <v>124243</v>
      </c>
      <c r="K267" s="12">
        <f ca="1">IFERROR(__xludf.DUMMYFUNCTION("""COMPUTED_VALUE"""),8003)</f>
        <v>8003</v>
      </c>
      <c r="L267" s="12">
        <f ca="1">IFERROR(__xludf.DUMMYFUNCTION("""COMPUTED_VALUE"""),4792)</f>
        <v>4792</v>
      </c>
      <c r="M267" s="12">
        <f ca="1">IFERROR(__xludf.DUMMYFUNCTION("""COMPUTED_VALUE"""),774)</f>
        <v>774</v>
      </c>
      <c r="N267" s="12">
        <f ca="1">IFERROR(__xludf.DUMMYFUNCTION("""COMPUTED_VALUE"""),3940)</f>
        <v>3940</v>
      </c>
      <c r="O267" s="12">
        <f ca="1">IFERROR(__xludf.DUMMYFUNCTION("""COMPUTED_VALUE"""),78)</f>
        <v>78</v>
      </c>
      <c r="P267" s="12">
        <f ca="1">IFERROR(__xludf.DUMMYFUNCTION("""COMPUTED_VALUE"""),17)</f>
        <v>17</v>
      </c>
      <c r="Q267" s="12">
        <f ca="1">IFERROR(__xludf.DUMMYFUNCTION("""COMPUTED_VALUE"""),906)</f>
        <v>906</v>
      </c>
      <c r="R267" s="12">
        <f ca="1">IFERROR(__xludf.DUMMYFUNCTION("""COMPUTED_VALUE"""),-17)</f>
        <v>-17</v>
      </c>
      <c r="S267" s="12">
        <f ca="1">IFERROR(__xludf.DUMMYFUNCTION("""COMPUTED_VALUE"""),334)</f>
        <v>334</v>
      </c>
      <c r="T267" s="12">
        <f ca="1">IFERROR(__xludf.DUMMYFUNCTION("""COMPUTED_VALUE"""),1240)</f>
        <v>1240</v>
      </c>
      <c r="U267" s="12">
        <f ca="1">IFERROR(__xludf.DUMMYFUNCTION("""COMPUTED_VALUE"""),317)</f>
        <v>317</v>
      </c>
    </row>
    <row r="268" spans="1:21" x14ac:dyDescent="0.25">
      <c r="A268" s="11">
        <f ca="1">IFERROR(__xludf.DUMMYFUNCTION("""COMPUTED_VALUE"""),44156)</f>
        <v>44156</v>
      </c>
      <c r="B268" s="12">
        <f ca="1">IFERROR(__xludf.DUMMYFUNCTION("""COMPUTED_VALUE"""),493308)</f>
        <v>493308</v>
      </c>
      <c r="C268" s="12">
        <f ca="1">IFERROR(__xludf.DUMMYFUNCTION("""COMPUTED_VALUE"""),63579)</f>
        <v>63579</v>
      </c>
      <c r="D268" s="12">
        <f ca="1">IFERROR(__xludf.DUMMYFUNCTION("""COMPUTED_VALUE"""),413955)</f>
        <v>413955</v>
      </c>
      <c r="E268" s="12">
        <f ca="1">IFERROR(__xludf.DUMMYFUNCTION("""COMPUTED_VALUE"""),15774)</f>
        <v>15774</v>
      </c>
      <c r="F268" s="12">
        <f ca="1">IFERROR(__xludf.DUMMYFUNCTION("""COMPUTED_VALUE"""),2515)</f>
        <v>2515</v>
      </c>
      <c r="G268" s="12">
        <f ca="1">IFERROR(__xludf.DUMMYFUNCTION("""COMPUTED_VALUE"""),114863)</f>
        <v>114863</v>
      </c>
      <c r="H268" s="12">
        <f ca="1">IFERROR(__xludf.DUMMYFUNCTION("""COMPUTED_VALUE"""),5323)</f>
        <v>5323</v>
      </c>
      <c r="I268" s="12">
        <f ca="1">IFERROR(__xludf.DUMMYFUNCTION("""COMPUTED_VALUE"""),3121)</f>
        <v>3121</v>
      </c>
      <c r="J268" s="12">
        <f ca="1">IFERROR(__xludf.DUMMYFUNCTION("""COMPUTED_VALUE"""),125822)</f>
        <v>125822</v>
      </c>
      <c r="K268" s="12">
        <f ca="1">IFERROR(__xludf.DUMMYFUNCTION("""COMPUTED_VALUE"""),8444)</f>
        <v>8444</v>
      </c>
      <c r="L268" s="12">
        <f ca="1">IFERROR(__xludf.DUMMYFUNCTION("""COMPUTED_VALUE"""),4998)</f>
        <v>4998</v>
      </c>
      <c r="M268" s="12">
        <f ca="1">IFERROR(__xludf.DUMMYFUNCTION("""COMPUTED_VALUE"""),1499)</f>
        <v>1499</v>
      </c>
      <c r="N268" s="12">
        <f ca="1">IFERROR(__xludf.DUMMYFUNCTION("""COMPUTED_VALUE"""),3403)</f>
        <v>3403</v>
      </c>
      <c r="O268" s="12">
        <f ca="1">IFERROR(__xludf.DUMMYFUNCTION("""COMPUTED_VALUE"""),96)</f>
        <v>96</v>
      </c>
      <c r="P268" s="12">
        <f ca="1">IFERROR(__xludf.DUMMYFUNCTION("""COMPUTED_VALUE"""),14)</f>
        <v>14</v>
      </c>
      <c r="Q268" s="12">
        <f ca="1">IFERROR(__xludf.DUMMYFUNCTION("""COMPUTED_VALUE"""),1124)</f>
        <v>1124</v>
      </c>
      <c r="R268" s="12">
        <f ca="1">IFERROR(__xludf.DUMMYFUNCTION("""COMPUTED_VALUE"""),707)</f>
        <v>707</v>
      </c>
      <c r="S268" s="12">
        <f ca="1">IFERROR(__xludf.DUMMYFUNCTION("""COMPUTED_VALUE"""),-266)</f>
        <v>-266</v>
      </c>
      <c r="T268" s="12">
        <f ca="1">IFERROR(__xludf.DUMMYFUNCTION("""COMPUTED_VALUE"""),1579)</f>
        <v>1579</v>
      </c>
      <c r="U268" s="12">
        <f ca="1">IFERROR(__xludf.DUMMYFUNCTION("""COMPUTED_VALUE"""),441)</f>
        <v>441</v>
      </c>
    </row>
    <row r="269" spans="1:21" x14ac:dyDescent="0.25">
      <c r="A269" s="11">
        <f ca="1">IFERROR(__xludf.DUMMYFUNCTION("""COMPUTED_VALUE"""),44157)</f>
        <v>44157</v>
      </c>
      <c r="B269" s="12">
        <f ca="1">IFERROR(__xludf.DUMMYFUNCTION("""COMPUTED_VALUE"""),497668)</f>
        <v>497668</v>
      </c>
      <c r="C269" s="12">
        <f ca="1">IFERROR(__xludf.DUMMYFUNCTION("""COMPUTED_VALUE"""),63596)</f>
        <v>63596</v>
      </c>
      <c r="D269" s="12">
        <f ca="1">IFERROR(__xludf.DUMMYFUNCTION("""COMPUTED_VALUE"""),418188)</f>
        <v>418188</v>
      </c>
      <c r="E269" s="12">
        <f ca="1">IFERROR(__xludf.DUMMYFUNCTION("""COMPUTED_VALUE"""),15884)</f>
        <v>15884</v>
      </c>
      <c r="F269" s="12">
        <f ca="1">IFERROR(__xludf.DUMMYFUNCTION("""COMPUTED_VALUE"""),2531)</f>
        <v>2531</v>
      </c>
      <c r="G269" s="12">
        <f ca="1">IFERROR(__xludf.DUMMYFUNCTION("""COMPUTED_VALUE"""),115939)</f>
        <v>115939</v>
      </c>
      <c r="H269" s="12">
        <f ca="1">IFERROR(__xludf.DUMMYFUNCTION("""COMPUTED_VALUE"""),5529)</f>
        <v>5529</v>
      </c>
      <c r="I269" s="12">
        <f ca="1">IFERROR(__xludf.DUMMYFUNCTION("""COMPUTED_VALUE"""),3165)</f>
        <v>3165</v>
      </c>
      <c r="J269" s="12">
        <f ca="1">IFERROR(__xludf.DUMMYFUNCTION("""COMPUTED_VALUE"""),127164)</f>
        <v>127164</v>
      </c>
      <c r="K269" s="12">
        <f ca="1">IFERROR(__xludf.DUMMYFUNCTION("""COMPUTED_VALUE"""),8694)</f>
        <v>8694</v>
      </c>
      <c r="L269" s="12">
        <f ca="1">IFERROR(__xludf.DUMMYFUNCTION("""COMPUTED_VALUE"""),4360)</f>
        <v>4360</v>
      </c>
      <c r="M269" s="12">
        <f ca="1">IFERROR(__xludf.DUMMYFUNCTION("""COMPUTED_VALUE"""),17)</f>
        <v>17</v>
      </c>
      <c r="N269" s="12">
        <f ca="1">IFERROR(__xludf.DUMMYFUNCTION("""COMPUTED_VALUE"""),4233)</f>
        <v>4233</v>
      </c>
      <c r="O269" s="12">
        <f ca="1">IFERROR(__xludf.DUMMYFUNCTION("""COMPUTED_VALUE"""),110)</f>
        <v>110</v>
      </c>
      <c r="P269" s="12">
        <f ca="1">IFERROR(__xludf.DUMMYFUNCTION("""COMPUTED_VALUE"""),16)</f>
        <v>16</v>
      </c>
      <c r="Q269" s="12">
        <f ca="1">IFERROR(__xludf.DUMMYFUNCTION("""COMPUTED_VALUE"""),1076)</f>
        <v>1076</v>
      </c>
      <c r="R269" s="12">
        <f ca="1">IFERROR(__xludf.DUMMYFUNCTION("""COMPUTED_VALUE"""),206)</f>
        <v>206</v>
      </c>
      <c r="S269" s="12">
        <f ca="1">IFERROR(__xludf.DUMMYFUNCTION("""COMPUTED_VALUE"""),44)</f>
        <v>44</v>
      </c>
      <c r="T269" s="12">
        <f ca="1">IFERROR(__xludf.DUMMYFUNCTION("""COMPUTED_VALUE"""),1342)</f>
        <v>1342</v>
      </c>
      <c r="U269" s="12">
        <f ca="1">IFERROR(__xludf.DUMMYFUNCTION("""COMPUTED_VALUE"""),250)</f>
        <v>250</v>
      </c>
    </row>
    <row r="270" spans="1:21" x14ac:dyDescent="0.25">
      <c r="A270" s="11">
        <f ca="1">IFERROR(__xludf.DUMMYFUNCTION("""COMPUTED_VALUE"""),44158)</f>
        <v>44158</v>
      </c>
      <c r="B270" s="12">
        <f ca="1">IFERROR(__xludf.DUMMYFUNCTION("""COMPUTED_VALUE"""),502110)</f>
        <v>502110</v>
      </c>
      <c r="C270" s="12">
        <f ca="1">IFERROR(__xludf.DUMMYFUNCTION("""COMPUTED_VALUE"""),63722)</f>
        <v>63722</v>
      </c>
      <c r="D270" s="12">
        <f ca="1">IFERROR(__xludf.DUMMYFUNCTION("""COMPUTED_VALUE"""),422386)</f>
        <v>422386</v>
      </c>
      <c r="E270" s="12">
        <f ca="1">IFERROR(__xludf.DUMMYFUNCTION("""COMPUTED_VALUE"""),16002)</f>
        <v>16002</v>
      </c>
      <c r="F270" s="12">
        <f ca="1">IFERROR(__xludf.DUMMYFUNCTION("""COMPUTED_VALUE"""),2548)</f>
        <v>2548</v>
      </c>
      <c r="G270" s="12">
        <f ca="1">IFERROR(__xludf.DUMMYFUNCTION("""COMPUTED_VALUE"""),117003)</f>
        <v>117003</v>
      </c>
      <c r="H270" s="12">
        <f ca="1">IFERROR(__xludf.DUMMYFUNCTION("""COMPUTED_VALUE"""),5592)</f>
        <v>5592</v>
      </c>
      <c r="I270" s="12">
        <f ca="1">IFERROR(__xludf.DUMMYFUNCTION("""COMPUTED_VALUE"""),3030)</f>
        <v>3030</v>
      </c>
      <c r="J270" s="12">
        <f ca="1">IFERROR(__xludf.DUMMYFUNCTION("""COMPUTED_VALUE"""),128173)</f>
        <v>128173</v>
      </c>
      <c r="K270" s="12">
        <f ca="1">IFERROR(__xludf.DUMMYFUNCTION("""COMPUTED_VALUE"""),8622)</f>
        <v>8622</v>
      </c>
      <c r="L270" s="12">
        <f ca="1">IFERROR(__xludf.DUMMYFUNCTION("""COMPUTED_VALUE"""),4442)</f>
        <v>4442</v>
      </c>
      <c r="M270" s="12">
        <f ca="1">IFERROR(__xludf.DUMMYFUNCTION("""COMPUTED_VALUE"""),126)</f>
        <v>126</v>
      </c>
      <c r="N270" s="12">
        <f ca="1">IFERROR(__xludf.DUMMYFUNCTION("""COMPUTED_VALUE"""),4198)</f>
        <v>4198</v>
      </c>
      <c r="O270" s="12">
        <f ca="1">IFERROR(__xludf.DUMMYFUNCTION("""COMPUTED_VALUE"""),118)</f>
        <v>118</v>
      </c>
      <c r="P270" s="12">
        <f ca="1">IFERROR(__xludf.DUMMYFUNCTION("""COMPUTED_VALUE"""),17)</f>
        <v>17</v>
      </c>
      <c r="Q270" s="12">
        <f ca="1">IFERROR(__xludf.DUMMYFUNCTION("""COMPUTED_VALUE"""),1064)</f>
        <v>1064</v>
      </c>
      <c r="R270" s="12">
        <f ca="1">IFERROR(__xludf.DUMMYFUNCTION("""COMPUTED_VALUE"""),63)</f>
        <v>63</v>
      </c>
      <c r="S270" s="12">
        <f ca="1">IFERROR(__xludf.DUMMYFUNCTION("""COMPUTED_VALUE"""),-135)</f>
        <v>-135</v>
      </c>
      <c r="T270" s="12">
        <f ca="1">IFERROR(__xludf.DUMMYFUNCTION("""COMPUTED_VALUE"""),1009)</f>
        <v>1009</v>
      </c>
      <c r="U270" s="12">
        <f ca="1">IFERROR(__xludf.DUMMYFUNCTION("""COMPUTED_VALUE"""),-72)</f>
        <v>-72</v>
      </c>
    </row>
    <row r="271" spans="1:21" x14ac:dyDescent="0.25">
      <c r="A271" s="11">
        <f ca="1">IFERROR(__xludf.DUMMYFUNCTION("""COMPUTED_VALUE"""),44159)</f>
        <v>44159</v>
      </c>
      <c r="B271" s="12">
        <f ca="1">IFERROR(__xludf.DUMMYFUNCTION("""COMPUTED_VALUE"""),506302)</f>
        <v>506302</v>
      </c>
      <c r="C271" s="12">
        <f ca="1">IFERROR(__xludf.DUMMYFUNCTION("""COMPUTED_VALUE"""),64878)</f>
        <v>64878</v>
      </c>
      <c r="D271" s="12">
        <f ca="1">IFERROR(__xludf.DUMMYFUNCTION("""COMPUTED_VALUE"""),425313)</f>
        <v>425313</v>
      </c>
      <c r="E271" s="12">
        <f ca="1">IFERROR(__xludf.DUMMYFUNCTION("""COMPUTED_VALUE"""),16111)</f>
        <v>16111</v>
      </c>
      <c r="F271" s="12">
        <f ca="1">IFERROR(__xludf.DUMMYFUNCTION("""COMPUTED_VALUE"""),2567)</f>
        <v>2567</v>
      </c>
      <c r="G271" s="12">
        <f ca="1">IFERROR(__xludf.DUMMYFUNCTION("""COMPUTED_VALUE"""),118062)</f>
        <v>118062</v>
      </c>
      <c r="H271" s="12">
        <f ca="1">IFERROR(__xludf.DUMMYFUNCTION("""COMPUTED_VALUE"""),5518)</f>
        <v>5518</v>
      </c>
      <c r="I271" s="12">
        <f ca="1">IFERROR(__xludf.DUMMYFUNCTION("""COMPUTED_VALUE"""),3041)</f>
        <v>3041</v>
      </c>
      <c r="J271" s="12">
        <f ca="1">IFERROR(__xludf.DUMMYFUNCTION("""COMPUTED_VALUE"""),129188)</f>
        <v>129188</v>
      </c>
      <c r="K271" s="12">
        <f ca="1">IFERROR(__xludf.DUMMYFUNCTION("""COMPUTED_VALUE"""),8559)</f>
        <v>8559</v>
      </c>
      <c r="L271" s="12">
        <f ca="1">IFERROR(__xludf.DUMMYFUNCTION("""COMPUTED_VALUE"""),4192)</f>
        <v>4192</v>
      </c>
      <c r="M271" s="12">
        <f ca="1">IFERROR(__xludf.DUMMYFUNCTION("""COMPUTED_VALUE"""),1156)</f>
        <v>1156</v>
      </c>
      <c r="N271" s="12">
        <f ca="1">IFERROR(__xludf.DUMMYFUNCTION("""COMPUTED_VALUE"""),2927)</f>
        <v>2927</v>
      </c>
      <c r="O271" s="12">
        <f ca="1">IFERROR(__xludf.DUMMYFUNCTION("""COMPUTED_VALUE"""),109)</f>
        <v>109</v>
      </c>
      <c r="P271" s="12">
        <f ca="1">IFERROR(__xludf.DUMMYFUNCTION("""COMPUTED_VALUE"""),19)</f>
        <v>19</v>
      </c>
      <c r="Q271" s="12">
        <f ca="1">IFERROR(__xludf.DUMMYFUNCTION("""COMPUTED_VALUE"""),1059)</f>
        <v>1059</v>
      </c>
      <c r="R271" s="12">
        <f ca="1">IFERROR(__xludf.DUMMYFUNCTION("""COMPUTED_VALUE"""),-74)</f>
        <v>-74</v>
      </c>
      <c r="S271" s="12">
        <f ca="1">IFERROR(__xludf.DUMMYFUNCTION("""COMPUTED_VALUE"""),11)</f>
        <v>11</v>
      </c>
      <c r="T271" s="12">
        <f ca="1">IFERROR(__xludf.DUMMYFUNCTION("""COMPUTED_VALUE"""),1015)</f>
        <v>1015</v>
      </c>
      <c r="U271" s="12">
        <f ca="1">IFERROR(__xludf.DUMMYFUNCTION("""COMPUTED_VALUE"""),-63)</f>
        <v>-63</v>
      </c>
    </row>
    <row r="272" spans="1:21" x14ac:dyDescent="0.25">
      <c r="A272" s="11">
        <f ca="1">IFERROR(__xludf.DUMMYFUNCTION("""COMPUTED_VALUE"""),44160)</f>
        <v>44160</v>
      </c>
      <c r="B272" s="12">
        <f ca="1">IFERROR(__xludf.DUMMYFUNCTION("""COMPUTED_VALUE"""),511836)</f>
        <v>511836</v>
      </c>
      <c r="C272" s="12">
        <f ca="1">IFERROR(__xludf.DUMMYFUNCTION("""COMPUTED_VALUE"""),65804)</f>
        <v>65804</v>
      </c>
      <c r="D272" s="12">
        <f ca="1">IFERROR(__xludf.DUMMYFUNCTION("""COMPUTED_VALUE"""),429807)</f>
        <v>429807</v>
      </c>
      <c r="E272" s="12">
        <f ca="1">IFERROR(__xludf.DUMMYFUNCTION("""COMPUTED_VALUE"""),16225)</f>
        <v>16225</v>
      </c>
      <c r="F272" s="12">
        <f ca="1">IFERROR(__xludf.DUMMYFUNCTION("""COMPUTED_VALUE"""),2584)</f>
        <v>2584</v>
      </c>
      <c r="G272" s="12">
        <f ca="1">IFERROR(__xludf.DUMMYFUNCTION("""COMPUTED_VALUE"""),119099)</f>
        <v>119099</v>
      </c>
      <c r="H272" s="12">
        <f ca="1">IFERROR(__xludf.DUMMYFUNCTION("""COMPUTED_VALUE"""),6000)</f>
        <v>6000</v>
      </c>
      <c r="I272" s="12">
        <f ca="1">IFERROR(__xludf.DUMMYFUNCTION("""COMPUTED_VALUE"""),2778)</f>
        <v>2778</v>
      </c>
      <c r="J272" s="12">
        <f ca="1">IFERROR(__xludf.DUMMYFUNCTION("""COMPUTED_VALUE"""),130461)</f>
        <v>130461</v>
      </c>
      <c r="K272" s="12">
        <f ca="1">IFERROR(__xludf.DUMMYFUNCTION("""COMPUTED_VALUE"""),8778)</f>
        <v>8778</v>
      </c>
      <c r="L272" s="12">
        <f ca="1">IFERROR(__xludf.DUMMYFUNCTION("""COMPUTED_VALUE"""),5534)</f>
        <v>5534</v>
      </c>
      <c r="M272" s="12">
        <f ca="1">IFERROR(__xludf.DUMMYFUNCTION("""COMPUTED_VALUE"""),926)</f>
        <v>926</v>
      </c>
      <c r="N272" s="12">
        <f ca="1">IFERROR(__xludf.DUMMYFUNCTION("""COMPUTED_VALUE"""),4494)</f>
        <v>4494</v>
      </c>
      <c r="O272" s="12">
        <f ca="1">IFERROR(__xludf.DUMMYFUNCTION("""COMPUTED_VALUE"""),114)</f>
        <v>114</v>
      </c>
      <c r="P272" s="12">
        <f ca="1">IFERROR(__xludf.DUMMYFUNCTION("""COMPUTED_VALUE"""),17)</f>
        <v>17</v>
      </c>
      <c r="Q272" s="12">
        <f ca="1">IFERROR(__xludf.DUMMYFUNCTION("""COMPUTED_VALUE"""),1037)</f>
        <v>1037</v>
      </c>
      <c r="R272" s="12">
        <f ca="1">IFERROR(__xludf.DUMMYFUNCTION("""COMPUTED_VALUE"""),482)</f>
        <v>482</v>
      </c>
      <c r="S272" s="12">
        <f ca="1">IFERROR(__xludf.DUMMYFUNCTION("""COMPUTED_VALUE"""),-263)</f>
        <v>-263</v>
      </c>
      <c r="T272" s="12">
        <f ca="1">IFERROR(__xludf.DUMMYFUNCTION("""COMPUTED_VALUE"""),1273)</f>
        <v>1273</v>
      </c>
      <c r="U272" s="12">
        <f ca="1">IFERROR(__xludf.DUMMYFUNCTION("""COMPUTED_VALUE"""),219)</f>
        <v>219</v>
      </c>
    </row>
    <row r="273" spans="1:21" x14ac:dyDescent="0.25">
      <c r="A273" s="11">
        <f ca="1">IFERROR(__xludf.DUMMYFUNCTION("""COMPUTED_VALUE"""),44161)</f>
        <v>44161</v>
      </c>
      <c r="B273" s="12">
        <f ca="1">IFERROR(__xludf.DUMMYFUNCTION("""COMPUTED_VALUE"""),516753)</f>
        <v>516753</v>
      </c>
      <c r="C273" s="12">
        <f ca="1">IFERROR(__xludf.DUMMYFUNCTION("""COMPUTED_VALUE"""),66752)</f>
        <v>66752</v>
      </c>
      <c r="D273" s="12">
        <f ca="1">IFERROR(__xludf.DUMMYFUNCTION("""COMPUTED_VALUE"""),433649)</f>
        <v>433649</v>
      </c>
      <c r="E273" s="12">
        <f ca="1">IFERROR(__xludf.DUMMYFUNCTION("""COMPUTED_VALUE"""),16352)</f>
        <v>16352</v>
      </c>
      <c r="F273" s="12">
        <f ca="1">IFERROR(__xludf.DUMMYFUNCTION("""COMPUTED_VALUE"""),2597)</f>
        <v>2597</v>
      </c>
      <c r="G273" s="12">
        <f ca="1">IFERROR(__xludf.DUMMYFUNCTION("""COMPUTED_VALUE"""),120287)</f>
        <v>120287</v>
      </c>
      <c r="H273" s="12">
        <f ca="1">IFERROR(__xludf.DUMMYFUNCTION("""COMPUTED_VALUE"""),5876)</f>
        <v>5876</v>
      </c>
      <c r="I273" s="12">
        <f ca="1">IFERROR(__xludf.DUMMYFUNCTION("""COMPUTED_VALUE"""),2765)</f>
        <v>2765</v>
      </c>
      <c r="J273" s="12">
        <f ca="1">IFERROR(__xludf.DUMMYFUNCTION("""COMPUTED_VALUE"""),131525)</f>
        <v>131525</v>
      </c>
      <c r="K273" s="12">
        <f ca="1">IFERROR(__xludf.DUMMYFUNCTION("""COMPUTED_VALUE"""),8641)</f>
        <v>8641</v>
      </c>
      <c r="L273" s="12">
        <f ca="1">IFERROR(__xludf.DUMMYFUNCTION("""COMPUTED_VALUE"""),4917)</f>
        <v>4917</v>
      </c>
      <c r="M273" s="12">
        <f ca="1">IFERROR(__xludf.DUMMYFUNCTION("""COMPUTED_VALUE"""),948)</f>
        <v>948</v>
      </c>
      <c r="N273" s="12">
        <f ca="1">IFERROR(__xludf.DUMMYFUNCTION("""COMPUTED_VALUE"""),3842)</f>
        <v>3842</v>
      </c>
      <c r="O273" s="12">
        <f ca="1">IFERROR(__xludf.DUMMYFUNCTION("""COMPUTED_VALUE"""),127)</f>
        <v>127</v>
      </c>
      <c r="P273" s="12">
        <f ca="1">IFERROR(__xludf.DUMMYFUNCTION("""COMPUTED_VALUE"""),13)</f>
        <v>13</v>
      </c>
      <c r="Q273" s="12">
        <f ca="1">IFERROR(__xludf.DUMMYFUNCTION("""COMPUTED_VALUE"""),1188)</f>
        <v>1188</v>
      </c>
      <c r="R273" s="12">
        <f ca="1">IFERROR(__xludf.DUMMYFUNCTION("""COMPUTED_VALUE"""),-124)</f>
        <v>-124</v>
      </c>
      <c r="S273" s="12">
        <f ca="1">IFERROR(__xludf.DUMMYFUNCTION("""COMPUTED_VALUE"""),-13)</f>
        <v>-13</v>
      </c>
      <c r="T273" s="12">
        <f ca="1">IFERROR(__xludf.DUMMYFUNCTION("""COMPUTED_VALUE"""),1064)</f>
        <v>1064</v>
      </c>
      <c r="U273" s="12">
        <f ca="1">IFERROR(__xludf.DUMMYFUNCTION("""COMPUTED_VALUE"""),-137)</f>
        <v>-137</v>
      </c>
    </row>
    <row r="274" spans="1:21" x14ac:dyDescent="0.25">
      <c r="A274" s="11">
        <f ca="1">IFERROR(__xludf.DUMMYFUNCTION("""COMPUTED_VALUE"""),44162)</f>
        <v>44162</v>
      </c>
      <c r="B274" s="12">
        <f ca="1">IFERROR(__xludf.DUMMYFUNCTION("""COMPUTED_VALUE"""),522581)</f>
        <v>522581</v>
      </c>
      <c r="C274" s="12">
        <f ca="1">IFERROR(__xludf.DUMMYFUNCTION("""COMPUTED_VALUE"""),68604)</f>
        <v>68604</v>
      </c>
      <c r="D274" s="12">
        <f ca="1">IFERROR(__xludf.DUMMYFUNCTION("""COMPUTED_VALUE"""),437456)</f>
        <v>437456</v>
      </c>
      <c r="E274" s="12">
        <f ca="1">IFERROR(__xludf.DUMMYFUNCTION("""COMPUTED_VALUE"""),16521)</f>
        <v>16521</v>
      </c>
      <c r="F274" s="12">
        <f ca="1">IFERROR(__xludf.DUMMYFUNCTION("""COMPUTED_VALUE"""),2614)</f>
        <v>2614</v>
      </c>
      <c r="G274" s="12">
        <f ca="1">IFERROR(__xludf.DUMMYFUNCTION("""COMPUTED_VALUE"""),121082)</f>
        <v>121082</v>
      </c>
      <c r="H274" s="12">
        <f ca="1">IFERROR(__xludf.DUMMYFUNCTION("""COMPUTED_VALUE"""),6653)</f>
        <v>6653</v>
      </c>
      <c r="I274" s="12">
        <f ca="1">IFERROR(__xludf.DUMMYFUNCTION("""COMPUTED_VALUE"""),2612)</f>
        <v>2612</v>
      </c>
      <c r="J274" s="12">
        <f ca="1">IFERROR(__xludf.DUMMYFUNCTION("""COMPUTED_VALUE"""),132961)</f>
        <v>132961</v>
      </c>
      <c r="K274" s="12">
        <f ca="1">IFERROR(__xludf.DUMMYFUNCTION("""COMPUTED_VALUE"""),9265)</f>
        <v>9265</v>
      </c>
      <c r="L274" s="12">
        <f ca="1">IFERROR(__xludf.DUMMYFUNCTION("""COMPUTED_VALUE"""),5828)</f>
        <v>5828</v>
      </c>
      <c r="M274" s="12">
        <f ca="1">IFERROR(__xludf.DUMMYFUNCTION("""COMPUTED_VALUE"""),1852)</f>
        <v>1852</v>
      </c>
      <c r="N274" s="12">
        <f ca="1">IFERROR(__xludf.DUMMYFUNCTION("""COMPUTED_VALUE"""),3807)</f>
        <v>3807</v>
      </c>
      <c r="O274" s="12">
        <f ca="1">IFERROR(__xludf.DUMMYFUNCTION("""COMPUTED_VALUE"""),169)</f>
        <v>169</v>
      </c>
      <c r="P274" s="12">
        <f ca="1">IFERROR(__xludf.DUMMYFUNCTION("""COMPUTED_VALUE"""),17)</f>
        <v>17</v>
      </c>
      <c r="Q274" s="12">
        <f ca="1">IFERROR(__xludf.DUMMYFUNCTION("""COMPUTED_VALUE"""),795)</f>
        <v>795</v>
      </c>
      <c r="R274" s="12">
        <f ca="1">IFERROR(__xludf.DUMMYFUNCTION("""COMPUTED_VALUE"""),777)</f>
        <v>777</v>
      </c>
      <c r="S274" s="12">
        <f ca="1">IFERROR(__xludf.DUMMYFUNCTION("""COMPUTED_VALUE"""),-153)</f>
        <v>-153</v>
      </c>
      <c r="T274" s="12">
        <f ca="1">IFERROR(__xludf.DUMMYFUNCTION("""COMPUTED_VALUE"""),1436)</f>
        <v>1436</v>
      </c>
      <c r="U274" s="12">
        <f ca="1">IFERROR(__xludf.DUMMYFUNCTION("""COMPUTED_VALUE"""),624)</f>
        <v>624</v>
      </c>
    </row>
    <row r="275" spans="1:21" x14ac:dyDescent="0.25">
      <c r="A275" s="11">
        <f ca="1">IFERROR(__xludf.DUMMYFUNCTION("""COMPUTED_VALUE"""),44163)</f>
        <v>44163</v>
      </c>
      <c r="B275" s="12">
        <f ca="1">IFERROR(__xludf.DUMMYFUNCTION("""COMPUTED_VALUE"""),527999)</f>
        <v>527999</v>
      </c>
      <c r="C275" s="12">
        <f ca="1">IFERROR(__xludf.DUMMYFUNCTION("""COMPUTED_VALUE"""),69370)</f>
        <v>69370</v>
      </c>
      <c r="D275" s="12">
        <f ca="1">IFERROR(__xludf.DUMMYFUNCTION("""COMPUTED_VALUE"""),441983)</f>
        <v>441983</v>
      </c>
      <c r="E275" s="12">
        <f ca="1">IFERROR(__xludf.DUMMYFUNCTION("""COMPUTED_VALUE"""),16646)</f>
        <v>16646</v>
      </c>
      <c r="F275" s="12">
        <f ca="1">IFERROR(__xludf.DUMMYFUNCTION("""COMPUTED_VALUE"""),2632)</f>
        <v>2632</v>
      </c>
      <c r="G275" s="12">
        <f ca="1">IFERROR(__xludf.DUMMYFUNCTION("""COMPUTED_VALUE"""),122328)</f>
        <v>122328</v>
      </c>
      <c r="H275" s="12">
        <f ca="1">IFERROR(__xludf.DUMMYFUNCTION("""COMPUTED_VALUE"""),6921)</f>
        <v>6921</v>
      </c>
      <c r="I275" s="12">
        <f ca="1">IFERROR(__xludf.DUMMYFUNCTION("""COMPUTED_VALUE"""),2450)</f>
        <v>2450</v>
      </c>
      <c r="J275" s="12">
        <f ca="1">IFERROR(__xludf.DUMMYFUNCTION("""COMPUTED_VALUE"""),134331)</f>
        <v>134331</v>
      </c>
      <c r="K275" s="12">
        <f ca="1">IFERROR(__xludf.DUMMYFUNCTION("""COMPUTED_VALUE"""),9371)</f>
        <v>9371</v>
      </c>
      <c r="L275" s="12">
        <f ca="1">IFERROR(__xludf.DUMMYFUNCTION("""COMPUTED_VALUE"""),5418)</f>
        <v>5418</v>
      </c>
      <c r="M275" s="12">
        <f ca="1">IFERROR(__xludf.DUMMYFUNCTION("""COMPUTED_VALUE"""),766)</f>
        <v>766</v>
      </c>
      <c r="N275" s="12">
        <f ca="1">IFERROR(__xludf.DUMMYFUNCTION("""COMPUTED_VALUE"""),4527)</f>
        <v>4527</v>
      </c>
      <c r="O275" s="12">
        <f ca="1">IFERROR(__xludf.DUMMYFUNCTION("""COMPUTED_VALUE"""),125)</f>
        <v>125</v>
      </c>
      <c r="P275" s="12">
        <f ca="1">IFERROR(__xludf.DUMMYFUNCTION("""COMPUTED_VALUE"""),18)</f>
        <v>18</v>
      </c>
      <c r="Q275" s="12">
        <f ca="1">IFERROR(__xludf.DUMMYFUNCTION("""COMPUTED_VALUE"""),1246)</f>
        <v>1246</v>
      </c>
      <c r="R275" s="12">
        <f ca="1">IFERROR(__xludf.DUMMYFUNCTION("""COMPUTED_VALUE"""),268)</f>
        <v>268</v>
      </c>
      <c r="S275" s="12">
        <f ca="1">IFERROR(__xludf.DUMMYFUNCTION("""COMPUTED_VALUE"""),-162)</f>
        <v>-162</v>
      </c>
      <c r="T275" s="12">
        <f ca="1">IFERROR(__xludf.DUMMYFUNCTION("""COMPUTED_VALUE"""),1370)</f>
        <v>1370</v>
      </c>
      <c r="U275" s="12">
        <f ca="1">IFERROR(__xludf.DUMMYFUNCTION("""COMPUTED_VALUE"""),106)</f>
        <v>106</v>
      </c>
    </row>
    <row r="276" spans="1:21" x14ac:dyDescent="0.25">
      <c r="A276" s="11">
        <f ca="1">IFERROR(__xludf.DUMMYFUNCTION("""COMPUTED_VALUE"""),44164)</f>
        <v>44164</v>
      </c>
      <c r="B276" s="12">
        <f ca="1">IFERROR(__xludf.DUMMYFUNCTION("""COMPUTED_VALUE"""),534266)</f>
        <v>534266</v>
      </c>
      <c r="C276" s="12">
        <f ca="1">IFERROR(__xludf.DUMMYFUNCTION("""COMPUTED_VALUE"""),71658)</f>
        <v>71658</v>
      </c>
      <c r="D276" s="12">
        <f ca="1">IFERROR(__xludf.DUMMYFUNCTION("""COMPUTED_VALUE"""),445793)</f>
        <v>445793</v>
      </c>
      <c r="E276" s="12">
        <f ca="1">IFERROR(__xludf.DUMMYFUNCTION("""COMPUTED_VALUE"""),16815)</f>
        <v>16815</v>
      </c>
      <c r="F276" s="12">
        <f ca="1">IFERROR(__xludf.DUMMYFUNCTION("""COMPUTED_VALUE"""),2652)</f>
        <v>2652</v>
      </c>
      <c r="G276" s="12">
        <f ca="1">IFERROR(__xludf.DUMMYFUNCTION("""COMPUTED_VALUE"""),123163)</f>
        <v>123163</v>
      </c>
      <c r="H276" s="12">
        <f ca="1">IFERROR(__xludf.DUMMYFUNCTION("""COMPUTED_VALUE"""),7608)</f>
        <v>7608</v>
      </c>
      <c r="I276" s="12">
        <f ca="1">IFERROR(__xludf.DUMMYFUNCTION("""COMPUTED_VALUE"""),2339)</f>
        <v>2339</v>
      </c>
      <c r="J276" s="12">
        <f ca="1">IFERROR(__xludf.DUMMYFUNCTION("""COMPUTED_VALUE"""),135762)</f>
        <v>135762</v>
      </c>
      <c r="K276" s="12">
        <f ca="1">IFERROR(__xludf.DUMMYFUNCTION("""COMPUTED_VALUE"""),9947)</f>
        <v>9947</v>
      </c>
      <c r="L276" s="12">
        <f ca="1">IFERROR(__xludf.DUMMYFUNCTION("""COMPUTED_VALUE"""),6267)</f>
        <v>6267</v>
      </c>
      <c r="M276" s="12">
        <f ca="1">IFERROR(__xludf.DUMMYFUNCTION("""COMPUTED_VALUE"""),2288)</f>
        <v>2288</v>
      </c>
      <c r="N276" s="12">
        <f ca="1">IFERROR(__xludf.DUMMYFUNCTION("""COMPUTED_VALUE"""),3810)</f>
        <v>3810</v>
      </c>
      <c r="O276" s="12">
        <f ca="1">IFERROR(__xludf.DUMMYFUNCTION("""COMPUTED_VALUE"""),169)</f>
        <v>169</v>
      </c>
      <c r="P276" s="12">
        <f ca="1">IFERROR(__xludf.DUMMYFUNCTION("""COMPUTED_VALUE"""),20)</f>
        <v>20</v>
      </c>
      <c r="Q276" s="12">
        <f ca="1">IFERROR(__xludf.DUMMYFUNCTION("""COMPUTED_VALUE"""),835)</f>
        <v>835</v>
      </c>
      <c r="R276" s="12">
        <f ca="1">IFERROR(__xludf.DUMMYFUNCTION("""COMPUTED_VALUE"""),687)</f>
        <v>687</v>
      </c>
      <c r="S276" s="12">
        <f ca="1">IFERROR(__xludf.DUMMYFUNCTION("""COMPUTED_VALUE"""),-111)</f>
        <v>-111</v>
      </c>
      <c r="T276" s="12">
        <f ca="1">IFERROR(__xludf.DUMMYFUNCTION("""COMPUTED_VALUE"""),1431)</f>
        <v>1431</v>
      </c>
      <c r="U276" s="12">
        <f ca="1">IFERROR(__xludf.DUMMYFUNCTION("""COMPUTED_VALUE"""),576)</f>
        <v>576</v>
      </c>
    </row>
    <row r="277" spans="1:21" x14ac:dyDescent="0.25">
      <c r="A277" s="11">
        <f ca="1">IFERROR(__xludf.DUMMYFUNCTION("""COMPUTED_VALUE"""),44165)</f>
        <v>44165</v>
      </c>
      <c r="B277" s="12">
        <f ca="1">IFERROR(__xludf.DUMMYFUNCTION("""COMPUTED_VALUE"""),538883)</f>
        <v>538883</v>
      </c>
      <c r="C277" s="12">
        <f ca="1">IFERROR(__xludf.DUMMYFUNCTION("""COMPUTED_VALUE"""),71420)</f>
        <v>71420</v>
      </c>
      <c r="D277" s="12">
        <f ca="1">IFERROR(__xludf.DUMMYFUNCTION("""COMPUTED_VALUE"""),450518)</f>
        <v>450518</v>
      </c>
      <c r="E277" s="12">
        <f ca="1">IFERROR(__xludf.DUMMYFUNCTION("""COMPUTED_VALUE"""),16945)</f>
        <v>16945</v>
      </c>
      <c r="F277" s="12">
        <f ca="1">IFERROR(__xludf.DUMMYFUNCTION("""COMPUTED_VALUE"""),2671)</f>
        <v>2671</v>
      </c>
      <c r="G277" s="12">
        <f ca="1">IFERROR(__xludf.DUMMYFUNCTION("""COMPUTED_VALUE"""),124078)</f>
        <v>124078</v>
      </c>
      <c r="H277" s="12">
        <f ca="1">IFERROR(__xludf.DUMMYFUNCTION("""COMPUTED_VALUE"""),7823)</f>
        <v>7823</v>
      </c>
      <c r="I277" s="12">
        <f ca="1">IFERROR(__xludf.DUMMYFUNCTION("""COMPUTED_VALUE"""),2289)</f>
        <v>2289</v>
      </c>
      <c r="J277" s="12">
        <f ca="1">IFERROR(__xludf.DUMMYFUNCTION("""COMPUTED_VALUE"""),136861)</f>
        <v>136861</v>
      </c>
      <c r="K277" s="12">
        <f ca="1">IFERROR(__xludf.DUMMYFUNCTION("""COMPUTED_VALUE"""),10112)</f>
        <v>10112</v>
      </c>
      <c r="L277" s="12">
        <f ca="1">IFERROR(__xludf.DUMMYFUNCTION("""COMPUTED_VALUE"""),4617)</f>
        <v>4617</v>
      </c>
      <c r="M277" s="12">
        <f ca="1">IFERROR(__xludf.DUMMYFUNCTION("""COMPUTED_VALUE"""),-238)</f>
        <v>-238</v>
      </c>
      <c r="N277" s="12">
        <f ca="1">IFERROR(__xludf.DUMMYFUNCTION("""COMPUTED_VALUE"""),4725)</f>
        <v>4725</v>
      </c>
      <c r="O277" s="12">
        <f ca="1">IFERROR(__xludf.DUMMYFUNCTION("""COMPUTED_VALUE"""),130)</f>
        <v>130</v>
      </c>
      <c r="P277" s="12">
        <f ca="1">IFERROR(__xludf.DUMMYFUNCTION("""COMPUTED_VALUE"""),19)</f>
        <v>19</v>
      </c>
      <c r="Q277" s="12">
        <f ca="1">IFERROR(__xludf.DUMMYFUNCTION("""COMPUTED_VALUE"""),915)</f>
        <v>915</v>
      </c>
      <c r="R277" s="12">
        <f ca="1">IFERROR(__xludf.DUMMYFUNCTION("""COMPUTED_VALUE"""),215)</f>
        <v>215</v>
      </c>
      <c r="S277" s="12">
        <f ca="1">IFERROR(__xludf.DUMMYFUNCTION("""COMPUTED_VALUE"""),-50)</f>
        <v>-50</v>
      </c>
      <c r="T277" s="12">
        <f ca="1">IFERROR(__xludf.DUMMYFUNCTION("""COMPUTED_VALUE"""),1099)</f>
        <v>1099</v>
      </c>
      <c r="U277" s="12">
        <f ca="1">IFERROR(__xludf.DUMMYFUNCTION("""COMPUTED_VALUE"""),165)</f>
        <v>165</v>
      </c>
    </row>
    <row r="278" spans="1:21" x14ac:dyDescent="0.25">
      <c r="A278" s="11">
        <f ca="1">IFERROR(__xludf.DUMMYFUNCTION("""COMPUTED_VALUE"""),44166)</f>
        <v>44166</v>
      </c>
      <c r="B278" s="12">
        <f ca="1">IFERROR(__xludf.DUMMYFUNCTION("""COMPUTED_VALUE"""),543975)</f>
        <v>543975</v>
      </c>
      <c r="C278" s="12">
        <f ca="1">IFERROR(__xludf.DUMMYFUNCTION("""COMPUTED_VALUE"""),72015)</f>
        <v>72015</v>
      </c>
      <c r="D278" s="12">
        <f ca="1">IFERROR(__xludf.DUMMYFUNCTION("""COMPUTED_VALUE"""),454879)</f>
        <v>454879</v>
      </c>
      <c r="E278" s="12">
        <f ca="1">IFERROR(__xludf.DUMMYFUNCTION("""COMPUTED_VALUE"""),17081)</f>
        <v>17081</v>
      </c>
      <c r="F278" s="12">
        <f ca="1">IFERROR(__xludf.DUMMYFUNCTION("""COMPUTED_VALUE"""),2689)</f>
        <v>2689</v>
      </c>
      <c r="G278" s="12">
        <f ca="1">IFERROR(__xludf.DUMMYFUNCTION("""COMPUTED_VALUE"""),125102)</f>
        <v>125102</v>
      </c>
      <c r="H278" s="12">
        <f ca="1">IFERROR(__xludf.DUMMYFUNCTION("""COMPUTED_VALUE"""),7937)</f>
        <v>7937</v>
      </c>
      <c r="I278" s="12">
        <f ca="1">IFERROR(__xludf.DUMMYFUNCTION("""COMPUTED_VALUE"""),2191)</f>
        <v>2191</v>
      </c>
      <c r="J278" s="12">
        <f ca="1">IFERROR(__xludf.DUMMYFUNCTION("""COMPUTED_VALUE"""),137919)</f>
        <v>137919</v>
      </c>
      <c r="K278" s="12">
        <f ca="1">IFERROR(__xludf.DUMMYFUNCTION("""COMPUTED_VALUE"""),10128)</f>
        <v>10128</v>
      </c>
      <c r="L278" s="12">
        <f ca="1">IFERROR(__xludf.DUMMYFUNCTION("""COMPUTED_VALUE"""),5092)</f>
        <v>5092</v>
      </c>
      <c r="M278" s="12">
        <f ca="1">IFERROR(__xludf.DUMMYFUNCTION("""COMPUTED_VALUE"""),595)</f>
        <v>595</v>
      </c>
      <c r="N278" s="12">
        <f ca="1">IFERROR(__xludf.DUMMYFUNCTION("""COMPUTED_VALUE"""),4361)</f>
        <v>4361</v>
      </c>
      <c r="O278" s="12">
        <f ca="1">IFERROR(__xludf.DUMMYFUNCTION("""COMPUTED_VALUE"""),136)</f>
        <v>136</v>
      </c>
      <c r="P278" s="12">
        <f ca="1">IFERROR(__xludf.DUMMYFUNCTION("""COMPUTED_VALUE"""),18)</f>
        <v>18</v>
      </c>
      <c r="Q278" s="12">
        <f ca="1">IFERROR(__xludf.DUMMYFUNCTION("""COMPUTED_VALUE"""),1024)</f>
        <v>1024</v>
      </c>
      <c r="R278" s="12">
        <f ca="1">IFERROR(__xludf.DUMMYFUNCTION("""COMPUTED_VALUE"""),114)</f>
        <v>114</v>
      </c>
      <c r="S278" s="12">
        <f ca="1">IFERROR(__xludf.DUMMYFUNCTION("""COMPUTED_VALUE"""),-98)</f>
        <v>-98</v>
      </c>
      <c r="T278" s="12">
        <f ca="1">IFERROR(__xludf.DUMMYFUNCTION("""COMPUTED_VALUE"""),1058)</f>
        <v>1058</v>
      </c>
      <c r="U278" s="12">
        <f ca="1">IFERROR(__xludf.DUMMYFUNCTION("""COMPUTED_VALUE"""),16)</f>
        <v>16</v>
      </c>
    </row>
    <row r="279" spans="1:21" x14ac:dyDescent="0.25">
      <c r="A279" s="11">
        <f ca="1">IFERROR(__xludf.DUMMYFUNCTION("""COMPUTED_VALUE"""),44167)</f>
        <v>44167</v>
      </c>
      <c r="B279" s="12">
        <f ca="1">IFERROR(__xludf.DUMMYFUNCTION("""COMPUTED_VALUE"""),549508)</f>
        <v>549508</v>
      </c>
      <c r="C279" s="12">
        <f ca="1">IFERROR(__xludf.DUMMYFUNCTION("""COMPUTED_VALUE"""),73429)</f>
        <v>73429</v>
      </c>
      <c r="D279" s="12">
        <f ca="1">IFERROR(__xludf.DUMMYFUNCTION("""COMPUTED_VALUE"""),458880)</f>
        <v>458880</v>
      </c>
      <c r="E279" s="12">
        <f ca="1">IFERROR(__xludf.DUMMYFUNCTION("""COMPUTED_VALUE"""),17199)</f>
        <v>17199</v>
      </c>
      <c r="F279" s="12">
        <f ca="1">IFERROR(__xludf.DUMMYFUNCTION("""COMPUTED_VALUE"""),2710)</f>
        <v>2710</v>
      </c>
      <c r="G279" s="12">
        <f ca="1">IFERROR(__xludf.DUMMYFUNCTION("""COMPUTED_VALUE"""),126163)</f>
        <v>126163</v>
      </c>
      <c r="H279" s="12">
        <f ca="1">IFERROR(__xludf.DUMMYFUNCTION("""COMPUTED_VALUE"""),8202)</f>
        <v>8202</v>
      </c>
      <c r="I279" s="12">
        <f ca="1">IFERROR(__xludf.DUMMYFUNCTION("""COMPUTED_VALUE"""),2010)</f>
        <v>2010</v>
      </c>
      <c r="J279" s="12">
        <f ca="1">IFERROR(__xludf.DUMMYFUNCTION("""COMPUTED_VALUE"""),139085)</f>
        <v>139085</v>
      </c>
      <c r="K279" s="12">
        <f ca="1">IFERROR(__xludf.DUMMYFUNCTION("""COMPUTED_VALUE"""),10212)</f>
        <v>10212</v>
      </c>
      <c r="L279" s="12">
        <f ca="1">IFERROR(__xludf.DUMMYFUNCTION("""COMPUTED_VALUE"""),5533)</f>
        <v>5533</v>
      </c>
      <c r="M279" s="12">
        <f ca="1">IFERROR(__xludf.DUMMYFUNCTION("""COMPUTED_VALUE"""),1414)</f>
        <v>1414</v>
      </c>
      <c r="N279" s="12">
        <f ca="1">IFERROR(__xludf.DUMMYFUNCTION("""COMPUTED_VALUE"""),4001)</f>
        <v>4001</v>
      </c>
      <c r="O279" s="12">
        <f ca="1">IFERROR(__xludf.DUMMYFUNCTION("""COMPUTED_VALUE"""),118)</f>
        <v>118</v>
      </c>
      <c r="P279" s="12">
        <f ca="1">IFERROR(__xludf.DUMMYFUNCTION("""COMPUTED_VALUE"""),21)</f>
        <v>21</v>
      </c>
      <c r="Q279" s="12">
        <f ca="1">IFERROR(__xludf.DUMMYFUNCTION("""COMPUTED_VALUE"""),1061)</f>
        <v>1061</v>
      </c>
      <c r="R279" s="12">
        <f ca="1">IFERROR(__xludf.DUMMYFUNCTION("""COMPUTED_VALUE"""),265)</f>
        <v>265</v>
      </c>
      <c r="S279" s="12">
        <f ca="1">IFERROR(__xludf.DUMMYFUNCTION("""COMPUTED_VALUE"""),-181)</f>
        <v>-181</v>
      </c>
      <c r="T279" s="12">
        <f ca="1">IFERROR(__xludf.DUMMYFUNCTION("""COMPUTED_VALUE"""),1166)</f>
        <v>1166</v>
      </c>
      <c r="U279" s="12">
        <f ca="1">IFERROR(__xludf.DUMMYFUNCTION("""COMPUTED_VALUE"""),84)</f>
        <v>84</v>
      </c>
    </row>
    <row r="280" spans="1:21" x14ac:dyDescent="0.25">
      <c r="A280" s="11">
        <f ca="1">IFERROR(__xludf.DUMMYFUNCTION("""COMPUTED_VALUE"""),44168)</f>
        <v>44168</v>
      </c>
      <c r="B280" s="12">
        <f ca="1">IFERROR(__xludf.DUMMYFUNCTION("""COMPUTED_VALUE"""),557877)</f>
        <v>557877</v>
      </c>
      <c r="C280" s="12">
        <f ca="1">IFERROR(__xludf.DUMMYFUNCTION("""COMPUTED_VALUE"""),77969)</f>
        <v>77969</v>
      </c>
      <c r="D280" s="12">
        <f ca="1">IFERROR(__xludf.DUMMYFUNCTION("""COMPUTED_VALUE"""),462553)</f>
        <v>462553</v>
      </c>
      <c r="E280" s="12">
        <f ca="1">IFERROR(__xludf.DUMMYFUNCTION("""COMPUTED_VALUE"""),17355)</f>
        <v>17355</v>
      </c>
      <c r="F280" s="12">
        <f ca="1">IFERROR(__xludf.DUMMYFUNCTION("""COMPUTED_VALUE"""),2734)</f>
        <v>2734</v>
      </c>
      <c r="G280" s="12">
        <f ca="1">IFERROR(__xludf.DUMMYFUNCTION("""COMPUTED_VALUE"""),127136)</f>
        <v>127136</v>
      </c>
      <c r="H280" s="12">
        <f ca="1">IFERROR(__xludf.DUMMYFUNCTION("""COMPUTED_VALUE"""),8155)</f>
        <v>8155</v>
      </c>
      <c r="I280" s="12">
        <f ca="1">IFERROR(__xludf.DUMMYFUNCTION("""COMPUTED_VALUE"""),2213)</f>
        <v>2213</v>
      </c>
      <c r="J280" s="12">
        <f ca="1">IFERROR(__xludf.DUMMYFUNCTION("""COMPUTED_VALUE"""),140238)</f>
        <v>140238</v>
      </c>
      <c r="K280" s="12">
        <f ca="1">IFERROR(__xludf.DUMMYFUNCTION("""COMPUTED_VALUE"""),10368)</f>
        <v>10368</v>
      </c>
      <c r="L280" s="12">
        <f ca="1">IFERROR(__xludf.DUMMYFUNCTION("""COMPUTED_VALUE"""),8369)</f>
        <v>8369</v>
      </c>
      <c r="M280" s="12">
        <f ca="1">IFERROR(__xludf.DUMMYFUNCTION("""COMPUTED_VALUE"""),4540)</f>
        <v>4540</v>
      </c>
      <c r="N280" s="12">
        <f ca="1">IFERROR(__xludf.DUMMYFUNCTION("""COMPUTED_VALUE"""),3673)</f>
        <v>3673</v>
      </c>
      <c r="O280" s="12">
        <f ca="1">IFERROR(__xludf.DUMMYFUNCTION("""COMPUTED_VALUE"""),156)</f>
        <v>156</v>
      </c>
      <c r="P280" s="12">
        <f ca="1">IFERROR(__xludf.DUMMYFUNCTION("""COMPUTED_VALUE"""),24)</f>
        <v>24</v>
      </c>
      <c r="Q280" s="12">
        <f ca="1">IFERROR(__xludf.DUMMYFUNCTION("""COMPUTED_VALUE"""),973)</f>
        <v>973</v>
      </c>
      <c r="R280" s="12">
        <f ca="1">IFERROR(__xludf.DUMMYFUNCTION("""COMPUTED_VALUE"""),-47)</f>
        <v>-47</v>
      </c>
      <c r="S280" s="12">
        <f ca="1">IFERROR(__xludf.DUMMYFUNCTION("""COMPUTED_VALUE"""),203)</f>
        <v>203</v>
      </c>
      <c r="T280" s="12">
        <f ca="1">IFERROR(__xludf.DUMMYFUNCTION("""COMPUTED_VALUE"""),1153)</f>
        <v>1153</v>
      </c>
      <c r="U280" s="12">
        <f ca="1">IFERROR(__xludf.DUMMYFUNCTION("""COMPUTED_VALUE"""),156)</f>
        <v>156</v>
      </c>
    </row>
    <row r="281" spans="1:21" x14ac:dyDescent="0.25">
      <c r="A281" s="11">
        <f ca="1">IFERROR(__xludf.DUMMYFUNCTION("""COMPUTED_VALUE"""),44169)</f>
        <v>44169</v>
      </c>
      <c r="B281" s="12">
        <f ca="1">IFERROR(__xludf.DUMMYFUNCTION("""COMPUTED_VALUE"""),563680)</f>
        <v>563680</v>
      </c>
      <c r="C281" s="12">
        <f ca="1">IFERROR(__xludf.DUMMYFUNCTION("""COMPUTED_VALUE"""),80023)</f>
        <v>80023</v>
      </c>
      <c r="D281" s="12">
        <f ca="1">IFERROR(__xludf.DUMMYFUNCTION("""COMPUTED_VALUE"""),466178)</f>
        <v>466178</v>
      </c>
      <c r="E281" s="12">
        <f ca="1">IFERROR(__xludf.DUMMYFUNCTION("""COMPUTED_VALUE"""),17479)</f>
        <v>17479</v>
      </c>
      <c r="F281" s="12">
        <f ca="1">IFERROR(__xludf.DUMMYFUNCTION("""COMPUTED_VALUE"""),2757)</f>
        <v>2757</v>
      </c>
      <c r="G281" s="12">
        <f ca="1">IFERROR(__xludf.DUMMYFUNCTION("""COMPUTED_VALUE"""),128051)</f>
        <v>128051</v>
      </c>
      <c r="H281" s="12">
        <f ca="1">IFERROR(__xludf.DUMMYFUNCTION("""COMPUTED_VALUE"""),8073)</f>
        <v>8073</v>
      </c>
      <c r="I281" s="12">
        <f ca="1">IFERROR(__xludf.DUMMYFUNCTION("""COMPUTED_VALUE"""),2389)</f>
        <v>2389</v>
      </c>
      <c r="J281" s="12">
        <f ca="1">IFERROR(__xludf.DUMMYFUNCTION("""COMPUTED_VALUE"""),141270)</f>
        <v>141270</v>
      </c>
      <c r="K281" s="12">
        <f ca="1">IFERROR(__xludf.DUMMYFUNCTION("""COMPUTED_VALUE"""),10462)</f>
        <v>10462</v>
      </c>
      <c r="L281" s="12">
        <f ca="1">IFERROR(__xludf.DUMMYFUNCTION("""COMPUTED_VALUE"""),5803)</f>
        <v>5803</v>
      </c>
      <c r="M281" s="12">
        <f ca="1">IFERROR(__xludf.DUMMYFUNCTION("""COMPUTED_VALUE"""),2054)</f>
        <v>2054</v>
      </c>
      <c r="N281" s="12">
        <f ca="1">IFERROR(__xludf.DUMMYFUNCTION("""COMPUTED_VALUE"""),3625)</f>
        <v>3625</v>
      </c>
      <c r="O281" s="12">
        <f ca="1">IFERROR(__xludf.DUMMYFUNCTION("""COMPUTED_VALUE"""),124)</f>
        <v>124</v>
      </c>
      <c r="P281" s="12">
        <f ca="1">IFERROR(__xludf.DUMMYFUNCTION("""COMPUTED_VALUE"""),23)</f>
        <v>23</v>
      </c>
      <c r="Q281" s="12">
        <f ca="1">IFERROR(__xludf.DUMMYFUNCTION("""COMPUTED_VALUE"""),915)</f>
        <v>915</v>
      </c>
      <c r="R281" s="12">
        <f ca="1">IFERROR(__xludf.DUMMYFUNCTION("""COMPUTED_VALUE"""),-82)</f>
        <v>-82</v>
      </c>
      <c r="S281" s="12">
        <f ca="1">IFERROR(__xludf.DUMMYFUNCTION("""COMPUTED_VALUE"""),176)</f>
        <v>176</v>
      </c>
      <c r="T281" s="12">
        <f ca="1">IFERROR(__xludf.DUMMYFUNCTION("""COMPUTED_VALUE"""),1032)</f>
        <v>1032</v>
      </c>
      <c r="U281" s="12">
        <f ca="1">IFERROR(__xludf.DUMMYFUNCTION("""COMPUTED_VALUE"""),94)</f>
        <v>94</v>
      </c>
    </row>
    <row r="282" spans="1:21" x14ac:dyDescent="0.25">
      <c r="A282" s="11">
        <f ca="1">IFERROR(__xludf.DUMMYFUNCTION("""COMPUTED_VALUE"""),44170)</f>
        <v>44170</v>
      </c>
      <c r="B282" s="12">
        <f ca="1">IFERROR(__xludf.DUMMYFUNCTION("""COMPUTED_VALUE"""),569707)</f>
        <v>569707</v>
      </c>
      <c r="C282" s="12">
        <f ca="1">IFERROR(__xludf.DUMMYFUNCTION("""COMPUTED_VALUE"""),81669)</f>
        <v>81669</v>
      </c>
      <c r="D282" s="12">
        <f ca="1">IFERROR(__xludf.DUMMYFUNCTION("""COMPUTED_VALUE"""),470449)</f>
        <v>470449</v>
      </c>
      <c r="E282" s="12">
        <f ca="1">IFERROR(__xludf.DUMMYFUNCTION("""COMPUTED_VALUE"""),17589)</f>
        <v>17589</v>
      </c>
      <c r="F282" s="12">
        <f ca="1">IFERROR(__xludf.DUMMYFUNCTION("""COMPUTED_VALUE"""),2779)</f>
        <v>2779</v>
      </c>
      <c r="G282" s="12">
        <f ca="1">IFERROR(__xludf.DUMMYFUNCTION("""COMPUTED_VALUE"""),129067)</f>
        <v>129067</v>
      </c>
      <c r="H282" s="12">
        <f ca="1">IFERROR(__xludf.DUMMYFUNCTION("""COMPUTED_VALUE"""),8623)</f>
        <v>8623</v>
      </c>
      <c r="I282" s="12">
        <f ca="1">IFERROR(__xludf.DUMMYFUNCTION("""COMPUTED_VALUE"""),2161)</f>
        <v>2161</v>
      </c>
      <c r="J282" s="12">
        <f ca="1">IFERROR(__xludf.DUMMYFUNCTION("""COMPUTED_VALUE"""),142630)</f>
        <v>142630</v>
      </c>
      <c r="K282" s="12">
        <f ca="1">IFERROR(__xludf.DUMMYFUNCTION("""COMPUTED_VALUE"""),10784)</f>
        <v>10784</v>
      </c>
      <c r="L282" s="12">
        <f ca="1">IFERROR(__xludf.DUMMYFUNCTION("""COMPUTED_VALUE"""),6027)</f>
        <v>6027</v>
      </c>
      <c r="M282" s="12">
        <f ca="1">IFERROR(__xludf.DUMMYFUNCTION("""COMPUTED_VALUE"""),1646)</f>
        <v>1646</v>
      </c>
      <c r="N282" s="12">
        <f ca="1">IFERROR(__xludf.DUMMYFUNCTION("""COMPUTED_VALUE"""),4271)</f>
        <v>4271</v>
      </c>
      <c r="O282" s="12">
        <f ca="1">IFERROR(__xludf.DUMMYFUNCTION("""COMPUTED_VALUE"""),110)</f>
        <v>110</v>
      </c>
      <c r="P282" s="12">
        <f ca="1">IFERROR(__xludf.DUMMYFUNCTION("""COMPUTED_VALUE"""),22)</f>
        <v>22</v>
      </c>
      <c r="Q282" s="12">
        <f ca="1">IFERROR(__xludf.DUMMYFUNCTION("""COMPUTED_VALUE"""),1016)</f>
        <v>1016</v>
      </c>
      <c r="R282" s="12">
        <f ca="1">IFERROR(__xludf.DUMMYFUNCTION("""COMPUTED_VALUE"""),550)</f>
        <v>550</v>
      </c>
      <c r="S282" s="12">
        <f ca="1">IFERROR(__xludf.DUMMYFUNCTION("""COMPUTED_VALUE"""),-228)</f>
        <v>-228</v>
      </c>
      <c r="T282" s="12">
        <f ca="1">IFERROR(__xludf.DUMMYFUNCTION("""COMPUTED_VALUE"""),1360)</f>
        <v>1360</v>
      </c>
      <c r="U282" s="12">
        <f ca="1">IFERROR(__xludf.DUMMYFUNCTION("""COMPUTED_VALUE"""),322)</f>
        <v>322</v>
      </c>
    </row>
    <row r="283" spans="1:21" x14ac:dyDescent="0.25">
      <c r="A283" s="11">
        <f ca="1">IFERROR(__xludf.DUMMYFUNCTION("""COMPUTED_VALUE"""),44171)</f>
        <v>44171</v>
      </c>
      <c r="B283" s="12">
        <f ca="1">IFERROR(__xludf.DUMMYFUNCTION("""COMPUTED_VALUE"""),575796)</f>
        <v>575796</v>
      </c>
      <c r="C283" s="12">
        <f ca="1">IFERROR(__xludf.DUMMYFUNCTION("""COMPUTED_VALUE"""),83285)</f>
        <v>83285</v>
      </c>
      <c r="D283" s="12">
        <f ca="1">IFERROR(__xludf.DUMMYFUNCTION("""COMPUTED_VALUE"""),474771)</f>
        <v>474771</v>
      </c>
      <c r="E283" s="12">
        <f ca="1">IFERROR(__xludf.DUMMYFUNCTION("""COMPUTED_VALUE"""),17740)</f>
        <v>17740</v>
      </c>
      <c r="F283" s="12">
        <f ca="1">IFERROR(__xludf.DUMMYFUNCTION("""COMPUTED_VALUE"""),2799)</f>
        <v>2799</v>
      </c>
      <c r="G283" s="12">
        <f ca="1">IFERROR(__xludf.DUMMYFUNCTION("""COMPUTED_VALUE"""),130136)</f>
        <v>130136</v>
      </c>
      <c r="H283" s="12">
        <f ca="1">IFERROR(__xludf.DUMMYFUNCTION("""COMPUTED_VALUE"""),8819)</f>
        <v>8819</v>
      </c>
      <c r="I283" s="12">
        <f ca="1">IFERROR(__xludf.DUMMYFUNCTION("""COMPUTED_VALUE"""),2207)</f>
        <v>2207</v>
      </c>
      <c r="J283" s="12">
        <f ca="1">IFERROR(__xludf.DUMMYFUNCTION("""COMPUTED_VALUE"""),143961)</f>
        <v>143961</v>
      </c>
      <c r="K283" s="12">
        <f ca="1">IFERROR(__xludf.DUMMYFUNCTION("""COMPUTED_VALUE"""),11026)</f>
        <v>11026</v>
      </c>
      <c r="L283" s="12">
        <f ca="1">IFERROR(__xludf.DUMMYFUNCTION("""COMPUTED_VALUE"""),6089)</f>
        <v>6089</v>
      </c>
      <c r="M283" s="12">
        <f ca="1">IFERROR(__xludf.DUMMYFUNCTION("""COMPUTED_VALUE"""),1616)</f>
        <v>1616</v>
      </c>
      <c r="N283" s="12">
        <f ca="1">IFERROR(__xludf.DUMMYFUNCTION("""COMPUTED_VALUE"""),4322)</f>
        <v>4322</v>
      </c>
      <c r="O283" s="12">
        <f ca="1">IFERROR(__xludf.DUMMYFUNCTION("""COMPUTED_VALUE"""),151)</f>
        <v>151</v>
      </c>
      <c r="P283" s="12">
        <f ca="1">IFERROR(__xludf.DUMMYFUNCTION("""COMPUTED_VALUE"""),20)</f>
        <v>20</v>
      </c>
      <c r="Q283" s="12">
        <f ca="1">IFERROR(__xludf.DUMMYFUNCTION("""COMPUTED_VALUE"""),1069)</f>
        <v>1069</v>
      </c>
      <c r="R283" s="12">
        <f ca="1">IFERROR(__xludf.DUMMYFUNCTION("""COMPUTED_VALUE"""),196)</f>
        <v>196</v>
      </c>
      <c r="S283" s="12">
        <f ca="1">IFERROR(__xludf.DUMMYFUNCTION("""COMPUTED_VALUE"""),46)</f>
        <v>46</v>
      </c>
      <c r="T283" s="12">
        <f ca="1">IFERROR(__xludf.DUMMYFUNCTION("""COMPUTED_VALUE"""),1331)</f>
        <v>1331</v>
      </c>
      <c r="U283" s="12">
        <f ca="1">IFERROR(__xludf.DUMMYFUNCTION("""COMPUTED_VALUE"""),242)</f>
        <v>242</v>
      </c>
    </row>
    <row r="284" spans="1:21" x14ac:dyDescent="0.25">
      <c r="A284" s="11">
        <f ca="1">IFERROR(__xludf.DUMMYFUNCTION("""COMPUTED_VALUE"""),44172)</f>
        <v>44172</v>
      </c>
      <c r="B284" s="12">
        <f ca="1">IFERROR(__xludf.DUMMYFUNCTION("""COMPUTED_VALUE"""),581550)</f>
        <v>581550</v>
      </c>
      <c r="C284" s="12">
        <f ca="1">IFERROR(__xludf.DUMMYFUNCTION("""COMPUTED_VALUE"""),84481)</f>
        <v>84481</v>
      </c>
      <c r="D284" s="12">
        <f ca="1">IFERROR(__xludf.DUMMYFUNCTION("""COMPUTED_VALUE"""),479202)</f>
        <v>479202</v>
      </c>
      <c r="E284" s="12">
        <f ca="1">IFERROR(__xludf.DUMMYFUNCTION("""COMPUTED_VALUE"""),17867)</f>
        <v>17867</v>
      </c>
      <c r="F284" s="12">
        <f ca="1">IFERROR(__xludf.DUMMYFUNCTION("""COMPUTED_VALUE"""),2823)</f>
        <v>2823</v>
      </c>
      <c r="G284" s="12">
        <f ca="1">IFERROR(__xludf.DUMMYFUNCTION("""COMPUTED_VALUE"""),131071)</f>
        <v>131071</v>
      </c>
      <c r="H284" s="12">
        <f ca="1">IFERROR(__xludf.DUMMYFUNCTION("""COMPUTED_VALUE"""),9473)</f>
        <v>9473</v>
      </c>
      <c r="I284" s="12">
        <f ca="1">IFERROR(__xludf.DUMMYFUNCTION("""COMPUTED_VALUE"""),2060)</f>
        <v>2060</v>
      </c>
      <c r="J284" s="12">
        <f ca="1">IFERROR(__xludf.DUMMYFUNCTION("""COMPUTED_VALUE"""),145427)</f>
        <v>145427</v>
      </c>
      <c r="K284" s="12">
        <f ca="1">IFERROR(__xludf.DUMMYFUNCTION("""COMPUTED_VALUE"""),11533)</f>
        <v>11533</v>
      </c>
      <c r="L284" s="12">
        <f ca="1">IFERROR(__xludf.DUMMYFUNCTION("""COMPUTED_VALUE"""),5754)</f>
        <v>5754</v>
      </c>
      <c r="M284" s="12">
        <f ca="1">IFERROR(__xludf.DUMMYFUNCTION("""COMPUTED_VALUE"""),1196)</f>
        <v>1196</v>
      </c>
      <c r="N284" s="12">
        <f ca="1">IFERROR(__xludf.DUMMYFUNCTION("""COMPUTED_VALUE"""),4431)</f>
        <v>4431</v>
      </c>
      <c r="O284" s="12">
        <f ca="1">IFERROR(__xludf.DUMMYFUNCTION("""COMPUTED_VALUE"""),127)</f>
        <v>127</v>
      </c>
      <c r="P284" s="12">
        <f ca="1">IFERROR(__xludf.DUMMYFUNCTION("""COMPUTED_VALUE"""),24)</f>
        <v>24</v>
      </c>
      <c r="Q284" s="12">
        <f ca="1">IFERROR(__xludf.DUMMYFUNCTION("""COMPUTED_VALUE"""),935)</f>
        <v>935</v>
      </c>
      <c r="R284" s="12">
        <f ca="1">IFERROR(__xludf.DUMMYFUNCTION("""COMPUTED_VALUE"""),654)</f>
        <v>654</v>
      </c>
      <c r="S284" s="12">
        <f ca="1">IFERROR(__xludf.DUMMYFUNCTION("""COMPUTED_VALUE"""),-147)</f>
        <v>-147</v>
      </c>
      <c r="T284" s="12">
        <f ca="1">IFERROR(__xludf.DUMMYFUNCTION("""COMPUTED_VALUE"""),1466)</f>
        <v>1466</v>
      </c>
      <c r="U284" s="12">
        <f ca="1">IFERROR(__xludf.DUMMYFUNCTION("""COMPUTED_VALUE"""),507)</f>
        <v>507</v>
      </c>
    </row>
    <row r="285" spans="1:21" x14ac:dyDescent="0.25">
      <c r="A285" s="11">
        <f ca="1">IFERROR(__xludf.DUMMYFUNCTION("""COMPUTED_VALUE"""),44173)</f>
        <v>44173</v>
      </c>
      <c r="B285" s="12">
        <f ca="1">IFERROR(__xludf.DUMMYFUNCTION("""COMPUTED_VALUE"""),586842)</f>
        <v>586842</v>
      </c>
      <c r="C285" s="12">
        <f ca="1">IFERROR(__xludf.DUMMYFUNCTION("""COMPUTED_VALUE"""),85345)</f>
        <v>85345</v>
      </c>
      <c r="D285" s="12">
        <f ca="1">IFERROR(__xludf.DUMMYFUNCTION("""COMPUTED_VALUE"""),483497)</f>
        <v>483497</v>
      </c>
      <c r="E285" s="12">
        <f ca="1">IFERROR(__xludf.DUMMYFUNCTION("""COMPUTED_VALUE"""),18000)</f>
        <v>18000</v>
      </c>
      <c r="F285" s="12">
        <f ca="1">IFERROR(__xludf.DUMMYFUNCTION("""COMPUTED_VALUE"""),2842)</f>
        <v>2842</v>
      </c>
      <c r="G285" s="12">
        <f ca="1">IFERROR(__xludf.DUMMYFUNCTION("""COMPUTED_VALUE"""),132248)</f>
        <v>132248</v>
      </c>
      <c r="H285" s="12">
        <f ca="1">IFERROR(__xludf.DUMMYFUNCTION("""COMPUTED_VALUE"""),9650)</f>
        <v>9650</v>
      </c>
      <c r="I285" s="12">
        <f ca="1">IFERROR(__xludf.DUMMYFUNCTION("""COMPUTED_VALUE"""),1861)</f>
        <v>1861</v>
      </c>
      <c r="J285" s="12">
        <f ca="1">IFERROR(__xludf.DUMMYFUNCTION("""COMPUTED_VALUE"""),146601)</f>
        <v>146601</v>
      </c>
      <c r="K285" s="12">
        <f ca="1">IFERROR(__xludf.DUMMYFUNCTION("""COMPUTED_VALUE"""),11511)</f>
        <v>11511</v>
      </c>
      <c r="L285" s="12">
        <f ca="1">IFERROR(__xludf.DUMMYFUNCTION("""COMPUTED_VALUE"""),5292)</f>
        <v>5292</v>
      </c>
      <c r="M285" s="12">
        <f ca="1">IFERROR(__xludf.DUMMYFUNCTION("""COMPUTED_VALUE"""),864)</f>
        <v>864</v>
      </c>
      <c r="N285" s="12">
        <f ca="1">IFERROR(__xludf.DUMMYFUNCTION("""COMPUTED_VALUE"""),4295)</f>
        <v>4295</v>
      </c>
      <c r="O285" s="12">
        <f ca="1">IFERROR(__xludf.DUMMYFUNCTION("""COMPUTED_VALUE"""),133)</f>
        <v>133</v>
      </c>
      <c r="P285" s="12">
        <f ca="1">IFERROR(__xludf.DUMMYFUNCTION("""COMPUTED_VALUE"""),19)</f>
        <v>19</v>
      </c>
      <c r="Q285" s="12">
        <f ca="1">IFERROR(__xludf.DUMMYFUNCTION("""COMPUTED_VALUE"""),1177)</f>
        <v>1177</v>
      </c>
      <c r="R285" s="12">
        <f ca="1">IFERROR(__xludf.DUMMYFUNCTION("""COMPUTED_VALUE"""),177)</f>
        <v>177</v>
      </c>
      <c r="S285" s="12">
        <f ca="1">IFERROR(__xludf.DUMMYFUNCTION("""COMPUTED_VALUE"""),-199)</f>
        <v>-199</v>
      </c>
      <c r="T285" s="12">
        <f ca="1">IFERROR(__xludf.DUMMYFUNCTION("""COMPUTED_VALUE"""),1174)</f>
        <v>1174</v>
      </c>
      <c r="U285" s="12">
        <f ca="1">IFERROR(__xludf.DUMMYFUNCTION("""COMPUTED_VALUE"""),-22)</f>
        <v>-22</v>
      </c>
    </row>
    <row r="286" spans="1:21" x14ac:dyDescent="0.25">
      <c r="A286" s="11">
        <f ca="1">IFERROR(__xludf.DUMMYFUNCTION("""COMPUTED_VALUE"""),44174)</f>
        <v>44174</v>
      </c>
      <c r="B286" s="12">
        <f ca="1">IFERROR(__xludf.DUMMYFUNCTION("""COMPUTED_VALUE"""),592900)</f>
        <v>592900</v>
      </c>
      <c r="C286" s="12">
        <f ca="1">IFERROR(__xludf.DUMMYFUNCTION("""COMPUTED_VALUE"""),87284)</f>
        <v>87284</v>
      </c>
      <c r="D286" s="12">
        <f ca="1">IFERROR(__xludf.DUMMYFUNCTION("""COMPUTED_VALUE"""),487445)</f>
        <v>487445</v>
      </c>
      <c r="E286" s="12">
        <f ca="1">IFERROR(__xludf.DUMMYFUNCTION("""COMPUTED_VALUE"""),18171)</f>
        <v>18171</v>
      </c>
      <c r="F286" s="12">
        <f ca="1">IFERROR(__xludf.DUMMYFUNCTION("""COMPUTED_VALUE"""),2860)</f>
        <v>2860</v>
      </c>
      <c r="G286" s="12">
        <f ca="1">IFERROR(__xludf.DUMMYFUNCTION("""COMPUTED_VALUE"""),133318)</f>
        <v>133318</v>
      </c>
      <c r="H286" s="12">
        <f ca="1">IFERROR(__xludf.DUMMYFUNCTION("""COMPUTED_VALUE"""),9703)</f>
        <v>9703</v>
      </c>
      <c r="I286" s="12">
        <f ca="1">IFERROR(__xludf.DUMMYFUNCTION("""COMPUTED_VALUE"""),1957)</f>
        <v>1957</v>
      </c>
      <c r="J286" s="12">
        <f ca="1">IFERROR(__xludf.DUMMYFUNCTION("""COMPUTED_VALUE"""),147838)</f>
        <v>147838</v>
      </c>
      <c r="K286" s="12">
        <f ca="1">IFERROR(__xludf.DUMMYFUNCTION("""COMPUTED_VALUE"""),11660)</f>
        <v>11660</v>
      </c>
      <c r="L286" s="12">
        <f ca="1">IFERROR(__xludf.DUMMYFUNCTION("""COMPUTED_VALUE"""),6058)</f>
        <v>6058</v>
      </c>
      <c r="M286" s="12">
        <f ca="1">IFERROR(__xludf.DUMMYFUNCTION("""COMPUTED_VALUE"""),1939)</f>
        <v>1939</v>
      </c>
      <c r="N286" s="12">
        <f ca="1">IFERROR(__xludf.DUMMYFUNCTION("""COMPUTED_VALUE"""),3948)</f>
        <v>3948</v>
      </c>
      <c r="O286" s="12">
        <f ca="1">IFERROR(__xludf.DUMMYFUNCTION("""COMPUTED_VALUE"""),171)</f>
        <v>171</v>
      </c>
      <c r="P286" s="12">
        <f ca="1">IFERROR(__xludf.DUMMYFUNCTION("""COMPUTED_VALUE"""),18)</f>
        <v>18</v>
      </c>
      <c r="Q286" s="12">
        <f ca="1">IFERROR(__xludf.DUMMYFUNCTION("""COMPUTED_VALUE"""),1070)</f>
        <v>1070</v>
      </c>
      <c r="R286" s="12">
        <f ca="1">IFERROR(__xludf.DUMMYFUNCTION("""COMPUTED_VALUE"""),53)</f>
        <v>53</v>
      </c>
      <c r="S286" s="12">
        <f ca="1">IFERROR(__xludf.DUMMYFUNCTION("""COMPUTED_VALUE"""),96)</f>
        <v>96</v>
      </c>
      <c r="T286" s="12">
        <f ca="1">IFERROR(__xludf.DUMMYFUNCTION("""COMPUTED_VALUE"""),1237)</f>
        <v>1237</v>
      </c>
      <c r="U286" s="12">
        <f ca="1">IFERROR(__xludf.DUMMYFUNCTION("""COMPUTED_VALUE"""),149)</f>
        <v>149</v>
      </c>
    </row>
    <row r="287" spans="1:21" x14ac:dyDescent="0.25">
      <c r="A287" s="11">
        <f ca="1">IFERROR(__xludf.DUMMYFUNCTION("""COMPUTED_VALUE"""),44175)</f>
        <v>44175</v>
      </c>
      <c r="B287" s="12">
        <f ca="1">IFERROR(__xludf.DUMMYFUNCTION("""COMPUTED_VALUE"""),598933)</f>
        <v>598933</v>
      </c>
      <c r="C287" s="12">
        <f ca="1">IFERROR(__xludf.DUMMYFUNCTION("""COMPUTED_VALUE"""),88622)</f>
        <v>88622</v>
      </c>
      <c r="D287" s="12">
        <f ca="1">IFERROR(__xludf.DUMMYFUNCTION("""COMPUTED_VALUE"""),491975)</f>
        <v>491975</v>
      </c>
      <c r="E287" s="12">
        <f ca="1">IFERROR(__xludf.DUMMYFUNCTION("""COMPUTED_VALUE"""),18336)</f>
        <v>18336</v>
      </c>
      <c r="F287" s="12">
        <f ca="1">IFERROR(__xludf.DUMMYFUNCTION("""COMPUTED_VALUE"""),2880)</f>
        <v>2880</v>
      </c>
      <c r="G287" s="12">
        <f ca="1">IFERROR(__xludf.DUMMYFUNCTION("""COMPUTED_VALUE"""),134366)</f>
        <v>134366</v>
      </c>
      <c r="H287" s="12">
        <f ca="1">IFERROR(__xludf.DUMMYFUNCTION("""COMPUTED_VALUE"""),9391)</f>
        <v>9391</v>
      </c>
      <c r="I287" s="12">
        <f ca="1">IFERROR(__xludf.DUMMYFUNCTION("""COMPUTED_VALUE"""),2381)</f>
        <v>2381</v>
      </c>
      <c r="J287" s="12">
        <f ca="1">IFERROR(__xludf.DUMMYFUNCTION("""COMPUTED_VALUE"""),149018)</f>
        <v>149018</v>
      </c>
      <c r="K287" s="12">
        <f ca="1">IFERROR(__xludf.DUMMYFUNCTION("""COMPUTED_VALUE"""),11772)</f>
        <v>11772</v>
      </c>
      <c r="L287" s="12">
        <f ca="1">IFERROR(__xludf.DUMMYFUNCTION("""COMPUTED_VALUE"""),6033)</f>
        <v>6033</v>
      </c>
      <c r="M287" s="12">
        <f ca="1">IFERROR(__xludf.DUMMYFUNCTION("""COMPUTED_VALUE"""),1338)</f>
        <v>1338</v>
      </c>
      <c r="N287" s="12">
        <f ca="1">IFERROR(__xludf.DUMMYFUNCTION("""COMPUTED_VALUE"""),4530)</f>
        <v>4530</v>
      </c>
      <c r="O287" s="12">
        <f ca="1">IFERROR(__xludf.DUMMYFUNCTION("""COMPUTED_VALUE"""),165)</f>
        <v>165</v>
      </c>
      <c r="P287" s="12">
        <f ca="1">IFERROR(__xludf.DUMMYFUNCTION("""COMPUTED_VALUE"""),20)</f>
        <v>20</v>
      </c>
      <c r="Q287" s="12">
        <f ca="1">IFERROR(__xludf.DUMMYFUNCTION("""COMPUTED_VALUE"""),1048)</f>
        <v>1048</v>
      </c>
      <c r="R287" s="12">
        <f ca="1">IFERROR(__xludf.DUMMYFUNCTION("""COMPUTED_VALUE"""),-312)</f>
        <v>-312</v>
      </c>
      <c r="S287" s="12">
        <f ca="1">IFERROR(__xludf.DUMMYFUNCTION("""COMPUTED_VALUE"""),424)</f>
        <v>424</v>
      </c>
      <c r="T287" s="12">
        <f ca="1">IFERROR(__xludf.DUMMYFUNCTION("""COMPUTED_VALUE"""),1180)</f>
        <v>1180</v>
      </c>
      <c r="U287" s="12">
        <f ca="1">IFERROR(__xludf.DUMMYFUNCTION("""COMPUTED_VALUE"""),112)</f>
        <v>112</v>
      </c>
    </row>
    <row r="288" spans="1:21" x14ac:dyDescent="0.25">
      <c r="A288" s="11">
        <f ca="1">IFERROR(__xludf.DUMMYFUNCTION("""COMPUTED_VALUE"""),44176)</f>
        <v>44176</v>
      </c>
      <c r="B288" s="12">
        <f ca="1">IFERROR(__xludf.DUMMYFUNCTION("""COMPUTED_VALUE"""),605243)</f>
        <v>605243</v>
      </c>
      <c r="C288" s="12">
        <f ca="1">IFERROR(__xludf.DUMMYFUNCTION("""COMPUTED_VALUE"""),89846)</f>
        <v>89846</v>
      </c>
      <c r="D288" s="12">
        <f ca="1">IFERROR(__xludf.DUMMYFUNCTION("""COMPUTED_VALUE"""),496886)</f>
        <v>496886</v>
      </c>
      <c r="E288" s="12">
        <f ca="1">IFERROR(__xludf.DUMMYFUNCTION("""COMPUTED_VALUE"""),18511)</f>
        <v>18511</v>
      </c>
      <c r="F288" s="12">
        <f ca="1">IFERROR(__xludf.DUMMYFUNCTION("""COMPUTED_VALUE"""),2902)</f>
        <v>2902</v>
      </c>
      <c r="G288" s="12">
        <f ca="1">IFERROR(__xludf.DUMMYFUNCTION("""COMPUTED_VALUE"""),135545)</f>
        <v>135545</v>
      </c>
      <c r="H288" s="12">
        <f ca="1">IFERROR(__xludf.DUMMYFUNCTION("""COMPUTED_VALUE"""),9078)</f>
        <v>9078</v>
      </c>
      <c r="I288" s="12">
        <f ca="1">IFERROR(__xludf.DUMMYFUNCTION("""COMPUTED_VALUE"""),2725)</f>
        <v>2725</v>
      </c>
      <c r="J288" s="12">
        <f ca="1">IFERROR(__xludf.DUMMYFUNCTION("""COMPUTED_VALUE"""),150250)</f>
        <v>150250</v>
      </c>
      <c r="K288" s="12">
        <f ca="1">IFERROR(__xludf.DUMMYFUNCTION("""COMPUTED_VALUE"""),11803)</f>
        <v>11803</v>
      </c>
      <c r="L288" s="12">
        <f ca="1">IFERROR(__xludf.DUMMYFUNCTION("""COMPUTED_VALUE"""),6310)</f>
        <v>6310</v>
      </c>
      <c r="M288" s="12">
        <f ca="1">IFERROR(__xludf.DUMMYFUNCTION("""COMPUTED_VALUE"""),1224)</f>
        <v>1224</v>
      </c>
      <c r="N288" s="12">
        <f ca="1">IFERROR(__xludf.DUMMYFUNCTION("""COMPUTED_VALUE"""),4911)</f>
        <v>4911</v>
      </c>
      <c r="O288" s="12">
        <f ca="1">IFERROR(__xludf.DUMMYFUNCTION("""COMPUTED_VALUE"""),175)</f>
        <v>175</v>
      </c>
      <c r="P288" s="12">
        <f ca="1">IFERROR(__xludf.DUMMYFUNCTION("""COMPUTED_VALUE"""),22)</f>
        <v>22</v>
      </c>
      <c r="Q288" s="12">
        <f ca="1">IFERROR(__xludf.DUMMYFUNCTION("""COMPUTED_VALUE"""),1179)</f>
        <v>1179</v>
      </c>
      <c r="R288" s="12">
        <f ca="1">IFERROR(__xludf.DUMMYFUNCTION("""COMPUTED_VALUE"""),-313)</f>
        <v>-313</v>
      </c>
      <c r="S288" s="12">
        <f ca="1">IFERROR(__xludf.DUMMYFUNCTION("""COMPUTED_VALUE"""),344)</f>
        <v>344</v>
      </c>
      <c r="T288" s="12">
        <f ca="1">IFERROR(__xludf.DUMMYFUNCTION("""COMPUTED_VALUE"""),1232)</f>
        <v>1232</v>
      </c>
      <c r="U288" s="12">
        <f ca="1">IFERROR(__xludf.DUMMYFUNCTION("""COMPUTED_VALUE"""),31)</f>
        <v>31</v>
      </c>
    </row>
    <row r="289" spans="1:21" x14ac:dyDescent="0.25">
      <c r="A289" s="11">
        <f ca="1">IFERROR(__xludf.DUMMYFUNCTION("""COMPUTED_VALUE"""),44177)</f>
        <v>44177</v>
      </c>
      <c r="B289" s="12">
        <f ca="1">IFERROR(__xludf.DUMMYFUNCTION("""COMPUTED_VALUE"""),611631)</f>
        <v>611631</v>
      </c>
      <c r="C289" s="12">
        <f ca="1">IFERROR(__xludf.DUMMYFUNCTION("""COMPUTED_VALUE"""),91602)</f>
        <v>91602</v>
      </c>
      <c r="D289" s="12">
        <f ca="1">IFERROR(__xludf.DUMMYFUNCTION("""COMPUTED_VALUE"""),501376)</f>
        <v>501376</v>
      </c>
      <c r="E289" s="12">
        <f ca="1">IFERROR(__xludf.DUMMYFUNCTION("""COMPUTED_VALUE"""),18653)</f>
        <v>18653</v>
      </c>
      <c r="F289" s="12">
        <f ca="1">IFERROR(__xludf.DUMMYFUNCTION("""COMPUTED_VALUE"""),2922)</f>
        <v>2922</v>
      </c>
      <c r="G289" s="12">
        <f ca="1">IFERROR(__xludf.DUMMYFUNCTION("""COMPUTED_VALUE"""),136489)</f>
        <v>136489</v>
      </c>
      <c r="H289" s="12">
        <f ca="1">IFERROR(__xludf.DUMMYFUNCTION("""COMPUTED_VALUE"""),8822)</f>
        <v>8822</v>
      </c>
      <c r="I289" s="12">
        <f ca="1">IFERROR(__xludf.DUMMYFUNCTION("""COMPUTED_VALUE"""),2968)</f>
        <v>2968</v>
      </c>
      <c r="J289" s="12">
        <f ca="1">IFERROR(__xludf.DUMMYFUNCTION("""COMPUTED_VALUE"""),151201)</f>
        <v>151201</v>
      </c>
      <c r="K289" s="12">
        <f ca="1">IFERROR(__xludf.DUMMYFUNCTION("""COMPUTED_VALUE"""),11790)</f>
        <v>11790</v>
      </c>
      <c r="L289" s="12">
        <f ca="1">IFERROR(__xludf.DUMMYFUNCTION("""COMPUTED_VALUE"""),6388)</f>
        <v>6388</v>
      </c>
      <c r="M289" s="12">
        <f ca="1">IFERROR(__xludf.DUMMYFUNCTION("""COMPUTED_VALUE"""),1756)</f>
        <v>1756</v>
      </c>
      <c r="N289" s="12">
        <f ca="1">IFERROR(__xludf.DUMMYFUNCTION("""COMPUTED_VALUE"""),4490)</f>
        <v>4490</v>
      </c>
      <c r="O289" s="12">
        <f ca="1">IFERROR(__xludf.DUMMYFUNCTION("""COMPUTED_VALUE"""),142)</f>
        <v>142</v>
      </c>
      <c r="P289" s="12">
        <f ca="1">IFERROR(__xludf.DUMMYFUNCTION("""COMPUTED_VALUE"""),20)</f>
        <v>20</v>
      </c>
      <c r="Q289" s="12">
        <f ca="1">IFERROR(__xludf.DUMMYFUNCTION("""COMPUTED_VALUE"""),944)</f>
        <v>944</v>
      </c>
      <c r="R289" s="12">
        <f ca="1">IFERROR(__xludf.DUMMYFUNCTION("""COMPUTED_VALUE"""),-256)</f>
        <v>-256</v>
      </c>
      <c r="S289" s="12">
        <f ca="1">IFERROR(__xludf.DUMMYFUNCTION("""COMPUTED_VALUE"""),243)</f>
        <v>243</v>
      </c>
      <c r="T289" s="12">
        <f ca="1">IFERROR(__xludf.DUMMYFUNCTION("""COMPUTED_VALUE"""),951)</f>
        <v>951</v>
      </c>
      <c r="U289" s="12">
        <f ca="1">IFERROR(__xludf.DUMMYFUNCTION("""COMPUTED_VALUE"""),-13)</f>
        <v>-13</v>
      </c>
    </row>
    <row r="290" spans="1:21" x14ac:dyDescent="0.25">
      <c r="A290" s="11">
        <f ca="1">IFERROR(__xludf.DUMMYFUNCTION("""COMPUTED_VALUE"""),44178)</f>
        <v>44178</v>
      </c>
      <c r="B290" s="12">
        <f ca="1">IFERROR(__xludf.DUMMYFUNCTION("""COMPUTED_VALUE"""),617820)</f>
        <v>617820</v>
      </c>
      <c r="C290" s="12">
        <f ca="1">IFERROR(__xludf.DUMMYFUNCTION("""COMPUTED_VALUE"""),93165)</f>
        <v>93165</v>
      </c>
      <c r="D290" s="12">
        <f ca="1">IFERROR(__xludf.DUMMYFUNCTION("""COMPUTED_VALUE"""),505836)</f>
        <v>505836</v>
      </c>
      <c r="E290" s="12">
        <f ca="1">IFERROR(__xludf.DUMMYFUNCTION("""COMPUTED_VALUE"""),18819)</f>
        <v>18819</v>
      </c>
      <c r="F290" s="12">
        <f ca="1">IFERROR(__xludf.DUMMYFUNCTION("""COMPUTED_VALUE"""),2941)</f>
        <v>2941</v>
      </c>
      <c r="G290" s="12">
        <f ca="1">IFERROR(__xludf.DUMMYFUNCTION("""COMPUTED_VALUE"""),137605)</f>
        <v>137605</v>
      </c>
      <c r="H290" s="12">
        <f ca="1">IFERROR(__xludf.DUMMYFUNCTION("""COMPUTED_VALUE"""),8679)</f>
        <v>8679</v>
      </c>
      <c r="I290" s="12">
        <f ca="1">IFERROR(__xludf.DUMMYFUNCTION("""COMPUTED_VALUE"""),3274)</f>
        <v>3274</v>
      </c>
      <c r="J290" s="12">
        <f ca="1">IFERROR(__xludf.DUMMYFUNCTION("""COMPUTED_VALUE"""),152499)</f>
        <v>152499</v>
      </c>
      <c r="K290" s="12">
        <f ca="1">IFERROR(__xludf.DUMMYFUNCTION("""COMPUTED_VALUE"""),11953)</f>
        <v>11953</v>
      </c>
      <c r="L290" s="12">
        <f ca="1">IFERROR(__xludf.DUMMYFUNCTION("""COMPUTED_VALUE"""),6189)</f>
        <v>6189</v>
      </c>
      <c r="M290" s="12">
        <f ca="1">IFERROR(__xludf.DUMMYFUNCTION("""COMPUTED_VALUE"""),1563)</f>
        <v>1563</v>
      </c>
      <c r="N290" s="12">
        <f ca="1">IFERROR(__xludf.DUMMYFUNCTION("""COMPUTED_VALUE"""),4460)</f>
        <v>4460</v>
      </c>
      <c r="O290" s="12">
        <f ca="1">IFERROR(__xludf.DUMMYFUNCTION("""COMPUTED_VALUE"""),166)</f>
        <v>166</v>
      </c>
      <c r="P290" s="12">
        <f ca="1">IFERROR(__xludf.DUMMYFUNCTION("""COMPUTED_VALUE"""),19)</f>
        <v>19</v>
      </c>
      <c r="Q290" s="12">
        <f ca="1">IFERROR(__xludf.DUMMYFUNCTION("""COMPUTED_VALUE"""),1116)</f>
        <v>1116</v>
      </c>
      <c r="R290" s="12">
        <f ca="1">IFERROR(__xludf.DUMMYFUNCTION("""COMPUTED_VALUE"""),-143)</f>
        <v>-143</v>
      </c>
      <c r="S290" s="12">
        <f ca="1">IFERROR(__xludf.DUMMYFUNCTION("""COMPUTED_VALUE"""),306)</f>
        <v>306</v>
      </c>
      <c r="T290" s="12">
        <f ca="1">IFERROR(__xludf.DUMMYFUNCTION("""COMPUTED_VALUE"""),1298)</f>
        <v>1298</v>
      </c>
      <c r="U290" s="12">
        <f ca="1">IFERROR(__xludf.DUMMYFUNCTION("""COMPUTED_VALUE"""),163)</f>
        <v>163</v>
      </c>
    </row>
    <row r="291" spans="1:21" x14ac:dyDescent="0.25">
      <c r="A291" s="11">
        <f ca="1">IFERROR(__xludf.DUMMYFUNCTION("""COMPUTED_VALUE"""),44179)</f>
        <v>44179</v>
      </c>
      <c r="B291" s="12">
        <f ca="1">IFERROR(__xludf.DUMMYFUNCTION("""COMPUTED_VALUE"""),623309)</f>
        <v>623309</v>
      </c>
      <c r="C291" s="12">
        <f ca="1">IFERROR(__xludf.DUMMYFUNCTION("""COMPUTED_VALUE"""),93396)</f>
        <v>93396</v>
      </c>
      <c r="D291" s="12">
        <f ca="1">IFERROR(__xludf.DUMMYFUNCTION("""COMPUTED_VALUE"""),510957)</f>
        <v>510957</v>
      </c>
      <c r="E291" s="12">
        <f ca="1">IFERROR(__xludf.DUMMYFUNCTION("""COMPUTED_VALUE"""),18956)</f>
        <v>18956</v>
      </c>
      <c r="F291" s="12">
        <f ca="1">IFERROR(__xludf.DUMMYFUNCTION("""COMPUTED_VALUE"""),2963)</f>
        <v>2963</v>
      </c>
      <c r="G291" s="12">
        <f ca="1">IFERROR(__xludf.DUMMYFUNCTION("""COMPUTED_VALUE"""),138988)</f>
        <v>138988</v>
      </c>
      <c r="H291" s="12">
        <f ca="1">IFERROR(__xludf.DUMMYFUNCTION("""COMPUTED_VALUE"""),8994)</f>
        <v>8994</v>
      </c>
      <c r="I291" s="12">
        <f ca="1">IFERROR(__xludf.DUMMYFUNCTION("""COMPUTED_VALUE"""),3120)</f>
        <v>3120</v>
      </c>
      <c r="J291" s="12">
        <f ca="1">IFERROR(__xludf.DUMMYFUNCTION("""COMPUTED_VALUE"""),154065)</f>
        <v>154065</v>
      </c>
      <c r="K291" s="12">
        <f ca="1">IFERROR(__xludf.DUMMYFUNCTION("""COMPUTED_VALUE"""),12114)</f>
        <v>12114</v>
      </c>
      <c r="L291" s="12">
        <f ca="1">IFERROR(__xludf.DUMMYFUNCTION("""COMPUTED_VALUE"""),5489)</f>
        <v>5489</v>
      </c>
      <c r="M291" s="12">
        <f ca="1">IFERROR(__xludf.DUMMYFUNCTION("""COMPUTED_VALUE"""),231)</f>
        <v>231</v>
      </c>
      <c r="N291" s="12">
        <f ca="1">IFERROR(__xludf.DUMMYFUNCTION("""COMPUTED_VALUE"""),5121)</f>
        <v>5121</v>
      </c>
      <c r="O291" s="12">
        <f ca="1">IFERROR(__xludf.DUMMYFUNCTION("""COMPUTED_VALUE"""),137)</f>
        <v>137</v>
      </c>
      <c r="P291" s="12">
        <f ca="1">IFERROR(__xludf.DUMMYFUNCTION("""COMPUTED_VALUE"""),22)</f>
        <v>22</v>
      </c>
      <c r="Q291" s="12">
        <f ca="1">IFERROR(__xludf.DUMMYFUNCTION("""COMPUTED_VALUE"""),1383)</f>
        <v>1383</v>
      </c>
      <c r="R291" s="12">
        <f ca="1">IFERROR(__xludf.DUMMYFUNCTION("""COMPUTED_VALUE"""),315)</f>
        <v>315</v>
      </c>
      <c r="S291" s="12">
        <f ca="1">IFERROR(__xludf.DUMMYFUNCTION("""COMPUTED_VALUE"""),-154)</f>
        <v>-154</v>
      </c>
      <c r="T291" s="12">
        <f ca="1">IFERROR(__xludf.DUMMYFUNCTION("""COMPUTED_VALUE"""),1566)</f>
        <v>1566</v>
      </c>
      <c r="U291" s="12">
        <f ca="1">IFERROR(__xludf.DUMMYFUNCTION("""COMPUTED_VALUE"""),161)</f>
        <v>161</v>
      </c>
    </row>
    <row r="292" spans="1:21" x14ac:dyDescent="0.25">
      <c r="A292" s="11">
        <f ca="1">IFERROR(__xludf.DUMMYFUNCTION("""COMPUTED_VALUE"""),44180)</f>
        <v>44180</v>
      </c>
      <c r="B292" s="12">
        <f ca="1">IFERROR(__xludf.DUMMYFUNCTION("""COMPUTED_VALUE"""),629429)</f>
        <v>629429</v>
      </c>
      <c r="C292" s="12">
        <f ca="1">IFERROR(__xludf.DUMMYFUNCTION("""COMPUTED_VALUE"""),93662)</f>
        <v>93662</v>
      </c>
      <c r="D292" s="12">
        <f ca="1">IFERROR(__xludf.DUMMYFUNCTION("""COMPUTED_VALUE"""),516656)</f>
        <v>516656</v>
      </c>
      <c r="E292" s="12">
        <f ca="1">IFERROR(__xludf.DUMMYFUNCTION("""COMPUTED_VALUE"""),19111)</f>
        <v>19111</v>
      </c>
      <c r="F292" s="12">
        <f ca="1">IFERROR(__xludf.DUMMYFUNCTION("""COMPUTED_VALUE"""),2990)</f>
        <v>2990</v>
      </c>
      <c r="G292" s="12">
        <f ca="1">IFERROR(__xludf.DUMMYFUNCTION("""COMPUTED_VALUE"""),140225)</f>
        <v>140225</v>
      </c>
      <c r="H292" s="12">
        <f ca="1">IFERROR(__xludf.DUMMYFUNCTION("""COMPUTED_VALUE"""),8643)</f>
        <v>8643</v>
      </c>
      <c r="I292" s="12">
        <f ca="1">IFERROR(__xludf.DUMMYFUNCTION("""COMPUTED_VALUE"""),3264)</f>
        <v>3264</v>
      </c>
      <c r="J292" s="12">
        <f ca="1">IFERROR(__xludf.DUMMYFUNCTION("""COMPUTED_VALUE"""),155122)</f>
        <v>155122</v>
      </c>
      <c r="K292" s="12">
        <f ca="1">IFERROR(__xludf.DUMMYFUNCTION("""COMPUTED_VALUE"""),11907)</f>
        <v>11907</v>
      </c>
      <c r="L292" s="12">
        <f ca="1">IFERROR(__xludf.DUMMYFUNCTION("""COMPUTED_VALUE"""),6120)</f>
        <v>6120</v>
      </c>
      <c r="M292" s="12">
        <f ca="1">IFERROR(__xludf.DUMMYFUNCTION("""COMPUTED_VALUE"""),266)</f>
        <v>266</v>
      </c>
      <c r="N292" s="12">
        <f ca="1">IFERROR(__xludf.DUMMYFUNCTION("""COMPUTED_VALUE"""),5699)</f>
        <v>5699</v>
      </c>
      <c r="O292" s="12">
        <f ca="1">IFERROR(__xludf.DUMMYFUNCTION("""COMPUTED_VALUE"""),155)</f>
        <v>155</v>
      </c>
      <c r="P292" s="12">
        <f ca="1">IFERROR(__xludf.DUMMYFUNCTION("""COMPUTED_VALUE"""),27)</f>
        <v>27</v>
      </c>
      <c r="Q292" s="12">
        <f ca="1">IFERROR(__xludf.DUMMYFUNCTION("""COMPUTED_VALUE"""),1237)</f>
        <v>1237</v>
      </c>
      <c r="R292" s="12">
        <f ca="1">IFERROR(__xludf.DUMMYFUNCTION("""COMPUTED_VALUE"""),-351)</f>
        <v>-351</v>
      </c>
      <c r="S292" s="12">
        <f ca="1">IFERROR(__xludf.DUMMYFUNCTION("""COMPUTED_VALUE"""),144)</f>
        <v>144</v>
      </c>
      <c r="T292" s="12">
        <f ca="1">IFERROR(__xludf.DUMMYFUNCTION("""COMPUTED_VALUE"""),1057)</f>
        <v>1057</v>
      </c>
      <c r="U292" s="12">
        <f ca="1">IFERROR(__xludf.DUMMYFUNCTION("""COMPUTED_VALUE"""),-207)</f>
        <v>-207</v>
      </c>
    </row>
    <row r="293" spans="1:21" x14ac:dyDescent="0.25">
      <c r="A293" s="11">
        <f ca="1">IFERROR(__xludf.DUMMYFUNCTION("""COMPUTED_VALUE"""),44181)</f>
        <v>44181</v>
      </c>
      <c r="B293" s="12">
        <f ca="1">IFERROR(__xludf.DUMMYFUNCTION("""COMPUTED_VALUE"""),636154)</f>
        <v>636154</v>
      </c>
      <c r="C293" s="12">
        <f ca="1">IFERROR(__xludf.DUMMYFUNCTION("""COMPUTED_VALUE"""),94922)</f>
        <v>94922</v>
      </c>
      <c r="D293" s="12">
        <f ca="1">IFERROR(__xludf.DUMMYFUNCTION("""COMPUTED_VALUE"""),521984)</f>
        <v>521984</v>
      </c>
      <c r="E293" s="12">
        <f ca="1">IFERROR(__xludf.DUMMYFUNCTION("""COMPUTED_VALUE"""),19248)</f>
        <v>19248</v>
      </c>
      <c r="F293" s="12">
        <f ca="1">IFERROR(__xludf.DUMMYFUNCTION("""COMPUTED_VALUE"""),3010)</f>
        <v>3010</v>
      </c>
      <c r="G293" s="12">
        <f ca="1">IFERROR(__xludf.DUMMYFUNCTION("""COMPUTED_VALUE"""),141365)</f>
        <v>141365</v>
      </c>
      <c r="H293" s="12">
        <f ca="1">IFERROR(__xludf.DUMMYFUNCTION("""COMPUTED_VALUE"""),8263)</f>
        <v>8263</v>
      </c>
      <c r="I293" s="12">
        <f ca="1">IFERROR(__xludf.DUMMYFUNCTION("""COMPUTED_VALUE"""),3705)</f>
        <v>3705</v>
      </c>
      <c r="J293" s="12">
        <f ca="1">IFERROR(__xludf.DUMMYFUNCTION("""COMPUTED_VALUE"""),156343)</f>
        <v>156343</v>
      </c>
      <c r="K293" s="12">
        <f ca="1">IFERROR(__xludf.DUMMYFUNCTION("""COMPUTED_VALUE"""),11968)</f>
        <v>11968</v>
      </c>
      <c r="L293" s="12">
        <f ca="1">IFERROR(__xludf.DUMMYFUNCTION("""COMPUTED_VALUE"""),6725)</f>
        <v>6725</v>
      </c>
      <c r="M293" s="12">
        <f ca="1">IFERROR(__xludf.DUMMYFUNCTION("""COMPUTED_VALUE"""),1260)</f>
        <v>1260</v>
      </c>
      <c r="N293" s="12">
        <f ca="1">IFERROR(__xludf.DUMMYFUNCTION("""COMPUTED_VALUE"""),5328)</f>
        <v>5328</v>
      </c>
      <c r="O293" s="12">
        <f ca="1">IFERROR(__xludf.DUMMYFUNCTION("""COMPUTED_VALUE"""),137)</f>
        <v>137</v>
      </c>
      <c r="P293" s="12">
        <f ca="1">IFERROR(__xludf.DUMMYFUNCTION("""COMPUTED_VALUE"""),20)</f>
        <v>20</v>
      </c>
      <c r="Q293" s="12">
        <f ca="1">IFERROR(__xludf.DUMMYFUNCTION("""COMPUTED_VALUE"""),1140)</f>
        <v>1140</v>
      </c>
      <c r="R293" s="12">
        <f ca="1">IFERROR(__xludf.DUMMYFUNCTION("""COMPUTED_VALUE"""),-380)</f>
        <v>-380</v>
      </c>
      <c r="S293" s="12">
        <f ca="1">IFERROR(__xludf.DUMMYFUNCTION("""COMPUTED_VALUE"""),441)</f>
        <v>441</v>
      </c>
      <c r="T293" s="12">
        <f ca="1">IFERROR(__xludf.DUMMYFUNCTION("""COMPUTED_VALUE"""),1221)</f>
        <v>1221</v>
      </c>
      <c r="U293" s="12">
        <f ca="1">IFERROR(__xludf.DUMMYFUNCTION("""COMPUTED_VALUE"""),61)</f>
        <v>61</v>
      </c>
    </row>
    <row r="294" spans="1:21" x14ac:dyDescent="0.25">
      <c r="A294" s="11">
        <f ca="1">IFERROR(__xludf.DUMMYFUNCTION("""COMPUTED_VALUE"""),44182)</f>
        <v>44182</v>
      </c>
      <c r="B294" s="12">
        <f ca="1">IFERROR(__xludf.DUMMYFUNCTION("""COMPUTED_VALUE"""),643508)</f>
        <v>643508</v>
      </c>
      <c r="C294" s="12">
        <f ca="1">IFERROR(__xludf.DUMMYFUNCTION("""COMPUTED_VALUE"""),97139)</f>
        <v>97139</v>
      </c>
      <c r="D294" s="12">
        <f ca="1">IFERROR(__xludf.DUMMYFUNCTION("""COMPUTED_VALUE"""),526979)</f>
        <v>526979</v>
      </c>
      <c r="E294" s="12">
        <f ca="1">IFERROR(__xludf.DUMMYFUNCTION("""COMPUTED_VALUE"""),19390)</f>
        <v>19390</v>
      </c>
      <c r="F294" s="12">
        <f ca="1">IFERROR(__xludf.DUMMYFUNCTION("""COMPUTED_VALUE"""),3027)</f>
        <v>3027</v>
      </c>
      <c r="G294" s="12">
        <f ca="1">IFERROR(__xludf.DUMMYFUNCTION("""COMPUTED_VALUE"""),142741)</f>
        <v>142741</v>
      </c>
      <c r="H294" s="12">
        <f ca="1">IFERROR(__xludf.DUMMYFUNCTION("""COMPUTED_VALUE"""),7851)</f>
        <v>7851</v>
      </c>
      <c r="I294" s="12">
        <f ca="1">IFERROR(__xludf.DUMMYFUNCTION("""COMPUTED_VALUE"""),4414)</f>
        <v>4414</v>
      </c>
      <c r="J294" s="12">
        <f ca="1">IFERROR(__xludf.DUMMYFUNCTION("""COMPUTED_VALUE"""),158033)</f>
        <v>158033</v>
      </c>
      <c r="K294" s="12">
        <f ca="1">IFERROR(__xludf.DUMMYFUNCTION("""COMPUTED_VALUE"""),12265)</f>
        <v>12265</v>
      </c>
      <c r="L294" s="12">
        <f ca="1">IFERROR(__xludf.DUMMYFUNCTION("""COMPUTED_VALUE"""),7354)</f>
        <v>7354</v>
      </c>
      <c r="M294" s="12">
        <f ca="1">IFERROR(__xludf.DUMMYFUNCTION("""COMPUTED_VALUE"""),2217)</f>
        <v>2217</v>
      </c>
      <c r="N294" s="12">
        <f ca="1">IFERROR(__xludf.DUMMYFUNCTION("""COMPUTED_VALUE"""),4995)</f>
        <v>4995</v>
      </c>
      <c r="O294" s="12">
        <f ca="1">IFERROR(__xludf.DUMMYFUNCTION("""COMPUTED_VALUE"""),142)</f>
        <v>142</v>
      </c>
      <c r="P294" s="12">
        <f ca="1">IFERROR(__xludf.DUMMYFUNCTION("""COMPUTED_VALUE"""),17)</f>
        <v>17</v>
      </c>
      <c r="Q294" s="12">
        <f ca="1">IFERROR(__xludf.DUMMYFUNCTION("""COMPUTED_VALUE"""),1376)</f>
        <v>1376</v>
      </c>
      <c r="R294" s="12">
        <f ca="1">IFERROR(__xludf.DUMMYFUNCTION("""COMPUTED_VALUE"""),-412)</f>
        <v>-412</v>
      </c>
      <c r="S294" s="12">
        <f ca="1">IFERROR(__xludf.DUMMYFUNCTION("""COMPUTED_VALUE"""),709)</f>
        <v>709</v>
      </c>
      <c r="T294" s="12">
        <f ca="1">IFERROR(__xludf.DUMMYFUNCTION("""COMPUTED_VALUE"""),1690)</f>
        <v>1690</v>
      </c>
      <c r="U294" s="12">
        <f ca="1">IFERROR(__xludf.DUMMYFUNCTION("""COMPUTED_VALUE"""),297)</f>
        <v>297</v>
      </c>
    </row>
    <row r="295" spans="1:21" x14ac:dyDescent="0.25">
      <c r="A295" s="11">
        <f ca="1">IFERROR(__xludf.DUMMYFUNCTION("""COMPUTED_VALUE"""),44183)</f>
        <v>44183</v>
      </c>
      <c r="B295" s="12">
        <f ca="1">IFERROR(__xludf.DUMMYFUNCTION("""COMPUTED_VALUE"""),650197)</f>
        <v>650197</v>
      </c>
      <c r="C295" s="12">
        <f ca="1">IFERROR(__xludf.DUMMYFUNCTION("""COMPUTED_VALUE"""),98688)</f>
        <v>98688</v>
      </c>
      <c r="D295" s="12">
        <f ca="1">IFERROR(__xludf.DUMMYFUNCTION("""COMPUTED_VALUE"""),531995)</f>
        <v>531995</v>
      </c>
      <c r="E295" s="12">
        <f ca="1">IFERROR(__xludf.DUMMYFUNCTION("""COMPUTED_VALUE"""),19514)</f>
        <v>19514</v>
      </c>
      <c r="F295" s="12">
        <f ca="1">IFERROR(__xludf.DUMMYFUNCTION("""COMPUTED_VALUE"""),3048)</f>
        <v>3048</v>
      </c>
      <c r="G295" s="12">
        <f ca="1">IFERROR(__xludf.DUMMYFUNCTION("""COMPUTED_VALUE"""),143959)</f>
        <v>143959</v>
      </c>
      <c r="H295" s="12">
        <f ca="1">IFERROR(__xludf.DUMMYFUNCTION("""COMPUTED_VALUE"""),7673)</f>
        <v>7673</v>
      </c>
      <c r="I295" s="12">
        <f ca="1">IFERROR(__xludf.DUMMYFUNCTION("""COMPUTED_VALUE"""),4940)</f>
        <v>4940</v>
      </c>
      <c r="J295" s="12">
        <f ca="1">IFERROR(__xludf.DUMMYFUNCTION("""COMPUTED_VALUE"""),159620)</f>
        <v>159620</v>
      </c>
      <c r="K295" s="12">
        <f ca="1">IFERROR(__xludf.DUMMYFUNCTION("""COMPUTED_VALUE"""),12613)</f>
        <v>12613</v>
      </c>
      <c r="L295" s="12">
        <f ca="1">IFERROR(__xludf.DUMMYFUNCTION("""COMPUTED_VALUE"""),6689)</f>
        <v>6689</v>
      </c>
      <c r="M295" s="12">
        <f ca="1">IFERROR(__xludf.DUMMYFUNCTION("""COMPUTED_VALUE"""),1549)</f>
        <v>1549</v>
      </c>
      <c r="N295" s="12">
        <f ca="1">IFERROR(__xludf.DUMMYFUNCTION("""COMPUTED_VALUE"""),5016)</f>
        <v>5016</v>
      </c>
      <c r="O295" s="12">
        <f ca="1">IFERROR(__xludf.DUMMYFUNCTION("""COMPUTED_VALUE"""),124)</f>
        <v>124</v>
      </c>
      <c r="P295" s="12">
        <f ca="1">IFERROR(__xludf.DUMMYFUNCTION("""COMPUTED_VALUE"""),21)</f>
        <v>21</v>
      </c>
      <c r="Q295" s="12">
        <f ca="1">IFERROR(__xludf.DUMMYFUNCTION("""COMPUTED_VALUE"""),1218)</f>
        <v>1218</v>
      </c>
      <c r="R295" s="12">
        <f ca="1">IFERROR(__xludf.DUMMYFUNCTION("""COMPUTED_VALUE"""),-178)</f>
        <v>-178</v>
      </c>
      <c r="S295" s="12">
        <f ca="1">IFERROR(__xludf.DUMMYFUNCTION("""COMPUTED_VALUE"""),526)</f>
        <v>526</v>
      </c>
      <c r="T295" s="12">
        <f ca="1">IFERROR(__xludf.DUMMYFUNCTION("""COMPUTED_VALUE"""),1587)</f>
        <v>1587</v>
      </c>
      <c r="U295" s="12">
        <f ca="1">IFERROR(__xludf.DUMMYFUNCTION("""COMPUTED_VALUE"""),348)</f>
        <v>348</v>
      </c>
    </row>
    <row r="296" spans="1:21" x14ac:dyDescent="0.25">
      <c r="A296" s="11">
        <f ca="1">IFERROR(__xludf.DUMMYFUNCTION("""COMPUTED_VALUE"""),44184)</f>
        <v>44184</v>
      </c>
      <c r="B296" s="12">
        <f ca="1">IFERROR(__xludf.DUMMYFUNCTION("""COMPUTED_VALUE"""),657948)</f>
        <v>657948</v>
      </c>
      <c r="C296" s="12">
        <f ca="1">IFERROR(__xludf.DUMMYFUNCTION("""COMPUTED_VALUE"""),102029)</f>
        <v>102029</v>
      </c>
      <c r="D296" s="12">
        <f ca="1">IFERROR(__xludf.DUMMYFUNCTION("""COMPUTED_VALUE"""),536260)</f>
        <v>536260</v>
      </c>
      <c r="E296" s="12">
        <f ca="1">IFERROR(__xludf.DUMMYFUNCTION("""COMPUTED_VALUE"""),19659)</f>
        <v>19659</v>
      </c>
      <c r="F296" s="12">
        <f ca="1">IFERROR(__xludf.DUMMYFUNCTION("""COMPUTED_VALUE"""),3068)</f>
        <v>3068</v>
      </c>
      <c r="G296" s="12">
        <f ca="1">IFERROR(__xludf.DUMMYFUNCTION("""COMPUTED_VALUE"""),145066)</f>
        <v>145066</v>
      </c>
      <c r="H296" s="12">
        <f ca="1">IFERROR(__xludf.DUMMYFUNCTION("""COMPUTED_VALUE"""),8112)</f>
        <v>8112</v>
      </c>
      <c r="I296" s="12">
        <f ca="1">IFERROR(__xludf.DUMMYFUNCTION("""COMPUTED_VALUE"""),5273)</f>
        <v>5273</v>
      </c>
      <c r="J296" s="12">
        <f ca="1">IFERROR(__xludf.DUMMYFUNCTION("""COMPUTED_VALUE"""),161519)</f>
        <v>161519</v>
      </c>
      <c r="K296" s="12">
        <f ca="1">IFERROR(__xludf.DUMMYFUNCTION("""COMPUTED_VALUE"""),13385)</f>
        <v>13385</v>
      </c>
      <c r="L296" s="12">
        <f ca="1">IFERROR(__xludf.DUMMYFUNCTION("""COMPUTED_VALUE"""),7751)</f>
        <v>7751</v>
      </c>
      <c r="M296" s="12">
        <f ca="1">IFERROR(__xludf.DUMMYFUNCTION("""COMPUTED_VALUE"""),3341)</f>
        <v>3341</v>
      </c>
      <c r="N296" s="12">
        <f ca="1">IFERROR(__xludf.DUMMYFUNCTION("""COMPUTED_VALUE"""),4265)</f>
        <v>4265</v>
      </c>
      <c r="O296" s="12">
        <f ca="1">IFERROR(__xludf.DUMMYFUNCTION("""COMPUTED_VALUE"""),145)</f>
        <v>145</v>
      </c>
      <c r="P296" s="12">
        <f ca="1">IFERROR(__xludf.DUMMYFUNCTION("""COMPUTED_VALUE"""),20)</f>
        <v>20</v>
      </c>
      <c r="Q296" s="12">
        <f ca="1">IFERROR(__xludf.DUMMYFUNCTION("""COMPUTED_VALUE"""),1107)</f>
        <v>1107</v>
      </c>
      <c r="R296" s="12">
        <f ca="1">IFERROR(__xludf.DUMMYFUNCTION("""COMPUTED_VALUE"""),439)</f>
        <v>439</v>
      </c>
      <c r="S296" s="12">
        <f ca="1">IFERROR(__xludf.DUMMYFUNCTION("""COMPUTED_VALUE"""),333)</f>
        <v>333</v>
      </c>
      <c r="T296" s="12">
        <f ca="1">IFERROR(__xludf.DUMMYFUNCTION("""COMPUTED_VALUE"""),1899)</f>
        <v>1899</v>
      </c>
      <c r="U296" s="12">
        <f ca="1">IFERROR(__xludf.DUMMYFUNCTION("""COMPUTED_VALUE"""),772)</f>
        <v>772</v>
      </c>
    </row>
    <row r="297" spans="1:21" x14ac:dyDescent="0.25">
      <c r="A297" s="11">
        <f ca="1">IFERROR(__xludf.DUMMYFUNCTION("""COMPUTED_VALUE"""),44185)</f>
        <v>44185</v>
      </c>
      <c r="B297" s="12">
        <f ca="1">IFERROR(__xludf.DUMMYFUNCTION("""COMPUTED_VALUE"""),664930)</f>
        <v>664930</v>
      </c>
      <c r="C297" s="12">
        <f ca="1">IFERROR(__xludf.DUMMYFUNCTION("""COMPUTED_VALUE"""),103239)</f>
        <v>103239</v>
      </c>
      <c r="D297" s="12">
        <f ca="1">IFERROR(__xludf.DUMMYFUNCTION("""COMPUTED_VALUE"""),541811)</f>
        <v>541811</v>
      </c>
      <c r="E297" s="12">
        <f ca="1">IFERROR(__xludf.DUMMYFUNCTION("""COMPUTED_VALUE"""),19880)</f>
        <v>19880</v>
      </c>
      <c r="F297" s="12">
        <f ca="1">IFERROR(__xludf.DUMMYFUNCTION("""COMPUTED_VALUE"""),3087)</f>
        <v>3087</v>
      </c>
      <c r="G297" s="12">
        <f ca="1">IFERROR(__xludf.DUMMYFUNCTION("""COMPUTED_VALUE"""),146958)</f>
        <v>146958</v>
      </c>
      <c r="H297" s="12">
        <f ca="1">IFERROR(__xludf.DUMMYFUNCTION("""COMPUTED_VALUE"""),8057)</f>
        <v>8057</v>
      </c>
      <c r="I297" s="12">
        <f ca="1">IFERROR(__xludf.DUMMYFUNCTION("""COMPUTED_VALUE"""),5009)</f>
        <v>5009</v>
      </c>
      <c r="J297" s="12">
        <f ca="1">IFERROR(__xludf.DUMMYFUNCTION("""COMPUTED_VALUE"""),163111)</f>
        <v>163111</v>
      </c>
      <c r="K297" s="12">
        <f ca="1">IFERROR(__xludf.DUMMYFUNCTION("""COMPUTED_VALUE"""),13066)</f>
        <v>13066</v>
      </c>
      <c r="L297" s="12">
        <f ca="1">IFERROR(__xludf.DUMMYFUNCTION("""COMPUTED_VALUE"""),6982)</f>
        <v>6982</v>
      </c>
      <c r="M297" s="12">
        <f ca="1">IFERROR(__xludf.DUMMYFUNCTION("""COMPUTED_VALUE"""),1210)</f>
        <v>1210</v>
      </c>
      <c r="N297" s="12">
        <f ca="1">IFERROR(__xludf.DUMMYFUNCTION("""COMPUTED_VALUE"""),5551)</f>
        <v>5551</v>
      </c>
      <c r="O297" s="12">
        <f ca="1">IFERROR(__xludf.DUMMYFUNCTION("""COMPUTED_VALUE"""),221)</f>
        <v>221</v>
      </c>
      <c r="P297" s="12">
        <f ca="1">IFERROR(__xludf.DUMMYFUNCTION("""COMPUTED_VALUE"""),19)</f>
        <v>19</v>
      </c>
      <c r="Q297" s="12">
        <f ca="1">IFERROR(__xludf.DUMMYFUNCTION("""COMPUTED_VALUE"""),1892)</f>
        <v>1892</v>
      </c>
      <c r="R297" s="12">
        <f ca="1">IFERROR(__xludf.DUMMYFUNCTION("""COMPUTED_VALUE"""),-55)</f>
        <v>-55</v>
      </c>
      <c r="S297" s="12">
        <f ca="1">IFERROR(__xludf.DUMMYFUNCTION("""COMPUTED_VALUE"""),-264)</f>
        <v>-264</v>
      </c>
      <c r="T297" s="12">
        <f ca="1">IFERROR(__xludf.DUMMYFUNCTION("""COMPUTED_VALUE"""),1592)</f>
        <v>1592</v>
      </c>
      <c r="U297" s="12">
        <f ca="1">IFERROR(__xludf.DUMMYFUNCTION("""COMPUTED_VALUE"""),-319)</f>
        <v>-319</v>
      </c>
    </row>
    <row r="298" spans="1:21" x14ac:dyDescent="0.25">
      <c r="A298" s="11">
        <f ca="1">IFERROR(__xludf.DUMMYFUNCTION("""COMPUTED_VALUE"""),44186)</f>
        <v>44186</v>
      </c>
      <c r="B298" s="12">
        <f ca="1">IFERROR(__xludf.DUMMYFUNCTION("""COMPUTED_VALUE"""),671778)</f>
        <v>671778</v>
      </c>
      <c r="C298" s="12">
        <f ca="1">IFERROR(__xludf.DUMMYFUNCTION("""COMPUTED_VALUE"""),104809)</f>
        <v>104809</v>
      </c>
      <c r="D298" s="12">
        <f ca="1">IFERROR(__xludf.DUMMYFUNCTION("""COMPUTED_VALUE"""),546884)</f>
        <v>546884</v>
      </c>
      <c r="E298" s="12">
        <f ca="1">IFERROR(__xludf.DUMMYFUNCTION("""COMPUTED_VALUE"""),20085)</f>
        <v>20085</v>
      </c>
      <c r="F298" s="12">
        <f ca="1">IFERROR(__xludf.DUMMYFUNCTION("""COMPUTED_VALUE"""),3097)</f>
        <v>3097</v>
      </c>
      <c r="G298" s="12">
        <f ca="1">IFERROR(__xludf.DUMMYFUNCTION("""COMPUTED_VALUE"""),148308)</f>
        <v>148308</v>
      </c>
      <c r="H298" s="12">
        <f ca="1">IFERROR(__xludf.DUMMYFUNCTION("""COMPUTED_VALUE"""),8366)</f>
        <v>8366</v>
      </c>
      <c r="I298" s="12">
        <f ca="1">IFERROR(__xludf.DUMMYFUNCTION("""COMPUTED_VALUE"""),4806)</f>
        <v>4806</v>
      </c>
      <c r="J298" s="12">
        <f ca="1">IFERROR(__xludf.DUMMYFUNCTION("""COMPUTED_VALUE"""),164577)</f>
        <v>164577</v>
      </c>
      <c r="K298" s="12">
        <f ca="1">IFERROR(__xludf.DUMMYFUNCTION("""COMPUTED_VALUE"""),13172)</f>
        <v>13172</v>
      </c>
      <c r="L298" s="12">
        <f ca="1">IFERROR(__xludf.DUMMYFUNCTION("""COMPUTED_VALUE"""),6848)</f>
        <v>6848</v>
      </c>
      <c r="M298" s="12">
        <f ca="1">IFERROR(__xludf.DUMMYFUNCTION("""COMPUTED_VALUE"""),1570)</f>
        <v>1570</v>
      </c>
      <c r="N298" s="12">
        <f ca="1">IFERROR(__xludf.DUMMYFUNCTION("""COMPUTED_VALUE"""),5073)</f>
        <v>5073</v>
      </c>
      <c r="O298" s="12">
        <f ca="1">IFERROR(__xludf.DUMMYFUNCTION("""COMPUTED_VALUE"""),205)</f>
        <v>205</v>
      </c>
      <c r="P298" s="12">
        <f ca="1">IFERROR(__xludf.DUMMYFUNCTION("""COMPUTED_VALUE"""),10)</f>
        <v>10</v>
      </c>
      <c r="Q298" s="12">
        <f ca="1">IFERROR(__xludf.DUMMYFUNCTION("""COMPUTED_VALUE"""),1350)</f>
        <v>1350</v>
      </c>
      <c r="R298" s="12">
        <f ca="1">IFERROR(__xludf.DUMMYFUNCTION("""COMPUTED_VALUE"""),309)</f>
        <v>309</v>
      </c>
      <c r="S298" s="12">
        <f ca="1">IFERROR(__xludf.DUMMYFUNCTION("""COMPUTED_VALUE"""),-203)</f>
        <v>-203</v>
      </c>
      <c r="T298" s="12">
        <f ca="1">IFERROR(__xludf.DUMMYFUNCTION("""COMPUTED_VALUE"""),1466)</f>
        <v>1466</v>
      </c>
      <c r="U298" s="12">
        <f ca="1">IFERROR(__xludf.DUMMYFUNCTION("""COMPUTED_VALUE"""),106)</f>
        <v>106</v>
      </c>
    </row>
    <row r="299" spans="1:21" x14ac:dyDescent="0.25">
      <c r="A299" s="11">
        <f ca="1">IFERROR(__xludf.DUMMYFUNCTION("""COMPUTED_VALUE"""),44187)</f>
        <v>44187</v>
      </c>
      <c r="B299" s="12">
        <f ca="1">IFERROR(__xludf.DUMMYFUNCTION("""COMPUTED_VALUE"""),678125)</f>
        <v>678125</v>
      </c>
      <c r="C299" s="12">
        <f ca="1">IFERROR(__xludf.DUMMYFUNCTION("""COMPUTED_VALUE"""),105146)</f>
        <v>105146</v>
      </c>
      <c r="D299" s="12">
        <f ca="1">IFERROR(__xludf.DUMMYFUNCTION("""COMPUTED_VALUE"""),552722)</f>
        <v>552722</v>
      </c>
      <c r="E299" s="12">
        <f ca="1">IFERROR(__xludf.DUMMYFUNCTION("""COMPUTED_VALUE"""),20257)</f>
        <v>20257</v>
      </c>
      <c r="F299" s="12">
        <f ca="1">IFERROR(__xludf.DUMMYFUNCTION("""COMPUTED_VALUE"""),3115)</f>
        <v>3115</v>
      </c>
      <c r="G299" s="12">
        <f ca="1">IFERROR(__xludf.DUMMYFUNCTION("""COMPUTED_VALUE"""),149691)</f>
        <v>149691</v>
      </c>
      <c r="H299" s="12">
        <f ca="1">IFERROR(__xludf.DUMMYFUNCTION("""COMPUTED_VALUE"""),8620)</f>
        <v>8620</v>
      </c>
      <c r="I299" s="12">
        <f ca="1">IFERROR(__xludf.DUMMYFUNCTION("""COMPUTED_VALUE"""),4462)</f>
        <v>4462</v>
      </c>
      <c r="J299" s="12">
        <f ca="1">IFERROR(__xludf.DUMMYFUNCTION("""COMPUTED_VALUE"""),165888)</f>
        <v>165888</v>
      </c>
      <c r="K299" s="12">
        <f ca="1">IFERROR(__xludf.DUMMYFUNCTION("""COMPUTED_VALUE"""),13082)</f>
        <v>13082</v>
      </c>
      <c r="L299" s="12">
        <f ca="1">IFERROR(__xludf.DUMMYFUNCTION("""COMPUTED_VALUE"""),6347)</f>
        <v>6347</v>
      </c>
      <c r="M299" s="12">
        <f ca="1">IFERROR(__xludf.DUMMYFUNCTION("""COMPUTED_VALUE"""),337)</f>
        <v>337</v>
      </c>
      <c r="N299" s="12">
        <f ca="1">IFERROR(__xludf.DUMMYFUNCTION("""COMPUTED_VALUE"""),5838)</f>
        <v>5838</v>
      </c>
      <c r="O299" s="12">
        <f ca="1">IFERROR(__xludf.DUMMYFUNCTION("""COMPUTED_VALUE"""),172)</f>
        <v>172</v>
      </c>
      <c r="P299" s="12">
        <f ca="1">IFERROR(__xludf.DUMMYFUNCTION("""COMPUTED_VALUE"""),18)</f>
        <v>18</v>
      </c>
      <c r="Q299" s="12">
        <f ca="1">IFERROR(__xludf.DUMMYFUNCTION("""COMPUTED_VALUE"""),1383)</f>
        <v>1383</v>
      </c>
      <c r="R299" s="12">
        <f ca="1">IFERROR(__xludf.DUMMYFUNCTION("""COMPUTED_VALUE"""),254)</f>
        <v>254</v>
      </c>
      <c r="S299" s="12">
        <f ca="1">IFERROR(__xludf.DUMMYFUNCTION("""COMPUTED_VALUE"""),-344)</f>
        <v>-344</v>
      </c>
      <c r="T299" s="12">
        <f ca="1">IFERROR(__xludf.DUMMYFUNCTION("""COMPUTED_VALUE"""),1311)</f>
        <v>1311</v>
      </c>
      <c r="U299" s="12">
        <f ca="1">IFERROR(__xludf.DUMMYFUNCTION("""COMPUTED_VALUE"""),-90)</f>
        <v>-90</v>
      </c>
    </row>
    <row r="300" spans="1:21" x14ac:dyDescent="0.25">
      <c r="A300" s="11">
        <f ca="1">IFERROR(__xludf.DUMMYFUNCTION("""COMPUTED_VALUE"""),44188)</f>
        <v>44188</v>
      </c>
      <c r="B300" s="12">
        <f ca="1">IFERROR(__xludf.DUMMYFUNCTION("""COMPUTED_VALUE"""),685639)</f>
        <v>685639</v>
      </c>
      <c r="C300" s="12">
        <f ca="1">IFERROR(__xludf.DUMMYFUNCTION("""COMPUTED_VALUE"""),106528)</f>
        <v>106528</v>
      </c>
      <c r="D300" s="12">
        <f ca="1">IFERROR(__xludf.DUMMYFUNCTION("""COMPUTED_VALUE"""),558703)</f>
        <v>558703</v>
      </c>
      <c r="E300" s="12">
        <f ca="1">IFERROR(__xludf.DUMMYFUNCTION("""COMPUTED_VALUE"""),20408)</f>
        <v>20408</v>
      </c>
      <c r="F300" s="12">
        <f ca="1">IFERROR(__xludf.DUMMYFUNCTION("""COMPUTED_VALUE"""),3130)</f>
        <v>3130</v>
      </c>
      <c r="G300" s="12">
        <f ca="1">IFERROR(__xludf.DUMMYFUNCTION("""COMPUTED_VALUE"""),151122)</f>
        <v>151122</v>
      </c>
      <c r="H300" s="12">
        <f ca="1">IFERROR(__xludf.DUMMYFUNCTION("""COMPUTED_VALUE"""),8643)</f>
        <v>8643</v>
      </c>
      <c r="I300" s="12">
        <f ca="1">IFERROR(__xludf.DUMMYFUNCTION("""COMPUTED_VALUE"""),4947)</f>
        <v>4947</v>
      </c>
      <c r="J300" s="12">
        <f ca="1">IFERROR(__xludf.DUMMYFUNCTION("""COMPUTED_VALUE"""),167842)</f>
        <v>167842</v>
      </c>
      <c r="K300" s="12">
        <f ca="1">IFERROR(__xludf.DUMMYFUNCTION("""COMPUTED_VALUE"""),13590)</f>
        <v>13590</v>
      </c>
      <c r="L300" s="12">
        <f ca="1">IFERROR(__xludf.DUMMYFUNCTION("""COMPUTED_VALUE"""),7514)</f>
        <v>7514</v>
      </c>
      <c r="M300" s="12">
        <f ca="1">IFERROR(__xludf.DUMMYFUNCTION("""COMPUTED_VALUE"""),1382)</f>
        <v>1382</v>
      </c>
      <c r="N300" s="12">
        <f ca="1">IFERROR(__xludf.DUMMYFUNCTION("""COMPUTED_VALUE"""),5981)</f>
        <v>5981</v>
      </c>
      <c r="O300" s="12">
        <f ca="1">IFERROR(__xludf.DUMMYFUNCTION("""COMPUTED_VALUE"""),151)</f>
        <v>151</v>
      </c>
      <c r="P300" s="12">
        <f ca="1">IFERROR(__xludf.DUMMYFUNCTION("""COMPUTED_VALUE"""),15)</f>
        <v>15</v>
      </c>
      <c r="Q300" s="12">
        <f ca="1">IFERROR(__xludf.DUMMYFUNCTION("""COMPUTED_VALUE"""),1431)</f>
        <v>1431</v>
      </c>
      <c r="R300" s="12">
        <f ca="1">IFERROR(__xludf.DUMMYFUNCTION("""COMPUTED_VALUE"""),23)</f>
        <v>23</v>
      </c>
      <c r="S300" s="12">
        <f ca="1">IFERROR(__xludf.DUMMYFUNCTION("""COMPUTED_VALUE"""),485)</f>
        <v>485</v>
      </c>
      <c r="T300" s="12">
        <f ca="1">IFERROR(__xludf.DUMMYFUNCTION("""COMPUTED_VALUE"""),1954)</f>
        <v>1954</v>
      </c>
      <c r="U300" s="12">
        <f ca="1">IFERROR(__xludf.DUMMYFUNCTION("""COMPUTED_VALUE"""),508)</f>
        <v>508</v>
      </c>
    </row>
    <row r="301" spans="1:21" x14ac:dyDescent="0.25">
      <c r="A301" s="11">
        <f ca="1">IFERROR(__xludf.DUMMYFUNCTION("""COMPUTED_VALUE"""),44189)</f>
        <v>44189</v>
      </c>
      <c r="B301" s="12">
        <f ca="1">IFERROR(__xludf.DUMMYFUNCTION("""COMPUTED_VALUE"""),692838)</f>
        <v>692838</v>
      </c>
      <c r="C301" s="12">
        <f ca="1">IFERROR(__xludf.DUMMYFUNCTION("""COMPUTED_VALUE"""),108269)</f>
        <v>108269</v>
      </c>
      <c r="D301" s="12">
        <f ca="1">IFERROR(__xludf.DUMMYFUNCTION("""COMPUTED_VALUE"""),563980)</f>
        <v>563980</v>
      </c>
      <c r="E301" s="12">
        <f ca="1">IFERROR(__xludf.DUMMYFUNCTION("""COMPUTED_VALUE"""),20589)</f>
        <v>20589</v>
      </c>
      <c r="F301" s="12">
        <f ca="1">IFERROR(__xludf.DUMMYFUNCTION("""COMPUTED_VALUE"""),3146)</f>
        <v>3146</v>
      </c>
      <c r="G301" s="12">
        <f ca="1">IFERROR(__xludf.DUMMYFUNCTION("""COMPUTED_VALUE"""),152491)</f>
        <v>152491</v>
      </c>
      <c r="H301" s="12">
        <f ca="1">IFERROR(__xludf.DUMMYFUNCTION("""COMPUTED_VALUE"""),8833)</f>
        <v>8833</v>
      </c>
      <c r="I301" s="12">
        <f ca="1">IFERROR(__xludf.DUMMYFUNCTION("""COMPUTED_VALUE"""),5305)</f>
        <v>5305</v>
      </c>
      <c r="J301" s="12">
        <f ca="1">IFERROR(__xludf.DUMMYFUNCTION("""COMPUTED_VALUE"""),169775)</f>
        <v>169775</v>
      </c>
      <c r="K301" s="12">
        <f ca="1">IFERROR(__xludf.DUMMYFUNCTION("""COMPUTED_VALUE"""),14138)</f>
        <v>14138</v>
      </c>
      <c r="L301" s="12">
        <f ca="1">IFERROR(__xludf.DUMMYFUNCTION("""COMPUTED_VALUE"""),7199)</f>
        <v>7199</v>
      </c>
      <c r="M301" s="12">
        <f ca="1">IFERROR(__xludf.DUMMYFUNCTION("""COMPUTED_VALUE"""),1741)</f>
        <v>1741</v>
      </c>
      <c r="N301" s="12">
        <f ca="1">IFERROR(__xludf.DUMMYFUNCTION("""COMPUTED_VALUE"""),5277)</f>
        <v>5277</v>
      </c>
      <c r="O301" s="12">
        <f ca="1">IFERROR(__xludf.DUMMYFUNCTION("""COMPUTED_VALUE"""),181)</f>
        <v>181</v>
      </c>
      <c r="P301" s="12">
        <f ca="1">IFERROR(__xludf.DUMMYFUNCTION("""COMPUTED_VALUE"""),16)</f>
        <v>16</v>
      </c>
      <c r="Q301" s="12">
        <f ca="1">IFERROR(__xludf.DUMMYFUNCTION("""COMPUTED_VALUE"""),1369)</f>
        <v>1369</v>
      </c>
      <c r="R301" s="12">
        <f ca="1">IFERROR(__xludf.DUMMYFUNCTION("""COMPUTED_VALUE"""),190)</f>
        <v>190</v>
      </c>
      <c r="S301" s="12">
        <f ca="1">IFERROR(__xludf.DUMMYFUNCTION("""COMPUTED_VALUE"""),358)</f>
        <v>358</v>
      </c>
      <c r="T301" s="12">
        <f ca="1">IFERROR(__xludf.DUMMYFUNCTION("""COMPUTED_VALUE"""),1933)</f>
        <v>1933</v>
      </c>
      <c r="U301" s="12">
        <f ca="1">IFERROR(__xludf.DUMMYFUNCTION("""COMPUTED_VALUE"""),548)</f>
        <v>548</v>
      </c>
    </row>
    <row r="302" spans="1:21" x14ac:dyDescent="0.25">
      <c r="A302" s="11">
        <f ca="1">IFERROR(__xludf.DUMMYFUNCTION("""COMPUTED_VALUE"""),44190)</f>
        <v>44190</v>
      </c>
      <c r="B302" s="12">
        <f ca="1">IFERROR(__xludf.DUMMYFUNCTION("""COMPUTED_VALUE"""),700097)</f>
        <v>700097</v>
      </c>
      <c r="C302" s="12">
        <f ca="1">IFERROR(__xludf.DUMMYFUNCTION("""COMPUTED_VALUE"""),108946)</f>
        <v>108946</v>
      </c>
      <c r="D302" s="12">
        <f ca="1">IFERROR(__xludf.DUMMYFUNCTION("""COMPUTED_VALUE"""),570304)</f>
        <v>570304</v>
      </c>
      <c r="E302" s="12">
        <f ca="1">IFERROR(__xludf.DUMMYFUNCTION("""COMPUTED_VALUE"""),20847)</f>
        <v>20847</v>
      </c>
      <c r="F302" s="12">
        <f ca="1">IFERROR(__xludf.DUMMYFUNCTION("""COMPUTED_VALUE"""),3167)</f>
        <v>3167</v>
      </c>
      <c r="G302" s="12">
        <f ca="1">IFERROR(__xludf.DUMMYFUNCTION("""COMPUTED_VALUE"""),154242)</f>
        <v>154242</v>
      </c>
      <c r="H302" s="12">
        <f ca="1">IFERROR(__xludf.DUMMYFUNCTION("""COMPUTED_VALUE"""),8720)</f>
        <v>8720</v>
      </c>
      <c r="I302" s="12">
        <f ca="1">IFERROR(__xludf.DUMMYFUNCTION("""COMPUTED_VALUE"""),5742)</f>
        <v>5742</v>
      </c>
      <c r="J302" s="12">
        <f ca="1">IFERROR(__xludf.DUMMYFUNCTION("""COMPUTED_VALUE"""),171871)</f>
        <v>171871</v>
      </c>
      <c r="K302" s="12">
        <f ca="1">IFERROR(__xludf.DUMMYFUNCTION("""COMPUTED_VALUE"""),14462)</f>
        <v>14462</v>
      </c>
      <c r="L302" s="12">
        <f ca="1">IFERROR(__xludf.DUMMYFUNCTION("""COMPUTED_VALUE"""),7259)</f>
        <v>7259</v>
      </c>
      <c r="M302" s="12">
        <f ca="1">IFERROR(__xludf.DUMMYFUNCTION("""COMPUTED_VALUE"""),677)</f>
        <v>677</v>
      </c>
      <c r="N302" s="12">
        <f ca="1">IFERROR(__xludf.DUMMYFUNCTION("""COMPUTED_VALUE"""),6324)</f>
        <v>6324</v>
      </c>
      <c r="O302" s="12">
        <f ca="1">IFERROR(__xludf.DUMMYFUNCTION("""COMPUTED_VALUE"""),258)</f>
        <v>258</v>
      </c>
      <c r="P302" s="12">
        <f ca="1">IFERROR(__xludf.DUMMYFUNCTION("""COMPUTED_VALUE"""),21)</f>
        <v>21</v>
      </c>
      <c r="Q302" s="12">
        <f ca="1">IFERROR(__xludf.DUMMYFUNCTION("""COMPUTED_VALUE"""),1751)</f>
        <v>1751</v>
      </c>
      <c r="R302" s="12">
        <f ca="1">IFERROR(__xludf.DUMMYFUNCTION("""COMPUTED_VALUE"""),-113)</f>
        <v>-113</v>
      </c>
      <c r="S302" s="12">
        <f ca="1">IFERROR(__xludf.DUMMYFUNCTION("""COMPUTED_VALUE"""),437)</f>
        <v>437</v>
      </c>
      <c r="T302" s="12">
        <f ca="1">IFERROR(__xludf.DUMMYFUNCTION("""COMPUTED_VALUE"""),2096)</f>
        <v>2096</v>
      </c>
      <c r="U302" s="12">
        <f ca="1">IFERROR(__xludf.DUMMYFUNCTION("""COMPUTED_VALUE"""),324)</f>
        <v>324</v>
      </c>
    </row>
    <row r="303" spans="1:21" x14ac:dyDescent="0.25">
      <c r="A303" s="11">
        <f ca="1">IFERROR(__xludf.DUMMYFUNCTION("""COMPUTED_VALUE"""),44191)</f>
        <v>44191</v>
      </c>
      <c r="B303" s="12">
        <f ca="1">IFERROR(__xludf.DUMMYFUNCTION("""COMPUTED_VALUE"""),706837)</f>
        <v>706837</v>
      </c>
      <c r="C303" s="12">
        <f ca="1">IFERROR(__xludf.DUMMYFUNCTION("""COMPUTED_VALUE"""),109150)</f>
        <v>109150</v>
      </c>
      <c r="D303" s="12">
        <f ca="1">IFERROR(__xludf.DUMMYFUNCTION("""COMPUTED_VALUE"""),576693)</f>
        <v>576693</v>
      </c>
      <c r="E303" s="12">
        <f ca="1">IFERROR(__xludf.DUMMYFUNCTION("""COMPUTED_VALUE"""),20994)</f>
        <v>20994</v>
      </c>
      <c r="F303" s="12">
        <f ca="1">IFERROR(__xludf.DUMMYFUNCTION("""COMPUTED_VALUE"""),3182)</f>
        <v>3182</v>
      </c>
      <c r="G303" s="12">
        <f ca="1">IFERROR(__xludf.DUMMYFUNCTION("""COMPUTED_VALUE"""),156798)</f>
        <v>156798</v>
      </c>
      <c r="H303" s="12">
        <f ca="1">IFERROR(__xludf.DUMMYFUNCTION("""COMPUTED_VALUE"""),9439)</f>
        <v>9439</v>
      </c>
      <c r="I303" s="12">
        <f ca="1">IFERROR(__xludf.DUMMYFUNCTION("""COMPUTED_VALUE"""),4510)</f>
        <v>4510</v>
      </c>
      <c r="J303" s="12">
        <f ca="1">IFERROR(__xludf.DUMMYFUNCTION("""COMPUTED_VALUE"""),173929)</f>
        <v>173929</v>
      </c>
      <c r="K303" s="12">
        <f ca="1">IFERROR(__xludf.DUMMYFUNCTION("""COMPUTED_VALUE"""),13949)</f>
        <v>13949</v>
      </c>
      <c r="L303" s="12">
        <f ca="1">IFERROR(__xludf.DUMMYFUNCTION("""COMPUTED_VALUE"""),6740)</f>
        <v>6740</v>
      </c>
      <c r="M303" s="12">
        <f ca="1">IFERROR(__xludf.DUMMYFUNCTION("""COMPUTED_VALUE"""),204)</f>
        <v>204</v>
      </c>
      <c r="N303" s="12">
        <f ca="1">IFERROR(__xludf.DUMMYFUNCTION("""COMPUTED_VALUE"""),6389)</f>
        <v>6389</v>
      </c>
      <c r="O303" s="12">
        <f ca="1">IFERROR(__xludf.DUMMYFUNCTION("""COMPUTED_VALUE"""),147)</f>
        <v>147</v>
      </c>
      <c r="P303" s="12">
        <f ca="1">IFERROR(__xludf.DUMMYFUNCTION("""COMPUTED_VALUE"""),15)</f>
        <v>15</v>
      </c>
      <c r="Q303" s="12">
        <f ca="1">IFERROR(__xludf.DUMMYFUNCTION("""COMPUTED_VALUE"""),2556)</f>
        <v>2556</v>
      </c>
      <c r="R303" s="12">
        <f ca="1">IFERROR(__xludf.DUMMYFUNCTION("""COMPUTED_VALUE"""),719)</f>
        <v>719</v>
      </c>
      <c r="S303" s="12">
        <f ca="1">IFERROR(__xludf.DUMMYFUNCTION("""COMPUTED_VALUE"""),-1232)</f>
        <v>-1232</v>
      </c>
      <c r="T303" s="12">
        <f ca="1">IFERROR(__xludf.DUMMYFUNCTION("""COMPUTED_VALUE"""),2058)</f>
        <v>2058</v>
      </c>
      <c r="U303" s="12">
        <f ca="1">IFERROR(__xludf.DUMMYFUNCTION("""COMPUTED_VALUE"""),-513)</f>
        <v>-513</v>
      </c>
    </row>
    <row r="304" spans="1:21" x14ac:dyDescent="0.25">
      <c r="A304" s="11">
        <f ca="1">IFERROR(__xludf.DUMMYFUNCTION("""COMPUTED_VALUE"""),44192)</f>
        <v>44192</v>
      </c>
      <c r="B304" s="12">
        <f ca="1">IFERROR(__xludf.DUMMYFUNCTION("""COMPUTED_VALUE"""),713365)</f>
        <v>713365</v>
      </c>
      <c r="C304" s="12">
        <f ca="1">IFERROR(__xludf.DUMMYFUNCTION("""COMPUTED_VALUE"""),108452)</f>
        <v>108452</v>
      </c>
      <c r="D304" s="12">
        <f ca="1">IFERROR(__xludf.DUMMYFUNCTION("""COMPUTED_VALUE"""),583676)</f>
        <v>583676</v>
      </c>
      <c r="E304" s="12">
        <f ca="1">IFERROR(__xludf.DUMMYFUNCTION("""COMPUTED_VALUE"""),21237)</f>
        <v>21237</v>
      </c>
      <c r="F304" s="12">
        <f ca="1">IFERROR(__xludf.DUMMYFUNCTION("""COMPUTED_VALUE"""),3204)</f>
        <v>3204</v>
      </c>
      <c r="G304" s="12">
        <f ca="1">IFERROR(__xludf.DUMMYFUNCTION("""COMPUTED_VALUE"""),158615)</f>
        <v>158615</v>
      </c>
      <c r="H304" s="12">
        <f ca="1">IFERROR(__xludf.DUMMYFUNCTION("""COMPUTED_VALUE"""),9655)</f>
        <v>9655</v>
      </c>
      <c r="I304" s="12">
        <f ca="1">IFERROR(__xludf.DUMMYFUNCTION("""COMPUTED_VALUE"""),4452)</f>
        <v>4452</v>
      </c>
      <c r="J304" s="12">
        <f ca="1">IFERROR(__xludf.DUMMYFUNCTION("""COMPUTED_VALUE"""),175926)</f>
        <v>175926</v>
      </c>
      <c r="K304" s="12">
        <f ca="1">IFERROR(__xludf.DUMMYFUNCTION("""COMPUTED_VALUE"""),14107)</f>
        <v>14107</v>
      </c>
      <c r="L304" s="12">
        <f ca="1">IFERROR(__xludf.DUMMYFUNCTION("""COMPUTED_VALUE"""),6528)</f>
        <v>6528</v>
      </c>
      <c r="M304" s="12">
        <f ca="1">IFERROR(__xludf.DUMMYFUNCTION("""COMPUTED_VALUE"""),-698)</f>
        <v>-698</v>
      </c>
      <c r="N304" s="12">
        <f ca="1">IFERROR(__xludf.DUMMYFUNCTION("""COMPUTED_VALUE"""),6983)</f>
        <v>6983</v>
      </c>
      <c r="O304" s="12">
        <f ca="1">IFERROR(__xludf.DUMMYFUNCTION("""COMPUTED_VALUE"""),243)</f>
        <v>243</v>
      </c>
      <c r="P304" s="12">
        <f ca="1">IFERROR(__xludf.DUMMYFUNCTION("""COMPUTED_VALUE"""),22)</f>
        <v>22</v>
      </c>
      <c r="Q304" s="12">
        <f ca="1">IFERROR(__xludf.DUMMYFUNCTION("""COMPUTED_VALUE"""),1817)</f>
        <v>1817</v>
      </c>
      <c r="R304" s="12">
        <f ca="1">IFERROR(__xludf.DUMMYFUNCTION("""COMPUTED_VALUE"""),216)</f>
        <v>216</v>
      </c>
      <c r="S304" s="12">
        <f ca="1">IFERROR(__xludf.DUMMYFUNCTION("""COMPUTED_VALUE"""),-58)</f>
        <v>-58</v>
      </c>
      <c r="T304" s="12">
        <f ca="1">IFERROR(__xludf.DUMMYFUNCTION("""COMPUTED_VALUE"""),1997)</f>
        <v>1997</v>
      </c>
      <c r="U304" s="12">
        <f ca="1">IFERROR(__xludf.DUMMYFUNCTION("""COMPUTED_VALUE"""),158)</f>
        <v>158</v>
      </c>
    </row>
    <row r="305" spans="1:21" x14ac:dyDescent="0.25">
      <c r="A305" s="11">
        <f ca="1">IFERROR(__xludf.DUMMYFUNCTION("""COMPUTED_VALUE"""),44193)</f>
        <v>44193</v>
      </c>
      <c r="B305" s="12">
        <f ca="1">IFERROR(__xludf.DUMMYFUNCTION("""COMPUTED_VALUE"""),719219)</f>
        <v>719219</v>
      </c>
      <c r="C305" s="12">
        <f ca="1">IFERROR(__xludf.DUMMYFUNCTION("""COMPUTED_VALUE"""),107789)</f>
        <v>107789</v>
      </c>
      <c r="D305" s="12">
        <f ca="1">IFERROR(__xludf.DUMMYFUNCTION("""COMPUTED_VALUE"""),589978)</f>
        <v>589978</v>
      </c>
      <c r="E305" s="12">
        <f ca="1">IFERROR(__xludf.DUMMYFUNCTION("""COMPUTED_VALUE"""),21452)</f>
        <v>21452</v>
      </c>
      <c r="F305" s="12">
        <f ca="1">IFERROR(__xludf.DUMMYFUNCTION("""COMPUTED_VALUE"""),3226)</f>
        <v>3226</v>
      </c>
      <c r="G305" s="12">
        <f ca="1">IFERROR(__xludf.DUMMYFUNCTION("""COMPUTED_VALUE"""),159878)</f>
        <v>159878</v>
      </c>
      <c r="H305" s="12">
        <f ca="1">IFERROR(__xludf.DUMMYFUNCTION("""COMPUTED_VALUE"""),9919)</f>
        <v>9919</v>
      </c>
      <c r="I305" s="12">
        <f ca="1">IFERROR(__xludf.DUMMYFUNCTION("""COMPUTED_VALUE"""),4581)</f>
        <v>4581</v>
      </c>
      <c r="J305" s="12">
        <f ca="1">IFERROR(__xludf.DUMMYFUNCTION("""COMPUTED_VALUE"""),177604)</f>
        <v>177604</v>
      </c>
      <c r="K305" s="12">
        <f ca="1">IFERROR(__xludf.DUMMYFUNCTION("""COMPUTED_VALUE"""),14500)</f>
        <v>14500</v>
      </c>
      <c r="L305" s="12">
        <f ca="1">IFERROR(__xludf.DUMMYFUNCTION("""COMPUTED_VALUE"""),5854)</f>
        <v>5854</v>
      </c>
      <c r="M305" s="12">
        <f ca="1">IFERROR(__xludf.DUMMYFUNCTION("""COMPUTED_VALUE"""),-663)</f>
        <v>-663</v>
      </c>
      <c r="N305" s="12">
        <f ca="1">IFERROR(__xludf.DUMMYFUNCTION("""COMPUTED_VALUE"""),6302)</f>
        <v>6302</v>
      </c>
      <c r="O305" s="12">
        <f ca="1">IFERROR(__xludf.DUMMYFUNCTION("""COMPUTED_VALUE"""),215)</f>
        <v>215</v>
      </c>
      <c r="P305" s="12">
        <f ca="1">IFERROR(__xludf.DUMMYFUNCTION("""COMPUTED_VALUE"""),22)</f>
        <v>22</v>
      </c>
      <c r="Q305" s="12">
        <f ca="1">IFERROR(__xludf.DUMMYFUNCTION("""COMPUTED_VALUE"""),1263)</f>
        <v>1263</v>
      </c>
      <c r="R305" s="12">
        <f ca="1">IFERROR(__xludf.DUMMYFUNCTION("""COMPUTED_VALUE"""),264)</f>
        <v>264</v>
      </c>
      <c r="S305" s="12">
        <f ca="1">IFERROR(__xludf.DUMMYFUNCTION("""COMPUTED_VALUE"""),129)</f>
        <v>129</v>
      </c>
      <c r="T305" s="12">
        <f ca="1">IFERROR(__xludf.DUMMYFUNCTION("""COMPUTED_VALUE"""),1678)</f>
        <v>1678</v>
      </c>
      <c r="U305" s="12">
        <f ca="1">IFERROR(__xludf.DUMMYFUNCTION("""COMPUTED_VALUE"""),393)</f>
        <v>393</v>
      </c>
    </row>
    <row r="306" spans="1:21" x14ac:dyDescent="0.25">
      <c r="A306" s="11">
        <f ca="1">IFERROR(__xludf.DUMMYFUNCTION("""COMPUTED_VALUE"""),44194)</f>
        <v>44194</v>
      </c>
      <c r="B306" s="12">
        <f ca="1">IFERROR(__xludf.DUMMYFUNCTION("""COMPUTED_VALUE"""),727122)</f>
        <v>727122</v>
      </c>
      <c r="C306" s="12">
        <f ca="1">IFERROR(__xludf.DUMMYFUNCTION("""COMPUTED_VALUE"""),108636)</f>
        <v>108636</v>
      </c>
      <c r="D306" s="12">
        <f ca="1">IFERROR(__xludf.DUMMYFUNCTION("""COMPUTED_VALUE"""),596783)</f>
        <v>596783</v>
      </c>
      <c r="E306" s="12">
        <f ca="1">IFERROR(__xludf.DUMMYFUNCTION("""COMPUTED_VALUE"""),21703)</f>
        <v>21703</v>
      </c>
      <c r="F306" s="12">
        <f ca="1">IFERROR(__xludf.DUMMYFUNCTION("""COMPUTED_VALUE"""),3246)</f>
        <v>3246</v>
      </c>
      <c r="G306" s="12">
        <f ca="1">IFERROR(__xludf.DUMMYFUNCTION("""COMPUTED_VALUE"""),161337)</f>
        <v>161337</v>
      </c>
      <c r="H306" s="12">
        <f ca="1">IFERROR(__xludf.DUMMYFUNCTION("""COMPUTED_VALUE"""),10018)</f>
        <v>10018</v>
      </c>
      <c r="I306" s="12">
        <f ca="1">IFERROR(__xludf.DUMMYFUNCTION("""COMPUTED_VALUE"""),5059)</f>
        <v>5059</v>
      </c>
      <c r="J306" s="12">
        <f ca="1">IFERROR(__xludf.DUMMYFUNCTION("""COMPUTED_VALUE"""),179660)</f>
        <v>179660</v>
      </c>
      <c r="K306" s="12">
        <f ca="1">IFERROR(__xludf.DUMMYFUNCTION("""COMPUTED_VALUE"""),15077)</f>
        <v>15077</v>
      </c>
      <c r="L306" s="12">
        <f ca="1">IFERROR(__xludf.DUMMYFUNCTION("""COMPUTED_VALUE"""),7903)</f>
        <v>7903</v>
      </c>
      <c r="M306" s="12">
        <f ca="1">IFERROR(__xludf.DUMMYFUNCTION("""COMPUTED_VALUE"""),847)</f>
        <v>847</v>
      </c>
      <c r="N306" s="12">
        <f ca="1">IFERROR(__xludf.DUMMYFUNCTION("""COMPUTED_VALUE"""),6805)</f>
        <v>6805</v>
      </c>
      <c r="O306" s="12">
        <f ca="1">IFERROR(__xludf.DUMMYFUNCTION("""COMPUTED_VALUE"""),251)</f>
        <v>251</v>
      </c>
      <c r="P306" s="12">
        <f ca="1">IFERROR(__xludf.DUMMYFUNCTION("""COMPUTED_VALUE"""),20)</f>
        <v>20</v>
      </c>
      <c r="Q306" s="12">
        <f ca="1">IFERROR(__xludf.DUMMYFUNCTION("""COMPUTED_VALUE"""),1459)</f>
        <v>1459</v>
      </c>
      <c r="R306" s="12">
        <f ca="1">IFERROR(__xludf.DUMMYFUNCTION("""COMPUTED_VALUE"""),99)</f>
        <v>99</v>
      </c>
      <c r="S306" s="12">
        <f ca="1">IFERROR(__xludf.DUMMYFUNCTION("""COMPUTED_VALUE"""),478)</f>
        <v>478</v>
      </c>
      <c r="T306" s="12">
        <f ca="1">IFERROR(__xludf.DUMMYFUNCTION("""COMPUTED_VALUE"""),2056)</f>
        <v>2056</v>
      </c>
      <c r="U306" s="12">
        <f ca="1">IFERROR(__xludf.DUMMYFUNCTION("""COMPUTED_VALUE"""),577)</f>
        <v>577</v>
      </c>
    </row>
    <row r="307" spans="1:21" x14ac:dyDescent="0.25">
      <c r="A307" s="11">
        <f ca="1">IFERROR(__xludf.DUMMYFUNCTION("""COMPUTED_VALUE"""),44195)</f>
        <v>44195</v>
      </c>
      <c r="B307" s="12">
        <f ca="1">IFERROR(__xludf.DUMMYFUNCTION("""COMPUTED_VALUE"""),735124)</f>
        <v>735124</v>
      </c>
      <c r="C307" s="12">
        <f ca="1">IFERROR(__xludf.DUMMYFUNCTION("""COMPUTED_VALUE"""),109439)</f>
        <v>109439</v>
      </c>
      <c r="D307" s="12">
        <f ca="1">IFERROR(__xludf.DUMMYFUNCTION("""COMPUTED_VALUE"""),603741)</f>
        <v>603741</v>
      </c>
      <c r="E307" s="12">
        <f ca="1">IFERROR(__xludf.DUMMYFUNCTION("""COMPUTED_VALUE"""),21944)</f>
        <v>21944</v>
      </c>
      <c r="F307" s="12">
        <f ca="1">IFERROR(__xludf.DUMMYFUNCTION("""COMPUTED_VALUE"""),3266)</f>
        <v>3266</v>
      </c>
      <c r="G307" s="12">
        <f ca="1">IFERROR(__xludf.DUMMYFUNCTION("""COMPUTED_VALUE"""),162911)</f>
        <v>162911</v>
      </c>
      <c r="H307" s="12">
        <f ca="1">IFERROR(__xludf.DUMMYFUNCTION("""COMPUTED_VALUE"""),9882)</f>
        <v>9882</v>
      </c>
      <c r="I307" s="12">
        <f ca="1">IFERROR(__xludf.DUMMYFUNCTION("""COMPUTED_VALUE"""),5654)</f>
        <v>5654</v>
      </c>
      <c r="J307" s="12">
        <f ca="1">IFERROR(__xludf.DUMMYFUNCTION("""COMPUTED_VALUE"""),181713)</f>
        <v>181713</v>
      </c>
      <c r="K307" s="12">
        <f ca="1">IFERROR(__xludf.DUMMYFUNCTION("""COMPUTED_VALUE"""),15536)</f>
        <v>15536</v>
      </c>
      <c r="L307" s="12">
        <f ca="1">IFERROR(__xludf.DUMMYFUNCTION("""COMPUTED_VALUE"""),8002)</f>
        <v>8002</v>
      </c>
      <c r="M307" s="12">
        <f ca="1">IFERROR(__xludf.DUMMYFUNCTION("""COMPUTED_VALUE"""),803)</f>
        <v>803</v>
      </c>
      <c r="N307" s="12">
        <f ca="1">IFERROR(__xludf.DUMMYFUNCTION("""COMPUTED_VALUE"""),6958)</f>
        <v>6958</v>
      </c>
      <c r="O307" s="12">
        <f ca="1">IFERROR(__xludf.DUMMYFUNCTION("""COMPUTED_VALUE"""),241)</f>
        <v>241</v>
      </c>
      <c r="P307" s="12">
        <f ca="1">IFERROR(__xludf.DUMMYFUNCTION("""COMPUTED_VALUE"""),20)</f>
        <v>20</v>
      </c>
      <c r="Q307" s="12">
        <f ca="1">IFERROR(__xludf.DUMMYFUNCTION("""COMPUTED_VALUE"""),1574)</f>
        <v>1574</v>
      </c>
      <c r="R307" s="12">
        <f ca="1">IFERROR(__xludf.DUMMYFUNCTION("""COMPUTED_VALUE"""),-136)</f>
        <v>-136</v>
      </c>
      <c r="S307" s="12">
        <f ca="1">IFERROR(__xludf.DUMMYFUNCTION("""COMPUTED_VALUE"""),595)</f>
        <v>595</v>
      </c>
      <c r="T307" s="12">
        <f ca="1">IFERROR(__xludf.DUMMYFUNCTION("""COMPUTED_VALUE"""),2053)</f>
        <v>2053</v>
      </c>
      <c r="U307" s="12">
        <f ca="1">IFERROR(__xludf.DUMMYFUNCTION("""COMPUTED_VALUE"""),459)</f>
        <v>459</v>
      </c>
    </row>
    <row r="308" spans="1:21" x14ac:dyDescent="0.25">
      <c r="A308" s="11">
        <f ca="1">IFERROR(__xludf.DUMMYFUNCTION("""COMPUTED_VALUE"""),44196)</f>
        <v>44196</v>
      </c>
      <c r="B308" s="12">
        <f ca="1">IFERROR(__xludf.DUMMYFUNCTION("""COMPUTED_VALUE"""),743198)</f>
        <v>743198</v>
      </c>
      <c r="C308" s="12">
        <f ca="1">IFERROR(__xludf.DUMMYFUNCTION("""COMPUTED_VALUE"""),109963)</f>
        <v>109963</v>
      </c>
      <c r="D308" s="12">
        <f ca="1">IFERROR(__xludf.DUMMYFUNCTION("""COMPUTED_VALUE"""),611097)</f>
        <v>611097</v>
      </c>
      <c r="E308" s="12">
        <f ca="1">IFERROR(__xludf.DUMMYFUNCTION("""COMPUTED_VALUE"""),22138)</f>
        <v>22138</v>
      </c>
      <c r="F308" s="12">
        <f ca="1">IFERROR(__xludf.DUMMYFUNCTION("""COMPUTED_VALUE"""),3287)</f>
        <v>3287</v>
      </c>
      <c r="G308" s="12">
        <f ca="1">IFERROR(__xludf.DUMMYFUNCTION("""COMPUTED_VALUE"""),164881)</f>
        <v>164881</v>
      </c>
      <c r="H308" s="12">
        <f ca="1">IFERROR(__xludf.DUMMYFUNCTION("""COMPUTED_VALUE"""),9746)</f>
        <v>9746</v>
      </c>
      <c r="I308" s="12">
        <f ca="1">IFERROR(__xludf.DUMMYFUNCTION("""COMPUTED_VALUE"""),5821)</f>
        <v>5821</v>
      </c>
      <c r="J308" s="12">
        <f ca="1">IFERROR(__xludf.DUMMYFUNCTION("""COMPUTED_VALUE"""),183735)</f>
        <v>183735</v>
      </c>
      <c r="K308" s="12">
        <f ca="1">IFERROR(__xludf.DUMMYFUNCTION("""COMPUTED_VALUE"""),15567)</f>
        <v>15567</v>
      </c>
      <c r="L308" s="12">
        <f ca="1">IFERROR(__xludf.DUMMYFUNCTION("""COMPUTED_VALUE"""),8074)</f>
        <v>8074</v>
      </c>
      <c r="M308" s="12">
        <f ca="1">IFERROR(__xludf.DUMMYFUNCTION("""COMPUTED_VALUE"""),524)</f>
        <v>524</v>
      </c>
      <c r="N308" s="12">
        <f ca="1">IFERROR(__xludf.DUMMYFUNCTION("""COMPUTED_VALUE"""),7356)</f>
        <v>7356</v>
      </c>
      <c r="O308" s="12">
        <f ca="1">IFERROR(__xludf.DUMMYFUNCTION("""COMPUTED_VALUE"""),194)</f>
        <v>194</v>
      </c>
      <c r="P308" s="12">
        <f ca="1">IFERROR(__xludf.DUMMYFUNCTION("""COMPUTED_VALUE"""),21)</f>
        <v>21</v>
      </c>
      <c r="Q308" s="12">
        <f ca="1">IFERROR(__xludf.DUMMYFUNCTION("""COMPUTED_VALUE"""),1970)</f>
        <v>1970</v>
      </c>
      <c r="R308" s="12">
        <f ca="1">IFERROR(__xludf.DUMMYFUNCTION("""COMPUTED_VALUE"""),-136)</f>
        <v>-136</v>
      </c>
      <c r="S308" s="12">
        <f ca="1">IFERROR(__xludf.DUMMYFUNCTION("""COMPUTED_VALUE"""),167)</f>
        <v>167</v>
      </c>
      <c r="T308" s="12">
        <f ca="1">IFERROR(__xludf.DUMMYFUNCTION("""COMPUTED_VALUE"""),2022)</f>
        <v>2022</v>
      </c>
      <c r="U308" s="12">
        <f ca="1">IFERROR(__xludf.DUMMYFUNCTION("""COMPUTED_VALUE"""),31)</f>
        <v>31</v>
      </c>
    </row>
    <row r="309" spans="1:21" x14ac:dyDescent="0.25">
      <c r="A309" s="11">
        <f ca="1">IFERROR(__xludf.DUMMYFUNCTION("""COMPUTED_VALUE"""),44197)</f>
        <v>44197</v>
      </c>
      <c r="B309" s="12">
        <f ca="1">IFERROR(__xludf.DUMMYFUNCTION("""COMPUTED_VALUE"""),751270)</f>
        <v>751270</v>
      </c>
      <c r="C309" s="12">
        <f ca="1">IFERROR(__xludf.DUMMYFUNCTION("""COMPUTED_VALUE"""),111005)</f>
        <v>111005</v>
      </c>
      <c r="D309" s="12">
        <f ca="1">IFERROR(__xludf.DUMMYFUNCTION("""COMPUTED_VALUE"""),617936)</f>
        <v>617936</v>
      </c>
      <c r="E309" s="12">
        <f ca="1">IFERROR(__xludf.DUMMYFUNCTION("""COMPUTED_VALUE"""),22329)</f>
        <v>22329</v>
      </c>
      <c r="F309" s="12">
        <f ca="1">IFERROR(__xludf.DUMMYFUNCTION("""COMPUTED_VALUE"""),3308)</f>
        <v>3308</v>
      </c>
      <c r="G309" s="12">
        <f ca="1">IFERROR(__xludf.DUMMYFUNCTION("""COMPUTED_VALUE"""),166512)</f>
        <v>166512</v>
      </c>
      <c r="H309" s="12">
        <f ca="1">IFERROR(__xludf.DUMMYFUNCTION("""COMPUTED_VALUE"""),10082)</f>
        <v>10082</v>
      </c>
      <c r="I309" s="12">
        <f ca="1">IFERROR(__xludf.DUMMYFUNCTION("""COMPUTED_VALUE"""),5789)</f>
        <v>5789</v>
      </c>
      <c r="J309" s="12">
        <f ca="1">IFERROR(__xludf.DUMMYFUNCTION("""COMPUTED_VALUE"""),185691)</f>
        <v>185691</v>
      </c>
      <c r="K309" s="12">
        <f ca="1">IFERROR(__xludf.DUMMYFUNCTION("""COMPUTED_VALUE"""),15871)</f>
        <v>15871</v>
      </c>
      <c r="L309" s="12">
        <f ca="1">IFERROR(__xludf.DUMMYFUNCTION("""COMPUTED_VALUE"""),8072)</f>
        <v>8072</v>
      </c>
      <c r="M309" s="12">
        <f ca="1">IFERROR(__xludf.DUMMYFUNCTION("""COMPUTED_VALUE"""),1042)</f>
        <v>1042</v>
      </c>
      <c r="N309" s="12">
        <f ca="1">IFERROR(__xludf.DUMMYFUNCTION("""COMPUTED_VALUE"""),6839)</f>
        <v>6839</v>
      </c>
      <c r="O309" s="12">
        <f ca="1">IFERROR(__xludf.DUMMYFUNCTION("""COMPUTED_VALUE"""),191)</f>
        <v>191</v>
      </c>
      <c r="P309" s="12">
        <f ca="1">IFERROR(__xludf.DUMMYFUNCTION("""COMPUTED_VALUE"""),21)</f>
        <v>21</v>
      </c>
      <c r="Q309" s="12">
        <f ca="1">IFERROR(__xludf.DUMMYFUNCTION("""COMPUTED_VALUE"""),1631)</f>
        <v>1631</v>
      </c>
      <c r="R309" s="12">
        <f ca="1">IFERROR(__xludf.DUMMYFUNCTION("""COMPUTED_VALUE"""),336)</f>
        <v>336</v>
      </c>
      <c r="S309" s="12">
        <f ca="1">IFERROR(__xludf.DUMMYFUNCTION("""COMPUTED_VALUE"""),-32)</f>
        <v>-32</v>
      </c>
      <c r="T309" s="12">
        <f ca="1">IFERROR(__xludf.DUMMYFUNCTION("""COMPUTED_VALUE"""),1956)</f>
        <v>1956</v>
      </c>
      <c r="U309" s="12">
        <f ca="1">IFERROR(__xludf.DUMMYFUNCTION("""COMPUTED_VALUE"""),304)</f>
        <v>304</v>
      </c>
    </row>
    <row r="310" spans="1:21" x14ac:dyDescent="0.25">
      <c r="A310" s="11">
        <f ca="1">IFERROR(__xludf.DUMMYFUNCTION("""COMPUTED_VALUE"""),44198)</f>
        <v>44198</v>
      </c>
      <c r="B310" s="12">
        <f ca="1">IFERROR(__xludf.DUMMYFUNCTION("""COMPUTED_VALUE"""),758473)</f>
        <v>758473</v>
      </c>
      <c r="C310" s="12">
        <f ca="1">IFERROR(__xludf.DUMMYFUNCTION("""COMPUTED_VALUE"""),110400)</f>
        <v>110400</v>
      </c>
      <c r="D310" s="12">
        <f ca="1">IFERROR(__xludf.DUMMYFUNCTION("""COMPUTED_VALUE"""),625518)</f>
        <v>625518</v>
      </c>
      <c r="E310" s="12">
        <f ca="1">IFERROR(__xludf.DUMMYFUNCTION("""COMPUTED_VALUE"""),22555)</f>
        <v>22555</v>
      </c>
      <c r="F310" s="12">
        <f ca="1">IFERROR(__xludf.DUMMYFUNCTION("""COMPUTED_VALUE"""),3334)</f>
        <v>3334</v>
      </c>
      <c r="G310" s="12">
        <f ca="1">IFERROR(__xludf.DUMMYFUNCTION("""COMPUTED_VALUE"""),168781)</f>
        <v>168781</v>
      </c>
      <c r="H310" s="12">
        <f ca="1">IFERROR(__xludf.DUMMYFUNCTION("""COMPUTED_VALUE"""),10872)</f>
        <v>10872</v>
      </c>
      <c r="I310" s="12">
        <f ca="1">IFERROR(__xludf.DUMMYFUNCTION("""COMPUTED_VALUE"""),4599)</f>
        <v>4599</v>
      </c>
      <c r="J310" s="12">
        <f ca="1">IFERROR(__xludf.DUMMYFUNCTION("""COMPUTED_VALUE"""),187586)</f>
        <v>187586</v>
      </c>
      <c r="K310" s="12">
        <f ca="1">IFERROR(__xludf.DUMMYFUNCTION("""COMPUTED_VALUE"""),15471)</f>
        <v>15471</v>
      </c>
      <c r="L310" s="12">
        <f ca="1">IFERROR(__xludf.DUMMYFUNCTION("""COMPUTED_VALUE"""),7203)</f>
        <v>7203</v>
      </c>
      <c r="M310" s="12">
        <f ca="1">IFERROR(__xludf.DUMMYFUNCTION("""COMPUTED_VALUE"""),-605)</f>
        <v>-605</v>
      </c>
      <c r="N310" s="12">
        <f ca="1">IFERROR(__xludf.DUMMYFUNCTION("""COMPUTED_VALUE"""),7582)</f>
        <v>7582</v>
      </c>
      <c r="O310" s="12">
        <f ca="1">IFERROR(__xludf.DUMMYFUNCTION("""COMPUTED_VALUE"""),226)</f>
        <v>226</v>
      </c>
      <c r="P310" s="12">
        <f ca="1">IFERROR(__xludf.DUMMYFUNCTION("""COMPUTED_VALUE"""),26)</f>
        <v>26</v>
      </c>
      <c r="Q310" s="12">
        <f ca="1">IFERROR(__xludf.DUMMYFUNCTION("""COMPUTED_VALUE"""),2269)</f>
        <v>2269</v>
      </c>
      <c r="R310" s="12">
        <f ca="1">IFERROR(__xludf.DUMMYFUNCTION("""COMPUTED_VALUE"""),790)</f>
        <v>790</v>
      </c>
      <c r="S310" s="12">
        <f ca="1">IFERROR(__xludf.DUMMYFUNCTION("""COMPUTED_VALUE"""),-1190)</f>
        <v>-1190</v>
      </c>
      <c r="T310" s="12">
        <f ca="1">IFERROR(__xludf.DUMMYFUNCTION("""COMPUTED_VALUE"""),1895)</f>
        <v>1895</v>
      </c>
      <c r="U310" s="12">
        <f ca="1">IFERROR(__xludf.DUMMYFUNCTION("""COMPUTED_VALUE"""),-400)</f>
        <v>-400</v>
      </c>
    </row>
    <row r="311" spans="1:21" x14ac:dyDescent="0.25">
      <c r="A311" s="11">
        <f ca="1">IFERROR(__xludf.DUMMYFUNCTION("""COMPUTED_VALUE"""),44199)</f>
        <v>44199</v>
      </c>
      <c r="B311" s="12">
        <f ca="1">IFERROR(__xludf.DUMMYFUNCTION("""COMPUTED_VALUE"""),765350)</f>
        <v>765350</v>
      </c>
      <c r="C311" s="12">
        <f ca="1">IFERROR(__xludf.DUMMYFUNCTION("""COMPUTED_VALUE"""),110679)</f>
        <v>110679</v>
      </c>
      <c r="D311" s="12">
        <f ca="1">IFERROR(__xludf.DUMMYFUNCTION("""COMPUTED_VALUE"""),631937)</f>
        <v>631937</v>
      </c>
      <c r="E311" s="12">
        <f ca="1">IFERROR(__xludf.DUMMYFUNCTION("""COMPUTED_VALUE"""),22734)</f>
        <v>22734</v>
      </c>
      <c r="F311" s="12">
        <f ca="1">IFERROR(__xludf.DUMMYFUNCTION("""COMPUTED_VALUE"""),3345)</f>
        <v>3345</v>
      </c>
      <c r="G311" s="12">
        <f ca="1">IFERROR(__xludf.DUMMYFUNCTION("""COMPUTED_VALUE"""),170510)</f>
        <v>170510</v>
      </c>
      <c r="H311" s="12">
        <f ca="1">IFERROR(__xludf.DUMMYFUNCTION("""COMPUTED_VALUE"""),10978)</f>
        <v>10978</v>
      </c>
      <c r="I311" s="12">
        <f ca="1">IFERROR(__xludf.DUMMYFUNCTION("""COMPUTED_VALUE"""),4410)</f>
        <v>4410</v>
      </c>
      <c r="J311" s="12">
        <f ca="1">IFERROR(__xludf.DUMMYFUNCTION("""COMPUTED_VALUE"""),189243)</f>
        <v>189243</v>
      </c>
      <c r="K311" s="12">
        <f ca="1">IFERROR(__xludf.DUMMYFUNCTION("""COMPUTED_VALUE"""),15388)</f>
        <v>15388</v>
      </c>
      <c r="L311" s="12">
        <f ca="1">IFERROR(__xludf.DUMMYFUNCTION("""COMPUTED_VALUE"""),6877)</f>
        <v>6877</v>
      </c>
      <c r="M311" s="12">
        <f ca="1">IFERROR(__xludf.DUMMYFUNCTION("""COMPUTED_VALUE"""),279)</f>
        <v>279</v>
      </c>
      <c r="N311" s="12">
        <f ca="1">IFERROR(__xludf.DUMMYFUNCTION("""COMPUTED_VALUE"""),6419)</f>
        <v>6419</v>
      </c>
      <c r="O311" s="12">
        <f ca="1">IFERROR(__xludf.DUMMYFUNCTION("""COMPUTED_VALUE"""),179)</f>
        <v>179</v>
      </c>
      <c r="P311" s="12">
        <f ca="1">IFERROR(__xludf.DUMMYFUNCTION("""COMPUTED_VALUE"""),11)</f>
        <v>11</v>
      </c>
      <c r="Q311" s="12">
        <f ca="1">IFERROR(__xludf.DUMMYFUNCTION("""COMPUTED_VALUE"""),1729)</f>
        <v>1729</v>
      </c>
      <c r="R311" s="12">
        <f ca="1">IFERROR(__xludf.DUMMYFUNCTION("""COMPUTED_VALUE"""),106)</f>
        <v>106</v>
      </c>
      <c r="S311" s="12">
        <f ca="1">IFERROR(__xludf.DUMMYFUNCTION("""COMPUTED_VALUE"""),-189)</f>
        <v>-189</v>
      </c>
      <c r="T311" s="12">
        <f ca="1">IFERROR(__xludf.DUMMYFUNCTION("""COMPUTED_VALUE"""),1657)</f>
        <v>1657</v>
      </c>
      <c r="U311" s="12">
        <f ca="1">IFERROR(__xludf.DUMMYFUNCTION("""COMPUTED_VALUE"""),-83)</f>
        <v>-83</v>
      </c>
    </row>
    <row r="312" spans="1:21" x14ac:dyDescent="0.25">
      <c r="A312" s="11">
        <f ca="1">IFERROR(__xludf.DUMMYFUNCTION("""COMPUTED_VALUE"""),44200)</f>
        <v>44200</v>
      </c>
      <c r="B312" s="12">
        <f ca="1">IFERROR(__xludf.DUMMYFUNCTION("""COMPUTED_VALUE"""),772103)</f>
        <v>772103</v>
      </c>
      <c r="C312" s="12">
        <f ca="1">IFERROR(__xludf.DUMMYFUNCTION("""COMPUTED_VALUE"""),110089)</f>
        <v>110089</v>
      </c>
      <c r="D312" s="12">
        <f ca="1">IFERROR(__xludf.DUMMYFUNCTION("""COMPUTED_VALUE"""),639103)</f>
        <v>639103</v>
      </c>
      <c r="E312" s="12">
        <f ca="1">IFERROR(__xludf.DUMMYFUNCTION("""COMPUTED_VALUE"""),22911)</f>
        <v>22911</v>
      </c>
      <c r="F312" s="12">
        <f ca="1">IFERROR(__xludf.DUMMYFUNCTION("""COMPUTED_VALUE"""),3369)</f>
        <v>3369</v>
      </c>
      <c r="G312" s="12">
        <f ca="1">IFERROR(__xludf.DUMMYFUNCTION("""COMPUTED_VALUE"""),173036)</f>
        <v>173036</v>
      </c>
      <c r="H312" s="12">
        <f ca="1">IFERROR(__xludf.DUMMYFUNCTION("""COMPUTED_VALUE"""),10371)</f>
        <v>10371</v>
      </c>
      <c r="I312" s="12">
        <f ca="1">IFERROR(__xludf.DUMMYFUNCTION("""COMPUTED_VALUE"""),4299)</f>
        <v>4299</v>
      </c>
      <c r="J312" s="12">
        <f ca="1">IFERROR(__xludf.DUMMYFUNCTION("""COMPUTED_VALUE"""),191075)</f>
        <v>191075</v>
      </c>
      <c r="K312" s="12">
        <f ca="1">IFERROR(__xludf.DUMMYFUNCTION("""COMPUTED_VALUE"""),14670)</f>
        <v>14670</v>
      </c>
      <c r="L312" s="12">
        <f ca="1">IFERROR(__xludf.DUMMYFUNCTION("""COMPUTED_VALUE"""),6753)</f>
        <v>6753</v>
      </c>
      <c r="M312" s="12">
        <f ca="1">IFERROR(__xludf.DUMMYFUNCTION("""COMPUTED_VALUE"""),-590)</f>
        <v>-590</v>
      </c>
      <c r="N312" s="12">
        <f ca="1">IFERROR(__xludf.DUMMYFUNCTION("""COMPUTED_VALUE"""),7166)</f>
        <v>7166</v>
      </c>
      <c r="O312" s="12">
        <f ca="1">IFERROR(__xludf.DUMMYFUNCTION("""COMPUTED_VALUE"""),177)</f>
        <v>177</v>
      </c>
      <c r="P312" s="12">
        <f ca="1">IFERROR(__xludf.DUMMYFUNCTION("""COMPUTED_VALUE"""),24)</f>
        <v>24</v>
      </c>
      <c r="Q312" s="12">
        <f ca="1">IFERROR(__xludf.DUMMYFUNCTION("""COMPUTED_VALUE"""),2526)</f>
        <v>2526</v>
      </c>
      <c r="R312" s="12">
        <f ca="1">IFERROR(__xludf.DUMMYFUNCTION("""COMPUTED_VALUE"""),-607)</f>
        <v>-607</v>
      </c>
      <c r="S312" s="12">
        <f ca="1">IFERROR(__xludf.DUMMYFUNCTION("""COMPUTED_VALUE"""),-111)</f>
        <v>-111</v>
      </c>
      <c r="T312" s="12">
        <f ca="1">IFERROR(__xludf.DUMMYFUNCTION("""COMPUTED_VALUE"""),1832)</f>
        <v>1832</v>
      </c>
      <c r="U312" s="12">
        <f ca="1">IFERROR(__xludf.DUMMYFUNCTION("""COMPUTED_VALUE"""),-718)</f>
        <v>-718</v>
      </c>
    </row>
    <row r="313" spans="1:21" x14ac:dyDescent="0.25">
      <c r="A313" s="11">
        <f ca="1">IFERROR(__xludf.DUMMYFUNCTION("""COMPUTED_VALUE"""),44201)</f>
        <v>44201</v>
      </c>
      <c r="B313" s="12">
        <f ca="1">IFERROR(__xludf.DUMMYFUNCTION("""COMPUTED_VALUE"""),779548)</f>
        <v>779548</v>
      </c>
      <c r="C313" s="12">
        <f ca="1">IFERROR(__xludf.DUMMYFUNCTION("""COMPUTED_VALUE"""),110693)</f>
        <v>110693</v>
      </c>
      <c r="D313" s="12">
        <f ca="1">IFERROR(__xludf.DUMMYFUNCTION("""COMPUTED_VALUE"""),645746)</f>
        <v>645746</v>
      </c>
      <c r="E313" s="12">
        <f ca="1">IFERROR(__xludf.DUMMYFUNCTION("""COMPUTED_VALUE"""),23109)</f>
        <v>23109</v>
      </c>
      <c r="F313" s="12">
        <f ca="1">IFERROR(__xludf.DUMMYFUNCTION("""COMPUTED_VALUE"""),3392)</f>
        <v>3392</v>
      </c>
      <c r="G313" s="12">
        <f ca="1">IFERROR(__xludf.DUMMYFUNCTION("""COMPUTED_VALUE"""),174131)</f>
        <v>174131</v>
      </c>
      <c r="H313" s="12">
        <f ca="1">IFERROR(__xludf.DUMMYFUNCTION("""COMPUTED_VALUE"""),10897)</f>
        <v>10897</v>
      </c>
      <c r="I313" s="12">
        <f ca="1">IFERROR(__xludf.DUMMYFUNCTION("""COMPUTED_VALUE"""),4479)</f>
        <v>4479</v>
      </c>
      <c r="J313" s="12">
        <f ca="1">IFERROR(__xludf.DUMMYFUNCTION("""COMPUTED_VALUE"""),192899)</f>
        <v>192899</v>
      </c>
      <c r="K313" s="12">
        <f ca="1">IFERROR(__xludf.DUMMYFUNCTION("""COMPUTED_VALUE"""),15376)</f>
        <v>15376</v>
      </c>
      <c r="L313" s="12">
        <f ca="1">IFERROR(__xludf.DUMMYFUNCTION("""COMPUTED_VALUE"""),7445)</f>
        <v>7445</v>
      </c>
      <c r="M313" s="12">
        <f ca="1">IFERROR(__xludf.DUMMYFUNCTION("""COMPUTED_VALUE"""),604)</f>
        <v>604</v>
      </c>
      <c r="N313" s="12">
        <f ca="1">IFERROR(__xludf.DUMMYFUNCTION("""COMPUTED_VALUE"""),6643)</f>
        <v>6643</v>
      </c>
      <c r="O313" s="12">
        <f ca="1">IFERROR(__xludf.DUMMYFUNCTION("""COMPUTED_VALUE"""),198)</f>
        <v>198</v>
      </c>
      <c r="P313" s="12">
        <f ca="1">IFERROR(__xludf.DUMMYFUNCTION("""COMPUTED_VALUE"""),23)</f>
        <v>23</v>
      </c>
      <c r="Q313" s="12">
        <f ca="1">IFERROR(__xludf.DUMMYFUNCTION("""COMPUTED_VALUE"""),1095)</f>
        <v>1095</v>
      </c>
      <c r="R313" s="12">
        <f ca="1">IFERROR(__xludf.DUMMYFUNCTION("""COMPUTED_VALUE"""),526)</f>
        <v>526</v>
      </c>
      <c r="S313" s="12">
        <f ca="1">IFERROR(__xludf.DUMMYFUNCTION("""COMPUTED_VALUE"""),180)</f>
        <v>180</v>
      </c>
      <c r="T313" s="12">
        <f ca="1">IFERROR(__xludf.DUMMYFUNCTION("""COMPUTED_VALUE"""),1824)</f>
        <v>1824</v>
      </c>
      <c r="U313" s="12">
        <f ca="1">IFERROR(__xludf.DUMMYFUNCTION("""COMPUTED_VALUE"""),706)</f>
        <v>706</v>
      </c>
    </row>
    <row r="314" spans="1:21" x14ac:dyDescent="0.25">
      <c r="A314" s="11">
        <f ca="1">IFERROR(__xludf.DUMMYFUNCTION("""COMPUTED_VALUE"""),44202)</f>
        <v>44202</v>
      </c>
      <c r="B314" s="12">
        <f ca="1">IFERROR(__xludf.DUMMYFUNCTION("""COMPUTED_VALUE"""),788402)</f>
        <v>788402</v>
      </c>
      <c r="C314" s="12">
        <f ca="1">IFERROR(__xludf.DUMMYFUNCTION("""COMPUTED_VALUE"""),112593)</f>
        <v>112593</v>
      </c>
      <c r="D314" s="12">
        <f ca="1">IFERROR(__xludf.DUMMYFUNCTION("""COMPUTED_VALUE"""),652513)</f>
        <v>652513</v>
      </c>
      <c r="E314" s="12">
        <f ca="1">IFERROR(__xludf.DUMMYFUNCTION("""COMPUTED_VALUE"""),23296)</f>
        <v>23296</v>
      </c>
      <c r="F314" s="12">
        <f ca="1">IFERROR(__xludf.DUMMYFUNCTION("""COMPUTED_VALUE"""),3410)</f>
        <v>3410</v>
      </c>
      <c r="G314" s="12">
        <f ca="1">IFERROR(__xludf.DUMMYFUNCTION("""COMPUTED_VALUE"""),175441)</f>
        <v>175441</v>
      </c>
      <c r="H314" s="12">
        <f ca="1">IFERROR(__xludf.DUMMYFUNCTION("""COMPUTED_VALUE"""),12196)</f>
        <v>12196</v>
      </c>
      <c r="I314" s="12">
        <f ca="1">IFERROR(__xludf.DUMMYFUNCTION("""COMPUTED_VALUE"""),4254)</f>
        <v>4254</v>
      </c>
      <c r="J314" s="12">
        <f ca="1">IFERROR(__xludf.DUMMYFUNCTION("""COMPUTED_VALUE"""),195301)</f>
        <v>195301</v>
      </c>
      <c r="K314" s="12">
        <f ca="1">IFERROR(__xludf.DUMMYFUNCTION("""COMPUTED_VALUE"""),16450)</f>
        <v>16450</v>
      </c>
      <c r="L314" s="12">
        <f ca="1">IFERROR(__xludf.DUMMYFUNCTION("""COMPUTED_VALUE"""),8854)</f>
        <v>8854</v>
      </c>
      <c r="M314" s="12">
        <f ca="1">IFERROR(__xludf.DUMMYFUNCTION("""COMPUTED_VALUE"""),1900)</f>
        <v>1900</v>
      </c>
      <c r="N314" s="12">
        <f ca="1">IFERROR(__xludf.DUMMYFUNCTION("""COMPUTED_VALUE"""),6767)</f>
        <v>6767</v>
      </c>
      <c r="O314" s="12">
        <f ca="1">IFERROR(__xludf.DUMMYFUNCTION("""COMPUTED_VALUE"""),187)</f>
        <v>187</v>
      </c>
      <c r="P314" s="12">
        <f ca="1">IFERROR(__xludf.DUMMYFUNCTION("""COMPUTED_VALUE"""),18)</f>
        <v>18</v>
      </c>
      <c r="Q314" s="12">
        <f ca="1">IFERROR(__xludf.DUMMYFUNCTION("""COMPUTED_VALUE"""),1310)</f>
        <v>1310</v>
      </c>
      <c r="R314" s="12">
        <f ca="1">IFERROR(__xludf.DUMMYFUNCTION("""COMPUTED_VALUE"""),1299)</f>
        <v>1299</v>
      </c>
      <c r="S314" s="12">
        <f ca="1">IFERROR(__xludf.DUMMYFUNCTION("""COMPUTED_VALUE"""),-225)</f>
        <v>-225</v>
      </c>
      <c r="T314" s="12">
        <f ca="1">IFERROR(__xludf.DUMMYFUNCTION("""COMPUTED_VALUE"""),2402)</f>
        <v>2402</v>
      </c>
      <c r="U314" s="12">
        <f ca="1">IFERROR(__xludf.DUMMYFUNCTION("""COMPUTED_VALUE"""),1074)</f>
        <v>1074</v>
      </c>
    </row>
    <row r="315" spans="1:21" x14ac:dyDescent="0.25">
      <c r="A315" s="11">
        <f ca="1">IFERROR(__xludf.DUMMYFUNCTION("""COMPUTED_VALUE"""),44203)</f>
        <v>44203</v>
      </c>
      <c r="B315" s="12">
        <f ca="1">IFERROR(__xludf.DUMMYFUNCTION("""COMPUTED_VALUE"""),797723)</f>
        <v>797723</v>
      </c>
      <c r="C315" s="12">
        <f ca="1">IFERROR(__xludf.DUMMYFUNCTION("""COMPUTED_VALUE"""),114766)</f>
        <v>114766</v>
      </c>
      <c r="D315" s="12">
        <f ca="1">IFERROR(__xludf.DUMMYFUNCTION("""COMPUTED_VALUE"""),659437)</f>
        <v>659437</v>
      </c>
      <c r="E315" s="12">
        <f ca="1">IFERROR(__xludf.DUMMYFUNCTION("""COMPUTED_VALUE"""),23520)</f>
        <v>23520</v>
      </c>
      <c r="F315" s="12">
        <f ca="1">IFERROR(__xludf.DUMMYFUNCTION("""COMPUTED_VALUE"""),3435)</f>
        <v>3435</v>
      </c>
      <c r="G315" s="12">
        <f ca="1">IFERROR(__xludf.DUMMYFUNCTION("""COMPUTED_VALUE"""),176882)</f>
        <v>176882</v>
      </c>
      <c r="H315" s="12">
        <f ca="1">IFERROR(__xludf.DUMMYFUNCTION("""COMPUTED_VALUE"""),12781)</f>
        <v>12781</v>
      </c>
      <c r="I315" s="12">
        <f ca="1">IFERROR(__xludf.DUMMYFUNCTION("""COMPUTED_VALUE"""),4601)</f>
        <v>4601</v>
      </c>
      <c r="J315" s="12">
        <f ca="1">IFERROR(__xludf.DUMMYFUNCTION("""COMPUTED_VALUE"""),197699)</f>
        <v>197699</v>
      </c>
      <c r="K315" s="12">
        <f ca="1">IFERROR(__xludf.DUMMYFUNCTION("""COMPUTED_VALUE"""),17382)</f>
        <v>17382</v>
      </c>
      <c r="L315" s="12">
        <f ca="1">IFERROR(__xludf.DUMMYFUNCTION("""COMPUTED_VALUE"""),9321)</f>
        <v>9321</v>
      </c>
      <c r="M315" s="12">
        <f ca="1">IFERROR(__xludf.DUMMYFUNCTION("""COMPUTED_VALUE"""),2173)</f>
        <v>2173</v>
      </c>
      <c r="N315" s="12">
        <f ca="1">IFERROR(__xludf.DUMMYFUNCTION("""COMPUTED_VALUE"""),6924)</f>
        <v>6924</v>
      </c>
      <c r="O315" s="12">
        <f ca="1">IFERROR(__xludf.DUMMYFUNCTION("""COMPUTED_VALUE"""),224)</f>
        <v>224</v>
      </c>
      <c r="P315" s="12">
        <f ca="1">IFERROR(__xludf.DUMMYFUNCTION("""COMPUTED_VALUE"""),25)</f>
        <v>25</v>
      </c>
      <c r="Q315" s="12">
        <f ca="1">IFERROR(__xludf.DUMMYFUNCTION("""COMPUTED_VALUE"""),1441)</f>
        <v>1441</v>
      </c>
      <c r="R315" s="12">
        <f ca="1">IFERROR(__xludf.DUMMYFUNCTION("""COMPUTED_VALUE"""),585)</f>
        <v>585</v>
      </c>
      <c r="S315" s="12">
        <f ca="1">IFERROR(__xludf.DUMMYFUNCTION("""COMPUTED_VALUE"""),347)</f>
        <v>347</v>
      </c>
      <c r="T315" s="12">
        <f ca="1">IFERROR(__xludf.DUMMYFUNCTION("""COMPUTED_VALUE"""),2398)</f>
        <v>2398</v>
      </c>
      <c r="U315" s="12">
        <f ca="1">IFERROR(__xludf.DUMMYFUNCTION("""COMPUTED_VALUE"""),932)</f>
        <v>932</v>
      </c>
    </row>
    <row r="316" spans="1:21" x14ac:dyDescent="0.25">
      <c r="A316" s="11">
        <f ca="1">IFERROR(__xludf.DUMMYFUNCTION("""COMPUTED_VALUE"""),44204)</f>
        <v>44204</v>
      </c>
      <c r="B316" s="12">
        <f ca="1">IFERROR(__xludf.DUMMYFUNCTION("""COMPUTED_VALUE"""),808340)</f>
        <v>808340</v>
      </c>
      <c r="C316" s="12">
        <f ca="1">IFERROR(__xludf.DUMMYFUNCTION("""COMPUTED_VALUE"""),117704)</f>
        <v>117704</v>
      </c>
      <c r="D316" s="12">
        <f ca="1">IFERROR(__xludf.DUMMYFUNCTION("""COMPUTED_VALUE"""),666883)</f>
        <v>666883</v>
      </c>
      <c r="E316" s="12">
        <f ca="1">IFERROR(__xludf.DUMMYFUNCTION("""COMPUTED_VALUE"""),23753)</f>
        <v>23753</v>
      </c>
      <c r="F316" s="12">
        <f ca="1">IFERROR(__xludf.DUMMYFUNCTION("""COMPUTED_VALUE"""),3463)</f>
        <v>3463</v>
      </c>
      <c r="G316" s="12">
        <f ca="1">IFERROR(__xludf.DUMMYFUNCTION("""COMPUTED_VALUE"""),179562)</f>
        <v>179562</v>
      </c>
      <c r="H316" s="12">
        <f ca="1">IFERROR(__xludf.DUMMYFUNCTION("""COMPUTED_VALUE"""),13397)</f>
        <v>13397</v>
      </c>
      <c r="I316" s="12">
        <f ca="1">IFERROR(__xludf.DUMMYFUNCTION("""COMPUTED_VALUE"""),4236)</f>
        <v>4236</v>
      </c>
      <c r="J316" s="12">
        <f ca="1">IFERROR(__xludf.DUMMYFUNCTION("""COMPUTED_VALUE"""),200658)</f>
        <v>200658</v>
      </c>
      <c r="K316" s="12">
        <f ca="1">IFERROR(__xludf.DUMMYFUNCTION("""COMPUTED_VALUE"""),17633)</f>
        <v>17633</v>
      </c>
      <c r="L316" s="12">
        <f ca="1">IFERROR(__xludf.DUMMYFUNCTION("""COMPUTED_VALUE"""),10617)</f>
        <v>10617</v>
      </c>
      <c r="M316" s="12">
        <f ca="1">IFERROR(__xludf.DUMMYFUNCTION("""COMPUTED_VALUE"""),2938)</f>
        <v>2938</v>
      </c>
      <c r="N316" s="12">
        <f ca="1">IFERROR(__xludf.DUMMYFUNCTION("""COMPUTED_VALUE"""),7446)</f>
        <v>7446</v>
      </c>
      <c r="O316" s="12">
        <f ca="1">IFERROR(__xludf.DUMMYFUNCTION("""COMPUTED_VALUE"""),233)</f>
        <v>233</v>
      </c>
      <c r="P316" s="12">
        <f ca="1">IFERROR(__xludf.DUMMYFUNCTION("""COMPUTED_VALUE"""),28)</f>
        <v>28</v>
      </c>
      <c r="Q316" s="12">
        <f ca="1">IFERROR(__xludf.DUMMYFUNCTION("""COMPUTED_VALUE"""),2680)</f>
        <v>2680</v>
      </c>
      <c r="R316" s="12">
        <f ca="1">IFERROR(__xludf.DUMMYFUNCTION("""COMPUTED_VALUE"""),616)</f>
        <v>616</v>
      </c>
      <c r="S316" s="12">
        <f ca="1">IFERROR(__xludf.DUMMYFUNCTION("""COMPUTED_VALUE"""),-365)</f>
        <v>-365</v>
      </c>
      <c r="T316" s="12">
        <f ca="1">IFERROR(__xludf.DUMMYFUNCTION("""COMPUTED_VALUE"""),2959)</f>
        <v>2959</v>
      </c>
      <c r="U316" s="12">
        <f ca="1">IFERROR(__xludf.DUMMYFUNCTION("""COMPUTED_VALUE"""),251)</f>
        <v>251</v>
      </c>
    </row>
    <row r="317" spans="1:21" x14ac:dyDescent="0.25">
      <c r="A317" s="11">
        <f ca="1">IFERROR(__xludf.DUMMYFUNCTION("""COMPUTED_VALUE"""),44205)</f>
        <v>44205</v>
      </c>
      <c r="B317" s="12">
        <f ca="1">IFERROR(__xludf.DUMMYFUNCTION("""COMPUTED_VALUE"""),818386)</f>
        <v>818386</v>
      </c>
      <c r="C317" s="12">
        <f ca="1">IFERROR(__xludf.DUMMYFUNCTION("""COMPUTED_VALUE"""),120928)</f>
        <v>120928</v>
      </c>
      <c r="D317" s="12">
        <f ca="1">IFERROR(__xludf.DUMMYFUNCTION("""COMPUTED_VALUE"""),673511)</f>
        <v>673511</v>
      </c>
      <c r="E317" s="12">
        <f ca="1">IFERROR(__xludf.DUMMYFUNCTION("""COMPUTED_VALUE"""),23947)</f>
        <v>23947</v>
      </c>
      <c r="F317" s="12">
        <f ca="1">IFERROR(__xludf.DUMMYFUNCTION("""COMPUTED_VALUE"""),3485)</f>
        <v>3485</v>
      </c>
      <c r="G317" s="12">
        <f ca="1">IFERROR(__xludf.DUMMYFUNCTION("""COMPUTED_VALUE"""),181613)</f>
        <v>181613</v>
      </c>
      <c r="H317" s="12">
        <f ca="1">IFERROR(__xludf.DUMMYFUNCTION("""COMPUTED_VALUE"""),13076)</f>
        <v>13076</v>
      </c>
      <c r="I317" s="12">
        <f ca="1">IFERROR(__xludf.DUMMYFUNCTION("""COMPUTED_VALUE"""),5237)</f>
        <v>5237</v>
      </c>
      <c r="J317" s="12">
        <f ca="1">IFERROR(__xludf.DUMMYFUNCTION("""COMPUTED_VALUE"""),203411)</f>
        <v>203411</v>
      </c>
      <c r="K317" s="12">
        <f ca="1">IFERROR(__xludf.DUMMYFUNCTION("""COMPUTED_VALUE"""),18313)</f>
        <v>18313</v>
      </c>
      <c r="L317" s="12">
        <f ca="1">IFERROR(__xludf.DUMMYFUNCTION("""COMPUTED_VALUE"""),10046)</f>
        <v>10046</v>
      </c>
      <c r="M317" s="12">
        <f ca="1">IFERROR(__xludf.DUMMYFUNCTION("""COMPUTED_VALUE"""),3224)</f>
        <v>3224</v>
      </c>
      <c r="N317" s="12">
        <f ca="1">IFERROR(__xludf.DUMMYFUNCTION("""COMPUTED_VALUE"""),6628)</f>
        <v>6628</v>
      </c>
      <c r="O317" s="12">
        <f ca="1">IFERROR(__xludf.DUMMYFUNCTION("""COMPUTED_VALUE"""),194)</f>
        <v>194</v>
      </c>
      <c r="P317" s="12">
        <f ca="1">IFERROR(__xludf.DUMMYFUNCTION("""COMPUTED_VALUE"""),22)</f>
        <v>22</v>
      </c>
      <c r="Q317" s="12">
        <f ca="1">IFERROR(__xludf.DUMMYFUNCTION("""COMPUTED_VALUE"""),2051)</f>
        <v>2051</v>
      </c>
      <c r="R317" s="12">
        <f ca="1">IFERROR(__xludf.DUMMYFUNCTION("""COMPUTED_VALUE"""),-321)</f>
        <v>-321</v>
      </c>
      <c r="S317" s="12">
        <f ca="1">IFERROR(__xludf.DUMMYFUNCTION("""COMPUTED_VALUE"""),1001)</f>
        <v>1001</v>
      </c>
      <c r="T317" s="12">
        <f ca="1">IFERROR(__xludf.DUMMYFUNCTION("""COMPUTED_VALUE"""),2753)</f>
        <v>2753</v>
      </c>
      <c r="U317" s="12">
        <f ca="1">IFERROR(__xludf.DUMMYFUNCTION("""COMPUTED_VALUE"""),680)</f>
        <v>680</v>
      </c>
    </row>
    <row r="318" spans="1:21" x14ac:dyDescent="0.25">
      <c r="A318" s="11">
        <f ca="1">IFERROR(__xludf.DUMMYFUNCTION("""COMPUTED_VALUE"""),44206)</f>
        <v>44206</v>
      </c>
      <c r="B318" s="12">
        <f ca="1">IFERROR(__xludf.DUMMYFUNCTION("""COMPUTED_VALUE"""),828026)</f>
        <v>828026</v>
      </c>
      <c r="C318" s="12">
        <f ca="1">IFERROR(__xludf.DUMMYFUNCTION("""COMPUTED_VALUE"""),122873)</f>
        <v>122873</v>
      </c>
      <c r="D318" s="12">
        <f ca="1">IFERROR(__xludf.DUMMYFUNCTION("""COMPUTED_VALUE"""),681024)</f>
        <v>681024</v>
      </c>
      <c r="E318" s="12">
        <f ca="1">IFERROR(__xludf.DUMMYFUNCTION("""COMPUTED_VALUE"""),24129)</f>
        <v>24129</v>
      </c>
      <c r="F318" s="12">
        <f ca="1">IFERROR(__xludf.DUMMYFUNCTION("""COMPUTED_VALUE"""),3517)</f>
        <v>3517</v>
      </c>
      <c r="G318" s="12">
        <f ca="1">IFERROR(__xludf.DUMMYFUNCTION("""COMPUTED_VALUE"""),184576)</f>
        <v>184576</v>
      </c>
      <c r="H318" s="12">
        <f ca="1">IFERROR(__xludf.DUMMYFUNCTION("""COMPUTED_VALUE"""),13166)</f>
        <v>13166</v>
      </c>
      <c r="I318" s="12">
        <f ca="1">IFERROR(__xludf.DUMMYFUNCTION("""COMPUTED_VALUE"""),4863)</f>
        <v>4863</v>
      </c>
      <c r="J318" s="12">
        <f ca="1">IFERROR(__xludf.DUMMYFUNCTION("""COMPUTED_VALUE"""),206122)</f>
        <v>206122</v>
      </c>
      <c r="K318" s="12">
        <f ca="1">IFERROR(__xludf.DUMMYFUNCTION("""COMPUTED_VALUE"""),18029)</f>
        <v>18029</v>
      </c>
      <c r="L318" s="12">
        <f ca="1">IFERROR(__xludf.DUMMYFUNCTION("""COMPUTED_VALUE"""),9640)</f>
        <v>9640</v>
      </c>
      <c r="M318" s="12">
        <f ca="1">IFERROR(__xludf.DUMMYFUNCTION("""COMPUTED_VALUE"""),1945)</f>
        <v>1945</v>
      </c>
      <c r="N318" s="12">
        <f ca="1">IFERROR(__xludf.DUMMYFUNCTION("""COMPUTED_VALUE"""),7513)</f>
        <v>7513</v>
      </c>
      <c r="O318" s="12">
        <f ca="1">IFERROR(__xludf.DUMMYFUNCTION("""COMPUTED_VALUE"""),182)</f>
        <v>182</v>
      </c>
      <c r="P318" s="12">
        <f ca="1">IFERROR(__xludf.DUMMYFUNCTION("""COMPUTED_VALUE"""),32)</f>
        <v>32</v>
      </c>
      <c r="Q318" s="12">
        <f ca="1">IFERROR(__xludf.DUMMYFUNCTION("""COMPUTED_VALUE"""),2963)</f>
        <v>2963</v>
      </c>
      <c r="R318" s="12">
        <f ca="1">IFERROR(__xludf.DUMMYFUNCTION("""COMPUTED_VALUE"""),90)</f>
        <v>90</v>
      </c>
      <c r="S318" s="12">
        <f ca="1">IFERROR(__xludf.DUMMYFUNCTION("""COMPUTED_VALUE"""),-374)</f>
        <v>-374</v>
      </c>
      <c r="T318" s="12">
        <f ca="1">IFERROR(__xludf.DUMMYFUNCTION("""COMPUTED_VALUE"""),2711)</f>
        <v>2711</v>
      </c>
      <c r="U318" s="12">
        <f ca="1">IFERROR(__xludf.DUMMYFUNCTION("""COMPUTED_VALUE"""),-284)</f>
        <v>-284</v>
      </c>
    </row>
    <row r="319" spans="1:21" x14ac:dyDescent="0.25">
      <c r="A319" s="11">
        <f ca="1">IFERROR(__xludf.DUMMYFUNCTION("""COMPUTED_VALUE"""),44207)</f>
        <v>44207</v>
      </c>
      <c r="B319" s="12">
        <f ca="1">IFERROR(__xludf.DUMMYFUNCTION("""COMPUTED_VALUE"""),836718)</f>
        <v>836718</v>
      </c>
      <c r="C319" s="12">
        <f ca="1">IFERROR(__xludf.DUMMYFUNCTION("""COMPUTED_VALUE"""),123636)</f>
        <v>123636</v>
      </c>
      <c r="D319" s="12">
        <f ca="1">IFERROR(__xludf.DUMMYFUNCTION("""COMPUTED_VALUE"""),688739)</f>
        <v>688739</v>
      </c>
      <c r="E319" s="12">
        <f ca="1">IFERROR(__xludf.DUMMYFUNCTION("""COMPUTED_VALUE"""),24343)</f>
        <v>24343</v>
      </c>
      <c r="F319" s="12">
        <f ca="1">IFERROR(__xludf.DUMMYFUNCTION("""COMPUTED_VALUE"""),3551)</f>
        <v>3551</v>
      </c>
      <c r="G319" s="12">
        <f ca="1">IFERROR(__xludf.DUMMYFUNCTION("""COMPUTED_VALUE"""),187086)</f>
        <v>187086</v>
      </c>
      <c r="H319" s="12">
        <f ca="1">IFERROR(__xludf.DUMMYFUNCTION("""COMPUTED_VALUE"""),13541)</f>
        <v>13541</v>
      </c>
      <c r="I319" s="12">
        <f ca="1">IFERROR(__xludf.DUMMYFUNCTION("""COMPUTED_VALUE"""),4405)</f>
        <v>4405</v>
      </c>
      <c r="J319" s="12">
        <f ca="1">IFERROR(__xludf.DUMMYFUNCTION("""COMPUTED_VALUE"""),208583)</f>
        <v>208583</v>
      </c>
      <c r="K319" s="12">
        <f ca="1">IFERROR(__xludf.DUMMYFUNCTION("""COMPUTED_VALUE"""),17946)</f>
        <v>17946</v>
      </c>
      <c r="L319" s="12">
        <f ca="1">IFERROR(__xludf.DUMMYFUNCTION("""COMPUTED_VALUE"""),8692)</f>
        <v>8692</v>
      </c>
      <c r="M319" s="12">
        <f ca="1">IFERROR(__xludf.DUMMYFUNCTION("""COMPUTED_VALUE"""),763)</f>
        <v>763</v>
      </c>
      <c r="N319" s="12">
        <f ca="1">IFERROR(__xludf.DUMMYFUNCTION("""COMPUTED_VALUE"""),7715)</f>
        <v>7715</v>
      </c>
      <c r="O319" s="12">
        <f ca="1">IFERROR(__xludf.DUMMYFUNCTION("""COMPUTED_VALUE"""),214)</f>
        <v>214</v>
      </c>
      <c r="P319" s="12">
        <f ca="1">IFERROR(__xludf.DUMMYFUNCTION("""COMPUTED_VALUE"""),34)</f>
        <v>34</v>
      </c>
      <c r="Q319" s="12">
        <f ca="1">IFERROR(__xludf.DUMMYFUNCTION("""COMPUTED_VALUE"""),2510)</f>
        <v>2510</v>
      </c>
      <c r="R319" s="12">
        <f ca="1">IFERROR(__xludf.DUMMYFUNCTION("""COMPUTED_VALUE"""),375)</f>
        <v>375</v>
      </c>
      <c r="S319" s="12">
        <f ca="1">IFERROR(__xludf.DUMMYFUNCTION("""COMPUTED_VALUE"""),-458)</f>
        <v>-458</v>
      </c>
      <c r="T319" s="12">
        <f ca="1">IFERROR(__xludf.DUMMYFUNCTION("""COMPUTED_VALUE"""),2461)</f>
        <v>2461</v>
      </c>
      <c r="U319" s="12">
        <f ca="1">IFERROR(__xludf.DUMMYFUNCTION("""COMPUTED_VALUE"""),-83)</f>
        <v>-83</v>
      </c>
    </row>
    <row r="320" spans="1:21" x14ac:dyDescent="0.25">
      <c r="A320" s="11">
        <f ca="1">IFERROR(__xludf.DUMMYFUNCTION("""COMPUTED_VALUE"""),44208)</f>
        <v>44208</v>
      </c>
      <c r="B320" s="12">
        <f ca="1">IFERROR(__xludf.DUMMYFUNCTION("""COMPUTED_VALUE"""),846765)</f>
        <v>846765</v>
      </c>
      <c r="C320" s="12">
        <f ca="1">IFERROR(__xludf.DUMMYFUNCTION("""COMPUTED_VALUE"""),126313)</f>
        <v>126313</v>
      </c>
      <c r="D320" s="12">
        <f ca="1">IFERROR(__xludf.DUMMYFUNCTION("""COMPUTED_VALUE"""),695807)</f>
        <v>695807</v>
      </c>
      <c r="E320" s="12">
        <f ca="1">IFERROR(__xludf.DUMMYFUNCTION("""COMPUTED_VALUE"""),24645)</f>
        <v>24645</v>
      </c>
      <c r="F320" s="12">
        <f ca="1">IFERROR(__xludf.DUMMYFUNCTION("""COMPUTED_VALUE"""),3589)</f>
        <v>3589</v>
      </c>
      <c r="G320" s="12">
        <f ca="1">IFERROR(__xludf.DUMMYFUNCTION("""COMPUTED_VALUE"""),188675)</f>
        <v>188675</v>
      </c>
      <c r="H320" s="12">
        <f ca="1">IFERROR(__xludf.DUMMYFUNCTION("""COMPUTED_VALUE"""),14591)</f>
        <v>14591</v>
      </c>
      <c r="I320" s="12">
        <f ca="1">IFERROR(__xludf.DUMMYFUNCTION("""COMPUTED_VALUE"""),4397)</f>
        <v>4397</v>
      </c>
      <c r="J320" s="12">
        <f ca="1">IFERROR(__xludf.DUMMYFUNCTION("""COMPUTED_VALUE"""),211252)</f>
        <v>211252</v>
      </c>
      <c r="K320" s="12">
        <f ca="1">IFERROR(__xludf.DUMMYFUNCTION("""COMPUTED_VALUE"""),18988)</f>
        <v>18988</v>
      </c>
      <c r="L320" s="12">
        <f ca="1">IFERROR(__xludf.DUMMYFUNCTION("""COMPUTED_VALUE"""),10047)</f>
        <v>10047</v>
      </c>
      <c r="M320" s="12">
        <f ca="1">IFERROR(__xludf.DUMMYFUNCTION("""COMPUTED_VALUE"""),2677)</f>
        <v>2677</v>
      </c>
      <c r="N320" s="12">
        <f ca="1">IFERROR(__xludf.DUMMYFUNCTION("""COMPUTED_VALUE"""),7068)</f>
        <v>7068</v>
      </c>
      <c r="O320" s="12">
        <f ca="1">IFERROR(__xludf.DUMMYFUNCTION("""COMPUTED_VALUE"""),302)</f>
        <v>302</v>
      </c>
      <c r="P320" s="12">
        <f ca="1">IFERROR(__xludf.DUMMYFUNCTION("""COMPUTED_VALUE"""),38)</f>
        <v>38</v>
      </c>
      <c r="Q320" s="12">
        <f ca="1">IFERROR(__xludf.DUMMYFUNCTION("""COMPUTED_VALUE"""),1589)</f>
        <v>1589</v>
      </c>
      <c r="R320" s="12">
        <f ca="1">IFERROR(__xludf.DUMMYFUNCTION("""COMPUTED_VALUE"""),1050)</f>
        <v>1050</v>
      </c>
      <c r="S320" s="12">
        <f ca="1">IFERROR(__xludf.DUMMYFUNCTION("""COMPUTED_VALUE"""),-8)</f>
        <v>-8</v>
      </c>
      <c r="T320" s="12">
        <f ca="1">IFERROR(__xludf.DUMMYFUNCTION("""COMPUTED_VALUE"""),2669)</f>
        <v>2669</v>
      </c>
      <c r="U320" s="12">
        <f ca="1">IFERROR(__xludf.DUMMYFUNCTION("""COMPUTED_VALUE"""),1042)</f>
        <v>1042</v>
      </c>
    </row>
    <row r="321" spans="1:21" x14ac:dyDescent="0.25">
      <c r="A321" s="11">
        <f ca="1">IFERROR(__xludf.DUMMYFUNCTION("""COMPUTED_VALUE"""),44209)</f>
        <v>44209</v>
      </c>
      <c r="B321" s="12">
        <f ca="1">IFERROR(__xludf.DUMMYFUNCTION("""COMPUTED_VALUE"""),858043)</f>
        <v>858043</v>
      </c>
      <c r="C321" s="12">
        <f ca="1">IFERROR(__xludf.DUMMYFUNCTION("""COMPUTED_VALUE"""),129628)</f>
        <v>129628</v>
      </c>
      <c r="D321" s="12">
        <f ca="1">IFERROR(__xludf.DUMMYFUNCTION("""COMPUTED_VALUE"""),703464)</f>
        <v>703464</v>
      </c>
      <c r="E321" s="12">
        <f ca="1">IFERROR(__xludf.DUMMYFUNCTION("""COMPUTED_VALUE"""),24951)</f>
        <v>24951</v>
      </c>
      <c r="F321" s="12">
        <f ca="1">IFERROR(__xludf.DUMMYFUNCTION("""COMPUTED_VALUE"""),3634)</f>
        <v>3634</v>
      </c>
      <c r="G321" s="12">
        <f ca="1">IFERROR(__xludf.DUMMYFUNCTION("""COMPUTED_VALUE"""),191635)</f>
        <v>191635</v>
      </c>
      <c r="H321" s="12">
        <f ca="1">IFERROR(__xludf.DUMMYFUNCTION("""COMPUTED_VALUE"""),15009)</f>
        <v>15009</v>
      </c>
      <c r="I321" s="12">
        <f ca="1">IFERROR(__xludf.DUMMYFUNCTION("""COMPUTED_VALUE"""),4450)</f>
        <v>4450</v>
      </c>
      <c r="J321" s="12">
        <f ca="1">IFERROR(__xludf.DUMMYFUNCTION("""COMPUTED_VALUE"""),214728)</f>
        <v>214728</v>
      </c>
      <c r="K321" s="12">
        <f ca="1">IFERROR(__xludf.DUMMYFUNCTION("""COMPUTED_VALUE"""),19459)</f>
        <v>19459</v>
      </c>
      <c r="L321" s="12">
        <f ca="1">IFERROR(__xludf.DUMMYFUNCTION("""COMPUTED_VALUE"""),11278)</f>
        <v>11278</v>
      </c>
      <c r="M321" s="12">
        <f ca="1">IFERROR(__xludf.DUMMYFUNCTION("""COMPUTED_VALUE"""),3315)</f>
        <v>3315</v>
      </c>
      <c r="N321" s="12">
        <f ca="1">IFERROR(__xludf.DUMMYFUNCTION("""COMPUTED_VALUE"""),7657)</f>
        <v>7657</v>
      </c>
      <c r="O321" s="12">
        <f ca="1">IFERROR(__xludf.DUMMYFUNCTION("""COMPUTED_VALUE"""),306)</f>
        <v>306</v>
      </c>
      <c r="P321" s="12">
        <f ca="1">IFERROR(__xludf.DUMMYFUNCTION("""COMPUTED_VALUE"""),45)</f>
        <v>45</v>
      </c>
      <c r="Q321" s="12">
        <f ca="1">IFERROR(__xludf.DUMMYFUNCTION("""COMPUTED_VALUE"""),2960)</f>
        <v>2960</v>
      </c>
      <c r="R321" s="12">
        <f ca="1">IFERROR(__xludf.DUMMYFUNCTION("""COMPUTED_VALUE"""),418)</f>
        <v>418</v>
      </c>
      <c r="S321" s="12">
        <f ca="1">IFERROR(__xludf.DUMMYFUNCTION("""COMPUTED_VALUE"""),53)</f>
        <v>53</v>
      </c>
      <c r="T321" s="12">
        <f ca="1">IFERROR(__xludf.DUMMYFUNCTION("""COMPUTED_VALUE"""),3476)</f>
        <v>3476</v>
      </c>
      <c r="U321" s="12">
        <f ca="1">IFERROR(__xludf.DUMMYFUNCTION("""COMPUTED_VALUE"""),471)</f>
        <v>471</v>
      </c>
    </row>
    <row r="322" spans="1:21" x14ac:dyDescent="0.25">
      <c r="A322" s="11">
        <f ca="1">IFERROR(__xludf.DUMMYFUNCTION("""COMPUTED_VALUE"""),44210)</f>
        <v>44210</v>
      </c>
      <c r="B322" s="12">
        <f ca="1">IFERROR(__xludf.DUMMYFUNCTION("""COMPUTED_VALUE"""),869600)</f>
        <v>869600</v>
      </c>
      <c r="C322" s="12">
        <f ca="1">IFERROR(__xludf.DUMMYFUNCTION("""COMPUTED_VALUE"""),133149)</f>
        <v>133149</v>
      </c>
      <c r="D322" s="12">
        <f ca="1">IFERROR(__xludf.DUMMYFUNCTION("""COMPUTED_VALUE"""),711205)</f>
        <v>711205</v>
      </c>
      <c r="E322" s="12">
        <f ca="1">IFERROR(__xludf.DUMMYFUNCTION("""COMPUTED_VALUE"""),25246)</f>
        <v>25246</v>
      </c>
      <c r="F322" s="12">
        <f ca="1">IFERROR(__xludf.DUMMYFUNCTION("""COMPUTED_VALUE"""),3675)</f>
        <v>3675</v>
      </c>
      <c r="G322" s="12">
        <f ca="1">IFERROR(__xludf.DUMMYFUNCTION("""COMPUTED_VALUE"""),193719)</f>
        <v>193719</v>
      </c>
      <c r="H322" s="12">
        <f ca="1">IFERROR(__xludf.DUMMYFUNCTION("""COMPUTED_VALUE"""),15852)</f>
        <v>15852</v>
      </c>
      <c r="I322" s="12">
        <f ca="1">IFERROR(__xludf.DUMMYFUNCTION("""COMPUTED_VALUE"""),4647)</f>
        <v>4647</v>
      </c>
      <c r="J322" s="12">
        <f ca="1">IFERROR(__xludf.DUMMYFUNCTION("""COMPUTED_VALUE"""),217893)</f>
        <v>217893</v>
      </c>
      <c r="K322" s="12">
        <f ca="1">IFERROR(__xludf.DUMMYFUNCTION("""COMPUTED_VALUE"""),20499)</f>
        <v>20499</v>
      </c>
      <c r="L322" s="12">
        <f ca="1">IFERROR(__xludf.DUMMYFUNCTION("""COMPUTED_VALUE"""),11557)</f>
        <v>11557</v>
      </c>
      <c r="M322" s="12">
        <f ca="1">IFERROR(__xludf.DUMMYFUNCTION("""COMPUTED_VALUE"""),3521)</f>
        <v>3521</v>
      </c>
      <c r="N322" s="12">
        <f ca="1">IFERROR(__xludf.DUMMYFUNCTION("""COMPUTED_VALUE"""),7741)</f>
        <v>7741</v>
      </c>
      <c r="O322" s="12">
        <f ca="1">IFERROR(__xludf.DUMMYFUNCTION("""COMPUTED_VALUE"""),295)</f>
        <v>295</v>
      </c>
      <c r="P322" s="12">
        <f ca="1">IFERROR(__xludf.DUMMYFUNCTION("""COMPUTED_VALUE"""),41)</f>
        <v>41</v>
      </c>
      <c r="Q322" s="12">
        <f ca="1">IFERROR(__xludf.DUMMYFUNCTION("""COMPUTED_VALUE"""),2084)</f>
        <v>2084</v>
      </c>
      <c r="R322" s="12">
        <f ca="1">IFERROR(__xludf.DUMMYFUNCTION("""COMPUTED_VALUE"""),843)</f>
        <v>843</v>
      </c>
      <c r="S322" s="12">
        <f ca="1">IFERROR(__xludf.DUMMYFUNCTION("""COMPUTED_VALUE"""),197)</f>
        <v>197</v>
      </c>
      <c r="T322" s="12">
        <f ca="1">IFERROR(__xludf.DUMMYFUNCTION("""COMPUTED_VALUE"""),3165)</f>
        <v>3165</v>
      </c>
      <c r="U322" s="12">
        <f ca="1">IFERROR(__xludf.DUMMYFUNCTION("""COMPUTED_VALUE"""),1040)</f>
        <v>1040</v>
      </c>
    </row>
    <row r="323" spans="1:21" x14ac:dyDescent="0.25">
      <c r="A323" s="11">
        <f ca="1">IFERROR(__xludf.DUMMYFUNCTION("""COMPUTED_VALUE"""),44211)</f>
        <v>44211</v>
      </c>
      <c r="B323" s="12">
        <f ca="1">IFERROR(__xludf.DUMMYFUNCTION("""COMPUTED_VALUE"""),882418)</f>
        <v>882418</v>
      </c>
      <c r="C323" s="12">
        <f ca="1">IFERROR(__xludf.DUMMYFUNCTION("""COMPUTED_VALUE"""),138238)</f>
        <v>138238</v>
      </c>
      <c r="D323" s="12">
        <f ca="1">IFERROR(__xludf.DUMMYFUNCTION("""COMPUTED_VALUE"""),718696)</f>
        <v>718696</v>
      </c>
      <c r="E323" s="12">
        <f ca="1">IFERROR(__xludf.DUMMYFUNCTION("""COMPUTED_VALUE"""),25484)</f>
        <v>25484</v>
      </c>
      <c r="F323" s="12">
        <f ca="1">IFERROR(__xludf.DUMMYFUNCTION("""COMPUTED_VALUE"""),3710)</f>
        <v>3710</v>
      </c>
      <c r="G323" s="12">
        <f ca="1">IFERROR(__xludf.DUMMYFUNCTION("""COMPUTED_VALUE"""),195924)</f>
        <v>195924</v>
      </c>
      <c r="H323" s="12">
        <f ca="1">IFERROR(__xludf.DUMMYFUNCTION("""COMPUTED_VALUE"""),15553)</f>
        <v>15553</v>
      </c>
      <c r="I323" s="12">
        <f ca="1">IFERROR(__xludf.DUMMYFUNCTION("""COMPUTED_VALUE"""),5247)</f>
        <v>5247</v>
      </c>
      <c r="J323" s="12">
        <f ca="1">IFERROR(__xludf.DUMMYFUNCTION("""COMPUTED_VALUE"""),220434)</f>
        <v>220434</v>
      </c>
      <c r="K323" s="12">
        <f ca="1">IFERROR(__xludf.DUMMYFUNCTION("""COMPUTED_VALUE"""),20800)</f>
        <v>20800</v>
      </c>
      <c r="L323" s="12">
        <f ca="1">IFERROR(__xludf.DUMMYFUNCTION("""COMPUTED_VALUE"""),12818)</f>
        <v>12818</v>
      </c>
      <c r="M323" s="12">
        <f ca="1">IFERROR(__xludf.DUMMYFUNCTION("""COMPUTED_VALUE"""),5089)</f>
        <v>5089</v>
      </c>
      <c r="N323" s="12">
        <f ca="1">IFERROR(__xludf.DUMMYFUNCTION("""COMPUTED_VALUE"""),7491)</f>
        <v>7491</v>
      </c>
      <c r="O323" s="12">
        <f ca="1">IFERROR(__xludf.DUMMYFUNCTION("""COMPUTED_VALUE"""),238)</f>
        <v>238</v>
      </c>
      <c r="P323" s="12">
        <f ca="1">IFERROR(__xludf.DUMMYFUNCTION("""COMPUTED_VALUE"""),35)</f>
        <v>35</v>
      </c>
      <c r="Q323" s="12">
        <f ca="1">IFERROR(__xludf.DUMMYFUNCTION("""COMPUTED_VALUE"""),2205)</f>
        <v>2205</v>
      </c>
      <c r="R323" s="12">
        <f ca="1">IFERROR(__xludf.DUMMYFUNCTION("""COMPUTED_VALUE"""),-299)</f>
        <v>-299</v>
      </c>
      <c r="S323" s="12">
        <f ca="1">IFERROR(__xludf.DUMMYFUNCTION("""COMPUTED_VALUE"""),600)</f>
        <v>600</v>
      </c>
      <c r="T323" s="12">
        <f ca="1">IFERROR(__xludf.DUMMYFUNCTION("""COMPUTED_VALUE"""),2541)</f>
        <v>2541</v>
      </c>
      <c r="U323" s="12">
        <f ca="1">IFERROR(__xludf.DUMMYFUNCTION("""COMPUTED_VALUE"""),301)</f>
        <v>301</v>
      </c>
    </row>
    <row r="324" spans="1:21" x14ac:dyDescent="0.25">
      <c r="A324" s="11">
        <f ca="1">IFERROR(__xludf.DUMMYFUNCTION("""COMPUTED_VALUE"""),44212)</f>
        <v>44212</v>
      </c>
      <c r="B324" s="12">
        <f ca="1">IFERROR(__xludf.DUMMYFUNCTION("""COMPUTED_VALUE"""),896642)</f>
        <v>896642</v>
      </c>
      <c r="C324" s="12">
        <f ca="1">IFERROR(__xludf.DUMMYFUNCTION("""COMPUTED_VALUE"""),143517)</f>
        <v>143517</v>
      </c>
      <c r="D324" s="12">
        <f ca="1">IFERROR(__xludf.DUMMYFUNCTION("""COMPUTED_VALUE"""),727358)</f>
        <v>727358</v>
      </c>
      <c r="E324" s="12">
        <f ca="1">IFERROR(__xludf.DUMMYFUNCTION("""COMPUTED_VALUE"""),25767)</f>
        <v>25767</v>
      </c>
      <c r="F324" s="12">
        <f ca="1">IFERROR(__xludf.DUMMYFUNCTION("""COMPUTED_VALUE"""),3745)</f>
        <v>3745</v>
      </c>
      <c r="G324" s="12">
        <f ca="1">IFERROR(__xludf.DUMMYFUNCTION("""COMPUTED_VALUE"""),198136)</f>
        <v>198136</v>
      </c>
      <c r="H324" s="12">
        <f ca="1">IFERROR(__xludf.DUMMYFUNCTION("""COMPUTED_VALUE"""),17524)</f>
        <v>17524</v>
      </c>
      <c r="I324" s="12">
        <f ca="1">IFERROR(__xludf.DUMMYFUNCTION("""COMPUTED_VALUE"""),4565)</f>
        <v>4565</v>
      </c>
      <c r="J324" s="12">
        <f ca="1">IFERROR(__xludf.DUMMYFUNCTION("""COMPUTED_VALUE"""),223970)</f>
        <v>223970</v>
      </c>
      <c r="K324" s="12">
        <f ca="1">IFERROR(__xludf.DUMMYFUNCTION("""COMPUTED_VALUE"""),22089)</f>
        <v>22089</v>
      </c>
      <c r="L324" s="12">
        <f ca="1">IFERROR(__xludf.DUMMYFUNCTION("""COMPUTED_VALUE"""),14224)</f>
        <v>14224</v>
      </c>
      <c r="M324" s="12">
        <f ca="1">IFERROR(__xludf.DUMMYFUNCTION("""COMPUTED_VALUE"""),5279)</f>
        <v>5279</v>
      </c>
      <c r="N324" s="12">
        <f ca="1">IFERROR(__xludf.DUMMYFUNCTION("""COMPUTED_VALUE"""),8662)</f>
        <v>8662</v>
      </c>
      <c r="O324" s="12">
        <f ca="1">IFERROR(__xludf.DUMMYFUNCTION("""COMPUTED_VALUE"""),283)</f>
        <v>283</v>
      </c>
      <c r="P324" s="12">
        <f ca="1">IFERROR(__xludf.DUMMYFUNCTION("""COMPUTED_VALUE"""),35)</f>
        <v>35</v>
      </c>
      <c r="Q324" s="12">
        <f ca="1">IFERROR(__xludf.DUMMYFUNCTION("""COMPUTED_VALUE"""),2212)</f>
        <v>2212</v>
      </c>
      <c r="R324" s="12">
        <f ca="1">IFERROR(__xludf.DUMMYFUNCTION("""COMPUTED_VALUE"""),1971)</f>
        <v>1971</v>
      </c>
      <c r="S324" s="12">
        <f ca="1">IFERROR(__xludf.DUMMYFUNCTION("""COMPUTED_VALUE"""),-682)</f>
        <v>-682</v>
      </c>
      <c r="T324" s="12">
        <f ca="1">IFERROR(__xludf.DUMMYFUNCTION("""COMPUTED_VALUE"""),3536)</f>
        <v>3536</v>
      </c>
      <c r="U324" s="12">
        <f ca="1">IFERROR(__xludf.DUMMYFUNCTION("""COMPUTED_VALUE"""),1289)</f>
        <v>1289</v>
      </c>
    </row>
    <row r="325" spans="1:21" x14ac:dyDescent="0.25">
      <c r="A325" s="11">
        <f ca="1">IFERROR(__xludf.DUMMYFUNCTION("""COMPUTED_VALUE"""),44213)</f>
        <v>44213</v>
      </c>
      <c r="B325" s="12">
        <f ca="1">IFERROR(__xludf.DUMMYFUNCTION("""COMPUTED_VALUE"""),907929)</f>
        <v>907929</v>
      </c>
      <c r="C325" s="12">
        <f ca="1">IFERROR(__xludf.DUMMYFUNCTION("""COMPUTED_VALUE"""),145482)</f>
        <v>145482</v>
      </c>
      <c r="D325" s="12">
        <f ca="1">IFERROR(__xludf.DUMMYFUNCTION("""COMPUTED_VALUE"""),736460)</f>
        <v>736460</v>
      </c>
      <c r="E325" s="12">
        <f ca="1">IFERROR(__xludf.DUMMYFUNCTION("""COMPUTED_VALUE"""),25987)</f>
        <v>25987</v>
      </c>
      <c r="F325" s="12">
        <f ca="1">IFERROR(__xludf.DUMMYFUNCTION("""COMPUTED_VALUE"""),3779)</f>
        <v>3779</v>
      </c>
      <c r="G325" s="12">
        <f ca="1">IFERROR(__xludf.DUMMYFUNCTION("""COMPUTED_VALUE"""),201907)</f>
        <v>201907</v>
      </c>
      <c r="H325" s="12">
        <f ca="1">IFERROR(__xludf.DUMMYFUNCTION("""COMPUTED_VALUE"""),16741)</f>
        <v>16741</v>
      </c>
      <c r="I325" s="12">
        <f ca="1">IFERROR(__xludf.DUMMYFUNCTION("""COMPUTED_VALUE"""),4938)</f>
        <v>4938</v>
      </c>
      <c r="J325" s="12">
        <f ca="1">IFERROR(__xludf.DUMMYFUNCTION("""COMPUTED_VALUE"""),227365)</f>
        <v>227365</v>
      </c>
      <c r="K325" s="12">
        <f ca="1">IFERROR(__xludf.DUMMYFUNCTION("""COMPUTED_VALUE"""),21679)</f>
        <v>21679</v>
      </c>
      <c r="L325" s="12">
        <f ca="1">IFERROR(__xludf.DUMMYFUNCTION("""COMPUTED_VALUE"""),11287)</f>
        <v>11287</v>
      </c>
      <c r="M325" s="12">
        <f ca="1">IFERROR(__xludf.DUMMYFUNCTION("""COMPUTED_VALUE"""),1965)</f>
        <v>1965</v>
      </c>
      <c r="N325" s="12">
        <f ca="1">IFERROR(__xludf.DUMMYFUNCTION("""COMPUTED_VALUE"""),9102)</f>
        <v>9102</v>
      </c>
      <c r="O325" s="12">
        <f ca="1">IFERROR(__xludf.DUMMYFUNCTION("""COMPUTED_VALUE"""),220)</f>
        <v>220</v>
      </c>
      <c r="P325" s="12">
        <f ca="1">IFERROR(__xludf.DUMMYFUNCTION("""COMPUTED_VALUE"""),34)</f>
        <v>34</v>
      </c>
      <c r="Q325" s="12">
        <f ca="1">IFERROR(__xludf.DUMMYFUNCTION("""COMPUTED_VALUE"""),3771)</f>
        <v>3771</v>
      </c>
      <c r="R325" s="12">
        <f ca="1">IFERROR(__xludf.DUMMYFUNCTION("""COMPUTED_VALUE"""),-783)</f>
        <v>-783</v>
      </c>
      <c r="S325" s="12">
        <f ca="1">IFERROR(__xludf.DUMMYFUNCTION("""COMPUTED_VALUE"""),373)</f>
        <v>373</v>
      </c>
      <c r="T325" s="12">
        <f ca="1">IFERROR(__xludf.DUMMYFUNCTION("""COMPUTED_VALUE"""),3395)</f>
        <v>3395</v>
      </c>
      <c r="U325" s="12">
        <f ca="1">IFERROR(__xludf.DUMMYFUNCTION("""COMPUTED_VALUE"""),-410)</f>
        <v>-410</v>
      </c>
    </row>
    <row r="326" spans="1:21" x14ac:dyDescent="0.25">
      <c r="A326" s="11">
        <f ca="1">IFERROR(__xludf.DUMMYFUNCTION("""COMPUTED_VALUE"""),44214)</f>
        <v>44214</v>
      </c>
      <c r="B326" s="12">
        <f ca="1">IFERROR(__xludf.DUMMYFUNCTION("""COMPUTED_VALUE"""),917015)</f>
        <v>917015</v>
      </c>
      <c r="C326" s="12">
        <f ca="1">IFERROR(__xludf.DUMMYFUNCTION("""COMPUTED_VALUE"""),144798)</f>
        <v>144798</v>
      </c>
      <c r="D326" s="12">
        <f ca="1">IFERROR(__xludf.DUMMYFUNCTION("""COMPUTED_VALUE"""),745935)</f>
        <v>745935</v>
      </c>
      <c r="E326" s="12">
        <f ca="1">IFERROR(__xludf.DUMMYFUNCTION("""COMPUTED_VALUE"""),26282)</f>
        <v>26282</v>
      </c>
      <c r="F326" s="12">
        <f ca="1">IFERROR(__xludf.DUMMYFUNCTION("""COMPUTED_VALUE"""),3815)</f>
        <v>3815</v>
      </c>
      <c r="G326" s="12">
        <f ca="1">IFERROR(__xludf.DUMMYFUNCTION("""COMPUTED_VALUE"""),204711)</f>
        <v>204711</v>
      </c>
      <c r="H326" s="12">
        <f ca="1">IFERROR(__xludf.DUMMYFUNCTION("""COMPUTED_VALUE"""),16419)</f>
        <v>16419</v>
      </c>
      <c r="I326" s="12">
        <f ca="1">IFERROR(__xludf.DUMMYFUNCTION("""COMPUTED_VALUE"""),4781)</f>
        <v>4781</v>
      </c>
      <c r="J326" s="12">
        <f ca="1">IFERROR(__xludf.DUMMYFUNCTION("""COMPUTED_VALUE"""),229726)</f>
        <v>229726</v>
      </c>
      <c r="K326" s="12">
        <f ca="1">IFERROR(__xludf.DUMMYFUNCTION("""COMPUTED_VALUE"""),21200)</f>
        <v>21200</v>
      </c>
      <c r="L326" s="12">
        <f ca="1">IFERROR(__xludf.DUMMYFUNCTION("""COMPUTED_VALUE"""),9086)</f>
        <v>9086</v>
      </c>
      <c r="M326" s="12">
        <f ca="1">IFERROR(__xludf.DUMMYFUNCTION("""COMPUTED_VALUE"""),-684)</f>
        <v>-684</v>
      </c>
      <c r="N326" s="12">
        <f ca="1">IFERROR(__xludf.DUMMYFUNCTION("""COMPUTED_VALUE"""),9475)</f>
        <v>9475</v>
      </c>
      <c r="O326" s="12">
        <f ca="1">IFERROR(__xludf.DUMMYFUNCTION("""COMPUTED_VALUE"""),295)</f>
        <v>295</v>
      </c>
      <c r="P326" s="12">
        <f ca="1">IFERROR(__xludf.DUMMYFUNCTION("""COMPUTED_VALUE"""),36)</f>
        <v>36</v>
      </c>
      <c r="Q326" s="12">
        <f ca="1">IFERROR(__xludf.DUMMYFUNCTION("""COMPUTED_VALUE"""),2804)</f>
        <v>2804</v>
      </c>
      <c r="R326" s="12">
        <f ca="1">IFERROR(__xludf.DUMMYFUNCTION("""COMPUTED_VALUE"""),-322)</f>
        <v>-322</v>
      </c>
      <c r="S326" s="12">
        <f ca="1">IFERROR(__xludf.DUMMYFUNCTION("""COMPUTED_VALUE"""),-157)</f>
        <v>-157</v>
      </c>
      <c r="T326" s="12">
        <f ca="1">IFERROR(__xludf.DUMMYFUNCTION("""COMPUTED_VALUE"""),2361)</f>
        <v>2361</v>
      </c>
      <c r="U326" s="12">
        <f ca="1">IFERROR(__xludf.DUMMYFUNCTION("""COMPUTED_VALUE"""),-479)</f>
        <v>-479</v>
      </c>
    </row>
    <row r="327" spans="1:21" x14ac:dyDescent="0.25">
      <c r="A327" s="11">
        <f ca="1">IFERROR(__xludf.DUMMYFUNCTION("""COMPUTED_VALUE"""),44215)</f>
        <v>44215</v>
      </c>
      <c r="B327" s="12">
        <f ca="1">IFERROR(__xludf.DUMMYFUNCTION("""COMPUTED_VALUE"""),927380)</f>
        <v>927380</v>
      </c>
      <c r="C327" s="12">
        <f ca="1">IFERROR(__xludf.DUMMYFUNCTION("""COMPUTED_VALUE"""),146842)</f>
        <v>146842</v>
      </c>
      <c r="D327" s="12">
        <f ca="1">IFERROR(__xludf.DUMMYFUNCTION("""COMPUTED_VALUE"""),753948)</f>
        <v>753948</v>
      </c>
      <c r="E327" s="12">
        <f ca="1">IFERROR(__xludf.DUMMYFUNCTION("""COMPUTED_VALUE"""),26590)</f>
        <v>26590</v>
      </c>
      <c r="F327" s="12">
        <f ca="1">IFERROR(__xludf.DUMMYFUNCTION("""COMPUTED_VALUE"""),3836)</f>
        <v>3836</v>
      </c>
      <c r="G327" s="12">
        <f ca="1">IFERROR(__xludf.DUMMYFUNCTION("""COMPUTED_VALUE"""),209238)</f>
        <v>209238</v>
      </c>
      <c r="H327" s="12">
        <f ca="1">IFERROR(__xludf.DUMMYFUNCTION("""COMPUTED_VALUE"""),14604)</f>
        <v>14604</v>
      </c>
      <c r="I327" s="12">
        <f ca="1">IFERROR(__xludf.DUMMYFUNCTION("""COMPUTED_VALUE"""),4611)</f>
        <v>4611</v>
      </c>
      <c r="J327" s="12">
        <f ca="1">IFERROR(__xludf.DUMMYFUNCTION("""COMPUTED_VALUE"""),232289)</f>
        <v>232289</v>
      </c>
      <c r="K327" s="12">
        <f ca="1">IFERROR(__xludf.DUMMYFUNCTION("""COMPUTED_VALUE"""),19215)</f>
        <v>19215</v>
      </c>
      <c r="L327" s="12">
        <f ca="1">IFERROR(__xludf.DUMMYFUNCTION("""COMPUTED_VALUE"""),10365)</f>
        <v>10365</v>
      </c>
      <c r="M327" s="12">
        <f ca="1">IFERROR(__xludf.DUMMYFUNCTION("""COMPUTED_VALUE"""),2044)</f>
        <v>2044</v>
      </c>
      <c r="N327" s="12">
        <f ca="1">IFERROR(__xludf.DUMMYFUNCTION("""COMPUTED_VALUE"""),8013)</f>
        <v>8013</v>
      </c>
      <c r="O327" s="12">
        <f ca="1">IFERROR(__xludf.DUMMYFUNCTION("""COMPUTED_VALUE"""),308)</f>
        <v>308</v>
      </c>
      <c r="P327" s="12">
        <f ca="1">IFERROR(__xludf.DUMMYFUNCTION("""COMPUTED_VALUE"""),21)</f>
        <v>21</v>
      </c>
      <c r="Q327" s="12">
        <f ca="1">IFERROR(__xludf.DUMMYFUNCTION("""COMPUTED_VALUE"""),4527)</f>
        <v>4527</v>
      </c>
      <c r="R327" s="12">
        <f ca="1">IFERROR(__xludf.DUMMYFUNCTION("""COMPUTED_VALUE"""),-1815)</f>
        <v>-1815</v>
      </c>
      <c r="S327" s="12">
        <f ca="1">IFERROR(__xludf.DUMMYFUNCTION("""COMPUTED_VALUE"""),-170)</f>
        <v>-170</v>
      </c>
      <c r="T327" s="12">
        <f ca="1">IFERROR(__xludf.DUMMYFUNCTION("""COMPUTED_VALUE"""),2563)</f>
        <v>2563</v>
      </c>
      <c r="U327" s="12">
        <f ca="1">IFERROR(__xludf.DUMMYFUNCTION("""COMPUTED_VALUE"""),-1985)</f>
        <v>-1985</v>
      </c>
    </row>
    <row r="328" spans="1:21" x14ac:dyDescent="0.25">
      <c r="A328" s="11">
        <f ca="1">IFERROR(__xludf.DUMMYFUNCTION("""COMPUTED_VALUE"""),44216)</f>
        <v>44216</v>
      </c>
      <c r="B328" s="12">
        <f ca="1">IFERROR(__xludf.DUMMYFUNCTION("""COMPUTED_VALUE"""),939948)</f>
        <v>939948</v>
      </c>
      <c r="C328" s="12">
        <f ca="1">IFERROR(__xludf.DUMMYFUNCTION("""COMPUTED_VALUE"""),149388)</f>
        <v>149388</v>
      </c>
      <c r="D328" s="12">
        <f ca="1">IFERROR(__xludf.DUMMYFUNCTION("""COMPUTED_VALUE"""),763703)</f>
        <v>763703</v>
      </c>
      <c r="E328" s="12">
        <f ca="1">IFERROR(__xludf.DUMMYFUNCTION("""COMPUTED_VALUE"""),26857)</f>
        <v>26857</v>
      </c>
      <c r="F328" s="12">
        <f ca="1">IFERROR(__xludf.DUMMYFUNCTION("""COMPUTED_VALUE"""),3868)</f>
        <v>3868</v>
      </c>
      <c r="G328" s="12">
        <f ca="1">IFERROR(__xludf.DUMMYFUNCTION("""COMPUTED_VALUE"""),210983)</f>
        <v>210983</v>
      </c>
      <c r="H328" s="12">
        <f ca="1">IFERROR(__xludf.DUMMYFUNCTION("""COMPUTED_VALUE"""),16389)</f>
        <v>16389</v>
      </c>
      <c r="I328" s="12">
        <f ca="1">IFERROR(__xludf.DUMMYFUNCTION("""COMPUTED_VALUE"""),4835)</f>
        <v>4835</v>
      </c>
      <c r="J328" s="12">
        <f ca="1">IFERROR(__xludf.DUMMYFUNCTION("""COMPUTED_VALUE"""),236075)</f>
        <v>236075</v>
      </c>
      <c r="K328" s="12">
        <f ca="1">IFERROR(__xludf.DUMMYFUNCTION("""COMPUTED_VALUE"""),21224)</f>
        <v>21224</v>
      </c>
      <c r="L328" s="12">
        <f ca="1">IFERROR(__xludf.DUMMYFUNCTION("""COMPUTED_VALUE"""),12568)</f>
        <v>12568</v>
      </c>
      <c r="M328" s="12">
        <f ca="1">IFERROR(__xludf.DUMMYFUNCTION("""COMPUTED_VALUE"""),2546)</f>
        <v>2546</v>
      </c>
      <c r="N328" s="12">
        <f ca="1">IFERROR(__xludf.DUMMYFUNCTION("""COMPUTED_VALUE"""),9755)</f>
        <v>9755</v>
      </c>
      <c r="O328" s="12">
        <f ca="1">IFERROR(__xludf.DUMMYFUNCTION("""COMPUTED_VALUE"""),267)</f>
        <v>267</v>
      </c>
      <c r="P328" s="12">
        <f ca="1">IFERROR(__xludf.DUMMYFUNCTION("""COMPUTED_VALUE"""),32)</f>
        <v>32</v>
      </c>
      <c r="Q328" s="12">
        <f ca="1">IFERROR(__xludf.DUMMYFUNCTION("""COMPUTED_VALUE"""),1745)</f>
        <v>1745</v>
      </c>
      <c r="R328" s="12">
        <f ca="1">IFERROR(__xludf.DUMMYFUNCTION("""COMPUTED_VALUE"""),1785)</f>
        <v>1785</v>
      </c>
      <c r="S328" s="12">
        <f ca="1">IFERROR(__xludf.DUMMYFUNCTION("""COMPUTED_VALUE"""),224)</f>
        <v>224</v>
      </c>
      <c r="T328" s="12">
        <f ca="1">IFERROR(__xludf.DUMMYFUNCTION("""COMPUTED_VALUE"""),3786)</f>
        <v>3786</v>
      </c>
      <c r="U328" s="12">
        <f ca="1">IFERROR(__xludf.DUMMYFUNCTION("""COMPUTED_VALUE"""),2009)</f>
        <v>2009</v>
      </c>
    </row>
    <row r="329" spans="1:21" x14ac:dyDescent="0.25">
      <c r="A329" s="11">
        <f ca="1">IFERROR(__xludf.DUMMYFUNCTION("""COMPUTED_VALUE"""),44217)</f>
        <v>44217</v>
      </c>
      <c r="B329" s="12">
        <f ca="1">IFERROR(__xludf.DUMMYFUNCTION("""COMPUTED_VALUE"""),951651)</f>
        <v>951651</v>
      </c>
      <c r="C329" s="12">
        <f ca="1">IFERROR(__xludf.DUMMYFUNCTION("""COMPUTED_VALUE"""),151658)</f>
        <v>151658</v>
      </c>
      <c r="D329" s="12">
        <f ca="1">IFERROR(__xludf.DUMMYFUNCTION("""COMPUTED_VALUE"""),772790)</f>
        <v>772790</v>
      </c>
      <c r="E329" s="12">
        <f ca="1">IFERROR(__xludf.DUMMYFUNCTION("""COMPUTED_VALUE"""),27203)</f>
        <v>27203</v>
      </c>
      <c r="F329" s="12">
        <f ca="1">IFERROR(__xludf.DUMMYFUNCTION("""COMPUTED_VALUE"""),3900)</f>
        <v>3900</v>
      </c>
      <c r="G329" s="12">
        <f ca="1">IFERROR(__xludf.DUMMYFUNCTION("""COMPUTED_VALUE"""),213570)</f>
        <v>213570</v>
      </c>
      <c r="H329" s="12">
        <f ca="1">IFERROR(__xludf.DUMMYFUNCTION("""COMPUTED_VALUE"""),16966)</f>
        <v>16966</v>
      </c>
      <c r="I329" s="12">
        <f ca="1">IFERROR(__xludf.DUMMYFUNCTION("""COMPUTED_VALUE"""),4790)</f>
        <v>4790</v>
      </c>
      <c r="J329" s="12">
        <f ca="1">IFERROR(__xludf.DUMMYFUNCTION("""COMPUTED_VALUE"""),239226)</f>
        <v>239226</v>
      </c>
      <c r="K329" s="12">
        <f ca="1">IFERROR(__xludf.DUMMYFUNCTION("""COMPUTED_VALUE"""),21756)</f>
        <v>21756</v>
      </c>
      <c r="L329" s="12">
        <f ca="1">IFERROR(__xludf.DUMMYFUNCTION("""COMPUTED_VALUE"""),11703)</f>
        <v>11703</v>
      </c>
      <c r="M329" s="12">
        <f ca="1">IFERROR(__xludf.DUMMYFUNCTION("""COMPUTED_VALUE"""),2270)</f>
        <v>2270</v>
      </c>
      <c r="N329" s="12">
        <f ca="1">IFERROR(__xludf.DUMMYFUNCTION("""COMPUTED_VALUE"""),9087)</f>
        <v>9087</v>
      </c>
      <c r="O329" s="12">
        <f ca="1">IFERROR(__xludf.DUMMYFUNCTION("""COMPUTED_VALUE"""),346)</f>
        <v>346</v>
      </c>
      <c r="P329" s="12">
        <f ca="1">IFERROR(__xludf.DUMMYFUNCTION("""COMPUTED_VALUE"""),32)</f>
        <v>32</v>
      </c>
      <c r="Q329" s="12">
        <f ca="1">IFERROR(__xludf.DUMMYFUNCTION("""COMPUTED_VALUE"""),2587)</f>
        <v>2587</v>
      </c>
      <c r="R329" s="12">
        <f ca="1">IFERROR(__xludf.DUMMYFUNCTION("""COMPUTED_VALUE"""),577)</f>
        <v>577</v>
      </c>
      <c r="S329" s="12">
        <f ca="1">IFERROR(__xludf.DUMMYFUNCTION("""COMPUTED_VALUE"""),-45)</f>
        <v>-45</v>
      </c>
      <c r="T329" s="12">
        <f ca="1">IFERROR(__xludf.DUMMYFUNCTION("""COMPUTED_VALUE"""),3151)</f>
        <v>3151</v>
      </c>
      <c r="U329" s="12">
        <f ca="1">IFERROR(__xludf.DUMMYFUNCTION("""COMPUTED_VALUE"""),532)</f>
        <v>532</v>
      </c>
    </row>
    <row r="330" spans="1:21" x14ac:dyDescent="0.25">
      <c r="A330" s="11">
        <f ca="1">IFERROR(__xludf.DUMMYFUNCTION("""COMPUTED_VALUE"""),44218)</f>
        <v>44218</v>
      </c>
      <c r="B330" s="12">
        <f ca="1">IFERROR(__xludf.DUMMYFUNCTION("""COMPUTED_VALUE"""),965283)</f>
        <v>965283</v>
      </c>
      <c r="C330" s="12">
        <f ca="1">IFERROR(__xludf.DUMMYFUNCTION("""COMPUTED_VALUE"""),156683)</f>
        <v>156683</v>
      </c>
      <c r="D330" s="12">
        <f ca="1">IFERROR(__xludf.DUMMYFUNCTION("""COMPUTED_VALUE"""),781147)</f>
        <v>781147</v>
      </c>
      <c r="E330" s="12">
        <f ca="1">IFERROR(__xludf.DUMMYFUNCTION("""COMPUTED_VALUE"""),27453)</f>
        <v>27453</v>
      </c>
      <c r="F330" s="12">
        <f ca="1">IFERROR(__xludf.DUMMYFUNCTION("""COMPUTED_VALUE"""),3940)</f>
        <v>3940</v>
      </c>
      <c r="G330" s="12">
        <f ca="1">IFERROR(__xludf.DUMMYFUNCTION("""COMPUTED_VALUE"""),215719)</f>
        <v>215719</v>
      </c>
      <c r="H330" s="12">
        <f ca="1">IFERROR(__xludf.DUMMYFUNCTION("""COMPUTED_VALUE"""),17752)</f>
        <v>17752</v>
      </c>
      <c r="I330" s="12">
        <f ca="1">IFERROR(__xludf.DUMMYFUNCTION("""COMPUTED_VALUE"""),5607)</f>
        <v>5607</v>
      </c>
      <c r="J330" s="12">
        <f ca="1">IFERROR(__xludf.DUMMYFUNCTION("""COMPUTED_VALUE"""),243018)</f>
        <v>243018</v>
      </c>
      <c r="K330" s="12">
        <f ca="1">IFERROR(__xludf.DUMMYFUNCTION("""COMPUTED_VALUE"""),23359)</f>
        <v>23359</v>
      </c>
      <c r="L330" s="12">
        <f ca="1">IFERROR(__xludf.DUMMYFUNCTION("""COMPUTED_VALUE"""),13632)</f>
        <v>13632</v>
      </c>
      <c r="M330" s="12">
        <f ca="1">IFERROR(__xludf.DUMMYFUNCTION("""COMPUTED_VALUE"""),5025)</f>
        <v>5025</v>
      </c>
      <c r="N330" s="12">
        <f ca="1">IFERROR(__xludf.DUMMYFUNCTION("""COMPUTED_VALUE"""),8357)</f>
        <v>8357</v>
      </c>
      <c r="O330" s="12">
        <f ca="1">IFERROR(__xludf.DUMMYFUNCTION("""COMPUTED_VALUE"""),250)</f>
        <v>250</v>
      </c>
      <c r="P330" s="12">
        <f ca="1">IFERROR(__xludf.DUMMYFUNCTION("""COMPUTED_VALUE"""),40)</f>
        <v>40</v>
      </c>
      <c r="Q330" s="12">
        <f ca="1">IFERROR(__xludf.DUMMYFUNCTION("""COMPUTED_VALUE"""),2149)</f>
        <v>2149</v>
      </c>
      <c r="R330" s="12">
        <f ca="1">IFERROR(__xludf.DUMMYFUNCTION("""COMPUTED_VALUE"""),786)</f>
        <v>786</v>
      </c>
      <c r="S330" s="12">
        <f ca="1">IFERROR(__xludf.DUMMYFUNCTION("""COMPUTED_VALUE"""),817)</f>
        <v>817</v>
      </c>
      <c r="T330" s="12">
        <f ca="1">IFERROR(__xludf.DUMMYFUNCTION("""COMPUTED_VALUE"""),3792)</f>
        <v>3792</v>
      </c>
      <c r="U330" s="12">
        <f ca="1">IFERROR(__xludf.DUMMYFUNCTION("""COMPUTED_VALUE"""),1603)</f>
        <v>1603</v>
      </c>
    </row>
    <row r="331" spans="1:21" x14ac:dyDescent="0.25">
      <c r="A331" s="11">
        <f ca="1">IFERROR(__xludf.DUMMYFUNCTION("""COMPUTED_VALUE"""),44219)</f>
        <v>44219</v>
      </c>
      <c r="B331" s="12">
        <f ca="1">IFERROR(__xludf.DUMMYFUNCTION("""COMPUTED_VALUE"""),977474)</f>
        <v>977474</v>
      </c>
      <c r="C331" s="12">
        <f ca="1">IFERROR(__xludf.DUMMYFUNCTION("""COMPUTED_VALUE"""),158751)</f>
        <v>158751</v>
      </c>
      <c r="D331" s="12">
        <f ca="1">IFERROR(__xludf.DUMMYFUNCTION("""COMPUTED_VALUE"""),791059)</f>
        <v>791059</v>
      </c>
      <c r="E331" s="12">
        <f ca="1">IFERROR(__xludf.DUMMYFUNCTION("""COMPUTED_VALUE"""),27664)</f>
        <v>27664</v>
      </c>
      <c r="F331" s="12">
        <f ca="1">IFERROR(__xludf.DUMMYFUNCTION("""COMPUTED_VALUE"""),3980)</f>
        <v>3980</v>
      </c>
      <c r="G331" s="12">
        <f ca="1">IFERROR(__xludf.DUMMYFUNCTION("""COMPUTED_VALUE"""),219287)</f>
        <v>219287</v>
      </c>
      <c r="H331" s="12">
        <f ca="1">IFERROR(__xludf.DUMMYFUNCTION("""COMPUTED_VALUE"""),18657)</f>
        <v>18657</v>
      </c>
      <c r="I331" s="12">
        <f ca="1">IFERROR(__xludf.DUMMYFUNCTION("""COMPUTED_VALUE"""),4379)</f>
        <v>4379</v>
      </c>
      <c r="J331" s="12">
        <f ca="1">IFERROR(__xludf.DUMMYFUNCTION("""COMPUTED_VALUE"""),246303)</f>
        <v>246303</v>
      </c>
      <c r="K331" s="12">
        <f ca="1">IFERROR(__xludf.DUMMYFUNCTION("""COMPUTED_VALUE"""),23036)</f>
        <v>23036</v>
      </c>
      <c r="L331" s="12">
        <f ca="1">IFERROR(__xludf.DUMMYFUNCTION("""COMPUTED_VALUE"""),12191)</f>
        <v>12191</v>
      </c>
      <c r="M331" s="12">
        <f ca="1">IFERROR(__xludf.DUMMYFUNCTION("""COMPUTED_VALUE"""),2068)</f>
        <v>2068</v>
      </c>
      <c r="N331" s="12">
        <f ca="1">IFERROR(__xludf.DUMMYFUNCTION("""COMPUTED_VALUE"""),9912)</f>
        <v>9912</v>
      </c>
      <c r="O331" s="12">
        <f ca="1">IFERROR(__xludf.DUMMYFUNCTION("""COMPUTED_VALUE"""),211)</f>
        <v>211</v>
      </c>
      <c r="P331" s="12">
        <f ca="1">IFERROR(__xludf.DUMMYFUNCTION("""COMPUTED_VALUE"""),40)</f>
        <v>40</v>
      </c>
      <c r="Q331" s="12">
        <f ca="1">IFERROR(__xludf.DUMMYFUNCTION("""COMPUTED_VALUE"""),3568)</f>
        <v>3568</v>
      </c>
      <c r="R331" s="12">
        <f ca="1">IFERROR(__xludf.DUMMYFUNCTION("""COMPUTED_VALUE"""),905)</f>
        <v>905</v>
      </c>
      <c r="S331" s="12">
        <f ca="1">IFERROR(__xludf.DUMMYFUNCTION("""COMPUTED_VALUE"""),-1228)</f>
        <v>-1228</v>
      </c>
      <c r="T331" s="12">
        <f ca="1">IFERROR(__xludf.DUMMYFUNCTION("""COMPUTED_VALUE"""),3285)</f>
        <v>3285</v>
      </c>
      <c r="U331" s="12">
        <f ca="1">IFERROR(__xludf.DUMMYFUNCTION("""COMPUTED_VALUE"""),-323)</f>
        <v>-323</v>
      </c>
    </row>
    <row r="332" spans="1:21" x14ac:dyDescent="0.25">
      <c r="A332" s="11">
        <f ca="1">IFERROR(__xludf.DUMMYFUNCTION("""COMPUTED_VALUE"""),44220)</f>
        <v>44220</v>
      </c>
      <c r="B332" s="12">
        <f ca="1">IFERROR(__xludf.DUMMYFUNCTION("""COMPUTED_VALUE"""),989262)</f>
        <v>989262</v>
      </c>
      <c r="C332" s="12">
        <f ca="1">IFERROR(__xludf.DUMMYFUNCTION("""COMPUTED_VALUE"""),162617)</f>
        <v>162617</v>
      </c>
      <c r="D332" s="12">
        <f ca="1">IFERROR(__xludf.DUMMYFUNCTION("""COMPUTED_VALUE"""),798810)</f>
        <v>798810</v>
      </c>
      <c r="E332" s="12">
        <f ca="1">IFERROR(__xludf.DUMMYFUNCTION("""COMPUTED_VALUE"""),27835)</f>
        <v>27835</v>
      </c>
      <c r="F332" s="12">
        <f ca="1">IFERROR(__xludf.DUMMYFUNCTION("""COMPUTED_VALUE"""),4024)</f>
        <v>4024</v>
      </c>
      <c r="G332" s="12">
        <f ca="1">IFERROR(__xludf.DUMMYFUNCTION("""COMPUTED_VALUE"""),221567)</f>
        <v>221567</v>
      </c>
      <c r="H332" s="12">
        <f ca="1">IFERROR(__xludf.DUMMYFUNCTION("""COMPUTED_VALUE"""),19554)</f>
        <v>19554</v>
      </c>
      <c r="I332" s="12">
        <f ca="1">IFERROR(__xludf.DUMMYFUNCTION("""COMPUTED_VALUE"""),4670)</f>
        <v>4670</v>
      </c>
      <c r="J332" s="12">
        <f ca="1">IFERROR(__xludf.DUMMYFUNCTION("""COMPUTED_VALUE"""),249815)</f>
        <v>249815</v>
      </c>
      <c r="K332" s="12">
        <f ca="1">IFERROR(__xludf.DUMMYFUNCTION("""COMPUTED_VALUE"""),24224)</f>
        <v>24224</v>
      </c>
      <c r="L332" s="12">
        <f ca="1">IFERROR(__xludf.DUMMYFUNCTION("""COMPUTED_VALUE"""),11788)</f>
        <v>11788</v>
      </c>
      <c r="M332" s="12">
        <f ca="1">IFERROR(__xludf.DUMMYFUNCTION("""COMPUTED_VALUE"""),3866)</f>
        <v>3866</v>
      </c>
      <c r="N332" s="12">
        <f ca="1">IFERROR(__xludf.DUMMYFUNCTION("""COMPUTED_VALUE"""),7751)</f>
        <v>7751</v>
      </c>
      <c r="O332" s="12">
        <f ca="1">IFERROR(__xludf.DUMMYFUNCTION("""COMPUTED_VALUE"""),171)</f>
        <v>171</v>
      </c>
      <c r="P332" s="12">
        <f ca="1">IFERROR(__xludf.DUMMYFUNCTION("""COMPUTED_VALUE"""),44)</f>
        <v>44</v>
      </c>
      <c r="Q332" s="12">
        <f ca="1">IFERROR(__xludf.DUMMYFUNCTION("""COMPUTED_VALUE"""),2280)</f>
        <v>2280</v>
      </c>
      <c r="R332" s="12">
        <f ca="1">IFERROR(__xludf.DUMMYFUNCTION("""COMPUTED_VALUE"""),897)</f>
        <v>897</v>
      </c>
      <c r="S332" s="12">
        <f ca="1">IFERROR(__xludf.DUMMYFUNCTION("""COMPUTED_VALUE"""),291)</f>
        <v>291</v>
      </c>
      <c r="T332" s="12">
        <f ca="1">IFERROR(__xludf.DUMMYFUNCTION("""COMPUTED_VALUE"""),3512)</f>
        <v>3512</v>
      </c>
      <c r="U332" s="12">
        <f ca="1">IFERROR(__xludf.DUMMYFUNCTION("""COMPUTED_VALUE"""),1188)</f>
        <v>1188</v>
      </c>
    </row>
    <row r="333" spans="1:21" x14ac:dyDescent="0.25">
      <c r="A333" s="11">
        <f ca="1">IFERROR(__xludf.DUMMYFUNCTION("""COMPUTED_VALUE"""),44221)</f>
        <v>44221</v>
      </c>
      <c r="B333" s="12">
        <f ca="1">IFERROR(__xludf.DUMMYFUNCTION("""COMPUTED_VALUE"""),999256)</f>
        <v>999256</v>
      </c>
      <c r="C333" s="12">
        <f ca="1">IFERROR(__xludf.DUMMYFUNCTION("""COMPUTED_VALUE"""),161636)</f>
        <v>161636</v>
      </c>
      <c r="D333" s="12">
        <f ca="1">IFERROR(__xludf.DUMMYFUNCTION("""COMPUTED_VALUE"""),809488)</f>
        <v>809488</v>
      </c>
      <c r="E333" s="12">
        <f ca="1">IFERROR(__xludf.DUMMYFUNCTION("""COMPUTED_VALUE"""),28132)</f>
        <v>28132</v>
      </c>
      <c r="F333" s="12">
        <f ca="1">IFERROR(__xludf.DUMMYFUNCTION("""COMPUTED_VALUE"""),4063)</f>
        <v>4063</v>
      </c>
      <c r="G333" s="12">
        <f ca="1">IFERROR(__xludf.DUMMYFUNCTION("""COMPUTED_VALUE"""),224071)</f>
        <v>224071</v>
      </c>
      <c r="H333" s="12">
        <f ca="1">IFERROR(__xludf.DUMMYFUNCTION("""COMPUTED_VALUE"""),19869)</f>
        <v>19869</v>
      </c>
      <c r="I333" s="12">
        <f ca="1">IFERROR(__xludf.DUMMYFUNCTION("""COMPUTED_VALUE"""),4263)</f>
        <v>4263</v>
      </c>
      <c r="J333" s="12">
        <f ca="1">IFERROR(__xludf.DUMMYFUNCTION("""COMPUTED_VALUE"""),252266)</f>
        <v>252266</v>
      </c>
      <c r="K333" s="12">
        <f ca="1">IFERROR(__xludf.DUMMYFUNCTION("""COMPUTED_VALUE"""),24132)</f>
        <v>24132</v>
      </c>
      <c r="L333" s="12">
        <f ca="1">IFERROR(__xludf.DUMMYFUNCTION("""COMPUTED_VALUE"""),9994)</f>
        <v>9994</v>
      </c>
      <c r="M333" s="12">
        <f ca="1">IFERROR(__xludf.DUMMYFUNCTION("""COMPUTED_VALUE"""),-981)</f>
        <v>-981</v>
      </c>
      <c r="N333" s="12">
        <f ca="1">IFERROR(__xludf.DUMMYFUNCTION("""COMPUTED_VALUE"""),10678)</f>
        <v>10678</v>
      </c>
      <c r="O333" s="12">
        <f ca="1">IFERROR(__xludf.DUMMYFUNCTION("""COMPUTED_VALUE"""),297)</f>
        <v>297</v>
      </c>
      <c r="P333" s="12">
        <f ca="1">IFERROR(__xludf.DUMMYFUNCTION("""COMPUTED_VALUE"""),39)</f>
        <v>39</v>
      </c>
      <c r="Q333" s="12">
        <f ca="1">IFERROR(__xludf.DUMMYFUNCTION("""COMPUTED_VALUE"""),2504)</f>
        <v>2504</v>
      </c>
      <c r="R333" s="12">
        <f ca="1">IFERROR(__xludf.DUMMYFUNCTION("""COMPUTED_VALUE"""),315)</f>
        <v>315</v>
      </c>
      <c r="S333" s="12">
        <f ca="1">IFERROR(__xludf.DUMMYFUNCTION("""COMPUTED_VALUE"""),-407)</f>
        <v>-407</v>
      </c>
      <c r="T333" s="12">
        <f ca="1">IFERROR(__xludf.DUMMYFUNCTION("""COMPUTED_VALUE"""),2451)</f>
        <v>2451</v>
      </c>
      <c r="U333" s="12">
        <f ca="1">IFERROR(__xludf.DUMMYFUNCTION("""COMPUTED_VALUE"""),-92)</f>
        <v>-92</v>
      </c>
    </row>
    <row r="334" spans="1:21" x14ac:dyDescent="0.25">
      <c r="A334" s="11">
        <f ca="1">IFERROR(__xludf.DUMMYFUNCTION("""COMPUTED_VALUE"""),44222)</f>
        <v>44222</v>
      </c>
      <c r="B334" s="12">
        <f ca="1">IFERROR(__xludf.DUMMYFUNCTION("""COMPUTED_VALUE"""),1012350)</f>
        <v>1012350</v>
      </c>
      <c r="C334" s="12">
        <f ca="1">IFERROR(__xludf.DUMMYFUNCTION("""COMPUTED_VALUE"""),163526)</f>
        <v>163526</v>
      </c>
      <c r="D334" s="12">
        <f ca="1">IFERROR(__xludf.DUMMYFUNCTION("""COMPUTED_VALUE"""),820356)</f>
        <v>820356</v>
      </c>
      <c r="E334" s="12">
        <f ca="1">IFERROR(__xludf.DUMMYFUNCTION("""COMPUTED_VALUE"""),28468)</f>
        <v>28468</v>
      </c>
      <c r="F334" s="12">
        <f ca="1">IFERROR(__xludf.DUMMYFUNCTION("""COMPUTED_VALUE"""),4108)</f>
        <v>4108</v>
      </c>
      <c r="G334" s="12">
        <f ca="1">IFERROR(__xludf.DUMMYFUNCTION("""COMPUTED_VALUE"""),227010)</f>
        <v>227010</v>
      </c>
      <c r="H334" s="12">
        <f ca="1">IFERROR(__xludf.DUMMYFUNCTION("""COMPUTED_VALUE"""),19432)</f>
        <v>19432</v>
      </c>
      <c r="I334" s="12">
        <f ca="1">IFERROR(__xludf.DUMMYFUNCTION("""COMPUTED_VALUE"""),4030)</f>
        <v>4030</v>
      </c>
      <c r="J334" s="12">
        <f ca="1">IFERROR(__xludf.DUMMYFUNCTION("""COMPUTED_VALUE"""),254580)</f>
        <v>254580</v>
      </c>
      <c r="K334" s="12">
        <f ca="1">IFERROR(__xludf.DUMMYFUNCTION("""COMPUTED_VALUE"""),23462)</f>
        <v>23462</v>
      </c>
      <c r="L334" s="12">
        <f ca="1">IFERROR(__xludf.DUMMYFUNCTION("""COMPUTED_VALUE"""),13094)</f>
        <v>13094</v>
      </c>
      <c r="M334" s="12">
        <f ca="1">IFERROR(__xludf.DUMMYFUNCTION("""COMPUTED_VALUE"""),1890)</f>
        <v>1890</v>
      </c>
      <c r="N334" s="12">
        <f ca="1">IFERROR(__xludf.DUMMYFUNCTION("""COMPUTED_VALUE"""),10868)</f>
        <v>10868</v>
      </c>
      <c r="O334" s="12">
        <f ca="1">IFERROR(__xludf.DUMMYFUNCTION("""COMPUTED_VALUE"""),336)</f>
        <v>336</v>
      </c>
      <c r="P334" s="12">
        <f ca="1">IFERROR(__xludf.DUMMYFUNCTION("""COMPUTED_VALUE"""),45)</f>
        <v>45</v>
      </c>
      <c r="Q334" s="12">
        <f ca="1">IFERROR(__xludf.DUMMYFUNCTION("""COMPUTED_VALUE"""),2939)</f>
        <v>2939</v>
      </c>
      <c r="R334" s="12">
        <f ca="1">IFERROR(__xludf.DUMMYFUNCTION("""COMPUTED_VALUE"""),-437)</f>
        <v>-437</v>
      </c>
      <c r="S334" s="12">
        <f ca="1">IFERROR(__xludf.DUMMYFUNCTION("""COMPUTED_VALUE"""),-233)</f>
        <v>-233</v>
      </c>
      <c r="T334" s="12">
        <f ca="1">IFERROR(__xludf.DUMMYFUNCTION("""COMPUTED_VALUE"""),2314)</f>
        <v>2314</v>
      </c>
      <c r="U334" s="12">
        <f ca="1">IFERROR(__xludf.DUMMYFUNCTION("""COMPUTED_VALUE"""),-670)</f>
        <v>-670</v>
      </c>
    </row>
    <row r="335" spans="1:21" x14ac:dyDescent="0.25">
      <c r="A335" s="11">
        <f ca="1">IFERROR(__xludf.DUMMYFUNCTION("""COMPUTED_VALUE"""),44223)</f>
        <v>44223</v>
      </c>
      <c r="B335" s="12">
        <f ca="1">IFERROR(__xludf.DUMMYFUNCTION("""COMPUTED_VALUE"""),1024298)</f>
        <v>1024298</v>
      </c>
      <c r="C335" s="12">
        <f ca="1">IFERROR(__xludf.DUMMYFUNCTION("""COMPUTED_VALUE"""),164113)</f>
        <v>164113</v>
      </c>
      <c r="D335" s="12">
        <f ca="1">IFERROR(__xludf.DUMMYFUNCTION("""COMPUTED_VALUE"""),831330)</f>
        <v>831330</v>
      </c>
      <c r="E335" s="12">
        <f ca="1">IFERROR(__xludf.DUMMYFUNCTION("""COMPUTED_VALUE"""),28855)</f>
        <v>28855</v>
      </c>
      <c r="F335" s="12">
        <f ca="1">IFERROR(__xludf.DUMMYFUNCTION("""COMPUTED_VALUE"""),4134)</f>
        <v>4134</v>
      </c>
      <c r="G335" s="12">
        <f ca="1">IFERROR(__xludf.DUMMYFUNCTION("""COMPUTED_VALUE"""),229981)</f>
        <v>229981</v>
      </c>
      <c r="H335" s="12">
        <f ca="1">IFERROR(__xludf.DUMMYFUNCTION("""COMPUTED_VALUE"""),18528)</f>
        <v>18528</v>
      </c>
      <c r="I335" s="12">
        <f ca="1">IFERROR(__xludf.DUMMYFUNCTION("""COMPUTED_VALUE"""),3773)</f>
        <v>3773</v>
      </c>
      <c r="J335" s="12">
        <f ca="1">IFERROR(__xludf.DUMMYFUNCTION("""COMPUTED_VALUE"""),256416)</f>
        <v>256416</v>
      </c>
      <c r="K335" s="12">
        <f ca="1">IFERROR(__xludf.DUMMYFUNCTION("""COMPUTED_VALUE"""),22301)</f>
        <v>22301</v>
      </c>
      <c r="L335" s="12">
        <f ca="1">IFERROR(__xludf.DUMMYFUNCTION("""COMPUTED_VALUE"""),11948)</f>
        <v>11948</v>
      </c>
      <c r="M335" s="12">
        <f ca="1">IFERROR(__xludf.DUMMYFUNCTION("""COMPUTED_VALUE"""),587)</f>
        <v>587</v>
      </c>
      <c r="N335" s="12">
        <f ca="1">IFERROR(__xludf.DUMMYFUNCTION("""COMPUTED_VALUE"""),10974)</f>
        <v>10974</v>
      </c>
      <c r="O335" s="12">
        <f ca="1">IFERROR(__xludf.DUMMYFUNCTION("""COMPUTED_VALUE"""),387)</f>
        <v>387</v>
      </c>
      <c r="P335" s="12">
        <f ca="1">IFERROR(__xludf.DUMMYFUNCTION("""COMPUTED_VALUE"""),26)</f>
        <v>26</v>
      </c>
      <c r="Q335" s="12">
        <f ca="1">IFERROR(__xludf.DUMMYFUNCTION("""COMPUTED_VALUE"""),2971)</f>
        <v>2971</v>
      </c>
      <c r="R335" s="12">
        <f ca="1">IFERROR(__xludf.DUMMYFUNCTION("""COMPUTED_VALUE"""),-904)</f>
        <v>-904</v>
      </c>
      <c r="S335" s="12">
        <f ca="1">IFERROR(__xludf.DUMMYFUNCTION("""COMPUTED_VALUE"""),-257)</f>
        <v>-257</v>
      </c>
      <c r="T335" s="12">
        <f ca="1">IFERROR(__xludf.DUMMYFUNCTION("""COMPUTED_VALUE"""),1836)</f>
        <v>1836</v>
      </c>
      <c r="U335" s="12">
        <f ca="1">IFERROR(__xludf.DUMMYFUNCTION("""COMPUTED_VALUE"""),-1161)</f>
        <v>-1161</v>
      </c>
    </row>
    <row r="336" spans="1:21" x14ac:dyDescent="0.25">
      <c r="A336" s="11">
        <f ca="1">IFERROR(__xludf.DUMMYFUNCTION("""COMPUTED_VALUE"""),44224)</f>
        <v>44224</v>
      </c>
      <c r="B336" s="12">
        <f ca="1">IFERROR(__xludf.DUMMYFUNCTION("""COMPUTED_VALUE"""),1037993)</f>
        <v>1037993</v>
      </c>
      <c r="C336" s="12">
        <f ca="1">IFERROR(__xludf.DUMMYFUNCTION("""COMPUTED_VALUE"""),166540)</f>
        <v>166540</v>
      </c>
      <c r="D336" s="12">
        <f ca="1">IFERROR(__xludf.DUMMYFUNCTION("""COMPUTED_VALUE"""),842122)</f>
        <v>842122</v>
      </c>
      <c r="E336" s="12">
        <f ca="1">IFERROR(__xludf.DUMMYFUNCTION("""COMPUTED_VALUE"""),29331)</f>
        <v>29331</v>
      </c>
      <c r="F336" s="12">
        <f ca="1">IFERROR(__xludf.DUMMYFUNCTION("""COMPUTED_VALUE"""),4185)</f>
        <v>4185</v>
      </c>
      <c r="G336" s="12">
        <f ca="1">IFERROR(__xludf.DUMMYFUNCTION("""COMPUTED_VALUE"""),232701)</f>
        <v>232701</v>
      </c>
      <c r="H336" s="12">
        <f ca="1">IFERROR(__xludf.DUMMYFUNCTION("""COMPUTED_VALUE"""),18473)</f>
        <v>18473</v>
      </c>
      <c r="I336" s="12">
        <f ca="1">IFERROR(__xludf.DUMMYFUNCTION("""COMPUTED_VALUE"""),3946)</f>
        <v>3946</v>
      </c>
      <c r="J336" s="12">
        <f ca="1">IFERROR(__xludf.DUMMYFUNCTION("""COMPUTED_VALUE"""),259305)</f>
        <v>259305</v>
      </c>
      <c r="K336" s="12">
        <f ca="1">IFERROR(__xludf.DUMMYFUNCTION("""COMPUTED_VALUE"""),22419)</f>
        <v>22419</v>
      </c>
      <c r="L336" s="12">
        <f ca="1">IFERROR(__xludf.DUMMYFUNCTION("""COMPUTED_VALUE"""),13695)</f>
        <v>13695</v>
      </c>
      <c r="M336" s="12">
        <f ca="1">IFERROR(__xludf.DUMMYFUNCTION("""COMPUTED_VALUE"""),2427)</f>
        <v>2427</v>
      </c>
      <c r="N336" s="12">
        <f ca="1">IFERROR(__xludf.DUMMYFUNCTION("""COMPUTED_VALUE"""),10792)</f>
        <v>10792</v>
      </c>
      <c r="O336" s="12">
        <f ca="1">IFERROR(__xludf.DUMMYFUNCTION("""COMPUTED_VALUE"""),476)</f>
        <v>476</v>
      </c>
      <c r="P336" s="12">
        <f ca="1">IFERROR(__xludf.DUMMYFUNCTION("""COMPUTED_VALUE"""),51)</f>
        <v>51</v>
      </c>
      <c r="Q336" s="12">
        <f ca="1">IFERROR(__xludf.DUMMYFUNCTION("""COMPUTED_VALUE"""),2720)</f>
        <v>2720</v>
      </c>
      <c r="R336" s="12">
        <f ca="1">IFERROR(__xludf.DUMMYFUNCTION("""COMPUTED_VALUE"""),-55)</f>
        <v>-55</v>
      </c>
      <c r="S336" s="12">
        <f ca="1">IFERROR(__xludf.DUMMYFUNCTION("""COMPUTED_VALUE"""),173)</f>
        <v>173</v>
      </c>
      <c r="T336" s="12">
        <f ca="1">IFERROR(__xludf.DUMMYFUNCTION("""COMPUTED_VALUE"""),2889)</f>
        <v>2889</v>
      </c>
      <c r="U336" s="12">
        <f ca="1">IFERROR(__xludf.DUMMYFUNCTION("""COMPUTED_VALUE"""),118)</f>
        <v>118</v>
      </c>
    </row>
    <row r="337" spans="1:21" x14ac:dyDescent="0.25">
      <c r="A337" s="11">
        <f ca="1">IFERROR(__xludf.DUMMYFUNCTION("""COMPUTED_VALUE"""),44225)</f>
        <v>44225</v>
      </c>
      <c r="B337" s="12">
        <f ca="1">IFERROR(__xludf.DUMMYFUNCTION("""COMPUTED_VALUE"""),1051795)</f>
        <v>1051795</v>
      </c>
      <c r="C337" s="12">
        <f ca="1">IFERROR(__xludf.DUMMYFUNCTION("""COMPUTED_VALUE"""),170017)</f>
        <v>170017</v>
      </c>
      <c r="D337" s="12">
        <f ca="1">IFERROR(__xludf.DUMMYFUNCTION("""COMPUTED_VALUE"""),852260)</f>
        <v>852260</v>
      </c>
      <c r="E337" s="12">
        <f ca="1">IFERROR(__xludf.DUMMYFUNCTION("""COMPUTED_VALUE"""),29518)</f>
        <v>29518</v>
      </c>
      <c r="F337" s="12">
        <f ca="1">IFERROR(__xludf.DUMMYFUNCTION("""COMPUTED_VALUE"""),4224)</f>
        <v>4224</v>
      </c>
      <c r="G337" s="12">
        <f ca="1">IFERROR(__xludf.DUMMYFUNCTION("""COMPUTED_VALUE"""),235140)</f>
        <v>235140</v>
      </c>
      <c r="H337" s="12">
        <f ca="1">IFERROR(__xludf.DUMMYFUNCTION("""COMPUTED_VALUE"""),19381)</f>
        <v>19381</v>
      </c>
      <c r="I337" s="12">
        <f ca="1">IFERROR(__xludf.DUMMYFUNCTION("""COMPUTED_VALUE"""),4008)</f>
        <v>4008</v>
      </c>
      <c r="J337" s="12">
        <f ca="1">IFERROR(__xludf.DUMMYFUNCTION("""COMPUTED_VALUE"""),262753)</f>
        <v>262753</v>
      </c>
      <c r="K337" s="12">
        <f ca="1">IFERROR(__xludf.DUMMYFUNCTION("""COMPUTED_VALUE"""),23389)</f>
        <v>23389</v>
      </c>
      <c r="L337" s="12">
        <f ca="1">IFERROR(__xludf.DUMMYFUNCTION("""COMPUTED_VALUE"""),13802)</f>
        <v>13802</v>
      </c>
      <c r="M337" s="12">
        <f ca="1">IFERROR(__xludf.DUMMYFUNCTION("""COMPUTED_VALUE"""),3477)</f>
        <v>3477</v>
      </c>
      <c r="N337" s="12">
        <f ca="1">IFERROR(__xludf.DUMMYFUNCTION("""COMPUTED_VALUE"""),10138)</f>
        <v>10138</v>
      </c>
      <c r="O337" s="12">
        <f ca="1">IFERROR(__xludf.DUMMYFUNCTION("""COMPUTED_VALUE"""),187)</f>
        <v>187</v>
      </c>
      <c r="P337" s="12">
        <f ca="1">IFERROR(__xludf.DUMMYFUNCTION("""COMPUTED_VALUE"""),39)</f>
        <v>39</v>
      </c>
      <c r="Q337" s="12">
        <f ca="1">IFERROR(__xludf.DUMMYFUNCTION("""COMPUTED_VALUE"""),2439)</f>
        <v>2439</v>
      </c>
      <c r="R337" s="12">
        <f ca="1">IFERROR(__xludf.DUMMYFUNCTION("""COMPUTED_VALUE"""),908)</f>
        <v>908</v>
      </c>
      <c r="S337" s="12">
        <f ca="1">IFERROR(__xludf.DUMMYFUNCTION("""COMPUTED_VALUE"""),62)</f>
        <v>62</v>
      </c>
      <c r="T337" s="12">
        <f ca="1">IFERROR(__xludf.DUMMYFUNCTION("""COMPUTED_VALUE"""),3448)</f>
        <v>3448</v>
      </c>
      <c r="U337" s="12">
        <f ca="1">IFERROR(__xludf.DUMMYFUNCTION("""COMPUTED_VALUE"""),970)</f>
        <v>970</v>
      </c>
    </row>
    <row r="338" spans="1:21" x14ac:dyDescent="0.25">
      <c r="A338" s="11">
        <f ca="1">IFERROR(__xludf.DUMMYFUNCTION("""COMPUTED_VALUE"""),44226)</f>
        <v>44226</v>
      </c>
      <c r="B338" s="12">
        <f ca="1">IFERROR(__xludf.DUMMYFUNCTION("""COMPUTED_VALUE"""),1066313)</f>
        <v>1066313</v>
      </c>
      <c r="C338" s="12">
        <f ca="1">IFERROR(__xludf.DUMMYFUNCTION("""COMPUTED_VALUE"""),174083)</f>
        <v>174083</v>
      </c>
      <c r="D338" s="12">
        <f ca="1">IFERROR(__xludf.DUMMYFUNCTION("""COMPUTED_VALUE"""),862502)</f>
        <v>862502</v>
      </c>
      <c r="E338" s="12">
        <f ca="1">IFERROR(__xludf.DUMMYFUNCTION("""COMPUTED_VALUE"""),29728)</f>
        <v>29728</v>
      </c>
      <c r="F338" s="12">
        <f ca="1">IFERROR(__xludf.DUMMYFUNCTION("""COMPUTED_VALUE"""),4254)</f>
        <v>4254</v>
      </c>
      <c r="G338" s="12">
        <f ca="1">IFERROR(__xludf.DUMMYFUNCTION("""COMPUTED_VALUE"""),238395)</f>
        <v>238395</v>
      </c>
      <c r="H338" s="12">
        <f ca="1">IFERROR(__xludf.DUMMYFUNCTION("""COMPUTED_VALUE"""),20539)</f>
        <v>20539</v>
      </c>
      <c r="I338" s="12">
        <f ca="1">IFERROR(__xludf.DUMMYFUNCTION("""COMPUTED_VALUE"""),3056)</f>
        <v>3056</v>
      </c>
      <c r="J338" s="12">
        <f ca="1">IFERROR(__xludf.DUMMYFUNCTION("""COMPUTED_VALUE"""),266244)</f>
        <v>266244</v>
      </c>
      <c r="K338" s="12">
        <f ca="1">IFERROR(__xludf.DUMMYFUNCTION("""COMPUTED_VALUE"""),23595)</f>
        <v>23595</v>
      </c>
      <c r="L338" s="12">
        <f ca="1">IFERROR(__xludf.DUMMYFUNCTION("""COMPUTED_VALUE"""),14518)</f>
        <v>14518</v>
      </c>
      <c r="M338" s="12">
        <f ca="1">IFERROR(__xludf.DUMMYFUNCTION("""COMPUTED_VALUE"""),4066)</f>
        <v>4066</v>
      </c>
      <c r="N338" s="12">
        <f ca="1">IFERROR(__xludf.DUMMYFUNCTION("""COMPUTED_VALUE"""),10242)</f>
        <v>10242</v>
      </c>
      <c r="O338" s="12">
        <f ca="1">IFERROR(__xludf.DUMMYFUNCTION("""COMPUTED_VALUE"""),210)</f>
        <v>210</v>
      </c>
      <c r="P338" s="12">
        <f ca="1">IFERROR(__xludf.DUMMYFUNCTION("""COMPUTED_VALUE"""),30)</f>
        <v>30</v>
      </c>
      <c r="Q338" s="12">
        <f ca="1">IFERROR(__xludf.DUMMYFUNCTION("""COMPUTED_VALUE"""),3255)</f>
        <v>3255</v>
      </c>
      <c r="R338" s="12">
        <f ca="1">IFERROR(__xludf.DUMMYFUNCTION("""COMPUTED_VALUE"""),1158)</f>
        <v>1158</v>
      </c>
      <c r="S338" s="12">
        <f ca="1">IFERROR(__xludf.DUMMYFUNCTION("""COMPUTED_VALUE"""),-952)</f>
        <v>-952</v>
      </c>
      <c r="T338" s="12">
        <f ca="1">IFERROR(__xludf.DUMMYFUNCTION("""COMPUTED_VALUE"""),3491)</f>
        <v>3491</v>
      </c>
      <c r="U338" s="12">
        <f ca="1">IFERROR(__xludf.DUMMYFUNCTION("""COMPUTED_VALUE"""),206)</f>
        <v>206</v>
      </c>
    </row>
    <row r="339" spans="1:21" x14ac:dyDescent="0.25">
      <c r="A339" s="11">
        <f ca="1">IFERROR(__xludf.DUMMYFUNCTION("""COMPUTED_VALUE"""),44227)</f>
        <v>44227</v>
      </c>
      <c r="B339" s="12">
        <f ca="1">IFERROR(__xludf.DUMMYFUNCTION("""COMPUTED_VALUE"""),1078314)</f>
        <v>1078314</v>
      </c>
      <c r="C339" s="12">
        <f ca="1">IFERROR(__xludf.DUMMYFUNCTION("""COMPUTED_VALUE"""),175095)</f>
        <v>175095</v>
      </c>
      <c r="D339" s="12">
        <f ca="1">IFERROR(__xludf.DUMMYFUNCTION("""COMPUTED_VALUE"""),873221)</f>
        <v>873221</v>
      </c>
      <c r="E339" s="12">
        <f ca="1">IFERROR(__xludf.DUMMYFUNCTION("""COMPUTED_VALUE"""),29998)</f>
        <v>29998</v>
      </c>
      <c r="F339" s="12">
        <f ca="1">IFERROR(__xludf.DUMMYFUNCTION("""COMPUTED_VALUE"""),4267)</f>
        <v>4267</v>
      </c>
      <c r="G339" s="12">
        <f ca="1">IFERROR(__xludf.DUMMYFUNCTION("""COMPUTED_VALUE"""),242069)</f>
        <v>242069</v>
      </c>
      <c r="H339" s="12">
        <f ca="1">IFERROR(__xludf.DUMMYFUNCTION("""COMPUTED_VALUE"""),19272)</f>
        <v>19272</v>
      </c>
      <c r="I339" s="12">
        <f ca="1">IFERROR(__xludf.DUMMYFUNCTION("""COMPUTED_VALUE"""),4110)</f>
        <v>4110</v>
      </c>
      <c r="J339" s="12">
        <f ca="1">IFERROR(__xludf.DUMMYFUNCTION("""COMPUTED_VALUE"""),269718)</f>
        <v>269718</v>
      </c>
      <c r="K339" s="12">
        <f ca="1">IFERROR(__xludf.DUMMYFUNCTION("""COMPUTED_VALUE"""),23382)</f>
        <v>23382</v>
      </c>
      <c r="L339" s="12">
        <f ca="1">IFERROR(__xludf.DUMMYFUNCTION("""COMPUTED_VALUE"""),12001)</f>
        <v>12001</v>
      </c>
      <c r="M339" s="12">
        <f ca="1">IFERROR(__xludf.DUMMYFUNCTION("""COMPUTED_VALUE"""),1012)</f>
        <v>1012</v>
      </c>
      <c r="N339" s="12">
        <f ca="1">IFERROR(__xludf.DUMMYFUNCTION("""COMPUTED_VALUE"""),10719)</f>
        <v>10719</v>
      </c>
      <c r="O339" s="12">
        <f ca="1">IFERROR(__xludf.DUMMYFUNCTION("""COMPUTED_VALUE"""),270)</f>
        <v>270</v>
      </c>
      <c r="P339" s="12">
        <f ca="1">IFERROR(__xludf.DUMMYFUNCTION("""COMPUTED_VALUE"""),13)</f>
        <v>13</v>
      </c>
      <c r="Q339" s="12">
        <f ca="1">IFERROR(__xludf.DUMMYFUNCTION("""COMPUTED_VALUE"""),3674)</f>
        <v>3674</v>
      </c>
      <c r="R339" s="12">
        <f ca="1">IFERROR(__xludf.DUMMYFUNCTION("""COMPUTED_VALUE"""),-1267)</f>
        <v>-1267</v>
      </c>
      <c r="S339" s="12">
        <f ca="1">IFERROR(__xludf.DUMMYFUNCTION("""COMPUTED_VALUE"""),1054)</f>
        <v>1054</v>
      </c>
      <c r="T339" s="12">
        <f ca="1">IFERROR(__xludf.DUMMYFUNCTION("""COMPUTED_VALUE"""),3474)</f>
        <v>3474</v>
      </c>
      <c r="U339" s="12">
        <f ca="1">IFERROR(__xludf.DUMMYFUNCTION("""COMPUTED_VALUE"""),-213)</f>
        <v>-213</v>
      </c>
    </row>
    <row r="340" spans="1:21" x14ac:dyDescent="0.25">
      <c r="A340" s="11">
        <f ca="1">IFERROR(__xludf.DUMMYFUNCTION("""COMPUTED_VALUE"""),44228)</f>
        <v>44228</v>
      </c>
      <c r="B340" s="12">
        <f ca="1">IFERROR(__xludf.DUMMYFUNCTION("""COMPUTED_VALUE"""),1089308)</f>
        <v>1089308</v>
      </c>
      <c r="C340" s="12">
        <f ca="1">IFERROR(__xludf.DUMMYFUNCTION("""COMPUTED_VALUE"""),175349)</f>
        <v>175349</v>
      </c>
      <c r="D340" s="12">
        <f ca="1">IFERROR(__xludf.DUMMYFUNCTION("""COMPUTED_VALUE"""),883682)</f>
        <v>883682</v>
      </c>
      <c r="E340" s="12">
        <f ca="1">IFERROR(__xludf.DUMMYFUNCTION("""COMPUTED_VALUE"""),30277)</f>
        <v>30277</v>
      </c>
      <c r="F340" s="12">
        <f ca="1">IFERROR(__xludf.DUMMYFUNCTION("""COMPUTED_VALUE"""),4337)</f>
        <v>4337</v>
      </c>
      <c r="G340" s="12">
        <f ca="1">IFERROR(__xludf.DUMMYFUNCTION("""COMPUTED_VALUE"""),244202)</f>
        <v>244202</v>
      </c>
      <c r="H340" s="12">
        <f ca="1">IFERROR(__xludf.DUMMYFUNCTION("""COMPUTED_VALUE"""),19824)</f>
        <v>19824</v>
      </c>
      <c r="I340" s="12">
        <f ca="1">IFERROR(__xludf.DUMMYFUNCTION("""COMPUTED_VALUE"""),4969)</f>
        <v>4969</v>
      </c>
      <c r="J340" s="12">
        <f ca="1">IFERROR(__xludf.DUMMYFUNCTION("""COMPUTED_VALUE"""),273332)</f>
        <v>273332</v>
      </c>
      <c r="K340" s="12">
        <f ca="1">IFERROR(__xludf.DUMMYFUNCTION("""COMPUTED_VALUE"""),24793)</f>
        <v>24793</v>
      </c>
      <c r="L340" s="12">
        <f ca="1">IFERROR(__xludf.DUMMYFUNCTION("""COMPUTED_VALUE"""),10994)</f>
        <v>10994</v>
      </c>
      <c r="M340" s="12">
        <f ca="1">IFERROR(__xludf.DUMMYFUNCTION("""COMPUTED_VALUE"""),254)</f>
        <v>254</v>
      </c>
      <c r="N340" s="12">
        <f ca="1">IFERROR(__xludf.DUMMYFUNCTION("""COMPUTED_VALUE"""),10461)</f>
        <v>10461</v>
      </c>
      <c r="O340" s="12">
        <f ca="1">IFERROR(__xludf.DUMMYFUNCTION("""COMPUTED_VALUE"""),279)</f>
        <v>279</v>
      </c>
      <c r="P340" s="12">
        <f ca="1">IFERROR(__xludf.DUMMYFUNCTION("""COMPUTED_VALUE"""),70)</f>
        <v>70</v>
      </c>
      <c r="Q340" s="12">
        <f ca="1">IFERROR(__xludf.DUMMYFUNCTION("""COMPUTED_VALUE"""),2133)</f>
        <v>2133</v>
      </c>
      <c r="R340" s="12">
        <f ca="1">IFERROR(__xludf.DUMMYFUNCTION("""COMPUTED_VALUE"""),552)</f>
        <v>552</v>
      </c>
      <c r="S340" s="12">
        <f ca="1">IFERROR(__xludf.DUMMYFUNCTION("""COMPUTED_VALUE"""),859)</f>
        <v>859</v>
      </c>
      <c r="T340" s="12">
        <f ca="1">IFERROR(__xludf.DUMMYFUNCTION("""COMPUTED_VALUE"""),3614)</f>
        <v>3614</v>
      </c>
      <c r="U340" s="12">
        <f ca="1">IFERROR(__xludf.DUMMYFUNCTION("""COMPUTED_VALUE"""),1411)</f>
        <v>1411</v>
      </c>
    </row>
    <row r="341" spans="1:21" x14ac:dyDescent="0.25">
      <c r="A341" s="11">
        <f ca="1">IFERROR(__xludf.DUMMYFUNCTION("""COMPUTED_VALUE"""),44229)</f>
        <v>44229</v>
      </c>
      <c r="B341" s="12">
        <f ca="1">IFERROR(__xludf.DUMMYFUNCTION("""COMPUTED_VALUE"""),1099687)</f>
        <v>1099687</v>
      </c>
      <c r="C341" s="12">
        <f ca="1">IFERROR(__xludf.DUMMYFUNCTION("""COMPUTED_VALUE"""),172576)</f>
        <v>172576</v>
      </c>
      <c r="D341" s="12">
        <f ca="1">IFERROR(__xludf.DUMMYFUNCTION("""COMPUTED_VALUE"""),896530)</f>
        <v>896530</v>
      </c>
      <c r="E341" s="12">
        <f ca="1">IFERROR(__xludf.DUMMYFUNCTION("""COMPUTED_VALUE"""),30581)</f>
        <v>30581</v>
      </c>
      <c r="F341" s="12">
        <f ca="1">IFERROR(__xludf.DUMMYFUNCTION("""COMPUTED_VALUE"""),4379)</f>
        <v>4379</v>
      </c>
      <c r="G341" s="12">
        <f ca="1">IFERROR(__xludf.DUMMYFUNCTION("""COMPUTED_VALUE"""),248515)</f>
        <v>248515</v>
      </c>
      <c r="H341" s="12">
        <f ca="1">IFERROR(__xludf.DUMMYFUNCTION("""COMPUTED_VALUE"""),18925)</f>
        <v>18925</v>
      </c>
      <c r="I341" s="12">
        <f ca="1">IFERROR(__xludf.DUMMYFUNCTION("""COMPUTED_VALUE"""),4875)</f>
        <v>4875</v>
      </c>
      <c r="J341" s="12">
        <f ca="1">IFERROR(__xludf.DUMMYFUNCTION("""COMPUTED_VALUE"""),276694)</f>
        <v>276694</v>
      </c>
      <c r="K341" s="12">
        <f ca="1">IFERROR(__xludf.DUMMYFUNCTION("""COMPUTED_VALUE"""),23800)</f>
        <v>23800</v>
      </c>
      <c r="L341" s="12">
        <f ca="1">IFERROR(__xludf.DUMMYFUNCTION("""COMPUTED_VALUE"""),10379)</f>
        <v>10379</v>
      </c>
      <c r="M341" s="12">
        <f ca="1">IFERROR(__xludf.DUMMYFUNCTION("""COMPUTED_VALUE"""),-2773)</f>
        <v>-2773</v>
      </c>
      <c r="N341" s="12">
        <f ca="1">IFERROR(__xludf.DUMMYFUNCTION("""COMPUTED_VALUE"""),12848)</f>
        <v>12848</v>
      </c>
      <c r="O341" s="12">
        <f ca="1">IFERROR(__xludf.DUMMYFUNCTION("""COMPUTED_VALUE"""),304)</f>
        <v>304</v>
      </c>
      <c r="P341" s="12">
        <f ca="1">IFERROR(__xludf.DUMMYFUNCTION("""COMPUTED_VALUE"""),42)</f>
        <v>42</v>
      </c>
      <c r="Q341" s="12">
        <f ca="1">IFERROR(__xludf.DUMMYFUNCTION("""COMPUTED_VALUE"""),4313)</f>
        <v>4313</v>
      </c>
      <c r="R341" s="12">
        <f ca="1">IFERROR(__xludf.DUMMYFUNCTION("""COMPUTED_VALUE"""),-899)</f>
        <v>-899</v>
      </c>
      <c r="S341" s="12">
        <f ca="1">IFERROR(__xludf.DUMMYFUNCTION("""COMPUTED_VALUE"""),-94)</f>
        <v>-94</v>
      </c>
      <c r="T341" s="12">
        <f ca="1">IFERROR(__xludf.DUMMYFUNCTION("""COMPUTED_VALUE"""),3362)</f>
        <v>3362</v>
      </c>
      <c r="U341" s="12">
        <f ca="1">IFERROR(__xludf.DUMMYFUNCTION("""COMPUTED_VALUE"""),-993)</f>
        <v>-993</v>
      </c>
    </row>
    <row r="342" spans="1:21" x14ac:dyDescent="0.25">
      <c r="A342" s="11">
        <f ca="1">IFERROR(__xludf.DUMMYFUNCTION("""COMPUTED_VALUE"""),44230)</f>
        <v>44230</v>
      </c>
      <c r="B342" s="12">
        <f ca="1">IFERROR(__xludf.DUMMYFUNCTION("""COMPUTED_VALUE"""),1111671)</f>
        <v>1111671</v>
      </c>
      <c r="C342" s="12">
        <f ca="1">IFERROR(__xludf.DUMMYFUNCTION("""COMPUTED_VALUE"""),175236)</f>
        <v>175236</v>
      </c>
      <c r="D342" s="12">
        <f ca="1">IFERROR(__xludf.DUMMYFUNCTION("""COMPUTED_VALUE"""),905665)</f>
        <v>905665</v>
      </c>
      <c r="E342" s="12">
        <f ca="1">IFERROR(__xludf.DUMMYFUNCTION("""COMPUTED_VALUE"""),30770)</f>
        <v>30770</v>
      </c>
      <c r="F342" s="12">
        <f ca="1">IFERROR(__xludf.DUMMYFUNCTION("""COMPUTED_VALUE"""),4420)</f>
        <v>4420</v>
      </c>
      <c r="G342" s="12">
        <f ca="1">IFERROR(__xludf.DUMMYFUNCTION("""COMPUTED_VALUE"""),249810)</f>
        <v>249810</v>
      </c>
      <c r="H342" s="12">
        <f ca="1">IFERROR(__xludf.DUMMYFUNCTION("""COMPUTED_VALUE"""),21863)</f>
        <v>21863</v>
      </c>
      <c r="I342" s="12">
        <f ca="1">IFERROR(__xludf.DUMMYFUNCTION("""COMPUTED_VALUE"""),4168)</f>
        <v>4168</v>
      </c>
      <c r="J342" s="12">
        <f ca="1">IFERROR(__xludf.DUMMYFUNCTION("""COMPUTED_VALUE"""),280261)</f>
        <v>280261</v>
      </c>
      <c r="K342" s="12">
        <f ca="1">IFERROR(__xludf.DUMMYFUNCTION("""COMPUTED_VALUE"""),26031)</f>
        <v>26031</v>
      </c>
      <c r="L342" s="12">
        <f ca="1">IFERROR(__xludf.DUMMYFUNCTION("""COMPUTED_VALUE"""),11984)</f>
        <v>11984</v>
      </c>
      <c r="M342" s="12">
        <f ca="1">IFERROR(__xludf.DUMMYFUNCTION("""COMPUTED_VALUE"""),2660)</f>
        <v>2660</v>
      </c>
      <c r="N342" s="12">
        <f ca="1">IFERROR(__xludf.DUMMYFUNCTION("""COMPUTED_VALUE"""),9135)</f>
        <v>9135</v>
      </c>
      <c r="O342" s="12">
        <f ca="1">IFERROR(__xludf.DUMMYFUNCTION("""COMPUTED_VALUE"""),189)</f>
        <v>189</v>
      </c>
      <c r="P342" s="12">
        <f ca="1">IFERROR(__xludf.DUMMYFUNCTION("""COMPUTED_VALUE"""),41)</f>
        <v>41</v>
      </c>
      <c r="Q342" s="12">
        <f ca="1">IFERROR(__xludf.DUMMYFUNCTION("""COMPUTED_VALUE"""),1295)</f>
        <v>1295</v>
      </c>
      <c r="R342" s="12">
        <f ca="1">IFERROR(__xludf.DUMMYFUNCTION("""COMPUTED_VALUE"""),2938)</f>
        <v>2938</v>
      </c>
      <c r="S342" s="12">
        <f ca="1">IFERROR(__xludf.DUMMYFUNCTION("""COMPUTED_VALUE"""),-707)</f>
        <v>-707</v>
      </c>
      <c r="T342" s="12">
        <f ca="1">IFERROR(__xludf.DUMMYFUNCTION("""COMPUTED_VALUE"""),3567)</f>
        <v>3567</v>
      </c>
      <c r="U342" s="12">
        <f ca="1">IFERROR(__xludf.DUMMYFUNCTION("""COMPUTED_VALUE"""),2231)</f>
        <v>2231</v>
      </c>
    </row>
    <row r="343" spans="1:21" x14ac:dyDescent="0.25">
      <c r="A343" s="11">
        <f ca="1">IFERROR(__xludf.DUMMYFUNCTION("""COMPUTED_VALUE"""),44231)</f>
        <v>44231</v>
      </c>
      <c r="B343" s="12">
        <f ca="1">IFERROR(__xludf.DUMMYFUNCTION("""COMPUTED_VALUE"""),1123105)</f>
        <v>1123105</v>
      </c>
      <c r="C343" s="12">
        <f ca="1">IFERROR(__xludf.DUMMYFUNCTION("""COMPUTED_VALUE"""),175068)</f>
        <v>175068</v>
      </c>
      <c r="D343" s="12">
        <f ca="1">IFERROR(__xludf.DUMMYFUNCTION("""COMPUTED_VALUE"""),917036)</f>
        <v>917036</v>
      </c>
      <c r="E343" s="12">
        <f ca="1">IFERROR(__xludf.DUMMYFUNCTION("""COMPUTED_VALUE"""),31001)</f>
        <v>31001</v>
      </c>
      <c r="F343" s="12">
        <f ca="1">IFERROR(__xludf.DUMMYFUNCTION("""COMPUTED_VALUE"""),4461)</f>
        <v>4461</v>
      </c>
      <c r="G343" s="12">
        <f ca="1">IFERROR(__xludf.DUMMYFUNCTION("""COMPUTED_VALUE"""),254155)</f>
        <v>254155</v>
      </c>
      <c r="H343" s="12">
        <f ca="1">IFERROR(__xludf.DUMMYFUNCTION("""COMPUTED_VALUE"""),20419)</f>
        <v>20419</v>
      </c>
      <c r="I343" s="12">
        <f ca="1">IFERROR(__xludf.DUMMYFUNCTION("""COMPUTED_VALUE"""),4858)</f>
        <v>4858</v>
      </c>
      <c r="J343" s="12">
        <f ca="1">IFERROR(__xludf.DUMMYFUNCTION("""COMPUTED_VALUE"""),283893)</f>
        <v>283893</v>
      </c>
      <c r="K343" s="12">
        <f ca="1">IFERROR(__xludf.DUMMYFUNCTION("""COMPUTED_VALUE"""),25277)</f>
        <v>25277</v>
      </c>
      <c r="L343" s="12">
        <f ca="1">IFERROR(__xludf.DUMMYFUNCTION("""COMPUTED_VALUE"""),11434)</f>
        <v>11434</v>
      </c>
      <c r="M343" s="12">
        <f ca="1">IFERROR(__xludf.DUMMYFUNCTION("""COMPUTED_VALUE"""),-168)</f>
        <v>-168</v>
      </c>
      <c r="N343" s="12">
        <f ca="1">IFERROR(__xludf.DUMMYFUNCTION("""COMPUTED_VALUE"""),11371)</f>
        <v>11371</v>
      </c>
      <c r="O343" s="12">
        <f ca="1">IFERROR(__xludf.DUMMYFUNCTION("""COMPUTED_VALUE"""),231)</f>
        <v>231</v>
      </c>
      <c r="P343" s="12">
        <f ca="1">IFERROR(__xludf.DUMMYFUNCTION("""COMPUTED_VALUE"""),41)</f>
        <v>41</v>
      </c>
      <c r="Q343" s="12">
        <f ca="1">IFERROR(__xludf.DUMMYFUNCTION("""COMPUTED_VALUE"""),4345)</f>
        <v>4345</v>
      </c>
      <c r="R343" s="12">
        <f ca="1">IFERROR(__xludf.DUMMYFUNCTION("""COMPUTED_VALUE"""),-1444)</f>
        <v>-1444</v>
      </c>
      <c r="S343" s="12">
        <f ca="1">IFERROR(__xludf.DUMMYFUNCTION("""COMPUTED_VALUE"""),690)</f>
        <v>690</v>
      </c>
      <c r="T343" s="12">
        <f ca="1">IFERROR(__xludf.DUMMYFUNCTION("""COMPUTED_VALUE"""),3632)</f>
        <v>3632</v>
      </c>
      <c r="U343" s="12">
        <f ca="1">IFERROR(__xludf.DUMMYFUNCTION("""COMPUTED_VALUE"""),-754)</f>
        <v>-754</v>
      </c>
    </row>
    <row r="344" spans="1:21" x14ac:dyDescent="0.25">
      <c r="A344" s="11">
        <f ca="1">IFERROR(__xludf.DUMMYFUNCTION("""COMPUTED_VALUE"""),44232)</f>
        <v>44232</v>
      </c>
      <c r="B344" s="12">
        <f ca="1">IFERROR(__xludf.DUMMYFUNCTION("""COMPUTED_VALUE"""),1134854)</f>
        <v>1134854</v>
      </c>
      <c r="C344" s="12">
        <f ca="1">IFERROR(__xludf.DUMMYFUNCTION("""COMPUTED_VALUE"""),176672)</f>
        <v>176672</v>
      </c>
      <c r="D344" s="12">
        <f ca="1">IFERROR(__xludf.DUMMYFUNCTION("""COMPUTED_VALUE"""),926980)</f>
        <v>926980</v>
      </c>
      <c r="E344" s="12">
        <f ca="1">IFERROR(__xludf.DUMMYFUNCTION("""COMPUTED_VALUE"""),31202)</f>
        <v>31202</v>
      </c>
      <c r="F344" s="12">
        <f ca="1">IFERROR(__xludf.DUMMYFUNCTION("""COMPUTED_VALUE"""),4502)</f>
        <v>4502</v>
      </c>
      <c r="G344" s="12">
        <f ca="1">IFERROR(__xludf.DUMMYFUNCTION("""COMPUTED_VALUE"""),256702)</f>
        <v>256702</v>
      </c>
      <c r="H344" s="12">
        <f ca="1">IFERROR(__xludf.DUMMYFUNCTION("""COMPUTED_VALUE"""),21191)</f>
        <v>21191</v>
      </c>
      <c r="I344" s="12">
        <f ca="1">IFERROR(__xludf.DUMMYFUNCTION("""COMPUTED_VALUE"""),4838)</f>
        <v>4838</v>
      </c>
      <c r="J344" s="12">
        <f ca="1">IFERROR(__xludf.DUMMYFUNCTION("""COMPUTED_VALUE"""),287233)</f>
        <v>287233</v>
      </c>
      <c r="K344" s="12">
        <f ca="1">IFERROR(__xludf.DUMMYFUNCTION("""COMPUTED_VALUE"""),26029)</f>
        <v>26029</v>
      </c>
      <c r="L344" s="12">
        <f ca="1">IFERROR(__xludf.DUMMYFUNCTION("""COMPUTED_VALUE"""),11749)</f>
        <v>11749</v>
      </c>
      <c r="M344" s="12">
        <f ca="1">IFERROR(__xludf.DUMMYFUNCTION("""COMPUTED_VALUE"""),1604)</f>
        <v>1604</v>
      </c>
      <c r="N344" s="12">
        <f ca="1">IFERROR(__xludf.DUMMYFUNCTION("""COMPUTED_VALUE"""),9944)</f>
        <v>9944</v>
      </c>
      <c r="O344" s="12">
        <f ca="1">IFERROR(__xludf.DUMMYFUNCTION("""COMPUTED_VALUE"""),201)</f>
        <v>201</v>
      </c>
      <c r="P344" s="12">
        <f ca="1">IFERROR(__xludf.DUMMYFUNCTION("""COMPUTED_VALUE"""),41)</f>
        <v>41</v>
      </c>
      <c r="Q344" s="12">
        <f ca="1">IFERROR(__xludf.DUMMYFUNCTION("""COMPUTED_VALUE"""),2547)</f>
        <v>2547</v>
      </c>
      <c r="R344" s="12">
        <f ca="1">IFERROR(__xludf.DUMMYFUNCTION("""COMPUTED_VALUE"""),772)</f>
        <v>772</v>
      </c>
      <c r="S344" s="12">
        <f ca="1">IFERROR(__xludf.DUMMYFUNCTION("""COMPUTED_VALUE"""),-20)</f>
        <v>-20</v>
      </c>
      <c r="T344" s="12">
        <f ca="1">IFERROR(__xludf.DUMMYFUNCTION("""COMPUTED_VALUE"""),3340)</f>
        <v>3340</v>
      </c>
      <c r="U344" s="12">
        <f ca="1">IFERROR(__xludf.DUMMYFUNCTION("""COMPUTED_VALUE"""),752)</f>
        <v>752</v>
      </c>
    </row>
    <row r="345" spans="1:21" x14ac:dyDescent="0.25">
      <c r="A345" s="11">
        <f ca="1">IFERROR(__xludf.DUMMYFUNCTION("""COMPUTED_VALUE"""),44233)</f>
        <v>44233</v>
      </c>
      <c r="B345" s="12">
        <f ca="1">IFERROR(__xludf.DUMMYFUNCTION("""COMPUTED_VALUE"""),1147010)</f>
        <v>1147010</v>
      </c>
      <c r="C345" s="12">
        <f ca="1">IFERROR(__xludf.DUMMYFUNCTION("""COMPUTED_VALUE"""),176433)</f>
        <v>176433</v>
      </c>
      <c r="D345" s="12">
        <f ca="1">IFERROR(__xludf.DUMMYFUNCTION("""COMPUTED_VALUE"""),939184)</f>
        <v>939184</v>
      </c>
      <c r="E345" s="12">
        <f ca="1">IFERROR(__xludf.DUMMYFUNCTION("""COMPUTED_VALUE"""),31393)</f>
        <v>31393</v>
      </c>
      <c r="F345" s="12">
        <f ca="1">IFERROR(__xludf.DUMMYFUNCTION("""COMPUTED_VALUE"""),4541)</f>
        <v>4541</v>
      </c>
      <c r="G345" s="12">
        <f ca="1">IFERROR(__xludf.DUMMYFUNCTION("""COMPUTED_VALUE"""),261027)</f>
        <v>261027</v>
      </c>
      <c r="H345" s="12">
        <f ca="1">IFERROR(__xludf.DUMMYFUNCTION("""COMPUTED_VALUE"""),19325)</f>
        <v>19325</v>
      </c>
      <c r="I345" s="12">
        <f ca="1">IFERROR(__xludf.DUMMYFUNCTION("""COMPUTED_VALUE"""),4719)</f>
        <v>4719</v>
      </c>
      <c r="J345" s="12">
        <f ca="1">IFERROR(__xludf.DUMMYFUNCTION("""COMPUTED_VALUE"""),289612)</f>
        <v>289612</v>
      </c>
      <c r="K345" s="12">
        <f ca="1">IFERROR(__xludf.DUMMYFUNCTION("""COMPUTED_VALUE"""),24044)</f>
        <v>24044</v>
      </c>
      <c r="L345" s="12">
        <f ca="1">IFERROR(__xludf.DUMMYFUNCTION("""COMPUTED_VALUE"""),12156)</f>
        <v>12156</v>
      </c>
      <c r="M345" s="12">
        <f ca="1">IFERROR(__xludf.DUMMYFUNCTION("""COMPUTED_VALUE"""),-239)</f>
        <v>-239</v>
      </c>
      <c r="N345" s="12">
        <f ca="1">IFERROR(__xludf.DUMMYFUNCTION("""COMPUTED_VALUE"""),12204)</f>
        <v>12204</v>
      </c>
      <c r="O345" s="12">
        <f ca="1">IFERROR(__xludf.DUMMYFUNCTION("""COMPUTED_VALUE"""),191)</f>
        <v>191</v>
      </c>
      <c r="P345" s="12">
        <f ca="1">IFERROR(__xludf.DUMMYFUNCTION("""COMPUTED_VALUE"""),39)</f>
        <v>39</v>
      </c>
      <c r="Q345" s="12">
        <f ca="1">IFERROR(__xludf.DUMMYFUNCTION("""COMPUTED_VALUE"""),4325)</f>
        <v>4325</v>
      </c>
      <c r="R345" s="12">
        <f ca="1">IFERROR(__xludf.DUMMYFUNCTION("""COMPUTED_VALUE"""),-1866)</f>
        <v>-1866</v>
      </c>
      <c r="S345" s="12">
        <f ca="1">IFERROR(__xludf.DUMMYFUNCTION("""COMPUTED_VALUE"""),-119)</f>
        <v>-119</v>
      </c>
      <c r="T345" s="12">
        <f ca="1">IFERROR(__xludf.DUMMYFUNCTION("""COMPUTED_VALUE"""),2379)</f>
        <v>2379</v>
      </c>
      <c r="U345" s="12">
        <f ca="1">IFERROR(__xludf.DUMMYFUNCTION("""COMPUTED_VALUE"""),-1985)</f>
        <v>-1985</v>
      </c>
    </row>
    <row r="346" spans="1:21" x14ac:dyDescent="0.25">
      <c r="A346" s="11">
        <f ca="1">IFERROR(__xludf.DUMMYFUNCTION("""COMPUTED_VALUE"""),44234)</f>
        <v>44234</v>
      </c>
      <c r="B346" s="12">
        <f ca="1">IFERROR(__xludf.DUMMYFUNCTION("""COMPUTED_VALUE"""),1157837)</f>
        <v>1157837</v>
      </c>
      <c r="C346" s="12">
        <f ca="1">IFERROR(__xludf.DUMMYFUNCTION("""COMPUTED_VALUE"""),176291)</f>
        <v>176291</v>
      </c>
      <c r="D346" s="12">
        <f ca="1">IFERROR(__xludf.DUMMYFUNCTION("""COMPUTED_VALUE"""),949990)</f>
        <v>949990</v>
      </c>
      <c r="E346" s="12">
        <f ca="1">IFERROR(__xludf.DUMMYFUNCTION("""COMPUTED_VALUE"""),31556)</f>
        <v>31556</v>
      </c>
      <c r="F346" s="12">
        <f ca="1">IFERROR(__xludf.DUMMYFUNCTION("""COMPUTED_VALUE"""),4587)</f>
        <v>4587</v>
      </c>
      <c r="G346" s="12">
        <f ca="1">IFERROR(__xludf.DUMMYFUNCTION("""COMPUTED_VALUE"""),265369)</f>
        <v>265369</v>
      </c>
      <c r="H346" s="12">
        <f ca="1">IFERROR(__xludf.DUMMYFUNCTION("""COMPUTED_VALUE"""),17958)</f>
        <v>17958</v>
      </c>
      <c r="I346" s="12">
        <f ca="1">IFERROR(__xludf.DUMMYFUNCTION("""COMPUTED_VALUE"""),5911)</f>
        <v>5911</v>
      </c>
      <c r="J346" s="12">
        <f ca="1">IFERROR(__xludf.DUMMYFUNCTION("""COMPUTED_VALUE"""),293825)</f>
        <v>293825</v>
      </c>
      <c r="K346" s="12">
        <f ca="1">IFERROR(__xludf.DUMMYFUNCTION("""COMPUTED_VALUE"""),23869)</f>
        <v>23869</v>
      </c>
      <c r="L346" s="12">
        <f ca="1">IFERROR(__xludf.DUMMYFUNCTION("""COMPUTED_VALUE"""),10827)</f>
        <v>10827</v>
      </c>
      <c r="M346" s="12">
        <f ca="1">IFERROR(__xludf.DUMMYFUNCTION("""COMPUTED_VALUE"""),-142)</f>
        <v>-142</v>
      </c>
      <c r="N346" s="12">
        <f ca="1">IFERROR(__xludf.DUMMYFUNCTION("""COMPUTED_VALUE"""),10806)</f>
        <v>10806</v>
      </c>
      <c r="O346" s="12">
        <f ca="1">IFERROR(__xludf.DUMMYFUNCTION("""COMPUTED_VALUE"""),163)</f>
        <v>163</v>
      </c>
      <c r="P346" s="12">
        <f ca="1">IFERROR(__xludf.DUMMYFUNCTION("""COMPUTED_VALUE"""),46)</f>
        <v>46</v>
      </c>
      <c r="Q346" s="12">
        <f ca="1">IFERROR(__xludf.DUMMYFUNCTION("""COMPUTED_VALUE"""),4342)</f>
        <v>4342</v>
      </c>
      <c r="R346" s="12">
        <f ca="1">IFERROR(__xludf.DUMMYFUNCTION("""COMPUTED_VALUE"""),-1367)</f>
        <v>-1367</v>
      </c>
      <c r="S346" s="12">
        <f ca="1">IFERROR(__xludf.DUMMYFUNCTION("""COMPUTED_VALUE"""),1192)</f>
        <v>1192</v>
      </c>
      <c r="T346" s="12">
        <f ca="1">IFERROR(__xludf.DUMMYFUNCTION("""COMPUTED_VALUE"""),4213)</f>
        <v>4213</v>
      </c>
      <c r="U346" s="12">
        <f ca="1">IFERROR(__xludf.DUMMYFUNCTION("""COMPUTED_VALUE"""),-175)</f>
        <v>-175</v>
      </c>
    </row>
    <row r="347" spans="1:21" x14ac:dyDescent="0.25">
      <c r="A347" s="11">
        <f ca="1">IFERROR(__xludf.DUMMYFUNCTION("""COMPUTED_VALUE"""),44235)</f>
        <v>44235</v>
      </c>
      <c r="B347" s="12">
        <f ca="1">IFERROR(__xludf.DUMMYFUNCTION("""COMPUTED_VALUE"""),1166079)</f>
        <v>1166079</v>
      </c>
      <c r="C347" s="12">
        <f ca="1">IFERROR(__xludf.DUMMYFUNCTION("""COMPUTED_VALUE"""),171288)</f>
        <v>171288</v>
      </c>
      <c r="D347" s="12">
        <f ca="1">IFERROR(__xludf.DUMMYFUNCTION("""COMPUTED_VALUE"""),963028)</f>
        <v>963028</v>
      </c>
      <c r="E347" s="12">
        <f ca="1">IFERROR(__xludf.DUMMYFUNCTION("""COMPUTED_VALUE"""),31763)</f>
        <v>31763</v>
      </c>
      <c r="F347" s="12">
        <f ca="1">IFERROR(__xludf.DUMMYFUNCTION("""COMPUTED_VALUE"""),4631)</f>
        <v>4631</v>
      </c>
      <c r="G347" s="12">
        <f ca="1">IFERROR(__xludf.DUMMYFUNCTION("""COMPUTED_VALUE"""),268785)</f>
        <v>268785</v>
      </c>
      <c r="H347" s="12">
        <f ca="1">IFERROR(__xludf.DUMMYFUNCTION("""COMPUTED_VALUE"""),17766)</f>
        <v>17766</v>
      </c>
      <c r="I347" s="12">
        <f ca="1">IFERROR(__xludf.DUMMYFUNCTION("""COMPUTED_VALUE"""),5787)</f>
        <v>5787</v>
      </c>
      <c r="J347" s="12">
        <f ca="1">IFERROR(__xludf.DUMMYFUNCTION("""COMPUTED_VALUE"""),296969)</f>
        <v>296969</v>
      </c>
      <c r="K347" s="12">
        <f ca="1">IFERROR(__xludf.DUMMYFUNCTION("""COMPUTED_VALUE"""),23553)</f>
        <v>23553</v>
      </c>
      <c r="L347" s="12">
        <f ca="1">IFERROR(__xludf.DUMMYFUNCTION("""COMPUTED_VALUE"""),8242)</f>
        <v>8242</v>
      </c>
      <c r="M347" s="12">
        <f ca="1">IFERROR(__xludf.DUMMYFUNCTION("""COMPUTED_VALUE"""),-5003)</f>
        <v>-5003</v>
      </c>
      <c r="N347" s="12">
        <f ca="1">IFERROR(__xludf.DUMMYFUNCTION("""COMPUTED_VALUE"""),13038)</f>
        <v>13038</v>
      </c>
      <c r="O347" s="12">
        <f ca="1">IFERROR(__xludf.DUMMYFUNCTION("""COMPUTED_VALUE"""),207)</f>
        <v>207</v>
      </c>
      <c r="P347" s="12">
        <f ca="1">IFERROR(__xludf.DUMMYFUNCTION("""COMPUTED_VALUE"""),44)</f>
        <v>44</v>
      </c>
      <c r="Q347" s="12">
        <f ca="1">IFERROR(__xludf.DUMMYFUNCTION("""COMPUTED_VALUE"""),3416)</f>
        <v>3416</v>
      </c>
      <c r="R347" s="12">
        <f ca="1">IFERROR(__xludf.DUMMYFUNCTION("""COMPUTED_VALUE"""),-192)</f>
        <v>-192</v>
      </c>
      <c r="S347" s="12">
        <f ca="1">IFERROR(__xludf.DUMMYFUNCTION("""COMPUTED_VALUE"""),-124)</f>
        <v>-124</v>
      </c>
      <c r="T347" s="12">
        <f ca="1">IFERROR(__xludf.DUMMYFUNCTION("""COMPUTED_VALUE"""),3144)</f>
        <v>3144</v>
      </c>
      <c r="U347" s="12">
        <f ca="1">IFERROR(__xludf.DUMMYFUNCTION("""COMPUTED_VALUE"""),-316)</f>
        <v>-316</v>
      </c>
    </row>
    <row r="348" spans="1:21" x14ac:dyDescent="0.25">
      <c r="A348" s="11">
        <f ca="1">IFERROR(__xludf.DUMMYFUNCTION("""COMPUTED_VALUE"""),44236)</f>
        <v>44236</v>
      </c>
      <c r="B348" s="12">
        <f ca="1">IFERROR(__xludf.DUMMYFUNCTION("""COMPUTED_VALUE"""),1174779)</f>
        <v>1174779</v>
      </c>
      <c r="C348" s="12">
        <f ca="1">IFERROR(__xludf.DUMMYFUNCTION("""COMPUTED_VALUE"""),169351)</f>
        <v>169351</v>
      </c>
      <c r="D348" s="12">
        <f ca="1">IFERROR(__xludf.DUMMYFUNCTION("""COMPUTED_VALUE"""),973452)</f>
        <v>973452</v>
      </c>
      <c r="E348" s="12">
        <f ca="1">IFERROR(__xludf.DUMMYFUNCTION("""COMPUTED_VALUE"""),31976)</f>
        <v>31976</v>
      </c>
      <c r="F348" s="12">
        <f ca="1">IFERROR(__xludf.DUMMYFUNCTION("""COMPUTED_VALUE"""),4681)</f>
        <v>4681</v>
      </c>
      <c r="G348" s="12">
        <f ca="1">IFERROR(__xludf.DUMMYFUNCTION("""COMPUTED_VALUE"""),271573)</f>
        <v>271573</v>
      </c>
      <c r="H348" s="12">
        <f ca="1">IFERROR(__xludf.DUMMYFUNCTION("""COMPUTED_VALUE"""),18174)</f>
        <v>18174</v>
      </c>
      <c r="I348" s="12">
        <f ca="1">IFERROR(__xludf.DUMMYFUNCTION("""COMPUTED_VALUE"""),5978)</f>
        <v>5978</v>
      </c>
      <c r="J348" s="12">
        <f ca="1">IFERROR(__xludf.DUMMYFUNCTION("""COMPUTED_VALUE"""),300406)</f>
        <v>300406</v>
      </c>
      <c r="K348" s="12">
        <f ca="1">IFERROR(__xludf.DUMMYFUNCTION("""COMPUTED_VALUE"""),24152)</f>
        <v>24152</v>
      </c>
      <c r="L348" s="12">
        <f ca="1">IFERROR(__xludf.DUMMYFUNCTION("""COMPUTED_VALUE"""),8700)</f>
        <v>8700</v>
      </c>
      <c r="M348" s="12">
        <f ca="1">IFERROR(__xludf.DUMMYFUNCTION("""COMPUTED_VALUE"""),-1937)</f>
        <v>-1937</v>
      </c>
      <c r="N348" s="12">
        <f ca="1">IFERROR(__xludf.DUMMYFUNCTION("""COMPUTED_VALUE"""),10424)</f>
        <v>10424</v>
      </c>
      <c r="O348" s="12">
        <f ca="1">IFERROR(__xludf.DUMMYFUNCTION("""COMPUTED_VALUE"""),213)</f>
        <v>213</v>
      </c>
      <c r="P348" s="12">
        <f ca="1">IFERROR(__xludf.DUMMYFUNCTION("""COMPUTED_VALUE"""),50)</f>
        <v>50</v>
      </c>
      <c r="Q348" s="12">
        <f ca="1">IFERROR(__xludf.DUMMYFUNCTION("""COMPUTED_VALUE"""),2788)</f>
        <v>2788</v>
      </c>
      <c r="R348" s="12">
        <f ca="1">IFERROR(__xludf.DUMMYFUNCTION("""COMPUTED_VALUE"""),408)</f>
        <v>408</v>
      </c>
      <c r="S348" s="12">
        <f ca="1">IFERROR(__xludf.DUMMYFUNCTION("""COMPUTED_VALUE"""),191)</f>
        <v>191</v>
      </c>
      <c r="T348" s="12">
        <f ca="1">IFERROR(__xludf.DUMMYFUNCTION("""COMPUTED_VALUE"""),3437)</f>
        <v>3437</v>
      </c>
      <c r="U348" s="12">
        <f ca="1">IFERROR(__xludf.DUMMYFUNCTION("""COMPUTED_VALUE"""),599)</f>
        <v>599</v>
      </c>
    </row>
    <row r="349" spans="1:21" x14ac:dyDescent="0.25">
      <c r="A349" s="11">
        <f ca="1">IFERROR(__xludf.DUMMYFUNCTION("""COMPUTED_VALUE"""),44237)</f>
        <v>44237</v>
      </c>
      <c r="B349" s="12">
        <f ca="1">IFERROR(__xludf.DUMMYFUNCTION("""COMPUTED_VALUE"""),1183555)</f>
        <v>1183555</v>
      </c>
      <c r="C349" s="12">
        <f ca="1">IFERROR(__xludf.DUMMYFUNCTION("""COMPUTED_VALUE"""),168416)</f>
        <v>168416</v>
      </c>
      <c r="D349" s="12">
        <f ca="1">IFERROR(__xludf.DUMMYFUNCTION("""COMPUTED_VALUE"""),982972)</f>
        <v>982972</v>
      </c>
      <c r="E349" s="12">
        <f ca="1">IFERROR(__xludf.DUMMYFUNCTION("""COMPUTED_VALUE"""),32167)</f>
        <v>32167</v>
      </c>
      <c r="F349" s="12">
        <f ca="1">IFERROR(__xludf.DUMMYFUNCTION("""COMPUTED_VALUE"""),4725)</f>
        <v>4725</v>
      </c>
      <c r="G349" s="12">
        <f ca="1">IFERROR(__xludf.DUMMYFUNCTION("""COMPUTED_VALUE"""),274817)</f>
        <v>274817</v>
      </c>
      <c r="H349" s="12">
        <f ca="1">IFERROR(__xludf.DUMMYFUNCTION("""COMPUTED_VALUE"""),16676)</f>
        <v>16676</v>
      </c>
      <c r="I349" s="12">
        <f ca="1">IFERROR(__xludf.DUMMYFUNCTION("""COMPUTED_VALUE"""),7497)</f>
        <v>7497</v>
      </c>
      <c r="J349" s="12">
        <f ca="1">IFERROR(__xludf.DUMMYFUNCTION("""COMPUTED_VALUE"""),303715)</f>
        <v>303715</v>
      </c>
      <c r="K349" s="12">
        <f ca="1">IFERROR(__xludf.DUMMYFUNCTION("""COMPUTED_VALUE"""),24173)</f>
        <v>24173</v>
      </c>
      <c r="L349" s="12">
        <f ca="1">IFERROR(__xludf.DUMMYFUNCTION("""COMPUTED_VALUE"""),8776)</f>
        <v>8776</v>
      </c>
      <c r="M349" s="12">
        <f ca="1">IFERROR(__xludf.DUMMYFUNCTION("""COMPUTED_VALUE"""),-935)</f>
        <v>-935</v>
      </c>
      <c r="N349" s="12">
        <f ca="1">IFERROR(__xludf.DUMMYFUNCTION("""COMPUTED_VALUE"""),9520)</f>
        <v>9520</v>
      </c>
      <c r="O349" s="12">
        <f ca="1">IFERROR(__xludf.DUMMYFUNCTION("""COMPUTED_VALUE"""),191)</f>
        <v>191</v>
      </c>
      <c r="P349" s="12">
        <f ca="1">IFERROR(__xludf.DUMMYFUNCTION("""COMPUTED_VALUE"""),44)</f>
        <v>44</v>
      </c>
      <c r="Q349" s="12">
        <f ca="1">IFERROR(__xludf.DUMMYFUNCTION("""COMPUTED_VALUE"""),3244)</f>
        <v>3244</v>
      </c>
      <c r="R349" s="12">
        <f ca="1">IFERROR(__xludf.DUMMYFUNCTION("""COMPUTED_VALUE"""),-1498)</f>
        <v>-1498</v>
      </c>
      <c r="S349" s="12">
        <f ca="1">IFERROR(__xludf.DUMMYFUNCTION("""COMPUTED_VALUE"""),1519)</f>
        <v>1519</v>
      </c>
      <c r="T349" s="12">
        <f ca="1">IFERROR(__xludf.DUMMYFUNCTION("""COMPUTED_VALUE"""),3309)</f>
        <v>3309</v>
      </c>
      <c r="U349" s="12">
        <f ca="1">IFERROR(__xludf.DUMMYFUNCTION("""COMPUTED_VALUE"""),21)</f>
        <v>21</v>
      </c>
    </row>
    <row r="350" spans="1:21" x14ac:dyDescent="0.25">
      <c r="A350" s="11">
        <f ca="1">IFERROR(__xludf.DUMMYFUNCTION("""COMPUTED_VALUE"""),44238)</f>
        <v>44238</v>
      </c>
      <c r="B350" s="12">
        <f ca="1">IFERROR(__xludf.DUMMYFUNCTION("""COMPUTED_VALUE"""),1191990)</f>
        <v>1191990</v>
      </c>
      <c r="C350" s="12">
        <f ca="1">IFERROR(__xludf.DUMMYFUNCTION("""COMPUTED_VALUE"""),166492)</f>
        <v>166492</v>
      </c>
      <c r="D350" s="12">
        <f ca="1">IFERROR(__xludf.DUMMYFUNCTION("""COMPUTED_VALUE"""),993117)</f>
        <v>993117</v>
      </c>
      <c r="E350" s="12">
        <f ca="1">IFERROR(__xludf.DUMMYFUNCTION("""COMPUTED_VALUE"""),32381)</f>
        <v>32381</v>
      </c>
      <c r="F350" s="12">
        <f ca="1">IFERROR(__xludf.DUMMYFUNCTION("""COMPUTED_VALUE"""),4748)</f>
        <v>4748</v>
      </c>
      <c r="G350" s="12">
        <f ca="1">IFERROR(__xludf.DUMMYFUNCTION("""COMPUTED_VALUE"""),278822)</f>
        <v>278822</v>
      </c>
      <c r="H350" s="12">
        <f ca="1">IFERROR(__xludf.DUMMYFUNCTION("""COMPUTED_VALUE"""),14119)</f>
        <v>14119</v>
      </c>
      <c r="I350" s="12">
        <f ca="1">IFERROR(__xludf.DUMMYFUNCTION("""COMPUTED_VALUE"""),8540)</f>
        <v>8540</v>
      </c>
      <c r="J350" s="12">
        <f ca="1">IFERROR(__xludf.DUMMYFUNCTION("""COMPUTED_VALUE"""),306229)</f>
        <v>306229</v>
      </c>
      <c r="K350" s="12">
        <f ca="1">IFERROR(__xludf.DUMMYFUNCTION("""COMPUTED_VALUE"""),22659)</f>
        <v>22659</v>
      </c>
      <c r="L350" s="12">
        <f ca="1">IFERROR(__xludf.DUMMYFUNCTION("""COMPUTED_VALUE"""),8435)</f>
        <v>8435</v>
      </c>
      <c r="M350" s="12">
        <f ca="1">IFERROR(__xludf.DUMMYFUNCTION("""COMPUTED_VALUE"""),-1924)</f>
        <v>-1924</v>
      </c>
      <c r="N350" s="12">
        <f ca="1">IFERROR(__xludf.DUMMYFUNCTION("""COMPUTED_VALUE"""),10145)</f>
        <v>10145</v>
      </c>
      <c r="O350" s="12">
        <f ca="1">IFERROR(__xludf.DUMMYFUNCTION("""COMPUTED_VALUE"""),214)</f>
        <v>214</v>
      </c>
      <c r="P350" s="12">
        <f ca="1">IFERROR(__xludf.DUMMYFUNCTION("""COMPUTED_VALUE"""),23)</f>
        <v>23</v>
      </c>
      <c r="Q350" s="12">
        <f ca="1">IFERROR(__xludf.DUMMYFUNCTION("""COMPUTED_VALUE"""),4005)</f>
        <v>4005</v>
      </c>
      <c r="R350" s="12">
        <f ca="1">IFERROR(__xludf.DUMMYFUNCTION("""COMPUTED_VALUE"""),-2557)</f>
        <v>-2557</v>
      </c>
      <c r="S350" s="12">
        <f ca="1">IFERROR(__xludf.DUMMYFUNCTION("""COMPUTED_VALUE"""),1043)</f>
        <v>1043</v>
      </c>
      <c r="T350" s="12">
        <f ca="1">IFERROR(__xludf.DUMMYFUNCTION("""COMPUTED_VALUE"""),2514)</f>
        <v>2514</v>
      </c>
      <c r="U350" s="12">
        <f ca="1">IFERROR(__xludf.DUMMYFUNCTION("""COMPUTED_VALUE"""),-1514)</f>
        <v>-1514</v>
      </c>
    </row>
    <row r="351" spans="1:21" x14ac:dyDescent="0.25">
      <c r="A351" s="11">
        <f ca="1">IFERROR(__xludf.DUMMYFUNCTION("""COMPUTED_VALUE"""),44239)</f>
        <v>44239</v>
      </c>
      <c r="B351" s="12">
        <f ca="1">IFERROR(__xludf.DUMMYFUNCTION("""COMPUTED_VALUE"""),1201859)</f>
        <v>1201859</v>
      </c>
      <c r="C351" s="12">
        <f ca="1">IFERROR(__xludf.DUMMYFUNCTION("""COMPUTED_VALUE"""),165086)</f>
        <v>165086</v>
      </c>
      <c r="D351" s="12">
        <f ca="1">IFERROR(__xludf.DUMMYFUNCTION("""COMPUTED_VALUE"""),1004117)</f>
        <v>1004117</v>
      </c>
      <c r="E351" s="12">
        <f ca="1">IFERROR(__xludf.DUMMYFUNCTION("""COMPUTED_VALUE"""),32656)</f>
        <v>32656</v>
      </c>
      <c r="F351" s="12">
        <f ca="1">IFERROR(__xludf.DUMMYFUNCTION("""COMPUTED_VALUE"""),4798)</f>
        <v>4798</v>
      </c>
      <c r="G351" s="12">
        <f ca="1">IFERROR(__xludf.DUMMYFUNCTION("""COMPUTED_VALUE"""),284579)</f>
        <v>284579</v>
      </c>
      <c r="H351" s="12">
        <f ca="1">IFERROR(__xludf.DUMMYFUNCTION("""COMPUTED_VALUE"""),10774)</f>
        <v>10774</v>
      </c>
      <c r="I351" s="12">
        <f ca="1">IFERROR(__xludf.DUMMYFUNCTION("""COMPUTED_VALUE"""),9888)</f>
        <v>9888</v>
      </c>
      <c r="J351" s="12">
        <f ca="1">IFERROR(__xludf.DUMMYFUNCTION("""COMPUTED_VALUE"""),310039)</f>
        <v>310039</v>
      </c>
      <c r="K351" s="12">
        <f ca="1">IFERROR(__xludf.DUMMYFUNCTION("""COMPUTED_VALUE"""),20662)</f>
        <v>20662</v>
      </c>
      <c r="L351" s="12">
        <f ca="1">IFERROR(__xludf.DUMMYFUNCTION("""COMPUTED_VALUE"""),9869)</f>
        <v>9869</v>
      </c>
      <c r="M351" s="12">
        <f ca="1">IFERROR(__xludf.DUMMYFUNCTION("""COMPUTED_VALUE"""),-1406)</f>
        <v>-1406</v>
      </c>
      <c r="N351" s="12">
        <f ca="1">IFERROR(__xludf.DUMMYFUNCTION("""COMPUTED_VALUE"""),11000)</f>
        <v>11000</v>
      </c>
      <c r="O351" s="12">
        <f ca="1">IFERROR(__xludf.DUMMYFUNCTION("""COMPUTED_VALUE"""),275)</f>
        <v>275</v>
      </c>
      <c r="P351" s="12">
        <f ca="1">IFERROR(__xludf.DUMMYFUNCTION("""COMPUTED_VALUE"""),50)</f>
        <v>50</v>
      </c>
      <c r="Q351" s="12">
        <f ca="1">IFERROR(__xludf.DUMMYFUNCTION("""COMPUTED_VALUE"""),5757)</f>
        <v>5757</v>
      </c>
      <c r="R351" s="12">
        <f ca="1">IFERROR(__xludf.DUMMYFUNCTION("""COMPUTED_VALUE"""),-3345)</f>
        <v>-3345</v>
      </c>
      <c r="S351" s="12">
        <f ca="1">IFERROR(__xludf.DUMMYFUNCTION("""COMPUTED_VALUE"""),1348)</f>
        <v>1348</v>
      </c>
      <c r="T351" s="12">
        <f ca="1">IFERROR(__xludf.DUMMYFUNCTION("""COMPUTED_VALUE"""),3810)</f>
        <v>3810</v>
      </c>
      <c r="U351" s="12">
        <f ca="1">IFERROR(__xludf.DUMMYFUNCTION("""COMPUTED_VALUE"""),-1997)</f>
        <v>-1997</v>
      </c>
    </row>
    <row r="352" spans="1:21" x14ac:dyDescent="0.25">
      <c r="A352" s="11">
        <f ca="1">IFERROR(__xludf.DUMMYFUNCTION("""COMPUTED_VALUE"""),44240)</f>
        <v>44240</v>
      </c>
      <c r="B352" s="12">
        <f ca="1">IFERROR(__xludf.DUMMYFUNCTION("""COMPUTED_VALUE"""),1210703)</f>
        <v>1210703</v>
      </c>
      <c r="C352" s="12">
        <f ca="1">IFERROR(__xludf.DUMMYFUNCTION("""COMPUTED_VALUE"""),161731)</f>
        <v>161731</v>
      </c>
      <c r="D352" s="12">
        <f ca="1">IFERROR(__xludf.DUMMYFUNCTION("""COMPUTED_VALUE"""),1016036)</f>
        <v>1016036</v>
      </c>
      <c r="E352" s="12">
        <f ca="1">IFERROR(__xludf.DUMMYFUNCTION("""COMPUTED_VALUE"""),32936)</f>
        <v>32936</v>
      </c>
      <c r="F352" s="12">
        <f ca="1">IFERROR(__xludf.DUMMYFUNCTION("""COMPUTED_VALUE"""),4850)</f>
        <v>4850</v>
      </c>
      <c r="G352" s="12">
        <f ca="1">IFERROR(__xludf.DUMMYFUNCTION("""COMPUTED_VALUE"""),289189)</f>
        <v>289189</v>
      </c>
      <c r="H352" s="12">
        <f ca="1">IFERROR(__xludf.DUMMYFUNCTION("""COMPUTED_VALUE"""),9644)</f>
        <v>9644</v>
      </c>
      <c r="I352" s="12">
        <f ca="1">IFERROR(__xludf.DUMMYFUNCTION("""COMPUTED_VALUE"""),9374)</f>
        <v>9374</v>
      </c>
      <c r="J352" s="12">
        <f ca="1">IFERROR(__xludf.DUMMYFUNCTION("""COMPUTED_VALUE"""),313057)</f>
        <v>313057</v>
      </c>
      <c r="K352" s="12">
        <f ca="1">IFERROR(__xludf.DUMMYFUNCTION("""COMPUTED_VALUE"""),19018)</f>
        <v>19018</v>
      </c>
      <c r="L352" s="12">
        <f ca="1">IFERROR(__xludf.DUMMYFUNCTION("""COMPUTED_VALUE"""),8844)</f>
        <v>8844</v>
      </c>
      <c r="M352" s="12">
        <f ca="1">IFERROR(__xludf.DUMMYFUNCTION("""COMPUTED_VALUE"""),-3355)</f>
        <v>-3355</v>
      </c>
      <c r="N352" s="12">
        <f ca="1">IFERROR(__xludf.DUMMYFUNCTION("""COMPUTED_VALUE"""),11919)</f>
        <v>11919</v>
      </c>
      <c r="O352" s="12">
        <f ca="1">IFERROR(__xludf.DUMMYFUNCTION("""COMPUTED_VALUE"""),280)</f>
        <v>280</v>
      </c>
      <c r="P352" s="12">
        <f ca="1">IFERROR(__xludf.DUMMYFUNCTION("""COMPUTED_VALUE"""),52)</f>
        <v>52</v>
      </c>
      <c r="Q352" s="12">
        <f ca="1">IFERROR(__xludf.DUMMYFUNCTION("""COMPUTED_VALUE"""),4610)</f>
        <v>4610</v>
      </c>
      <c r="R352" s="12">
        <f ca="1">IFERROR(__xludf.DUMMYFUNCTION("""COMPUTED_VALUE"""),-1130)</f>
        <v>-1130</v>
      </c>
      <c r="S352" s="12">
        <f ca="1">IFERROR(__xludf.DUMMYFUNCTION("""COMPUTED_VALUE"""),-514)</f>
        <v>-514</v>
      </c>
      <c r="T352" s="12">
        <f ca="1">IFERROR(__xludf.DUMMYFUNCTION("""COMPUTED_VALUE"""),3018)</f>
        <v>3018</v>
      </c>
      <c r="U352" s="12">
        <f ca="1">IFERROR(__xludf.DUMMYFUNCTION("""COMPUTED_VALUE"""),-1644)</f>
        <v>-1644</v>
      </c>
    </row>
    <row r="353" spans="1:21" x14ac:dyDescent="0.25">
      <c r="A353" s="11">
        <f ca="1">IFERROR(__xludf.DUMMYFUNCTION("""COMPUTED_VALUE"""),44241)</f>
        <v>44241</v>
      </c>
      <c r="B353" s="12">
        <f ca="1">IFERROR(__xludf.DUMMYFUNCTION("""COMPUTED_VALUE"""),1217468)</f>
        <v>1217468</v>
      </c>
      <c r="C353" s="12">
        <f ca="1">IFERROR(__xludf.DUMMYFUNCTION("""COMPUTED_VALUE"""),159012)</f>
        <v>159012</v>
      </c>
      <c r="D353" s="12">
        <f ca="1">IFERROR(__xludf.DUMMYFUNCTION("""COMPUTED_VALUE"""),1025273)</f>
        <v>1025273</v>
      </c>
      <c r="E353" s="12">
        <f ca="1">IFERROR(__xludf.DUMMYFUNCTION("""COMPUTED_VALUE"""),33183)</f>
        <v>33183</v>
      </c>
      <c r="F353" s="12">
        <f ca="1">IFERROR(__xludf.DUMMYFUNCTION("""COMPUTED_VALUE"""),4895)</f>
        <v>4895</v>
      </c>
      <c r="G353" s="12">
        <f ca="1">IFERROR(__xludf.DUMMYFUNCTION("""COMPUTED_VALUE"""),293538)</f>
        <v>293538</v>
      </c>
      <c r="H353" s="12">
        <f ca="1">IFERROR(__xludf.DUMMYFUNCTION("""COMPUTED_VALUE"""),9017)</f>
        <v>9017</v>
      </c>
      <c r="I353" s="12">
        <f ca="1">IFERROR(__xludf.DUMMYFUNCTION("""COMPUTED_VALUE"""),8103)</f>
        <v>8103</v>
      </c>
      <c r="J353" s="12">
        <f ca="1">IFERROR(__xludf.DUMMYFUNCTION("""COMPUTED_VALUE"""),315553)</f>
        <v>315553</v>
      </c>
      <c r="K353" s="12">
        <f ca="1">IFERROR(__xludf.DUMMYFUNCTION("""COMPUTED_VALUE"""),17120)</f>
        <v>17120</v>
      </c>
      <c r="L353" s="12">
        <f ca="1">IFERROR(__xludf.DUMMYFUNCTION("""COMPUTED_VALUE"""),6765)</f>
        <v>6765</v>
      </c>
      <c r="M353" s="12">
        <f ca="1">IFERROR(__xludf.DUMMYFUNCTION("""COMPUTED_VALUE"""),-2719)</f>
        <v>-2719</v>
      </c>
      <c r="N353" s="12">
        <f ca="1">IFERROR(__xludf.DUMMYFUNCTION("""COMPUTED_VALUE"""),9237)</f>
        <v>9237</v>
      </c>
      <c r="O353" s="12">
        <f ca="1">IFERROR(__xludf.DUMMYFUNCTION("""COMPUTED_VALUE"""),247)</f>
        <v>247</v>
      </c>
      <c r="P353" s="12">
        <f ca="1">IFERROR(__xludf.DUMMYFUNCTION("""COMPUTED_VALUE"""),45)</f>
        <v>45</v>
      </c>
      <c r="Q353" s="12">
        <f ca="1">IFERROR(__xludf.DUMMYFUNCTION("""COMPUTED_VALUE"""),4349)</f>
        <v>4349</v>
      </c>
      <c r="R353" s="12">
        <f ca="1">IFERROR(__xludf.DUMMYFUNCTION("""COMPUTED_VALUE"""),-627)</f>
        <v>-627</v>
      </c>
      <c r="S353" s="12">
        <f ca="1">IFERROR(__xludf.DUMMYFUNCTION("""COMPUTED_VALUE"""),-1271)</f>
        <v>-1271</v>
      </c>
      <c r="T353" s="12">
        <f ca="1">IFERROR(__xludf.DUMMYFUNCTION("""COMPUTED_VALUE"""),2496)</f>
        <v>2496</v>
      </c>
      <c r="U353" s="12">
        <f ca="1">IFERROR(__xludf.DUMMYFUNCTION("""COMPUTED_VALUE"""),-1898)</f>
        <v>-1898</v>
      </c>
    </row>
    <row r="354" spans="1:21" x14ac:dyDescent="0.25">
      <c r="A354" s="11">
        <f ca="1">IFERROR(__xludf.DUMMYFUNCTION("""COMPUTED_VALUE"""),44242)</f>
        <v>44242</v>
      </c>
      <c r="B354" s="12">
        <f ca="1">IFERROR(__xludf.DUMMYFUNCTION("""COMPUTED_VALUE"""),1223930)</f>
        <v>1223930</v>
      </c>
      <c r="C354" s="12">
        <f ca="1">IFERROR(__xludf.DUMMYFUNCTION("""COMPUTED_VALUE"""),158498)</f>
        <v>158498</v>
      </c>
      <c r="D354" s="12">
        <f ca="1">IFERROR(__xludf.DUMMYFUNCTION("""COMPUTED_VALUE"""),1032065)</f>
        <v>1032065</v>
      </c>
      <c r="E354" s="12">
        <f ca="1">IFERROR(__xludf.DUMMYFUNCTION("""COMPUTED_VALUE"""),33367)</f>
        <v>33367</v>
      </c>
      <c r="F354" s="12">
        <f ca="1">IFERROR(__xludf.DUMMYFUNCTION("""COMPUTED_VALUE"""),4940)</f>
        <v>4940</v>
      </c>
      <c r="G354" s="12">
        <f ca="1">IFERROR(__xludf.DUMMYFUNCTION("""COMPUTED_VALUE"""),295623)</f>
        <v>295623</v>
      </c>
      <c r="H354" s="12">
        <f ca="1">IFERROR(__xludf.DUMMYFUNCTION("""COMPUTED_VALUE"""),8881)</f>
        <v>8881</v>
      </c>
      <c r="I354" s="12">
        <f ca="1">IFERROR(__xludf.DUMMYFUNCTION("""COMPUTED_VALUE"""),7988)</f>
        <v>7988</v>
      </c>
      <c r="J354" s="12">
        <f ca="1">IFERROR(__xludf.DUMMYFUNCTION("""COMPUTED_VALUE"""),317432)</f>
        <v>317432</v>
      </c>
      <c r="K354" s="12">
        <f ca="1">IFERROR(__xludf.DUMMYFUNCTION("""COMPUTED_VALUE"""),16869)</f>
        <v>16869</v>
      </c>
      <c r="L354" s="12">
        <f ca="1">IFERROR(__xludf.DUMMYFUNCTION("""COMPUTED_VALUE"""),6462)</f>
        <v>6462</v>
      </c>
      <c r="M354" s="12">
        <f ca="1">IFERROR(__xludf.DUMMYFUNCTION("""COMPUTED_VALUE"""),-514)</f>
        <v>-514</v>
      </c>
      <c r="N354" s="12">
        <f ca="1">IFERROR(__xludf.DUMMYFUNCTION("""COMPUTED_VALUE"""),6792)</f>
        <v>6792</v>
      </c>
      <c r="O354" s="12">
        <f ca="1">IFERROR(__xludf.DUMMYFUNCTION("""COMPUTED_VALUE"""),184)</f>
        <v>184</v>
      </c>
      <c r="P354" s="12">
        <f ca="1">IFERROR(__xludf.DUMMYFUNCTION("""COMPUTED_VALUE"""),45)</f>
        <v>45</v>
      </c>
      <c r="Q354" s="12">
        <f ca="1">IFERROR(__xludf.DUMMYFUNCTION("""COMPUTED_VALUE"""),2085)</f>
        <v>2085</v>
      </c>
      <c r="R354" s="12">
        <f ca="1">IFERROR(__xludf.DUMMYFUNCTION("""COMPUTED_VALUE"""),-136)</f>
        <v>-136</v>
      </c>
      <c r="S354" s="12">
        <f ca="1">IFERROR(__xludf.DUMMYFUNCTION("""COMPUTED_VALUE"""),-115)</f>
        <v>-115</v>
      </c>
      <c r="T354" s="12">
        <f ca="1">IFERROR(__xludf.DUMMYFUNCTION("""COMPUTED_VALUE"""),1879)</f>
        <v>1879</v>
      </c>
      <c r="U354" s="12">
        <f ca="1">IFERROR(__xludf.DUMMYFUNCTION("""COMPUTED_VALUE"""),-251)</f>
        <v>-251</v>
      </c>
    </row>
    <row r="355" spans="1:21" x14ac:dyDescent="0.25">
      <c r="A355" s="11">
        <f ca="1">IFERROR(__xludf.DUMMYFUNCTION("""COMPUTED_VALUE"""),44243)</f>
        <v>44243</v>
      </c>
      <c r="B355" s="12">
        <f ca="1">IFERROR(__xludf.DUMMYFUNCTION("""COMPUTED_VALUE"""),1233959)</f>
        <v>1233959</v>
      </c>
      <c r="C355" s="12">
        <f ca="1">IFERROR(__xludf.DUMMYFUNCTION("""COMPUTED_VALUE"""),160689)</f>
        <v>160689</v>
      </c>
      <c r="D355" s="12">
        <f ca="1">IFERROR(__xludf.DUMMYFUNCTION("""COMPUTED_VALUE"""),1039674)</f>
        <v>1039674</v>
      </c>
      <c r="E355" s="12">
        <f ca="1">IFERROR(__xludf.DUMMYFUNCTION("""COMPUTED_VALUE"""),33596)</f>
        <v>33596</v>
      </c>
      <c r="F355" s="12">
        <f ca="1">IFERROR(__xludf.DUMMYFUNCTION("""COMPUTED_VALUE"""),4987)</f>
        <v>4987</v>
      </c>
      <c r="G355" s="12">
        <f ca="1">IFERROR(__xludf.DUMMYFUNCTION("""COMPUTED_VALUE"""),297695)</f>
        <v>297695</v>
      </c>
      <c r="H355" s="12">
        <f ca="1">IFERROR(__xludf.DUMMYFUNCTION("""COMPUTED_VALUE"""),9042)</f>
        <v>9042</v>
      </c>
      <c r="I355" s="12">
        <f ca="1">IFERROR(__xludf.DUMMYFUNCTION("""COMPUTED_VALUE"""),7569)</f>
        <v>7569</v>
      </c>
      <c r="J355" s="12">
        <f ca="1">IFERROR(__xludf.DUMMYFUNCTION("""COMPUTED_VALUE"""),319293)</f>
        <v>319293</v>
      </c>
      <c r="K355" s="12">
        <f ca="1">IFERROR(__xludf.DUMMYFUNCTION("""COMPUTED_VALUE"""),16611)</f>
        <v>16611</v>
      </c>
      <c r="L355" s="12">
        <f ca="1">IFERROR(__xludf.DUMMYFUNCTION("""COMPUTED_VALUE"""),10029)</f>
        <v>10029</v>
      </c>
      <c r="M355" s="12">
        <f ca="1">IFERROR(__xludf.DUMMYFUNCTION("""COMPUTED_VALUE"""),2191)</f>
        <v>2191</v>
      </c>
      <c r="N355" s="12">
        <f ca="1">IFERROR(__xludf.DUMMYFUNCTION("""COMPUTED_VALUE"""),7609)</f>
        <v>7609</v>
      </c>
      <c r="O355" s="12">
        <f ca="1">IFERROR(__xludf.DUMMYFUNCTION("""COMPUTED_VALUE"""),229)</f>
        <v>229</v>
      </c>
      <c r="P355" s="12">
        <f ca="1">IFERROR(__xludf.DUMMYFUNCTION("""COMPUTED_VALUE"""),47)</f>
        <v>47</v>
      </c>
      <c r="Q355" s="12">
        <f ca="1">IFERROR(__xludf.DUMMYFUNCTION("""COMPUTED_VALUE"""),2072)</f>
        <v>2072</v>
      </c>
      <c r="R355" s="12">
        <f ca="1">IFERROR(__xludf.DUMMYFUNCTION("""COMPUTED_VALUE"""),161)</f>
        <v>161</v>
      </c>
      <c r="S355" s="12">
        <f ca="1">IFERROR(__xludf.DUMMYFUNCTION("""COMPUTED_VALUE"""),-419)</f>
        <v>-419</v>
      </c>
      <c r="T355" s="12">
        <f ca="1">IFERROR(__xludf.DUMMYFUNCTION("""COMPUTED_VALUE"""),1861)</f>
        <v>1861</v>
      </c>
      <c r="U355" s="12">
        <f ca="1">IFERROR(__xludf.DUMMYFUNCTION("""COMPUTED_VALUE"""),-258)</f>
        <v>-258</v>
      </c>
    </row>
    <row r="356" spans="1:21" x14ac:dyDescent="0.25">
      <c r="A356" s="11">
        <f ca="1">IFERROR(__xludf.DUMMYFUNCTION("""COMPUTED_VALUE"""),44244)</f>
        <v>44244</v>
      </c>
      <c r="B356" s="12">
        <f ca="1">IFERROR(__xludf.DUMMYFUNCTION("""COMPUTED_VALUE"""),1243646)</f>
        <v>1243646</v>
      </c>
      <c r="C356" s="12">
        <f ca="1">IFERROR(__xludf.DUMMYFUNCTION("""COMPUTED_VALUE"""),162182)</f>
        <v>162182</v>
      </c>
      <c r="D356" s="12">
        <f ca="1">IFERROR(__xludf.DUMMYFUNCTION("""COMPUTED_VALUE"""),1047676)</f>
        <v>1047676</v>
      </c>
      <c r="E356" s="12">
        <f ca="1">IFERROR(__xludf.DUMMYFUNCTION("""COMPUTED_VALUE"""),33788)</f>
        <v>33788</v>
      </c>
      <c r="F356" s="12">
        <f ca="1">IFERROR(__xludf.DUMMYFUNCTION("""COMPUTED_VALUE"""),5026)</f>
        <v>5026</v>
      </c>
      <c r="G356" s="12">
        <f ca="1">IFERROR(__xludf.DUMMYFUNCTION("""COMPUTED_VALUE"""),299795)</f>
        <v>299795</v>
      </c>
      <c r="H356" s="12">
        <f ca="1">IFERROR(__xludf.DUMMYFUNCTION("""COMPUTED_VALUE"""),8467)</f>
        <v>8467</v>
      </c>
      <c r="I356" s="12">
        <f ca="1">IFERROR(__xludf.DUMMYFUNCTION("""COMPUTED_VALUE"""),7450)</f>
        <v>7450</v>
      </c>
      <c r="J356" s="12">
        <f ca="1">IFERROR(__xludf.DUMMYFUNCTION("""COMPUTED_VALUE"""),320738)</f>
        <v>320738</v>
      </c>
      <c r="K356" s="12">
        <f ca="1">IFERROR(__xludf.DUMMYFUNCTION("""COMPUTED_VALUE"""),15917)</f>
        <v>15917</v>
      </c>
      <c r="L356" s="12">
        <f ca="1">IFERROR(__xludf.DUMMYFUNCTION("""COMPUTED_VALUE"""),9687)</f>
        <v>9687</v>
      </c>
      <c r="M356" s="12">
        <f ca="1">IFERROR(__xludf.DUMMYFUNCTION("""COMPUTED_VALUE"""),1493)</f>
        <v>1493</v>
      </c>
      <c r="N356" s="12">
        <f ca="1">IFERROR(__xludf.DUMMYFUNCTION("""COMPUTED_VALUE"""),8002)</f>
        <v>8002</v>
      </c>
      <c r="O356" s="12">
        <f ca="1">IFERROR(__xludf.DUMMYFUNCTION("""COMPUTED_VALUE"""),192)</f>
        <v>192</v>
      </c>
      <c r="P356" s="12">
        <f ca="1">IFERROR(__xludf.DUMMYFUNCTION("""COMPUTED_VALUE"""),39)</f>
        <v>39</v>
      </c>
      <c r="Q356" s="12">
        <f ca="1">IFERROR(__xludf.DUMMYFUNCTION("""COMPUTED_VALUE"""),2100)</f>
        <v>2100</v>
      </c>
      <c r="R356" s="12">
        <f ca="1">IFERROR(__xludf.DUMMYFUNCTION("""COMPUTED_VALUE"""),-575)</f>
        <v>-575</v>
      </c>
      <c r="S356" s="12">
        <f ca="1">IFERROR(__xludf.DUMMYFUNCTION("""COMPUTED_VALUE"""),-119)</f>
        <v>-119</v>
      </c>
      <c r="T356" s="12">
        <f ca="1">IFERROR(__xludf.DUMMYFUNCTION("""COMPUTED_VALUE"""),1445)</f>
        <v>1445</v>
      </c>
      <c r="U356" s="12">
        <f ca="1">IFERROR(__xludf.DUMMYFUNCTION("""COMPUTED_VALUE"""),-694)</f>
        <v>-694</v>
      </c>
    </row>
    <row r="357" spans="1:21" x14ac:dyDescent="0.25">
      <c r="A357" s="11">
        <f ca="1">IFERROR(__xludf.DUMMYFUNCTION("""COMPUTED_VALUE"""),44245)</f>
        <v>44245</v>
      </c>
      <c r="B357" s="12">
        <f ca="1">IFERROR(__xludf.DUMMYFUNCTION("""COMPUTED_VALUE"""),1252685)</f>
        <v>1252685</v>
      </c>
      <c r="C357" s="12">
        <f ca="1">IFERROR(__xludf.DUMMYFUNCTION("""COMPUTED_VALUE"""),160494)</f>
        <v>160494</v>
      </c>
      <c r="D357" s="12">
        <f ca="1">IFERROR(__xludf.DUMMYFUNCTION("""COMPUTED_VALUE"""),1058222)</f>
        <v>1058222</v>
      </c>
      <c r="E357" s="12">
        <f ca="1">IFERROR(__xludf.DUMMYFUNCTION("""COMPUTED_VALUE"""),33969)</f>
        <v>33969</v>
      </c>
      <c r="F357" s="12">
        <f ca="1">IFERROR(__xludf.DUMMYFUNCTION("""COMPUTED_VALUE"""),5044)</f>
        <v>5044</v>
      </c>
      <c r="G357" s="12">
        <f ca="1">IFERROR(__xludf.DUMMYFUNCTION("""COMPUTED_VALUE"""),302451)</f>
        <v>302451</v>
      </c>
      <c r="H357" s="12">
        <f ca="1">IFERROR(__xludf.DUMMYFUNCTION("""COMPUTED_VALUE"""),7067)</f>
        <v>7067</v>
      </c>
      <c r="I357" s="12">
        <f ca="1">IFERROR(__xludf.DUMMYFUNCTION("""COMPUTED_VALUE"""),6549)</f>
        <v>6549</v>
      </c>
      <c r="J357" s="12">
        <f ca="1">IFERROR(__xludf.DUMMYFUNCTION("""COMPUTED_VALUE"""),321111)</f>
        <v>321111</v>
      </c>
      <c r="K357" s="12">
        <f ca="1">IFERROR(__xludf.DUMMYFUNCTION("""COMPUTED_VALUE"""),13616)</f>
        <v>13616</v>
      </c>
      <c r="L357" s="12">
        <f ca="1">IFERROR(__xludf.DUMMYFUNCTION("""COMPUTED_VALUE"""),9039)</f>
        <v>9039</v>
      </c>
      <c r="M357" s="12">
        <f ca="1">IFERROR(__xludf.DUMMYFUNCTION("""COMPUTED_VALUE"""),-1688)</f>
        <v>-1688</v>
      </c>
      <c r="N357" s="12">
        <f ca="1">IFERROR(__xludf.DUMMYFUNCTION("""COMPUTED_VALUE"""),10546)</f>
        <v>10546</v>
      </c>
      <c r="O357" s="12">
        <f ca="1">IFERROR(__xludf.DUMMYFUNCTION("""COMPUTED_VALUE"""),181)</f>
        <v>181</v>
      </c>
      <c r="P357" s="12">
        <f ca="1">IFERROR(__xludf.DUMMYFUNCTION("""COMPUTED_VALUE"""),18)</f>
        <v>18</v>
      </c>
      <c r="Q357" s="12">
        <f ca="1">IFERROR(__xludf.DUMMYFUNCTION("""COMPUTED_VALUE"""),2656)</f>
        <v>2656</v>
      </c>
      <c r="R357" s="12">
        <f ca="1">IFERROR(__xludf.DUMMYFUNCTION("""COMPUTED_VALUE"""),-1400)</f>
        <v>-1400</v>
      </c>
      <c r="S357" s="12">
        <f ca="1">IFERROR(__xludf.DUMMYFUNCTION("""COMPUTED_VALUE"""),-901)</f>
        <v>-901</v>
      </c>
      <c r="T357" s="12">
        <f ca="1">IFERROR(__xludf.DUMMYFUNCTION("""COMPUTED_VALUE"""),373)</f>
        <v>373</v>
      </c>
      <c r="U357" s="12">
        <f ca="1">IFERROR(__xludf.DUMMYFUNCTION("""COMPUTED_VALUE"""),-2301)</f>
        <v>-2301</v>
      </c>
    </row>
    <row r="358" spans="1:21" x14ac:dyDescent="0.25">
      <c r="A358" s="11">
        <f ca="1">IFERROR(__xludf.DUMMYFUNCTION("""COMPUTED_VALUE"""),44246)</f>
        <v>44246</v>
      </c>
      <c r="B358" s="12">
        <f ca="1">IFERROR(__xludf.DUMMYFUNCTION("""COMPUTED_VALUE"""),1263299)</f>
        <v>1263299</v>
      </c>
      <c r="C358" s="12">
        <f ca="1">IFERROR(__xludf.DUMMYFUNCTION("""COMPUTED_VALUE"""),160142)</f>
        <v>160142</v>
      </c>
      <c r="D358" s="12">
        <f ca="1">IFERROR(__xludf.DUMMYFUNCTION("""COMPUTED_VALUE"""),1069005)</f>
        <v>1069005</v>
      </c>
      <c r="E358" s="12">
        <f ca="1">IFERROR(__xludf.DUMMYFUNCTION("""COMPUTED_VALUE"""),34152)</f>
        <v>34152</v>
      </c>
      <c r="F358" s="12">
        <f ca="1">IFERROR(__xludf.DUMMYFUNCTION("""COMPUTED_VALUE"""),5081)</f>
        <v>5081</v>
      </c>
      <c r="G358" s="12">
        <f ca="1">IFERROR(__xludf.DUMMYFUNCTION("""COMPUTED_VALUE"""),304995)</f>
        <v>304995</v>
      </c>
      <c r="H358" s="12">
        <f ca="1">IFERROR(__xludf.DUMMYFUNCTION("""COMPUTED_VALUE"""),7323)</f>
        <v>7323</v>
      </c>
      <c r="I358" s="12">
        <f ca="1">IFERROR(__xludf.DUMMYFUNCTION("""COMPUTED_VALUE"""),5632)</f>
        <v>5632</v>
      </c>
      <c r="J358" s="12">
        <f ca="1">IFERROR(__xludf.DUMMYFUNCTION("""COMPUTED_VALUE"""),323031)</f>
        <v>323031</v>
      </c>
      <c r="K358" s="12">
        <f ca="1">IFERROR(__xludf.DUMMYFUNCTION("""COMPUTED_VALUE"""),12955)</f>
        <v>12955</v>
      </c>
      <c r="L358" s="12">
        <f ca="1">IFERROR(__xludf.DUMMYFUNCTION("""COMPUTED_VALUE"""),10614)</f>
        <v>10614</v>
      </c>
      <c r="M358" s="12">
        <f ca="1">IFERROR(__xludf.DUMMYFUNCTION("""COMPUTED_VALUE"""),-352)</f>
        <v>-352</v>
      </c>
      <c r="N358" s="12">
        <f ca="1">IFERROR(__xludf.DUMMYFUNCTION("""COMPUTED_VALUE"""),10783)</f>
        <v>10783</v>
      </c>
      <c r="O358" s="12">
        <f ca="1">IFERROR(__xludf.DUMMYFUNCTION("""COMPUTED_VALUE"""),183)</f>
        <v>183</v>
      </c>
      <c r="P358" s="12">
        <f ca="1">IFERROR(__xludf.DUMMYFUNCTION("""COMPUTED_VALUE"""),37)</f>
        <v>37</v>
      </c>
      <c r="Q358" s="12">
        <f ca="1">IFERROR(__xludf.DUMMYFUNCTION("""COMPUTED_VALUE"""),2544)</f>
        <v>2544</v>
      </c>
      <c r="R358" s="12">
        <f ca="1">IFERROR(__xludf.DUMMYFUNCTION("""COMPUTED_VALUE"""),256)</f>
        <v>256</v>
      </c>
      <c r="S358" s="12">
        <f ca="1">IFERROR(__xludf.DUMMYFUNCTION("""COMPUTED_VALUE"""),-917)</f>
        <v>-917</v>
      </c>
      <c r="T358" s="12">
        <f ca="1">IFERROR(__xludf.DUMMYFUNCTION("""COMPUTED_VALUE"""),1920)</f>
        <v>1920</v>
      </c>
      <c r="U358" s="12">
        <f ca="1">IFERROR(__xludf.DUMMYFUNCTION("""COMPUTED_VALUE"""),-661)</f>
        <v>-661</v>
      </c>
    </row>
    <row r="359" spans="1:21" x14ac:dyDescent="0.25">
      <c r="A359" s="11">
        <f ca="1">IFERROR(__xludf.DUMMYFUNCTION("""COMPUTED_VALUE"""),44247)</f>
        <v>44247</v>
      </c>
      <c r="B359" s="12">
        <f ca="1">IFERROR(__xludf.DUMMYFUNCTION("""COMPUTED_VALUE"""),1271353)</f>
        <v>1271353</v>
      </c>
      <c r="C359" s="12">
        <f ca="1">IFERROR(__xludf.DUMMYFUNCTION("""COMPUTED_VALUE"""),158197)</f>
        <v>158197</v>
      </c>
      <c r="D359" s="12">
        <f ca="1">IFERROR(__xludf.DUMMYFUNCTION("""COMPUTED_VALUE"""),1078840)</f>
        <v>1078840</v>
      </c>
      <c r="E359" s="12">
        <f ca="1">IFERROR(__xludf.DUMMYFUNCTION("""COMPUTED_VALUE"""),34316)</f>
        <v>34316</v>
      </c>
      <c r="F359" s="12">
        <f ca="1">IFERROR(__xludf.DUMMYFUNCTION("""COMPUTED_VALUE"""),5121)</f>
        <v>5121</v>
      </c>
      <c r="G359" s="12">
        <f ca="1">IFERROR(__xludf.DUMMYFUNCTION("""COMPUTED_VALUE"""),307759)</f>
        <v>307759</v>
      </c>
      <c r="H359" s="12">
        <f ca="1">IFERROR(__xludf.DUMMYFUNCTION("""COMPUTED_VALUE"""),7165)</f>
        <v>7165</v>
      </c>
      <c r="I359" s="12">
        <f ca="1">IFERROR(__xludf.DUMMYFUNCTION("""COMPUTED_VALUE"""),5858)</f>
        <v>5858</v>
      </c>
      <c r="J359" s="12">
        <f ca="1">IFERROR(__xludf.DUMMYFUNCTION("""COMPUTED_VALUE"""),325903)</f>
        <v>325903</v>
      </c>
      <c r="K359" s="12">
        <f ca="1">IFERROR(__xludf.DUMMYFUNCTION("""COMPUTED_VALUE"""),13023)</f>
        <v>13023</v>
      </c>
      <c r="L359" s="12">
        <f ca="1">IFERROR(__xludf.DUMMYFUNCTION("""COMPUTED_VALUE"""),8054)</f>
        <v>8054</v>
      </c>
      <c r="M359" s="12">
        <f ca="1">IFERROR(__xludf.DUMMYFUNCTION("""COMPUTED_VALUE"""),-1945)</f>
        <v>-1945</v>
      </c>
      <c r="N359" s="12">
        <f ca="1">IFERROR(__xludf.DUMMYFUNCTION("""COMPUTED_VALUE"""),9835)</f>
        <v>9835</v>
      </c>
      <c r="O359" s="12">
        <f ca="1">IFERROR(__xludf.DUMMYFUNCTION("""COMPUTED_VALUE"""),164)</f>
        <v>164</v>
      </c>
      <c r="P359" s="12">
        <f ca="1">IFERROR(__xludf.DUMMYFUNCTION("""COMPUTED_VALUE"""),40)</f>
        <v>40</v>
      </c>
      <c r="Q359" s="12">
        <f ca="1">IFERROR(__xludf.DUMMYFUNCTION("""COMPUTED_VALUE"""),2764)</f>
        <v>2764</v>
      </c>
      <c r="R359" s="12">
        <f ca="1">IFERROR(__xludf.DUMMYFUNCTION("""COMPUTED_VALUE"""),-158)</f>
        <v>-158</v>
      </c>
      <c r="S359" s="12">
        <f ca="1">IFERROR(__xludf.DUMMYFUNCTION("""COMPUTED_VALUE"""),226)</f>
        <v>226</v>
      </c>
      <c r="T359" s="12">
        <f ca="1">IFERROR(__xludf.DUMMYFUNCTION("""COMPUTED_VALUE"""),2872)</f>
        <v>2872</v>
      </c>
      <c r="U359" s="12">
        <f ca="1">IFERROR(__xludf.DUMMYFUNCTION("""COMPUTED_VALUE"""),68)</f>
        <v>68</v>
      </c>
    </row>
    <row r="360" spans="1:21" x14ac:dyDescent="0.25">
      <c r="A360" s="11">
        <f ca="1">IFERROR(__xludf.DUMMYFUNCTION("""COMPUTED_VALUE"""),44248)</f>
        <v>44248</v>
      </c>
      <c r="B360" s="12">
        <f ca="1">IFERROR(__xludf.DUMMYFUNCTION("""COMPUTED_VALUE"""),1278653)</f>
        <v>1278653</v>
      </c>
      <c r="C360" s="12">
        <f ca="1">IFERROR(__xludf.DUMMYFUNCTION("""COMPUTED_VALUE"""),157088)</f>
        <v>157088</v>
      </c>
      <c r="D360" s="12">
        <f ca="1">IFERROR(__xludf.DUMMYFUNCTION("""COMPUTED_VALUE"""),1087076)</f>
        <v>1087076</v>
      </c>
      <c r="E360" s="12">
        <f ca="1">IFERROR(__xludf.DUMMYFUNCTION("""COMPUTED_VALUE"""),34489)</f>
        <v>34489</v>
      </c>
      <c r="F360" s="12">
        <f ca="1">IFERROR(__xludf.DUMMYFUNCTION("""COMPUTED_VALUE"""),5172)</f>
        <v>5172</v>
      </c>
      <c r="G360" s="12">
        <f ca="1">IFERROR(__xludf.DUMMYFUNCTION("""COMPUTED_VALUE"""),310412)</f>
        <v>310412</v>
      </c>
      <c r="H360" s="12">
        <f ca="1">IFERROR(__xludf.DUMMYFUNCTION("""COMPUTED_VALUE"""),7137)</f>
        <v>7137</v>
      </c>
      <c r="I360" s="12">
        <f ca="1">IFERROR(__xludf.DUMMYFUNCTION("""COMPUTED_VALUE"""),5902)</f>
        <v>5902</v>
      </c>
      <c r="J360" s="12">
        <f ca="1">IFERROR(__xludf.DUMMYFUNCTION("""COMPUTED_VALUE"""),328623)</f>
        <v>328623</v>
      </c>
      <c r="K360" s="12">
        <f ca="1">IFERROR(__xludf.DUMMYFUNCTION("""COMPUTED_VALUE"""),13039)</f>
        <v>13039</v>
      </c>
      <c r="L360" s="12">
        <f ca="1">IFERROR(__xludf.DUMMYFUNCTION("""COMPUTED_VALUE"""),7300)</f>
        <v>7300</v>
      </c>
      <c r="M360" s="12">
        <f ca="1">IFERROR(__xludf.DUMMYFUNCTION("""COMPUTED_VALUE"""),-1109)</f>
        <v>-1109</v>
      </c>
      <c r="N360" s="12">
        <f ca="1">IFERROR(__xludf.DUMMYFUNCTION("""COMPUTED_VALUE"""),8236)</f>
        <v>8236</v>
      </c>
      <c r="O360" s="12">
        <f ca="1">IFERROR(__xludf.DUMMYFUNCTION("""COMPUTED_VALUE"""),173)</f>
        <v>173</v>
      </c>
      <c r="P360" s="12">
        <f ca="1">IFERROR(__xludf.DUMMYFUNCTION("""COMPUTED_VALUE"""),51)</f>
        <v>51</v>
      </c>
      <c r="Q360" s="12">
        <f ca="1">IFERROR(__xludf.DUMMYFUNCTION("""COMPUTED_VALUE"""),2653)</f>
        <v>2653</v>
      </c>
      <c r="R360" s="12">
        <f ca="1">IFERROR(__xludf.DUMMYFUNCTION("""COMPUTED_VALUE"""),-28)</f>
        <v>-28</v>
      </c>
      <c r="S360" s="12">
        <f ca="1">IFERROR(__xludf.DUMMYFUNCTION("""COMPUTED_VALUE"""),44)</f>
        <v>44</v>
      </c>
      <c r="T360" s="12">
        <f ca="1">IFERROR(__xludf.DUMMYFUNCTION("""COMPUTED_VALUE"""),2720)</f>
        <v>2720</v>
      </c>
      <c r="U360" s="12">
        <f ca="1">IFERROR(__xludf.DUMMYFUNCTION("""COMPUTED_VALUE"""),16)</f>
        <v>16</v>
      </c>
    </row>
    <row r="361" spans="1:21" x14ac:dyDescent="0.25">
      <c r="A361" s="11">
        <f ca="1">IFERROR(__xludf.DUMMYFUNCTION("""COMPUTED_VALUE"""),44249)</f>
        <v>44249</v>
      </c>
      <c r="B361" s="12">
        <f ca="1">IFERROR(__xludf.DUMMYFUNCTION("""COMPUTED_VALUE"""),1288833)</f>
        <v>1288833</v>
      </c>
      <c r="C361" s="12">
        <f ca="1">IFERROR(__xludf.DUMMYFUNCTION("""COMPUTED_VALUE"""),157148)</f>
        <v>157148</v>
      </c>
      <c r="D361" s="12">
        <f ca="1">IFERROR(__xludf.DUMMYFUNCTION("""COMPUTED_VALUE"""),1096994)</f>
        <v>1096994</v>
      </c>
      <c r="E361" s="12">
        <f ca="1">IFERROR(__xludf.DUMMYFUNCTION("""COMPUTED_VALUE"""),34691)</f>
        <v>34691</v>
      </c>
      <c r="F361" s="12">
        <f ca="1">IFERROR(__xludf.DUMMYFUNCTION("""COMPUTED_VALUE"""),5206)</f>
        <v>5206</v>
      </c>
      <c r="G361" s="12">
        <f ca="1">IFERROR(__xludf.DUMMYFUNCTION("""COMPUTED_VALUE"""),312748)</f>
        <v>312748</v>
      </c>
      <c r="H361" s="12">
        <f ca="1">IFERROR(__xludf.DUMMYFUNCTION("""COMPUTED_VALUE"""),7528)</f>
        <v>7528</v>
      </c>
      <c r="I361" s="12">
        <f ca="1">IFERROR(__xludf.DUMMYFUNCTION("""COMPUTED_VALUE"""),5612)</f>
        <v>5612</v>
      </c>
      <c r="J361" s="12">
        <f ca="1">IFERROR(__xludf.DUMMYFUNCTION("""COMPUTED_VALUE"""),331094)</f>
        <v>331094</v>
      </c>
      <c r="K361" s="12">
        <f ca="1">IFERROR(__xludf.DUMMYFUNCTION("""COMPUTED_VALUE"""),13140)</f>
        <v>13140</v>
      </c>
      <c r="L361" s="12">
        <f ca="1">IFERROR(__xludf.DUMMYFUNCTION("""COMPUTED_VALUE"""),10180)</f>
        <v>10180</v>
      </c>
      <c r="M361" s="12">
        <f ca="1">IFERROR(__xludf.DUMMYFUNCTION("""COMPUTED_VALUE"""),60)</f>
        <v>60</v>
      </c>
      <c r="N361" s="12">
        <f ca="1">IFERROR(__xludf.DUMMYFUNCTION("""COMPUTED_VALUE"""),9918)</f>
        <v>9918</v>
      </c>
      <c r="O361" s="12">
        <f ca="1">IFERROR(__xludf.DUMMYFUNCTION("""COMPUTED_VALUE"""),202)</f>
        <v>202</v>
      </c>
      <c r="P361" s="12">
        <f ca="1">IFERROR(__xludf.DUMMYFUNCTION("""COMPUTED_VALUE"""),34)</f>
        <v>34</v>
      </c>
      <c r="Q361" s="12">
        <f ca="1">IFERROR(__xludf.DUMMYFUNCTION("""COMPUTED_VALUE"""),2336)</f>
        <v>2336</v>
      </c>
      <c r="R361" s="12">
        <f ca="1">IFERROR(__xludf.DUMMYFUNCTION("""COMPUTED_VALUE"""),391)</f>
        <v>391</v>
      </c>
      <c r="S361" s="12">
        <f ca="1">IFERROR(__xludf.DUMMYFUNCTION("""COMPUTED_VALUE"""),-290)</f>
        <v>-290</v>
      </c>
      <c r="T361" s="12">
        <f ca="1">IFERROR(__xludf.DUMMYFUNCTION("""COMPUTED_VALUE"""),2471)</f>
        <v>2471</v>
      </c>
      <c r="U361" s="12">
        <f ca="1">IFERROR(__xludf.DUMMYFUNCTION("""COMPUTED_VALUE"""),101)</f>
        <v>101</v>
      </c>
    </row>
    <row r="362" spans="1:21" x14ac:dyDescent="0.25">
      <c r="A362" s="11">
        <f ca="1">IFERROR(__xludf.DUMMYFUNCTION("""COMPUTED_VALUE"""),44250)</f>
        <v>44250</v>
      </c>
      <c r="B362" s="12">
        <f ca="1">IFERROR(__xludf.DUMMYFUNCTION("""COMPUTED_VALUE"""),1298608)</f>
        <v>1298608</v>
      </c>
      <c r="C362" s="12">
        <f ca="1">IFERROR(__xludf.DUMMYFUNCTION("""COMPUTED_VALUE"""),158604)</f>
        <v>158604</v>
      </c>
      <c r="D362" s="12">
        <f ca="1">IFERROR(__xludf.DUMMYFUNCTION("""COMPUTED_VALUE"""),1104990)</f>
        <v>1104990</v>
      </c>
      <c r="E362" s="12">
        <f ca="1">IFERROR(__xludf.DUMMYFUNCTION("""COMPUTED_VALUE"""),35014)</f>
        <v>35014</v>
      </c>
      <c r="F362" s="12">
        <f ca="1">IFERROR(__xludf.DUMMYFUNCTION("""COMPUTED_VALUE"""),5248)</f>
        <v>5248</v>
      </c>
      <c r="G362" s="12">
        <f ca="1">IFERROR(__xludf.DUMMYFUNCTION("""COMPUTED_VALUE"""),314563)</f>
        <v>314563</v>
      </c>
      <c r="H362" s="12">
        <f ca="1">IFERROR(__xludf.DUMMYFUNCTION("""COMPUTED_VALUE"""),7126)</f>
        <v>7126</v>
      </c>
      <c r="I362" s="12">
        <f ca="1">IFERROR(__xludf.DUMMYFUNCTION("""COMPUTED_VALUE"""),4939)</f>
        <v>4939</v>
      </c>
      <c r="J362" s="12">
        <f ca="1">IFERROR(__xludf.DUMMYFUNCTION("""COMPUTED_VALUE"""),331876)</f>
        <v>331876</v>
      </c>
      <c r="K362" s="12">
        <f ca="1">IFERROR(__xludf.DUMMYFUNCTION("""COMPUTED_VALUE"""),12065)</f>
        <v>12065</v>
      </c>
      <c r="L362" s="12">
        <f ca="1">IFERROR(__xludf.DUMMYFUNCTION("""COMPUTED_VALUE"""),9775)</f>
        <v>9775</v>
      </c>
      <c r="M362" s="12">
        <f ca="1">IFERROR(__xludf.DUMMYFUNCTION("""COMPUTED_VALUE"""),1456)</f>
        <v>1456</v>
      </c>
      <c r="N362" s="12">
        <f ca="1">IFERROR(__xludf.DUMMYFUNCTION("""COMPUTED_VALUE"""),7996)</f>
        <v>7996</v>
      </c>
      <c r="O362" s="12">
        <f ca="1">IFERROR(__xludf.DUMMYFUNCTION("""COMPUTED_VALUE"""),323)</f>
        <v>323</v>
      </c>
      <c r="P362" s="12">
        <f ca="1">IFERROR(__xludf.DUMMYFUNCTION("""COMPUTED_VALUE"""),42)</f>
        <v>42</v>
      </c>
      <c r="Q362" s="12">
        <f ca="1">IFERROR(__xludf.DUMMYFUNCTION("""COMPUTED_VALUE"""),1815)</f>
        <v>1815</v>
      </c>
      <c r="R362" s="12">
        <f ca="1">IFERROR(__xludf.DUMMYFUNCTION("""COMPUTED_VALUE"""),-402)</f>
        <v>-402</v>
      </c>
      <c r="S362" s="12">
        <f ca="1">IFERROR(__xludf.DUMMYFUNCTION("""COMPUTED_VALUE"""),-673)</f>
        <v>-673</v>
      </c>
      <c r="T362" s="12">
        <f ca="1">IFERROR(__xludf.DUMMYFUNCTION("""COMPUTED_VALUE"""),782)</f>
        <v>782</v>
      </c>
      <c r="U362" s="12">
        <f ca="1">IFERROR(__xludf.DUMMYFUNCTION("""COMPUTED_VALUE"""),-1075)</f>
        <v>-1075</v>
      </c>
    </row>
    <row r="363" spans="1:21" x14ac:dyDescent="0.25">
      <c r="A363" s="11">
        <f ca="1">IFERROR(__xludf.DUMMYFUNCTION("""COMPUTED_VALUE"""),44251)</f>
        <v>44251</v>
      </c>
      <c r="B363" s="12">
        <f ca="1">IFERROR(__xludf.DUMMYFUNCTION("""COMPUTED_VALUE"""),1306141)</f>
        <v>1306141</v>
      </c>
      <c r="C363" s="12">
        <f ca="1">IFERROR(__xludf.DUMMYFUNCTION("""COMPUTED_VALUE"""),158162)</f>
        <v>158162</v>
      </c>
      <c r="D363" s="12">
        <f ca="1">IFERROR(__xludf.DUMMYFUNCTION("""COMPUTED_VALUE"""),1112725)</f>
        <v>1112725</v>
      </c>
      <c r="E363" s="12">
        <f ca="1">IFERROR(__xludf.DUMMYFUNCTION("""COMPUTED_VALUE"""),35254)</f>
        <v>35254</v>
      </c>
      <c r="F363" s="12">
        <f ca="1">IFERROR(__xludf.DUMMYFUNCTION("""COMPUTED_VALUE"""),5301)</f>
        <v>5301</v>
      </c>
      <c r="G363" s="12">
        <f ca="1">IFERROR(__xludf.DUMMYFUNCTION("""COMPUTED_VALUE"""),317003)</f>
        <v>317003</v>
      </c>
      <c r="H363" s="12">
        <f ca="1">IFERROR(__xludf.DUMMYFUNCTION("""COMPUTED_VALUE"""),6008)</f>
        <v>6008</v>
      </c>
      <c r="I363" s="12">
        <f ca="1">IFERROR(__xludf.DUMMYFUNCTION("""COMPUTED_VALUE"""),4346)</f>
        <v>4346</v>
      </c>
      <c r="J363" s="12">
        <f ca="1">IFERROR(__xludf.DUMMYFUNCTION("""COMPUTED_VALUE"""),332658)</f>
        <v>332658</v>
      </c>
      <c r="K363" s="12">
        <f ca="1">IFERROR(__xludf.DUMMYFUNCTION("""COMPUTED_VALUE"""),10354)</f>
        <v>10354</v>
      </c>
      <c r="L363" s="12">
        <f ca="1">IFERROR(__xludf.DUMMYFUNCTION("""COMPUTED_VALUE"""),7533)</f>
        <v>7533</v>
      </c>
      <c r="M363" s="12">
        <f ca="1">IFERROR(__xludf.DUMMYFUNCTION("""COMPUTED_VALUE"""),-442)</f>
        <v>-442</v>
      </c>
      <c r="N363" s="12">
        <f ca="1">IFERROR(__xludf.DUMMYFUNCTION("""COMPUTED_VALUE"""),7735)</f>
        <v>7735</v>
      </c>
      <c r="O363" s="12">
        <f ca="1">IFERROR(__xludf.DUMMYFUNCTION("""COMPUTED_VALUE"""),240)</f>
        <v>240</v>
      </c>
      <c r="P363" s="12">
        <f ca="1">IFERROR(__xludf.DUMMYFUNCTION("""COMPUTED_VALUE"""),53)</f>
        <v>53</v>
      </c>
      <c r="Q363" s="12">
        <f ca="1">IFERROR(__xludf.DUMMYFUNCTION("""COMPUTED_VALUE"""),2440)</f>
        <v>2440</v>
      </c>
      <c r="R363" s="12">
        <f ca="1">IFERROR(__xludf.DUMMYFUNCTION("""COMPUTED_VALUE"""),-1118)</f>
        <v>-1118</v>
      </c>
      <c r="S363" s="12">
        <f ca="1">IFERROR(__xludf.DUMMYFUNCTION("""COMPUTED_VALUE"""),-593)</f>
        <v>-593</v>
      </c>
      <c r="T363" s="12">
        <f ca="1">IFERROR(__xludf.DUMMYFUNCTION("""COMPUTED_VALUE"""),782)</f>
        <v>782</v>
      </c>
      <c r="U363" s="12">
        <f ca="1">IFERROR(__xludf.DUMMYFUNCTION("""COMPUTED_VALUE"""),-1711)</f>
        <v>-1711</v>
      </c>
    </row>
    <row r="364" spans="1:21" x14ac:dyDescent="0.25">
      <c r="A364" s="11">
        <f ca="1">IFERROR(__xludf.DUMMYFUNCTION("""COMPUTED_VALUE"""),44252)</f>
        <v>44252</v>
      </c>
      <c r="B364" s="12">
        <f ca="1">IFERROR(__xludf.DUMMYFUNCTION("""COMPUTED_VALUE"""),1314634)</f>
        <v>1314634</v>
      </c>
      <c r="C364" s="12">
        <f ca="1">IFERROR(__xludf.DUMMYFUNCTION("""COMPUTED_VALUE"""),157705)</f>
        <v>157705</v>
      </c>
      <c r="D364" s="12">
        <f ca="1">IFERROR(__xludf.DUMMYFUNCTION("""COMPUTED_VALUE"""),1121411)</f>
        <v>1121411</v>
      </c>
      <c r="E364" s="12">
        <f ca="1">IFERROR(__xludf.DUMMYFUNCTION("""COMPUTED_VALUE"""),35518)</f>
        <v>35518</v>
      </c>
      <c r="F364" s="12">
        <f ca="1">IFERROR(__xludf.DUMMYFUNCTION("""COMPUTED_VALUE"""),5346)</f>
        <v>5346</v>
      </c>
      <c r="G364" s="12">
        <f ca="1">IFERROR(__xludf.DUMMYFUNCTION("""COMPUTED_VALUE"""),319326)</f>
        <v>319326</v>
      </c>
      <c r="H364" s="12">
        <f ca="1">IFERROR(__xludf.DUMMYFUNCTION("""COMPUTED_VALUE"""),5499)</f>
        <v>5499</v>
      </c>
      <c r="I364" s="12">
        <f ca="1">IFERROR(__xludf.DUMMYFUNCTION("""COMPUTED_VALUE"""),4068)</f>
        <v>4068</v>
      </c>
      <c r="J364" s="12">
        <f ca="1">IFERROR(__xludf.DUMMYFUNCTION("""COMPUTED_VALUE"""),334239)</f>
        <v>334239</v>
      </c>
      <c r="K364" s="12">
        <f ca="1">IFERROR(__xludf.DUMMYFUNCTION("""COMPUTED_VALUE"""),9567)</f>
        <v>9567</v>
      </c>
      <c r="L364" s="12">
        <f ca="1">IFERROR(__xludf.DUMMYFUNCTION("""COMPUTED_VALUE"""),8493)</f>
        <v>8493</v>
      </c>
      <c r="M364" s="12">
        <f ca="1">IFERROR(__xludf.DUMMYFUNCTION("""COMPUTED_VALUE"""),-457)</f>
        <v>-457</v>
      </c>
      <c r="N364" s="12">
        <f ca="1">IFERROR(__xludf.DUMMYFUNCTION("""COMPUTED_VALUE"""),8686)</f>
        <v>8686</v>
      </c>
      <c r="O364" s="12">
        <f ca="1">IFERROR(__xludf.DUMMYFUNCTION("""COMPUTED_VALUE"""),264)</f>
        <v>264</v>
      </c>
      <c r="P364" s="12">
        <f ca="1">IFERROR(__xludf.DUMMYFUNCTION("""COMPUTED_VALUE"""),45)</f>
        <v>45</v>
      </c>
      <c r="Q364" s="12">
        <f ca="1">IFERROR(__xludf.DUMMYFUNCTION("""COMPUTED_VALUE"""),2323)</f>
        <v>2323</v>
      </c>
      <c r="R364" s="12">
        <f ca="1">IFERROR(__xludf.DUMMYFUNCTION("""COMPUTED_VALUE"""),-509)</f>
        <v>-509</v>
      </c>
      <c r="S364" s="12">
        <f ca="1">IFERROR(__xludf.DUMMYFUNCTION("""COMPUTED_VALUE"""),-278)</f>
        <v>-278</v>
      </c>
      <c r="T364" s="12">
        <f ca="1">IFERROR(__xludf.DUMMYFUNCTION("""COMPUTED_VALUE"""),1581)</f>
        <v>1581</v>
      </c>
      <c r="U364" s="12">
        <f ca="1">IFERROR(__xludf.DUMMYFUNCTION("""COMPUTED_VALUE"""),-787)</f>
        <v>-787</v>
      </c>
    </row>
    <row r="365" spans="1:21" x14ac:dyDescent="0.25">
      <c r="A365" s="11">
        <f ca="1">IFERROR(__xludf.DUMMYFUNCTION("""COMPUTED_VALUE"""),44253)</f>
        <v>44253</v>
      </c>
      <c r="B365" s="12">
        <f ca="1">IFERROR(__xludf.DUMMYFUNCTION("""COMPUTED_VALUE"""),1322866)</f>
        <v>1322866</v>
      </c>
      <c r="C365" s="12">
        <f ca="1">IFERROR(__xludf.DUMMYFUNCTION("""COMPUTED_VALUE"""),158408)</f>
        <v>158408</v>
      </c>
      <c r="D365" s="12">
        <f ca="1">IFERROR(__xludf.DUMMYFUNCTION("""COMPUTED_VALUE"""),1128672)</f>
        <v>1128672</v>
      </c>
      <c r="E365" s="12">
        <f ca="1">IFERROR(__xludf.DUMMYFUNCTION("""COMPUTED_VALUE"""),35786)</f>
        <v>35786</v>
      </c>
      <c r="F365" s="12">
        <f ca="1">IFERROR(__xludf.DUMMYFUNCTION("""COMPUTED_VALUE"""),5385)</f>
        <v>5385</v>
      </c>
      <c r="G365" s="12">
        <f ca="1">IFERROR(__xludf.DUMMYFUNCTION("""COMPUTED_VALUE"""),321038)</f>
        <v>321038</v>
      </c>
      <c r="H365" s="12">
        <f ca="1">IFERROR(__xludf.DUMMYFUNCTION("""COMPUTED_VALUE"""),5560)</f>
        <v>5560</v>
      </c>
      <c r="I365" s="12">
        <f ca="1">IFERROR(__xludf.DUMMYFUNCTION("""COMPUTED_VALUE"""),3917)</f>
        <v>3917</v>
      </c>
      <c r="J365" s="12">
        <f ca="1">IFERROR(__xludf.DUMMYFUNCTION("""COMPUTED_VALUE"""),335900)</f>
        <v>335900</v>
      </c>
      <c r="K365" s="12">
        <f ca="1">IFERROR(__xludf.DUMMYFUNCTION("""COMPUTED_VALUE"""),9477)</f>
        <v>9477</v>
      </c>
      <c r="L365" s="12">
        <f ca="1">IFERROR(__xludf.DUMMYFUNCTION("""COMPUTED_VALUE"""),8232)</f>
        <v>8232</v>
      </c>
      <c r="M365" s="12">
        <f ca="1">IFERROR(__xludf.DUMMYFUNCTION("""COMPUTED_VALUE"""),703)</f>
        <v>703</v>
      </c>
      <c r="N365" s="12">
        <f ca="1">IFERROR(__xludf.DUMMYFUNCTION("""COMPUTED_VALUE"""),7261)</f>
        <v>7261</v>
      </c>
      <c r="O365" s="12">
        <f ca="1">IFERROR(__xludf.DUMMYFUNCTION("""COMPUTED_VALUE"""),268)</f>
        <v>268</v>
      </c>
      <c r="P365" s="12">
        <f ca="1">IFERROR(__xludf.DUMMYFUNCTION("""COMPUTED_VALUE"""),39)</f>
        <v>39</v>
      </c>
      <c r="Q365" s="12">
        <f ca="1">IFERROR(__xludf.DUMMYFUNCTION("""COMPUTED_VALUE"""),1712)</f>
        <v>1712</v>
      </c>
      <c r="R365" s="12">
        <f ca="1">IFERROR(__xludf.DUMMYFUNCTION("""COMPUTED_VALUE"""),61)</f>
        <v>61</v>
      </c>
      <c r="S365" s="12">
        <f ca="1">IFERROR(__xludf.DUMMYFUNCTION("""COMPUTED_VALUE"""),-151)</f>
        <v>-151</v>
      </c>
      <c r="T365" s="12">
        <f ca="1">IFERROR(__xludf.DUMMYFUNCTION("""COMPUTED_VALUE"""),1661)</f>
        <v>1661</v>
      </c>
      <c r="U365" s="12">
        <f ca="1">IFERROR(__xludf.DUMMYFUNCTION("""COMPUTED_VALUE"""),-90)</f>
        <v>-90</v>
      </c>
    </row>
    <row r="366" spans="1:21" x14ac:dyDescent="0.25">
      <c r="A366" s="11">
        <f ca="1">IFERROR(__xludf.DUMMYFUNCTION("""COMPUTED_VALUE"""),44254)</f>
        <v>44254</v>
      </c>
      <c r="B366" s="12">
        <f ca="1">IFERROR(__xludf.DUMMYFUNCTION("""COMPUTED_VALUE"""),1329074)</f>
        <v>1329074</v>
      </c>
      <c r="C366" s="12">
        <f ca="1">IFERROR(__xludf.DUMMYFUNCTION("""COMPUTED_VALUE"""),157039)</f>
        <v>157039</v>
      </c>
      <c r="D366" s="12">
        <f ca="1">IFERROR(__xludf.DUMMYFUNCTION("""COMPUTED_VALUE"""),1136054)</f>
        <v>1136054</v>
      </c>
      <c r="E366" s="12">
        <f ca="1">IFERROR(__xludf.DUMMYFUNCTION("""COMPUTED_VALUE"""),35981)</f>
        <v>35981</v>
      </c>
      <c r="F366" s="12">
        <f ca="1">IFERROR(__xludf.DUMMYFUNCTION("""COMPUTED_VALUE"""),5439)</f>
        <v>5439</v>
      </c>
      <c r="G366" s="12">
        <f ca="1">IFERROR(__xludf.DUMMYFUNCTION("""COMPUTED_VALUE"""),322285)</f>
        <v>322285</v>
      </c>
      <c r="H366" s="12">
        <f ca="1">IFERROR(__xludf.DUMMYFUNCTION("""COMPUTED_VALUE"""),5885)</f>
        <v>5885</v>
      </c>
      <c r="I366" s="12">
        <f ca="1">IFERROR(__xludf.DUMMYFUNCTION("""COMPUTED_VALUE"""),4028)</f>
        <v>4028</v>
      </c>
      <c r="J366" s="12">
        <f ca="1">IFERROR(__xludf.DUMMYFUNCTION("""COMPUTED_VALUE"""),337637)</f>
        <v>337637</v>
      </c>
      <c r="K366" s="12">
        <f ca="1">IFERROR(__xludf.DUMMYFUNCTION("""COMPUTED_VALUE"""),9913)</f>
        <v>9913</v>
      </c>
      <c r="L366" s="12">
        <f ca="1">IFERROR(__xludf.DUMMYFUNCTION("""COMPUTED_VALUE"""),6208)</f>
        <v>6208</v>
      </c>
      <c r="M366" s="12">
        <f ca="1">IFERROR(__xludf.DUMMYFUNCTION("""COMPUTED_VALUE"""),-1369)</f>
        <v>-1369</v>
      </c>
      <c r="N366" s="12">
        <f ca="1">IFERROR(__xludf.DUMMYFUNCTION("""COMPUTED_VALUE"""),7382)</f>
        <v>7382</v>
      </c>
      <c r="O366" s="12">
        <f ca="1">IFERROR(__xludf.DUMMYFUNCTION("""COMPUTED_VALUE"""),195)</f>
        <v>195</v>
      </c>
      <c r="P366" s="12">
        <f ca="1">IFERROR(__xludf.DUMMYFUNCTION("""COMPUTED_VALUE"""),54)</f>
        <v>54</v>
      </c>
      <c r="Q366" s="12">
        <f ca="1">IFERROR(__xludf.DUMMYFUNCTION("""COMPUTED_VALUE"""),1247)</f>
        <v>1247</v>
      </c>
      <c r="R366" s="12">
        <f ca="1">IFERROR(__xludf.DUMMYFUNCTION("""COMPUTED_VALUE"""),325)</f>
        <v>325</v>
      </c>
      <c r="S366" s="12">
        <f ca="1">IFERROR(__xludf.DUMMYFUNCTION("""COMPUTED_VALUE"""),111)</f>
        <v>111</v>
      </c>
      <c r="T366" s="12">
        <f ca="1">IFERROR(__xludf.DUMMYFUNCTION("""COMPUTED_VALUE"""),1737)</f>
        <v>1737</v>
      </c>
      <c r="U366" s="12">
        <f ca="1">IFERROR(__xludf.DUMMYFUNCTION("""COMPUTED_VALUE"""),436)</f>
        <v>436</v>
      </c>
    </row>
    <row r="367" spans="1:21" x14ac:dyDescent="0.25">
      <c r="A367" s="11">
        <f ca="1">IFERROR(__xludf.DUMMYFUNCTION("""COMPUTED_VALUE"""),44255)</f>
        <v>44255</v>
      </c>
      <c r="B367" s="12">
        <f ca="1">IFERROR(__xludf.DUMMYFUNCTION("""COMPUTED_VALUE"""),1334634)</f>
        <v>1334634</v>
      </c>
      <c r="C367" s="12">
        <f ca="1">IFERROR(__xludf.DUMMYFUNCTION("""COMPUTED_VALUE"""),155765)</f>
        <v>155765</v>
      </c>
      <c r="D367" s="12">
        <f ca="1">IFERROR(__xludf.DUMMYFUNCTION("""COMPUTED_VALUE"""),1142703)</f>
        <v>1142703</v>
      </c>
      <c r="E367" s="12">
        <f ca="1">IFERROR(__xludf.DUMMYFUNCTION("""COMPUTED_VALUE"""),36166)</f>
        <v>36166</v>
      </c>
      <c r="F367" s="12">
        <f ca="1">IFERROR(__xludf.DUMMYFUNCTION("""COMPUTED_VALUE"""),5478)</f>
        <v>5478</v>
      </c>
      <c r="G367" s="12">
        <f ca="1">IFERROR(__xludf.DUMMYFUNCTION("""COMPUTED_VALUE"""),323892)</f>
        <v>323892</v>
      </c>
      <c r="H367" s="12">
        <f ca="1">IFERROR(__xludf.DUMMYFUNCTION("""COMPUTED_VALUE"""),5940)</f>
        <v>5940</v>
      </c>
      <c r="I367" s="12">
        <f ca="1">IFERROR(__xludf.DUMMYFUNCTION("""COMPUTED_VALUE"""),4425)</f>
        <v>4425</v>
      </c>
      <c r="J367" s="12">
        <f ca="1">IFERROR(__xludf.DUMMYFUNCTION("""COMPUTED_VALUE"""),339735)</f>
        <v>339735</v>
      </c>
      <c r="K367" s="12">
        <f ca="1">IFERROR(__xludf.DUMMYFUNCTION("""COMPUTED_VALUE"""),10365)</f>
        <v>10365</v>
      </c>
      <c r="L367" s="12">
        <f ca="1">IFERROR(__xludf.DUMMYFUNCTION("""COMPUTED_VALUE"""),5560)</f>
        <v>5560</v>
      </c>
      <c r="M367" s="12">
        <f ca="1">IFERROR(__xludf.DUMMYFUNCTION("""COMPUTED_VALUE"""),-1274)</f>
        <v>-1274</v>
      </c>
      <c r="N367" s="12">
        <f ca="1">IFERROR(__xludf.DUMMYFUNCTION("""COMPUTED_VALUE"""),6649)</f>
        <v>6649</v>
      </c>
      <c r="O367" s="12">
        <f ca="1">IFERROR(__xludf.DUMMYFUNCTION("""COMPUTED_VALUE"""),185)</f>
        <v>185</v>
      </c>
      <c r="P367" s="12">
        <f ca="1">IFERROR(__xludf.DUMMYFUNCTION("""COMPUTED_VALUE"""),39)</f>
        <v>39</v>
      </c>
      <c r="Q367" s="12">
        <f ca="1">IFERROR(__xludf.DUMMYFUNCTION("""COMPUTED_VALUE"""),1607)</f>
        <v>1607</v>
      </c>
      <c r="R367" s="12">
        <f ca="1">IFERROR(__xludf.DUMMYFUNCTION("""COMPUTED_VALUE"""),55)</f>
        <v>55</v>
      </c>
      <c r="S367" s="12">
        <f ca="1">IFERROR(__xludf.DUMMYFUNCTION("""COMPUTED_VALUE"""),397)</f>
        <v>397</v>
      </c>
      <c r="T367" s="12">
        <f ca="1">IFERROR(__xludf.DUMMYFUNCTION("""COMPUTED_VALUE"""),2098)</f>
        <v>2098</v>
      </c>
      <c r="U367" s="12">
        <f ca="1">IFERROR(__xludf.DUMMYFUNCTION("""COMPUTED_VALUE"""),452)</f>
        <v>452</v>
      </c>
    </row>
    <row r="368" spans="1:21" x14ac:dyDescent="0.25">
      <c r="A368" s="11">
        <f ca="1">IFERROR(__xludf.DUMMYFUNCTION("""COMPUTED_VALUE"""),44256)</f>
        <v>44256</v>
      </c>
      <c r="B368" s="12">
        <f ca="1">IFERROR(__xludf.DUMMYFUNCTION("""COMPUTED_VALUE"""),1341314)</f>
        <v>1341314</v>
      </c>
      <c r="C368" s="12">
        <f ca="1">IFERROR(__xludf.DUMMYFUNCTION("""COMPUTED_VALUE"""),153074)</f>
        <v>153074</v>
      </c>
      <c r="D368" s="12">
        <f ca="1">IFERROR(__xludf.DUMMYFUNCTION("""COMPUTED_VALUE"""),1151915)</f>
        <v>1151915</v>
      </c>
      <c r="E368" s="12">
        <f ca="1">IFERROR(__xludf.DUMMYFUNCTION("""COMPUTED_VALUE"""),36325)</f>
        <v>36325</v>
      </c>
      <c r="F368" s="12">
        <f ca="1">IFERROR(__xludf.DUMMYFUNCTION("""COMPUTED_VALUE"""),5528)</f>
        <v>5528</v>
      </c>
      <c r="G368" s="12">
        <f ca="1">IFERROR(__xludf.DUMMYFUNCTION("""COMPUTED_VALUE"""),326509)</f>
        <v>326509</v>
      </c>
      <c r="H368" s="12">
        <f ca="1">IFERROR(__xludf.DUMMYFUNCTION("""COMPUTED_VALUE"""),5891)</f>
        <v>5891</v>
      </c>
      <c r="I368" s="12">
        <f ca="1">IFERROR(__xludf.DUMMYFUNCTION("""COMPUTED_VALUE"""),3865)</f>
        <v>3865</v>
      </c>
      <c r="J368" s="12">
        <f ca="1">IFERROR(__xludf.DUMMYFUNCTION("""COMPUTED_VALUE"""),341793)</f>
        <v>341793</v>
      </c>
      <c r="K368" s="12">
        <f ca="1">IFERROR(__xludf.DUMMYFUNCTION("""COMPUTED_VALUE"""),9756)</f>
        <v>9756</v>
      </c>
      <c r="L368" s="12">
        <f ca="1">IFERROR(__xludf.DUMMYFUNCTION("""COMPUTED_VALUE"""),6680)</f>
        <v>6680</v>
      </c>
      <c r="M368" s="12">
        <f ca="1">IFERROR(__xludf.DUMMYFUNCTION("""COMPUTED_VALUE"""),-2691)</f>
        <v>-2691</v>
      </c>
      <c r="N368" s="12">
        <f ca="1">IFERROR(__xludf.DUMMYFUNCTION("""COMPUTED_VALUE"""),9212)</f>
        <v>9212</v>
      </c>
      <c r="O368" s="12">
        <f ca="1">IFERROR(__xludf.DUMMYFUNCTION("""COMPUTED_VALUE"""),159)</f>
        <v>159</v>
      </c>
      <c r="P368" s="12">
        <f ca="1">IFERROR(__xludf.DUMMYFUNCTION("""COMPUTED_VALUE"""),50)</f>
        <v>50</v>
      </c>
      <c r="Q368" s="12">
        <f ca="1">IFERROR(__xludf.DUMMYFUNCTION("""COMPUTED_VALUE"""),2617)</f>
        <v>2617</v>
      </c>
      <c r="R368" s="12">
        <f ca="1">IFERROR(__xludf.DUMMYFUNCTION("""COMPUTED_VALUE"""),-49)</f>
        <v>-49</v>
      </c>
      <c r="S368" s="12">
        <f ca="1">IFERROR(__xludf.DUMMYFUNCTION("""COMPUTED_VALUE"""),-560)</f>
        <v>-560</v>
      </c>
      <c r="T368" s="12">
        <f ca="1">IFERROR(__xludf.DUMMYFUNCTION("""COMPUTED_VALUE"""),2058)</f>
        <v>2058</v>
      </c>
      <c r="U368" s="12">
        <f ca="1">IFERROR(__xludf.DUMMYFUNCTION("""COMPUTED_VALUE"""),-609)</f>
        <v>-609</v>
      </c>
    </row>
    <row r="369" spans="1:21" x14ac:dyDescent="0.25">
      <c r="A369" s="11">
        <f ca="1">IFERROR(__xludf.DUMMYFUNCTION("""COMPUTED_VALUE"""),44257)</f>
        <v>44257</v>
      </c>
      <c r="B369" s="12">
        <f ca="1">IFERROR(__xludf.DUMMYFUNCTION("""COMPUTED_VALUE"""),1347026)</f>
        <v>1347026</v>
      </c>
      <c r="C369" s="12">
        <f ca="1">IFERROR(__xludf.DUMMYFUNCTION("""COMPUTED_VALUE"""),149645)</f>
        <v>149645</v>
      </c>
      <c r="D369" s="12">
        <f ca="1">IFERROR(__xludf.DUMMYFUNCTION("""COMPUTED_VALUE"""),1160863)</f>
        <v>1160863</v>
      </c>
      <c r="E369" s="12">
        <f ca="1">IFERROR(__xludf.DUMMYFUNCTION("""COMPUTED_VALUE"""),36518)</f>
        <v>36518</v>
      </c>
      <c r="F369" s="12">
        <f ca="1">IFERROR(__xludf.DUMMYFUNCTION("""COMPUTED_VALUE"""),5568)</f>
        <v>5568</v>
      </c>
      <c r="G369" s="12">
        <f ca="1">IFERROR(__xludf.DUMMYFUNCTION("""COMPUTED_VALUE"""),328526)</f>
        <v>328526</v>
      </c>
      <c r="H369" s="12">
        <f ca="1">IFERROR(__xludf.DUMMYFUNCTION("""COMPUTED_VALUE"""),5072)</f>
        <v>5072</v>
      </c>
      <c r="I369" s="12">
        <f ca="1">IFERROR(__xludf.DUMMYFUNCTION("""COMPUTED_VALUE"""),3205)</f>
        <v>3205</v>
      </c>
      <c r="J369" s="12">
        <f ca="1">IFERROR(__xludf.DUMMYFUNCTION("""COMPUTED_VALUE"""),342371)</f>
        <v>342371</v>
      </c>
      <c r="K369" s="12">
        <f ca="1">IFERROR(__xludf.DUMMYFUNCTION("""COMPUTED_VALUE"""),8277)</f>
        <v>8277</v>
      </c>
      <c r="L369" s="12">
        <f ca="1">IFERROR(__xludf.DUMMYFUNCTION("""COMPUTED_VALUE"""),5712)</f>
        <v>5712</v>
      </c>
      <c r="M369" s="12">
        <f ca="1">IFERROR(__xludf.DUMMYFUNCTION("""COMPUTED_VALUE"""),-3429)</f>
        <v>-3429</v>
      </c>
      <c r="N369" s="12">
        <f ca="1">IFERROR(__xludf.DUMMYFUNCTION("""COMPUTED_VALUE"""),8948)</f>
        <v>8948</v>
      </c>
      <c r="O369" s="12">
        <f ca="1">IFERROR(__xludf.DUMMYFUNCTION("""COMPUTED_VALUE"""),193)</f>
        <v>193</v>
      </c>
      <c r="P369" s="12">
        <f ca="1">IFERROR(__xludf.DUMMYFUNCTION("""COMPUTED_VALUE"""),40)</f>
        <v>40</v>
      </c>
      <c r="Q369" s="12">
        <f ca="1">IFERROR(__xludf.DUMMYFUNCTION("""COMPUTED_VALUE"""),2017)</f>
        <v>2017</v>
      </c>
      <c r="R369" s="12">
        <f ca="1">IFERROR(__xludf.DUMMYFUNCTION("""COMPUTED_VALUE"""),-819)</f>
        <v>-819</v>
      </c>
      <c r="S369" s="12">
        <f ca="1">IFERROR(__xludf.DUMMYFUNCTION("""COMPUTED_VALUE"""),-660)</f>
        <v>-660</v>
      </c>
      <c r="T369" s="12">
        <f ca="1">IFERROR(__xludf.DUMMYFUNCTION("""COMPUTED_VALUE"""),578)</f>
        <v>578</v>
      </c>
      <c r="U369" s="12">
        <f ca="1">IFERROR(__xludf.DUMMYFUNCTION("""COMPUTED_VALUE"""),-1479)</f>
        <v>-1479</v>
      </c>
    </row>
    <row r="370" spans="1:21" x14ac:dyDescent="0.25">
      <c r="A370" s="11">
        <f ca="1">IFERROR(__xludf.DUMMYFUNCTION("""COMPUTED_VALUE"""),44258)</f>
        <v>44258</v>
      </c>
      <c r="B370" s="12">
        <f ca="1">IFERROR(__xludf.DUMMYFUNCTION("""COMPUTED_VALUE"""),1353834)</f>
        <v>1353834</v>
      </c>
      <c r="C370" s="12">
        <f ca="1">IFERROR(__xludf.DUMMYFUNCTION("""COMPUTED_VALUE"""),147197)</f>
        <v>147197</v>
      </c>
      <c r="D370" s="12">
        <f ca="1">IFERROR(__xludf.DUMMYFUNCTION("""COMPUTED_VALUE"""),1169916)</f>
        <v>1169916</v>
      </c>
      <c r="E370" s="12">
        <f ca="1">IFERROR(__xludf.DUMMYFUNCTION("""COMPUTED_VALUE"""),36721)</f>
        <v>36721</v>
      </c>
      <c r="F370" s="12">
        <f ca="1">IFERROR(__xludf.DUMMYFUNCTION("""COMPUTED_VALUE"""),5613)</f>
        <v>5613</v>
      </c>
      <c r="G370" s="12">
        <f ca="1">IFERROR(__xludf.DUMMYFUNCTION("""COMPUTED_VALUE"""),331016)</f>
        <v>331016</v>
      </c>
      <c r="H370" s="12">
        <f ca="1">IFERROR(__xludf.DUMMYFUNCTION("""COMPUTED_VALUE"""),3742)</f>
        <v>3742</v>
      </c>
      <c r="I370" s="12">
        <f ca="1">IFERROR(__xludf.DUMMYFUNCTION("""COMPUTED_VALUE"""),3437)</f>
        <v>3437</v>
      </c>
      <c r="J370" s="12">
        <f ca="1">IFERROR(__xludf.DUMMYFUNCTION("""COMPUTED_VALUE"""),343808)</f>
        <v>343808</v>
      </c>
      <c r="K370" s="12">
        <f ca="1">IFERROR(__xludf.DUMMYFUNCTION("""COMPUTED_VALUE"""),7179)</f>
        <v>7179</v>
      </c>
      <c r="L370" s="12">
        <f ca="1">IFERROR(__xludf.DUMMYFUNCTION("""COMPUTED_VALUE"""),6808)</f>
        <v>6808</v>
      </c>
      <c r="M370" s="12">
        <f ca="1">IFERROR(__xludf.DUMMYFUNCTION("""COMPUTED_VALUE"""),-2448)</f>
        <v>-2448</v>
      </c>
      <c r="N370" s="12">
        <f ca="1">IFERROR(__xludf.DUMMYFUNCTION("""COMPUTED_VALUE"""),9053)</f>
        <v>9053</v>
      </c>
      <c r="O370" s="12">
        <f ca="1">IFERROR(__xludf.DUMMYFUNCTION("""COMPUTED_VALUE"""),203)</f>
        <v>203</v>
      </c>
      <c r="P370" s="12">
        <f ca="1">IFERROR(__xludf.DUMMYFUNCTION("""COMPUTED_VALUE"""),45)</f>
        <v>45</v>
      </c>
      <c r="Q370" s="12">
        <f ca="1">IFERROR(__xludf.DUMMYFUNCTION("""COMPUTED_VALUE"""),2490)</f>
        <v>2490</v>
      </c>
      <c r="R370" s="12">
        <f ca="1">IFERROR(__xludf.DUMMYFUNCTION("""COMPUTED_VALUE"""),-1330)</f>
        <v>-1330</v>
      </c>
      <c r="S370" s="12">
        <f ca="1">IFERROR(__xludf.DUMMYFUNCTION("""COMPUTED_VALUE"""),232)</f>
        <v>232</v>
      </c>
      <c r="T370" s="12">
        <f ca="1">IFERROR(__xludf.DUMMYFUNCTION("""COMPUTED_VALUE"""),1437)</f>
        <v>1437</v>
      </c>
      <c r="U370" s="12">
        <f ca="1">IFERROR(__xludf.DUMMYFUNCTION("""COMPUTED_VALUE"""),-1098)</f>
        <v>-1098</v>
      </c>
    </row>
    <row r="371" spans="1:21" x14ac:dyDescent="0.25">
      <c r="A371" s="11">
        <f ca="1">IFERROR(__xludf.DUMMYFUNCTION("""COMPUTED_VALUE"""),44259)</f>
        <v>44259</v>
      </c>
      <c r="B371" s="12">
        <f ca="1">IFERROR(__xludf.DUMMYFUNCTION("""COMPUTED_VALUE"""),1361098)</f>
        <v>1361098</v>
      </c>
      <c r="C371" s="12">
        <f ca="1">IFERROR(__xludf.DUMMYFUNCTION("""COMPUTED_VALUE"""),147845)</f>
        <v>147845</v>
      </c>
      <c r="D371" s="12">
        <f ca="1">IFERROR(__xludf.DUMMYFUNCTION("""COMPUTED_VALUE"""),1176356)</f>
        <v>1176356</v>
      </c>
      <c r="E371" s="12">
        <f ca="1">IFERROR(__xludf.DUMMYFUNCTION("""COMPUTED_VALUE"""),36897)</f>
        <v>36897</v>
      </c>
      <c r="F371" s="12">
        <f ca="1">IFERROR(__xludf.DUMMYFUNCTION("""COMPUTED_VALUE"""),5657)</f>
        <v>5657</v>
      </c>
      <c r="G371" s="12">
        <f ca="1">IFERROR(__xludf.DUMMYFUNCTION("""COMPUTED_VALUE"""),332758)</f>
        <v>332758</v>
      </c>
      <c r="H371" s="12">
        <f ca="1">IFERROR(__xludf.DUMMYFUNCTION("""COMPUTED_VALUE"""),3940)</f>
        <v>3940</v>
      </c>
      <c r="I371" s="12">
        <f ca="1">IFERROR(__xludf.DUMMYFUNCTION("""COMPUTED_VALUE"""),3461)</f>
        <v>3461</v>
      </c>
      <c r="J371" s="12">
        <f ca="1">IFERROR(__xludf.DUMMYFUNCTION("""COMPUTED_VALUE"""),345816)</f>
        <v>345816</v>
      </c>
      <c r="K371" s="12">
        <f ca="1">IFERROR(__xludf.DUMMYFUNCTION("""COMPUTED_VALUE"""),7401)</f>
        <v>7401</v>
      </c>
      <c r="L371" s="12">
        <f ca="1">IFERROR(__xludf.DUMMYFUNCTION("""COMPUTED_VALUE"""),7264)</f>
        <v>7264</v>
      </c>
      <c r="M371" s="12">
        <f ca="1">IFERROR(__xludf.DUMMYFUNCTION("""COMPUTED_VALUE"""),648)</f>
        <v>648</v>
      </c>
      <c r="N371" s="12">
        <f ca="1">IFERROR(__xludf.DUMMYFUNCTION("""COMPUTED_VALUE"""),6440)</f>
        <v>6440</v>
      </c>
      <c r="O371" s="12">
        <f ca="1">IFERROR(__xludf.DUMMYFUNCTION("""COMPUTED_VALUE"""),176)</f>
        <v>176</v>
      </c>
      <c r="P371" s="12">
        <f ca="1">IFERROR(__xludf.DUMMYFUNCTION("""COMPUTED_VALUE"""),44)</f>
        <v>44</v>
      </c>
      <c r="Q371" s="12">
        <f ca="1">IFERROR(__xludf.DUMMYFUNCTION("""COMPUTED_VALUE"""),1742)</f>
        <v>1742</v>
      </c>
      <c r="R371" s="12">
        <f ca="1">IFERROR(__xludf.DUMMYFUNCTION("""COMPUTED_VALUE"""),198)</f>
        <v>198</v>
      </c>
      <c r="S371" s="12">
        <f ca="1">IFERROR(__xludf.DUMMYFUNCTION("""COMPUTED_VALUE"""),24)</f>
        <v>24</v>
      </c>
      <c r="T371" s="12">
        <f ca="1">IFERROR(__xludf.DUMMYFUNCTION("""COMPUTED_VALUE"""),2008)</f>
        <v>2008</v>
      </c>
      <c r="U371" s="12">
        <f ca="1">IFERROR(__xludf.DUMMYFUNCTION("""COMPUTED_VALUE"""),222)</f>
        <v>222</v>
      </c>
    </row>
    <row r="372" spans="1:21" x14ac:dyDescent="0.25">
      <c r="A372" s="11">
        <f ca="1">IFERROR(__xludf.DUMMYFUNCTION("""COMPUTED_VALUE"""),44260)</f>
        <v>44260</v>
      </c>
      <c r="B372" s="12">
        <f ca="1">IFERROR(__xludf.DUMMYFUNCTION("""COMPUTED_VALUE"""),1368093)</f>
        <v>1368093</v>
      </c>
      <c r="C372" s="12">
        <f ca="1">IFERROR(__xludf.DUMMYFUNCTION("""COMPUTED_VALUE"""),148380)</f>
        <v>148380</v>
      </c>
      <c r="D372" s="12">
        <f ca="1">IFERROR(__xludf.DUMMYFUNCTION("""COMPUTED_VALUE"""),1182687)</f>
        <v>1182687</v>
      </c>
      <c r="E372" s="12">
        <f ca="1">IFERROR(__xludf.DUMMYFUNCTION("""COMPUTED_VALUE"""),37026)</f>
        <v>37026</v>
      </c>
      <c r="F372" s="12">
        <f ca="1">IFERROR(__xludf.DUMMYFUNCTION("""COMPUTED_VALUE"""),5702)</f>
        <v>5702</v>
      </c>
      <c r="G372" s="12">
        <f ca="1">IFERROR(__xludf.DUMMYFUNCTION("""COMPUTED_VALUE"""),334100)</f>
        <v>334100</v>
      </c>
      <c r="H372" s="12">
        <f ca="1">IFERROR(__xludf.DUMMYFUNCTION("""COMPUTED_VALUE"""),4026)</f>
        <v>4026</v>
      </c>
      <c r="I372" s="12">
        <f ca="1">IFERROR(__xludf.DUMMYFUNCTION("""COMPUTED_VALUE"""),3147)</f>
        <v>3147</v>
      </c>
      <c r="J372" s="12">
        <f ca="1">IFERROR(__xludf.DUMMYFUNCTION("""COMPUTED_VALUE"""),346975)</f>
        <v>346975</v>
      </c>
      <c r="K372" s="12">
        <f ca="1">IFERROR(__xludf.DUMMYFUNCTION("""COMPUTED_VALUE"""),7173)</f>
        <v>7173</v>
      </c>
      <c r="L372" s="12">
        <f ca="1">IFERROR(__xludf.DUMMYFUNCTION("""COMPUTED_VALUE"""),6995)</f>
        <v>6995</v>
      </c>
      <c r="M372" s="12">
        <f ca="1">IFERROR(__xludf.DUMMYFUNCTION("""COMPUTED_VALUE"""),535)</f>
        <v>535</v>
      </c>
      <c r="N372" s="12">
        <f ca="1">IFERROR(__xludf.DUMMYFUNCTION("""COMPUTED_VALUE"""),6331)</f>
        <v>6331</v>
      </c>
      <c r="O372" s="12">
        <f ca="1">IFERROR(__xludf.DUMMYFUNCTION("""COMPUTED_VALUE"""),129)</f>
        <v>129</v>
      </c>
      <c r="P372" s="12">
        <f ca="1">IFERROR(__xludf.DUMMYFUNCTION("""COMPUTED_VALUE"""),45)</f>
        <v>45</v>
      </c>
      <c r="Q372" s="12">
        <f ca="1">IFERROR(__xludf.DUMMYFUNCTION("""COMPUTED_VALUE"""),1342)</f>
        <v>1342</v>
      </c>
      <c r="R372" s="12">
        <f ca="1">IFERROR(__xludf.DUMMYFUNCTION("""COMPUTED_VALUE"""),86)</f>
        <v>86</v>
      </c>
      <c r="S372" s="12">
        <f ca="1">IFERROR(__xludf.DUMMYFUNCTION("""COMPUTED_VALUE"""),-314)</f>
        <v>-314</v>
      </c>
      <c r="T372" s="12">
        <f ca="1">IFERROR(__xludf.DUMMYFUNCTION("""COMPUTED_VALUE"""),1159)</f>
        <v>1159</v>
      </c>
      <c r="U372" s="12">
        <f ca="1">IFERROR(__xludf.DUMMYFUNCTION("""COMPUTED_VALUE"""),-228)</f>
        <v>-228</v>
      </c>
    </row>
    <row r="373" spans="1:21" x14ac:dyDescent="0.25">
      <c r="A373" s="11">
        <f ca="1">IFERROR(__xludf.DUMMYFUNCTION("""COMPUTED_VALUE"""),44261)</f>
        <v>44261</v>
      </c>
      <c r="B373" s="12">
        <f ca="1">IFERROR(__xludf.DUMMYFUNCTION("""COMPUTED_VALUE"""),1373836)</f>
        <v>1373836</v>
      </c>
      <c r="C373" s="12">
        <f ca="1">IFERROR(__xludf.DUMMYFUNCTION("""COMPUTED_VALUE"""),147172)</f>
        <v>147172</v>
      </c>
      <c r="D373" s="12">
        <f ca="1">IFERROR(__xludf.DUMMYFUNCTION("""COMPUTED_VALUE"""),1189510)</f>
        <v>1189510</v>
      </c>
      <c r="E373" s="12">
        <f ca="1">IFERROR(__xludf.DUMMYFUNCTION("""COMPUTED_VALUE"""),37154)</f>
        <v>37154</v>
      </c>
      <c r="F373" s="12">
        <f ca="1">IFERROR(__xludf.DUMMYFUNCTION("""COMPUTED_VALUE"""),5748)</f>
        <v>5748</v>
      </c>
      <c r="G373" s="12">
        <f ca="1">IFERROR(__xludf.DUMMYFUNCTION("""COMPUTED_VALUE"""),335617)</f>
        <v>335617</v>
      </c>
      <c r="H373" s="12">
        <f ca="1">IFERROR(__xludf.DUMMYFUNCTION("""COMPUTED_VALUE"""),4228)</f>
        <v>4228</v>
      </c>
      <c r="I373" s="12">
        <f ca="1">IFERROR(__xludf.DUMMYFUNCTION("""COMPUTED_VALUE"""),2998)</f>
        <v>2998</v>
      </c>
      <c r="J373" s="12">
        <f ca="1">IFERROR(__xludf.DUMMYFUNCTION("""COMPUTED_VALUE"""),348591)</f>
        <v>348591</v>
      </c>
      <c r="K373" s="12">
        <f ca="1">IFERROR(__xludf.DUMMYFUNCTION("""COMPUTED_VALUE"""),7226)</f>
        <v>7226</v>
      </c>
      <c r="L373" s="12">
        <f ca="1">IFERROR(__xludf.DUMMYFUNCTION("""COMPUTED_VALUE"""),5743)</f>
        <v>5743</v>
      </c>
      <c r="M373" s="12">
        <f ca="1">IFERROR(__xludf.DUMMYFUNCTION("""COMPUTED_VALUE"""),-1208)</f>
        <v>-1208</v>
      </c>
      <c r="N373" s="12">
        <f ca="1">IFERROR(__xludf.DUMMYFUNCTION("""COMPUTED_VALUE"""),6823)</f>
        <v>6823</v>
      </c>
      <c r="O373" s="12">
        <f ca="1">IFERROR(__xludf.DUMMYFUNCTION("""COMPUTED_VALUE"""),128)</f>
        <v>128</v>
      </c>
      <c r="P373" s="12">
        <f ca="1">IFERROR(__xludf.DUMMYFUNCTION("""COMPUTED_VALUE"""),46)</f>
        <v>46</v>
      </c>
      <c r="Q373" s="12">
        <f ca="1">IFERROR(__xludf.DUMMYFUNCTION("""COMPUTED_VALUE"""),1517)</f>
        <v>1517</v>
      </c>
      <c r="R373" s="12">
        <f ca="1">IFERROR(__xludf.DUMMYFUNCTION("""COMPUTED_VALUE"""),202)</f>
        <v>202</v>
      </c>
      <c r="S373" s="12">
        <f ca="1">IFERROR(__xludf.DUMMYFUNCTION("""COMPUTED_VALUE"""),-149)</f>
        <v>-149</v>
      </c>
      <c r="T373" s="12">
        <f ca="1">IFERROR(__xludf.DUMMYFUNCTION("""COMPUTED_VALUE"""),1616)</f>
        <v>1616</v>
      </c>
      <c r="U373" s="12">
        <f ca="1">IFERROR(__xludf.DUMMYFUNCTION("""COMPUTED_VALUE"""),53)</f>
        <v>53</v>
      </c>
    </row>
    <row r="374" spans="1:21" x14ac:dyDescent="0.25">
      <c r="A374" s="11">
        <f ca="1">IFERROR(__xludf.DUMMYFUNCTION("""COMPUTED_VALUE"""),44262)</f>
        <v>44262</v>
      </c>
      <c r="B374" s="12">
        <f ca="1">IFERROR(__xludf.DUMMYFUNCTION("""COMPUTED_VALUE"""),1379662)</f>
        <v>1379662</v>
      </c>
      <c r="C374" s="12">
        <f ca="1">IFERROR(__xludf.DUMMYFUNCTION("""COMPUTED_VALUE"""),147740)</f>
        <v>147740</v>
      </c>
      <c r="D374" s="12">
        <f ca="1">IFERROR(__xludf.DUMMYFUNCTION("""COMPUTED_VALUE"""),1194656)</f>
        <v>1194656</v>
      </c>
      <c r="E374" s="12">
        <f ca="1">IFERROR(__xludf.DUMMYFUNCTION("""COMPUTED_VALUE"""),37266)</f>
        <v>37266</v>
      </c>
      <c r="F374" s="12">
        <f ca="1">IFERROR(__xludf.DUMMYFUNCTION("""COMPUTED_VALUE"""),5790)</f>
        <v>5790</v>
      </c>
      <c r="G374" s="12">
        <f ca="1">IFERROR(__xludf.DUMMYFUNCTION("""COMPUTED_VALUE"""),337426)</f>
        <v>337426</v>
      </c>
      <c r="H374" s="12">
        <f ca="1">IFERROR(__xludf.DUMMYFUNCTION("""COMPUTED_VALUE"""),4194)</f>
        <v>4194</v>
      </c>
      <c r="I374" s="12">
        <f ca="1">IFERROR(__xludf.DUMMYFUNCTION("""COMPUTED_VALUE"""),3015)</f>
        <v>3015</v>
      </c>
      <c r="J374" s="12">
        <f ca="1">IFERROR(__xludf.DUMMYFUNCTION("""COMPUTED_VALUE"""),350425)</f>
        <v>350425</v>
      </c>
      <c r="K374" s="12">
        <f ca="1">IFERROR(__xludf.DUMMYFUNCTION("""COMPUTED_VALUE"""),7209)</f>
        <v>7209</v>
      </c>
      <c r="L374" s="12">
        <f ca="1">IFERROR(__xludf.DUMMYFUNCTION("""COMPUTED_VALUE"""),5826)</f>
        <v>5826</v>
      </c>
      <c r="M374" s="12">
        <f ca="1">IFERROR(__xludf.DUMMYFUNCTION("""COMPUTED_VALUE"""),568)</f>
        <v>568</v>
      </c>
      <c r="N374" s="12">
        <f ca="1">IFERROR(__xludf.DUMMYFUNCTION("""COMPUTED_VALUE"""),5146)</f>
        <v>5146</v>
      </c>
      <c r="O374" s="12">
        <f ca="1">IFERROR(__xludf.DUMMYFUNCTION("""COMPUTED_VALUE"""),112)</f>
        <v>112</v>
      </c>
      <c r="P374" s="12">
        <f ca="1">IFERROR(__xludf.DUMMYFUNCTION("""COMPUTED_VALUE"""),42)</f>
        <v>42</v>
      </c>
      <c r="Q374" s="12">
        <f ca="1">IFERROR(__xludf.DUMMYFUNCTION("""COMPUTED_VALUE"""),1809)</f>
        <v>1809</v>
      </c>
      <c r="R374" s="12">
        <f ca="1">IFERROR(__xludf.DUMMYFUNCTION("""COMPUTED_VALUE"""),-34)</f>
        <v>-34</v>
      </c>
      <c r="S374" s="12">
        <f ca="1">IFERROR(__xludf.DUMMYFUNCTION("""COMPUTED_VALUE"""),17)</f>
        <v>17</v>
      </c>
      <c r="T374" s="12">
        <f ca="1">IFERROR(__xludf.DUMMYFUNCTION("""COMPUTED_VALUE"""),1834)</f>
        <v>1834</v>
      </c>
      <c r="U374" s="12">
        <f ca="1">IFERROR(__xludf.DUMMYFUNCTION("""COMPUTED_VALUE"""),-17)</f>
        <v>-17</v>
      </c>
    </row>
    <row r="375" spans="1:21" x14ac:dyDescent="0.25">
      <c r="A375" s="11">
        <f ca="1">IFERROR(__xludf.DUMMYFUNCTION("""COMPUTED_VALUE"""),44263)</f>
        <v>44263</v>
      </c>
      <c r="B375" s="12">
        <f ca="1">IFERROR(__xludf.DUMMYFUNCTION("""COMPUTED_VALUE"""),1386556)</f>
        <v>1386556</v>
      </c>
      <c r="C375" s="12">
        <f ca="1">IFERROR(__xludf.DUMMYFUNCTION("""COMPUTED_VALUE"""),145628)</f>
        <v>145628</v>
      </c>
      <c r="D375" s="12">
        <f ca="1">IFERROR(__xludf.DUMMYFUNCTION("""COMPUTED_VALUE"""),1203381)</f>
        <v>1203381</v>
      </c>
      <c r="E375" s="12">
        <f ca="1">IFERROR(__xludf.DUMMYFUNCTION("""COMPUTED_VALUE"""),37547)</f>
        <v>37547</v>
      </c>
      <c r="F375" s="12">
        <f ca="1">IFERROR(__xludf.DUMMYFUNCTION("""COMPUTED_VALUE"""),5838)</f>
        <v>5838</v>
      </c>
      <c r="G375" s="12">
        <f ca="1">IFERROR(__xludf.DUMMYFUNCTION("""COMPUTED_VALUE"""),338931)</f>
        <v>338931</v>
      </c>
      <c r="H375" s="12">
        <f ca="1">IFERROR(__xludf.DUMMYFUNCTION("""COMPUTED_VALUE"""),4494)</f>
        <v>4494</v>
      </c>
      <c r="I375" s="12">
        <f ca="1">IFERROR(__xludf.DUMMYFUNCTION("""COMPUTED_VALUE"""),2945)</f>
        <v>2945</v>
      </c>
      <c r="J375" s="12">
        <f ca="1">IFERROR(__xludf.DUMMYFUNCTION("""COMPUTED_VALUE"""),352208)</f>
        <v>352208</v>
      </c>
      <c r="K375" s="12">
        <f ca="1">IFERROR(__xludf.DUMMYFUNCTION("""COMPUTED_VALUE"""),7439)</f>
        <v>7439</v>
      </c>
      <c r="L375" s="12">
        <f ca="1">IFERROR(__xludf.DUMMYFUNCTION("""COMPUTED_VALUE"""),6894)</f>
        <v>6894</v>
      </c>
      <c r="M375" s="12">
        <f ca="1">IFERROR(__xludf.DUMMYFUNCTION("""COMPUTED_VALUE"""),-2112)</f>
        <v>-2112</v>
      </c>
      <c r="N375" s="12">
        <f ca="1">IFERROR(__xludf.DUMMYFUNCTION("""COMPUTED_VALUE"""),8725)</f>
        <v>8725</v>
      </c>
      <c r="O375" s="12">
        <f ca="1">IFERROR(__xludf.DUMMYFUNCTION("""COMPUTED_VALUE"""),281)</f>
        <v>281</v>
      </c>
      <c r="P375" s="12">
        <f ca="1">IFERROR(__xludf.DUMMYFUNCTION("""COMPUTED_VALUE"""),48)</f>
        <v>48</v>
      </c>
      <c r="Q375" s="12">
        <f ca="1">IFERROR(__xludf.DUMMYFUNCTION("""COMPUTED_VALUE"""),1505)</f>
        <v>1505</v>
      </c>
      <c r="R375" s="12">
        <f ca="1">IFERROR(__xludf.DUMMYFUNCTION("""COMPUTED_VALUE"""),300)</f>
        <v>300</v>
      </c>
      <c r="S375" s="12">
        <f ca="1">IFERROR(__xludf.DUMMYFUNCTION("""COMPUTED_VALUE"""),-70)</f>
        <v>-70</v>
      </c>
      <c r="T375" s="12">
        <f ca="1">IFERROR(__xludf.DUMMYFUNCTION("""COMPUTED_VALUE"""),1783)</f>
        <v>1783</v>
      </c>
      <c r="U375" s="12">
        <f ca="1">IFERROR(__xludf.DUMMYFUNCTION("""COMPUTED_VALUE"""),230)</f>
        <v>230</v>
      </c>
    </row>
    <row r="376" spans="1:21" x14ac:dyDescent="0.25">
      <c r="A376" s="11">
        <f ca="1">IFERROR(__xludf.DUMMYFUNCTION("""COMPUTED_VALUE"""),44264)</f>
        <v>44264</v>
      </c>
      <c r="B376" s="12">
        <f ca="1">IFERROR(__xludf.DUMMYFUNCTION("""COMPUTED_VALUE"""),1392945)</f>
        <v>1392945</v>
      </c>
      <c r="C376" s="12">
        <f ca="1">IFERROR(__xludf.DUMMYFUNCTION("""COMPUTED_VALUE"""),144311)</f>
        <v>144311</v>
      </c>
      <c r="D376" s="12">
        <f ca="1">IFERROR(__xludf.DUMMYFUNCTION("""COMPUTED_VALUE"""),1210877)</f>
        <v>1210877</v>
      </c>
      <c r="E376" s="12">
        <f ca="1">IFERROR(__xludf.DUMMYFUNCTION("""COMPUTED_VALUE"""),37757)</f>
        <v>37757</v>
      </c>
      <c r="F376" s="12">
        <f ca="1">IFERROR(__xludf.DUMMYFUNCTION("""COMPUTED_VALUE"""),5883)</f>
        <v>5883</v>
      </c>
      <c r="G376" s="12">
        <f ca="1">IFERROR(__xludf.DUMMYFUNCTION("""COMPUTED_VALUE"""),340587)</f>
        <v>340587</v>
      </c>
      <c r="H376" s="12">
        <f ca="1">IFERROR(__xludf.DUMMYFUNCTION("""COMPUTED_VALUE"""),3856)</f>
        <v>3856</v>
      </c>
      <c r="I376" s="12">
        <f ca="1">IFERROR(__xludf.DUMMYFUNCTION("""COMPUTED_VALUE"""),2749)</f>
        <v>2749</v>
      </c>
      <c r="J376" s="12">
        <f ca="1">IFERROR(__xludf.DUMMYFUNCTION("""COMPUTED_VALUE"""),353075)</f>
        <v>353075</v>
      </c>
      <c r="K376" s="12">
        <f ca="1">IFERROR(__xludf.DUMMYFUNCTION("""COMPUTED_VALUE"""),6605)</f>
        <v>6605</v>
      </c>
      <c r="L376" s="12">
        <f ca="1">IFERROR(__xludf.DUMMYFUNCTION("""COMPUTED_VALUE"""),6389)</f>
        <v>6389</v>
      </c>
      <c r="M376" s="12">
        <f ca="1">IFERROR(__xludf.DUMMYFUNCTION("""COMPUTED_VALUE"""),-1317)</f>
        <v>-1317</v>
      </c>
      <c r="N376" s="12">
        <f ca="1">IFERROR(__xludf.DUMMYFUNCTION("""COMPUTED_VALUE"""),7496)</f>
        <v>7496</v>
      </c>
      <c r="O376" s="12">
        <f ca="1">IFERROR(__xludf.DUMMYFUNCTION("""COMPUTED_VALUE"""),210)</f>
        <v>210</v>
      </c>
      <c r="P376" s="12">
        <f ca="1">IFERROR(__xludf.DUMMYFUNCTION("""COMPUTED_VALUE"""),45)</f>
        <v>45</v>
      </c>
      <c r="Q376" s="12">
        <f ca="1">IFERROR(__xludf.DUMMYFUNCTION("""COMPUTED_VALUE"""),1656)</f>
        <v>1656</v>
      </c>
      <c r="R376" s="12">
        <f ca="1">IFERROR(__xludf.DUMMYFUNCTION("""COMPUTED_VALUE"""),-638)</f>
        <v>-638</v>
      </c>
      <c r="S376" s="12">
        <f ca="1">IFERROR(__xludf.DUMMYFUNCTION("""COMPUTED_VALUE"""),-196)</f>
        <v>-196</v>
      </c>
      <c r="T376" s="12">
        <f ca="1">IFERROR(__xludf.DUMMYFUNCTION("""COMPUTED_VALUE"""),867)</f>
        <v>867</v>
      </c>
      <c r="U376" s="12">
        <f ca="1">IFERROR(__xludf.DUMMYFUNCTION("""COMPUTED_VALUE"""),-834)</f>
        <v>-834</v>
      </c>
    </row>
    <row r="377" spans="1:21" x14ac:dyDescent="0.25">
      <c r="A377" s="11">
        <f ca="1">IFERROR(__xludf.DUMMYFUNCTION("""COMPUTED_VALUE"""),44265)</f>
        <v>44265</v>
      </c>
      <c r="B377" s="12">
        <f ca="1">IFERROR(__xludf.DUMMYFUNCTION("""COMPUTED_VALUE"""),1398578)</f>
        <v>1398578</v>
      </c>
      <c r="C377" s="12">
        <f ca="1">IFERROR(__xludf.DUMMYFUNCTION("""COMPUTED_VALUE"""),144213)</f>
        <v>144213</v>
      </c>
      <c r="D377" s="12">
        <f ca="1">IFERROR(__xludf.DUMMYFUNCTION("""COMPUTED_VALUE"""),1216433)</f>
        <v>1216433</v>
      </c>
      <c r="E377" s="12">
        <f ca="1">IFERROR(__xludf.DUMMYFUNCTION("""COMPUTED_VALUE"""),37932)</f>
        <v>37932</v>
      </c>
      <c r="F377" s="12">
        <f ca="1">IFERROR(__xludf.DUMMYFUNCTION("""COMPUTED_VALUE"""),5923)</f>
        <v>5923</v>
      </c>
      <c r="G377" s="12">
        <f ca="1">IFERROR(__xludf.DUMMYFUNCTION("""COMPUTED_VALUE"""),341398)</f>
        <v>341398</v>
      </c>
      <c r="H377" s="12">
        <f ca="1">IFERROR(__xludf.DUMMYFUNCTION("""COMPUTED_VALUE"""),3691)</f>
        <v>3691</v>
      </c>
      <c r="I377" s="12">
        <f ca="1">IFERROR(__xludf.DUMMYFUNCTION("""COMPUTED_VALUE"""),3103)</f>
        <v>3103</v>
      </c>
      <c r="J377" s="12">
        <f ca="1">IFERROR(__xludf.DUMMYFUNCTION("""COMPUTED_VALUE"""),354115)</f>
        <v>354115</v>
      </c>
      <c r="K377" s="12">
        <f ca="1">IFERROR(__xludf.DUMMYFUNCTION("""COMPUTED_VALUE"""),6794)</f>
        <v>6794</v>
      </c>
      <c r="L377" s="12">
        <f ca="1">IFERROR(__xludf.DUMMYFUNCTION("""COMPUTED_VALUE"""),5633)</f>
        <v>5633</v>
      </c>
      <c r="M377" s="12">
        <f ca="1">IFERROR(__xludf.DUMMYFUNCTION("""COMPUTED_VALUE"""),-98)</f>
        <v>-98</v>
      </c>
      <c r="N377" s="12">
        <f ca="1">IFERROR(__xludf.DUMMYFUNCTION("""COMPUTED_VALUE"""),5556)</f>
        <v>5556</v>
      </c>
      <c r="O377" s="12">
        <f ca="1">IFERROR(__xludf.DUMMYFUNCTION("""COMPUTED_VALUE"""),175)</f>
        <v>175</v>
      </c>
      <c r="P377" s="12">
        <f ca="1">IFERROR(__xludf.DUMMYFUNCTION("""COMPUTED_VALUE"""),40)</f>
        <v>40</v>
      </c>
      <c r="Q377" s="12">
        <f ca="1">IFERROR(__xludf.DUMMYFUNCTION("""COMPUTED_VALUE"""),811)</f>
        <v>811</v>
      </c>
      <c r="R377" s="12">
        <f ca="1">IFERROR(__xludf.DUMMYFUNCTION("""COMPUTED_VALUE"""),-165)</f>
        <v>-165</v>
      </c>
      <c r="S377" s="12">
        <f ca="1">IFERROR(__xludf.DUMMYFUNCTION("""COMPUTED_VALUE"""),354)</f>
        <v>354</v>
      </c>
      <c r="T377" s="12">
        <f ca="1">IFERROR(__xludf.DUMMYFUNCTION("""COMPUTED_VALUE"""),1040)</f>
        <v>1040</v>
      </c>
      <c r="U377" s="12">
        <f ca="1">IFERROR(__xludf.DUMMYFUNCTION("""COMPUTED_VALUE"""),189)</f>
        <v>189</v>
      </c>
    </row>
    <row r="378" spans="1:21" x14ac:dyDescent="0.25">
      <c r="A378" s="11">
        <f ca="1">IFERROR(__xludf.DUMMYFUNCTION("""COMPUTED_VALUE"""),44266)</f>
        <v>44266</v>
      </c>
      <c r="B378" s="12">
        <f ca="1">IFERROR(__xludf.DUMMYFUNCTION("""COMPUTED_VALUE"""),1403722)</f>
        <v>1403722</v>
      </c>
      <c r="C378" s="12">
        <f ca="1">IFERROR(__xludf.DUMMYFUNCTION("""COMPUTED_VALUE"""),141070)</f>
        <v>141070</v>
      </c>
      <c r="D378" s="12">
        <f ca="1">IFERROR(__xludf.DUMMYFUNCTION("""COMPUTED_VALUE"""),1224603)</f>
        <v>1224603</v>
      </c>
      <c r="E378" s="12">
        <f ca="1">IFERROR(__xludf.DUMMYFUNCTION("""COMPUTED_VALUE"""),38049)</f>
        <v>38049</v>
      </c>
      <c r="F378" s="12">
        <f ca="1">IFERROR(__xludf.DUMMYFUNCTION("""COMPUTED_VALUE"""),5943)</f>
        <v>5943</v>
      </c>
      <c r="G378" s="12">
        <f ca="1">IFERROR(__xludf.DUMMYFUNCTION("""COMPUTED_VALUE"""),342306)</f>
        <v>342306</v>
      </c>
      <c r="H378" s="12">
        <f ca="1">IFERROR(__xludf.DUMMYFUNCTION("""COMPUTED_VALUE"""),4253)</f>
        <v>4253</v>
      </c>
      <c r="I378" s="12">
        <f ca="1">IFERROR(__xludf.DUMMYFUNCTION("""COMPUTED_VALUE"""),3367)</f>
        <v>3367</v>
      </c>
      <c r="J378" s="12">
        <f ca="1">IFERROR(__xludf.DUMMYFUNCTION("""COMPUTED_VALUE"""),355869)</f>
        <v>355869</v>
      </c>
      <c r="K378" s="12">
        <f ca="1">IFERROR(__xludf.DUMMYFUNCTION("""COMPUTED_VALUE"""),7620)</f>
        <v>7620</v>
      </c>
      <c r="L378" s="12">
        <f ca="1">IFERROR(__xludf.DUMMYFUNCTION("""COMPUTED_VALUE"""),5144)</f>
        <v>5144</v>
      </c>
      <c r="M378" s="12">
        <f ca="1">IFERROR(__xludf.DUMMYFUNCTION("""COMPUTED_VALUE"""),-3143)</f>
        <v>-3143</v>
      </c>
      <c r="N378" s="12">
        <f ca="1">IFERROR(__xludf.DUMMYFUNCTION("""COMPUTED_VALUE"""),8170)</f>
        <v>8170</v>
      </c>
      <c r="O378" s="12">
        <f ca="1">IFERROR(__xludf.DUMMYFUNCTION("""COMPUTED_VALUE"""),117)</f>
        <v>117</v>
      </c>
      <c r="P378" s="12">
        <f ca="1">IFERROR(__xludf.DUMMYFUNCTION("""COMPUTED_VALUE"""),20)</f>
        <v>20</v>
      </c>
      <c r="Q378" s="12">
        <f ca="1">IFERROR(__xludf.DUMMYFUNCTION("""COMPUTED_VALUE"""),908)</f>
        <v>908</v>
      </c>
      <c r="R378" s="12">
        <f ca="1">IFERROR(__xludf.DUMMYFUNCTION("""COMPUTED_VALUE"""),562)</f>
        <v>562</v>
      </c>
      <c r="S378" s="12">
        <f ca="1">IFERROR(__xludf.DUMMYFUNCTION("""COMPUTED_VALUE"""),264)</f>
        <v>264</v>
      </c>
      <c r="T378" s="12">
        <f ca="1">IFERROR(__xludf.DUMMYFUNCTION("""COMPUTED_VALUE"""),1754)</f>
        <v>1754</v>
      </c>
      <c r="U378" s="12">
        <f ca="1">IFERROR(__xludf.DUMMYFUNCTION("""COMPUTED_VALUE"""),826)</f>
        <v>826</v>
      </c>
    </row>
    <row r="379" spans="1:21" x14ac:dyDescent="0.25">
      <c r="A379" s="11">
        <f ca="1">IFERROR(__xludf.DUMMYFUNCTION("""COMPUTED_VALUE"""),44267)</f>
        <v>44267</v>
      </c>
      <c r="B379" s="12">
        <f ca="1">IFERROR(__xludf.DUMMYFUNCTION("""COMPUTED_VALUE"""),1410134)</f>
        <v>1410134</v>
      </c>
      <c r="C379" s="12">
        <f ca="1">IFERROR(__xludf.DUMMYFUNCTION("""COMPUTED_VALUE"""),140451)</f>
        <v>140451</v>
      </c>
      <c r="D379" s="12">
        <f ca="1">IFERROR(__xludf.DUMMYFUNCTION("""COMPUTED_VALUE"""),1231454)</f>
        <v>1231454</v>
      </c>
      <c r="E379" s="12">
        <f ca="1">IFERROR(__xludf.DUMMYFUNCTION("""COMPUTED_VALUE"""),38229)</f>
        <v>38229</v>
      </c>
      <c r="F379" s="12">
        <f ca="1">IFERROR(__xludf.DUMMYFUNCTION("""COMPUTED_VALUE"""),5969)</f>
        <v>5969</v>
      </c>
      <c r="G379" s="12">
        <f ca="1">IFERROR(__xludf.DUMMYFUNCTION("""COMPUTED_VALUE"""),343351)</f>
        <v>343351</v>
      </c>
      <c r="H379" s="12">
        <f ca="1">IFERROR(__xludf.DUMMYFUNCTION("""COMPUTED_VALUE"""),4670)</f>
        <v>4670</v>
      </c>
      <c r="I379" s="12">
        <f ca="1">IFERROR(__xludf.DUMMYFUNCTION("""COMPUTED_VALUE"""),3752)</f>
        <v>3752</v>
      </c>
      <c r="J379" s="12">
        <f ca="1">IFERROR(__xludf.DUMMYFUNCTION("""COMPUTED_VALUE"""),357742)</f>
        <v>357742</v>
      </c>
      <c r="K379" s="12">
        <f ca="1">IFERROR(__xludf.DUMMYFUNCTION("""COMPUTED_VALUE"""),8422)</f>
        <v>8422</v>
      </c>
      <c r="L379" s="12">
        <f ca="1">IFERROR(__xludf.DUMMYFUNCTION("""COMPUTED_VALUE"""),6412)</f>
        <v>6412</v>
      </c>
      <c r="M379" s="12">
        <f ca="1">IFERROR(__xludf.DUMMYFUNCTION("""COMPUTED_VALUE"""),-619)</f>
        <v>-619</v>
      </c>
      <c r="N379" s="12">
        <f ca="1">IFERROR(__xludf.DUMMYFUNCTION("""COMPUTED_VALUE"""),6851)</f>
        <v>6851</v>
      </c>
      <c r="O379" s="12">
        <f ca="1">IFERROR(__xludf.DUMMYFUNCTION("""COMPUTED_VALUE"""),180)</f>
        <v>180</v>
      </c>
      <c r="P379" s="12">
        <f ca="1">IFERROR(__xludf.DUMMYFUNCTION("""COMPUTED_VALUE"""),26)</f>
        <v>26</v>
      </c>
      <c r="Q379" s="12">
        <f ca="1">IFERROR(__xludf.DUMMYFUNCTION("""COMPUTED_VALUE"""),1045)</f>
        <v>1045</v>
      </c>
      <c r="R379" s="12">
        <f ca="1">IFERROR(__xludf.DUMMYFUNCTION("""COMPUTED_VALUE"""),417)</f>
        <v>417</v>
      </c>
      <c r="S379" s="12">
        <f ca="1">IFERROR(__xludf.DUMMYFUNCTION("""COMPUTED_VALUE"""),385)</f>
        <v>385</v>
      </c>
      <c r="T379" s="12">
        <f ca="1">IFERROR(__xludf.DUMMYFUNCTION("""COMPUTED_VALUE"""),1873)</f>
        <v>1873</v>
      </c>
      <c r="U379" s="12">
        <f ca="1">IFERROR(__xludf.DUMMYFUNCTION("""COMPUTED_VALUE"""),802)</f>
        <v>802</v>
      </c>
    </row>
    <row r="380" spans="1:21" x14ac:dyDescent="0.25">
      <c r="A380" s="11">
        <f ca="1">IFERROR(__xludf.DUMMYFUNCTION("""COMPUTED_VALUE"""),44268)</f>
        <v>44268</v>
      </c>
      <c r="B380" s="12">
        <f ca="1">IFERROR(__xludf.DUMMYFUNCTION("""COMPUTED_VALUE"""),1414741)</f>
        <v>1414741</v>
      </c>
      <c r="C380" s="12">
        <f ca="1">IFERROR(__xludf.DUMMYFUNCTION("""COMPUTED_VALUE"""),138942)</f>
        <v>138942</v>
      </c>
      <c r="D380" s="12">
        <f ca="1">IFERROR(__xludf.DUMMYFUNCTION("""COMPUTED_VALUE"""),1237470)</f>
        <v>1237470</v>
      </c>
      <c r="E380" s="12">
        <f ca="1">IFERROR(__xludf.DUMMYFUNCTION("""COMPUTED_VALUE"""),38329)</f>
        <v>38329</v>
      </c>
      <c r="F380" s="12">
        <f ca="1">IFERROR(__xludf.DUMMYFUNCTION("""COMPUTED_VALUE"""),5991)</f>
        <v>5991</v>
      </c>
      <c r="G380" s="12">
        <f ca="1">IFERROR(__xludf.DUMMYFUNCTION("""COMPUTED_VALUE"""),345202)</f>
        <v>345202</v>
      </c>
      <c r="H380" s="12">
        <f ca="1">IFERROR(__xludf.DUMMYFUNCTION("""COMPUTED_VALUE"""),4226)</f>
        <v>4226</v>
      </c>
      <c r="I380" s="12">
        <f ca="1">IFERROR(__xludf.DUMMYFUNCTION("""COMPUTED_VALUE"""),3357)</f>
        <v>3357</v>
      </c>
      <c r="J380" s="12">
        <f ca="1">IFERROR(__xludf.DUMMYFUNCTION("""COMPUTED_VALUE"""),358776)</f>
        <v>358776</v>
      </c>
      <c r="K380" s="12">
        <f ca="1">IFERROR(__xludf.DUMMYFUNCTION("""COMPUTED_VALUE"""),7583)</f>
        <v>7583</v>
      </c>
      <c r="L380" s="12">
        <f ca="1">IFERROR(__xludf.DUMMYFUNCTION("""COMPUTED_VALUE"""),4607)</f>
        <v>4607</v>
      </c>
      <c r="M380" s="12">
        <f ca="1">IFERROR(__xludf.DUMMYFUNCTION("""COMPUTED_VALUE"""),-1509)</f>
        <v>-1509</v>
      </c>
      <c r="N380" s="12">
        <f ca="1">IFERROR(__xludf.DUMMYFUNCTION("""COMPUTED_VALUE"""),6016)</f>
        <v>6016</v>
      </c>
      <c r="O380" s="12">
        <f ca="1">IFERROR(__xludf.DUMMYFUNCTION("""COMPUTED_VALUE"""),100)</f>
        <v>100</v>
      </c>
      <c r="P380" s="12">
        <f ca="1">IFERROR(__xludf.DUMMYFUNCTION("""COMPUTED_VALUE"""),22)</f>
        <v>22</v>
      </c>
      <c r="Q380" s="12">
        <f ca="1">IFERROR(__xludf.DUMMYFUNCTION("""COMPUTED_VALUE"""),1851)</f>
        <v>1851</v>
      </c>
      <c r="R380" s="12">
        <f ca="1">IFERROR(__xludf.DUMMYFUNCTION("""COMPUTED_VALUE"""),-444)</f>
        <v>-444</v>
      </c>
      <c r="S380" s="12">
        <f ca="1">IFERROR(__xludf.DUMMYFUNCTION("""COMPUTED_VALUE"""),-395)</f>
        <v>-395</v>
      </c>
      <c r="T380" s="12">
        <f ca="1">IFERROR(__xludf.DUMMYFUNCTION("""COMPUTED_VALUE"""),1034)</f>
        <v>1034</v>
      </c>
      <c r="U380" s="12">
        <f ca="1">IFERROR(__xludf.DUMMYFUNCTION("""COMPUTED_VALUE"""),-839)</f>
        <v>-839</v>
      </c>
    </row>
    <row r="381" spans="1:21" x14ac:dyDescent="0.25">
      <c r="A381" s="11">
        <f ca="1">IFERROR(__xludf.DUMMYFUNCTION("""COMPUTED_VALUE"""),44269)</f>
        <v>44269</v>
      </c>
      <c r="B381" s="12">
        <f ca="1">IFERROR(__xludf.DUMMYFUNCTION("""COMPUTED_VALUE"""),1419455)</f>
        <v>1419455</v>
      </c>
      <c r="C381" s="12">
        <f ca="1">IFERROR(__xludf.DUMMYFUNCTION("""COMPUTED_VALUE"""),137912)</f>
        <v>137912</v>
      </c>
      <c r="D381" s="12">
        <f ca="1">IFERROR(__xludf.DUMMYFUNCTION("""COMPUTED_VALUE"""),1243117)</f>
        <v>1243117</v>
      </c>
      <c r="E381" s="12">
        <f ca="1">IFERROR(__xludf.DUMMYFUNCTION("""COMPUTED_VALUE"""),38426)</f>
        <v>38426</v>
      </c>
      <c r="F381" s="12">
        <f ca="1">IFERROR(__xludf.DUMMYFUNCTION("""COMPUTED_VALUE"""),6026)</f>
        <v>6026</v>
      </c>
      <c r="G381" s="12">
        <f ca="1">IFERROR(__xludf.DUMMYFUNCTION("""COMPUTED_VALUE"""),347210)</f>
        <v>347210</v>
      </c>
      <c r="H381" s="12">
        <f ca="1">IFERROR(__xludf.DUMMYFUNCTION("""COMPUTED_VALUE"""),3443)</f>
        <v>3443</v>
      </c>
      <c r="I381" s="12">
        <f ca="1">IFERROR(__xludf.DUMMYFUNCTION("""COMPUTED_VALUE"""),3301)</f>
        <v>3301</v>
      </c>
      <c r="J381" s="12">
        <f ca="1">IFERROR(__xludf.DUMMYFUNCTION("""COMPUTED_VALUE"""),359980)</f>
        <v>359980</v>
      </c>
      <c r="K381" s="12">
        <f ca="1">IFERROR(__xludf.DUMMYFUNCTION("""COMPUTED_VALUE"""),6744)</f>
        <v>6744</v>
      </c>
      <c r="L381" s="12">
        <f ca="1">IFERROR(__xludf.DUMMYFUNCTION("""COMPUTED_VALUE"""),4714)</f>
        <v>4714</v>
      </c>
      <c r="M381" s="12">
        <f ca="1">IFERROR(__xludf.DUMMYFUNCTION("""COMPUTED_VALUE"""),-1030)</f>
        <v>-1030</v>
      </c>
      <c r="N381" s="12">
        <f ca="1">IFERROR(__xludf.DUMMYFUNCTION("""COMPUTED_VALUE"""),5647)</f>
        <v>5647</v>
      </c>
      <c r="O381" s="12">
        <f ca="1">IFERROR(__xludf.DUMMYFUNCTION("""COMPUTED_VALUE"""),97)</f>
        <v>97</v>
      </c>
      <c r="P381" s="12">
        <f ca="1">IFERROR(__xludf.DUMMYFUNCTION("""COMPUTED_VALUE"""),35)</f>
        <v>35</v>
      </c>
      <c r="Q381" s="12">
        <f ca="1">IFERROR(__xludf.DUMMYFUNCTION("""COMPUTED_VALUE"""),2008)</f>
        <v>2008</v>
      </c>
      <c r="R381" s="12">
        <f ca="1">IFERROR(__xludf.DUMMYFUNCTION("""COMPUTED_VALUE"""),-783)</f>
        <v>-783</v>
      </c>
      <c r="S381" s="12">
        <f ca="1">IFERROR(__xludf.DUMMYFUNCTION("""COMPUTED_VALUE"""),-56)</f>
        <v>-56</v>
      </c>
      <c r="T381" s="12">
        <f ca="1">IFERROR(__xludf.DUMMYFUNCTION("""COMPUTED_VALUE"""),1204)</f>
        <v>1204</v>
      </c>
      <c r="U381" s="12">
        <f ca="1">IFERROR(__xludf.DUMMYFUNCTION("""COMPUTED_VALUE"""),-839)</f>
        <v>-839</v>
      </c>
    </row>
    <row r="382" spans="1:21" x14ac:dyDescent="0.25">
      <c r="A382" s="11">
        <f ca="1">IFERROR(__xludf.DUMMYFUNCTION("""COMPUTED_VALUE"""),44270)</f>
        <v>44270</v>
      </c>
      <c r="B382" s="12">
        <f ca="1">IFERROR(__xludf.DUMMYFUNCTION("""COMPUTED_VALUE"""),1425044)</f>
        <v>1425044</v>
      </c>
      <c r="C382" s="12">
        <f ca="1">IFERROR(__xludf.DUMMYFUNCTION("""COMPUTED_VALUE"""),136524)</f>
        <v>136524</v>
      </c>
      <c r="D382" s="12">
        <f ca="1">IFERROR(__xludf.DUMMYFUNCTION("""COMPUTED_VALUE"""),1249947)</f>
        <v>1249947</v>
      </c>
      <c r="E382" s="12">
        <f ca="1">IFERROR(__xludf.DUMMYFUNCTION("""COMPUTED_VALUE"""),38573)</f>
        <v>38573</v>
      </c>
      <c r="F382" s="12">
        <f ca="1">IFERROR(__xludf.DUMMYFUNCTION("""COMPUTED_VALUE"""),6038)</f>
        <v>6038</v>
      </c>
      <c r="G382" s="12">
        <f ca="1">IFERROR(__xludf.DUMMYFUNCTION("""COMPUTED_VALUE"""),349002)</f>
        <v>349002</v>
      </c>
      <c r="H382" s="12">
        <f ca="1">IFERROR(__xludf.DUMMYFUNCTION("""COMPUTED_VALUE"""),3485)</f>
        <v>3485</v>
      </c>
      <c r="I382" s="12">
        <f ca="1">IFERROR(__xludf.DUMMYFUNCTION("""COMPUTED_VALUE"""),3010)</f>
        <v>3010</v>
      </c>
      <c r="J382" s="12">
        <f ca="1">IFERROR(__xludf.DUMMYFUNCTION("""COMPUTED_VALUE"""),361535)</f>
        <v>361535</v>
      </c>
      <c r="K382" s="12">
        <f ca="1">IFERROR(__xludf.DUMMYFUNCTION("""COMPUTED_VALUE"""),6495)</f>
        <v>6495</v>
      </c>
      <c r="L382" s="12">
        <f ca="1">IFERROR(__xludf.DUMMYFUNCTION("""COMPUTED_VALUE"""),5589)</f>
        <v>5589</v>
      </c>
      <c r="M382" s="12">
        <f ca="1">IFERROR(__xludf.DUMMYFUNCTION("""COMPUTED_VALUE"""),-1388)</f>
        <v>-1388</v>
      </c>
      <c r="N382" s="12">
        <f ca="1">IFERROR(__xludf.DUMMYFUNCTION("""COMPUTED_VALUE"""),6830)</f>
        <v>6830</v>
      </c>
      <c r="O382" s="12">
        <f ca="1">IFERROR(__xludf.DUMMYFUNCTION("""COMPUTED_VALUE"""),147)</f>
        <v>147</v>
      </c>
      <c r="P382" s="12">
        <f ca="1">IFERROR(__xludf.DUMMYFUNCTION("""COMPUTED_VALUE"""),12)</f>
        <v>12</v>
      </c>
      <c r="Q382" s="12">
        <f ca="1">IFERROR(__xludf.DUMMYFUNCTION("""COMPUTED_VALUE"""),1792)</f>
        <v>1792</v>
      </c>
      <c r="R382" s="12">
        <f ca="1">IFERROR(__xludf.DUMMYFUNCTION("""COMPUTED_VALUE"""),42)</f>
        <v>42</v>
      </c>
      <c r="S382" s="12">
        <f ca="1">IFERROR(__xludf.DUMMYFUNCTION("""COMPUTED_VALUE"""),-291)</f>
        <v>-291</v>
      </c>
      <c r="T382" s="12">
        <f ca="1">IFERROR(__xludf.DUMMYFUNCTION("""COMPUTED_VALUE"""),1555)</f>
        <v>1555</v>
      </c>
      <c r="U382" s="12">
        <f ca="1">IFERROR(__xludf.DUMMYFUNCTION("""COMPUTED_VALUE"""),-249)</f>
        <v>-249</v>
      </c>
    </row>
    <row r="383" spans="1:21" x14ac:dyDescent="0.25">
      <c r="A383" s="11">
        <f ca="1">IFERROR(__xludf.DUMMYFUNCTION("""COMPUTED_VALUE"""),44271)</f>
        <v>44271</v>
      </c>
      <c r="B383" s="12">
        <f ca="1">IFERROR(__xludf.DUMMYFUNCTION("""COMPUTED_VALUE"""),1430458)</f>
        <v>1430458</v>
      </c>
      <c r="C383" s="12">
        <f ca="1">IFERROR(__xludf.DUMMYFUNCTION("""COMPUTED_VALUE"""),134042)</f>
        <v>134042</v>
      </c>
      <c r="D383" s="12">
        <f ca="1">IFERROR(__xludf.DUMMYFUNCTION("""COMPUTED_VALUE"""),1257663)</f>
        <v>1257663</v>
      </c>
      <c r="E383" s="12">
        <f ca="1">IFERROR(__xludf.DUMMYFUNCTION("""COMPUTED_VALUE"""),38753)</f>
        <v>38753</v>
      </c>
      <c r="F383" s="12">
        <f ca="1">IFERROR(__xludf.DUMMYFUNCTION("""COMPUTED_VALUE"""),6062)</f>
        <v>6062</v>
      </c>
      <c r="G383" s="12">
        <f ca="1">IFERROR(__xludf.DUMMYFUNCTION("""COMPUTED_VALUE"""),350561)</f>
        <v>350561</v>
      </c>
      <c r="H383" s="12">
        <f ca="1">IFERROR(__xludf.DUMMYFUNCTION("""COMPUTED_VALUE"""),2996)</f>
        <v>2996</v>
      </c>
      <c r="I383" s="12">
        <f ca="1">IFERROR(__xludf.DUMMYFUNCTION("""COMPUTED_VALUE"""),2751)</f>
        <v>2751</v>
      </c>
      <c r="J383" s="12">
        <f ca="1">IFERROR(__xludf.DUMMYFUNCTION("""COMPUTED_VALUE"""),362370)</f>
        <v>362370</v>
      </c>
      <c r="K383" s="12">
        <f ca="1">IFERROR(__xludf.DUMMYFUNCTION("""COMPUTED_VALUE"""),5747)</f>
        <v>5747</v>
      </c>
      <c r="L383" s="12">
        <f ca="1">IFERROR(__xludf.DUMMYFUNCTION("""COMPUTED_VALUE"""),5414)</f>
        <v>5414</v>
      </c>
      <c r="M383" s="12">
        <f ca="1">IFERROR(__xludf.DUMMYFUNCTION("""COMPUTED_VALUE"""),-2482)</f>
        <v>-2482</v>
      </c>
      <c r="N383" s="12">
        <f ca="1">IFERROR(__xludf.DUMMYFUNCTION("""COMPUTED_VALUE"""),7716)</f>
        <v>7716</v>
      </c>
      <c r="O383" s="12">
        <f ca="1">IFERROR(__xludf.DUMMYFUNCTION("""COMPUTED_VALUE"""),180)</f>
        <v>180</v>
      </c>
      <c r="P383" s="12">
        <f ca="1">IFERROR(__xludf.DUMMYFUNCTION("""COMPUTED_VALUE"""),24)</f>
        <v>24</v>
      </c>
      <c r="Q383" s="12">
        <f ca="1">IFERROR(__xludf.DUMMYFUNCTION("""COMPUTED_VALUE"""),1559)</f>
        <v>1559</v>
      </c>
      <c r="R383" s="12">
        <f ca="1">IFERROR(__xludf.DUMMYFUNCTION("""COMPUTED_VALUE"""),-489)</f>
        <v>-489</v>
      </c>
      <c r="S383" s="12">
        <f ca="1">IFERROR(__xludf.DUMMYFUNCTION("""COMPUTED_VALUE"""),-259)</f>
        <v>-259</v>
      </c>
      <c r="T383" s="12">
        <f ca="1">IFERROR(__xludf.DUMMYFUNCTION("""COMPUTED_VALUE"""),835)</f>
        <v>835</v>
      </c>
      <c r="U383" s="12">
        <f ca="1">IFERROR(__xludf.DUMMYFUNCTION("""COMPUTED_VALUE"""),-748)</f>
        <v>-748</v>
      </c>
    </row>
    <row r="384" spans="1:21" x14ac:dyDescent="0.25">
      <c r="A384" s="11">
        <f ca="1">IFERROR(__xludf.DUMMYFUNCTION("""COMPUTED_VALUE"""),44272)</f>
        <v>44272</v>
      </c>
      <c r="B384" s="12">
        <f ca="1">IFERROR(__xludf.DUMMYFUNCTION("""COMPUTED_VALUE"""),1437283)</f>
        <v>1437283</v>
      </c>
      <c r="C384" s="12">
        <f ca="1">IFERROR(__xludf.DUMMYFUNCTION("""COMPUTED_VALUE"""),131695)</f>
        <v>131695</v>
      </c>
      <c r="D384" s="12">
        <f ca="1">IFERROR(__xludf.DUMMYFUNCTION("""COMPUTED_VALUE"""),1266673)</f>
        <v>1266673</v>
      </c>
      <c r="E384" s="12">
        <f ca="1">IFERROR(__xludf.DUMMYFUNCTION("""COMPUTED_VALUE"""),38915)</f>
        <v>38915</v>
      </c>
      <c r="F384" s="12">
        <f ca="1">IFERROR(__xludf.DUMMYFUNCTION("""COMPUTED_VALUE"""),6077)</f>
        <v>6077</v>
      </c>
      <c r="G384" s="12">
        <f ca="1">IFERROR(__xludf.DUMMYFUNCTION("""COMPUTED_VALUE"""),351680)</f>
        <v>351680</v>
      </c>
      <c r="H384" s="12">
        <f ca="1">IFERROR(__xludf.DUMMYFUNCTION("""COMPUTED_VALUE"""),2907)</f>
        <v>2907</v>
      </c>
      <c r="I384" s="12">
        <f ca="1">IFERROR(__xludf.DUMMYFUNCTION("""COMPUTED_VALUE"""),3036)</f>
        <v>3036</v>
      </c>
      <c r="J384" s="12">
        <f ca="1">IFERROR(__xludf.DUMMYFUNCTION("""COMPUTED_VALUE"""),363700)</f>
        <v>363700</v>
      </c>
      <c r="K384" s="12">
        <f ca="1">IFERROR(__xludf.DUMMYFUNCTION("""COMPUTED_VALUE"""),5943)</f>
        <v>5943</v>
      </c>
      <c r="L384" s="12">
        <f ca="1">IFERROR(__xludf.DUMMYFUNCTION("""COMPUTED_VALUE"""),6825)</f>
        <v>6825</v>
      </c>
      <c r="M384" s="12">
        <f ca="1">IFERROR(__xludf.DUMMYFUNCTION("""COMPUTED_VALUE"""),-2347)</f>
        <v>-2347</v>
      </c>
      <c r="N384" s="12">
        <f ca="1">IFERROR(__xludf.DUMMYFUNCTION("""COMPUTED_VALUE"""),9010)</f>
        <v>9010</v>
      </c>
      <c r="O384" s="12">
        <f ca="1">IFERROR(__xludf.DUMMYFUNCTION("""COMPUTED_VALUE"""),162)</f>
        <v>162</v>
      </c>
      <c r="P384" s="12">
        <f ca="1">IFERROR(__xludf.DUMMYFUNCTION("""COMPUTED_VALUE"""),15)</f>
        <v>15</v>
      </c>
      <c r="Q384" s="12">
        <f ca="1">IFERROR(__xludf.DUMMYFUNCTION("""COMPUTED_VALUE"""),1119)</f>
        <v>1119</v>
      </c>
      <c r="R384" s="12">
        <f ca="1">IFERROR(__xludf.DUMMYFUNCTION("""COMPUTED_VALUE"""),-89)</f>
        <v>-89</v>
      </c>
      <c r="S384" s="12">
        <f ca="1">IFERROR(__xludf.DUMMYFUNCTION("""COMPUTED_VALUE"""),285)</f>
        <v>285</v>
      </c>
      <c r="T384" s="12">
        <f ca="1">IFERROR(__xludf.DUMMYFUNCTION("""COMPUTED_VALUE"""),1330)</f>
        <v>1330</v>
      </c>
      <c r="U384" s="12">
        <f ca="1">IFERROR(__xludf.DUMMYFUNCTION("""COMPUTED_VALUE"""),196)</f>
        <v>196</v>
      </c>
    </row>
    <row r="385" spans="1:21" x14ac:dyDescent="0.25">
      <c r="A385" s="11">
        <f ca="1">IFERROR(__xludf.DUMMYFUNCTION("""COMPUTED_VALUE"""),44273)</f>
        <v>44273</v>
      </c>
      <c r="B385" s="12">
        <f ca="1">IFERROR(__xludf.DUMMYFUNCTION("""COMPUTED_VALUE"""),1443853)</f>
        <v>1443853</v>
      </c>
      <c r="C385" s="12">
        <f ca="1">IFERROR(__xludf.DUMMYFUNCTION("""COMPUTED_VALUE"""),131753)</f>
        <v>131753</v>
      </c>
      <c r="D385" s="12">
        <f ca="1">IFERROR(__xludf.DUMMYFUNCTION("""COMPUTED_VALUE"""),1272958)</f>
        <v>1272958</v>
      </c>
      <c r="E385" s="12">
        <f ca="1">IFERROR(__xludf.DUMMYFUNCTION("""COMPUTED_VALUE"""),39142)</f>
        <v>39142</v>
      </c>
      <c r="F385" s="12">
        <f ca="1">IFERROR(__xludf.DUMMYFUNCTION("""COMPUTED_VALUE"""),6100)</f>
        <v>6100</v>
      </c>
      <c r="G385" s="12">
        <f ca="1">IFERROR(__xludf.DUMMYFUNCTION("""COMPUTED_VALUE"""),352827)</f>
        <v>352827</v>
      </c>
      <c r="H385" s="12">
        <f ca="1">IFERROR(__xludf.DUMMYFUNCTION("""COMPUTED_VALUE"""),3273)</f>
        <v>3273</v>
      </c>
      <c r="I385" s="12">
        <f ca="1">IFERROR(__xludf.DUMMYFUNCTION("""COMPUTED_VALUE"""),3219)</f>
        <v>3219</v>
      </c>
      <c r="J385" s="12">
        <f ca="1">IFERROR(__xludf.DUMMYFUNCTION("""COMPUTED_VALUE"""),365419)</f>
        <v>365419</v>
      </c>
      <c r="K385" s="12">
        <f ca="1">IFERROR(__xludf.DUMMYFUNCTION("""COMPUTED_VALUE"""),6492)</f>
        <v>6492</v>
      </c>
      <c r="L385" s="12">
        <f ca="1">IFERROR(__xludf.DUMMYFUNCTION("""COMPUTED_VALUE"""),6570)</f>
        <v>6570</v>
      </c>
      <c r="M385" s="12">
        <f ca="1">IFERROR(__xludf.DUMMYFUNCTION("""COMPUTED_VALUE"""),58)</f>
        <v>58</v>
      </c>
      <c r="N385" s="12">
        <f ca="1">IFERROR(__xludf.DUMMYFUNCTION("""COMPUTED_VALUE"""),6285)</f>
        <v>6285</v>
      </c>
      <c r="O385" s="12">
        <f ca="1">IFERROR(__xludf.DUMMYFUNCTION("""COMPUTED_VALUE"""),227)</f>
        <v>227</v>
      </c>
      <c r="P385" s="12">
        <f ca="1">IFERROR(__xludf.DUMMYFUNCTION("""COMPUTED_VALUE"""),23)</f>
        <v>23</v>
      </c>
      <c r="Q385" s="12">
        <f ca="1">IFERROR(__xludf.DUMMYFUNCTION("""COMPUTED_VALUE"""),1147)</f>
        <v>1147</v>
      </c>
      <c r="R385" s="12">
        <f ca="1">IFERROR(__xludf.DUMMYFUNCTION("""COMPUTED_VALUE"""),366)</f>
        <v>366</v>
      </c>
      <c r="S385" s="12">
        <f ca="1">IFERROR(__xludf.DUMMYFUNCTION("""COMPUTED_VALUE"""),183)</f>
        <v>183</v>
      </c>
      <c r="T385" s="12">
        <f ca="1">IFERROR(__xludf.DUMMYFUNCTION("""COMPUTED_VALUE"""),1719)</f>
        <v>1719</v>
      </c>
      <c r="U385" s="12">
        <f ca="1">IFERROR(__xludf.DUMMYFUNCTION("""COMPUTED_VALUE"""),549)</f>
        <v>549</v>
      </c>
    </row>
    <row r="386" spans="1:21" x14ac:dyDescent="0.25">
      <c r="A386" s="11">
        <f ca="1">IFERROR(__xludf.DUMMYFUNCTION("""COMPUTED_VALUE"""),44274)</f>
        <v>44274</v>
      </c>
      <c r="B386" s="12">
        <f ca="1">IFERROR(__xludf.DUMMYFUNCTION("""COMPUTED_VALUE"""),1450132)</f>
        <v>1450132</v>
      </c>
      <c r="C386" s="12">
        <f ca="1">IFERROR(__xludf.DUMMYFUNCTION("""COMPUTED_VALUE"""),131828)</f>
        <v>131828</v>
      </c>
      <c r="D386" s="12">
        <f ca="1">IFERROR(__xludf.DUMMYFUNCTION("""COMPUTED_VALUE"""),1278965)</f>
        <v>1278965</v>
      </c>
      <c r="E386" s="12">
        <f ca="1">IFERROR(__xludf.DUMMYFUNCTION("""COMPUTED_VALUE"""),39339)</f>
        <v>39339</v>
      </c>
      <c r="F386" s="12">
        <f ca="1">IFERROR(__xludf.DUMMYFUNCTION("""COMPUTED_VALUE"""),6120)</f>
        <v>6120</v>
      </c>
      <c r="G386" s="12">
        <f ca="1">IFERROR(__xludf.DUMMYFUNCTION("""COMPUTED_VALUE"""),354036)</f>
        <v>354036</v>
      </c>
      <c r="H386" s="12">
        <f ca="1">IFERROR(__xludf.DUMMYFUNCTION("""COMPUTED_VALUE"""),3483)</f>
        <v>3483</v>
      </c>
      <c r="I386" s="12">
        <f ca="1">IFERROR(__xludf.DUMMYFUNCTION("""COMPUTED_VALUE"""),3368)</f>
        <v>3368</v>
      </c>
      <c r="J386" s="12">
        <f ca="1">IFERROR(__xludf.DUMMYFUNCTION("""COMPUTED_VALUE"""),367007)</f>
        <v>367007</v>
      </c>
      <c r="K386" s="12">
        <f ca="1">IFERROR(__xludf.DUMMYFUNCTION("""COMPUTED_VALUE"""),6851)</f>
        <v>6851</v>
      </c>
      <c r="L386" s="12">
        <f ca="1">IFERROR(__xludf.DUMMYFUNCTION("""COMPUTED_VALUE"""),6279)</f>
        <v>6279</v>
      </c>
      <c r="M386" s="12">
        <f ca="1">IFERROR(__xludf.DUMMYFUNCTION("""COMPUTED_VALUE"""),75)</f>
        <v>75</v>
      </c>
      <c r="N386" s="12">
        <f ca="1">IFERROR(__xludf.DUMMYFUNCTION("""COMPUTED_VALUE"""),6007)</f>
        <v>6007</v>
      </c>
      <c r="O386" s="12">
        <f ca="1">IFERROR(__xludf.DUMMYFUNCTION("""COMPUTED_VALUE"""),197)</f>
        <v>197</v>
      </c>
      <c r="P386" s="12">
        <f ca="1">IFERROR(__xludf.DUMMYFUNCTION("""COMPUTED_VALUE"""),20)</f>
        <v>20</v>
      </c>
      <c r="Q386" s="12">
        <f ca="1">IFERROR(__xludf.DUMMYFUNCTION("""COMPUTED_VALUE"""),1209)</f>
        <v>1209</v>
      </c>
      <c r="R386" s="12">
        <f ca="1">IFERROR(__xludf.DUMMYFUNCTION("""COMPUTED_VALUE"""),210)</f>
        <v>210</v>
      </c>
      <c r="S386" s="12">
        <f ca="1">IFERROR(__xludf.DUMMYFUNCTION("""COMPUTED_VALUE"""),149)</f>
        <v>149</v>
      </c>
      <c r="T386" s="12">
        <f ca="1">IFERROR(__xludf.DUMMYFUNCTION("""COMPUTED_VALUE"""),1588)</f>
        <v>1588</v>
      </c>
      <c r="U386" s="12">
        <f ca="1">IFERROR(__xludf.DUMMYFUNCTION("""COMPUTED_VALUE"""),359)</f>
        <v>359</v>
      </c>
    </row>
    <row r="387" spans="1:21" x14ac:dyDescent="0.25">
      <c r="A387" s="11">
        <f ca="1">IFERROR(__xludf.DUMMYFUNCTION("""COMPUTED_VALUE"""),44275)</f>
        <v>44275</v>
      </c>
      <c r="B387" s="12">
        <f ca="1">IFERROR(__xludf.DUMMYFUNCTION("""COMPUTED_VALUE"""),1455788)</f>
        <v>1455788</v>
      </c>
      <c r="C387" s="12">
        <f ca="1">IFERROR(__xludf.DUMMYFUNCTION("""COMPUTED_VALUE"""),131616)</f>
        <v>131616</v>
      </c>
      <c r="D387" s="12">
        <f ca="1">IFERROR(__xludf.DUMMYFUNCTION("""COMPUTED_VALUE"""),1284725)</f>
        <v>1284725</v>
      </c>
      <c r="E387" s="12">
        <f ca="1">IFERROR(__xludf.DUMMYFUNCTION("""COMPUTED_VALUE"""),39447)</f>
        <v>39447</v>
      </c>
      <c r="F387" s="12">
        <f ca="1">IFERROR(__xludf.DUMMYFUNCTION("""COMPUTED_VALUE"""),6143)</f>
        <v>6143</v>
      </c>
      <c r="G387" s="12">
        <f ca="1">IFERROR(__xludf.DUMMYFUNCTION("""COMPUTED_VALUE"""),355221)</f>
        <v>355221</v>
      </c>
      <c r="H387" s="12">
        <f ca="1">IFERROR(__xludf.DUMMYFUNCTION("""COMPUTED_VALUE"""),3894)</f>
        <v>3894</v>
      </c>
      <c r="I387" s="12">
        <f ca="1">IFERROR(__xludf.DUMMYFUNCTION("""COMPUTED_VALUE"""),3686)</f>
        <v>3686</v>
      </c>
      <c r="J387" s="12">
        <f ca="1">IFERROR(__xludf.DUMMYFUNCTION("""COMPUTED_VALUE"""),368944)</f>
        <v>368944</v>
      </c>
      <c r="K387" s="12">
        <f ca="1">IFERROR(__xludf.DUMMYFUNCTION("""COMPUTED_VALUE"""),7580)</f>
        <v>7580</v>
      </c>
      <c r="L387" s="12">
        <f ca="1">IFERROR(__xludf.DUMMYFUNCTION("""COMPUTED_VALUE"""),5656)</f>
        <v>5656</v>
      </c>
      <c r="M387" s="12">
        <f ca="1">IFERROR(__xludf.DUMMYFUNCTION("""COMPUTED_VALUE"""),-212)</f>
        <v>-212</v>
      </c>
      <c r="N387" s="12">
        <f ca="1">IFERROR(__xludf.DUMMYFUNCTION("""COMPUTED_VALUE"""),5760)</f>
        <v>5760</v>
      </c>
      <c r="O387" s="12">
        <f ca="1">IFERROR(__xludf.DUMMYFUNCTION("""COMPUTED_VALUE"""),108)</f>
        <v>108</v>
      </c>
      <c r="P387" s="12">
        <f ca="1">IFERROR(__xludf.DUMMYFUNCTION("""COMPUTED_VALUE"""),23)</f>
        <v>23</v>
      </c>
      <c r="Q387" s="12">
        <f ca="1">IFERROR(__xludf.DUMMYFUNCTION("""COMPUTED_VALUE"""),1185)</f>
        <v>1185</v>
      </c>
      <c r="R387" s="12">
        <f ca="1">IFERROR(__xludf.DUMMYFUNCTION("""COMPUTED_VALUE"""),411)</f>
        <v>411</v>
      </c>
      <c r="S387" s="12">
        <f ca="1">IFERROR(__xludf.DUMMYFUNCTION("""COMPUTED_VALUE"""),318)</f>
        <v>318</v>
      </c>
      <c r="T387" s="12">
        <f ca="1">IFERROR(__xludf.DUMMYFUNCTION("""COMPUTED_VALUE"""),1937)</f>
        <v>1937</v>
      </c>
      <c r="U387" s="12">
        <f ca="1">IFERROR(__xludf.DUMMYFUNCTION("""COMPUTED_VALUE"""),729)</f>
        <v>729</v>
      </c>
    </row>
    <row r="388" spans="1:21" x14ac:dyDescent="0.25">
      <c r="A388" s="11">
        <f ca="1">IFERROR(__xludf.DUMMYFUNCTION("""COMPUTED_VALUE"""),44276)</f>
        <v>44276</v>
      </c>
      <c r="B388" s="12">
        <f ca="1">IFERROR(__xludf.DUMMYFUNCTION("""COMPUTED_VALUE"""),1460184)</f>
        <v>1460184</v>
      </c>
      <c r="C388" s="12">
        <f ca="1">IFERROR(__xludf.DUMMYFUNCTION("""COMPUTED_VALUE"""),129844)</f>
        <v>129844</v>
      </c>
      <c r="D388" s="12">
        <f ca="1">IFERROR(__xludf.DUMMYFUNCTION("""COMPUTED_VALUE"""),1290790)</f>
        <v>1290790</v>
      </c>
      <c r="E388" s="12">
        <f ca="1">IFERROR(__xludf.DUMMYFUNCTION("""COMPUTED_VALUE"""),39550)</f>
        <v>39550</v>
      </c>
      <c r="F388" s="12">
        <f ca="1">IFERROR(__xludf.DUMMYFUNCTION("""COMPUTED_VALUE"""),6160)</f>
        <v>6160</v>
      </c>
      <c r="G388" s="12">
        <f ca="1">IFERROR(__xludf.DUMMYFUNCTION("""COMPUTED_VALUE"""),357100)</f>
        <v>357100</v>
      </c>
      <c r="H388" s="12">
        <f ca="1">IFERROR(__xludf.DUMMYFUNCTION("""COMPUTED_VALUE"""),3859)</f>
        <v>3859</v>
      </c>
      <c r="I388" s="12">
        <f ca="1">IFERROR(__xludf.DUMMYFUNCTION("""COMPUTED_VALUE"""),3463)</f>
        <v>3463</v>
      </c>
      <c r="J388" s="12">
        <f ca="1">IFERROR(__xludf.DUMMYFUNCTION("""COMPUTED_VALUE"""),370582)</f>
        <v>370582</v>
      </c>
      <c r="K388" s="12">
        <f ca="1">IFERROR(__xludf.DUMMYFUNCTION("""COMPUTED_VALUE"""),7322)</f>
        <v>7322</v>
      </c>
      <c r="L388" s="12">
        <f ca="1">IFERROR(__xludf.DUMMYFUNCTION("""COMPUTED_VALUE"""),4396)</f>
        <v>4396</v>
      </c>
      <c r="M388" s="12">
        <f ca="1">IFERROR(__xludf.DUMMYFUNCTION("""COMPUTED_VALUE"""),-1772)</f>
        <v>-1772</v>
      </c>
      <c r="N388" s="12">
        <f ca="1">IFERROR(__xludf.DUMMYFUNCTION("""COMPUTED_VALUE"""),6065)</f>
        <v>6065</v>
      </c>
      <c r="O388" s="12">
        <f ca="1">IFERROR(__xludf.DUMMYFUNCTION("""COMPUTED_VALUE"""),103)</f>
        <v>103</v>
      </c>
      <c r="P388" s="12">
        <f ca="1">IFERROR(__xludf.DUMMYFUNCTION("""COMPUTED_VALUE"""),17)</f>
        <v>17</v>
      </c>
      <c r="Q388" s="12">
        <f ca="1">IFERROR(__xludf.DUMMYFUNCTION("""COMPUTED_VALUE"""),1879)</f>
        <v>1879</v>
      </c>
      <c r="R388" s="12">
        <f ca="1">IFERROR(__xludf.DUMMYFUNCTION("""COMPUTED_VALUE"""),-35)</f>
        <v>-35</v>
      </c>
      <c r="S388" s="12">
        <f ca="1">IFERROR(__xludf.DUMMYFUNCTION("""COMPUTED_VALUE"""),-223)</f>
        <v>-223</v>
      </c>
      <c r="T388" s="12">
        <f ca="1">IFERROR(__xludf.DUMMYFUNCTION("""COMPUTED_VALUE"""),1638)</f>
        <v>1638</v>
      </c>
      <c r="U388" s="12">
        <f ca="1">IFERROR(__xludf.DUMMYFUNCTION("""COMPUTED_VALUE"""),-258)</f>
        <v>-258</v>
      </c>
    </row>
    <row r="389" spans="1:21" x14ac:dyDescent="0.25">
      <c r="A389" s="11">
        <f ca="1">IFERROR(__xludf.DUMMYFUNCTION("""COMPUTED_VALUE"""),44277)</f>
        <v>44277</v>
      </c>
      <c r="B389" s="12">
        <f ca="1">IFERROR(__xludf.DUMMYFUNCTION("""COMPUTED_VALUE"""),1465928)</f>
        <v>1465928</v>
      </c>
      <c r="C389" s="12">
        <f ca="1">IFERROR(__xludf.DUMMYFUNCTION("""COMPUTED_VALUE"""),128250)</f>
        <v>128250</v>
      </c>
      <c r="D389" s="12">
        <f ca="1">IFERROR(__xludf.DUMMYFUNCTION("""COMPUTED_VALUE"""),1297967)</f>
        <v>1297967</v>
      </c>
      <c r="E389" s="12">
        <f ca="1">IFERROR(__xludf.DUMMYFUNCTION("""COMPUTED_VALUE"""),39711)</f>
        <v>39711</v>
      </c>
      <c r="F389" s="12">
        <f ca="1">IFERROR(__xludf.DUMMYFUNCTION("""COMPUTED_VALUE"""),6179)</f>
        <v>6179</v>
      </c>
      <c r="G389" s="12">
        <f ca="1">IFERROR(__xludf.DUMMYFUNCTION("""COMPUTED_VALUE"""),358826)</f>
        <v>358826</v>
      </c>
      <c r="H389" s="12">
        <f ca="1">IFERROR(__xludf.DUMMYFUNCTION("""COMPUTED_VALUE"""),3775)</f>
        <v>3775</v>
      </c>
      <c r="I389" s="12">
        <f ca="1">IFERROR(__xludf.DUMMYFUNCTION("""COMPUTED_VALUE"""),3276)</f>
        <v>3276</v>
      </c>
      <c r="J389" s="12">
        <f ca="1">IFERROR(__xludf.DUMMYFUNCTION("""COMPUTED_VALUE"""),372056)</f>
        <v>372056</v>
      </c>
      <c r="K389" s="12">
        <f ca="1">IFERROR(__xludf.DUMMYFUNCTION("""COMPUTED_VALUE"""),7051)</f>
        <v>7051</v>
      </c>
      <c r="L389" s="12">
        <f ca="1">IFERROR(__xludf.DUMMYFUNCTION("""COMPUTED_VALUE"""),5744)</f>
        <v>5744</v>
      </c>
      <c r="M389" s="12">
        <f ca="1">IFERROR(__xludf.DUMMYFUNCTION("""COMPUTED_VALUE"""),-1594)</f>
        <v>-1594</v>
      </c>
      <c r="N389" s="12">
        <f ca="1">IFERROR(__xludf.DUMMYFUNCTION("""COMPUTED_VALUE"""),7177)</f>
        <v>7177</v>
      </c>
      <c r="O389" s="12">
        <f ca="1">IFERROR(__xludf.DUMMYFUNCTION("""COMPUTED_VALUE"""),161)</f>
        <v>161</v>
      </c>
      <c r="P389" s="12">
        <f ca="1">IFERROR(__xludf.DUMMYFUNCTION("""COMPUTED_VALUE"""),19)</f>
        <v>19</v>
      </c>
      <c r="Q389" s="12">
        <f ca="1">IFERROR(__xludf.DUMMYFUNCTION("""COMPUTED_VALUE"""),1726)</f>
        <v>1726</v>
      </c>
      <c r="R389" s="12">
        <f ca="1">IFERROR(__xludf.DUMMYFUNCTION("""COMPUTED_VALUE"""),-84)</f>
        <v>-84</v>
      </c>
      <c r="S389" s="12">
        <f ca="1">IFERROR(__xludf.DUMMYFUNCTION("""COMPUTED_VALUE"""),-187)</f>
        <v>-187</v>
      </c>
      <c r="T389" s="12">
        <f ca="1">IFERROR(__xludf.DUMMYFUNCTION("""COMPUTED_VALUE"""),1474)</f>
        <v>1474</v>
      </c>
      <c r="U389" s="12">
        <f ca="1">IFERROR(__xludf.DUMMYFUNCTION("""COMPUTED_VALUE"""),-271)</f>
        <v>-271</v>
      </c>
    </row>
    <row r="390" spans="1:21" x14ac:dyDescent="0.25">
      <c r="A390" s="11">
        <f ca="1">IFERROR(__xludf.DUMMYFUNCTION("""COMPUTED_VALUE"""),44278)</f>
        <v>44278</v>
      </c>
      <c r="B390" s="12">
        <f ca="1">IFERROR(__xludf.DUMMYFUNCTION("""COMPUTED_VALUE"""),1471225)</f>
        <v>1471225</v>
      </c>
      <c r="C390" s="12">
        <f ca="1">IFERROR(__xludf.DUMMYFUNCTION("""COMPUTED_VALUE"""),126439)</f>
        <v>126439</v>
      </c>
      <c r="D390" s="12">
        <f ca="1">IFERROR(__xludf.DUMMYFUNCTION("""COMPUTED_VALUE"""),1304921)</f>
        <v>1304921</v>
      </c>
      <c r="E390" s="12">
        <f ca="1">IFERROR(__xludf.DUMMYFUNCTION("""COMPUTED_VALUE"""),39865)</f>
        <v>39865</v>
      </c>
      <c r="F390" s="12">
        <f ca="1">IFERROR(__xludf.DUMMYFUNCTION("""COMPUTED_VALUE"""),6206)</f>
        <v>6206</v>
      </c>
      <c r="G390" s="12">
        <f ca="1">IFERROR(__xludf.DUMMYFUNCTION("""COMPUTED_VALUE"""),360479)</f>
        <v>360479</v>
      </c>
      <c r="H390" s="12">
        <f ca="1">IFERROR(__xludf.DUMMYFUNCTION("""COMPUTED_VALUE"""),3107)</f>
        <v>3107</v>
      </c>
      <c r="I390" s="12">
        <f ca="1">IFERROR(__xludf.DUMMYFUNCTION("""COMPUTED_VALUE"""),3079)</f>
        <v>3079</v>
      </c>
      <c r="J390" s="12">
        <f ca="1">IFERROR(__xludf.DUMMYFUNCTION("""COMPUTED_VALUE"""),372871)</f>
        <v>372871</v>
      </c>
      <c r="K390" s="12">
        <f ca="1">IFERROR(__xludf.DUMMYFUNCTION("""COMPUTED_VALUE"""),6186)</f>
        <v>6186</v>
      </c>
      <c r="L390" s="12">
        <f ca="1">IFERROR(__xludf.DUMMYFUNCTION("""COMPUTED_VALUE"""),5297)</f>
        <v>5297</v>
      </c>
      <c r="M390" s="12">
        <f ca="1">IFERROR(__xludf.DUMMYFUNCTION("""COMPUTED_VALUE"""),-1811)</f>
        <v>-1811</v>
      </c>
      <c r="N390" s="12">
        <f ca="1">IFERROR(__xludf.DUMMYFUNCTION("""COMPUTED_VALUE"""),6954)</f>
        <v>6954</v>
      </c>
      <c r="O390" s="12">
        <f ca="1">IFERROR(__xludf.DUMMYFUNCTION("""COMPUTED_VALUE"""),154)</f>
        <v>154</v>
      </c>
      <c r="P390" s="12">
        <f ca="1">IFERROR(__xludf.DUMMYFUNCTION("""COMPUTED_VALUE"""),27)</f>
        <v>27</v>
      </c>
      <c r="Q390" s="12">
        <f ca="1">IFERROR(__xludf.DUMMYFUNCTION("""COMPUTED_VALUE"""),1653)</f>
        <v>1653</v>
      </c>
      <c r="R390" s="12">
        <f ca="1">IFERROR(__xludf.DUMMYFUNCTION("""COMPUTED_VALUE"""),-668)</f>
        <v>-668</v>
      </c>
      <c r="S390" s="12">
        <f ca="1">IFERROR(__xludf.DUMMYFUNCTION("""COMPUTED_VALUE"""),-197)</f>
        <v>-197</v>
      </c>
      <c r="T390" s="12">
        <f ca="1">IFERROR(__xludf.DUMMYFUNCTION("""COMPUTED_VALUE"""),815)</f>
        <v>815</v>
      </c>
      <c r="U390" s="12">
        <f ca="1">IFERROR(__xludf.DUMMYFUNCTION("""COMPUTED_VALUE"""),-865)</f>
        <v>-865</v>
      </c>
    </row>
    <row r="391" spans="1:21" x14ac:dyDescent="0.25">
      <c r="A391" s="11">
        <f ca="1">IFERROR(__xludf.DUMMYFUNCTION("""COMPUTED_VALUE"""),44279)</f>
        <v>44279</v>
      </c>
      <c r="B391" s="12">
        <f ca="1">IFERROR(__xludf.DUMMYFUNCTION("""COMPUTED_VALUE"""),1476452)</f>
        <v>1476452</v>
      </c>
      <c r="C391" s="12">
        <f ca="1">IFERROR(__xludf.DUMMYFUNCTION("""COMPUTED_VALUE"""),123926)</f>
        <v>123926</v>
      </c>
      <c r="D391" s="12">
        <f ca="1">IFERROR(__xludf.DUMMYFUNCTION("""COMPUTED_VALUE"""),1312543)</f>
        <v>1312543</v>
      </c>
      <c r="E391" s="12">
        <f ca="1">IFERROR(__xludf.DUMMYFUNCTION("""COMPUTED_VALUE"""),39983)</f>
        <v>39983</v>
      </c>
      <c r="F391" s="12">
        <f ca="1">IFERROR(__xludf.DUMMYFUNCTION("""COMPUTED_VALUE"""),6224)</f>
        <v>6224</v>
      </c>
      <c r="G391" s="12">
        <f ca="1">IFERROR(__xludf.DUMMYFUNCTION("""COMPUTED_VALUE"""),362248)</f>
        <v>362248</v>
      </c>
      <c r="H391" s="12">
        <f ca="1">IFERROR(__xludf.DUMMYFUNCTION("""COMPUTED_VALUE"""),2650)</f>
        <v>2650</v>
      </c>
      <c r="I391" s="12">
        <f ca="1">IFERROR(__xludf.DUMMYFUNCTION("""COMPUTED_VALUE"""),2639)</f>
        <v>2639</v>
      </c>
      <c r="J391" s="12">
        <f ca="1">IFERROR(__xludf.DUMMYFUNCTION("""COMPUTED_VALUE"""),373761)</f>
        <v>373761</v>
      </c>
      <c r="K391" s="12">
        <f ca="1">IFERROR(__xludf.DUMMYFUNCTION("""COMPUTED_VALUE"""),5289)</f>
        <v>5289</v>
      </c>
      <c r="L391" s="12">
        <f ca="1">IFERROR(__xludf.DUMMYFUNCTION("""COMPUTED_VALUE"""),5227)</f>
        <v>5227</v>
      </c>
      <c r="M391" s="12">
        <f ca="1">IFERROR(__xludf.DUMMYFUNCTION("""COMPUTED_VALUE"""),-2513)</f>
        <v>-2513</v>
      </c>
      <c r="N391" s="12">
        <f ca="1">IFERROR(__xludf.DUMMYFUNCTION("""COMPUTED_VALUE"""),7622)</f>
        <v>7622</v>
      </c>
      <c r="O391" s="12">
        <f ca="1">IFERROR(__xludf.DUMMYFUNCTION("""COMPUTED_VALUE"""),118)</f>
        <v>118</v>
      </c>
      <c r="P391" s="12">
        <f ca="1">IFERROR(__xludf.DUMMYFUNCTION("""COMPUTED_VALUE"""),18)</f>
        <v>18</v>
      </c>
      <c r="Q391" s="12">
        <f ca="1">IFERROR(__xludf.DUMMYFUNCTION("""COMPUTED_VALUE"""),1769)</f>
        <v>1769</v>
      </c>
      <c r="R391" s="12">
        <f ca="1">IFERROR(__xludf.DUMMYFUNCTION("""COMPUTED_VALUE"""),-457)</f>
        <v>-457</v>
      </c>
      <c r="S391" s="12">
        <f ca="1">IFERROR(__xludf.DUMMYFUNCTION("""COMPUTED_VALUE"""),-440)</f>
        <v>-440</v>
      </c>
      <c r="T391" s="12">
        <f ca="1">IFERROR(__xludf.DUMMYFUNCTION("""COMPUTED_VALUE"""),890)</f>
        <v>890</v>
      </c>
      <c r="U391" s="12">
        <f ca="1">IFERROR(__xludf.DUMMYFUNCTION("""COMPUTED_VALUE"""),-897)</f>
        <v>-897</v>
      </c>
    </row>
    <row r="392" spans="1:21" x14ac:dyDescent="0.25">
      <c r="A392" s="11">
        <f ca="1">IFERROR(__xludf.DUMMYFUNCTION("""COMPUTED_VALUE"""),44280)</f>
        <v>44280</v>
      </c>
      <c r="B392" s="12">
        <f ca="1">IFERROR(__xludf.DUMMYFUNCTION("""COMPUTED_VALUE"""),1482559)</f>
        <v>1482559</v>
      </c>
      <c r="C392" s="12">
        <f ca="1">IFERROR(__xludf.DUMMYFUNCTION("""COMPUTED_VALUE"""),125279)</f>
        <v>125279</v>
      </c>
      <c r="D392" s="12">
        <f ca="1">IFERROR(__xludf.DUMMYFUNCTION("""COMPUTED_VALUE"""),1317199)</f>
        <v>1317199</v>
      </c>
      <c r="E392" s="12">
        <f ca="1">IFERROR(__xludf.DUMMYFUNCTION("""COMPUTED_VALUE"""),40081)</f>
        <v>40081</v>
      </c>
      <c r="F392" s="12">
        <f ca="1">IFERROR(__xludf.DUMMYFUNCTION("""COMPUTED_VALUE"""),6241)</f>
        <v>6241</v>
      </c>
      <c r="G392" s="12">
        <f ca="1">IFERROR(__xludf.DUMMYFUNCTION("""COMPUTED_VALUE"""),362975)</f>
        <v>362975</v>
      </c>
      <c r="H392" s="12">
        <f ca="1">IFERROR(__xludf.DUMMYFUNCTION("""COMPUTED_VALUE"""),3222)</f>
        <v>3222</v>
      </c>
      <c r="I392" s="12">
        <f ca="1">IFERROR(__xludf.DUMMYFUNCTION("""COMPUTED_VALUE"""),3049)</f>
        <v>3049</v>
      </c>
      <c r="J392" s="12">
        <f ca="1">IFERROR(__xludf.DUMMYFUNCTION("""COMPUTED_VALUE"""),375487)</f>
        <v>375487</v>
      </c>
      <c r="K392" s="12">
        <f ca="1">IFERROR(__xludf.DUMMYFUNCTION("""COMPUTED_VALUE"""),6271)</f>
        <v>6271</v>
      </c>
      <c r="L392" s="12">
        <f ca="1">IFERROR(__xludf.DUMMYFUNCTION("""COMPUTED_VALUE"""),6107)</f>
        <v>6107</v>
      </c>
      <c r="M392" s="12">
        <f ca="1">IFERROR(__xludf.DUMMYFUNCTION("""COMPUTED_VALUE"""),1353)</f>
        <v>1353</v>
      </c>
      <c r="N392" s="12">
        <f ca="1">IFERROR(__xludf.DUMMYFUNCTION("""COMPUTED_VALUE"""),4656)</f>
        <v>4656</v>
      </c>
      <c r="O392" s="12">
        <f ca="1">IFERROR(__xludf.DUMMYFUNCTION("""COMPUTED_VALUE"""),98)</f>
        <v>98</v>
      </c>
      <c r="P392" s="12">
        <f ca="1">IFERROR(__xludf.DUMMYFUNCTION("""COMPUTED_VALUE"""),17)</f>
        <v>17</v>
      </c>
      <c r="Q392" s="12">
        <f ca="1">IFERROR(__xludf.DUMMYFUNCTION("""COMPUTED_VALUE"""),727)</f>
        <v>727</v>
      </c>
      <c r="R392" s="12">
        <f ca="1">IFERROR(__xludf.DUMMYFUNCTION("""COMPUTED_VALUE"""),572)</f>
        <v>572</v>
      </c>
      <c r="S392" s="12">
        <f ca="1">IFERROR(__xludf.DUMMYFUNCTION("""COMPUTED_VALUE"""),410)</f>
        <v>410</v>
      </c>
      <c r="T392" s="12">
        <f ca="1">IFERROR(__xludf.DUMMYFUNCTION("""COMPUTED_VALUE"""),1726)</f>
        <v>1726</v>
      </c>
      <c r="U392" s="12">
        <f ca="1">IFERROR(__xludf.DUMMYFUNCTION("""COMPUTED_VALUE"""),982)</f>
        <v>982</v>
      </c>
    </row>
    <row r="393" spans="1:21" x14ac:dyDescent="0.25">
      <c r="A393" s="11">
        <f ca="1">IFERROR(__xludf.DUMMYFUNCTION("""COMPUTED_VALUE"""),44281)</f>
        <v>44281</v>
      </c>
      <c r="B393" s="12">
        <f ca="1">IFERROR(__xludf.DUMMYFUNCTION("""COMPUTED_VALUE"""),1487541)</f>
        <v>1487541</v>
      </c>
      <c r="C393" s="12">
        <f ca="1">IFERROR(__xludf.DUMMYFUNCTION("""COMPUTED_VALUE"""),124497)</f>
        <v>124497</v>
      </c>
      <c r="D393" s="12">
        <f ca="1">IFERROR(__xludf.DUMMYFUNCTION("""COMPUTED_VALUE"""),1322878)</f>
        <v>1322878</v>
      </c>
      <c r="E393" s="12">
        <f ca="1">IFERROR(__xludf.DUMMYFUNCTION("""COMPUTED_VALUE"""),40166)</f>
        <v>40166</v>
      </c>
      <c r="F393" s="12">
        <f ca="1">IFERROR(__xludf.DUMMYFUNCTION("""COMPUTED_VALUE"""),6260)</f>
        <v>6260</v>
      </c>
      <c r="G393" s="12">
        <f ca="1">IFERROR(__xludf.DUMMYFUNCTION("""COMPUTED_VALUE"""),363599)</f>
        <v>363599</v>
      </c>
      <c r="H393" s="12">
        <f ca="1">IFERROR(__xludf.DUMMYFUNCTION("""COMPUTED_VALUE"""),3629)</f>
        <v>3629</v>
      </c>
      <c r="I393" s="12">
        <f ca="1">IFERROR(__xludf.DUMMYFUNCTION("""COMPUTED_VALUE"""),3380)</f>
        <v>3380</v>
      </c>
      <c r="J393" s="12">
        <f ca="1">IFERROR(__xludf.DUMMYFUNCTION("""COMPUTED_VALUE"""),376868)</f>
        <v>376868</v>
      </c>
      <c r="K393" s="12">
        <f ca="1">IFERROR(__xludf.DUMMYFUNCTION("""COMPUTED_VALUE"""),7009)</f>
        <v>7009</v>
      </c>
      <c r="L393" s="12">
        <f ca="1">IFERROR(__xludf.DUMMYFUNCTION("""COMPUTED_VALUE"""),4982)</f>
        <v>4982</v>
      </c>
      <c r="M393" s="12">
        <f ca="1">IFERROR(__xludf.DUMMYFUNCTION("""COMPUTED_VALUE"""),-782)</f>
        <v>-782</v>
      </c>
      <c r="N393" s="12">
        <f ca="1">IFERROR(__xludf.DUMMYFUNCTION("""COMPUTED_VALUE"""),5679)</f>
        <v>5679</v>
      </c>
      <c r="O393" s="12">
        <f ca="1">IFERROR(__xludf.DUMMYFUNCTION("""COMPUTED_VALUE"""),85)</f>
        <v>85</v>
      </c>
      <c r="P393" s="12">
        <f ca="1">IFERROR(__xludf.DUMMYFUNCTION("""COMPUTED_VALUE"""),19)</f>
        <v>19</v>
      </c>
      <c r="Q393" s="12">
        <f ca="1">IFERROR(__xludf.DUMMYFUNCTION("""COMPUTED_VALUE"""),624)</f>
        <v>624</v>
      </c>
      <c r="R393" s="12">
        <f ca="1">IFERROR(__xludf.DUMMYFUNCTION("""COMPUTED_VALUE"""),407)</f>
        <v>407</v>
      </c>
      <c r="S393" s="12">
        <f ca="1">IFERROR(__xludf.DUMMYFUNCTION("""COMPUTED_VALUE"""),331)</f>
        <v>331</v>
      </c>
      <c r="T393" s="12">
        <f ca="1">IFERROR(__xludf.DUMMYFUNCTION("""COMPUTED_VALUE"""),1381)</f>
        <v>1381</v>
      </c>
      <c r="U393" s="12">
        <f ca="1">IFERROR(__xludf.DUMMYFUNCTION("""COMPUTED_VALUE"""),738)</f>
        <v>738</v>
      </c>
    </row>
    <row r="394" spans="1:21" x14ac:dyDescent="0.25">
      <c r="A394" s="11">
        <f ca="1">IFERROR(__xludf.DUMMYFUNCTION("""COMPUTED_VALUE"""),44282)</f>
        <v>44282</v>
      </c>
      <c r="B394" s="12">
        <f ca="1">IFERROR(__xludf.DUMMYFUNCTION("""COMPUTED_VALUE"""),1492002)</f>
        <v>1492002</v>
      </c>
      <c r="C394" s="12">
        <f ca="1">IFERROR(__xludf.DUMMYFUNCTION("""COMPUTED_VALUE"""),124517)</f>
        <v>124517</v>
      </c>
      <c r="D394" s="12">
        <f ca="1">IFERROR(__xludf.DUMMYFUNCTION("""COMPUTED_VALUE"""),1327121)</f>
        <v>1327121</v>
      </c>
      <c r="E394" s="12">
        <f ca="1">IFERROR(__xludf.DUMMYFUNCTION("""COMPUTED_VALUE"""),40364)</f>
        <v>40364</v>
      </c>
      <c r="F394" s="12">
        <f ca="1">IFERROR(__xludf.DUMMYFUNCTION("""COMPUTED_VALUE"""),6281)</f>
        <v>6281</v>
      </c>
      <c r="G394" s="12">
        <f ca="1">IFERROR(__xludf.DUMMYFUNCTION("""COMPUTED_VALUE"""),364251)</f>
        <v>364251</v>
      </c>
      <c r="H394" s="12">
        <f ca="1">IFERROR(__xludf.DUMMYFUNCTION("""COMPUTED_VALUE"""),3932)</f>
        <v>3932</v>
      </c>
      <c r="I394" s="12">
        <f ca="1">IFERROR(__xludf.DUMMYFUNCTION("""COMPUTED_VALUE"""),3758)</f>
        <v>3758</v>
      </c>
      <c r="J394" s="12">
        <f ca="1">IFERROR(__xludf.DUMMYFUNCTION("""COMPUTED_VALUE"""),378222)</f>
        <v>378222</v>
      </c>
      <c r="K394" s="12">
        <f ca="1">IFERROR(__xludf.DUMMYFUNCTION("""COMPUTED_VALUE"""),7690)</f>
        <v>7690</v>
      </c>
      <c r="L394" s="12">
        <f ca="1">IFERROR(__xludf.DUMMYFUNCTION("""COMPUTED_VALUE"""),4461)</f>
        <v>4461</v>
      </c>
      <c r="M394" s="12">
        <f ca="1">IFERROR(__xludf.DUMMYFUNCTION("""COMPUTED_VALUE"""),20)</f>
        <v>20</v>
      </c>
      <c r="N394" s="12">
        <f ca="1">IFERROR(__xludf.DUMMYFUNCTION("""COMPUTED_VALUE"""),4243)</f>
        <v>4243</v>
      </c>
      <c r="O394" s="12">
        <f ca="1">IFERROR(__xludf.DUMMYFUNCTION("""COMPUTED_VALUE"""),198)</f>
        <v>198</v>
      </c>
      <c r="P394" s="12">
        <f ca="1">IFERROR(__xludf.DUMMYFUNCTION("""COMPUTED_VALUE"""),21)</f>
        <v>21</v>
      </c>
      <c r="Q394" s="12">
        <f ca="1">IFERROR(__xludf.DUMMYFUNCTION("""COMPUTED_VALUE"""),652)</f>
        <v>652</v>
      </c>
      <c r="R394" s="12">
        <f ca="1">IFERROR(__xludf.DUMMYFUNCTION("""COMPUTED_VALUE"""),303)</f>
        <v>303</v>
      </c>
      <c r="S394" s="12">
        <f ca="1">IFERROR(__xludf.DUMMYFUNCTION("""COMPUTED_VALUE"""),378)</f>
        <v>378</v>
      </c>
      <c r="T394" s="12">
        <f ca="1">IFERROR(__xludf.DUMMYFUNCTION("""COMPUTED_VALUE"""),1354)</f>
        <v>1354</v>
      </c>
      <c r="U394" s="12">
        <f ca="1">IFERROR(__xludf.DUMMYFUNCTION("""COMPUTED_VALUE"""),681)</f>
        <v>681</v>
      </c>
    </row>
    <row r="395" spans="1:21" x14ac:dyDescent="0.25">
      <c r="A395" s="11">
        <f ca="1">IFERROR(__xludf.DUMMYFUNCTION("""COMPUTED_VALUE"""),44283)</f>
        <v>44283</v>
      </c>
      <c r="B395" s="12">
        <f ca="1">IFERROR(__xludf.DUMMYFUNCTION("""COMPUTED_VALUE"""),1496085)</f>
        <v>1496085</v>
      </c>
      <c r="C395" s="12">
        <f ca="1">IFERROR(__xludf.DUMMYFUNCTION("""COMPUTED_VALUE"""),124236)</f>
        <v>124236</v>
      </c>
      <c r="D395" s="12">
        <f ca="1">IFERROR(__xludf.DUMMYFUNCTION("""COMPUTED_VALUE"""),1331400)</f>
        <v>1331400</v>
      </c>
      <c r="E395" s="12">
        <f ca="1">IFERROR(__xludf.DUMMYFUNCTION("""COMPUTED_VALUE"""),40449)</f>
        <v>40449</v>
      </c>
      <c r="F395" s="12">
        <f ca="1">IFERROR(__xludf.DUMMYFUNCTION("""COMPUTED_VALUE"""),6304)</f>
        <v>6304</v>
      </c>
      <c r="G395" s="12">
        <f ca="1">IFERROR(__xludf.DUMMYFUNCTION("""COMPUTED_VALUE"""),365592)</f>
        <v>365592</v>
      </c>
      <c r="H395" s="12">
        <f ca="1">IFERROR(__xludf.DUMMYFUNCTION("""COMPUTED_VALUE"""),3966)</f>
        <v>3966</v>
      </c>
      <c r="I395" s="12">
        <f ca="1">IFERROR(__xludf.DUMMYFUNCTION("""COMPUTED_VALUE"""),3830)</f>
        <v>3830</v>
      </c>
      <c r="J395" s="12">
        <f ca="1">IFERROR(__xludf.DUMMYFUNCTION("""COMPUTED_VALUE"""),379692)</f>
        <v>379692</v>
      </c>
      <c r="K395" s="12">
        <f ca="1">IFERROR(__xludf.DUMMYFUNCTION("""COMPUTED_VALUE"""),7796)</f>
        <v>7796</v>
      </c>
      <c r="L395" s="12">
        <f ca="1">IFERROR(__xludf.DUMMYFUNCTION("""COMPUTED_VALUE"""),4083)</f>
        <v>4083</v>
      </c>
      <c r="M395" s="12">
        <f ca="1">IFERROR(__xludf.DUMMYFUNCTION("""COMPUTED_VALUE"""),-281)</f>
        <v>-281</v>
      </c>
      <c r="N395" s="12">
        <f ca="1">IFERROR(__xludf.DUMMYFUNCTION("""COMPUTED_VALUE"""),4279)</f>
        <v>4279</v>
      </c>
      <c r="O395" s="12">
        <f ca="1">IFERROR(__xludf.DUMMYFUNCTION("""COMPUTED_VALUE"""),85)</f>
        <v>85</v>
      </c>
      <c r="P395" s="12">
        <f ca="1">IFERROR(__xludf.DUMMYFUNCTION("""COMPUTED_VALUE"""),23)</f>
        <v>23</v>
      </c>
      <c r="Q395" s="12">
        <f ca="1">IFERROR(__xludf.DUMMYFUNCTION("""COMPUTED_VALUE"""),1341)</f>
        <v>1341</v>
      </c>
      <c r="R395" s="12">
        <f ca="1">IFERROR(__xludf.DUMMYFUNCTION("""COMPUTED_VALUE"""),34)</f>
        <v>34</v>
      </c>
      <c r="S395" s="12">
        <f ca="1">IFERROR(__xludf.DUMMYFUNCTION("""COMPUTED_VALUE"""),72)</f>
        <v>72</v>
      </c>
      <c r="T395" s="12">
        <f ca="1">IFERROR(__xludf.DUMMYFUNCTION("""COMPUTED_VALUE"""),1470)</f>
        <v>1470</v>
      </c>
      <c r="U395" s="12">
        <f ca="1">IFERROR(__xludf.DUMMYFUNCTION("""COMPUTED_VALUE"""),106)</f>
        <v>106</v>
      </c>
    </row>
    <row r="396" spans="1:21" x14ac:dyDescent="0.25">
      <c r="A396" s="11">
        <f ca="1">IFERROR(__xludf.DUMMYFUNCTION("""COMPUTED_VALUE"""),44284)</f>
        <v>44284</v>
      </c>
      <c r="B396" s="12">
        <f ca="1">IFERROR(__xludf.DUMMYFUNCTION("""COMPUTED_VALUE"""),1501093)</f>
        <v>1501093</v>
      </c>
      <c r="C396" s="12">
        <f ca="1">IFERROR(__xludf.DUMMYFUNCTION("""COMPUTED_VALUE"""),123694)</f>
        <v>123694</v>
      </c>
      <c r="D396" s="12">
        <f ca="1">IFERROR(__xludf.DUMMYFUNCTION("""COMPUTED_VALUE"""),1336818)</f>
        <v>1336818</v>
      </c>
      <c r="E396" s="12">
        <f ca="1">IFERROR(__xludf.DUMMYFUNCTION("""COMPUTED_VALUE"""),40581)</f>
        <v>40581</v>
      </c>
      <c r="F396" s="12">
        <f ca="1">IFERROR(__xludf.DUMMYFUNCTION("""COMPUTED_VALUE"""),6324)</f>
        <v>6324</v>
      </c>
      <c r="G396" s="12">
        <f ca="1">IFERROR(__xludf.DUMMYFUNCTION("""COMPUTED_VALUE"""),366615)</f>
        <v>366615</v>
      </c>
      <c r="H396" s="12">
        <f ca="1">IFERROR(__xludf.DUMMYFUNCTION("""COMPUTED_VALUE"""),4034)</f>
        <v>4034</v>
      </c>
      <c r="I396" s="12">
        <f ca="1">IFERROR(__xludf.DUMMYFUNCTION("""COMPUTED_VALUE"""),3733)</f>
        <v>3733</v>
      </c>
      <c r="J396" s="12">
        <f ca="1">IFERROR(__xludf.DUMMYFUNCTION("""COMPUTED_VALUE"""),380706)</f>
        <v>380706</v>
      </c>
      <c r="K396" s="12">
        <f ca="1">IFERROR(__xludf.DUMMYFUNCTION("""COMPUTED_VALUE"""),7767)</f>
        <v>7767</v>
      </c>
      <c r="L396" s="12">
        <f ca="1">IFERROR(__xludf.DUMMYFUNCTION("""COMPUTED_VALUE"""),5008)</f>
        <v>5008</v>
      </c>
      <c r="M396" s="12">
        <f ca="1">IFERROR(__xludf.DUMMYFUNCTION("""COMPUTED_VALUE"""),-542)</f>
        <v>-542</v>
      </c>
      <c r="N396" s="12">
        <f ca="1">IFERROR(__xludf.DUMMYFUNCTION("""COMPUTED_VALUE"""),5418)</f>
        <v>5418</v>
      </c>
      <c r="O396" s="12">
        <f ca="1">IFERROR(__xludf.DUMMYFUNCTION("""COMPUTED_VALUE"""),132)</f>
        <v>132</v>
      </c>
      <c r="P396" s="12">
        <f ca="1">IFERROR(__xludf.DUMMYFUNCTION("""COMPUTED_VALUE"""),20)</f>
        <v>20</v>
      </c>
      <c r="Q396" s="12">
        <f ca="1">IFERROR(__xludf.DUMMYFUNCTION("""COMPUTED_VALUE"""),1023)</f>
        <v>1023</v>
      </c>
      <c r="R396" s="12">
        <f ca="1">IFERROR(__xludf.DUMMYFUNCTION("""COMPUTED_VALUE"""),68)</f>
        <v>68</v>
      </c>
      <c r="S396" s="12">
        <f ca="1">IFERROR(__xludf.DUMMYFUNCTION("""COMPUTED_VALUE"""),-97)</f>
        <v>-97</v>
      </c>
      <c r="T396" s="12">
        <f ca="1">IFERROR(__xludf.DUMMYFUNCTION("""COMPUTED_VALUE"""),1014)</f>
        <v>1014</v>
      </c>
      <c r="U396" s="12">
        <f ca="1">IFERROR(__xludf.DUMMYFUNCTION("""COMPUTED_VALUE"""),-29)</f>
        <v>-29</v>
      </c>
    </row>
    <row r="397" spans="1:21" x14ac:dyDescent="0.25">
      <c r="A397" s="11">
        <f ca="1">IFERROR(__xludf.DUMMYFUNCTION("""COMPUTED_VALUE"""),44285)</f>
        <v>44285</v>
      </c>
      <c r="B397" s="12">
        <f ca="1">IFERROR(__xludf.DUMMYFUNCTION("""COMPUTED_VALUE"""),1505775)</f>
        <v>1505775</v>
      </c>
      <c r="C397" s="12">
        <f ca="1">IFERROR(__xludf.DUMMYFUNCTION("""COMPUTED_VALUE"""),122326)</f>
        <v>122326</v>
      </c>
      <c r="D397" s="12">
        <f ca="1">IFERROR(__xludf.DUMMYFUNCTION("""COMPUTED_VALUE"""),1342695)</f>
        <v>1342695</v>
      </c>
      <c r="E397" s="12">
        <f ca="1">IFERROR(__xludf.DUMMYFUNCTION("""COMPUTED_VALUE"""),40754)</f>
        <v>40754</v>
      </c>
      <c r="F397" s="12">
        <f ca="1">IFERROR(__xludf.DUMMYFUNCTION("""COMPUTED_VALUE"""),6327)</f>
        <v>6327</v>
      </c>
      <c r="G397" s="12">
        <f ca="1">IFERROR(__xludf.DUMMYFUNCTION("""COMPUTED_VALUE"""),367819)</f>
        <v>367819</v>
      </c>
      <c r="H397" s="12">
        <f ca="1">IFERROR(__xludf.DUMMYFUNCTION("""COMPUTED_VALUE"""),3419)</f>
        <v>3419</v>
      </c>
      <c r="I397" s="12">
        <f ca="1">IFERROR(__xludf.DUMMYFUNCTION("""COMPUTED_VALUE"""),3525)</f>
        <v>3525</v>
      </c>
      <c r="J397" s="12">
        <f ca="1">IFERROR(__xludf.DUMMYFUNCTION("""COMPUTED_VALUE"""),381090)</f>
        <v>381090</v>
      </c>
      <c r="K397" s="12">
        <f ca="1">IFERROR(__xludf.DUMMYFUNCTION("""COMPUTED_VALUE"""),6944)</f>
        <v>6944</v>
      </c>
      <c r="L397" s="12">
        <f ca="1">IFERROR(__xludf.DUMMYFUNCTION("""COMPUTED_VALUE"""),4682)</f>
        <v>4682</v>
      </c>
      <c r="M397" s="12">
        <f ca="1">IFERROR(__xludf.DUMMYFUNCTION("""COMPUTED_VALUE"""),-1368)</f>
        <v>-1368</v>
      </c>
      <c r="N397" s="12">
        <f ca="1">IFERROR(__xludf.DUMMYFUNCTION("""COMPUTED_VALUE"""),5877)</f>
        <v>5877</v>
      </c>
      <c r="O397" s="12">
        <f ca="1">IFERROR(__xludf.DUMMYFUNCTION("""COMPUTED_VALUE"""),173)</f>
        <v>173</v>
      </c>
      <c r="P397" s="12">
        <f ca="1">IFERROR(__xludf.DUMMYFUNCTION("""COMPUTED_VALUE"""),3)</f>
        <v>3</v>
      </c>
      <c r="Q397" s="12">
        <f ca="1">IFERROR(__xludf.DUMMYFUNCTION("""COMPUTED_VALUE"""),1204)</f>
        <v>1204</v>
      </c>
      <c r="R397" s="12">
        <f ca="1">IFERROR(__xludf.DUMMYFUNCTION("""COMPUTED_VALUE"""),-615)</f>
        <v>-615</v>
      </c>
      <c r="S397" s="12">
        <f ca="1">IFERROR(__xludf.DUMMYFUNCTION("""COMPUTED_VALUE"""),-208)</f>
        <v>-208</v>
      </c>
      <c r="T397" s="12">
        <f ca="1">IFERROR(__xludf.DUMMYFUNCTION("""COMPUTED_VALUE"""),384)</f>
        <v>384</v>
      </c>
      <c r="U397" s="12">
        <f ca="1">IFERROR(__xludf.DUMMYFUNCTION("""COMPUTED_VALUE"""),-823)</f>
        <v>-823</v>
      </c>
    </row>
    <row r="398" spans="1:21" x14ac:dyDescent="0.25">
      <c r="A398" s="11">
        <f ca="1">IFERROR(__xludf.DUMMYFUNCTION("""COMPUTED_VALUE"""),44286)</f>
        <v>44286</v>
      </c>
      <c r="B398" s="12">
        <f ca="1">IFERROR(__xludf.DUMMYFUNCTION("""COMPUTED_VALUE"""),1511712)</f>
        <v>1511712</v>
      </c>
      <c r="C398" s="12">
        <f ca="1">IFERROR(__xludf.DUMMYFUNCTION("""COMPUTED_VALUE"""),122524)</f>
        <v>122524</v>
      </c>
      <c r="D398" s="12">
        <f ca="1">IFERROR(__xludf.DUMMYFUNCTION("""COMPUTED_VALUE"""),1348330)</f>
        <v>1348330</v>
      </c>
      <c r="E398" s="12">
        <f ca="1">IFERROR(__xludf.DUMMYFUNCTION("""COMPUTED_VALUE"""),40858)</f>
        <v>40858</v>
      </c>
      <c r="F398" s="12">
        <f ca="1">IFERROR(__xludf.DUMMYFUNCTION("""COMPUTED_VALUE"""),6341)</f>
        <v>6341</v>
      </c>
      <c r="G398" s="12">
        <f ca="1">IFERROR(__xludf.DUMMYFUNCTION("""COMPUTED_VALUE"""),369007)</f>
        <v>369007</v>
      </c>
      <c r="H398" s="12">
        <f ca="1">IFERROR(__xludf.DUMMYFUNCTION("""COMPUTED_VALUE"""),3028)</f>
        <v>3028</v>
      </c>
      <c r="I398" s="12">
        <f ca="1">IFERROR(__xludf.DUMMYFUNCTION("""COMPUTED_VALUE"""),3679)</f>
        <v>3679</v>
      </c>
      <c r="J398" s="12">
        <f ca="1">IFERROR(__xludf.DUMMYFUNCTION("""COMPUTED_VALUE"""),382055)</f>
        <v>382055</v>
      </c>
      <c r="K398" s="12">
        <f ca="1">IFERROR(__xludf.DUMMYFUNCTION("""COMPUTED_VALUE"""),6707)</f>
        <v>6707</v>
      </c>
      <c r="L398" s="12">
        <f ca="1">IFERROR(__xludf.DUMMYFUNCTION("""COMPUTED_VALUE"""),5937)</f>
        <v>5937</v>
      </c>
      <c r="M398" s="12">
        <f ca="1">IFERROR(__xludf.DUMMYFUNCTION("""COMPUTED_VALUE"""),198)</f>
        <v>198</v>
      </c>
      <c r="N398" s="12">
        <f ca="1">IFERROR(__xludf.DUMMYFUNCTION("""COMPUTED_VALUE"""),5635)</f>
        <v>5635</v>
      </c>
      <c r="O398" s="12">
        <f ca="1">IFERROR(__xludf.DUMMYFUNCTION("""COMPUTED_VALUE"""),104)</f>
        <v>104</v>
      </c>
      <c r="P398" s="12">
        <f ca="1">IFERROR(__xludf.DUMMYFUNCTION("""COMPUTED_VALUE"""),14)</f>
        <v>14</v>
      </c>
      <c r="Q398" s="12">
        <f ca="1">IFERROR(__xludf.DUMMYFUNCTION("""COMPUTED_VALUE"""),1188)</f>
        <v>1188</v>
      </c>
      <c r="R398" s="12">
        <f ca="1">IFERROR(__xludf.DUMMYFUNCTION("""COMPUTED_VALUE"""),-391)</f>
        <v>-391</v>
      </c>
      <c r="S398" s="12">
        <f ca="1">IFERROR(__xludf.DUMMYFUNCTION("""COMPUTED_VALUE"""),154)</f>
        <v>154</v>
      </c>
      <c r="T398" s="12">
        <f ca="1">IFERROR(__xludf.DUMMYFUNCTION("""COMPUTED_VALUE"""),965)</f>
        <v>965</v>
      </c>
      <c r="U398" s="12">
        <f ca="1">IFERROR(__xludf.DUMMYFUNCTION("""COMPUTED_VALUE"""),-237)</f>
        <v>-237</v>
      </c>
    </row>
    <row r="399" spans="1:21" x14ac:dyDescent="0.25">
      <c r="A399" s="11">
        <f ca="1">IFERROR(__xludf.DUMMYFUNCTION("""COMPUTED_VALUE"""),44287)</f>
        <v>44287</v>
      </c>
      <c r="B399" s="12">
        <f ca="1">IFERROR(__xludf.DUMMYFUNCTION("""COMPUTED_VALUE"""),1517854)</f>
        <v>1517854</v>
      </c>
      <c r="C399" s="12">
        <f ca="1">IFERROR(__xludf.DUMMYFUNCTION("""COMPUTED_VALUE"""),121222)</f>
        <v>121222</v>
      </c>
      <c r="D399" s="12">
        <f ca="1">IFERROR(__xludf.DUMMYFUNCTION("""COMPUTED_VALUE"""),1355578)</f>
        <v>1355578</v>
      </c>
      <c r="E399" s="12">
        <f ca="1">IFERROR(__xludf.DUMMYFUNCTION("""COMPUTED_VALUE"""),41054)</f>
        <v>41054</v>
      </c>
      <c r="F399" s="12">
        <f ca="1">IFERROR(__xludf.DUMMYFUNCTION("""COMPUTED_VALUE"""),6344)</f>
        <v>6344</v>
      </c>
      <c r="G399" s="12">
        <f ca="1">IFERROR(__xludf.DUMMYFUNCTION("""COMPUTED_VALUE"""),369929)</f>
        <v>369929</v>
      </c>
      <c r="H399" s="12">
        <f ca="1">IFERROR(__xludf.DUMMYFUNCTION("""COMPUTED_VALUE"""),3447)</f>
        <v>3447</v>
      </c>
      <c r="I399" s="12">
        <f ca="1">IFERROR(__xludf.DUMMYFUNCTION("""COMPUTED_VALUE"""),3672)</f>
        <v>3672</v>
      </c>
      <c r="J399" s="12">
        <f ca="1">IFERROR(__xludf.DUMMYFUNCTION("""COMPUTED_VALUE"""),383392)</f>
        <v>383392</v>
      </c>
      <c r="K399" s="12">
        <f ca="1">IFERROR(__xludf.DUMMYFUNCTION("""COMPUTED_VALUE"""),7119)</f>
        <v>7119</v>
      </c>
      <c r="L399" s="12">
        <f ca="1">IFERROR(__xludf.DUMMYFUNCTION("""COMPUTED_VALUE"""),6142)</f>
        <v>6142</v>
      </c>
      <c r="M399" s="12">
        <f ca="1">IFERROR(__xludf.DUMMYFUNCTION("""COMPUTED_VALUE"""),-1302)</f>
        <v>-1302</v>
      </c>
      <c r="N399" s="12">
        <f ca="1">IFERROR(__xludf.DUMMYFUNCTION("""COMPUTED_VALUE"""),7248)</f>
        <v>7248</v>
      </c>
      <c r="O399" s="12">
        <f ca="1">IFERROR(__xludf.DUMMYFUNCTION("""COMPUTED_VALUE"""),196)</f>
        <v>196</v>
      </c>
      <c r="P399" s="12">
        <f ca="1">IFERROR(__xludf.DUMMYFUNCTION("""COMPUTED_VALUE"""),3)</f>
        <v>3</v>
      </c>
      <c r="Q399" s="12">
        <f ca="1">IFERROR(__xludf.DUMMYFUNCTION("""COMPUTED_VALUE"""),922)</f>
        <v>922</v>
      </c>
      <c r="R399" s="12">
        <f ca="1">IFERROR(__xludf.DUMMYFUNCTION("""COMPUTED_VALUE"""),419)</f>
        <v>419</v>
      </c>
      <c r="S399" s="12">
        <f ca="1">IFERROR(__xludf.DUMMYFUNCTION("""COMPUTED_VALUE"""),-7)</f>
        <v>-7</v>
      </c>
      <c r="T399" s="12">
        <f ca="1">IFERROR(__xludf.DUMMYFUNCTION("""COMPUTED_VALUE"""),1337)</f>
        <v>1337</v>
      </c>
      <c r="U399" s="12">
        <f ca="1">IFERROR(__xludf.DUMMYFUNCTION("""COMPUTED_VALUE"""),412)</f>
        <v>412</v>
      </c>
    </row>
    <row r="400" spans="1:21" x14ac:dyDescent="0.25">
      <c r="A400" s="11">
        <f ca="1">IFERROR(__xludf.DUMMYFUNCTION("""COMPUTED_VALUE"""),44288)</f>
        <v>44288</v>
      </c>
      <c r="B400" s="12">
        <f ca="1">IFERROR(__xludf.DUMMYFUNCTION("""COMPUTED_VALUE"""),1523179)</f>
        <v>1523179</v>
      </c>
      <c r="C400" s="12">
        <f ca="1">IFERROR(__xludf.DUMMYFUNCTION("""COMPUTED_VALUE"""),121011)</f>
        <v>121011</v>
      </c>
      <c r="D400" s="12">
        <f ca="1">IFERROR(__xludf.DUMMYFUNCTION("""COMPUTED_VALUE"""),1361017)</f>
        <v>1361017</v>
      </c>
      <c r="E400" s="12">
        <f ca="1">IFERROR(__xludf.DUMMYFUNCTION("""COMPUTED_VALUE"""),41151)</f>
        <v>41151</v>
      </c>
      <c r="F400" s="12">
        <f ca="1">IFERROR(__xludf.DUMMYFUNCTION("""COMPUTED_VALUE"""),6351)</f>
        <v>6351</v>
      </c>
      <c r="G400" s="12">
        <f ca="1">IFERROR(__xludf.DUMMYFUNCTION("""COMPUTED_VALUE"""),371254)</f>
        <v>371254</v>
      </c>
      <c r="H400" s="12">
        <f ca="1">IFERROR(__xludf.DUMMYFUNCTION("""COMPUTED_VALUE"""),3433)</f>
        <v>3433</v>
      </c>
      <c r="I400" s="12">
        <f ca="1">IFERROR(__xludf.DUMMYFUNCTION("""COMPUTED_VALUE"""),3594)</f>
        <v>3594</v>
      </c>
      <c r="J400" s="12">
        <f ca="1">IFERROR(__xludf.DUMMYFUNCTION("""COMPUTED_VALUE"""),384632)</f>
        <v>384632</v>
      </c>
      <c r="K400" s="12">
        <f ca="1">IFERROR(__xludf.DUMMYFUNCTION("""COMPUTED_VALUE"""),7027)</f>
        <v>7027</v>
      </c>
      <c r="L400" s="12">
        <f ca="1">IFERROR(__xludf.DUMMYFUNCTION("""COMPUTED_VALUE"""),5325)</f>
        <v>5325</v>
      </c>
      <c r="M400" s="12">
        <f ca="1">IFERROR(__xludf.DUMMYFUNCTION("""COMPUTED_VALUE"""),-211)</f>
        <v>-211</v>
      </c>
      <c r="N400" s="12">
        <f ca="1">IFERROR(__xludf.DUMMYFUNCTION("""COMPUTED_VALUE"""),5439)</f>
        <v>5439</v>
      </c>
      <c r="O400" s="12">
        <f ca="1">IFERROR(__xludf.DUMMYFUNCTION("""COMPUTED_VALUE"""),97)</f>
        <v>97</v>
      </c>
      <c r="P400" s="12">
        <f ca="1">IFERROR(__xludf.DUMMYFUNCTION("""COMPUTED_VALUE"""),7)</f>
        <v>7</v>
      </c>
      <c r="Q400" s="12">
        <f ca="1">IFERROR(__xludf.DUMMYFUNCTION("""COMPUTED_VALUE"""),1325)</f>
        <v>1325</v>
      </c>
      <c r="R400" s="12">
        <f ca="1">IFERROR(__xludf.DUMMYFUNCTION("""COMPUTED_VALUE"""),-14)</f>
        <v>-14</v>
      </c>
      <c r="S400" s="12">
        <f ca="1">IFERROR(__xludf.DUMMYFUNCTION("""COMPUTED_VALUE"""),-78)</f>
        <v>-78</v>
      </c>
      <c r="T400" s="12">
        <f ca="1">IFERROR(__xludf.DUMMYFUNCTION("""COMPUTED_VALUE"""),1240)</f>
        <v>1240</v>
      </c>
      <c r="U400" s="12">
        <f ca="1">IFERROR(__xludf.DUMMYFUNCTION("""COMPUTED_VALUE"""),-92)</f>
        <v>-92</v>
      </c>
    </row>
    <row r="401" spans="1:21" x14ac:dyDescent="0.25">
      <c r="A401" s="11">
        <f ca="1">IFERROR(__xludf.DUMMYFUNCTION("""COMPUTED_VALUE"""),44289)</f>
        <v>44289</v>
      </c>
      <c r="B401" s="12">
        <f ca="1">IFERROR(__xludf.DUMMYFUNCTION("""COMPUTED_VALUE"""),1527524)</f>
        <v>1527524</v>
      </c>
      <c r="C401" s="12">
        <f ca="1">IFERROR(__xludf.DUMMYFUNCTION("""COMPUTED_VALUE"""),120068)</f>
        <v>120068</v>
      </c>
      <c r="D401" s="12">
        <f ca="1">IFERROR(__xludf.DUMMYFUNCTION("""COMPUTED_VALUE"""),1366214)</f>
        <v>1366214</v>
      </c>
      <c r="E401" s="12">
        <f ca="1">IFERROR(__xludf.DUMMYFUNCTION("""COMPUTED_VALUE"""),41242)</f>
        <v>41242</v>
      </c>
      <c r="F401" s="12">
        <f ca="1">IFERROR(__xludf.DUMMYFUNCTION("""COMPUTED_VALUE"""),6356)</f>
        <v>6356</v>
      </c>
      <c r="G401" s="12">
        <f ca="1">IFERROR(__xludf.DUMMYFUNCTION("""COMPUTED_VALUE"""),372494)</f>
        <v>372494</v>
      </c>
      <c r="H401" s="12">
        <f ca="1">IFERROR(__xludf.DUMMYFUNCTION("""COMPUTED_VALUE"""),3317)</f>
        <v>3317</v>
      </c>
      <c r="I401" s="12">
        <f ca="1">IFERROR(__xludf.DUMMYFUNCTION("""COMPUTED_VALUE"""),3563)</f>
        <v>3563</v>
      </c>
      <c r="J401" s="12">
        <f ca="1">IFERROR(__xludf.DUMMYFUNCTION("""COMPUTED_VALUE"""),385730)</f>
        <v>385730</v>
      </c>
      <c r="K401" s="12">
        <f ca="1">IFERROR(__xludf.DUMMYFUNCTION("""COMPUTED_VALUE"""),6880)</f>
        <v>6880</v>
      </c>
      <c r="L401" s="12">
        <f ca="1">IFERROR(__xludf.DUMMYFUNCTION("""COMPUTED_VALUE"""),4345)</f>
        <v>4345</v>
      </c>
      <c r="M401" s="12">
        <f ca="1">IFERROR(__xludf.DUMMYFUNCTION("""COMPUTED_VALUE"""),-943)</f>
        <v>-943</v>
      </c>
      <c r="N401" s="12">
        <f ca="1">IFERROR(__xludf.DUMMYFUNCTION("""COMPUTED_VALUE"""),5197)</f>
        <v>5197</v>
      </c>
      <c r="O401" s="12">
        <f ca="1">IFERROR(__xludf.DUMMYFUNCTION("""COMPUTED_VALUE"""),91)</f>
        <v>91</v>
      </c>
      <c r="P401" s="12">
        <f ca="1">IFERROR(__xludf.DUMMYFUNCTION("""COMPUTED_VALUE"""),5)</f>
        <v>5</v>
      </c>
      <c r="Q401" s="12">
        <f ca="1">IFERROR(__xludf.DUMMYFUNCTION("""COMPUTED_VALUE"""),1240)</f>
        <v>1240</v>
      </c>
      <c r="R401" s="12">
        <f ca="1">IFERROR(__xludf.DUMMYFUNCTION("""COMPUTED_VALUE"""),-116)</f>
        <v>-116</v>
      </c>
      <c r="S401" s="12">
        <f ca="1">IFERROR(__xludf.DUMMYFUNCTION("""COMPUTED_VALUE"""),-31)</f>
        <v>-31</v>
      </c>
      <c r="T401" s="12">
        <f ca="1">IFERROR(__xludf.DUMMYFUNCTION("""COMPUTED_VALUE"""),1098)</f>
        <v>1098</v>
      </c>
      <c r="U401" s="12">
        <f ca="1">IFERROR(__xludf.DUMMYFUNCTION("""COMPUTED_VALUE"""),-147)</f>
        <v>-147</v>
      </c>
    </row>
    <row r="402" spans="1:21" x14ac:dyDescent="0.25">
      <c r="A402" s="11">
        <f ca="1">IFERROR(__xludf.DUMMYFUNCTION("""COMPUTED_VALUE"""),44290)</f>
        <v>44290</v>
      </c>
      <c r="B402" s="12">
        <f ca="1">IFERROR(__xludf.DUMMYFUNCTION("""COMPUTED_VALUE"""),1534255)</f>
        <v>1534255</v>
      </c>
      <c r="C402" s="12">
        <f ca="1">IFERROR(__xludf.DUMMYFUNCTION("""COMPUTED_VALUE"""),116709)</f>
        <v>116709</v>
      </c>
      <c r="D402" s="12">
        <f ca="1">IFERROR(__xludf.DUMMYFUNCTION("""COMPUTED_VALUE"""),1375877)</f>
        <v>1375877</v>
      </c>
      <c r="E402" s="12">
        <f ca="1">IFERROR(__xludf.DUMMYFUNCTION("""COMPUTED_VALUE"""),41669)</f>
        <v>41669</v>
      </c>
      <c r="F402" s="12">
        <f ca="1">IFERROR(__xludf.DUMMYFUNCTION("""COMPUTED_VALUE"""),6360)</f>
        <v>6360</v>
      </c>
      <c r="G402" s="12">
        <f ca="1">IFERROR(__xludf.DUMMYFUNCTION("""COMPUTED_VALUE"""),373565)</f>
        <v>373565</v>
      </c>
      <c r="H402" s="12">
        <f ca="1">IFERROR(__xludf.DUMMYFUNCTION("""COMPUTED_VALUE"""),3149)</f>
        <v>3149</v>
      </c>
      <c r="I402" s="12">
        <f ca="1">IFERROR(__xludf.DUMMYFUNCTION("""COMPUTED_VALUE"""),3392)</f>
        <v>3392</v>
      </c>
      <c r="J402" s="12">
        <f ca="1">IFERROR(__xludf.DUMMYFUNCTION("""COMPUTED_VALUE"""),386466)</f>
        <v>386466</v>
      </c>
      <c r="K402" s="12">
        <f ca="1">IFERROR(__xludf.DUMMYFUNCTION("""COMPUTED_VALUE"""),6541)</f>
        <v>6541</v>
      </c>
      <c r="L402" s="12">
        <f ca="1">IFERROR(__xludf.DUMMYFUNCTION("""COMPUTED_VALUE"""),6731)</f>
        <v>6731</v>
      </c>
      <c r="M402" s="12">
        <f ca="1">IFERROR(__xludf.DUMMYFUNCTION("""COMPUTED_VALUE"""),-3359)</f>
        <v>-3359</v>
      </c>
      <c r="N402" s="12">
        <f ca="1">IFERROR(__xludf.DUMMYFUNCTION("""COMPUTED_VALUE"""),9663)</f>
        <v>9663</v>
      </c>
      <c r="O402" s="12">
        <f ca="1">IFERROR(__xludf.DUMMYFUNCTION("""COMPUTED_VALUE"""),427)</f>
        <v>427</v>
      </c>
      <c r="P402" s="12">
        <f ca="1">IFERROR(__xludf.DUMMYFUNCTION("""COMPUTED_VALUE"""),4)</f>
        <v>4</v>
      </c>
      <c r="Q402" s="12">
        <f ca="1">IFERROR(__xludf.DUMMYFUNCTION("""COMPUTED_VALUE"""),1071)</f>
        <v>1071</v>
      </c>
      <c r="R402" s="12">
        <f ca="1">IFERROR(__xludf.DUMMYFUNCTION("""COMPUTED_VALUE"""),-168)</f>
        <v>-168</v>
      </c>
      <c r="S402" s="12">
        <f ca="1">IFERROR(__xludf.DUMMYFUNCTION("""COMPUTED_VALUE"""),-171)</f>
        <v>-171</v>
      </c>
      <c r="T402" s="12">
        <f ca="1">IFERROR(__xludf.DUMMYFUNCTION("""COMPUTED_VALUE"""),736)</f>
        <v>736</v>
      </c>
      <c r="U402" s="12">
        <f ca="1">IFERROR(__xludf.DUMMYFUNCTION("""COMPUTED_VALUE"""),-339)</f>
        <v>-339</v>
      </c>
    </row>
    <row r="403" spans="1:21" x14ac:dyDescent="0.25">
      <c r="A403" s="11">
        <f ca="1">IFERROR(__xludf.DUMMYFUNCTION("""COMPUTED_VALUE"""),44291)</f>
        <v>44291</v>
      </c>
      <c r="B403" s="12">
        <f ca="1">IFERROR(__xludf.DUMMYFUNCTION("""COMPUTED_VALUE"""),1537967)</f>
        <v>1537967</v>
      </c>
      <c r="C403" s="12">
        <f ca="1">IFERROR(__xludf.DUMMYFUNCTION("""COMPUTED_VALUE"""),114475)</f>
        <v>114475</v>
      </c>
      <c r="D403" s="12">
        <f ca="1">IFERROR(__xludf.DUMMYFUNCTION("""COMPUTED_VALUE"""),1381677)</f>
        <v>1381677</v>
      </c>
      <c r="E403" s="12">
        <f ca="1">IFERROR(__xludf.DUMMYFUNCTION("""COMPUTED_VALUE"""),41815)</f>
        <v>41815</v>
      </c>
      <c r="F403" s="12">
        <f ca="1">IFERROR(__xludf.DUMMYFUNCTION("""COMPUTED_VALUE"""),6372)</f>
        <v>6372</v>
      </c>
      <c r="G403" s="12">
        <f ca="1">IFERROR(__xludf.DUMMYFUNCTION("""COMPUTED_VALUE"""),374542)</f>
        <v>374542</v>
      </c>
      <c r="H403" s="12">
        <f ca="1">IFERROR(__xludf.DUMMYFUNCTION("""COMPUTED_VALUE"""),2771)</f>
        <v>2771</v>
      </c>
      <c r="I403" s="12">
        <f ca="1">IFERROR(__xludf.DUMMYFUNCTION("""COMPUTED_VALUE"""),3304)</f>
        <v>3304</v>
      </c>
      <c r="J403" s="12">
        <f ca="1">IFERROR(__xludf.DUMMYFUNCTION("""COMPUTED_VALUE"""),386989)</f>
        <v>386989</v>
      </c>
      <c r="K403" s="12">
        <f ca="1">IFERROR(__xludf.DUMMYFUNCTION("""COMPUTED_VALUE"""),6075)</f>
        <v>6075</v>
      </c>
      <c r="L403" s="12">
        <f ca="1">IFERROR(__xludf.DUMMYFUNCTION("""COMPUTED_VALUE"""),3712)</f>
        <v>3712</v>
      </c>
      <c r="M403" s="12">
        <f ca="1">IFERROR(__xludf.DUMMYFUNCTION("""COMPUTED_VALUE"""),-2234)</f>
        <v>-2234</v>
      </c>
      <c r="N403" s="12">
        <f ca="1">IFERROR(__xludf.DUMMYFUNCTION("""COMPUTED_VALUE"""),5800)</f>
        <v>5800</v>
      </c>
      <c r="O403" s="12">
        <f ca="1">IFERROR(__xludf.DUMMYFUNCTION("""COMPUTED_VALUE"""),146)</f>
        <v>146</v>
      </c>
      <c r="P403" s="12">
        <f ca="1">IFERROR(__xludf.DUMMYFUNCTION("""COMPUTED_VALUE"""),12)</f>
        <v>12</v>
      </c>
      <c r="Q403" s="12">
        <f ca="1">IFERROR(__xludf.DUMMYFUNCTION("""COMPUTED_VALUE"""),977)</f>
        <v>977</v>
      </c>
      <c r="R403" s="12">
        <f ca="1">IFERROR(__xludf.DUMMYFUNCTION("""COMPUTED_VALUE"""),-378)</f>
        <v>-378</v>
      </c>
      <c r="S403" s="12">
        <f ca="1">IFERROR(__xludf.DUMMYFUNCTION("""COMPUTED_VALUE"""),-88)</f>
        <v>-88</v>
      </c>
      <c r="T403" s="12">
        <f ca="1">IFERROR(__xludf.DUMMYFUNCTION("""COMPUTED_VALUE"""),523)</f>
        <v>523</v>
      </c>
      <c r="U403" s="12">
        <f ca="1">IFERROR(__xludf.DUMMYFUNCTION("""COMPUTED_VALUE"""),-466)</f>
        <v>-466</v>
      </c>
    </row>
    <row r="404" spans="1:21" x14ac:dyDescent="0.25">
      <c r="A404" s="11">
        <f ca="1">IFERROR(__xludf.DUMMYFUNCTION("""COMPUTED_VALUE"""),44292)</f>
        <v>44292</v>
      </c>
      <c r="B404" s="12">
        <f ca="1">IFERROR(__xludf.DUMMYFUNCTION("""COMPUTED_VALUE"""),1542516)</f>
        <v>1542516</v>
      </c>
      <c r="C404" s="12">
        <f ca="1">IFERROR(__xludf.DUMMYFUNCTION("""COMPUTED_VALUE"""),114566)</f>
        <v>114566</v>
      </c>
      <c r="D404" s="12">
        <f ca="1">IFERROR(__xludf.DUMMYFUNCTION("""COMPUTED_VALUE"""),1385973)</f>
        <v>1385973</v>
      </c>
      <c r="E404" s="12">
        <f ca="1">IFERROR(__xludf.DUMMYFUNCTION("""COMPUTED_VALUE"""),41977)</f>
        <v>41977</v>
      </c>
      <c r="F404" s="12">
        <f ca="1">IFERROR(__xludf.DUMMYFUNCTION("""COMPUTED_VALUE"""),6379)</f>
        <v>6379</v>
      </c>
      <c r="G404" s="12">
        <f ca="1">IFERROR(__xludf.DUMMYFUNCTION("""COMPUTED_VALUE"""),375080)</f>
        <v>375080</v>
      </c>
      <c r="H404" s="12">
        <f ca="1">IFERROR(__xludf.DUMMYFUNCTION("""COMPUTED_VALUE"""),2705)</f>
        <v>2705</v>
      </c>
      <c r="I404" s="12">
        <f ca="1">IFERROR(__xludf.DUMMYFUNCTION("""COMPUTED_VALUE"""),3312)</f>
        <v>3312</v>
      </c>
      <c r="J404" s="12">
        <f ca="1">IFERROR(__xludf.DUMMYFUNCTION("""COMPUTED_VALUE"""),387476)</f>
        <v>387476</v>
      </c>
      <c r="K404" s="12">
        <f ca="1">IFERROR(__xludf.DUMMYFUNCTION("""COMPUTED_VALUE"""),6017)</f>
        <v>6017</v>
      </c>
      <c r="L404" s="12">
        <f ca="1">IFERROR(__xludf.DUMMYFUNCTION("""COMPUTED_VALUE"""),4549)</f>
        <v>4549</v>
      </c>
      <c r="M404" s="12">
        <f ca="1">IFERROR(__xludf.DUMMYFUNCTION("""COMPUTED_VALUE"""),91)</f>
        <v>91</v>
      </c>
      <c r="N404" s="12">
        <f ca="1">IFERROR(__xludf.DUMMYFUNCTION("""COMPUTED_VALUE"""),4296)</f>
        <v>4296</v>
      </c>
      <c r="O404" s="12">
        <f ca="1">IFERROR(__xludf.DUMMYFUNCTION("""COMPUTED_VALUE"""),162)</f>
        <v>162</v>
      </c>
      <c r="P404" s="12">
        <f ca="1">IFERROR(__xludf.DUMMYFUNCTION("""COMPUTED_VALUE"""),7)</f>
        <v>7</v>
      </c>
      <c r="Q404" s="12">
        <f ca="1">IFERROR(__xludf.DUMMYFUNCTION("""COMPUTED_VALUE"""),538)</f>
        <v>538</v>
      </c>
      <c r="R404" s="12">
        <f ca="1">IFERROR(__xludf.DUMMYFUNCTION("""COMPUTED_VALUE"""),-66)</f>
        <v>-66</v>
      </c>
      <c r="S404" s="12">
        <f ca="1">IFERROR(__xludf.DUMMYFUNCTION("""COMPUTED_VALUE"""),8)</f>
        <v>8</v>
      </c>
      <c r="T404" s="12">
        <f ca="1">IFERROR(__xludf.DUMMYFUNCTION("""COMPUTED_VALUE"""),487)</f>
        <v>487</v>
      </c>
      <c r="U404" s="12">
        <f ca="1">IFERROR(__xludf.DUMMYFUNCTION("""COMPUTED_VALUE"""),-58)</f>
        <v>-58</v>
      </c>
    </row>
    <row r="405" spans="1:21" x14ac:dyDescent="0.25">
      <c r="A405" s="11">
        <f ca="1">IFERROR(__xludf.DUMMYFUNCTION("""COMPUTED_VALUE"""),44293)</f>
        <v>44293</v>
      </c>
      <c r="B405" s="12">
        <f ca="1">IFERROR(__xludf.DUMMYFUNCTION("""COMPUTED_VALUE"""),1547376)</f>
        <v>1547376</v>
      </c>
      <c r="C405" s="12">
        <f ca="1">IFERROR(__xludf.DUMMYFUNCTION("""COMPUTED_VALUE"""),113570)</f>
        <v>113570</v>
      </c>
      <c r="D405" s="12">
        <f ca="1">IFERROR(__xludf.DUMMYFUNCTION("""COMPUTED_VALUE"""),1391742)</f>
        <v>1391742</v>
      </c>
      <c r="E405" s="12">
        <f ca="1">IFERROR(__xludf.DUMMYFUNCTION("""COMPUTED_VALUE"""),42064)</f>
        <v>42064</v>
      </c>
      <c r="F405" s="12">
        <f ca="1">IFERROR(__xludf.DUMMYFUNCTION("""COMPUTED_VALUE"""),6391)</f>
        <v>6391</v>
      </c>
      <c r="G405" s="12">
        <f ca="1">IFERROR(__xludf.DUMMYFUNCTION("""COMPUTED_VALUE"""),375651)</f>
        <v>375651</v>
      </c>
      <c r="H405" s="12">
        <f ca="1">IFERROR(__xludf.DUMMYFUNCTION("""COMPUTED_VALUE"""),2814)</f>
        <v>2814</v>
      </c>
      <c r="I405" s="12">
        <f ca="1">IFERROR(__xludf.DUMMYFUNCTION("""COMPUTED_VALUE"""),3482)</f>
        <v>3482</v>
      </c>
      <c r="J405" s="12">
        <f ca="1">IFERROR(__xludf.DUMMYFUNCTION("""COMPUTED_VALUE"""),388338)</f>
        <v>388338</v>
      </c>
      <c r="K405" s="12">
        <f ca="1">IFERROR(__xludf.DUMMYFUNCTION("""COMPUTED_VALUE"""),6296)</f>
        <v>6296</v>
      </c>
      <c r="L405" s="12">
        <f ca="1">IFERROR(__xludf.DUMMYFUNCTION("""COMPUTED_VALUE"""),4860)</f>
        <v>4860</v>
      </c>
      <c r="M405" s="12">
        <f ca="1">IFERROR(__xludf.DUMMYFUNCTION("""COMPUTED_VALUE"""),-996)</f>
        <v>-996</v>
      </c>
      <c r="N405" s="12">
        <f ca="1">IFERROR(__xludf.DUMMYFUNCTION("""COMPUTED_VALUE"""),5769)</f>
        <v>5769</v>
      </c>
      <c r="O405" s="12">
        <f ca="1">IFERROR(__xludf.DUMMYFUNCTION("""COMPUTED_VALUE"""),87)</f>
        <v>87</v>
      </c>
      <c r="P405" s="12">
        <f ca="1">IFERROR(__xludf.DUMMYFUNCTION("""COMPUTED_VALUE"""),12)</f>
        <v>12</v>
      </c>
      <c r="Q405" s="12">
        <f ca="1">IFERROR(__xludf.DUMMYFUNCTION("""COMPUTED_VALUE"""),571)</f>
        <v>571</v>
      </c>
      <c r="R405" s="12">
        <f ca="1">IFERROR(__xludf.DUMMYFUNCTION("""COMPUTED_VALUE"""),109)</f>
        <v>109</v>
      </c>
      <c r="S405" s="12">
        <f ca="1">IFERROR(__xludf.DUMMYFUNCTION("""COMPUTED_VALUE"""),170)</f>
        <v>170</v>
      </c>
      <c r="T405" s="12">
        <f ca="1">IFERROR(__xludf.DUMMYFUNCTION("""COMPUTED_VALUE"""),862)</f>
        <v>862</v>
      </c>
      <c r="U405" s="12">
        <f ca="1">IFERROR(__xludf.DUMMYFUNCTION("""COMPUTED_VALUE"""),279)</f>
        <v>279</v>
      </c>
    </row>
    <row r="406" spans="1:21" x14ac:dyDescent="0.25">
      <c r="A406" s="11">
        <f ca="1">IFERROR(__xludf.DUMMYFUNCTION("""COMPUTED_VALUE"""),44294)</f>
        <v>44294</v>
      </c>
      <c r="B406" s="12">
        <f ca="1">IFERROR(__xludf.DUMMYFUNCTION("""COMPUTED_VALUE"""),1552880)</f>
        <v>1552880</v>
      </c>
      <c r="C406" s="12">
        <f ca="1">IFERROR(__xludf.DUMMYFUNCTION("""COMPUTED_VALUE"""),111271)</f>
        <v>111271</v>
      </c>
      <c r="D406" s="12">
        <f ca="1">IFERROR(__xludf.DUMMYFUNCTION("""COMPUTED_VALUE"""),1399382)</f>
        <v>1399382</v>
      </c>
      <c r="E406" s="12">
        <f ca="1">IFERROR(__xludf.DUMMYFUNCTION("""COMPUTED_VALUE"""),42227)</f>
        <v>42227</v>
      </c>
      <c r="F406" s="12">
        <f ca="1">IFERROR(__xludf.DUMMYFUNCTION("""COMPUTED_VALUE"""),6410)</f>
        <v>6410</v>
      </c>
      <c r="G406" s="12">
        <f ca="1">IFERROR(__xludf.DUMMYFUNCTION("""COMPUTED_VALUE"""),376270)</f>
        <v>376270</v>
      </c>
      <c r="H406" s="12">
        <f ca="1">IFERROR(__xludf.DUMMYFUNCTION("""COMPUTED_VALUE"""),3244)</f>
        <v>3244</v>
      </c>
      <c r="I406" s="12">
        <f ca="1">IFERROR(__xludf.DUMMYFUNCTION("""COMPUTED_VALUE"""),3653)</f>
        <v>3653</v>
      </c>
      <c r="J406" s="12">
        <f ca="1">IFERROR(__xludf.DUMMYFUNCTION("""COMPUTED_VALUE"""),389577)</f>
        <v>389577</v>
      </c>
      <c r="K406" s="12">
        <f ca="1">IFERROR(__xludf.DUMMYFUNCTION("""COMPUTED_VALUE"""),6897)</f>
        <v>6897</v>
      </c>
      <c r="L406" s="12">
        <f ca="1">IFERROR(__xludf.DUMMYFUNCTION("""COMPUTED_VALUE"""),5504)</f>
        <v>5504</v>
      </c>
      <c r="M406" s="12">
        <f ca="1">IFERROR(__xludf.DUMMYFUNCTION("""COMPUTED_VALUE"""),-2299)</f>
        <v>-2299</v>
      </c>
      <c r="N406" s="12">
        <f ca="1">IFERROR(__xludf.DUMMYFUNCTION("""COMPUTED_VALUE"""),7640)</f>
        <v>7640</v>
      </c>
      <c r="O406" s="12">
        <f ca="1">IFERROR(__xludf.DUMMYFUNCTION("""COMPUTED_VALUE"""),163)</f>
        <v>163</v>
      </c>
      <c r="P406" s="12">
        <f ca="1">IFERROR(__xludf.DUMMYFUNCTION("""COMPUTED_VALUE"""),19)</f>
        <v>19</v>
      </c>
      <c r="Q406" s="12">
        <f ca="1">IFERROR(__xludf.DUMMYFUNCTION("""COMPUTED_VALUE"""),619)</f>
        <v>619</v>
      </c>
      <c r="R406" s="12">
        <f ca="1">IFERROR(__xludf.DUMMYFUNCTION("""COMPUTED_VALUE"""),430)</f>
        <v>430</v>
      </c>
      <c r="S406" s="12">
        <f ca="1">IFERROR(__xludf.DUMMYFUNCTION("""COMPUTED_VALUE"""),171)</f>
        <v>171</v>
      </c>
      <c r="T406" s="12">
        <f ca="1">IFERROR(__xludf.DUMMYFUNCTION("""COMPUTED_VALUE"""),1239)</f>
        <v>1239</v>
      </c>
      <c r="U406" s="12">
        <f ca="1">IFERROR(__xludf.DUMMYFUNCTION("""COMPUTED_VALUE"""),601)</f>
        <v>601</v>
      </c>
    </row>
    <row r="407" spans="1:21" x14ac:dyDescent="0.25">
      <c r="A407" s="11">
        <f ca="1">IFERROR(__xludf.DUMMYFUNCTION("""COMPUTED_VALUE"""),44295)</f>
        <v>44295</v>
      </c>
      <c r="B407" s="12">
        <f ca="1">IFERROR(__xludf.DUMMYFUNCTION("""COMPUTED_VALUE"""),1558145)</f>
        <v>1558145</v>
      </c>
      <c r="C407" s="12">
        <f ca="1">IFERROR(__xludf.DUMMYFUNCTION("""COMPUTED_VALUE"""),110118)</f>
        <v>110118</v>
      </c>
      <c r="D407" s="12">
        <f ca="1">IFERROR(__xludf.DUMMYFUNCTION("""COMPUTED_VALUE"""),1405679)</f>
        <v>1405679</v>
      </c>
      <c r="E407" s="12">
        <f ca="1">IFERROR(__xludf.DUMMYFUNCTION("""COMPUTED_VALUE"""),42348)</f>
        <v>42348</v>
      </c>
      <c r="F407" s="12">
        <f ca="1">IFERROR(__xludf.DUMMYFUNCTION("""COMPUTED_VALUE"""),6424)</f>
        <v>6424</v>
      </c>
      <c r="G407" s="12">
        <f ca="1">IFERROR(__xludf.DUMMYFUNCTION("""COMPUTED_VALUE"""),376959)</f>
        <v>376959</v>
      </c>
      <c r="H407" s="12">
        <f ca="1">IFERROR(__xludf.DUMMYFUNCTION("""COMPUTED_VALUE"""),3506)</f>
        <v>3506</v>
      </c>
      <c r="I407" s="12">
        <f ca="1">IFERROR(__xludf.DUMMYFUNCTION("""COMPUTED_VALUE"""),3701)</f>
        <v>3701</v>
      </c>
      <c r="J407" s="12">
        <f ca="1">IFERROR(__xludf.DUMMYFUNCTION("""COMPUTED_VALUE"""),390590)</f>
        <v>390590</v>
      </c>
      <c r="K407" s="12">
        <f ca="1">IFERROR(__xludf.DUMMYFUNCTION("""COMPUTED_VALUE"""),7207)</f>
        <v>7207</v>
      </c>
      <c r="L407" s="12">
        <f ca="1">IFERROR(__xludf.DUMMYFUNCTION("""COMPUTED_VALUE"""),5265)</f>
        <v>5265</v>
      </c>
      <c r="M407" s="12">
        <f ca="1">IFERROR(__xludf.DUMMYFUNCTION("""COMPUTED_VALUE"""),-1153)</f>
        <v>-1153</v>
      </c>
      <c r="N407" s="12">
        <f ca="1">IFERROR(__xludf.DUMMYFUNCTION("""COMPUTED_VALUE"""),6297)</f>
        <v>6297</v>
      </c>
      <c r="O407" s="12">
        <f ca="1">IFERROR(__xludf.DUMMYFUNCTION("""COMPUTED_VALUE"""),121)</f>
        <v>121</v>
      </c>
      <c r="P407" s="12">
        <f ca="1">IFERROR(__xludf.DUMMYFUNCTION("""COMPUTED_VALUE"""),14)</f>
        <v>14</v>
      </c>
      <c r="Q407" s="12">
        <f ca="1">IFERROR(__xludf.DUMMYFUNCTION("""COMPUTED_VALUE"""),689)</f>
        <v>689</v>
      </c>
      <c r="R407" s="12">
        <f ca="1">IFERROR(__xludf.DUMMYFUNCTION("""COMPUTED_VALUE"""),262)</f>
        <v>262</v>
      </c>
      <c r="S407" s="12">
        <f ca="1">IFERROR(__xludf.DUMMYFUNCTION("""COMPUTED_VALUE"""),48)</f>
        <v>48</v>
      </c>
      <c r="T407" s="12">
        <f ca="1">IFERROR(__xludf.DUMMYFUNCTION("""COMPUTED_VALUE"""),1013)</f>
        <v>1013</v>
      </c>
      <c r="U407" s="12">
        <f ca="1">IFERROR(__xludf.DUMMYFUNCTION("""COMPUTED_VALUE"""),310)</f>
        <v>310</v>
      </c>
    </row>
    <row r="408" spans="1:21" x14ac:dyDescent="0.25">
      <c r="A408" s="11">
        <f ca="1">IFERROR(__xludf.DUMMYFUNCTION("""COMPUTED_VALUE"""),44296)</f>
        <v>44296</v>
      </c>
      <c r="B408" s="12">
        <f ca="1">IFERROR(__xludf.DUMMYFUNCTION("""COMPUTED_VALUE"""),1562868)</f>
        <v>1562868</v>
      </c>
      <c r="C408" s="12">
        <f ca="1">IFERROR(__xludf.DUMMYFUNCTION("""COMPUTED_VALUE"""),111137)</f>
        <v>111137</v>
      </c>
      <c r="D408" s="12">
        <f ca="1">IFERROR(__xludf.DUMMYFUNCTION("""COMPUTED_VALUE"""),1409288)</f>
        <v>1409288</v>
      </c>
      <c r="E408" s="12">
        <f ca="1">IFERROR(__xludf.DUMMYFUNCTION("""COMPUTED_VALUE"""),42443)</f>
        <v>42443</v>
      </c>
      <c r="F408" s="12">
        <f ca="1">IFERROR(__xludf.DUMMYFUNCTION("""COMPUTED_VALUE"""),6435)</f>
        <v>6435</v>
      </c>
      <c r="G408" s="12">
        <f ca="1">IFERROR(__xludf.DUMMYFUNCTION("""COMPUTED_VALUE"""),377797)</f>
        <v>377797</v>
      </c>
      <c r="H408" s="12">
        <f ca="1">IFERROR(__xludf.DUMMYFUNCTION("""COMPUTED_VALUE"""),3716)</f>
        <v>3716</v>
      </c>
      <c r="I408" s="12">
        <f ca="1">IFERROR(__xludf.DUMMYFUNCTION("""COMPUTED_VALUE"""),3619)</f>
        <v>3619</v>
      </c>
      <c r="J408" s="12">
        <f ca="1">IFERROR(__xludf.DUMMYFUNCTION("""COMPUTED_VALUE"""),391567)</f>
        <v>391567</v>
      </c>
      <c r="K408" s="12">
        <f ca="1">IFERROR(__xludf.DUMMYFUNCTION("""COMPUTED_VALUE"""),7335)</f>
        <v>7335</v>
      </c>
      <c r="L408" s="12">
        <f ca="1">IFERROR(__xludf.DUMMYFUNCTION("""COMPUTED_VALUE"""),4723)</f>
        <v>4723</v>
      </c>
      <c r="M408" s="12">
        <f ca="1">IFERROR(__xludf.DUMMYFUNCTION("""COMPUTED_VALUE"""),1019)</f>
        <v>1019</v>
      </c>
      <c r="N408" s="12">
        <f ca="1">IFERROR(__xludf.DUMMYFUNCTION("""COMPUTED_VALUE"""),3609)</f>
        <v>3609</v>
      </c>
      <c r="O408" s="12">
        <f ca="1">IFERROR(__xludf.DUMMYFUNCTION("""COMPUTED_VALUE"""),95)</f>
        <v>95</v>
      </c>
      <c r="P408" s="12">
        <f ca="1">IFERROR(__xludf.DUMMYFUNCTION("""COMPUTED_VALUE"""),11)</f>
        <v>11</v>
      </c>
      <c r="Q408" s="12">
        <f ca="1">IFERROR(__xludf.DUMMYFUNCTION("""COMPUTED_VALUE"""),838)</f>
        <v>838</v>
      </c>
      <c r="R408" s="12">
        <f ca="1">IFERROR(__xludf.DUMMYFUNCTION("""COMPUTED_VALUE"""),210)</f>
        <v>210</v>
      </c>
      <c r="S408" s="12">
        <f ca="1">IFERROR(__xludf.DUMMYFUNCTION("""COMPUTED_VALUE"""),-82)</f>
        <v>-82</v>
      </c>
      <c r="T408" s="12">
        <f ca="1">IFERROR(__xludf.DUMMYFUNCTION("""COMPUTED_VALUE"""),977)</f>
        <v>977</v>
      </c>
      <c r="U408" s="12">
        <f ca="1">IFERROR(__xludf.DUMMYFUNCTION("""COMPUTED_VALUE"""),128)</f>
        <v>128</v>
      </c>
    </row>
    <row r="409" spans="1:21" x14ac:dyDescent="0.25">
      <c r="A409" s="11">
        <f ca="1">IFERROR(__xludf.DUMMYFUNCTION("""COMPUTED_VALUE"""),44297)</f>
        <v>44297</v>
      </c>
      <c r="B409" s="12">
        <f ca="1">IFERROR(__xludf.DUMMYFUNCTION("""COMPUTED_VALUE"""),1566995)</f>
        <v>1566995</v>
      </c>
      <c r="C409" s="12">
        <f ca="1">IFERROR(__xludf.DUMMYFUNCTION("""COMPUTED_VALUE"""),109958)</f>
        <v>109958</v>
      </c>
      <c r="D409" s="12">
        <f ca="1">IFERROR(__xludf.DUMMYFUNCTION("""COMPUTED_VALUE"""),1414507)</f>
        <v>1414507</v>
      </c>
      <c r="E409" s="12">
        <f ca="1">IFERROR(__xludf.DUMMYFUNCTION("""COMPUTED_VALUE"""),42530)</f>
        <v>42530</v>
      </c>
      <c r="F409" s="12">
        <f ca="1">IFERROR(__xludf.DUMMYFUNCTION("""COMPUTED_VALUE"""),6450)</f>
        <v>6450</v>
      </c>
      <c r="G409" s="12">
        <f ca="1">IFERROR(__xludf.DUMMYFUNCTION("""COMPUTED_VALUE"""),379210)</f>
        <v>379210</v>
      </c>
      <c r="H409" s="12">
        <f ca="1">IFERROR(__xludf.DUMMYFUNCTION("""COMPUTED_VALUE"""),3617)</f>
        <v>3617</v>
      </c>
      <c r="I409" s="12">
        <f ca="1">IFERROR(__xludf.DUMMYFUNCTION("""COMPUTED_VALUE"""),3321)</f>
        <v>3321</v>
      </c>
      <c r="J409" s="12">
        <f ca="1">IFERROR(__xludf.DUMMYFUNCTION("""COMPUTED_VALUE"""),392598)</f>
        <v>392598</v>
      </c>
      <c r="K409" s="12">
        <f ca="1">IFERROR(__xludf.DUMMYFUNCTION("""COMPUTED_VALUE"""),6938)</f>
        <v>6938</v>
      </c>
      <c r="L409" s="12">
        <f ca="1">IFERROR(__xludf.DUMMYFUNCTION("""COMPUTED_VALUE"""),4127)</f>
        <v>4127</v>
      </c>
      <c r="M409" s="12">
        <f ca="1">IFERROR(__xludf.DUMMYFUNCTION("""COMPUTED_VALUE"""),-1179)</f>
        <v>-1179</v>
      </c>
      <c r="N409" s="12">
        <f ca="1">IFERROR(__xludf.DUMMYFUNCTION("""COMPUTED_VALUE"""),5219)</f>
        <v>5219</v>
      </c>
      <c r="O409" s="12">
        <f ca="1">IFERROR(__xludf.DUMMYFUNCTION("""COMPUTED_VALUE"""),87)</f>
        <v>87</v>
      </c>
      <c r="P409" s="12">
        <f ca="1">IFERROR(__xludf.DUMMYFUNCTION("""COMPUTED_VALUE"""),15)</f>
        <v>15</v>
      </c>
      <c r="Q409" s="12">
        <f ca="1">IFERROR(__xludf.DUMMYFUNCTION("""COMPUTED_VALUE"""),1413)</f>
        <v>1413</v>
      </c>
      <c r="R409" s="12">
        <f ca="1">IFERROR(__xludf.DUMMYFUNCTION("""COMPUTED_VALUE"""),-99)</f>
        <v>-99</v>
      </c>
      <c r="S409" s="12">
        <f ca="1">IFERROR(__xludf.DUMMYFUNCTION("""COMPUTED_VALUE"""),-298)</f>
        <v>-298</v>
      </c>
      <c r="T409" s="12">
        <f ca="1">IFERROR(__xludf.DUMMYFUNCTION("""COMPUTED_VALUE"""),1031)</f>
        <v>1031</v>
      </c>
      <c r="U409" s="12">
        <f ca="1">IFERROR(__xludf.DUMMYFUNCTION("""COMPUTED_VALUE"""),-397)</f>
        <v>-397</v>
      </c>
    </row>
    <row r="410" spans="1:21" x14ac:dyDescent="0.25">
      <c r="A410" s="11">
        <f ca="1">IFERROR(__xludf.DUMMYFUNCTION("""COMPUTED_VALUE"""),44298)</f>
        <v>44298</v>
      </c>
      <c r="B410" s="12">
        <f ca="1">IFERROR(__xludf.DUMMYFUNCTION("""COMPUTED_VALUE"""),1571824)</f>
        <v>1571824</v>
      </c>
      <c r="C410" s="12">
        <f ca="1">IFERROR(__xludf.DUMMYFUNCTION("""COMPUTED_VALUE"""),109372)</f>
        <v>109372</v>
      </c>
      <c r="D410" s="12">
        <f ca="1">IFERROR(__xludf.DUMMYFUNCTION("""COMPUTED_VALUE"""),1419796)</f>
        <v>1419796</v>
      </c>
      <c r="E410" s="12">
        <f ca="1">IFERROR(__xludf.DUMMYFUNCTION("""COMPUTED_VALUE"""),42656)</f>
        <v>42656</v>
      </c>
      <c r="F410" s="12">
        <f ca="1">IFERROR(__xludf.DUMMYFUNCTION("""COMPUTED_VALUE"""),6459)</f>
        <v>6459</v>
      </c>
      <c r="G410" s="12">
        <f ca="1">IFERROR(__xludf.DUMMYFUNCTION("""COMPUTED_VALUE"""),380560)</f>
        <v>380560</v>
      </c>
      <c r="H410" s="12">
        <f ca="1">IFERROR(__xludf.DUMMYFUNCTION("""COMPUTED_VALUE"""),3324)</f>
        <v>3324</v>
      </c>
      <c r="I410" s="12">
        <f ca="1">IFERROR(__xludf.DUMMYFUNCTION("""COMPUTED_VALUE"""),2947)</f>
        <v>2947</v>
      </c>
      <c r="J410" s="12">
        <f ca="1">IFERROR(__xludf.DUMMYFUNCTION("""COMPUTED_VALUE"""),393290)</f>
        <v>393290</v>
      </c>
      <c r="K410" s="12">
        <f ca="1">IFERROR(__xludf.DUMMYFUNCTION("""COMPUTED_VALUE"""),6271)</f>
        <v>6271</v>
      </c>
      <c r="L410" s="12">
        <f ca="1">IFERROR(__xludf.DUMMYFUNCTION("""COMPUTED_VALUE"""),4829)</f>
        <v>4829</v>
      </c>
      <c r="M410" s="12">
        <f ca="1">IFERROR(__xludf.DUMMYFUNCTION("""COMPUTED_VALUE"""),-586)</f>
        <v>-586</v>
      </c>
      <c r="N410" s="12">
        <f ca="1">IFERROR(__xludf.DUMMYFUNCTION("""COMPUTED_VALUE"""),5289)</f>
        <v>5289</v>
      </c>
      <c r="O410" s="12">
        <f ca="1">IFERROR(__xludf.DUMMYFUNCTION("""COMPUTED_VALUE"""),126)</f>
        <v>126</v>
      </c>
      <c r="P410" s="12">
        <f ca="1">IFERROR(__xludf.DUMMYFUNCTION("""COMPUTED_VALUE"""),9)</f>
        <v>9</v>
      </c>
      <c r="Q410" s="12">
        <f ca="1">IFERROR(__xludf.DUMMYFUNCTION("""COMPUTED_VALUE"""),1350)</f>
        <v>1350</v>
      </c>
      <c r="R410" s="12">
        <f ca="1">IFERROR(__xludf.DUMMYFUNCTION("""COMPUTED_VALUE"""),-293)</f>
        <v>-293</v>
      </c>
      <c r="S410" s="12">
        <f ca="1">IFERROR(__xludf.DUMMYFUNCTION("""COMPUTED_VALUE"""),-374)</f>
        <v>-374</v>
      </c>
      <c r="T410" s="12">
        <f ca="1">IFERROR(__xludf.DUMMYFUNCTION("""COMPUTED_VALUE"""),692)</f>
        <v>692</v>
      </c>
      <c r="U410" s="12">
        <f ca="1">IFERROR(__xludf.DUMMYFUNCTION("""COMPUTED_VALUE"""),-667)</f>
        <v>-667</v>
      </c>
    </row>
    <row r="411" spans="1:21" x14ac:dyDescent="0.25">
      <c r="A411" s="11">
        <f ca="1">IFERROR(__xludf.DUMMYFUNCTION("""COMPUTED_VALUE"""),44299)</f>
        <v>44299</v>
      </c>
      <c r="B411" s="12">
        <f ca="1">IFERROR(__xludf.DUMMYFUNCTION("""COMPUTED_VALUE"""),1577526)</f>
        <v>1577526</v>
      </c>
      <c r="C411" s="12">
        <f ca="1">IFERROR(__xludf.DUMMYFUNCTION("""COMPUTED_VALUE"""),108599)</f>
        <v>108599</v>
      </c>
      <c r="D411" s="12">
        <f ca="1">IFERROR(__xludf.DUMMYFUNCTION("""COMPUTED_VALUE"""),1426145)</f>
        <v>1426145</v>
      </c>
      <c r="E411" s="12">
        <f ca="1">IFERROR(__xludf.DUMMYFUNCTION("""COMPUTED_VALUE"""),42782)</f>
        <v>42782</v>
      </c>
      <c r="F411" s="12">
        <f ca="1">IFERROR(__xludf.DUMMYFUNCTION("""COMPUTED_VALUE"""),6482)</f>
        <v>6482</v>
      </c>
      <c r="G411" s="12">
        <f ca="1">IFERROR(__xludf.DUMMYFUNCTION("""COMPUTED_VALUE"""),381449)</f>
        <v>381449</v>
      </c>
      <c r="H411" s="12">
        <f ca="1">IFERROR(__xludf.DUMMYFUNCTION("""COMPUTED_VALUE"""),3326)</f>
        <v>3326</v>
      </c>
      <c r="I411" s="12">
        <f ca="1">IFERROR(__xludf.DUMMYFUNCTION("""COMPUTED_VALUE"""),2861)</f>
        <v>2861</v>
      </c>
      <c r="J411" s="12">
        <f ca="1">IFERROR(__xludf.DUMMYFUNCTION("""COMPUTED_VALUE"""),394118)</f>
        <v>394118</v>
      </c>
      <c r="K411" s="12">
        <f ca="1">IFERROR(__xludf.DUMMYFUNCTION("""COMPUTED_VALUE"""),6187)</f>
        <v>6187</v>
      </c>
      <c r="L411" s="12">
        <f ca="1">IFERROR(__xludf.DUMMYFUNCTION("""COMPUTED_VALUE"""),5702)</f>
        <v>5702</v>
      </c>
      <c r="M411" s="12">
        <f ca="1">IFERROR(__xludf.DUMMYFUNCTION("""COMPUTED_VALUE"""),-773)</f>
        <v>-773</v>
      </c>
      <c r="N411" s="12">
        <f ca="1">IFERROR(__xludf.DUMMYFUNCTION("""COMPUTED_VALUE"""),6349)</f>
        <v>6349</v>
      </c>
      <c r="O411" s="12">
        <f ca="1">IFERROR(__xludf.DUMMYFUNCTION("""COMPUTED_VALUE"""),126)</f>
        <v>126</v>
      </c>
      <c r="P411" s="12">
        <f ca="1">IFERROR(__xludf.DUMMYFUNCTION("""COMPUTED_VALUE"""),23)</f>
        <v>23</v>
      </c>
      <c r="Q411" s="12">
        <f ca="1">IFERROR(__xludf.DUMMYFUNCTION("""COMPUTED_VALUE"""),889)</f>
        <v>889</v>
      </c>
      <c r="R411" s="12">
        <f ca="1">IFERROR(__xludf.DUMMYFUNCTION("""COMPUTED_VALUE"""),2)</f>
        <v>2</v>
      </c>
      <c r="S411" s="12">
        <f ca="1">IFERROR(__xludf.DUMMYFUNCTION("""COMPUTED_VALUE"""),-86)</f>
        <v>-86</v>
      </c>
      <c r="T411" s="12">
        <f ca="1">IFERROR(__xludf.DUMMYFUNCTION("""COMPUTED_VALUE"""),828)</f>
        <v>828</v>
      </c>
      <c r="U411" s="12">
        <f ca="1">IFERROR(__xludf.DUMMYFUNCTION("""COMPUTED_VALUE"""),-84)</f>
        <v>-84</v>
      </c>
    </row>
    <row r="412" spans="1:21" x14ac:dyDescent="0.25">
      <c r="A412" s="11">
        <f ca="1">IFERROR(__xludf.DUMMYFUNCTION("""COMPUTED_VALUE"""),44300)</f>
        <v>44300</v>
      </c>
      <c r="B412" s="12">
        <f ca="1">IFERROR(__xludf.DUMMYFUNCTION("""COMPUTED_VALUE"""),1583182)</f>
        <v>1583182</v>
      </c>
      <c r="C412" s="12">
        <f ca="1">IFERROR(__xludf.DUMMYFUNCTION("""COMPUTED_VALUE"""),108384)</f>
        <v>108384</v>
      </c>
      <c r="D412" s="12">
        <f ca="1">IFERROR(__xludf.DUMMYFUNCTION("""COMPUTED_VALUE"""),1431892)</f>
        <v>1431892</v>
      </c>
      <c r="E412" s="12">
        <f ca="1">IFERROR(__xludf.DUMMYFUNCTION("""COMPUTED_VALUE"""),42906)</f>
        <v>42906</v>
      </c>
      <c r="F412" s="12">
        <f ca="1">IFERROR(__xludf.DUMMYFUNCTION("""COMPUTED_VALUE"""),6489)</f>
        <v>6489</v>
      </c>
      <c r="G412" s="12">
        <f ca="1">IFERROR(__xludf.DUMMYFUNCTION("""COMPUTED_VALUE"""),382091)</f>
        <v>382091</v>
      </c>
      <c r="H412" s="12">
        <f ca="1">IFERROR(__xludf.DUMMYFUNCTION("""COMPUTED_VALUE"""),3338)</f>
        <v>3338</v>
      </c>
      <c r="I412" s="12">
        <f ca="1">IFERROR(__xludf.DUMMYFUNCTION("""COMPUTED_VALUE"""),2861)</f>
        <v>2861</v>
      </c>
      <c r="J412" s="12">
        <f ca="1">IFERROR(__xludf.DUMMYFUNCTION("""COMPUTED_VALUE"""),394779)</f>
        <v>394779</v>
      </c>
      <c r="K412" s="12">
        <f ca="1">IFERROR(__xludf.DUMMYFUNCTION("""COMPUTED_VALUE"""),6199)</f>
        <v>6199</v>
      </c>
      <c r="L412" s="12">
        <f ca="1">IFERROR(__xludf.DUMMYFUNCTION("""COMPUTED_VALUE"""),5656)</f>
        <v>5656</v>
      </c>
      <c r="M412" s="12">
        <f ca="1">IFERROR(__xludf.DUMMYFUNCTION("""COMPUTED_VALUE"""),-215)</f>
        <v>-215</v>
      </c>
      <c r="N412" s="12">
        <f ca="1">IFERROR(__xludf.DUMMYFUNCTION("""COMPUTED_VALUE"""),5747)</f>
        <v>5747</v>
      </c>
      <c r="O412" s="12">
        <f ca="1">IFERROR(__xludf.DUMMYFUNCTION("""COMPUTED_VALUE"""),124)</f>
        <v>124</v>
      </c>
      <c r="P412" s="12">
        <f ca="1">IFERROR(__xludf.DUMMYFUNCTION("""COMPUTED_VALUE"""),7)</f>
        <v>7</v>
      </c>
      <c r="Q412" s="12">
        <f ca="1">IFERROR(__xludf.DUMMYFUNCTION("""COMPUTED_VALUE"""),642)</f>
        <v>642</v>
      </c>
      <c r="R412" s="12">
        <f ca="1">IFERROR(__xludf.DUMMYFUNCTION("""COMPUTED_VALUE"""),12)</f>
        <v>12</v>
      </c>
      <c r="S412" s="12">
        <f ca="1">IFERROR(__xludf.DUMMYFUNCTION("""COMPUTED_VALUE"""),0)</f>
        <v>0</v>
      </c>
      <c r="T412" s="12">
        <f ca="1">IFERROR(__xludf.DUMMYFUNCTION("""COMPUTED_VALUE"""),661)</f>
        <v>661</v>
      </c>
      <c r="U412" s="12">
        <f ca="1">IFERROR(__xludf.DUMMYFUNCTION("""COMPUTED_VALUE"""),12)</f>
        <v>12</v>
      </c>
    </row>
    <row r="413" spans="1:21" x14ac:dyDescent="0.25">
      <c r="A413" s="11">
        <f ca="1">IFERROR(__xludf.DUMMYFUNCTION("""COMPUTED_VALUE"""),44301)</f>
        <v>44301</v>
      </c>
      <c r="B413" s="12">
        <f ca="1">IFERROR(__xludf.DUMMYFUNCTION("""COMPUTED_VALUE"""),1589359)</f>
        <v>1589359</v>
      </c>
      <c r="C413" s="12">
        <f ca="1">IFERROR(__xludf.DUMMYFUNCTION("""COMPUTED_VALUE"""),108032)</f>
        <v>108032</v>
      </c>
      <c r="D413" s="12">
        <f ca="1">IFERROR(__xludf.DUMMYFUNCTION("""COMPUTED_VALUE"""),1438254)</f>
        <v>1438254</v>
      </c>
      <c r="E413" s="12">
        <f ca="1">IFERROR(__xludf.DUMMYFUNCTION("""COMPUTED_VALUE"""),43073)</f>
        <v>43073</v>
      </c>
      <c r="F413" s="12">
        <f ca="1">IFERROR(__xludf.DUMMYFUNCTION("""COMPUTED_VALUE"""),6504)</f>
        <v>6504</v>
      </c>
      <c r="G413" s="12">
        <f ca="1">IFERROR(__xludf.DUMMYFUNCTION("""COMPUTED_VALUE"""),382617)</f>
        <v>382617</v>
      </c>
      <c r="H413" s="12">
        <f ca="1">IFERROR(__xludf.DUMMYFUNCTION("""COMPUTED_VALUE"""),3921)</f>
        <v>3921</v>
      </c>
      <c r="I413" s="12">
        <f ca="1">IFERROR(__xludf.DUMMYFUNCTION("""COMPUTED_VALUE"""),3067)</f>
        <v>3067</v>
      </c>
      <c r="J413" s="12">
        <f ca="1">IFERROR(__xludf.DUMMYFUNCTION("""COMPUTED_VALUE"""),396109)</f>
        <v>396109</v>
      </c>
      <c r="K413" s="12">
        <f ca="1">IFERROR(__xludf.DUMMYFUNCTION("""COMPUTED_VALUE"""),6988)</f>
        <v>6988</v>
      </c>
      <c r="L413" s="12">
        <f ca="1">IFERROR(__xludf.DUMMYFUNCTION("""COMPUTED_VALUE"""),6177)</f>
        <v>6177</v>
      </c>
      <c r="M413" s="12">
        <f ca="1">IFERROR(__xludf.DUMMYFUNCTION("""COMPUTED_VALUE"""),-352)</f>
        <v>-352</v>
      </c>
      <c r="N413" s="12">
        <f ca="1">IFERROR(__xludf.DUMMYFUNCTION("""COMPUTED_VALUE"""),6362)</f>
        <v>6362</v>
      </c>
      <c r="O413" s="12">
        <f ca="1">IFERROR(__xludf.DUMMYFUNCTION("""COMPUTED_VALUE"""),167)</f>
        <v>167</v>
      </c>
      <c r="P413" s="12">
        <f ca="1">IFERROR(__xludf.DUMMYFUNCTION("""COMPUTED_VALUE"""),15)</f>
        <v>15</v>
      </c>
      <c r="Q413" s="12">
        <f ca="1">IFERROR(__xludf.DUMMYFUNCTION("""COMPUTED_VALUE"""),526)</f>
        <v>526</v>
      </c>
      <c r="R413" s="12">
        <f ca="1">IFERROR(__xludf.DUMMYFUNCTION("""COMPUTED_VALUE"""),583)</f>
        <v>583</v>
      </c>
      <c r="S413" s="12">
        <f ca="1">IFERROR(__xludf.DUMMYFUNCTION("""COMPUTED_VALUE"""),206)</f>
        <v>206</v>
      </c>
      <c r="T413" s="12">
        <f ca="1">IFERROR(__xludf.DUMMYFUNCTION("""COMPUTED_VALUE"""),1330)</f>
        <v>1330</v>
      </c>
      <c r="U413" s="12">
        <f ca="1">IFERROR(__xludf.DUMMYFUNCTION("""COMPUTED_VALUE"""),789)</f>
        <v>789</v>
      </c>
    </row>
    <row r="414" spans="1:21" x14ac:dyDescent="0.25">
      <c r="A414" s="11">
        <f ca="1">IFERROR(__xludf.DUMMYFUNCTION("""COMPUTED_VALUE"""),44302)</f>
        <v>44302</v>
      </c>
      <c r="B414" s="12">
        <f ca="1">IFERROR(__xludf.DUMMYFUNCTION("""COMPUTED_VALUE"""),1594722)</f>
        <v>1594722</v>
      </c>
      <c r="C414" s="12">
        <f ca="1">IFERROR(__xludf.DUMMYFUNCTION("""COMPUTED_VALUE"""),107297)</f>
        <v>107297</v>
      </c>
      <c r="D414" s="12">
        <f ca="1">IFERROR(__xludf.DUMMYFUNCTION("""COMPUTED_VALUE"""),1444229)</f>
        <v>1444229</v>
      </c>
      <c r="E414" s="12">
        <f ca="1">IFERROR(__xludf.DUMMYFUNCTION("""COMPUTED_VALUE"""),43196)</f>
        <v>43196</v>
      </c>
      <c r="F414" s="12">
        <f ca="1">IFERROR(__xludf.DUMMYFUNCTION("""COMPUTED_VALUE"""),6513)</f>
        <v>6513</v>
      </c>
      <c r="G414" s="12">
        <f ca="1">IFERROR(__xludf.DUMMYFUNCTION("""COMPUTED_VALUE"""),383655)</f>
        <v>383655</v>
      </c>
      <c r="H414" s="12">
        <f ca="1">IFERROR(__xludf.DUMMYFUNCTION("""COMPUTED_VALUE"""),3607)</f>
        <v>3607</v>
      </c>
      <c r="I414" s="12">
        <f ca="1">IFERROR(__xludf.DUMMYFUNCTION("""COMPUTED_VALUE"""),3313)</f>
        <v>3313</v>
      </c>
      <c r="J414" s="12">
        <f ca="1">IFERROR(__xludf.DUMMYFUNCTION("""COMPUTED_VALUE"""),397088)</f>
        <v>397088</v>
      </c>
      <c r="K414" s="12">
        <f ca="1">IFERROR(__xludf.DUMMYFUNCTION("""COMPUTED_VALUE"""),6920)</f>
        <v>6920</v>
      </c>
      <c r="L414" s="12">
        <f ca="1">IFERROR(__xludf.DUMMYFUNCTION("""COMPUTED_VALUE"""),5363)</f>
        <v>5363</v>
      </c>
      <c r="M414" s="12">
        <f ca="1">IFERROR(__xludf.DUMMYFUNCTION("""COMPUTED_VALUE"""),-735)</f>
        <v>-735</v>
      </c>
      <c r="N414" s="12">
        <f ca="1">IFERROR(__xludf.DUMMYFUNCTION("""COMPUTED_VALUE"""),5975)</f>
        <v>5975</v>
      </c>
      <c r="O414" s="12">
        <f ca="1">IFERROR(__xludf.DUMMYFUNCTION("""COMPUTED_VALUE"""),123)</f>
        <v>123</v>
      </c>
      <c r="P414" s="12">
        <f ca="1">IFERROR(__xludf.DUMMYFUNCTION("""COMPUTED_VALUE"""),9)</f>
        <v>9</v>
      </c>
      <c r="Q414" s="12">
        <f ca="1">IFERROR(__xludf.DUMMYFUNCTION("""COMPUTED_VALUE"""),1038)</f>
        <v>1038</v>
      </c>
      <c r="R414" s="12">
        <f ca="1">IFERROR(__xludf.DUMMYFUNCTION("""COMPUTED_VALUE"""),-314)</f>
        <v>-314</v>
      </c>
      <c r="S414" s="12">
        <f ca="1">IFERROR(__xludf.DUMMYFUNCTION("""COMPUTED_VALUE"""),246)</f>
        <v>246</v>
      </c>
      <c r="T414" s="12">
        <f ca="1">IFERROR(__xludf.DUMMYFUNCTION("""COMPUTED_VALUE"""),979)</f>
        <v>979</v>
      </c>
      <c r="U414" s="12">
        <f ca="1">IFERROR(__xludf.DUMMYFUNCTION("""COMPUTED_VALUE"""),-68)</f>
        <v>-68</v>
      </c>
    </row>
    <row r="415" spans="1:21" x14ac:dyDescent="0.25">
      <c r="A415" s="11">
        <f ca="1">IFERROR(__xludf.DUMMYFUNCTION("""COMPUTED_VALUE"""),44303)</f>
        <v>44303</v>
      </c>
      <c r="B415" s="12">
        <f ca="1">IFERROR(__xludf.DUMMYFUNCTION("""COMPUTED_VALUE"""),1599763)</f>
        <v>1599763</v>
      </c>
      <c r="C415" s="12">
        <f ca="1">IFERROR(__xludf.DUMMYFUNCTION("""COMPUTED_VALUE"""),106243)</f>
        <v>106243</v>
      </c>
      <c r="D415" s="12">
        <f ca="1">IFERROR(__xludf.DUMMYFUNCTION("""COMPUTED_VALUE"""),1450192)</f>
        <v>1450192</v>
      </c>
      <c r="E415" s="12">
        <f ca="1">IFERROR(__xludf.DUMMYFUNCTION("""COMPUTED_VALUE"""),43328)</f>
        <v>43328</v>
      </c>
      <c r="F415" s="12">
        <f ca="1">IFERROR(__xludf.DUMMYFUNCTION("""COMPUTED_VALUE"""),6520)</f>
        <v>6520</v>
      </c>
      <c r="G415" s="12">
        <f ca="1">IFERROR(__xludf.DUMMYFUNCTION("""COMPUTED_VALUE"""),384652)</f>
        <v>384652</v>
      </c>
      <c r="H415" s="12">
        <f ca="1">IFERROR(__xludf.DUMMYFUNCTION("""COMPUTED_VALUE"""),3512)</f>
        <v>3512</v>
      </c>
      <c r="I415" s="12">
        <f ca="1">IFERROR(__xludf.DUMMYFUNCTION("""COMPUTED_VALUE"""),3441)</f>
        <v>3441</v>
      </c>
      <c r="J415" s="12">
        <f ca="1">IFERROR(__xludf.DUMMYFUNCTION("""COMPUTED_VALUE"""),398125)</f>
        <v>398125</v>
      </c>
      <c r="K415" s="12">
        <f ca="1">IFERROR(__xludf.DUMMYFUNCTION("""COMPUTED_VALUE"""),6953)</f>
        <v>6953</v>
      </c>
      <c r="L415" s="12">
        <f ca="1">IFERROR(__xludf.DUMMYFUNCTION("""COMPUTED_VALUE"""),5041)</f>
        <v>5041</v>
      </c>
      <c r="M415" s="12">
        <f ca="1">IFERROR(__xludf.DUMMYFUNCTION("""COMPUTED_VALUE"""),-1054)</f>
        <v>-1054</v>
      </c>
      <c r="N415" s="12">
        <f ca="1">IFERROR(__xludf.DUMMYFUNCTION("""COMPUTED_VALUE"""),5963)</f>
        <v>5963</v>
      </c>
      <c r="O415" s="12">
        <f ca="1">IFERROR(__xludf.DUMMYFUNCTION("""COMPUTED_VALUE"""),132)</f>
        <v>132</v>
      </c>
      <c r="P415" s="12">
        <f ca="1">IFERROR(__xludf.DUMMYFUNCTION("""COMPUTED_VALUE"""),7)</f>
        <v>7</v>
      </c>
      <c r="Q415" s="12">
        <f ca="1">IFERROR(__xludf.DUMMYFUNCTION("""COMPUTED_VALUE"""),997)</f>
        <v>997</v>
      </c>
      <c r="R415" s="12">
        <f ca="1">IFERROR(__xludf.DUMMYFUNCTION("""COMPUTED_VALUE"""),-95)</f>
        <v>-95</v>
      </c>
      <c r="S415" s="12">
        <f ca="1">IFERROR(__xludf.DUMMYFUNCTION("""COMPUTED_VALUE"""),128)</f>
        <v>128</v>
      </c>
      <c r="T415" s="12">
        <f ca="1">IFERROR(__xludf.DUMMYFUNCTION("""COMPUTED_VALUE"""),1037)</f>
        <v>1037</v>
      </c>
      <c r="U415" s="12">
        <f ca="1">IFERROR(__xludf.DUMMYFUNCTION("""COMPUTED_VALUE"""),33)</f>
        <v>33</v>
      </c>
    </row>
    <row r="416" spans="1:21" x14ac:dyDescent="0.25">
      <c r="A416" s="11">
        <f ca="1">IFERROR(__xludf.DUMMYFUNCTION("""COMPUTED_VALUE"""),44304)</f>
        <v>44304</v>
      </c>
      <c r="B416" s="12">
        <f ca="1">IFERROR(__xludf.DUMMYFUNCTION("""COMPUTED_VALUE"""),1604348)</f>
        <v>1604348</v>
      </c>
      <c r="C416" s="12">
        <f ca="1">IFERROR(__xludf.DUMMYFUNCTION("""COMPUTED_VALUE"""),105859)</f>
        <v>105859</v>
      </c>
      <c r="D416" s="12">
        <f ca="1">IFERROR(__xludf.DUMMYFUNCTION("""COMPUTED_VALUE"""),1455065)</f>
        <v>1455065</v>
      </c>
      <c r="E416" s="12">
        <f ca="1">IFERROR(__xludf.DUMMYFUNCTION("""COMPUTED_VALUE"""),43424)</f>
        <v>43424</v>
      </c>
      <c r="F416" s="12">
        <f ca="1">IFERROR(__xludf.DUMMYFUNCTION("""COMPUTED_VALUE"""),6536)</f>
        <v>6536</v>
      </c>
      <c r="G416" s="12">
        <f ca="1">IFERROR(__xludf.DUMMYFUNCTION("""COMPUTED_VALUE"""),385615)</f>
        <v>385615</v>
      </c>
      <c r="H416" s="12">
        <f ca="1">IFERROR(__xludf.DUMMYFUNCTION("""COMPUTED_VALUE"""),3313)</f>
        <v>3313</v>
      </c>
      <c r="I416" s="12">
        <f ca="1">IFERROR(__xludf.DUMMYFUNCTION("""COMPUTED_VALUE"""),3611)</f>
        <v>3611</v>
      </c>
      <c r="J416" s="12">
        <f ca="1">IFERROR(__xludf.DUMMYFUNCTION("""COMPUTED_VALUE"""),399075)</f>
        <v>399075</v>
      </c>
      <c r="K416" s="12">
        <f ca="1">IFERROR(__xludf.DUMMYFUNCTION("""COMPUTED_VALUE"""),6924)</f>
        <v>6924</v>
      </c>
      <c r="L416" s="12">
        <f ca="1">IFERROR(__xludf.DUMMYFUNCTION("""COMPUTED_VALUE"""),4585)</f>
        <v>4585</v>
      </c>
      <c r="M416" s="12">
        <f ca="1">IFERROR(__xludf.DUMMYFUNCTION("""COMPUTED_VALUE"""),-384)</f>
        <v>-384</v>
      </c>
      <c r="N416" s="12">
        <f ca="1">IFERROR(__xludf.DUMMYFUNCTION("""COMPUTED_VALUE"""),4873)</f>
        <v>4873</v>
      </c>
      <c r="O416" s="12">
        <f ca="1">IFERROR(__xludf.DUMMYFUNCTION("""COMPUTED_VALUE"""),96)</f>
        <v>96</v>
      </c>
      <c r="P416" s="12">
        <f ca="1">IFERROR(__xludf.DUMMYFUNCTION("""COMPUTED_VALUE"""),16)</f>
        <v>16</v>
      </c>
      <c r="Q416" s="12">
        <f ca="1">IFERROR(__xludf.DUMMYFUNCTION("""COMPUTED_VALUE"""),963)</f>
        <v>963</v>
      </c>
      <c r="R416" s="12">
        <f ca="1">IFERROR(__xludf.DUMMYFUNCTION("""COMPUTED_VALUE"""),-199)</f>
        <v>-199</v>
      </c>
      <c r="S416" s="12">
        <f ca="1">IFERROR(__xludf.DUMMYFUNCTION("""COMPUTED_VALUE"""),170)</f>
        <v>170</v>
      </c>
      <c r="T416" s="12">
        <f ca="1">IFERROR(__xludf.DUMMYFUNCTION("""COMPUTED_VALUE"""),950)</f>
        <v>950</v>
      </c>
      <c r="U416" s="12">
        <f ca="1">IFERROR(__xludf.DUMMYFUNCTION("""COMPUTED_VALUE"""),-29)</f>
        <v>-29</v>
      </c>
    </row>
    <row r="417" spans="1:21" x14ac:dyDescent="0.25">
      <c r="A417" s="11">
        <f ca="1">IFERROR(__xludf.DUMMYFUNCTION("""COMPUTED_VALUE"""),44305)</f>
        <v>44305</v>
      </c>
      <c r="B417" s="12">
        <f ca="1">IFERROR(__xludf.DUMMYFUNCTION("""COMPUTED_VALUE"""),1609300)</f>
        <v>1609300</v>
      </c>
      <c r="C417" s="12">
        <f ca="1">IFERROR(__xludf.DUMMYFUNCTION("""COMPUTED_VALUE"""),104319)</f>
        <v>104319</v>
      </c>
      <c r="D417" s="12">
        <f ca="1">IFERROR(__xludf.DUMMYFUNCTION("""COMPUTED_VALUE"""),1461414)</f>
        <v>1461414</v>
      </c>
      <c r="E417" s="12">
        <f ca="1">IFERROR(__xludf.DUMMYFUNCTION("""COMPUTED_VALUE"""),43567)</f>
        <v>43567</v>
      </c>
      <c r="F417" s="12">
        <f ca="1">IFERROR(__xludf.DUMMYFUNCTION("""COMPUTED_VALUE"""),6558)</f>
        <v>6558</v>
      </c>
      <c r="G417" s="12">
        <f ca="1">IFERROR(__xludf.DUMMYFUNCTION("""COMPUTED_VALUE"""),386606)</f>
        <v>386606</v>
      </c>
      <c r="H417" s="12">
        <f ca="1">IFERROR(__xludf.DUMMYFUNCTION("""COMPUTED_VALUE"""),3218)</f>
        <v>3218</v>
      </c>
      <c r="I417" s="12">
        <f ca="1">IFERROR(__xludf.DUMMYFUNCTION("""COMPUTED_VALUE"""),3666)</f>
        <v>3666</v>
      </c>
      <c r="J417" s="12">
        <f ca="1">IFERROR(__xludf.DUMMYFUNCTION("""COMPUTED_VALUE"""),400048)</f>
        <v>400048</v>
      </c>
      <c r="K417" s="12">
        <f ca="1">IFERROR(__xludf.DUMMYFUNCTION("""COMPUTED_VALUE"""),6884)</f>
        <v>6884</v>
      </c>
      <c r="L417" s="12">
        <f ca="1">IFERROR(__xludf.DUMMYFUNCTION("""COMPUTED_VALUE"""),4952)</f>
        <v>4952</v>
      </c>
      <c r="M417" s="12">
        <f ca="1">IFERROR(__xludf.DUMMYFUNCTION("""COMPUTED_VALUE"""),-1540)</f>
        <v>-1540</v>
      </c>
      <c r="N417" s="12">
        <f ca="1">IFERROR(__xludf.DUMMYFUNCTION("""COMPUTED_VALUE"""),6349)</f>
        <v>6349</v>
      </c>
      <c r="O417" s="12">
        <f ca="1">IFERROR(__xludf.DUMMYFUNCTION("""COMPUTED_VALUE"""),143)</f>
        <v>143</v>
      </c>
      <c r="P417" s="12">
        <f ca="1">IFERROR(__xludf.DUMMYFUNCTION("""COMPUTED_VALUE"""),22)</f>
        <v>22</v>
      </c>
      <c r="Q417" s="12">
        <f ca="1">IFERROR(__xludf.DUMMYFUNCTION("""COMPUTED_VALUE"""),991)</f>
        <v>991</v>
      </c>
      <c r="R417" s="12">
        <f ca="1">IFERROR(__xludf.DUMMYFUNCTION("""COMPUTED_VALUE"""),-95)</f>
        <v>-95</v>
      </c>
      <c r="S417" s="12">
        <f ca="1">IFERROR(__xludf.DUMMYFUNCTION("""COMPUTED_VALUE"""),55)</f>
        <v>55</v>
      </c>
      <c r="T417" s="12">
        <f ca="1">IFERROR(__xludf.DUMMYFUNCTION("""COMPUTED_VALUE"""),973)</f>
        <v>973</v>
      </c>
      <c r="U417" s="12">
        <f ca="1">IFERROR(__xludf.DUMMYFUNCTION("""COMPUTED_VALUE"""),-40)</f>
        <v>-40</v>
      </c>
    </row>
    <row r="418" spans="1:21" x14ac:dyDescent="0.25">
      <c r="A418" s="11">
        <f ca="1">IFERROR(__xludf.DUMMYFUNCTION("""COMPUTED_VALUE"""),44306)</f>
        <v>44306</v>
      </c>
      <c r="B418" s="12">
        <f ca="1">IFERROR(__xludf.DUMMYFUNCTION("""COMPUTED_VALUE"""),1614849)</f>
        <v>1614849</v>
      </c>
      <c r="C418" s="12">
        <f ca="1">IFERROR(__xludf.DUMMYFUNCTION("""COMPUTED_VALUE"""),102930)</f>
        <v>102930</v>
      </c>
      <c r="D418" s="12">
        <f ca="1">IFERROR(__xludf.DUMMYFUNCTION("""COMPUTED_VALUE"""),1468142)</f>
        <v>1468142</v>
      </c>
      <c r="E418" s="12">
        <f ca="1">IFERROR(__xludf.DUMMYFUNCTION("""COMPUTED_VALUE"""),43777)</f>
        <v>43777</v>
      </c>
      <c r="F418" s="12">
        <f ca="1">IFERROR(__xludf.DUMMYFUNCTION("""COMPUTED_VALUE"""),6569)</f>
        <v>6569</v>
      </c>
      <c r="G418" s="12">
        <f ca="1">IFERROR(__xludf.DUMMYFUNCTION("""COMPUTED_VALUE"""),387507)</f>
        <v>387507</v>
      </c>
      <c r="H418" s="12">
        <f ca="1">IFERROR(__xludf.DUMMYFUNCTION("""COMPUTED_VALUE"""),2945)</f>
        <v>2945</v>
      </c>
      <c r="I418" s="12">
        <f ca="1">IFERROR(__xludf.DUMMYFUNCTION("""COMPUTED_VALUE"""),3487)</f>
        <v>3487</v>
      </c>
      <c r="J418" s="12">
        <f ca="1">IFERROR(__xludf.DUMMYFUNCTION("""COMPUTED_VALUE"""),400508)</f>
        <v>400508</v>
      </c>
      <c r="K418" s="12">
        <f ca="1">IFERROR(__xludf.DUMMYFUNCTION("""COMPUTED_VALUE"""),6432)</f>
        <v>6432</v>
      </c>
      <c r="L418" s="12">
        <f ca="1">IFERROR(__xludf.DUMMYFUNCTION("""COMPUTED_VALUE"""),5549)</f>
        <v>5549</v>
      </c>
      <c r="M418" s="12">
        <f ca="1">IFERROR(__xludf.DUMMYFUNCTION("""COMPUTED_VALUE"""),-1389)</f>
        <v>-1389</v>
      </c>
      <c r="N418" s="12">
        <f ca="1">IFERROR(__xludf.DUMMYFUNCTION("""COMPUTED_VALUE"""),6728)</f>
        <v>6728</v>
      </c>
      <c r="O418" s="12">
        <f ca="1">IFERROR(__xludf.DUMMYFUNCTION("""COMPUTED_VALUE"""),210)</f>
        <v>210</v>
      </c>
      <c r="P418" s="12">
        <f ca="1">IFERROR(__xludf.DUMMYFUNCTION("""COMPUTED_VALUE"""),11)</f>
        <v>11</v>
      </c>
      <c r="Q418" s="12">
        <f ca="1">IFERROR(__xludf.DUMMYFUNCTION("""COMPUTED_VALUE"""),901)</f>
        <v>901</v>
      </c>
      <c r="R418" s="12">
        <f ca="1">IFERROR(__xludf.DUMMYFUNCTION("""COMPUTED_VALUE"""),-273)</f>
        <v>-273</v>
      </c>
      <c r="S418" s="12">
        <f ca="1">IFERROR(__xludf.DUMMYFUNCTION("""COMPUTED_VALUE"""),-179)</f>
        <v>-179</v>
      </c>
      <c r="T418" s="12">
        <f ca="1">IFERROR(__xludf.DUMMYFUNCTION("""COMPUTED_VALUE"""),460)</f>
        <v>460</v>
      </c>
      <c r="U418" s="12">
        <f ca="1">IFERROR(__xludf.DUMMYFUNCTION("""COMPUTED_VALUE"""),-452)</f>
        <v>-452</v>
      </c>
    </row>
    <row r="419" spans="1:21" x14ac:dyDescent="0.25">
      <c r="A419" s="11">
        <f ca="1">IFERROR(__xludf.DUMMYFUNCTION("""COMPUTED_VALUE"""),44307)</f>
        <v>44307</v>
      </c>
      <c r="B419" s="12">
        <f ca="1">IFERROR(__xludf.DUMMYFUNCTION("""COMPUTED_VALUE"""),1620569)</f>
        <v>1620569</v>
      </c>
      <c r="C419" s="12">
        <f ca="1">IFERROR(__xludf.DUMMYFUNCTION("""COMPUTED_VALUE"""),101106)</f>
        <v>101106</v>
      </c>
      <c r="D419" s="12">
        <f ca="1">IFERROR(__xludf.DUMMYFUNCTION("""COMPUTED_VALUE"""),1475456)</f>
        <v>1475456</v>
      </c>
      <c r="E419" s="12">
        <f ca="1">IFERROR(__xludf.DUMMYFUNCTION("""COMPUTED_VALUE"""),44007)</f>
        <v>44007</v>
      </c>
      <c r="F419" s="12">
        <f ca="1">IFERROR(__xludf.DUMMYFUNCTION("""COMPUTED_VALUE"""),6587)</f>
        <v>6587</v>
      </c>
      <c r="G419" s="12">
        <f ca="1">IFERROR(__xludf.DUMMYFUNCTION("""COMPUTED_VALUE"""),388083)</f>
        <v>388083</v>
      </c>
      <c r="H419" s="12">
        <f ca="1">IFERROR(__xludf.DUMMYFUNCTION("""COMPUTED_VALUE"""),2954)</f>
        <v>2954</v>
      </c>
      <c r="I419" s="12">
        <f ca="1">IFERROR(__xludf.DUMMYFUNCTION("""COMPUTED_VALUE"""),3486)</f>
        <v>3486</v>
      </c>
      <c r="J419" s="12">
        <f ca="1">IFERROR(__xludf.DUMMYFUNCTION("""COMPUTED_VALUE"""),401110)</f>
        <v>401110</v>
      </c>
      <c r="K419" s="12">
        <f ca="1">IFERROR(__xludf.DUMMYFUNCTION("""COMPUTED_VALUE"""),6440)</f>
        <v>6440</v>
      </c>
      <c r="L419" s="12">
        <f ca="1">IFERROR(__xludf.DUMMYFUNCTION("""COMPUTED_VALUE"""),5720)</f>
        <v>5720</v>
      </c>
      <c r="M419" s="12">
        <f ca="1">IFERROR(__xludf.DUMMYFUNCTION("""COMPUTED_VALUE"""),-1824)</f>
        <v>-1824</v>
      </c>
      <c r="N419" s="12">
        <f ca="1">IFERROR(__xludf.DUMMYFUNCTION("""COMPUTED_VALUE"""),7314)</f>
        <v>7314</v>
      </c>
      <c r="O419" s="12">
        <f ca="1">IFERROR(__xludf.DUMMYFUNCTION("""COMPUTED_VALUE"""),230)</f>
        <v>230</v>
      </c>
      <c r="P419" s="12">
        <f ca="1">IFERROR(__xludf.DUMMYFUNCTION("""COMPUTED_VALUE"""),18)</f>
        <v>18</v>
      </c>
      <c r="Q419" s="12">
        <f ca="1">IFERROR(__xludf.DUMMYFUNCTION("""COMPUTED_VALUE"""),576)</f>
        <v>576</v>
      </c>
      <c r="R419" s="12">
        <f ca="1">IFERROR(__xludf.DUMMYFUNCTION("""COMPUTED_VALUE"""),9)</f>
        <v>9</v>
      </c>
      <c r="S419" s="12">
        <f ca="1">IFERROR(__xludf.DUMMYFUNCTION("""COMPUTED_VALUE"""),-1)</f>
        <v>-1</v>
      </c>
      <c r="T419" s="12">
        <f ca="1">IFERROR(__xludf.DUMMYFUNCTION("""COMPUTED_VALUE"""),602)</f>
        <v>602</v>
      </c>
      <c r="U419" s="12">
        <f ca="1">IFERROR(__xludf.DUMMYFUNCTION("""COMPUTED_VALUE"""),8)</f>
        <v>8</v>
      </c>
    </row>
    <row r="420" spans="1:21" x14ac:dyDescent="0.25">
      <c r="A420" s="11">
        <f ca="1">IFERROR(__xludf.DUMMYFUNCTION("""COMPUTED_VALUE"""),44308)</f>
        <v>44308</v>
      </c>
      <c r="B420" s="12">
        <f ca="1">IFERROR(__xludf.DUMMYFUNCTION("""COMPUTED_VALUE"""),1626812)</f>
        <v>1626812</v>
      </c>
      <c r="C420" s="12">
        <f ca="1">IFERROR(__xludf.DUMMYFUNCTION("""COMPUTED_VALUE"""),101191)</f>
        <v>101191</v>
      </c>
      <c r="D420" s="12">
        <f ca="1">IFERROR(__xludf.DUMMYFUNCTION("""COMPUTED_VALUE"""),1481449)</f>
        <v>1481449</v>
      </c>
      <c r="E420" s="12">
        <f ca="1">IFERROR(__xludf.DUMMYFUNCTION("""COMPUTED_VALUE"""),44172)</f>
        <v>44172</v>
      </c>
      <c r="F420" s="12">
        <f ca="1">IFERROR(__xludf.DUMMYFUNCTION("""COMPUTED_VALUE"""),6596)</f>
        <v>6596</v>
      </c>
      <c r="G420" s="12">
        <f ca="1">IFERROR(__xludf.DUMMYFUNCTION("""COMPUTED_VALUE"""),388735)</f>
        <v>388735</v>
      </c>
      <c r="H420" s="12">
        <f ca="1">IFERROR(__xludf.DUMMYFUNCTION("""COMPUTED_VALUE"""),3497)</f>
        <v>3497</v>
      </c>
      <c r="I420" s="12">
        <f ca="1">IFERROR(__xludf.DUMMYFUNCTION("""COMPUTED_VALUE"""),3548)</f>
        <v>3548</v>
      </c>
      <c r="J420" s="12">
        <f ca="1">IFERROR(__xludf.DUMMYFUNCTION("""COMPUTED_VALUE"""),402376)</f>
        <v>402376</v>
      </c>
      <c r="K420" s="12">
        <f ca="1">IFERROR(__xludf.DUMMYFUNCTION("""COMPUTED_VALUE"""),7045)</f>
        <v>7045</v>
      </c>
      <c r="L420" s="12">
        <f ca="1">IFERROR(__xludf.DUMMYFUNCTION("""COMPUTED_VALUE"""),6243)</f>
        <v>6243</v>
      </c>
      <c r="M420" s="12">
        <f ca="1">IFERROR(__xludf.DUMMYFUNCTION("""COMPUTED_VALUE"""),85)</f>
        <v>85</v>
      </c>
      <c r="N420" s="12">
        <f ca="1">IFERROR(__xludf.DUMMYFUNCTION("""COMPUTED_VALUE"""),5993)</f>
        <v>5993</v>
      </c>
      <c r="O420" s="12">
        <f ca="1">IFERROR(__xludf.DUMMYFUNCTION("""COMPUTED_VALUE"""),165)</f>
        <v>165</v>
      </c>
      <c r="P420" s="12">
        <f ca="1">IFERROR(__xludf.DUMMYFUNCTION("""COMPUTED_VALUE"""),9)</f>
        <v>9</v>
      </c>
      <c r="Q420" s="12">
        <f ca="1">IFERROR(__xludf.DUMMYFUNCTION("""COMPUTED_VALUE"""),652)</f>
        <v>652</v>
      </c>
      <c r="R420" s="12">
        <f ca="1">IFERROR(__xludf.DUMMYFUNCTION("""COMPUTED_VALUE"""),543)</f>
        <v>543</v>
      </c>
      <c r="S420" s="12">
        <f ca="1">IFERROR(__xludf.DUMMYFUNCTION("""COMPUTED_VALUE"""),62)</f>
        <v>62</v>
      </c>
      <c r="T420" s="12">
        <f ca="1">IFERROR(__xludf.DUMMYFUNCTION("""COMPUTED_VALUE"""),1266)</f>
        <v>1266</v>
      </c>
      <c r="U420" s="12">
        <f ca="1">IFERROR(__xludf.DUMMYFUNCTION("""COMPUTED_VALUE"""),605)</f>
        <v>605</v>
      </c>
    </row>
    <row r="421" spans="1:21" x14ac:dyDescent="0.25">
      <c r="A421" s="11">
        <f ca="1">IFERROR(__xludf.DUMMYFUNCTION("""COMPUTED_VALUE"""),44309)</f>
        <v>44309</v>
      </c>
      <c r="B421" s="12">
        <f ca="1">IFERROR(__xludf.DUMMYFUNCTION("""COMPUTED_VALUE"""),1632248)</f>
        <v>1632248</v>
      </c>
      <c r="C421" s="12">
        <f ca="1">IFERROR(__xludf.DUMMYFUNCTION("""COMPUTED_VALUE"""),100533)</f>
        <v>100533</v>
      </c>
      <c r="D421" s="12">
        <f ca="1">IFERROR(__xludf.DUMMYFUNCTION("""COMPUTED_VALUE"""),1487369)</f>
        <v>1487369</v>
      </c>
      <c r="E421" s="12">
        <f ca="1">IFERROR(__xludf.DUMMYFUNCTION("""COMPUTED_VALUE"""),44346)</f>
        <v>44346</v>
      </c>
      <c r="F421" s="12">
        <f ca="1">IFERROR(__xludf.DUMMYFUNCTION("""COMPUTED_VALUE"""),6612)</f>
        <v>6612</v>
      </c>
      <c r="G421" s="12">
        <f ca="1">IFERROR(__xludf.DUMMYFUNCTION("""COMPUTED_VALUE"""),389445)</f>
        <v>389445</v>
      </c>
      <c r="H421" s="12">
        <f ca="1">IFERROR(__xludf.DUMMYFUNCTION("""COMPUTED_VALUE"""),3584)</f>
        <v>3584</v>
      </c>
      <c r="I421" s="12">
        <f ca="1">IFERROR(__xludf.DUMMYFUNCTION("""COMPUTED_VALUE"""),3619)</f>
        <v>3619</v>
      </c>
      <c r="J421" s="12">
        <f ca="1">IFERROR(__xludf.DUMMYFUNCTION("""COMPUTED_VALUE"""),403260)</f>
        <v>403260</v>
      </c>
      <c r="K421" s="12">
        <f ca="1">IFERROR(__xludf.DUMMYFUNCTION("""COMPUTED_VALUE"""),7203)</f>
        <v>7203</v>
      </c>
      <c r="L421" s="12">
        <f ca="1">IFERROR(__xludf.DUMMYFUNCTION("""COMPUTED_VALUE"""),5436)</f>
        <v>5436</v>
      </c>
      <c r="M421" s="12">
        <f ca="1">IFERROR(__xludf.DUMMYFUNCTION("""COMPUTED_VALUE"""),-658)</f>
        <v>-658</v>
      </c>
      <c r="N421" s="12">
        <f ca="1">IFERROR(__xludf.DUMMYFUNCTION("""COMPUTED_VALUE"""),5920)</f>
        <v>5920</v>
      </c>
      <c r="O421" s="12">
        <f ca="1">IFERROR(__xludf.DUMMYFUNCTION("""COMPUTED_VALUE"""),174)</f>
        <v>174</v>
      </c>
      <c r="P421" s="12">
        <f ca="1">IFERROR(__xludf.DUMMYFUNCTION("""COMPUTED_VALUE"""),16)</f>
        <v>16</v>
      </c>
      <c r="Q421" s="12">
        <f ca="1">IFERROR(__xludf.DUMMYFUNCTION("""COMPUTED_VALUE"""),710)</f>
        <v>710</v>
      </c>
      <c r="R421" s="12">
        <f ca="1">IFERROR(__xludf.DUMMYFUNCTION("""COMPUTED_VALUE"""),87)</f>
        <v>87</v>
      </c>
      <c r="S421" s="12">
        <f ca="1">IFERROR(__xludf.DUMMYFUNCTION("""COMPUTED_VALUE"""),71)</f>
        <v>71</v>
      </c>
      <c r="T421" s="12">
        <f ca="1">IFERROR(__xludf.DUMMYFUNCTION("""COMPUTED_VALUE"""),884)</f>
        <v>884</v>
      </c>
      <c r="U421" s="12">
        <f ca="1">IFERROR(__xludf.DUMMYFUNCTION("""COMPUTED_VALUE"""),158)</f>
        <v>158</v>
      </c>
    </row>
    <row r="422" spans="1:21" x14ac:dyDescent="0.25">
      <c r="A422" s="11">
        <f ca="1">IFERROR(__xludf.DUMMYFUNCTION("""COMPUTED_VALUE"""),44310)</f>
        <v>44310</v>
      </c>
      <c r="B422" s="12">
        <f ca="1">IFERROR(__xludf.DUMMYFUNCTION("""COMPUTED_VALUE"""),1636792)</f>
        <v>1636792</v>
      </c>
      <c r="C422" s="12">
        <f ca="1">IFERROR(__xludf.DUMMYFUNCTION("""COMPUTED_VALUE"""),99970)</f>
        <v>99970</v>
      </c>
      <c r="D422" s="12">
        <f ca="1">IFERROR(__xludf.DUMMYFUNCTION("""COMPUTED_VALUE"""),1492322)</f>
        <v>1492322</v>
      </c>
      <c r="E422" s="12">
        <f ca="1">IFERROR(__xludf.DUMMYFUNCTION("""COMPUTED_VALUE"""),44500)</f>
        <v>44500</v>
      </c>
      <c r="F422" s="12">
        <f ca="1">IFERROR(__xludf.DUMMYFUNCTION("""COMPUTED_VALUE"""),6623)</f>
        <v>6623</v>
      </c>
      <c r="G422" s="12">
        <f ca="1">IFERROR(__xludf.DUMMYFUNCTION("""COMPUTED_VALUE"""),390334)</f>
        <v>390334</v>
      </c>
      <c r="H422" s="12">
        <f ca="1">IFERROR(__xludf.DUMMYFUNCTION("""COMPUTED_VALUE"""),3563)</f>
        <v>3563</v>
      </c>
      <c r="I422" s="12">
        <f ca="1">IFERROR(__xludf.DUMMYFUNCTION("""COMPUTED_VALUE"""),3647)</f>
        <v>3647</v>
      </c>
      <c r="J422" s="12">
        <f ca="1">IFERROR(__xludf.DUMMYFUNCTION("""COMPUTED_VALUE"""),404167)</f>
        <v>404167</v>
      </c>
      <c r="K422" s="12">
        <f ca="1">IFERROR(__xludf.DUMMYFUNCTION("""COMPUTED_VALUE"""),7210)</f>
        <v>7210</v>
      </c>
      <c r="L422" s="12">
        <f ca="1">IFERROR(__xludf.DUMMYFUNCTION("""COMPUTED_VALUE"""),4544)</f>
        <v>4544</v>
      </c>
      <c r="M422" s="12">
        <f ca="1">IFERROR(__xludf.DUMMYFUNCTION("""COMPUTED_VALUE"""),-563)</f>
        <v>-563</v>
      </c>
      <c r="N422" s="12">
        <f ca="1">IFERROR(__xludf.DUMMYFUNCTION("""COMPUTED_VALUE"""),4953)</f>
        <v>4953</v>
      </c>
      <c r="O422" s="12">
        <f ca="1">IFERROR(__xludf.DUMMYFUNCTION("""COMPUTED_VALUE"""),154)</f>
        <v>154</v>
      </c>
      <c r="P422" s="12">
        <f ca="1">IFERROR(__xludf.DUMMYFUNCTION("""COMPUTED_VALUE"""),11)</f>
        <v>11</v>
      </c>
      <c r="Q422" s="12">
        <f ca="1">IFERROR(__xludf.DUMMYFUNCTION("""COMPUTED_VALUE"""),889)</f>
        <v>889</v>
      </c>
      <c r="R422" s="12">
        <f ca="1">IFERROR(__xludf.DUMMYFUNCTION("""COMPUTED_VALUE"""),-21)</f>
        <v>-21</v>
      </c>
      <c r="S422" s="12">
        <f ca="1">IFERROR(__xludf.DUMMYFUNCTION("""COMPUTED_VALUE"""),28)</f>
        <v>28</v>
      </c>
      <c r="T422" s="12">
        <f ca="1">IFERROR(__xludf.DUMMYFUNCTION("""COMPUTED_VALUE"""),907)</f>
        <v>907</v>
      </c>
      <c r="U422" s="12">
        <f ca="1">IFERROR(__xludf.DUMMYFUNCTION("""COMPUTED_VALUE"""),7)</f>
        <v>7</v>
      </c>
    </row>
    <row r="423" spans="1:21" x14ac:dyDescent="0.25">
      <c r="A423" s="11">
        <f ca="1">IFERROR(__xludf.DUMMYFUNCTION("""COMPUTED_VALUE"""),44311)</f>
        <v>44311</v>
      </c>
      <c r="B423" s="12">
        <f ca="1">IFERROR(__xludf.DUMMYFUNCTION("""COMPUTED_VALUE"""),1641194)</f>
        <v>1641194</v>
      </c>
      <c r="C423" s="12">
        <f ca="1">IFERROR(__xludf.DUMMYFUNCTION("""COMPUTED_VALUE"""),100474)</f>
        <v>100474</v>
      </c>
      <c r="D423" s="12">
        <f ca="1">IFERROR(__xludf.DUMMYFUNCTION("""COMPUTED_VALUE"""),1496126)</f>
        <v>1496126</v>
      </c>
      <c r="E423" s="12">
        <f ca="1">IFERROR(__xludf.DUMMYFUNCTION("""COMPUTED_VALUE"""),44594)</f>
        <v>44594</v>
      </c>
      <c r="F423" s="12">
        <f ca="1">IFERROR(__xludf.DUMMYFUNCTION("""COMPUTED_VALUE"""),6645)</f>
        <v>6645</v>
      </c>
      <c r="G423" s="12">
        <f ca="1">IFERROR(__xludf.DUMMYFUNCTION("""COMPUTED_VALUE"""),391301)</f>
        <v>391301</v>
      </c>
      <c r="H423" s="12">
        <f ca="1">IFERROR(__xludf.DUMMYFUNCTION("""COMPUTED_VALUE"""),3399)</f>
        <v>3399</v>
      </c>
      <c r="I423" s="12">
        <f ca="1">IFERROR(__xludf.DUMMYFUNCTION("""COMPUTED_VALUE"""),3718)</f>
        <v>3718</v>
      </c>
      <c r="J423" s="12">
        <f ca="1">IFERROR(__xludf.DUMMYFUNCTION("""COMPUTED_VALUE"""),405063)</f>
        <v>405063</v>
      </c>
      <c r="K423" s="12">
        <f ca="1">IFERROR(__xludf.DUMMYFUNCTION("""COMPUTED_VALUE"""),7117)</f>
        <v>7117</v>
      </c>
      <c r="L423" s="12">
        <f ca="1">IFERROR(__xludf.DUMMYFUNCTION("""COMPUTED_VALUE"""),4402)</f>
        <v>4402</v>
      </c>
      <c r="M423" s="12">
        <f ca="1">IFERROR(__xludf.DUMMYFUNCTION("""COMPUTED_VALUE"""),504)</f>
        <v>504</v>
      </c>
      <c r="N423" s="12">
        <f ca="1">IFERROR(__xludf.DUMMYFUNCTION("""COMPUTED_VALUE"""),3804)</f>
        <v>3804</v>
      </c>
      <c r="O423" s="12">
        <f ca="1">IFERROR(__xludf.DUMMYFUNCTION("""COMPUTED_VALUE"""),94)</f>
        <v>94</v>
      </c>
      <c r="P423" s="12">
        <f ca="1">IFERROR(__xludf.DUMMYFUNCTION("""COMPUTED_VALUE"""),22)</f>
        <v>22</v>
      </c>
      <c r="Q423" s="12">
        <f ca="1">IFERROR(__xludf.DUMMYFUNCTION("""COMPUTED_VALUE"""),967)</f>
        <v>967</v>
      </c>
      <c r="R423" s="12">
        <f ca="1">IFERROR(__xludf.DUMMYFUNCTION("""COMPUTED_VALUE"""),-164)</f>
        <v>-164</v>
      </c>
      <c r="S423" s="12">
        <f ca="1">IFERROR(__xludf.DUMMYFUNCTION("""COMPUTED_VALUE"""),71)</f>
        <v>71</v>
      </c>
      <c r="T423" s="12">
        <f ca="1">IFERROR(__xludf.DUMMYFUNCTION("""COMPUTED_VALUE"""),896)</f>
        <v>896</v>
      </c>
      <c r="U423" s="12">
        <f ca="1">IFERROR(__xludf.DUMMYFUNCTION("""COMPUTED_VALUE"""),-93)</f>
        <v>-93</v>
      </c>
    </row>
    <row r="424" spans="1:21" x14ac:dyDescent="0.25">
      <c r="A424" s="11">
        <f ca="1">IFERROR(__xludf.DUMMYFUNCTION("""COMPUTED_VALUE"""),44312)</f>
        <v>44312</v>
      </c>
      <c r="B424" s="12">
        <f ca="1">IFERROR(__xludf.DUMMYFUNCTION("""COMPUTED_VALUE"""),1647138)</f>
        <v>1647138</v>
      </c>
      <c r="C424" s="12">
        <f ca="1">IFERROR(__xludf.DUMMYFUNCTION("""COMPUTED_VALUE"""),100652)</f>
        <v>100652</v>
      </c>
      <c r="D424" s="12">
        <f ca="1">IFERROR(__xludf.DUMMYFUNCTION("""COMPUTED_VALUE"""),1501715)</f>
        <v>1501715</v>
      </c>
      <c r="E424" s="12">
        <f ca="1">IFERROR(__xludf.DUMMYFUNCTION("""COMPUTED_VALUE"""),44770)</f>
        <v>44770</v>
      </c>
      <c r="F424" s="12">
        <f ca="1">IFERROR(__xludf.DUMMYFUNCTION("""COMPUTED_VALUE"""),6660)</f>
        <v>6660</v>
      </c>
      <c r="G424" s="12">
        <f ca="1">IFERROR(__xludf.DUMMYFUNCTION("""COMPUTED_VALUE"""),392595)</f>
        <v>392595</v>
      </c>
      <c r="H424" s="12">
        <f ca="1">IFERROR(__xludf.DUMMYFUNCTION("""COMPUTED_VALUE"""),3152)</f>
        <v>3152</v>
      </c>
      <c r="I424" s="12">
        <f ca="1">IFERROR(__xludf.DUMMYFUNCTION("""COMPUTED_VALUE"""),3405)</f>
        <v>3405</v>
      </c>
      <c r="J424" s="12">
        <f ca="1">IFERROR(__xludf.DUMMYFUNCTION("""COMPUTED_VALUE"""),405812)</f>
        <v>405812</v>
      </c>
      <c r="K424" s="12">
        <f ca="1">IFERROR(__xludf.DUMMYFUNCTION("""COMPUTED_VALUE"""),6557)</f>
        <v>6557</v>
      </c>
      <c r="L424" s="12">
        <f ca="1">IFERROR(__xludf.DUMMYFUNCTION("""COMPUTED_VALUE"""),5944)</f>
        <v>5944</v>
      </c>
      <c r="M424" s="12">
        <f ca="1">IFERROR(__xludf.DUMMYFUNCTION("""COMPUTED_VALUE"""),178)</f>
        <v>178</v>
      </c>
      <c r="N424" s="12">
        <f ca="1">IFERROR(__xludf.DUMMYFUNCTION("""COMPUTED_VALUE"""),5589)</f>
        <v>5589</v>
      </c>
      <c r="O424" s="12">
        <f ca="1">IFERROR(__xludf.DUMMYFUNCTION("""COMPUTED_VALUE"""),176)</f>
        <v>176</v>
      </c>
      <c r="P424" s="12">
        <f ca="1">IFERROR(__xludf.DUMMYFUNCTION("""COMPUTED_VALUE"""),15)</f>
        <v>15</v>
      </c>
      <c r="Q424" s="12">
        <f ca="1">IFERROR(__xludf.DUMMYFUNCTION("""COMPUTED_VALUE"""),1294)</f>
        <v>1294</v>
      </c>
      <c r="R424" s="12">
        <f ca="1">IFERROR(__xludf.DUMMYFUNCTION("""COMPUTED_VALUE"""),-247)</f>
        <v>-247</v>
      </c>
      <c r="S424" s="12">
        <f ca="1">IFERROR(__xludf.DUMMYFUNCTION("""COMPUTED_VALUE"""),-313)</f>
        <v>-313</v>
      </c>
      <c r="T424" s="12">
        <f ca="1">IFERROR(__xludf.DUMMYFUNCTION("""COMPUTED_VALUE"""),749)</f>
        <v>749</v>
      </c>
      <c r="U424" s="12">
        <f ca="1">IFERROR(__xludf.DUMMYFUNCTION("""COMPUTED_VALUE"""),-560)</f>
        <v>-560</v>
      </c>
    </row>
    <row r="425" spans="1:21" x14ac:dyDescent="0.25">
      <c r="A425" s="11">
        <f ca="1">IFERROR(__xludf.DUMMYFUNCTION("""COMPUTED_VALUE"""),44313)</f>
        <v>44313</v>
      </c>
      <c r="B425" s="12">
        <f ca="1">IFERROR(__xludf.DUMMYFUNCTION("""COMPUTED_VALUE"""),1651794)</f>
        <v>1651794</v>
      </c>
      <c r="C425" s="12">
        <f ca="1">IFERROR(__xludf.DUMMYFUNCTION("""COMPUTED_VALUE"""),100256)</f>
        <v>100256</v>
      </c>
      <c r="D425" s="12">
        <f ca="1">IFERROR(__xludf.DUMMYFUNCTION("""COMPUTED_VALUE"""),1506599)</f>
        <v>1506599</v>
      </c>
      <c r="E425" s="12">
        <f ca="1">IFERROR(__xludf.DUMMYFUNCTION("""COMPUTED_VALUE"""),44939)</f>
        <v>44939</v>
      </c>
      <c r="F425" s="12">
        <f ca="1">IFERROR(__xludf.DUMMYFUNCTION("""COMPUTED_VALUE"""),6679)</f>
        <v>6679</v>
      </c>
      <c r="G425" s="12">
        <f ca="1">IFERROR(__xludf.DUMMYFUNCTION("""COMPUTED_VALUE"""),393205)</f>
        <v>393205</v>
      </c>
      <c r="H425" s="12">
        <f ca="1">IFERROR(__xludf.DUMMYFUNCTION("""COMPUTED_VALUE"""),2999)</f>
        <v>2999</v>
      </c>
      <c r="I425" s="12">
        <f ca="1">IFERROR(__xludf.DUMMYFUNCTION("""COMPUTED_VALUE"""),3322)</f>
        <v>3322</v>
      </c>
      <c r="J425" s="12">
        <f ca="1">IFERROR(__xludf.DUMMYFUNCTION("""COMPUTED_VALUE"""),406205)</f>
        <v>406205</v>
      </c>
      <c r="K425" s="12">
        <f ca="1">IFERROR(__xludf.DUMMYFUNCTION("""COMPUTED_VALUE"""),6321)</f>
        <v>6321</v>
      </c>
      <c r="L425" s="12">
        <f ca="1">IFERROR(__xludf.DUMMYFUNCTION("""COMPUTED_VALUE"""),4656)</f>
        <v>4656</v>
      </c>
      <c r="M425" s="12">
        <f ca="1">IFERROR(__xludf.DUMMYFUNCTION("""COMPUTED_VALUE"""),-396)</f>
        <v>-396</v>
      </c>
      <c r="N425" s="12">
        <f ca="1">IFERROR(__xludf.DUMMYFUNCTION("""COMPUTED_VALUE"""),4884)</f>
        <v>4884</v>
      </c>
      <c r="O425" s="12">
        <f ca="1">IFERROR(__xludf.DUMMYFUNCTION("""COMPUTED_VALUE"""),169)</f>
        <v>169</v>
      </c>
      <c r="P425" s="12">
        <f ca="1">IFERROR(__xludf.DUMMYFUNCTION("""COMPUTED_VALUE"""),19)</f>
        <v>19</v>
      </c>
      <c r="Q425" s="12">
        <f ca="1">IFERROR(__xludf.DUMMYFUNCTION("""COMPUTED_VALUE"""),610)</f>
        <v>610</v>
      </c>
      <c r="R425" s="12">
        <f ca="1">IFERROR(__xludf.DUMMYFUNCTION("""COMPUTED_VALUE"""),-153)</f>
        <v>-153</v>
      </c>
      <c r="S425" s="12">
        <f ca="1">IFERROR(__xludf.DUMMYFUNCTION("""COMPUTED_VALUE"""),-83)</f>
        <v>-83</v>
      </c>
      <c r="T425" s="12">
        <f ca="1">IFERROR(__xludf.DUMMYFUNCTION("""COMPUTED_VALUE"""),393)</f>
        <v>393</v>
      </c>
      <c r="U425" s="12">
        <f ca="1">IFERROR(__xludf.DUMMYFUNCTION("""COMPUTED_VALUE"""),-236)</f>
        <v>-236</v>
      </c>
    </row>
    <row r="426" spans="1:21" x14ac:dyDescent="0.25">
      <c r="A426" s="11">
        <f ca="1">IFERROR(__xludf.DUMMYFUNCTION("""COMPUTED_VALUE"""),44314)</f>
        <v>44314</v>
      </c>
      <c r="B426" s="12">
        <f ca="1">IFERROR(__xludf.DUMMYFUNCTION("""COMPUTED_VALUE"""),1657035)</f>
        <v>1657035</v>
      </c>
      <c r="C426" s="12">
        <f ca="1">IFERROR(__xludf.DUMMYFUNCTION("""COMPUTED_VALUE"""),100502)</f>
        <v>100502</v>
      </c>
      <c r="D426" s="12">
        <f ca="1">IFERROR(__xludf.DUMMYFUNCTION("""COMPUTED_VALUE"""),1511417)</f>
        <v>1511417</v>
      </c>
      <c r="E426" s="12">
        <f ca="1">IFERROR(__xludf.DUMMYFUNCTION("""COMPUTED_VALUE"""),45116)</f>
        <v>45116</v>
      </c>
      <c r="F426" s="12">
        <f ca="1">IFERROR(__xludf.DUMMYFUNCTION("""COMPUTED_VALUE"""),6690)</f>
        <v>6690</v>
      </c>
      <c r="G426" s="12">
        <f ca="1">IFERROR(__xludf.DUMMYFUNCTION("""COMPUTED_VALUE"""),393814)</f>
        <v>393814</v>
      </c>
      <c r="H426" s="12">
        <f ca="1">IFERROR(__xludf.DUMMYFUNCTION("""COMPUTED_VALUE"""),2950)</f>
        <v>2950</v>
      </c>
      <c r="I426" s="12">
        <f ca="1">IFERROR(__xludf.DUMMYFUNCTION("""COMPUTED_VALUE"""),3390)</f>
        <v>3390</v>
      </c>
      <c r="J426" s="12">
        <f ca="1">IFERROR(__xludf.DUMMYFUNCTION("""COMPUTED_VALUE"""),406844)</f>
        <v>406844</v>
      </c>
      <c r="K426" s="12">
        <f ca="1">IFERROR(__xludf.DUMMYFUNCTION("""COMPUTED_VALUE"""),6340)</f>
        <v>6340</v>
      </c>
      <c r="L426" s="12">
        <f ca="1">IFERROR(__xludf.DUMMYFUNCTION("""COMPUTED_VALUE"""),5241)</f>
        <v>5241</v>
      </c>
      <c r="M426" s="12">
        <f ca="1">IFERROR(__xludf.DUMMYFUNCTION("""COMPUTED_VALUE"""),246)</f>
        <v>246</v>
      </c>
      <c r="N426" s="12">
        <f ca="1">IFERROR(__xludf.DUMMYFUNCTION("""COMPUTED_VALUE"""),4818)</f>
        <v>4818</v>
      </c>
      <c r="O426" s="12">
        <f ca="1">IFERROR(__xludf.DUMMYFUNCTION("""COMPUTED_VALUE"""),177)</f>
        <v>177</v>
      </c>
      <c r="P426" s="12">
        <f ca="1">IFERROR(__xludf.DUMMYFUNCTION("""COMPUTED_VALUE"""),11)</f>
        <v>11</v>
      </c>
      <c r="Q426" s="12">
        <f ca="1">IFERROR(__xludf.DUMMYFUNCTION("""COMPUTED_VALUE"""),609)</f>
        <v>609</v>
      </c>
      <c r="R426" s="12">
        <f ca="1">IFERROR(__xludf.DUMMYFUNCTION("""COMPUTED_VALUE"""),-49)</f>
        <v>-49</v>
      </c>
      <c r="S426" s="12">
        <f ca="1">IFERROR(__xludf.DUMMYFUNCTION("""COMPUTED_VALUE"""),68)</f>
        <v>68</v>
      </c>
      <c r="T426" s="12">
        <f ca="1">IFERROR(__xludf.DUMMYFUNCTION("""COMPUTED_VALUE"""),639)</f>
        <v>639</v>
      </c>
      <c r="U426" s="12">
        <f ca="1">IFERROR(__xludf.DUMMYFUNCTION("""COMPUTED_VALUE"""),19)</f>
        <v>19</v>
      </c>
    </row>
    <row r="427" spans="1:21" x14ac:dyDescent="0.25">
      <c r="A427" s="11">
        <f ca="1">IFERROR(__xludf.DUMMYFUNCTION("""COMPUTED_VALUE"""),44315)</f>
        <v>44315</v>
      </c>
      <c r="B427" s="12">
        <f ca="1">IFERROR(__xludf.DUMMYFUNCTION("""COMPUTED_VALUE"""),1662868)</f>
        <v>1662868</v>
      </c>
      <c r="C427" s="12">
        <f ca="1">IFERROR(__xludf.DUMMYFUNCTION("""COMPUTED_VALUE"""),100102)</f>
        <v>100102</v>
      </c>
      <c r="D427" s="12">
        <f ca="1">IFERROR(__xludf.DUMMYFUNCTION("""COMPUTED_VALUE"""),1517432)</f>
        <v>1517432</v>
      </c>
      <c r="E427" s="12">
        <f ca="1">IFERROR(__xludf.DUMMYFUNCTION("""COMPUTED_VALUE"""),45334)</f>
        <v>45334</v>
      </c>
      <c r="F427" s="12">
        <f ca="1">IFERROR(__xludf.DUMMYFUNCTION("""COMPUTED_VALUE"""),6710)</f>
        <v>6710</v>
      </c>
      <c r="G427" s="12">
        <f ca="1">IFERROR(__xludf.DUMMYFUNCTION("""COMPUTED_VALUE"""),394403)</f>
        <v>394403</v>
      </c>
      <c r="H427" s="12">
        <f ca="1">IFERROR(__xludf.DUMMYFUNCTION("""COMPUTED_VALUE"""),3308)</f>
        <v>3308</v>
      </c>
      <c r="I427" s="12">
        <f ca="1">IFERROR(__xludf.DUMMYFUNCTION("""COMPUTED_VALUE"""),3410)</f>
        <v>3410</v>
      </c>
      <c r="J427" s="12">
        <f ca="1">IFERROR(__xludf.DUMMYFUNCTION("""COMPUTED_VALUE"""),407831)</f>
        <v>407831</v>
      </c>
      <c r="K427" s="12">
        <f ca="1">IFERROR(__xludf.DUMMYFUNCTION("""COMPUTED_VALUE"""),6718)</f>
        <v>6718</v>
      </c>
      <c r="L427" s="12">
        <f ca="1">IFERROR(__xludf.DUMMYFUNCTION("""COMPUTED_VALUE"""),5833)</f>
        <v>5833</v>
      </c>
      <c r="M427" s="12">
        <f ca="1">IFERROR(__xludf.DUMMYFUNCTION("""COMPUTED_VALUE"""),-400)</f>
        <v>-400</v>
      </c>
      <c r="N427" s="12">
        <f ca="1">IFERROR(__xludf.DUMMYFUNCTION("""COMPUTED_VALUE"""),6015)</f>
        <v>6015</v>
      </c>
      <c r="O427" s="12">
        <f ca="1">IFERROR(__xludf.DUMMYFUNCTION("""COMPUTED_VALUE"""),218)</f>
        <v>218</v>
      </c>
      <c r="P427" s="12">
        <f ca="1">IFERROR(__xludf.DUMMYFUNCTION("""COMPUTED_VALUE"""),20)</f>
        <v>20</v>
      </c>
      <c r="Q427" s="12">
        <f ca="1">IFERROR(__xludf.DUMMYFUNCTION("""COMPUTED_VALUE"""),589)</f>
        <v>589</v>
      </c>
      <c r="R427" s="12">
        <f ca="1">IFERROR(__xludf.DUMMYFUNCTION("""COMPUTED_VALUE"""),358)</f>
        <v>358</v>
      </c>
      <c r="S427" s="12">
        <f ca="1">IFERROR(__xludf.DUMMYFUNCTION("""COMPUTED_VALUE"""),20)</f>
        <v>20</v>
      </c>
      <c r="T427" s="12">
        <f ca="1">IFERROR(__xludf.DUMMYFUNCTION("""COMPUTED_VALUE"""),987)</f>
        <v>987</v>
      </c>
      <c r="U427" s="12">
        <f ca="1">IFERROR(__xludf.DUMMYFUNCTION("""COMPUTED_VALUE"""),378)</f>
        <v>378</v>
      </c>
    </row>
    <row r="428" spans="1:21" x14ac:dyDescent="0.25">
      <c r="A428" s="11">
        <f ca="1">IFERROR(__xludf.DUMMYFUNCTION("""COMPUTED_VALUE"""),44316)</f>
        <v>44316</v>
      </c>
      <c r="B428" s="12">
        <f ca="1">IFERROR(__xludf.DUMMYFUNCTION("""COMPUTED_VALUE"""),1668368)</f>
        <v>1668368</v>
      </c>
      <c r="C428" s="12">
        <f ca="1">IFERROR(__xludf.DUMMYFUNCTION("""COMPUTED_VALUE"""),100213)</f>
        <v>100213</v>
      </c>
      <c r="D428" s="12">
        <f ca="1">IFERROR(__xludf.DUMMYFUNCTION("""COMPUTED_VALUE"""),1522634)</f>
        <v>1522634</v>
      </c>
      <c r="E428" s="12">
        <f ca="1">IFERROR(__xludf.DUMMYFUNCTION("""COMPUTED_VALUE"""),45521)</f>
        <v>45521</v>
      </c>
      <c r="F428" s="12">
        <f ca="1">IFERROR(__xludf.DUMMYFUNCTION("""COMPUTED_VALUE"""),6733)</f>
        <v>6733</v>
      </c>
      <c r="G428" s="12">
        <f ca="1">IFERROR(__xludf.DUMMYFUNCTION("""COMPUTED_VALUE"""),394939)</f>
        <v>394939</v>
      </c>
      <c r="H428" s="12">
        <f ca="1">IFERROR(__xludf.DUMMYFUNCTION("""COMPUTED_VALUE"""),3421)</f>
        <v>3421</v>
      </c>
      <c r="I428" s="12">
        <f ca="1">IFERROR(__xludf.DUMMYFUNCTION("""COMPUTED_VALUE"""),3527)</f>
        <v>3527</v>
      </c>
      <c r="J428" s="12">
        <f ca="1">IFERROR(__xludf.DUMMYFUNCTION("""COMPUTED_VALUE"""),408620)</f>
        <v>408620</v>
      </c>
      <c r="K428" s="12">
        <f ca="1">IFERROR(__xludf.DUMMYFUNCTION("""COMPUTED_VALUE"""),6948)</f>
        <v>6948</v>
      </c>
      <c r="L428" s="12">
        <f ca="1">IFERROR(__xludf.DUMMYFUNCTION("""COMPUTED_VALUE"""),5500)</f>
        <v>5500</v>
      </c>
      <c r="M428" s="12">
        <f ca="1">IFERROR(__xludf.DUMMYFUNCTION("""COMPUTED_VALUE"""),111)</f>
        <v>111</v>
      </c>
      <c r="N428" s="12">
        <f ca="1">IFERROR(__xludf.DUMMYFUNCTION("""COMPUTED_VALUE"""),5202)</f>
        <v>5202</v>
      </c>
      <c r="O428" s="12">
        <f ca="1">IFERROR(__xludf.DUMMYFUNCTION("""COMPUTED_VALUE"""),187)</f>
        <v>187</v>
      </c>
      <c r="P428" s="12">
        <f ca="1">IFERROR(__xludf.DUMMYFUNCTION("""COMPUTED_VALUE"""),23)</f>
        <v>23</v>
      </c>
      <c r="Q428" s="12">
        <f ca="1">IFERROR(__xludf.DUMMYFUNCTION("""COMPUTED_VALUE"""),536)</f>
        <v>536</v>
      </c>
      <c r="R428" s="12">
        <f ca="1">IFERROR(__xludf.DUMMYFUNCTION("""COMPUTED_VALUE"""),113)</f>
        <v>113</v>
      </c>
      <c r="S428" s="12">
        <f ca="1">IFERROR(__xludf.DUMMYFUNCTION("""COMPUTED_VALUE"""),117)</f>
        <v>117</v>
      </c>
      <c r="T428" s="12">
        <f ca="1">IFERROR(__xludf.DUMMYFUNCTION("""COMPUTED_VALUE"""),789)</f>
        <v>789</v>
      </c>
      <c r="U428" s="12">
        <f ca="1">IFERROR(__xludf.DUMMYFUNCTION("""COMPUTED_VALUE"""),230)</f>
        <v>230</v>
      </c>
    </row>
    <row r="429" spans="1:21" x14ac:dyDescent="0.25">
      <c r="A429" s="11">
        <f ca="1">IFERROR(__xludf.DUMMYFUNCTION("""COMPUTED_VALUE"""),44317)</f>
        <v>44317</v>
      </c>
      <c r="B429" s="12">
        <f ca="1">IFERROR(__xludf.DUMMYFUNCTION("""COMPUTED_VALUE"""),1672880)</f>
        <v>1672880</v>
      </c>
      <c r="C429" s="12">
        <f ca="1">IFERROR(__xludf.DUMMYFUNCTION("""COMPUTED_VALUE"""),100250)</f>
        <v>100250</v>
      </c>
      <c r="D429" s="12">
        <f ca="1">IFERROR(__xludf.DUMMYFUNCTION("""COMPUTED_VALUE"""),1526978)</f>
        <v>1526978</v>
      </c>
      <c r="E429" s="12">
        <f ca="1">IFERROR(__xludf.DUMMYFUNCTION("""COMPUTED_VALUE"""),45652)</f>
        <v>45652</v>
      </c>
      <c r="F429" s="12">
        <f ca="1">IFERROR(__xludf.DUMMYFUNCTION("""COMPUTED_VALUE"""),6747)</f>
        <v>6747</v>
      </c>
      <c r="G429" s="12">
        <f ca="1">IFERROR(__xludf.DUMMYFUNCTION("""COMPUTED_VALUE"""),395644)</f>
        <v>395644</v>
      </c>
      <c r="H429" s="12">
        <f ca="1">IFERROR(__xludf.DUMMYFUNCTION("""COMPUTED_VALUE"""),3533)</f>
        <v>3533</v>
      </c>
      <c r="I429" s="12">
        <f ca="1">IFERROR(__xludf.DUMMYFUNCTION("""COMPUTED_VALUE"""),3622)</f>
        <v>3622</v>
      </c>
      <c r="J429" s="12">
        <f ca="1">IFERROR(__xludf.DUMMYFUNCTION("""COMPUTED_VALUE"""),409546)</f>
        <v>409546</v>
      </c>
      <c r="K429" s="12">
        <f ca="1">IFERROR(__xludf.DUMMYFUNCTION("""COMPUTED_VALUE"""),7155)</f>
        <v>7155</v>
      </c>
      <c r="L429" s="12">
        <f ca="1">IFERROR(__xludf.DUMMYFUNCTION("""COMPUTED_VALUE"""),4512)</f>
        <v>4512</v>
      </c>
      <c r="M429" s="12">
        <f ca="1">IFERROR(__xludf.DUMMYFUNCTION("""COMPUTED_VALUE"""),37)</f>
        <v>37</v>
      </c>
      <c r="N429" s="12">
        <f ca="1">IFERROR(__xludf.DUMMYFUNCTION("""COMPUTED_VALUE"""),4344)</f>
        <v>4344</v>
      </c>
      <c r="O429" s="12">
        <f ca="1">IFERROR(__xludf.DUMMYFUNCTION("""COMPUTED_VALUE"""),131)</f>
        <v>131</v>
      </c>
      <c r="P429" s="12">
        <f ca="1">IFERROR(__xludf.DUMMYFUNCTION("""COMPUTED_VALUE"""),14)</f>
        <v>14</v>
      </c>
      <c r="Q429" s="12">
        <f ca="1">IFERROR(__xludf.DUMMYFUNCTION("""COMPUTED_VALUE"""),705)</f>
        <v>705</v>
      </c>
      <c r="R429" s="12">
        <f ca="1">IFERROR(__xludf.DUMMYFUNCTION("""COMPUTED_VALUE"""),112)</f>
        <v>112</v>
      </c>
      <c r="S429" s="12">
        <f ca="1">IFERROR(__xludf.DUMMYFUNCTION("""COMPUTED_VALUE"""),95)</f>
        <v>95</v>
      </c>
      <c r="T429" s="12">
        <f ca="1">IFERROR(__xludf.DUMMYFUNCTION("""COMPUTED_VALUE"""),926)</f>
        <v>926</v>
      </c>
      <c r="U429" s="12">
        <f ca="1">IFERROR(__xludf.DUMMYFUNCTION("""COMPUTED_VALUE"""),207)</f>
        <v>207</v>
      </c>
    </row>
    <row r="430" spans="1:21" x14ac:dyDescent="0.25">
      <c r="A430" s="11">
        <f ca="1">IFERROR(__xludf.DUMMYFUNCTION("""COMPUTED_VALUE"""),44318)</f>
        <v>44318</v>
      </c>
      <c r="B430" s="12">
        <f ca="1">IFERROR(__xludf.DUMMYFUNCTION("""COMPUTED_VALUE"""),1677274)</f>
        <v>1677274</v>
      </c>
      <c r="C430" s="12">
        <f ca="1">IFERROR(__xludf.DUMMYFUNCTION("""COMPUTED_VALUE"""),100760)</f>
        <v>100760</v>
      </c>
      <c r="D430" s="12">
        <f ca="1">IFERROR(__xludf.DUMMYFUNCTION("""COMPUTED_VALUE"""),1530718)</f>
        <v>1530718</v>
      </c>
      <c r="E430" s="12">
        <f ca="1">IFERROR(__xludf.DUMMYFUNCTION("""COMPUTED_VALUE"""),45796)</f>
        <v>45796</v>
      </c>
      <c r="F430" s="12">
        <f ca="1">IFERROR(__xludf.DUMMYFUNCTION("""COMPUTED_VALUE"""),6767)</f>
        <v>6767</v>
      </c>
      <c r="G430" s="12">
        <f ca="1">IFERROR(__xludf.DUMMYFUNCTION("""COMPUTED_VALUE"""),396594)</f>
        <v>396594</v>
      </c>
      <c r="H430" s="12">
        <f ca="1">IFERROR(__xludf.DUMMYFUNCTION("""COMPUTED_VALUE"""),3450)</f>
        <v>3450</v>
      </c>
      <c r="I430" s="12">
        <f ca="1">IFERROR(__xludf.DUMMYFUNCTION("""COMPUTED_VALUE"""),3589)</f>
        <v>3589</v>
      </c>
      <c r="J430" s="12">
        <f ca="1">IFERROR(__xludf.DUMMYFUNCTION("""COMPUTED_VALUE"""),410400)</f>
        <v>410400</v>
      </c>
      <c r="K430" s="12">
        <f ca="1">IFERROR(__xludf.DUMMYFUNCTION("""COMPUTED_VALUE"""),7039)</f>
        <v>7039</v>
      </c>
      <c r="L430" s="12">
        <f ca="1">IFERROR(__xludf.DUMMYFUNCTION("""COMPUTED_VALUE"""),4394)</f>
        <v>4394</v>
      </c>
      <c r="M430" s="12">
        <f ca="1">IFERROR(__xludf.DUMMYFUNCTION("""COMPUTED_VALUE"""),510)</f>
        <v>510</v>
      </c>
      <c r="N430" s="12">
        <f ca="1">IFERROR(__xludf.DUMMYFUNCTION("""COMPUTED_VALUE"""),3740)</f>
        <v>3740</v>
      </c>
      <c r="O430" s="12">
        <f ca="1">IFERROR(__xludf.DUMMYFUNCTION("""COMPUTED_VALUE"""),144)</f>
        <v>144</v>
      </c>
      <c r="P430" s="12">
        <f ca="1">IFERROR(__xludf.DUMMYFUNCTION("""COMPUTED_VALUE"""),20)</f>
        <v>20</v>
      </c>
      <c r="Q430" s="12">
        <f ca="1">IFERROR(__xludf.DUMMYFUNCTION("""COMPUTED_VALUE"""),950)</f>
        <v>950</v>
      </c>
      <c r="R430" s="12">
        <f ca="1">IFERROR(__xludf.DUMMYFUNCTION("""COMPUTED_VALUE"""),-83)</f>
        <v>-83</v>
      </c>
      <c r="S430" s="12">
        <f ca="1">IFERROR(__xludf.DUMMYFUNCTION("""COMPUTED_VALUE"""),-33)</f>
        <v>-33</v>
      </c>
      <c r="T430" s="12">
        <f ca="1">IFERROR(__xludf.DUMMYFUNCTION("""COMPUTED_VALUE"""),854)</f>
        <v>854</v>
      </c>
      <c r="U430" s="12">
        <f ca="1">IFERROR(__xludf.DUMMYFUNCTION("""COMPUTED_VALUE"""),-116)</f>
        <v>-116</v>
      </c>
    </row>
    <row r="431" spans="1:21" x14ac:dyDescent="0.25">
      <c r="A431" s="11">
        <f ca="1">IFERROR(__xludf.DUMMYFUNCTION("""COMPUTED_VALUE"""),44319)</f>
        <v>44319</v>
      </c>
      <c r="B431" s="12">
        <f ca="1">IFERROR(__xludf.DUMMYFUNCTION("""COMPUTED_VALUE"""),1682004)</f>
        <v>1682004</v>
      </c>
      <c r="C431" s="12">
        <f ca="1">IFERROR(__xludf.DUMMYFUNCTION("""COMPUTED_VALUE"""),100564)</f>
        <v>100564</v>
      </c>
      <c r="D431" s="12">
        <f ca="1">IFERROR(__xludf.DUMMYFUNCTION("""COMPUTED_VALUE"""),1535491)</f>
        <v>1535491</v>
      </c>
      <c r="E431" s="12">
        <f ca="1">IFERROR(__xludf.DUMMYFUNCTION("""COMPUTED_VALUE"""),45949)</f>
        <v>45949</v>
      </c>
      <c r="F431" s="12">
        <f ca="1">IFERROR(__xludf.DUMMYFUNCTION("""COMPUTED_VALUE"""),6788)</f>
        <v>6788</v>
      </c>
      <c r="G431" s="12">
        <f ca="1">IFERROR(__xludf.DUMMYFUNCTION("""COMPUTED_VALUE"""),397349)</f>
        <v>397349</v>
      </c>
      <c r="H431" s="12">
        <f ca="1">IFERROR(__xludf.DUMMYFUNCTION("""COMPUTED_VALUE"""),3483)</f>
        <v>3483</v>
      </c>
      <c r="I431" s="12">
        <f ca="1">IFERROR(__xludf.DUMMYFUNCTION("""COMPUTED_VALUE"""),3537)</f>
        <v>3537</v>
      </c>
      <c r="J431" s="12">
        <f ca="1">IFERROR(__xludf.DUMMYFUNCTION("""COMPUTED_VALUE"""),411157)</f>
        <v>411157</v>
      </c>
      <c r="K431" s="12">
        <f ca="1">IFERROR(__xludf.DUMMYFUNCTION("""COMPUTED_VALUE"""),7020)</f>
        <v>7020</v>
      </c>
      <c r="L431" s="12">
        <f ca="1">IFERROR(__xludf.DUMMYFUNCTION("""COMPUTED_VALUE"""),4730)</f>
        <v>4730</v>
      </c>
      <c r="M431" s="12">
        <f ca="1">IFERROR(__xludf.DUMMYFUNCTION("""COMPUTED_VALUE"""),-196)</f>
        <v>-196</v>
      </c>
      <c r="N431" s="12">
        <f ca="1">IFERROR(__xludf.DUMMYFUNCTION("""COMPUTED_VALUE"""),4773)</f>
        <v>4773</v>
      </c>
      <c r="O431" s="12">
        <f ca="1">IFERROR(__xludf.DUMMYFUNCTION("""COMPUTED_VALUE"""),153)</f>
        <v>153</v>
      </c>
      <c r="P431" s="12">
        <f ca="1">IFERROR(__xludf.DUMMYFUNCTION("""COMPUTED_VALUE"""),21)</f>
        <v>21</v>
      </c>
      <c r="Q431" s="12">
        <f ca="1">IFERROR(__xludf.DUMMYFUNCTION("""COMPUTED_VALUE"""),755)</f>
        <v>755</v>
      </c>
      <c r="R431" s="12">
        <f ca="1">IFERROR(__xludf.DUMMYFUNCTION("""COMPUTED_VALUE"""),33)</f>
        <v>33</v>
      </c>
      <c r="S431" s="12">
        <f ca="1">IFERROR(__xludf.DUMMYFUNCTION("""COMPUTED_VALUE"""),-52)</f>
        <v>-52</v>
      </c>
      <c r="T431" s="12">
        <f ca="1">IFERROR(__xludf.DUMMYFUNCTION("""COMPUTED_VALUE"""),757)</f>
        <v>757</v>
      </c>
      <c r="U431" s="12">
        <f ca="1">IFERROR(__xludf.DUMMYFUNCTION("""COMPUTED_VALUE"""),-19)</f>
        <v>-19</v>
      </c>
    </row>
    <row r="432" spans="1:21" x14ac:dyDescent="0.25">
      <c r="A432" s="11">
        <f ca="1">IFERROR(__xludf.DUMMYFUNCTION("""COMPUTED_VALUE"""),44320)</f>
        <v>44320</v>
      </c>
      <c r="B432" s="12">
        <f ca="1">IFERROR(__xludf.DUMMYFUNCTION("""COMPUTED_VALUE"""),1686373)</f>
        <v>1686373</v>
      </c>
      <c r="C432" s="12">
        <f ca="1">IFERROR(__xludf.DUMMYFUNCTION("""COMPUTED_VALUE"""),99087)</f>
        <v>99087</v>
      </c>
      <c r="D432" s="12">
        <f ca="1">IFERROR(__xludf.DUMMYFUNCTION("""COMPUTED_VALUE"""),1541149)</f>
        <v>1541149</v>
      </c>
      <c r="E432" s="12">
        <f ca="1">IFERROR(__xludf.DUMMYFUNCTION("""COMPUTED_VALUE"""),46137)</f>
        <v>46137</v>
      </c>
      <c r="F432" s="12">
        <f ca="1">IFERROR(__xludf.DUMMYFUNCTION("""COMPUTED_VALUE"""),6807)</f>
        <v>6807</v>
      </c>
      <c r="G432" s="12">
        <f ca="1">IFERROR(__xludf.DUMMYFUNCTION("""COMPUTED_VALUE"""),397955)</f>
        <v>397955</v>
      </c>
      <c r="H432" s="12">
        <f ca="1">IFERROR(__xludf.DUMMYFUNCTION("""COMPUTED_VALUE"""),3247)</f>
        <v>3247</v>
      </c>
      <c r="I432" s="12">
        <f ca="1">IFERROR(__xludf.DUMMYFUNCTION("""COMPUTED_VALUE"""),3564)</f>
        <v>3564</v>
      </c>
      <c r="J432" s="12">
        <f ca="1">IFERROR(__xludf.DUMMYFUNCTION("""COMPUTED_VALUE"""),411573)</f>
        <v>411573</v>
      </c>
      <c r="K432" s="12">
        <f ca="1">IFERROR(__xludf.DUMMYFUNCTION("""COMPUTED_VALUE"""),6811)</f>
        <v>6811</v>
      </c>
      <c r="L432" s="12">
        <f ca="1">IFERROR(__xludf.DUMMYFUNCTION("""COMPUTED_VALUE"""),4369)</f>
        <v>4369</v>
      </c>
      <c r="M432" s="12">
        <f ca="1">IFERROR(__xludf.DUMMYFUNCTION("""COMPUTED_VALUE"""),-1477)</f>
        <v>-1477</v>
      </c>
      <c r="N432" s="12">
        <f ca="1">IFERROR(__xludf.DUMMYFUNCTION("""COMPUTED_VALUE"""),5658)</f>
        <v>5658</v>
      </c>
      <c r="O432" s="12">
        <f ca="1">IFERROR(__xludf.DUMMYFUNCTION("""COMPUTED_VALUE"""),188)</f>
        <v>188</v>
      </c>
      <c r="P432" s="12">
        <f ca="1">IFERROR(__xludf.DUMMYFUNCTION("""COMPUTED_VALUE"""),19)</f>
        <v>19</v>
      </c>
      <c r="Q432" s="12">
        <f ca="1">IFERROR(__xludf.DUMMYFUNCTION("""COMPUTED_VALUE"""),606)</f>
        <v>606</v>
      </c>
      <c r="R432" s="12">
        <f ca="1">IFERROR(__xludf.DUMMYFUNCTION("""COMPUTED_VALUE"""),-236)</f>
        <v>-236</v>
      </c>
      <c r="S432" s="12">
        <f ca="1">IFERROR(__xludf.DUMMYFUNCTION("""COMPUTED_VALUE"""),27)</f>
        <v>27</v>
      </c>
      <c r="T432" s="12">
        <f ca="1">IFERROR(__xludf.DUMMYFUNCTION("""COMPUTED_VALUE"""),416)</f>
        <v>416</v>
      </c>
      <c r="U432" s="12">
        <f ca="1">IFERROR(__xludf.DUMMYFUNCTION("""COMPUTED_VALUE"""),-209)</f>
        <v>-209</v>
      </c>
    </row>
    <row r="433" spans="1:21" x14ac:dyDescent="0.25">
      <c r="A433" s="11">
        <f ca="1">IFERROR(__xludf.DUMMYFUNCTION("""COMPUTED_VALUE"""),44321)</f>
        <v>44321</v>
      </c>
      <c r="B433" s="12">
        <f ca="1">IFERROR(__xludf.DUMMYFUNCTION("""COMPUTED_VALUE"""),1691658)</f>
        <v>1691658</v>
      </c>
      <c r="C433" s="12">
        <f ca="1">IFERROR(__xludf.DUMMYFUNCTION("""COMPUTED_VALUE"""),98217)</f>
        <v>98217</v>
      </c>
      <c r="D433" s="12">
        <f ca="1">IFERROR(__xludf.DUMMYFUNCTION("""COMPUTED_VALUE"""),1547092)</f>
        <v>1547092</v>
      </c>
      <c r="E433" s="12">
        <f ca="1">IFERROR(__xludf.DUMMYFUNCTION("""COMPUTED_VALUE"""),46349)</f>
        <v>46349</v>
      </c>
      <c r="F433" s="12">
        <f ca="1">IFERROR(__xludf.DUMMYFUNCTION("""COMPUTED_VALUE"""),6830)</f>
        <v>6830</v>
      </c>
      <c r="G433" s="12">
        <f ca="1">IFERROR(__xludf.DUMMYFUNCTION("""COMPUTED_VALUE"""),398610)</f>
        <v>398610</v>
      </c>
      <c r="H433" s="12">
        <f ca="1">IFERROR(__xludf.DUMMYFUNCTION("""COMPUTED_VALUE"""),3240)</f>
        <v>3240</v>
      </c>
      <c r="I433" s="12">
        <f ca="1">IFERROR(__xludf.DUMMYFUNCTION("""COMPUTED_VALUE"""),3738)</f>
        <v>3738</v>
      </c>
      <c r="J433" s="12">
        <f ca="1">IFERROR(__xludf.DUMMYFUNCTION("""COMPUTED_VALUE"""),412418)</f>
        <v>412418</v>
      </c>
      <c r="K433" s="12">
        <f ca="1">IFERROR(__xludf.DUMMYFUNCTION("""COMPUTED_VALUE"""),6978)</f>
        <v>6978</v>
      </c>
      <c r="L433" s="12">
        <f ca="1">IFERROR(__xludf.DUMMYFUNCTION("""COMPUTED_VALUE"""),5285)</f>
        <v>5285</v>
      </c>
      <c r="M433" s="12">
        <f ca="1">IFERROR(__xludf.DUMMYFUNCTION("""COMPUTED_VALUE"""),-870)</f>
        <v>-870</v>
      </c>
      <c r="N433" s="12">
        <f ca="1">IFERROR(__xludf.DUMMYFUNCTION("""COMPUTED_VALUE"""),5943)</f>
        <v>5943</v>
      </c>
      <c r="O433" s="12">
        <f ca="1">IFERROR(__xludf.DUMMYFUNCTION("""COMPUTED_VALUE"""),212)</f>
        <v>212</v>
      </c>
      <c r="P433" s="12">
        <f ca="1">IFERROR(__xludf.DUMMYFUNCTION("""COMPUTED_VALUE"""),23)</f>
        <v>23</v>
      </c>
      <c r="Q433" s="12">
        <f ca="1">IFERROR(__xludf.DUMMYFUNCTION("""COMPUTED_VALUE"""),655)</f>
        <v>655</v>
      </c>
      <c r="R433" s="12">
        <f ca="1">IFERROR(__xludf.DUMMYFUNCTION("""COMPUTED_VALUE"""),-7)</f>
        <v>-7</v>
      </c>
      <c r="S433" s="12">
        <f ca="1">IFERROR(__xludf.DUMMYFUNCTION("""COMPUTED_VALUE"""),174)</f>
        <v>174</v>
      </c>
      <c r="T433" s="12">
        <f ca="1">IFERROR(__xludf.DUMMYFUNCTION("""COMPUTED_VALUE"""),845)</f>
        <v>845</v>
      </c>
      <c r="U433" s="12">
        <f ca="1">IFERROR(__xludf.DUMMYFUNCTION("""COMPUTED_VALUE"""),167)</f>
        <v>167</v>
      </c>
    </row>
    <row r="434" spans="1:21" x14ac:dyDescent="0.25">
      <c r="A434" s="11">
        <f ca="1">IFERROR(__xludf.DUMMYFUNCTION("""COMPUTED_VALUE"""),44322)</f>
        <v>44322</v>
      </c>
      <c r="B434" s="12">
        <f ca="1">IFERROR(__xludf.DUMMYFUNCTION("""COMPUTED_VALUE"""),1697305)</f>
        <v>1697305</v>
      </c>
      <c r="C434" s="12">
        <f ca="1">IFERROR(__xludf.DUMMYFUNCTION("""COMPUTED_VALUE"""),98277)</f>
        <v>98277</v>
      </c>
      <c r="D434" s="12">
        <f ca="1">IFERROR(__xludf.DUMMYFUNCTION("""COMPUTED_VALUE"""),1552532)</f>
        <v>1552532</v>
      </c>
      <c r="E434" s="12">
        <f ca="1">IFERROR(__xludf.DUMMYFUNCTION("""COMPUTED_VALUE"""),46496)</f>
        <v>46496</v>
      </c>
      <c r="F434" s="12">
        <f ca="1">IFERROR(__xludf.DUMMYFUNCTION("""COMPUTED_VALUE"""),6850)</f>
        <v>6850</v>
      </c>
      <c r="G434" s="12">
        <f ca="1">IFERROR(__xludf.DUMMYFUNCTION("""COMPUTED_VALUE"""),399224)</f>
        <v>399224</v>
      </c>
      <c r="H434" s="12">
        <f ca="1">IFERROR(__xludf.DUMMYFUNCTION("""COMPUTED_VALUE"""),3406)</f>
        <v>3406</v>
      </c>
      <c r="I434" s="12">
        <f ca="1">IFERROR(__xludf.DUMMYFUNCTION("""COMPUTED_VALUE"""),3843)</f>
        <v>3843</v>
      </c>
      <c r="J434" s="12">
        <f ca="1">IFERROR(__xludf.DUMMYFUNCTION("""COMPUTED_VALUE"""),413323)</f>
        <v>413323</v>
      </c>
      <c r="K434" s="12">
        <f ca="1">IFERROR(__xludf.DUMMYFUNCTION("""COMPUTED_VALUE"""),7249)</f>
        <v>7249</v>
      </c>
      <c r="L434" s="12">
        <f ca="1">IFERROR(__xludf.DUMMYFUNCTION("""COMPUTED_VALUE"""),5647)</f>
        <v>5647</v>
      </c>
      <c r="M434" s="12">
        <f ca="1">IFERROR(__xludf.DUMMYFUNCTION("""COMPUTED_VALUE"""),60)</f>
        <v>60</v>
      </c>
      <c r="N434" s="12">
        <f ca="1">IFERROR(__xludf.DUMMYFUNCTION("""COMPUTED_VALUE"""),5440)</f>
        <v>5440</v>
      </c>
      <c r="O434" s="12">
        <f ca="1">IFERROR(__xludf.DUMMYFUNCTION("""COMPUTED_VALUE"""),147)</f>
        <v>147</v>
      </c>
      <c r="P434" s="12">
        <f ca="1">IFERROR(__xludf.DUMMYFUNCTION("""COMPUTED_VALUE"""),20)</f>
        <v>20</v>
      </c>
      <c r="Q434" s="12">
        <f ca="1">IFERROR(__xludf.DUMMYFUNCTION("""COMPUTED_VALUE"""),614)</f>
        <v>614</v>
      </c>
      <c r="R434" s="12">
        <f ca="1">IFERROR(__xludf.DUMMYFUNCTION("""COMPUTED_VALUE"""),166)</f>
        <v>166</v>
      </c>
      <c r="S434" s="12">
        <f ca="1">IFERROR(__xludf.DUMMYFUNCTION("""COMPUTED_VALUE"""),105)</f>
        <v>105</v>
      </c>
      <c r="T434" s="12">
        <f ca="1">IFERROR(__xludf.DUMMYFUNCTION("""COMPUTED_VALUE"""),905)</f>
        <v>905</v>
      </c>
      <c r="U434" s="12">
        <f ca="1">IFERROR(__xludf.DUMMYFUNCTION("""COMPUTED_VALUE"""),271)</f>
        <v>271</v>
      </c>
    </row>
    <row r="435" spans="1:21" x14ac:dyDescent="0.25">
      <c r="A435" s="11">
        <f ca="1">IFERROR(__xludf.DUMMYFUNCTION("""COMPUTED_VALUE"""),44323)</f>
        <v>44323</v>
      </c>
      <c r="B435" s="12">
        <f ca="1">IFERROR(__xludf.DUMMYFUNCTION("""COMPUTED_VALUE"""),1703632)</f>
        <v>1703632</v>
      </c>
      <c r="C435" s="12">
        <f ca="1">IFERROR(__xludf.DUMMYFUNCTION("""COMPUTED_VALUE"""),98546)</f>
        <v>98546</v>
      </c>
      <c r="D435" s="12">
        <f ca="1">IFERROR(__xludf.DUMMYFUNCTION("""COMPUTED_VALUE"""),1558423)</f>
        <v>1558423</v>
      </c>
      <c r="E435" s="12">
        <f ca="1">IFERROR(__xludf.DUMMYFUNCTION("""COMPUTED_VALUE"""),46663)</f>
        <v>46663</v>
      </c>
      <c r="F435" s="12">
        <f ca="1">IFERROR(__xludf.DUMMYFUNCTION("""COMPUTED_VALUE"""),6872)</f>
        <v>6872</v>
      </c>
      <c r="G435" s="12">
        <f ca="1">IFERROR(__xludf.DUMMYFUNCTION("""COMPUTED_VALUE"""),399821)</f>
        <v>399821</v>
      </c>
      <c r="H435" s="12">
        <f ca="1">IFERROR(__xludf.DUMMYFUNCTION("""COMPUTED_VALUE"""),3485)</f>
        <v>3485</v>
      </c>
      <c r="I435" s="12">
        <f ca="1">IFERROR(__xludf.DUMMYFUNCTION("""COMPUTED_VALUE"""),3928)</f>
        <v>3928</v>
      </c>
      <c r="J435" s="12">
        <f ca="1">IFERROR(__xludf.DUMMYFUNCTION("""COMPUTED_VALUE"""),414106)</f>
        <v>414106</v>
      </c>
      <c r="K435" s="12">
        <f ca="1">IFERROR(__xludf.DUMMYFUNCTION("""COMPUTED_VALUE"""),7413)</f>
        <v>7413</v>
      </c>
      <c r="L435" s="12">
        <f ca="1">IFERROR(__xludf.DUMMYFUNCTION("""COMPUTED_VALUE"""),6327)</f>
        <v>6327</v>
      </c>
      <c r="M435" s="12">
        <f ca="1">IFERROR(__xludf.DUMMYFUNCTION("""COMPUTED_VALUE"""),269)</f>
        <v>269</v>
      </c>
      <c r="N435" s="12">
        <f ca="1">IFERROR(__xludf.DUMMYFUNCTION("""COMPUTED_VALUE"""),5891)</f>
        <v>5891</v>
      </c>
      <c r="O435" s="12">
        <f ca="1">IFERROR(__xludf.DUMMYFUNCTION("""COMPUTED_VALUE"""),167)</f>
        <v>167</v>
      </c>
      <c r="P435" s="12">
        <f ca="1">IFERROR(__xludf.DUMMYFUNCTION("""COMPUTED_VALUE"""),22)</f>
        <v>22</v>
      </c>
      <c r="Q435" s="12">
        <f ca="1">IFERROR(__xludf.DUMMYFUNCTION("""COMPUTED_VALUE"""),597)</f>
        <v>597</v>
      </c>
      <c r="R435" s="12">
        <f ca="1">IFERROR(__xludf.DUMMYFUNCTION("""COMPUTED_VALUE"""),79)</f>
        <v>79</v>
      </c>
      <c r="S435" s="12">
        <f ca="1">IFERROR(__xludf.DUMMYFUNCTION("""COMPUTED_VALUE"""),85)</f>
        <v>85</v>
      </c>
      <c r="T435" s="12">
        <f ca="1">IFERROR(__xludf.DUMMYFUNCTION("""COMPUTED_VALUE"""),783)</f>
        <v>783</v>
      </c>
      <c r="U435" s="12">
        <f ca="1">IFERROR(__xludf.DUMMYFUNCTION("""COMPUTED_VALUE"""),164)</f>
        <v>164</v>
      </c>
    </row>
    <row r="436" spans="1:21" x14ac:dyDescent="0.25">
      <c r="A436" s="11">
        <f ca="1">IFERROR(__xludf.DUMMYFUNCTION("""COMPUTED_VALUE"""),44324)</f>
        <v>44324</v>
      </c>
      <c r="B436" s="12">
        <f ca="1">IFERROR(__xludf.DUMMYFUNCTION("""COMPUTED_VALUE"""),1709762)</f>
        <v>1709762</v>
      </c>
      <c r="C436" s="12">
        <f ca="1">IFERROR(__xludf.DUMMYFUNCTION("""COMPUTED_VALUE"""),99003)</f>
        <v>99003</v>
      </c>
      <c r="D436" s="12">
        <f ca="1">IFERROR(__xludf.DUMMYFUNCTION("""COMPUTED_VALUE"""),1563917)</f>
        <v>1563917</v>
      </c>
      <c r="E436" s="12">
        <f ca="1">IFERROR(__xludf.DUMMYFUNCTION("""COMPUTED_VALUE"""),46842)</f>
        <v>46842</v>
      </c>
      <c r="F436" s="12">
        <f ca="1">IFERROR(__xludf.DUMMYFUNCTION("""COMPUTED_VALUE"""),6896)</f>
        <v>6896</v>
      </c>
      <c r="G436" s="12">
        <f ca="1">IFERROR(__xludf.DUMMYFUNCTION("""COMPUTED_VALUE"""),400403)</f>
        <v>400403</v>
      </c>
      <c r="H436" s="12">
        <f ca="1">IFERROR(__xludf.DUMMYFUNCTION("""COMPUTED_VALUE"""),3569)</f>
        <v>3569</v>
      </c>
      <c r="I436" s="12">
        <f ca="1">IFERROR(__xludf.DUMMYFUNCTION("""COMPUTED_VALUE"""),3970)</f>
        <v>3970</v>
      </c>
      <c r="J436" s="12">
        <f ca="1">IFERROR(__xludf.DUMMYFUNCTION("""COMPUTED_VALUE"""),414838)</f>
        <v>414838</v>
      </c>
      <c r="K436" s="12">
        <f ca="1">IFERROR(__xludf.DUMMYFUNCTION("""COMPUTED_VALUE"""),7539)</f>
        <v>7539</v>
      </c>
      <c r="L436" s="12">
        <f ca="1">IFERROR(__xludf.DUMMYFUNCTION("""COMPUTED_VALUE"""),6130)</f>
        <v>6130</v>
      </c>
      <c r="M436" s="12">
        <f ca="1">IFERROR(__xludf.DUMMYFUNCTION("""COMPUTED_VALUE"""),457)</f>
        <v>457</v>
      </c>
      <c r="N436" s="12">
        <f ca="1">IFERROR(__xludf.DUMMYFUNCTION("""COMPUTED_VALUE"""),5494)</f>
        <v>5494</v>
      </c>
      <c r="O436" s="12">
        <f ca="1">IFERROR(__xludf.DUMMYFUNCTION("""COMPUTED_VALUE"""),179)</f>
        <v>179</v>
      </c>
      <c r="P436" s="12">
        <f ca="1">IFERROR(__xludf.DUMMYFUNCTION("""COMPUTED_VALUE"""),24)</f>
        <v>24</v>
      </c>
      <c r="Q436" s="12">
        <f ca="1">IFERROR(__xludf.DUMMYFUNCTION("""COMPUTED_VALUE"""),582)</f>
        <v>582</v>
      </c>
      <c r="R436" s="12">
        <f ca="1">IFERROR(__xludf.DUMMYFUNCTION("""COMPUTED_VALUE"""),84)</f>
        <v>84</v>
      </c>
      <c r="S436" s="12">
        <f ca="1">IFERROR(__xludf.DUMMYFUNCTION("""COMPUTED_VALUE"""),42)</f>
        <v>42</v>
      </c>
      <c r="T436" s="12">
        <f ca="1">IFERROR(__xludf.DUMMYFUNCTION("""COMPUTED_VALUE"""),732)</f>
        <v>732</v>
      </c>
      <c r="U436" s="12">
        <f ca="1">IFERROR(__xludf.DUMMYFUNCTION("""COMPUTED_VALUE"""),126)</f>
        <v>126</v>
      </c>
    </row>
    <row r="437" spans="1:21" x14ac:dyDescent="0.25">
      <c r="A437" s="11">
        <f ca="1">IFERROR(__xludf.DUMMYFUNCTION("""COMPUTED_VALUE"""),44325)</f>
        <v>44325</v>
      </c>
      <c r="B437" s="12">
        <f ca="1">IFERROR(__xludf.DUMMYFUNCTION("""COMPUTED_VALUE"""),1713684)</f>
        <v>1713684</v>
      </c>
      <c r="C437" s="12">
        <f ca="1">IFERROR(__xludf.DUMMYFUNCTION("""COMPUTED_VALUE"""),98395)</f>
        <v>98395</v>
      </c>
      <c r="D437" s="12">
        <f ca="1">IFERROR(__xludf.DUMMYFUNCTION("""COMPUTED_VALUE"""),1568277)</f>
        <v>1568277</v>
      </c>
      <c r="E437" s="12">
        <f ca="1">IFERROR(__xludf.DUMMYFUNCTION("""COMPUTED_VALUE"""),47012)</f>
        <v>47012</v>
      </c>
      <c r="F437" s="12">
        <f ca="1">IFERROR(__xludf.DUMMYFUNCTION("""COMPUTED_VALUE"""),6911)</f>
        <v>6911</v>
      </c>
      <c r="G437" s="12">
        <f ca="1">IFERROR(__xludf.DUMMYFUNCTION("""COMPUTED_VALUE"""),401114)</f>
        <v>401114</v>
      </c>
      <c r="H437" s="12">
        <f ca="1">IFERROR(__xludf.DUMMYFUNCTION("""COMPUTED_VALUE"""),3648)</f>
        <v>3648</v>
      </c>
      <c r="I437" s="12">
        <f ca="1">IFERROR(__xludf.DUMMYFUNCTION("""COMPUTED_VALUE"""),3974)</f>
        <v>3974</v>
      </c>
      <c r="J437" s="12">
        <f ca="1">IFERROR(__xludf.DUMMYFUNCTION("""COMPUTED_VALUE"""),415647)</f>
        <v>415647</v>
      </c>
      <c r="K437" s="12">
        <f ca="1">IFERROR(__xludf.DUMMYFUNCTION("""COMPUTED_VALUE"""),7622)</f>
        <v>7622</v>
      </c>
      <c r="L437" s="12">
        <f ca="1">IFERROR(__xludf.DUMMYFUNCTION("""COMPUTED_VALUE"""),3922)</f>
        <v>3922</v>
      </c>
      <c r="M437" s="12">
        <f ca="1">IFERROR(__xludf.DUMMYFUNCTION("""COMPUTED_VALUE"""),-608)</f>
        <v>-608</v>
      </c>
      <c r="N437" s="12">
        <f ca="1">IFERROR(__xludf.DUMMYFUNCTION("""COMPUTED_VALUE"""),4360)</f>
        <v>4360</v>
      </c>
      <c r="O437" s="12">
        <f ca="1">IFERROR(__xludf.DUMMYFUNCTION("""COMPUTED_VALUE"""),170)</f>
        <v>170</v>
      </c>
      <c r="P437" s="12">
        <f ca="1">IFERROR(__xludf.DUMMYFUNCTION("""COMPUTED_VALUE"""),15)</f>
        <v>15</v>
      </c>
      <c r="Q437" s="12">
        <f ca="1">IFERROR(__xludf.DUMMYFUNCTION("""COMPUTED_VALUE"""),711)</f>
        <v>711</v>
      </c>
      <c r="R437" s="12">
        <f ca="1">IFERROR(__xludf.DUMMYFUNCTION("""COMPUTED_VALUE"""),79)</f>
        <v>79</v>
      </c>
      <c r="S437" s="12">
        <f ca="1">IFERROR(__xludf.DUMMYFUNCTION("""COMPUTED_VALUE"""),4)</f>
        <v>4</v>
      </c>
      <c r="T437" s="12">
        <f ca="1">IFERROR(__xludf.DUMMYFUNCTION("""COMPUTED_VALUE"""),809)</f>
        <v>809</v>
      </c>
      <c r="U437" s="12">
        <f ca="1">IFERROR(__xludf.DUMMYFUNCTION("""COMPUTED_VALUE"""),83)</f>
        <v>83</v>
      </c>
    </row>
    <row r="438" spans="1:21" x14ac:dyDescent="0.25">
      <c r="A438" s="11">
        <f ca="1">IFERROR(__xludf.DUMMYFUNCTION("""COMPUTED_VALUE"""),44326)</f>
        <v>44326</v>
      </c>
      <c r="B438" s="12">
        <f ca="1">IFERROR(__xludf.DUMMYFUNCTION("""COMPUTED_VALUE"""),1718575)</f>
        <v>1718575</v>
      </c>
      <c r="C438" s="12">
        <f ca="1">IFERROR(__xludf.DUMMYFUNCTION("""COMPUTED_VALUE"""),96742)</f>
        <v>96742</v>
      </c>
      <c r="D438" s="12">
        <f ca="1">IFERROR(__xludf.DUMMYFUNCTION("""COMPUTED_VALUE"""),1574615)</f>
        <v>1574615</v>
      </c>
      <c r="E438" s="12">
        <f ca="1">IFERROR(__xludf.DUMMYFUNCTION("""COMPUTED_VALUE"""),47218)</f>
        <v>47218</v>
      </c>
      <c r="F438" s="12">
        <f ca="1">IFERROR(__xludf.DUMMYFUNCTION("""COMPUTED_VALUE"""),6933)</f>
        <v>6933</v>
      </c>
      <c r="G438" s="12">
        <f ca="1">IFERROR(__xludf.DUMMYFUNCTION("""COMPUTED_VALUE"""),401744)</f>
        <v>401744</v>
      </c>
      <c r="H438" s="12">
        <f ca="1">IFERROR(__xludf.DUMMYFUNCTION("""COMPUTED_VALUE"""),3723)</f>
        <v>3723</v>
      </c>
      <c r="I438" s="12">
        <f ca="1">IFERROR(__xludf.DUMMYFUNCTION("""COMPUTED_VALUE"""),3941)</f>
        <v>3941</v>
      </c>
      <c r="J438" s="12">
        <f ca="1">IFERROR(__xludf.DUMMYFUNCTION("""COMPUTED_VALUE"""),416341)</f>
        <v>416341</v>
      </c>
      <c r="K438" s="12">
        <f ca="1">IFERROR(__xludf.DUMMYFUNCTION("""COMPUTED_VALUE"""),7664)</f>
        <v>7664</v>
      </c>
      <c r="L438" s="12">
        <f ca="1">IFERROR(__xludf.DUMMYFUNCTION("""COMPUTED_VALUE"""),4891)</f>
        <v>4891</v>
      </c>
      <c r="M438" s="12">
        <f ca="1">IFERROR(__xludf.DUMMYFUNCTION("""COMPUTED_VALUE"""),-1653)</f>
        <v>-1653</v>
      </c>
      <c r="N438" s="12">
        <f ca="1">IFERROR(__xludf.DUMMYFUNCTION("""COMPUTED_VALUE"""),6338)</f>
        <v>6338</v>
      </c>
      <c r="O438" s="12">
        <f ca="1">IFERROR(__xludf.DUMMYFUNCTION("""COMPUTED_VALUE"""),206)</f>
        <v>206</v>
      </c>
      <c r="P438" s="12">
        <f ca="1">IFERROR(__xludf.DUMMYFUNCTION("""COMPUTED_VALUE"""),22)</f>
        <v>22</v>
      </c>
      <c r="Q438" s="12">
        <f ca="1">IFERROR(__xludf.DUMMYFUNCTION("""COMPUTED_VALUE"""),630)</f>
        <v>630</v>
      </c>
      <c r="R438" s="12">
        <f ca="1">IFERROR(__xludf.DUMMYFUNCTION("""COMPUTED_VALUE"""),75)</f>
        <v>75</v>
      </c>
      <c r="S438" s="12">
        <f ca="1">IFERROR(__xludf.DUMMYFUNCTION("""COMPUTED_VALUE"""),-33)</f>
        <v>-33</v>
      </c>
      <c r="T438" s="12">
        <f ca="1">IFERROR(__xludf.DUMMYFUNCTION("""COMPUTED_VALUE"""),694)</f>
        <v>694</v>
      </c>
      <c r="U438" s="12">
        <f ca="1">IFERROR(__xludf.DUMMYFUNCTION("""COMPUTED_VALUE"""),42)</f>
        <v>42</v>
      </c>
    </row>
    <row r="439" spans="1:21" x14ac:dyDescent="0.25">
      <c r="A439" s="11">
        <f ca="1">IFERROR(__xludf.DUMMYFUNCTION("""COMPUTED_VALUE"""),44327)</f>
        <v>44327</v>
      </c>
      <c r="B439" s="12">
        <f ca="1">IFERROR(__xludf.DUMMYFUNCTION("""COMPUTED_VALUE"""),1723596)</f>
        <v>1723596</v>
      </c>
      <c r="C439" s="12">
        <f ca="1">IFERROR(__xludf.DUMMYFUNCTION("""COMPUTED_VALUE"""),95924)</f>
        <v>95924</v>
      </c>
      <c r="D439" s="12">
        <f ca="1">IFERROR(__xludf.DUMMYFUNCTION("""COMPUTED_VALUE"""),1580207)</f>
        <v>1580207</v>
      </c>
      <c r="E439" s="12">
        <f ca="1">IFERROR(__xludf.DUMMYFUNCTION("""COMPUTED_VALUE"""),47465)</f>
        <v>47465</v>
      </c>
      <c r="F439" s="12">
        <f ca="1">IFERROR(__xludf.DUMMYFUNCTION("""COMPUTED_VALUE"""),6952)</f>
        <v>6952</v>
      </c>
      <c r="G439" s="12">
        <f ca="1">IFERROR(__xludf.DUMMYFUNCTION("""COMPUTED_VALUE"""),402374)</f>
        <v>402374</v>
      </c>
      <c r="H439" s="12">
        <f ca="1">IFERROR(__xludf.DUMMYFUNCTION("""COMPUTED_VALUE"""),3490)</f>
        <v>3490</v>
      </c>
      <c r="I439" s="12">
        <f ca="1">IFERROR(__xludf.DUMMYFUNCTION("""COMPUTED_VALUE"""),3931)</f>
        <v>3931</v>
      </c>
      <c r="J439" s="12">
        <f ca="1">IFERROR(__xludf.DUMMYFUNCTION("""COMPUTED_VALUE"""),416747)</f>
        <v>416747</v>
      </c>
      <c r="K439" s="12">
        <f ca="1">IFERROR(__xludf.DUMMYFUNCTION("""COMPUTED_VALUE"""),7421)</f>
        <v>7421</v>
      </c>
      <c r="L439" s="12">
        <f ca="1">IFERROR(__xludf.DUMMYFUNCTION("""COMPUTED_VALUE"""),5021)</f>
        <v>5021</v>
      </c>
      <c r="M439" s="12">
        <f ca="1">IFERROR(__xludf.DUMMYFUNCTION("""COMPUTED_VALUE"""),-818)</f>
        <v>-818</v>
      </c>
      <c r="N439" s="12">
        <f ca="1">IFERROR(__xludf.DUMMYFUNCTION("""COMPUTED_VALUE"""),5592)</f>
        <v>5592</v>
      </c>
      <c r="O439" s="12">
        <f ca="1">IFERROR(__xludf.DUMMYFUNCTION("""COMPUTED_VALUE"""),247)</f>
        <v>247</v>
      </c>
      <c r="P439" s="12">
        <f ca="1">IFERROR(__xludf.DUMMYFUNCTION("""COMPUTED_VALUE"""),19)</f>
        <v>19</v>
      </c>
      <c r="Q439" s="12">
        <f ca="1">IFERROR(__xludf.DUMMYFUNCTION("""COMPUTED_VALUE"""),630)</f>
        <v>630</v>
      </c>
      <c r="R439" s="12">
        <f ca="1">IFERROR(__xludf.DUMMYFUNCTION("""COMPUTED_VALUE"""),-233)</f>
        <v>-233</v>
      </c>
      <c r="S439" s="12">
        <f ca="1">IFERROR(__xludf.DUMMYFUNCTION("""COMPUTED_VALUE"""),-10)</f>
        <v>-10</v>
      </c>
      <c r="T439" s="12">
        <f ca="1">IFERROR(__xludf.DUMMYFUNCTION("""COMPUTED_VALUE"""),406)</f>
        <v>406</v>
      </c>
      <c r="U439" s="12">
        <f ca="1">IFERROR(__xludf.DUMMYFUNCTION("""COMPUTED_VALUE"""),-243)</f>
        <v>-243</v>
      </c>
    </row>
    <row r="440" spans="1:21" x14ac:dyDescent="0.25">
      <c r="A440" s="11">
        <f ca="1">IFERROR(__xludf.DUMMYFUNCTION("""COMPUTED_VALUE"""),44328)</f>
        <v>44328</v>
      </c>
      <c r="B440" s="12">
        <f ca="1">IFERROR(__xludf.DUMMYFUNCTION("""COMPUTED_VALUE"""),1728204)</f>
        <v>1728204</v>
      </c>
      <c r="C440" s="12">
        <f ca="1">IFERROR(__xludf.DUMMYFUNCTION("""COMPUTED_VALUE"""),95709)</f>
        <v>95709</v>
      </c>
      <c r="D440" s="12">
        <f ca="1">IFERROR(__xludf.DUMMYFUNCTION("""COMPUTED_VALUE"""),1584878)</f>
        <v>1584878</v>
      </c>
      <c r="E440" s="12">
        <f ca="1">IFERROR(__xludf.DUMMYFUNCTION("""COMPUTED_VALUE"""),47617)</f>
        <v>47617</v>
      </c>
      <c r="F440" s="12">
        <f ca="1">IFERROR(__xludf.DUMMYFUNCTION("""COMPUTED_VALUE"""),6973)</f>
        <v>6973</v>
      </c>
      <c r="G440" s="12">
        <f ca="1">IFERROR(__xludf.DUMMYFUNCTION("""COMPUTED_VALUE"""),403039)</f>
        <v>403039</v>
      </c>
      <c r="H440" s="12">
        <f ca="1">IFERROR(__xludf.DUMMYFUNCTION("""COMPUTED_VALUE"""),3402)</f>
        <v>3402</v>
      </c>
      <c r="I440" s="12">
        <f ca="1">IFERROR(__xludf.DUMMYFUNCTION("""COMPUTED_VALUE"""),3989)</f>
        <v>3989</v>
      </c>
      <c r="J440" s="12">
        <f ca="1">IFERROR(__xludf.DUMMYFUNCTION("""COMPUTED_VALUE"""),417403)</f>
        <v>417403</v>
      </c>
      <c r="K440" s="12">
        <f ca="1">IFERROR(__xludf.DUMMYFUNCTION("""COMPUTED_VALUE"""),7391)</f>
        <v>7391</v>
      </c>
      <c r="L440" s="12">
        <f ca="1">IFERROR(__xludf.DUMMYFUNCTION("""COMPUTED_VALUE"""),4608)</f>
        <v>4608</v>
      </c>
      <c r="M440" s="12">
        <f ca="1">IFERROR(__xludf.DUMMYFUNCTION("""COMPUTED_VALUE"""),-215)</f>
        <v>-215</v>
      </c>
      <c r="N440" s="12">
        <f ca="1">IFERROR(__xludf.DUMMYFUNCTION("""COMPUTED_VALUE"""),4671)</f>
        <v>4671</v>
      </c>
      <c r="O440" s="12">
        <f ca="1">IFERROR(__xludf.DUMMYFUNCTION("""COMPUTED_VALUE"""),152)</f>
        <v>152</v>
      </c>
      <c r="P440" s="12">
        <f ca="1">IFERROR(__xludf.DUMMYFUNCTION("""COMPUTED_VALUE"""),21)</f>
        <v>21</v>
      </c>
      <c r="Q440" s="12">
        <f ca="1">IFERROR(__xludf.DUMMYFUNCTION("""COMPUTED_VALUE"""),665)</f>
        <v>665</v>
      </c>
      <c r="R440" s="12">
        <f ca="1">IFERROR(__xludf.DUMMYFUNCTION("""COMPUTED_VALUE"""),-88)</f>
        <v>-88</v>
      </c>
      <c r="S440" s="12">
        <f ca="1">IFERROR(__xludf.DUMMYFUNCTION("""COMPUTED_VALUE"""),58)</f>
        <v>58</v>
      </c>
      <c r="T440" s="12">
        <f ca="1">IFERROR(__xludf.DUMMYFUNCTION("""COMPUTED_VALUE"""),656)</f>
        <v>656</v>
      </c>
      <c r="U440" s="12">
        <f ca="1">IFERROR(__xludf.DUMMYFUNCTION("""COMPUTED_VALUE"""),-30)</f>
        <v>-30</v>
      </c>
    </row>
    <row r="441" spans="1:21" x14ac:dyDescent="0.25">
      <c r="A441" s="11">
        <f ca="1">IFERROR(__xludf.DUMMYFUNCTION("""COMPUTED_VALUE"""),44329)</f>
        <v>44329</v>
      </c>
      <c r="B441" s="12">
        <f ca="1">IFERROR(__xludf.DUMMYFUNCTION("""COMPUTED_VALUE"""),1731652)</f>
        <v>1731652</v>
      </c>
      <c r="C441" s="12">
        <f ca="1">IFERROR(__xludf.DUMMYFUNCTION("""COMPUTED_VALUE"""),94857)</f>
        <v>94857</v>
      </c>
      <c r="D441" s="12">
        <f ca="1">IFERROR(__xludf.DUMMYFUNCTION("""COMPUTED_VALUE"""),1589079)</f>
        <v>1589079</v>
      </c>
      <c r="E441" s="12">
        <f ca="1">IFERROR(__xludf.DUMMYFUNCTION("""COMPUTED_VALUE"""),47716)</f>
        <v>47716</v>
      </c>
      <c r="F441" s="12">
        <f ca="1">IFERROR(__xludf.DUMMYFUNCTION("""COMPUTED_VALUE"""),6973)</f>
        <v>6973</v>
      </c>
      <c r="G441" s="12">
        <f ca="1">IFERROR(__xludf.DUMMYFUNCTION("""COMPUTED_VALUE"""),403630)</f>
        <v>403630</v>
      </c>
      <c r="H441" s="12">
        <f ca="1">IFERROR(__xludf.DUMMYFUNCTION("""COMPUTED_VALUE"""),3630)</f>
        <v>3630</v>
      </c>
      <c r="I441" s="12">
        <f ca="1">IFERROR(__xludf.DUMMYFUNCTION("""COMPUTED_VALUE"""),3955)</f>
        <v>3955</v>
      </c>
      <c r="J441" s="12">
        <f ca="1">IFERROR(__xludf.DUMMYFUNCTION("""COMPUTED_VALUE"""),418188)</f>
        <v>418188</v>
      </c>
      <c r="K441" s="12">
        <f ca="1">IFERROR(__xludf.DUMMYFUNCTION("""COMPUTED_VALUE"""),7585)</f>
        <v>7585</v>
      </c>
      <c r="L441" s="12">
        <f ca="1">IFERROR(__xludf.DUMMYFUNCTION("""COMPUTED_VALUE"""),3448)</f>
        <v>3448</v>
      </c>
      <c r="M441" s="12">
        <f ca="1">IFERROR(__xludf.DUMMYFUNCTION("""COMPUTED_VALUE"""),-852)</f>
        <v>-852</v>
      </c>
      <c r="N441" s="12">
        <f ca="1">IFERROR(__xludf.DUMMYFUNCTION("""COMPUTED_VALUE"""),4201)</f>
        <v>4201</v>
      </c>
      <c r="O441" s="12">
        <f ca="1">IFERROR(__xludf.DUMMYFUNCTION("""COMPUTED_VALUE"""),99)</f>
        <v>99</v>
      </c>
      <c r="P441" s="12">
        <f ca="1">IFERROR(__xludf.DUMMYFUNCTION("""COMPUTED_VALUE"""),0)</f>
        <v>0</v>
      </c>
      <c r="Q441" s="12">
        <f ca="1">IFERROR(__xludf.DUMMYFUNCTION("""COMPUTED_VALUE"""),591)</f>
        <v>591</v>
      </c>
      <c r="R441" s="12">
        <f ca="1">IFERROR(__xludf.DUMMYFUNCTION("""COMPUTED_VALUE"""),228)</f>
        <v>228</v>
      </c>
      <c r="S441" s="12">
        <f ca="1">IFERROR(__xludf.DUMMYFUNCTION("""COMPUTED_VALUE"""),-34)</f>
        <v>-34</v>
      </c>
      <c r="T441" s="12">
        <f ca="1">IFERROR(__xludf.DUMMYFUNCTION("""COMPUTED_VALUE"""),785)</f>
        <v>785</v>
      </c>
      <c r="U441" s="12">
        <f ca="1">IFERROR(__xludf.DUMMYFUNCTION("""COMPUTED_VALUE"""),194)</f>
        <v>194</v>
      </c>
    </row>
    <row r="442" spans="1:21" x14ac:dyDescent="0.25">
      <c r="A442" s="11">
        <f ca="1">IFERROR(__xludf.DUMMYFUNCTION("""COMPUTED_VALUE"""),44330)</f>
        <v>44330</v>
      </c>
      <c r="B442" s="12">
        <f ca="1">IFERROR(__xludf.DUMMYFUNCTION("""COMPUTED_VALUE"""),1734285)</f>
        <v>1734285</v>
      </c>
      <c r="C442" s="12">
        <f ca="1">IFERROR(__xludf.DUMMYFUNCTION("""COMPUTED_VALUE"""),93576)</f>
        <v>93576</v>
      </c>
      <c r="D442" s="12">
        <f ca="1">IFERROR(__xludf.DUMMYFUNCTION("""COMPUTED_VALUE"""),1592886)</f>
        <v>1592886</v>
      </c>
      <c r="E442" s="12">
        <f ca="1">IFERROR(__xludf.DUMMYFUNCTION("""COMPUTED_VALUE"""),47823)</f>
        <v>47823</v>
      </c>
      <c r="F442" s="12">
        <f ca="1">IFERROR(__xludf.DUMMYFUNCTION("""COMPUTED_VALUE"""),7003)</f>
        <v>7003</v>
      </c>
      <c r="G442" s="12">
        <f ca="1">IFERROR(__xludf.DUMMYFUNCTION("""COMPUTED_VALUE"""),404187)</f>
        <v>404187</v>
      </c>
      <c r="H442" s="12">
        <f ca="1">IFERROR(__xludf.DUMMYFUNCTION("""COMPUTED_VALUE"""),3502)</f>
        <v>3502</v>
      </c>
      <c r="I442" s="12">
        <f ca="1">IFERROR(__xludf.DUMMYFUNCTION("""COMPUTED_VALUE"""),4128)</f>
        <v>4128</v>
      </c>
      <c r="J442" s="12">
        <f ca="1">IFERROR(__xludf.DUMMYFUNCTION("""COMPUTED_VALUE"""),418820)</f>
        <v>418820</v>
      </c>
      <c r="K442" s="12">
        <f ca="1">IFERROR(__xludf.DUMMYFUNCTION("""COMPUTED_VALUE"""),7630)</f>
        <v>7630</v>
      </c>
      <c r="L442" s="12">
        <f ca="1">IFERROR(__xludf.DUMMYFUNCTION("""COMPUTED_VALUE"""),2633)</f>
        <v>2633</v>
      </c>
      <c r="M442" s="12">
        <f ca="1">IFERROR(__xludf.DUMMYFUNCTION("""COMPUTED_VALUE"""),-1281)</f>
        <v>-1281</v>
      </c>
      <c r="N442" s="12">
        <f ca="1">IFERROR(__xludf.DUMMYFUNCTION("""COMPUTED_VALUE"""),3807)</f>
        <v>3807</v>
      </c>
      <c r="O442" s="12">
        <f ca="1">IFERROR(__xludf.DUMMYFUNCTION("""COMPUTED_VALUE"""),107)</f>
        <v>107</v>
      </c>
      <c r="P442" s="12">
        <f ca="1">IFERROR(__xludf.DUMMYFUNCTION("""COMPUTED_VALUE"""),30)</f>
        <v>30</v>
      </c>
      <c r="Q442" s="12">
        <f ca="1">IFERROR(__xludf.DUMMYFUNCTION("""COMPUTED_VALUE"""),557)</f>
        <v>557</v>
      </c>
      <c r="R442" s="12">
        <f ca="1">IFERROR(__xludf.DUMMYFUNCTION("""COMPUTED_VALUE"""),-128)</f>
        <v>-128</v>
      </c>
      <c r="S442" s="12">
        <f ca="1">IFERROR(__xludf.DUMMYFUNCTION("""COMPUTED_VALUE"""),173)</f>
        <v>173</v>
      </c>
      <c r="T442" s="12">
        <f ca="1">IFERROR(__xludf.DUMMYFUNCTION("""COMPUTED_VALUE"""),632)</f>
        <v>632</v>
      </c>
      <c r="U442" s="12">
        <f ca="1">IFERROR(__xludf.DUMMYFUNCTION("""COMPUTED_VALUE"""),45)</f>
        <v>45</v>
      </c>
    </row>
    <row r="443" spans="1:21" x14ac:dyDescent="0.25">
      <c r="A443" s="11">
        <f ca="1">IFERROR(__xludf.DUMMYFUNCTION("""COMPUTED_VALUE"""),44331)</f>
        <v>44331</v>
      </c>
      <c r="B443" s="12">
        <f ca="1">IFERROR(__xludf.DUMMYFUNCTION("""COMPUTED_VALUE"""),1736670)</f>
        <v>1736670</v>
      </c>
      <c r="C443" s="12">
        <f ca="1">IFERROR(__xludf.DUMMYFUNCTION("""COMPUTED_VALUE"""),91636)</f>
        <v>91636</v>
      </c>
      <c r="D443" s="12">
        <f ca="1">IFERROR(__xludf.DUMMYFUNCTION("""COMPUTED_VALUE"""),1597067)</f>
        <v>1597067</v>
      </c>
      <c r="E443" s="12">
        <f ca="1">IFERROR(__xludf.DUMMYFUNCTION("""COMPUTED_VALUE"""),47967)</f>
        <v>47967</v>
      </c>
      <c r="F443" s="12">
        <f ca="1">IFERROR(__xludf.DUMMYFUNCTION("""COMPUTED_VALUE"""),7066)</f>
        <v>7066</v>
      </c>
      <c r="G443" s="12">
        <f ca="1">IFERROR(__xludf.DUMMYFUNCTION("""COMPUTED_VALUE"""),404715)</f>
        <v>404715</v>
      </c>
      <c r="H443" s="12">
        <f ca="1">IFERROR(__xludf.DUMMYFUNCTION("""COMPUTED_VALUE"""),3288)</f>
        <v>3288</v>
      </c>
      <c r="I443" s="12">
        <f ca="1">IFERROR(__xludf.DUMMYFUNCTION("""COMPUTED_VALUE"""),3978)</f>
        <v>3978</v>
      </c>
      <c r="J443" s="12">
        <f ca="1">IFERROR(__xludf.DUMMYFUNCTION("""COMPUTED_VALUE"""),419047)</f>
        <v>419047</v>
      </c>
      <c r="K443" s="12">
        <f ca="1">IFERROR(__xludf.DUMMYFUNCTION("""COMPUTED_VALUE"""),7266)</f>
        <v>7266</v>
      </c>
      <c r="L443" s="12">
        <f ca="1">IFERROR(__xludf.DUMMYFUNCTION("""COMPUTED_VALUE"""),2385)</f>
        <v>2385</v>
      </c>
      <c r="M443" s="12">
        <f ca="1">IFERROR(__xludf.DUMMYFUNCTION("""COMPUTED_VALUE"""),-1940)</f>
        <v>-1940</v>
      </c>
      <c r="N443" s="12">
        <f ca="1">IFERROR(__xludf.DUMMYFUNCTION("""COMPUTED_VALUE"""),4181)</f>
        <v>4181</v>
      </c>
      <c r="O443" s="12">
        <f ca="1">IFERROR(__xludf.DUMMYFUNCTION("""COMPUTED_VALUE"""),144)</f>
        <v>144</v>
      </c>
      <c r="P443" s="12">
        <f ca="1">IFERROR(__xludf.DUMMYFUNCTION("""COMPUTED_VALUE"""),63)</f>
        <v>63</v>
      </c>
      <c r="Q443" s="12">
        <f ca="1">IFERROR(__xludf.DUMMYFUNCTION("""COMPUTED_VALUE"""),528)</f>
        <v>528</v>
      </c>
      <c r="R443" s="12">
        <f ca="1">IFERROR(__xludf.DUMMYFUNCTION("""COMPUTED_VALUE"""),-214)</f>
        <v>-214</v>
      </c>
      <c r="S443" s="12">
        <f ca="1">IFERROR(__xludf.DUMMYFUNCTION("""COMPUTED_VALUE"""),-150)</f>
        <v>-150</v>
      </c>
      <c r="T443" s="12">
        <f ca="1">IFERROR(__xludf.DUMMYFUNCTION("""COMPUTED_VALUE"""),227)</f>
        <v>227</v>
      </c>
      <c r="U443" s="12">
        <f ca="1">IFERROR(__xludf.DUMMYFUNCTION("""COMPUTED_VALUE"""),-364)</f>
        <v>-364</v>
      </c>
    </row>
    <row r="444" spans="1:21" x14ac:dyDescent="0.25">
      <c r="A444" s="11">
        <f ca="1">IFERROR(__xludf.DUMMYFUNCTION("""COMPUTED_VALUE"""),44332)</f>
        <v>44332</v>
      </c>
      <c r="B444" s="12">
        <f ca="1">IFERROR(__xludf.DUMMYFUNCTION("""COMPUTED_VALUE"""),1739750)</f>
        <v>1739750</v>
      </c>
      <c r="C444" s="12">
        <f ca="1">IFERROR(__xludf.DUMMYFUNCTION("""COMPUTED_VALUE"""),90800)</f>
        <v>90800</v>
      </c>
      <c r="D444" s="12">
        <f ca="1">IFERROR(__xludf.DUMMYFUNCTION("""COMPUTED_VALUE"""),1600857)</f>
        <v>1600857</v>
      </c>
      <c r="E444" s="12">
        <f ca="1">IFERROR(__xludf.DUMMYFUNCTION("""COMPUTED_VALUE"""),48093)</f>
        <v>48093</v>
      </c>
      <c r="F444" s="12">
        <f ca="1">IFERROR(__xludf.DUMMYFUNCTION("""COMPUTED_VALUE"""),7082)</f>
        <v>7082</v>
      </c>
      <c r="G444" s="12">
        <f ca="1">IFERROR(__xludf.DUMMYFUNCTION("""COMPUTED_VALUE"""),404980)</f>
        <v>404980</v>
      </c>
      <c r="H444" s="12">
        <f ca="1">IFERROR(__xludf.DUMMYFUNCTION("""COMPUTED_VALUE"""),3189)</f>
        <v>3189</v>
      </c>
      <c r="I444" s="12">
        <f ca="1">IFERROR(__xludf.DUMMYFUNCTION("""COMPUTED_VALUE"""),3957)</f>
        <v>3957</v>
      </c>
      <c r="J444" s="12">
        <f ca="1">IFERROR(__xludf.DUMMYFUNCTION("""COMPUTED_VALUE"""),419208)</f>
        <v>419208</v>
      </c>
      <c r="K444" s="12">
        <f ca="1">IFERROR(__xludf.DUMMYFUNCTION("""COMPUTED_VALUE"""),7146)</f>
        <v>7146</v>
      </c>
      <c r="L444" s="12">
        <f ca="1">IFERROR(__xludf.DUMMYFUNCTION("""COMPUTED_VALUE"""),3080)</f>
        <v>3080</v>
      </c>
      <c r="M444" s="12">
        <f ca="1">IFERROR(__xludf.DUMMYFUNCTION("""COMPUTED_VALUE"""),-836)</f>
        <v>-836</v>
      </c>
      <c r="N444" s="12">
        <f ca="1">IFERROR(__xludf.DUMMYFUNCTION("""COMPUTED_VALUE"""),3790)</f>
        <v>3790</v>
      </c>
      <c r="O444" s="12">
        <f ca="1">IFERROR(__xludf.DUMMYFUNCTION("""COMPUTED_VALUE"""),126)</f>
        <v>126</v>
      </c>
      <c r="P444" s="12">
        <f ca="1">IFERROR(__xludf.DUMMYFUNCTION("""COMPUTED_VALUE"""),16)</f>
        <v>16</v>
      </c>
      <c r="Q444" s="12">
        <f ca="1">IFERROR(__xludf.DUMMYFUNCTION("""COMPUTED_VALUE"""),265)</f>
        <v>265</v>
      </c>
      <c r="R444" s="12">
        <f ca="1">IFERROR(__xludf.DUMMYFUNCTION("""COMPUTED_VALUE"""),-99)</f>
        <v>-99</v>
      </c>
      <c r="S444" s="12">
        <f ca="1">IFERROR(__xludf.DUMMYFUNCTION("""COMPUTED_VALUE"""),-21)</f>
        <v>-21</v>
      </c>
      <c r="T444" s="12">
        <f ca="1">IFERROR(__xludf.DUMMYFUNCTION("""COMPUTED_VALUE"""),161)</f>
        <v>161</v>
      </c>
      <c r="U444" s="12">
        <f ca="1">IFERROR(__xludf.DUMMYFUNCTION("""COMPUTED_VALUE"""),-120)</f>
        <v>-120</v>
      </c>
    </row>
    <row r="445" spans="1:21" x14ac:dyDescent="0.25">
      <c r="A445" s="11">
        <f ca="1">IFERROR(__xludf.DUMMYFUNCTION("""COMPUTED_VALUE"""),44333)</f>
        <v>44333</v>
      </c>
      <c r="B445" s="12">
        <f ca="1">IFERROR(__xludf.DUMMYFUNCTION("""COMPUTED_VALUE"""),1744045)</f>
        <v>1744045</v>
      </c>
      <c r="C445" s="12">
        <f ca="1">IFERROR(__xludf.DUMMYFUNCTION("""COMPUTED_VALUE"""),89129)</f>
        <v>89129</v>
      </c>
      <c r="D445" s="12">
        <f ca="1">IFERROR(__xludf.DUMMYFUNCTION("""COMPUTED_VALUE"""),1606611)</f>
        <v>1606611</v>
      </c>
      <c r="E445" s="12">
        <f ca="1">IFERROR(__xludf.DUMMYFUNCTION("""COMPUTED_VALUE"""),48305)</f>
        <v>48305</v>
      </c>
      <c r="F445" s="12">
        <f ca="1">IFERROR(__xludf.DUMMYFUNCTION("""COMPUTED_VALUE"""),7107)</f>
        <v>7107</v>
      </c>
      <c r="G445" s="12">
        <f ca="1">IFERROR(__xludf.DUMMYFUNCTION("""COMPUTED_VALUE"""),405229)</f>
        <v>405229</v>
      </c>
      <c r="H445" s="12">
        <f ca="1">IFERROR(__xludf.DUMMYFUNCTION("""COMPUTED_VALUE"""),3158)</f>
        <v>3158</v>
      </c>
      <c r="I445" s="12">
        <f ca="1">IFERROR(__xludf.DUMMYFUNCTION("""COMPUTED_VALUE"""),4135)</f>
        <v>4135</v>
      </c>
      <c r="J445" s="12">
        <f ca="1">IFERROR(__xludf.DUMMYFUNCTION("""COMPUTED_VALUE"""),419629)</f>
        <v>419629</v>
      </c>
      <c r="K445" s="12">
        <f ca="1">IFERROR(__xludf.DUMMYFUNCTION("""COMPUTED_VALUE"""),7293)</f>
        <v>7293</v>
      </c>
      <c r="L445" s="12">
        <f ca="1">IFERROR(__xludf.DUMMYFUNCTION("""COMPUTED_VALUE"""),4295)</f>
        <v>4295</v>
      </c>
      <c r="M445" s="12">
        <f ca="1">IFERROR(__xludf.DUMMYFUNCTION("""COMPUTED_VALUE"""),-1671)</f>
        <v>-1671</v>
      </c>
      <c r="N445" s="12">
        <f ca="1">IFERROR(__xludf.DUMMYFUNCTION("""COMPUTED_VALUE"""),5754)</f>
        <v>5754</v>
      </c>
      <c r="O445" s="12">
        <f ca="1">IFERROR(__xludf.DUMMYFUNCTION("""COMPUTED_VALUE"""),212)</f>
        <v>212</v>
      </c>
      <c r="P445" s="12">
        <f ca="1">IFERROR(__xludf.DUMMYFUNCTION("""COMPUTED_VALUE"""),25)</f>
        <v>25</v>
      </c>
      <c r="Q445" s="12">
        <f ca="1">IFERROR(__xludf.DUMMYFUNCTION("""COMPUTED_VALUE"""),249)</f>
        <v>249</v>
      </c>
      <c r="R445" s="12">
        <f ca="1">IFERROR(__xludf.DUMMYFUNCTION("""COMPUTED_VALUE"""),-31)</f>
        <v>-31</v>
      </c>
      <c r="S445" s="12">
        <f ca="1">IFERROR(__xludf.DUMMYFUNCTION("""COMPUTED_VALUE"""),178)</f>
        <v>178</v>
      </c>
      <c r="T445" s="12">
        <f ca="1">IFERROR(__xludf.DUMMYFUNCTION("""COMPUTED_VALUE"""),421)</f>
        <v>421</v>
      </c>
      <c r="U445" s="12">
        <f ca="1">IFERROR(__xludf.DUMMYFUNCTION("""COMPUTED_VALUE"""),147)</f>
        <v>147</v>
      </c>
    </row>
    <row r="446" spans="1:21" x14ac:dyDescent="0.25">
      <c r="A446" s="11">
        <f ca="1">IFERROR(__xludf.DUMMYFUNCTION("""COMPUTED_VALUE"""),44334)</f>
        <v>44334</v>
      </c>
      <c r="B446" s="12">
        <f ca="1">IFERROR(__xludf.DUMMYFUNCTION("""COMPUTED_VALUE"""),1748230)</f>
        <v>1748230</v>
      </c>
      <c r="C446" s="12">
        <f ca="1">IFERROR(__xludf.DUMMYFUNCTION("""COMPUTED_VALUE"""),87514)</f>
        <v>87514</v>
      </c>
      <c r="D446" s="12">
        <f ca="1">IFERROR(__xludf.DUMMYFUNCTION("""COMPUTED_VALUE"""),1612239)</f>
        <v>1612239</v>
      </c>
      <c r="E446" s="12">
        <f ca="1">IFERROR(__xludf.DUMMYFUNCTION("""COMPUTED_VALUE"""),48477)</f>
        <v>48477</v>
      </c>
      <c r="F446" s="12">
        <f ca="1">IFERROR(__xludf.DUMMYFUNCTION("""COMPUTED_VALUE"""),7130)</f>
        <v>7130</v>
      </c>
      <c r="G446" s="12">
        <f ca="1">IFERROR(__xludf.DUMMYFUNCTION("""COMPUTED_VALUE"""),405357)</f>
        <v>405357</v>
      </c>
      <c r="H446" s="12">
        <f ca="1">IFERROR(__xludf.DUMMYFUNCTION("""COMPUTED_VALUE"""),3248)</f>
        <v>3248</v>
      </c>
      <c r="I446" s="12">
        <f ca="1">IFERROR(__xludf.DUMMYFUNCTION("""COMPUTED_VALUE"""),4185)</f>
        <v>4185</v>
      </c>
      <c r="J446" s="12">
        <f ca="1">IFERROR(__xludf.DUMMYFUNCTION("""COMPUTED_VALUE"""),419920)</f>
        <v>419920</v>
      </c>
      <c r="K446" s="12">
        <f ca="1">IFERROR(__xludf.DUMMYFUNCTION("""COMPUTED_VALUE"""),7433)</f>
        <v>7433</v>
      </c>
      <c r="L446" s="12">
        <f ca="1">IFERROR(__xludf.DUMMYFUNCTION("""COMPUTED_VALUE"""),4185)</f>
        <v>4185</v>
      </c>
      <c r="M446" s="12">
        <f ca="1">IFERROR(__xludf.DUMMYFUNCTION("""COMPUTED_VALUE"""),-1615)</f>
        <v>-1615</v>
      </c>
      <c r="N446" s="12">
        <f ca="1">IFERROR(__xludf.DUMMYFUNCTION("""COMPUTED_VALUE"""),5628)</f>
        <v>5628</v>
      </c>
      <c r="O446" s="12">
        <f ca="1">IFERROR(__xludf.DUMMYFUNCTION("""COMPUTED_VALUE"""),172)</f>
        <v>172</v>
      </c>
      <c r="P446" s="12">
        <f ca="1">IFERROR(__xludf.DUMMYFUNCTION("""COMPUTED_VALUE"""),23)</f>
        <v>23</v>
      </c>
      <c r="Q446" s="12">
        <f ca="1">IFERROR(__xludf.DUMMYFUNCTION("""COMPUTED_VALUE"""),128)</f>
        <v>128</v>
      </c>
      <c r="R446" s="12">
        <f ca="1">IFERROR(__xludf.DUMMYFUNCTION("""COMPUTED_VALUE"""),90)</f>
        <v>90</v>
      </c>
      <c r="S446" s="12">
        <f ca="1">IFERROR(__xludf.DUMMYFUNCTION("""COMPUTED_VALUE"""),50)</f>
        <v>50</v>
      </c>
      <c r="T446" s="12">
        <f ca="1">IFERROR(__xludf.DUMMYFUNCTION("""COMPUTED_VALUE"""),291)</f>
        <v>291</v>
      </c>
      <c r="U446" s="12">
        <f ca="1">IFERROR(__xludf.DUMMYFUNCTION("""COMPUTED_VALUE"""),140)</f>
        <v>140</v>
      </c>
    </row>
    <row r="447" spans="1:21" x14ac:dyDescent="0.25">
      <c r="A447" s="11">
        <f ca="1">IFERROR(__xludf.DUMMYFUNCTION("""COMPUTED_VALUE"""),44335)</f>
        <v>44335</v>
      </c>
      <c r="B447" s="12">
        <f ca="1">IFERROR(__xludf.DUMMYFUNCTION("""COMPUTED_VALUE"""),1753101)</f>
        <v>1753101</v>
      </c>
      <c r="C447" s="12">
        <f ca="1">IFERROR(__xludf.DUMMYFUNCTION("""COMPUTED_VALUE"""),87829)</f>
        <v>87829</v>
      </c>
      <c r="D447" s="12">
        <f ca="1">IFERROR(__xludf.DUMMYFUNCTION("""COMPUTED_VALUE"""),1616603)</f>
        <v>1616603</v>
      </c>
      <c r="E447" s="12">
        <f ca="1">IFERROR(__xludf.DUMMYFUNCTION("""COMPUTED_VALUE"""),48669)</f>
        <v>48669</v>
      </c>
      <c r="F447" s="12">
        <f ca="1">IFERROR(__xludf.DUMMYFUNCTION("""COMPUTED_VALUE"""),7149)</f>
        <v>7149</v>
      </c>
      <c r="G447" s="12">
        <f ca="1">IFERROR(__xludf.DUMMYFUNCTION("""COMPUTED_VALUE"""),405535)</f>
        <v>405535</v>
      </c>
      <c r="H447" s="12">
        <f ca="1">IFERROR(__xludf.DUMMYFUNCTION("""COMPUTED_VALUE"""),3366)</f>
        <v>3366</v>
      </c>
      <c r="I447" s="12">
        <f ca="1">IFERROR(__xludf.DUMMYFUNCTION("""COMPUTED_VALUE"""),4409)</f>
        <v>4409</v>
      </c>
      <c r="J447" s="12">
        <f ca="1">IFERROR(__xludf.DUMMYFUNCTION("""COMPUTED_VALUE"""),420459)</f>
        <v>420459</v>
      </c>
      <c r="K447" s="12">
        <f ca="1">IFERROR(__xludf.DUMMYFUNCTION("""COMPUTED_VALUE"""),7775)</f>
        <v>7775</v>
      </c>
      <c r="L447" s="12">
        <f ca="1">IFERROR(__xludf.DUMMYFUNCTION("""COMPUTED_VALUE"""),4871)</f>
        <v>4871</v>
      </c>
      <c r="M447" s="12">
        <f ca="1">IFERROR(__xludf.DUMMYFUNCTION("""COMPUTED_VALUE"""),315)</f>
        <v>315</v>
      </c>
      <c r="N447" s="12">
        <f ca="1">IFERROR(__xludf.DUMMYFUNCTION("""COMPUTED_VALUE"""),4364)</f>
        <v>4364</v>
      </c>
      <c r="O447" s="12">
        <f ca="1">IFERROR(__xludf.DUMMYFUNCTION("""COMPUTED_VALUE"""),192)</f>
        <v>192</v>
      </c>
      <c r="P447" s="12">
        <f ca="1">IFERROR(__xludf.DUMMYFUNCTION("""COMPUTED_VALUE"""),19)</f>
        <v>19</v>
      </c>
      <c r="Q447" s="12">
        <f ca="1">IFERROR(__xludf.DUMMYFUNCTION("""COMPUTED_VALUE"""),178)</f>
        <v>178</v>
      </c>
      <c r="R447" s="12">
        <f ca="1">IFERROR(__xludf.DUMMYFUNCTION("""COMPUTED_VALUE"""),118)</f>
        <v>118</v>
      </c>
      <c r="S447" s="12">
        <f ca="1">IFERROR(__xludf.DUMMYFUNCTION("""COMPUTED_VALUE"""),224)</f>
        <v>224</v>
      </c>
      <c r="T447" s="12">
        <f ca="1">IFERROR(__xludf.DUMMYFUNCTION("""COMPUTED_VALUE"""),539)</f>
        <v>539</v>
      </c>
      <c r="U447" s="12">
        <f ca="1">IFERROR(__xludf.DUMMYFUNCTION("""COMPUTED_VALUE"""),342)</f>
        <v>342</v>
      </c>
    </row>
    <row r="448" spans="1:21" x14ac:dyDescent="0.25">
      <c r="A448" s="11">
        <f ca="1">IFERROR(__xludf.DUMMYFUNCTION("""COMPUTED_VALUE"""),44336)</f>
        <v>44336</v>
      </c>
      <c r="B448" s="12">
        <f ca="1">IFERROR(__xludf.DUMMYFUNCTION("""COMPUTED_VALUE"""),1758898)</f>
        <v>1758898</v>
      </c>
      <c r="C448" s="12">
        <f ca="1">IFERROR(__xludf.DUMMYFUNCTION("""COMPUTED_VALUE"""),88439)</f>
        <v>88439</v>
      </c>
      <c r="D448" s="12">
        <f ca="1">IFERROR(__xludf.DUMMYFUNCTION("""COMPUTED_VALUE"""),1621572)</f>
        <v>1621572</v>
      </c>
      <c r="E448" s="12">
        <f ca="1">IFERROR(__xludf.DUMMYFUNCTION("""COMPUTED_VALUE"""),48887)</f>
        <v>48887</v>
      </c>
      <c r="F448" s="12">
        <f ca="1">IFERROR(__xludf.DUMMYFUNCTION("""COMPUTED_VALUE"""),7169)</f>
        <v>7169</v>
      </c>
      <c r="G448" s="12">
        <f ca="1">IFERROR(__xludf.DUMMYFUNCTION("""COMPUTED_VALUE"""),405714)</f>
        <v>405714</v>
      </c>
      <c r="H448" s="12">
        <f ca="1">IFERROR(__xludf.DUMMYFUNCTION("""COMPUTED_VALUE"""),3797)</f>
        <v>3797</v>
      </c>
      <c r="I448" s="12">
        <f ca="1">IFERROR(__xludf.DUMMYFUNCTION("""COMPUTED_VALUE"""),4674)</f>
        <v>4674</v>
      </c>
      <c r="J448" s="12">
        <f ca="1">IFERROR(__xludf.DUMMYFUNCTION("""COMPUTED_VALUE"""),421354)</f>
        <v>421354</v>
      </c>
      <c r="K448" s="12">
        <f ca="1">IFERROR(__xludf.DUMMYFUNCTION("""COMPUTED_VALUE"""),8471)</f>
        <v>8471</v>
      </c>
      <c r="L448" s="12">
        <f ca="1">IFERROR(__xludf.DUMMYFUNCTION("""COMPUTED_VALUE"""),5797)</f>
        <v>5797</v>
      </c>
      <c r="M448" s="12">
        <f ca="1">IFERROR(__xludf.DUMMYFUNCTION("""COMPUTED_VALUE"""),610)</f>
        <v>610</v>
      </c>
      <c r="N448" s="12">
        <f ca="1">IFERROR(__xludf.DUMMYFUNCTION("""COMPUTED_VALUE"""),4969)</f>
        <v>4969</v>
      </c>
      <c r="O448" s="12">
        <f ca="1">IFERROR(__xludf.DUMMYFUNCTION("""COMPUTED_VALUE"""),218)</f>
        <v>218</v>
      </c>
      <c r="P448" s="12">
        <f ca="1">IFERROR(__xludf.DUMMYFUNCTION("""COMPUTED_VALUE"""),20)</f>
        <v>20</v>
      </c>
      <c r="Q448" s="12">
        <f ca="1">IFERROR(__xludf.DUMMYFUNCTION("""COMPUTED_VALUE"""),179)</f>
        <v>179</v>
      </c>
      <c r="R448" s="12">
        <f ca="1">IFERROR(__xludf.DUMMYFUNCTION("""COMPUTED_VALUE"""),431)</f>
        <v>431</v>
      </c>
      <c r="S448" s="12">
        <f ca="1">IFERROR(__xludf.DUMMYFUNCTION("""COMPUTED_VALUE"""),265)</f>
        <v>265</v>
      </c>
      <c r="T448" s="12">
        <f ca="1">IFERROR(__xludf.DUMMYFUNCTION("""COMPUTED_VALUE"""),895)</f>
        <v>895</v>
      </c>
      <c r="U448" s="12">
        <f ca="1">IFERROR(__xludf.DUMMYFUNCTION("""COMPUTED_VALUE"""),696)</f>
        <v>696</v>
      </c>
    </row>
    <row r="449" spans="1:21" x14ac:dyDescent="0.25">
      <c r="A449" s="11">
        <f ca="1">IFERROR(__xludf.DUMMYFUNCTION("""COMPUTED_VALUE"""),44337)</f>
        <v>44337</v>
      </c>
      <c r="B449" s="12">
        <f ca="1">IFERROR(__xludf.DUMMYFUNCTION("""COMPUTED_VALUE"""),1764644)</f>
        <v>1764644</v>
      </c>
      <c r="C449" s="12">
        <f ca="1">IFERROR(__xludf.DUMMYFUNCTION("""COMPUTED_VALUE"""),89429)</f>
        <v>89429</v>
      </c>
      <c r="D449" s="12">
        <f ca="1">IFERROR(__xludf.DUMMYFUNCTION("""COMPUTED_VALUE"""),1626142)</f>
        <v>1626142</v>
      </c>
      <c r="E449" s="12">
        <f ca="1">IFERROR(__xludf.DUMMYFUNCTION("""COMPUTED_VALUE"""),49073)</f>
        <v>49073</v>
      </c>
      <c r="F449" s="12">
        <f ca="1">IFERROR(__xludf.DUMMYFUNCTION("""COMPUTED_VALUE"""),7184)</f>
        <v>7184</v>
      </c>
      <c r="G449" s="12">
        <f ca="1">IFERROR(__xludf.DUMMYFUNCTION("""COMPUTED_VALUE"""),405918)</f>
        <v>405918</v>
      </c>
      <c r="H449" s="12">
        <f ca="1">IFERROR(__xludf.DUMMYFUNCTION("""COMPUTED_VALUE"""),4142)</f>
        <v>4142</v>
      </c>
      <c r="I449" s="12">
        <f ca="1">IFERROR(__xludf.DUMMYFUNCTION("""COMPUTED_VALUE"""),4966)</f>
        <v>4966</v>
      </c>
      <c r="J449" s="12">
        <f ca="1">IFERROR(__xludf.DUMMYFUNCTION("""COMPUTED_VALUE"""),422210)</f>
        <v>422210</v>
      </c>
      <c r="K449" s="12">
        <f ca="1">IFERROR(__xludf.DUMMYFUNCTION("""COMPUTED_VALUE"""),9108)</f>
        <v>9108</v>
      </c>
      <c r="L449" s="12">
        <f ca="1">IFERROR(__xludf.DUMMYFUNCTION("""COMPUTED_VALUE"""),5746)</f>
        <v>5746</v>
      </c>
      <c r="M449" s="12">
        <f ca="1">IFERROR(__xludf.DUMMYFUNCTION("""COMPUTED_VALUE"""),990)</f>
        <v>990</v>
      </c>
      <c r="N449" s="12">
        <f ca="1">IFERROR(__xludf.DUMMYFUNCTION("""COMPUTED_VALUE"""),4570)</f>
        <v>4570</v>
      </c>
      <c r="O449" s="12">
        <f ca="1">IFERROR(__xludf.DUMMYFUNCTION("""COMPUTED_VALUE"""),186)</f>
        <v>186</v>
      </c>
      <c r="P449" s="12">
        <f ca="1">IFERROR(__xludf.DUMMYFUNCTION("""COMPUTED_VALUE"""),15)</f>
        <v>15</v>
      </c>
      <c r="Q449" s="12">
        <f ca="1">IFERROR(__xludf.DUMMYFUNCTION("""COMPUTED_VALUE"""),204)</f>
        <v>204</v>
      </c>
      <c r="R449" s="12">
        <f ca="1">IFERROR(__xludf.DUMMYFUNCTION("""COMPUTED_VALUE"""),345)</f>
        <v>345</v>
      </c>
      <c r="S449" s="12">
        <f ca="1">IFERROR(__xludf.DUMMYFUNCTION("""COMPUTED_VALUE"""),292)</f>
        <v>292</v>
      </c>
      <c r="T449" s="12">
        <f ca="1">IFERROR(__xludf.DUMMYFUNCTION("""COMPUTED_VALUE"""),856)</f>
        <v>856</v>
      </c>
      <c r="U449" s="12">
        <f ca="1">IFERROR(__xludf.DUMMYFUNCTION("""COMPUTED_VALUE"""),637)</f>
        <v>637</v>
      </c>
    </row>
    <row r="450" spans="1:21" x14ac:dyDescent="0.25">
      <c r="A450" s="11">
        <f ca="1">IFERROR(__xludf.DUMMYFUNCTION("""COMPUTED_VALUE"""),44338)</f>
        <v>44338</v>
      </c>
      <c r="B450" s="12">
        <f ca="1">IFERROR(__xludf.DUMMYFUNCTION("""COMPUTED_VALUE"""),1769940)</f>
        <v>1769940</v>
      </c>
      <c r="C450" s="12">
        <f ca="1">IFERROR(__xludf.DUMMYFUNCTION("""COMPUTED_VALUE"""),91240)</f>
        <v>91240</v>
      </c>
      <c r="D450" s="12">
        <f ca="1">IFERROR(__xludf.DUMMYFUNCTION("""COMPUTED_VALUE"""),1629495)</f>
        <v>1629495</v>
      </c>
      <c r="E450" s="12">
        <f ca="1">IFERROR(__xludf.DUMMYFUNCTION("""COMPUTED_VALUE"""),49205)</f>
        <v>49205</v>
      </c>
      <c r="F450" s="12">
        <f ca="1">IFERROR(__xludf.DUMMYFUNCTION("""COMPUTED_VALUE"""),7196)</f>
        <v>7196</v>
      </c>
      <c r="G450" s="12">
        <f ca="1">IFERROR(__xludf.DUMMYFUNCTION("""COMPUTED_VALUE"""),406300)</f>
        <v>406300</v>
      </c>
      <c r="H450" s="12">
        <f ca="1">IFERROR(__xludf.DUMMYFUNCTION("""COMPUTED_VALUE"""),4386)</f>
        <v>4386</v>
      </c>
      <c r="I450" s="12">
        <f ca="1">IFERROR(__xludf.DUMMYFUNCTION("""COMPUTED_VALUE"""),5260)</f>
        <v>5260</v>
      </c>
      <c r="J450" s="12">
        <f ca="1">IFERROR(__xludf.DUMMYFUNCTION("""COMPUTED_VALUE"""),423142)</f>
        <v>423142</v>
      </c>
      <c r="K450" s="12">
        <f ca="1">IFERROR(__xludf.DUMMYFUNCTION("""COMPUTED_VALUE"""),9646)</f>
        <v>9646</v>
      </c>
      <c r="L450" s="12">
        <f ca="1">IFERROR(__xludf.DUMMYFUNCTION("""COMPUTED_VALUE"""),5296)</f>
        <v>5296</v>
      </c>
      <c r="M450" s="12">
        <f ca="1">IFERROR(__xludf.DUMMYFUNCTION("""COMPUTED_VALUE"""),1811)</f>
        <v>1811</v>
      </c>
      <c r="N450" s="12">
        <f ca="1">IFERROR(__xludf.DUMMYFUNCTION("""COMPUTED_VALUE"""),3353)</f>
        <v>3353</v>
      </c>
      <c r="O450" s="12">
        <f ca="1">IFERROR(__xludf.DUMMYFUNCTION("""COMPUTED_VALUE"""),132)</f>
        <v>132</v>
      </c>
      <c r="P450" s="12">
        <f ca="1">IFERROR(__xludf.DUMMYFUNCTION("""COMPUTED_VALUE"""),12)</f>
        <v>12</v>
      </c>
      <c r="Q450" s="12">
        <f ca="1">IFERROR(__xludf.DUMMYFUNCTION("""COMPUTED_VALUE"""),382)</f>
        <v>382</v>
      </c>
      <c r="R450" s="12">
        <f ca="1">IFERROR(__xludf.DUMMYFUNCTION("""COMPUTED_VALUE"""),244)</f>
        <v>244</v>
      </c>
      <c r="S450" s="12">
        <f ca="1">IFERROR(__xludf.DUMMYFUNCTION("""COMPUTED_VALUE"""),294)</f>
        <v>294</v>
      </c>
      <c r="T450" s="12">
        <f ca="1">IFERROR(__xludf.DUMMYFUNCTION("""COMPUTED_VALUE"""),932)</f>
        <v>932</v>
      </c>
      <c r="U450" s="12">
        <f ca="1">IFERROR(__xludf.DUMMYFUNCTION("""COMPUTED_VALUE"""),538)</f>
        <v>538</v>
      </c>
    </row>
    <row r="451" spans="1:21" x14ac:dyDescent="0.25">
      <c r="A451" s="11">
        <f ca="1">IFERROR(__xludf.DUMMYFUNCTION("""COMPUTED_VALUE"""),44339)</f>
        <v>44339</v>
      </c>
      <c r="B451" s="12">
        <f ca="1">IFERROR(__xludf.DUMMYFUNCTION("""COMPUTED_VALUE"""),1775220)</f>
        <v>1775220</v>
      </c>
      <c r="C451" s="12">
        <f ca="1">IFERROR(__xludf.DUMMYFUNCTION("""COMPUTED_VALUE"""),92847)</f>
        <v>92847</v>
      </c>
      <c r="D451" s="12">
        <f ca="1">IFERROR(__xludf.DUMMYFUNCTION("""COMPUTED_VALUE"""),1633045)</f>
        <v>1633045</v>
      </c>
      <c r="E451" s="12">
        <f ca="1">IFERROR(__xludf.DUMMYFUNCTION("""COMPUTED_VALUE"""),49328)</f>
        <v>49328</v>
      </c>
      <c r="F451" s="12">
        <f ca="1">IFERROR(__xludf.DUMMYFUNCTION("""COMPUTED_VALUE"""),7207)</f>
        <v>7207</v>
      </c>
      <c r="G451" s="12">
        <f ca="1">IFERROR(__xludf.DUMMYFUNCTION("""COMPUTED_VALUE"""),406669)</f>
        <v>406669</v>
      </c>
      <c r="H451" s="12">
        <f ca="1">IFERROR(__xludf.DUMMYFUNCTION("""COMPUTED_VALUE"""),4744)</f>
        <v>4744</v>
      </c>
      <c r="I451" s="12">
        <f ca="1">IFERROR(__xludf.DUMMYFUNCTION("""COMPUTED_VALUE"""),5389)</f>
        <v>5389</v>
      </c>
      <c r="J451" s="12">
        <f ca="1">IFERROR(__xludf.DUMMYFUNCTION("""COMPUTED_VALUE"""),424009)</f>
        <v>424009</v>
      </c>
      <c r="K451" s="12">
        <f ca="1">IFERROR(__xludf.DUMMYFUNCTION("""COMPUTED_VALUE"""),10133)</f>
        <v>10133</v>
      </c>
      <c r="L451" s="12">
        <f ca="1">IFERROR(__xludf.DUMMYFUNCTION("""COMPUTED_VALUE"""),5280)</f>
        <v>5280</v>
      </c>
      <c r="M451" s="12">
        <f ca="1">IFERROR(__xludf.DUMMYFUNCTION("""COMPUTED_VALUE"""),1607)</f>
        <v>1607</v>
      </c>
      <c r="N451" s="12">
        <f ca="1">IFERROR(__xludf.DUMMYFUNCTION("""COMPUTED_VALUE"""),3550)</f>
        <v>3550</v>
      </c>
      <c r="O451" s="12">
        <f ca="1">IFERROR(__xludf.DUMMYFUNCTION("""COMPUTED_VALUE"""),123)</f>
        <v>123</v>
      </c>
      <c r="P451" s="12">
        <f ca="1">IFERROR(__xludf.DUMMYFUNCTION("""COMPUTED_VALUE"""),11)</f>
        <v>11</v>
      </c>
      <c r="Q451" s="12">
        <f ca="1">IFERROR(__xludf.DUMMYFUNCTION("""COMPUTED_VALUE"""),369)</f>
        <v>369</v>
      </c>
      <c r="R451" s="12">
        <f ca="1">IFERROR(__xludf.DUMMYFUNCTION("""COMPUTED_VALUE"""),358)</f>
        <v>358</v>
      </c>
      <c r="S451" s="12">
        <f ca="1">IFERROR(__xludf.DUMMYFUNCTION("""COMPUTED_VALUE"""),129)</f>
        <v>129</v>
      </c>
      <c r="T451" s="12">
        <f ca="1">IFERROR(__xludf.DUMMYFUNCTION("""COMPUTED_VALUE"""),867)</f>
        <v>867</v>
      </c>
      <c r="U451" s="12">
        <f ca="1">IFERROR(__xludf.DUMMYFUNCTION("""COMPUTED_VALUE"""),487)</f>
        <v>487</v>
      </c>
    </row>
    <row r="452" spans="1:21" x14ac:dyDescent="0.25">
      <c r="A452" s="11">
        <f ca="1">IFERROR(__xludf.DUMMYFUNCTION("""COMPUTED_VALUE"""),44340)</f>
        <v>44340</v>
      </c>
      <c r="B452" s="12">
        <f ca="1">IFERROR(__xludf.DUMMYFUNCTION("""COMPUTED_VALUE"""),1781127)</f>
        <v>1781127</v>
      </c>
      <c r="C452" s="12">
        <f ca="1">IFERROR(__xludf.DUMMYFUNCTION("""COMPUTED_VALUE"""),93393)</f>
        <v>93393</v>
      </c>
      <c r="D452" s="12">
        <f ca="1">IFERROR(__xludf.DUMMYFUNCTION("""COMPUTED_VALUE"""),1638279)</f>
        <v>1638279</v>
      </c>
      <c r="E452" s="12">
        <f ca="1">IFERROR(__xludf.DUMMYFUNCTION("""COMPUTED_VALUE"""),49455)</f>
        <v>49455</v>
      </c>
      <c r="F452" s="12">
        <f ca="1">IFERROR(__xludf.DUMMYFUNCTION("""COMPUTED_VALUE"""),7225)</f>
        <v>7225</v>
      </c>
      <c r="G452" s="12">
        <f ca="1">IFERROR(__xludf.DUMMYFUNCTION("""COMPUTED_VALUE"""),406987)</f>
        <v>406987</v>
      </c>
      <c r="H452" s="12">
        <f ca="1">IFERROR(__xludf.DUMMYFUNCTION("""COMPUTED_VALUE"""),5079)</f>
        <v>5079</v>
      </c>
      <c r="I452" s="12">
        <f ca="1">IFERROR(__xludf.DUMMYFUNCTION("""COMPUTED_VALUE"""),5537)</f>
        <v>5537</v>
      </c>
      <c r="J452" s="12">
        <f ca="1">IFERROR(__xludf.DUMMYFUNCTION("""COMPUTED_VALUE"""),424828)</f>
        <v>424828</v>
      </c>
      <c r="K452" s="12">
        <f ca="1">IFERROR(__xludf.DUMMYFUNCTION("""COMPUTED_VALUE"""),10616)</f>
        <v>10616</v>
      </c>
      <c r="L452" s="12">
        <f ca="1">IFERROR(__xludf.DUMMYFUNCTION("""COMPUTED_VALUE"""),5907)</f>
        <v>5907</v>
      </c>
      <c r="M452" s="12">
        <f ca="1">IFERROR(__xludf.DUMMYFUNCTION("""COMPUTED_VALUE"""),546)</f>
        <v>546</v>
      </c>
      <c r="N452" s="12">
        <f ca="1">IFERROR(__xludf.DUMMYFUNCTION("""COMPUTED_VALUE"""),5234)</f>
        <v>5234</v>
      </c>
      <c r="O452" s="12">
        <f ca="1">IFERROR(__xludf.DUMMYFUNCTION("""COMPUTED_VALUE"""),127)</f>
        <v>127</v>
      </c>
      <c r="P452" s="12">
        <f ca="1">IFERROR(__xludf.DUMMYFUNCTION("""COMPUTED_VALUE"""),18)</f>
        <v>18</v>
      </c>
      <c r="Q452" s="12">
        <f ca="1">IFERROR(__xludf.DUMMYFUNCTION("""COMPUTED_VALUE"""),318)</f>
        <v>318</v>
      </c>
      <c r="R452" s="12">
        <f ca="1">IFERROR(__xludf.DUMMYFUNCTION("""COMPUTED_VALUE"""),335)</f>
        <v>335</v>
      </c>
      <c r="S452" s="12">
        <f ca="1">IFERROR(__xludf.DUMMYFUNCTION("""COMPUTED_VALUE"""),148)</f>
        <v>148</v>
      </c>
      <c r="T452" s="12">
        <f ca="1">IFERROR(__xludf.DUMMYFUNCTION("""COMPUTED_VALUE"""),819)</f>
        <v>819</v>
      </c>
      <c r="U452" s="12">
        <f ca="1">IFERROR(__xludf.DUMMYFUNCTION("""COMPUTED_VALUE"""),483)</f>
        <v>483</v>
      </c>
    </row>
    <row r="453" spans="1:21" x14ac:dyDescent="0.25">
      <c r="A453" s="11">
        <f ca="1">IFERROR(__xludf.DUMMYFUNCTION("""COMPUTED_VALUE"""),44341)</f>
        <v>44341</v>
      </c>
      <c r="B453" s="12">
        <f ca="1">IFERROR(__xludf.DUMMYFUNCTION("""COMPUTED_VALUE"""),1786187)</f>
        <v>1786187</v>
      </c>
      <c r="C453" s="12">
        <f ca="1">IFERROR(__xludf.DUMMYFUNCTION("""COMPUTED_VALUE"""),94486)</f>
        <v>94486</v>
      </c>
      <c r="D453" s="12">
        <f ca="1">IFERROR(__xludf.DUMMYFUNCTION("""COMPUTED_VALUE"""),1642074)</f>
        <v>1642074</v>
      </c>
      <c r="E453" s="12">
        <f ca="1">IFERROR(__xludf.DUMMYFUNCTION("""COMPUTED_VALUE"""),49627)</f>
        <v>49627</v>
      </c>
      <c r="F453" s="12">
        <f ca="1">IFERROR(__xludf.DUMMYFUNCTION("""COMPUTED_VALUE"""),7239)</f>
        <v>7239</v>
      </c>
      <c r="G453" s="12">
        <f ca="1">IFERROR(__xludf.DUMMYFUNCTION("""COMPUTED_VALUE"""),407493)</f>
        <v>407493</v>
      </c>
      <c r="H453" s="12">
        <f ca="1">IFERROR(__xludf.DUMMYFUNCTION("""COMPUTED_VALUE"""),5017)</f>
        <v>5017</v>
      </c>
      <c r="I453" s="12">
        <f ca="1">IFERROR(__xludf.DUMMYFUNCTION("""COMPUTED_VALUE"""),5463)</f>
        <v>5463</v>
      </c>
      <c r="J453" s="12">
        <f ca="1">IFERROR(__xludf.DUMMYFUNCTION("""COMPUTED_VALUE"""),425212)</f>
        <v>425212</v>
      </c>
      <c r="K453" s="12">
        <f ca="1">IFERROR(__xludf.DUMMYFUNCTION("""COMPUTED_VALUE"""),10480)</f>
        <v>10480</v>
      </c>
      <c r="L453" s="12">
        <f ca="1">IFERROR(__xludf.DUMMYFUNCTION("""COMPUTED_VALUE"""),5060)</f>
        <v>5060</v>
      </c>
      <c r="M453" s="12">
        <f ca="1">IFERROR(__xludf.DUMMYFUNCTION("""COMPUTED_VALUE"""),1093)</f>
        <v>1093</v>
      </c>
      <c r="N453" s="12">
        <f ca="1">IFERROR(__xludf.DUMMYFUNCTION("""COMPUTED_VALUE"""),3795)</f>
        <v>3795</v>
      </c>
      <c r="O453" s="12">
        <f ca="1">IFERROR(__xludf.DUMMYFUNCTION("""COMPUTED_VALUE"""),172)</f>
        <v>172</v>
      </c>
      <c r="P453" s="12">
        <f ca="1">IFERROR(__xludf.DUMMYFUNCTION("""COMPUTED_VALUE"""),14)</f>
        <v>14</v>
      </c>
      <c r="Q453" s="12">
        <f ca="1">IFERROR(__xludf.DUMMYFUNCTION("""COMPUTED_VALUE"""),506)</f>
        <v>506</v>
      </c>
      <c r="R453" s="12">
        <f ca="1">IFERROR(__xludf.DUMMYFUNCTION("""COMPUTED_VALUE"""),-62)</f>
        <v>-62</v>
      </c>
      <c r="S453" s="12">
        <f ca="1">IFERROR(__xludf.DUMMYFUNCTION("""COMPUTED_VALUE"""),-74)</f>
        <v>-74</v>
      </c>
      <c r="T453" s="12">
        <f ca="1">IFERROR(__xludf.DUMMYFUNCTION("""COMPUTED_VALUE"""),384)</f>
        <v>384</v>
      </c>
      <c r="U453" s="12">
        <f ca="1">IFERROR(__xludf.DUMMYFUNCTION("""COMPUTED_VALUE"""),-136)</f>
        <v>-136</v>
      </c>
    </row>
    <row r="454" spans="1:21" x14ac:dyDescent="0.25">
      <c r="A454" s="11">
        <f ca="1">IFERROR(__xludf.DUMMYFUNCTION("""COMPUTED_VALUE"""),44342)</f>
        <v>44342</v>
      </c>
      <c r="B454" s="12">
        <f ca="1">IFERROR(__xludf.DUMMYFUNCTION("""COMPUTED_VALUE"""),1791221)</f>
        <v>1791221</v>
      </c>
      <c r="C454" s="12">
        <f ca="1">IFERROR(__xludf.DUMMYFUNCTION("""COMPUTED_VALUE"""),96187)</f>
        <v>96187</v>
      </c>
      <c r="D454" s="12">
        <f ca="1">IFERROR(__xludf.DUMMYFUNCTION("""COMPUTED_VALUE"""),1645263)</f>
        <v>1645263</v>
      </c>
      <c r="E454" s="12">
        <f ca="1">IFERROR(__xludf.DUMMYFUNCTION("""COMPUTED_VALUE"""),49771)</f>
        <v>49771</v>
      </c>
      <c r="F454" s="12">
        <f ca="1">IFERROR(__xludf.DUMMYFUNCTION("""COMPUTED_VALUE"""),7250)</f>
        <v>7250</v>
      </c>
      <c r="G454" s="12">
        <f ca="1">IFERROR(__xludf.DUMMYFUNCTION("""COMPUTED_VALUE"""),408019)</f>
        <v>408019</v>
      </c>
      <c r="H454" s="12">
        <f ca="1">IFERROR(__xludf.DUMMYFUNCTION("""COMPUTED_VALUE"""),4993)</f>
        <v>4993</v>
      </c>
      <c r="I454" s="12">
        <f ca="1">IFERROR(__xludf.DUMMYFUNCTION("""COMPUTED_VALUE"""),5567)</f>
        <v>5567</v>
      </c>
      <c r="J454" s="12">
        <f ca="1">IFERROR(__xludf.DUMMYFUNCTION("""COMPUTED_VALUE"""),425829)</f>
        <v>425829</v>
      </c>
      <c r="K454" s="12">
        <f ca="1">IFERROR(__xludf.DUMMYFUNCTION("""COMPUTED_VALUE"""),10560)</f>
        <v>10560</v>
      </c>
      <c r="L454" s="12">
        <f ca="1">IFERROR(__xludf.DUMMYFUNCTION("""COMPUTED_VALUE"""),5034)</f>
        <v>5034</v>
      </c>
      <c r="M454" s="12">
        <f ca="1">IFERROR(__xludf.DUMMYFUNCTION("""COMPUTED_VALUE"""),1701)</f>
        <v>1701</v>
      </c>
      <c r="N454" s="12">
        <f ca="1">IFERROR(__xludf.DUMMYFUNCTION("""COMPUTED_VALUE"""),3189)</f>
        <v>3189</v>
      </c>
      <c r="O454" s="12">
        <f ca="1">IFERROR(__xludf.DUMMYFUNCTION("""COMPUTED_VALUE"""),144)</f>
        <v>144</v>
      </c>
      <c r="P454" s="12">
        <f ca="1">IFERROR(__xludf.DUMMYFUNCTION("""COMPUTED_VALUE"""),11)</f>
        <v>11</v>
      </c>
      <c r="Q454" s="12">
        <f ca="1">IFERROR(__xludf.DUMMYFUNCTION("""COMPUTED_VALUE"""),526)</f>
        <v>526</v>
      </c>
      <c r="R454" s="12">
        <f ca="1">IFERROR(__xludf.DUMMYFUNCTION("""COMPUTED_VALUE"""),-24)</f>
        <v>-24</v>
      </c>
      <c r="S454" s="12">
        <f ca="1">IFERROR(__xludf.DUMMYFUNCTION("""COMPUTED_VALUE"""),104)</f>
        <v>104</v>
      </c>
      <c r="T454" s="12">
        <f ca="1">IFERROR(__xludf.DUMMYFUNCTION("""COMPUTED_VALUE"""),617)</f>
        <v>617</v>
      </c>
      <c r="U454" s="12">
        <f ca="1">IFERROR(__xludf.DUMMYFUNCTION("""COMPUTED_VALUE"""),80)</f>
        <v>80</v>
      </c>
    </row>
    <row r="455" spans="1:21" x14ac:dyDescent="0.25">
      <c r="A455" s="11">
        <f ca="1">IFERROR(__xludf.DUMMYFUNCTION("""COMPUTED_VALUE"""),44343)</f>
        <v>44343</v>
      </c>
      <c r="B455" s="12">
        <f ca="1">IFERROR(__xludf.DUMMYFUNCTION("""COMPUTED_VALUE"""),1797499)</f>
        <v>1797499</v>
      </c>
      <c r="C455" s="12">
        <f ca="1">IFERROR(__xludf.DUMMYFUNCTION("""COMPUTED_VALUE"""),98405)</f>
        <v>98405</v>
      </c>
      <c r="D455" s="12">
        <f ca="1">IFERROR(__xludf.DUMMYFUNCTION("""COMPUTED_VALUE"""),1649187)</f>
        <v>1649187</v>
      </c>
      <c r="E455" s="12">
        <f ca="1">IFERROR(__xludf.DUMMYFUNCTION("""COMPUTED_VALUE"""),49907)</f>
        <v>49907</v>
      </c>
      <c r="F455" s="12">
        <f ca="1">IFERROR(__xludf.DUMMYFUNCTION("""COMPUTED_VALUE"""),7271)</f>
        <v>7271</v>
      </c>
      <c r="G455" s="12">
        <f ca="1">IFERROR(__xludf.DUMMYFUNCTION("""COMPUTED_VALUE"""),408585)</f>
        <v>408585</v>
      </c>
      <c r="H455" s="12">
        <f ca="1">IFERROR(__xludf.DUMMYFUNCTION("""COMPUTED_VALUE"""),5280)</f>
        <v>5280</v>
      </c>
      <c r="I455" s="12">
        <f ca="1">IFERROR(__xludf.DUMMYFUNCTION("""COMPUTED_VALUE"""),5633)</f>
        <v>5633</v>
      </c>
      <c r="J455" s="12">
        <f ca="1">IFERROR(__xludf.DUMMYFUNCTION("""COMPUTED_VALUE"""),426769)</f>
        <v>426769</v>
      </c>
      <c r="K455" s="12">
        <f ca="1">IFERROR(__xludf.DUMMYFUNCTION("""COMPUTED_VALUE"""),10913)</f>
        <v>10913</v>
      </c>
      <c r="L455" s="12">
        <f ca="1">IFERROR(__xludf.DUMMYFUNCTION("""COMPUTED_VALUE"""),6278)</f>
        <v>6278</v>
      </c>
      <c r="M455" s="12">
        <f ca="1">IFERROR(__xludf.DUMMYFUNCTION("""COMPUTED_VALUE"""),2218)</f>
        <v>2218</v>
      </c>
      <c r="N455" s="12">
        <f ca="1">IFERROR(__xludf.DUMMYFUNCTION("""COMPUTED_VALUE"""),3924)</f>
        <v>3924</v>
      </c>
      <c r="O455" s="12">
        <f ca="1">IFERROR(__xludf.DUMMYFUNCTION("""COMPUTED_VALUE"""),136)</f>
        <v>136</v>
      </c>
      <c r="P455" s="12">
        <f ca="1">IFERROR(__xludf.DUMMYFUNCTION("""COMPUTED_VALUE"""),21)</f>
        <v>21</v>
      </c>
      <c r="Q455" s="12">
        <f ca="1">IFERROR(__xludf.DUMMYFUNCTION("""COMPUTED_VALUE"""),566)</f>
        <v>566</v>
      </c>
      <c r="R455" s="12">
        <f ca="1">IFERROR(__xludf.DUMMYFUNCTION("""COMPUTED_VALUE"""),287)</f>
        <v>287</v>
      </c>
      <c r="S455" s="12">
        <f ca="1">IFERROR(__xludf.DUMMYFUNCTION("""COMPUTED_VALUE"""),66)</f>
        <v>66</v>
      </c>
      <c r="T455" s="12">
        <f ca="1">IFERROR(__xludf.DUMMYFUNCTION("""COMPUTED_VALUE"""),940)</f>
        <v>940</v>
      </c>
      <c r="U455" s="12">
        <f ca="1">IFERROR(__xludf.DUMMYFUNCTION("""COMPUTED_VALUE"""),353)</f>
        <v>353</v>
      </c>
    </row>
    <row r="456" spans="1:21" x14ac:dyDescent="0.25">
      <c r="A456" s="11">
        <f ca="1">IFERROR(__xludf.DUMMYFUNCTION("""COMPUTED_VALUE"""),44344)</f>
        <v>44344</v>
      </c>
      <c r="B456" s="12">
        <f ca="1">IFERROR(__xludf.DUMMYFUNCTION("""COMPUTED_VALUE"""),1803361)</f>
        <v>1803361</v>
      </c>
      <c r="C456" s="12">
        <f ca="1">IFERROR(__xludf.DUMMYFUNCTION("""COMPUTED_VALUE"""),98704)</f>
        <v>98704</v>
      </c>
      <c r="D456" s="12">
        <f ca="1">IFERROR(__xludf.DUMMYFUNCTION("""COMPUTED_VALUE"""),1654557)</f>
        <v>1654557</v>
      </c>
      <c r="E456" s="12">
        <f ca="1">IFERROR(__xludf.DUMMYFUNCTION("""COMPUTED_VALUE"""),50100)</f>
        <v>50100</v>
      </c>
      <c r="F456" s="12">
        <f ca="1">IFERROR(__xludf.DUMMYFUNCTION("""COMPUTED_VALUE"""),7288)</f>
        <v>7288</v>
      </c>
      <c r="G456" s="12">
        <f ca="1">IFERROR(__xludf.DUMMYFUNCTION("""COMPUTED_VALUE"""),409497)</f>
        <v>409497</v>
      </c>
      <c r="H456" s="12">
        <f ca="1">IFERROR(__xludf.DUMMYFUNCTION("""COMPUTED_VALUE"""),5161)</f>
        <v>5161</v>
      </c>
      <c r="I456" s="12">
        <f ca="1">IFERROR(__xludf.DUMMYFUNCTION("""COMPUTED_VALUE"""),5516)</f>
        <v>5516</v>
      </c>
      <c r="J456" s="12">
        <f ca="1">IFERROR(__xludf.DUMMYFUNCTION("""COMPUTED_VALUE"""),427462)</f>
        <v>427462</v>
      </c>
      <c r="K456" s="12">
        <f ca="1">IFERROR(__xludf.DUMMYFUNCTION("""COMPUTED_VALUE"""),10677)</f>
        <v>10677</v>
      </c>
      <c r="L456" s="12">
        <f ca="1">IFERROR(__xludf.DUMMYFUNCTION("""COMPUTED_VALUE"""),5862)</f>
        <v>5862</v>
      </c>
      <c r="M456" s="12">
        <f ca="1">IFERROR(__xludf.DUMMYFUNCTION("""COMPUTED_VALUE"""),299)</f>
        <v>299</v>
      </c>
      <c r="N456" s="12">
        <f ca="1">IFERROR(__xludf.DUMMYFUNCTION("""COMPUTED_VALUE"""),5370)</f>
        <v>5370</v>
      </c>
      <c r="O456" s="12">
        <f ca="1">IFERROR(__xludf.DUMMYFUNCTION("""COMPUTED_VALUE"""),193)</f>
        <v>193</v>
      </c>
      <c r="P456" s="12">
        <f ca="1">IFERROR(__xludf.DUMMYFUNCTION("""COMPUTED_VALUE"""),17)</f>
        <v>17</v>
      </c>
      <c r="Q456" s="12">
        <f ca="1">IFERROR(__xludf.DUMMYFUNCTION("""COMPUTED_VALUE"""),912)</f>
        <v>912</v>
      </c>
      <c r="R456" s="12">
        <f ca="1">IFERROR(__xludf.DUMMYFUNCTION("""COMPUTED_VALUE"""),-119)</f>
        <v>-119</v>
      </c>
      <c r="S456" s="12">
        <f ca="1">IFERROR(__xludf.DUMMYFUNCTION("""COMPUTED_VALUE"""),-117)</f>
        <v>-117</v>
      </c>
      <c r="T456" s="12">
        <f ca="1">IFERROR(__xludf.DUMMYFUNCTION("""COMPUTED_VALUE"""),693)</f>
        <v>693</v>
      </c>
      <c r="U456" s="12">
        <f ca="1">IFERROR(__xludf.DUMMYFUNCTION("""COMPUTED_VALUE"""),-236)</f>
        <v>-236</v>
      </c>
    </row>
    <row r="457" spans="1:21" x14ac:dyDescent="0.25">
      <c r="A457" s="11">
        <f ca="1">IFERROR(__xludf.DUMMYFUNCTION("""COMPUTED_VALUE"""),44345)</f>
        <v>44345</v>
      </c>
      <c r="B457" s="12">
        <f ca="1">IFERROR(__xludf.DUMMYFUNCTION("""COMPUTED_VALUE"""),1809926)</f>
        <v>1809926</v>
      </c>
      <c r="C457" s="12">
        <f ca="1">IFERROR(__xludf.DUMMYFUNCTION("""COMPUTED_VALUE"""),99690)</f>
        <v>99690</v>
      </c>
      <c r="D457" s="12">
        <f ca="1">IFERROR(__xludf.DUMMYFUNCTION("""COMPUTED_VALUE"""),1659974)</f>
        <v>1659974</v>
      </c>
      <c r="E457" s="12">
        <f ca="1">IFERROR(__xludf.DUMMYFUNCTION("""COMPUTED_VALUE"""),50262)</f>
        <v>50262</v>
      </c>
      <c r="F457" s="12">
        <f ca="1">IFERROR(__xludf.DUMMYFUNCTION("""COMPUTED_VALUE"""),7296)</f>
        <v>7296</v>
      </c>
      <c r="G457" s="12">
        <f ca="1">IFERROR(__xludf.DUMMYFUNCTION("""COMPUTED_VALUE"""),410508)</f>
        <v>410508</v>
      </c>
      <c r="H457" s="12">
        <f ca="1">IFERROR(__xludf.DUMMYFUNCTION("""COMPUTED_VALUE"""),5004)</f>
        <v>5004</v>
      </c>
      <c r="I457" s="12">
        <f ca="1">IFERROR(__xludf.DUMMYFUNCTION("""COMPUTED_VALUE"""),5461)</f>
        <v>5461</v>
      </c>
      <c r="J457" s="12">
        <f ca="1">IFERROR(__xludf.DUMMYFUNCTION("""COMPUTED_VALUE"""),428269)</f>
        <v>428269</v>
      </c>
      <c r="K457" s="12">
        <f ca="1">IFERROR(__xludf.DUMMYFUNCTION("""COMPUTED_VALUE"""),10465)</f>
        <v>10465</v>
      </c>
      <c r="L457" s="12">
        <f ca="1">IFERROR(__xludf.DUMMYFUNCTION("""COMPUTED_VALUE"""),6565)</f>
        <v>6565</v>
      </c>
      <c r="M457" s="12">
        <f ca="1">IFERROR(__xludf.DUMMYFUNCTION("""COMPUTED_VALUE"""),986)</f>
        <v>986</v>
      </c>
      <c r="N457" s="12">
        <f ca="1">IFERROR(__xludf.DUMMYFUNCTION("""COMPUTED_VALUE"""),5417)</f>
        <v>5417</v>
      </c>
      <c r="O457" s="12">
        <f ca="1">IFERROR(__xludf.DUMMYFUNCTION("""COMPUTED_VALUE"""),162)</f>
        <v>162</v>
      </c>
      <c r="P457" s="12">
        <f ca="1">IFERROR(__xludf.DUMMYFUNCTION("""COMPUTED_VALUE"""),8)</f>
        <v>8</v>
      </c>
      <c r="Q457" s="12">
        <f ca="1">IFERROR(__xludf.DUMMYFUNCTION("""COMPUTED_VALUE"""),1011)</f>
        <v>1011</v>
      </c>
      <c r="R457" s="12">
        <f ca="1">IFERROR(__xludf.DUMMYFUNCTION("""COMPUTED_VALUE"""),-157)</f>
        <v>-157</v>
      </c>
      <c r="S457" s="12">
        <f ca="1">IFERROR(__xludf.DUMMYFUNCTION("""COMPUTED_VALUE"""),-55)</f>
        <v>-55</v>
      </c>
      <c r="T457" s="12">
        <f ca="1">IFERROR(__xludf.DUMMYFUNCTION("""COMPUTED_VALUE"""),807)</f>
        <v>807</v>
      </c>
      <c r="U457" s="12">
        <f ca="1">IFERROR(__xludf.DUMMYFUNCTION("""COMPUTED_VALUE"""),-212)</f>
        <v>-212</v>
      </c>
    </row>
    <row r="458" spans="1:21" x14ac:dyDescent="0.25">
      <c r="A458" s="11">
        <f ca="1">IFERROR(__xludf.DUMMYFUNCTION("""COMPUTED_VALUE"""),44346)</f>
        <v>44346</v>
      </c>
      <c r="B458" s="12">
        <f ca="1">IFERROR(__xludf.DUMMYFUNCTION("""COMPUTED_VALUE"""),1816041)</f>
        <v>1816041</v>
      </c>
      <c r="C458" s="12">
        <f ca="1">IFERROR(__xludf.DUMMYFUNCTION("""COMPUTED_VALUE"""),101639)</f>
        <v>101639</v>
      </c>
      <c r="D458" s="12">
        <f ca="1">IFERROR(__xludf.DUMMYFUNCTION("""COMPUTED_VALUE"""),1663998)</f>
        <v>1663998</v>
      </c>
      <c r="E458" s="12">
        <f ca="1">IFERROR(__xludf.DUMMYFUNCTION("""COMPUTED_VALUE"""),50404)</f>
        <v>50404</v>
      </c>
      <c r="F458" s="12">
        <f ca="1">IFERROR(__xludf.DUMMYFUNCTION("""COMPUTED_VALUE"""),7309)</f>
        <v>7309</v>
      </c>
      <c r="G458" s="12">
        <f ca="1">IFERROR(__xludf.DUMMYFUNCTION("""COMPUTED_VALUE"""),411495)</f>
        <v>411495</v>
      </c>
      <c r="H458" s="12">
        <f ca="1">IFERROR(__xludf.DUMMYFUNCTION("""COMPUTED_VALUE"""),5100)</f>
        <v>5100</v>
      </c>
      <c r="I458" s="12">
        <f ca="1">IFERROR(__xludf.DUMMYFUNCTION("""COMPUTED_VALUE"""),5429)</f>
        <v>5429</v>
      </c>
      <c r="J458" s="12">
        <f ca="1">IFERROR(__xludf.DUMMYFUNCTION("""COMPUTED_VALUE"""),429333)</f>
        <v>429333</v>
      </c>
      <c r="K458" s="12">
        <f ca="1">IFERROR(__xludf.DUMMYFUNCTION("""COMPUTED_VALUE"""),10529)</f>
        <v>10529</v>
      </c>
      <c r="L458" s="12">
        <f ca="1">IFERROR(__xludf.DUMMYFUNCTION("""COMPUTED_VALUE"""),6115)</f>
        <v>6115</v>
      </c>
      <c r="M458" s="12">
        <f ca="1">IFERROR(__xludf.DUMMYFUNCTION("""COMPUTED_VALUE"""),1949)</f>
        <v>1949</v>
      </c>
      <c r="N458" s="12">
        <f ca="1">IFERROR(__xludf.DUMMYFUNCTION("""COMPUTED_VALUE"""),4024)</f>
        <v>4024</v>
      </c>
      <c r="O458" s="12">
        <f ca="1">IFERROR(__xludf.DUMMYFUNCTION("""COMPUTED_VALUE"""),142)</f>
        <v>142</v>
      </c>
      <c r="P458" s="12">
        <f ca="1">IFERROR(__xludf.DUMMYFUNCTION("""COMPUTED_VALUE"""),13)</f>
        <v>13</v>
      </c>
      <c r="Q458" s="12">
        <f ca="1">IFERROR(__xludf.DUMMYFUNCTION("""COMPUTED_VALUE"""),987)</f>
        <v>987</v>
      </c>
      <c r="R458" s="12">
        <f ca="1">IFERROR(__xludf.DUMMYFUNCTION("""COMPUTED_VALUE"""),96)</f>
        <v>96</v>
      </c>
      <c r="S458" s="12">
        <f ca="1">IFERROR(__xludf.DUMMYFUNCTION("""COMPUTED_VALUE"""),-32)</f>
        <v>-32</v>
      </c>
      <c r="T458" s="12">
        <f ca="1">IFERROR(__xludf.DUMMYFUNCTION("""COMPUTED_VALUE"""),1064)</f>
        <v>1064</v>
      </c>
      <c r="U458" s="12">
        <f ca="1">IFERROR(__xludf.DUMMYFUNCTION("""COMPUTED_VALUE"""),64)</f>
        <v>64</v>
      </c>
    </row>
    <row r="459" spans="1:21" x14ac:dyDescent="0.25">
      <c r="A459" s="11">
        <f ca="1">IFERROR(__xludf.DUMMYFUNCTION("""COMPUTED_VALUE"""),44347)</f>
        <v>44347</v>
      </c>
      <c r="B459" s="12">
        <f ca="1">IFERROR(__xludf.DUMMYFUNCTION("""COMPUTED_VALUE"""),1821703)</f>
        <v>1821703</v>
      </c>
      <c r="C459" s="12">
        <f ca="1">IFERROR(__xludf.DUMMYFUNCTION("""COMPUTED_VALUE"""),102006)</f>
        <v>102006</v>
      </c>
      <c r="D459" s="12">
        <f ca="1">IFERROR(__xludf.DUMMYFUNCTION("""COMPUTED_VALUE"""),1669119)</f>
        <v>1669119</v>
      </c>
      <c r="E459" s="12">
        <f ca="1">IFERROR(__xludf.DUMMYFUNCTION("""COMPUTED_VALUE"""),50578)</f>
        <v>50578</v>
      </c>
      <c r="F459" s="12">
        <f ca="1">IFERROR(__xludf.DUMMYFUNCTION("""COMPUTED_VALUE"""),7327)</f>
        <v>7327</v>
      </c>
      <c r="G459" s="12">
        <f ca="1">IFERROR(__xludf.DUMMYFUNCTION("""COMPUTED_VALUE"""),412074)</f>
        <v>412074</v>
      </c>
      <c r="H459" s="12">
        <f ca="1">IFERROR(__xludf.DUMMYFUNCTION("""COMPUTED_VALUE"""),5241)</f>
        <v>5241</v>
      </c>
      <c r="I459" s="12">
        <f ca="1">IFERROR(__xludf.DUMMYFUNCTION("""COMPUTED_VALUE"""),5417)</f>
        <v>5417</v>
      </c>
      <c r="J459" s="12">
        <f ca="1">IFERROR(__xludf.DUMMYFUNCTION("""COMPUTED_VALUE"""),430059)</f>
        <v>430059</v>
      </c>
      <c r="K459" s="12">
        <f ca="1">IFERROR(__xludf.DUMMYFUNCTION("""COMPUTED_VALUE"""),10658)</f>
        <v>10658</v>
      </c>
      <c r="L459" s="12">
        <f ca="1">IFERROR(__xludf.DUMMYFUNCTION("""COMPUTED_VALUE"""),5662)</f>
        <v>5662</v>
      </c>
      <c r="M459" s="12">
        <f ca="1">IFERROR(__xludf.DUMMYFUNCTION("""COMPUTED_VALUE"""),367)</f>
        <v>367</v>
      </c>
      <c r="N459" s="12">
        <f ca="1">IFERROR(__xludf.DUMMYFUNCTION("""COMPUTED_VALUE"""),5121)</f>
        <v>5121</v>
      </c>
      <c r="O459" s="12">
        <f ca="1">IFERROR(__xludf.DUMMYFUNCTION("""COMPUTED_VALUE"""),174)</f>
        <v>174</v>
      </c>
      <c r="P459" s="12">
        <f ca="1">IFERROR(__xludf.DUMMYFUNCTION("""COMPUTED_VALUE"""),18)</f>
        <v>18</v>
      </c>
      <c r="Q459" s="12">
        <f ca="1">IFERROR(__xludf.DUMMYFUNCTION("""COMPUTED_VALUE"""),579)</f>
        <v>579</v>
      </c>
      <c r="R459" s="12">
        <f ca="1">IFERROR(__xludf.DUMMYFUNCTION("""COMPUTED_VALUE"""),141)</f>
        <v>141</v>
      </c>
      <c r="S459" s="12">
        <f ca="1">IFERROR(__xludf.DUMMYFUNCTION("""COMPUTED_VALUE"""),-12)</f>
        <v>-12</v>
      </c>
      <c r="T459" s="12">
        <f ca="1">IFERROR(__xludf.DUMMYFUNCTION("""COMPUTED_VALUE"""),726)</f>
        <v>726</v>
      </c>
      <c r="U459" s="12">
        <f ca="1">IFERROR(__xludf.DUMMYFUNCTION("""COMPUTED_VALUE"""),129)</f>
        <v>129</v>
      </c>
    </row>
    <row r="460" spans="1:21" x14ac:dyDescent="0.25">
      <c r="A460" s="11">
        <f ca="1">IFERROR(__xludf.DUMMYFUNCTION("""COMPUTED_VALUE"""),44348)</f>
        <v>44348</v>
      </c>
      <c r="B460" s="12">
        <f ca="1">IFERROR(__xludf.DUMMYFUNCTION("""COMPUTED_VALUE"""),1826527)</f>
        <v>1826527</v>
      </c>
      <c r="C460" s="12">
        <f ca="1">IFERROR(__xludf.DUMMYFUNCTION("""COMPUTED_VALUE"""),101325)</f>
        <v>101325</v>
      </c>
      <c r="D460" s="12">
        <f ca="1">IFERROR(__xludf.DUMMYFUNCTION("""COMPUTED_VALUE"""),1674479)</f>
        <v>1674479</v>
      </c>
      <c r="E460" s="12">
        <f ca="1">IFERROR(__xludf.DUMMYFUNCTION("""COMPUTED_VALUE"""),50723)</f>
        <v>50723</v>
      </c>
      <c r="F460" s="12">
        <f ca="1">IFERROR(__xludf.DUMMYFUNCTION("""COMPUTED_VALUE"""),7349)</f>
        <v>7349</v>
      </c>
      <c r="G460" s="12">
        <f ca="1">IFERROR(__xludf.DUMMYFUNCTION("""COMPUTED_VALUE"""),412593)</f>
        <v>412593</v>
      </c>
      <c r="H460" s="12">
        <f ca="1">IFERROR(__xludf.DUMMYFUNCTION("""COMPUTED_VALUE"""),5214)</f>
        <v>5214</v>
      </c>
      <c r="I460" s="12">
        <f ca="1">IFERROR(__xludf.DUMMYFUNCTION("""COMPUTED_VALUE"""),5422)</f>
        <v>5422</v>
      </c>
      <c r="J460" s="12">
        <f ca="1">IFERROR(__xludf.DUMMYFUNCTION("""COMPUTED_VALUE"""),430578)</f>
        <v>430578</v>
      </c>
      <c r="K460" s="12">
        <f ca="1">IFERROR(__xludf.DUMMYFUNCTION("""COMPUTED_VALUE"""),10636)</f>
        <v>10636</v>
      </c>
      <c r="L460" s="12">
        <f ca="1">IFERROR(__xludf.DUMMYFUNCTION("""COMPUTED_VALUE"""),4824)</f>
        <v>4824</v>
      </c>
      <c r="M460" s="12">
        <f ca="1">IFERROR(__xludf.DUMMYFUNCTION("""COMPUTED_VALUE"""),-681)</f>
        <v>-681</v>
      </c>
      <c r="N460" s="12">
        <f ca="1">IFERROR(__xludf.DUMMYFUNCTION("""COMPUTED_VALUE"""),5360)</f>
        <v>5360</v>
      </c>
      <c r="O460" s="12">
        <f ca="1">IFERROR(__xludf.DUMMYFUNCTION("""COMPUTED_VALUE"""),145)</f>
        <v>145</v>
      </c>
      <c r="P460" s="12">
        <f ca="1">IFERROR(__xludf.DUMMYFUNCTION("""COMPUTED_VALUE"""),22)</f>
        <v>22</v>
      </c>
      <c r="Q460" s="12">
        <f ca="1">IFERROR(__xludf.DUMMYFUNCTION("""COMPUTED_VALUE"""),519)</f>
        <v>519</v>
      </c>
      <c r="R460" s="12">
        <f ca="1">IFERROR(__xludf.DUMMYFUNCTION("""COMPUTED_VALUE"""),-27)</f>
        <v>-27</v>
      </c>
      <c r="S460" s="12">
        <f ca="1">IFERROR(__xludf.DUMMYFUNCTION("""COMPUTED_VALUE"""),5)</f>
        <v>5</v>
      </c>
      <c r="T460" s="12">
        <f ca="1">IFERROR(__xludf.DUMMYFUNCTION("""COMPUTED_VALUE"""),519)</f>
        <v>519</v>
      </c>
      <c r="U460" s="12">
        <f ca="1">IFERROR(__xludf.DUMMYFUNCTION("""COMPUTED_VALUE"""),-22)</f>
        <v>-22</v>
      </c>
    </row>
    <row r="461" spans="1:21" x14ac:dyDescent="0.25">
      <c r="A461" s="11">
        <f ca="1">IFERROR(__xludf.DUMMYFUNCTION("""COMPUTED_VALUE"""),44349)</f>
        <v>44349</v>
      </c>
      <c r="B461" s="12">
        <f ca="1">IFERROR(__xludf.DUMMYFUNCTION("""COMPUTED_VALUE"""),1831773)</f>
        <v>1831773</v>
      </c>
      <c r="C461" s="12">
        <f ca="1">IFERROR(__xludf.DUMMYFUNCTION("""COMPUTED_VALUE"""),100364)</f>
        <v>100364</v>
      </c>
      <c r="D461" s="12">
        <f ca="1">IFERROR(__xludf.DUMMYFUNCTION("""COMPUTED_VALUE"""),1680501)</f>
        <v>1680501</v>
      </c>
      <c r="E461" s="12">
        <f ca="1">IFERROR(__xludf.DUMMYFUNCTION("""COMPUTED_VALUE"""),50908)</f>
        <v>50908</v>
      </c>
      <c r="F461" s="12">
        <f ca="1">IFERROR(__xludf.DUMMYFUNCTION("""COMPUTED_VALUE"""),7361)</f>
        <v>7361</v>
      </c>
      <c r="G461" s="12">
        <f ca="1">IFERROR(__xludf.DUMMYFUNCTION("""COMPUTED_VALUE"""),413179)</f>
        <v>413179</v>
      </c>
      <c r="H461" s="12">
        <f ca="1">IFERROR(__xludf.DUMMYFUNCTION("""COMPUTED_VALUE"""),5178)</f>
        <v>5178</v>
      </c>
      <c r="I461" s="12">
        <f ca="1">IFERROR(__xludf.DUMMYFUNCTION("""COMPUTED_VALUE"""),5461)</f>
        <v>5461</v>
      </c>
      <c r="J461" s="12">
        <f ca="1">IFERROR(__xludf.DUMMYFUNCTION("""COMPUTED_VALUE"""),431179)</f>
        <v>431179</v>
      </c>
      <c r="K461" s="12">
        <f ca="1">IFERROR(__xludf.DUMMYFUNCTION("""COMPUTED_VALUE"""),10639)</f>
        <v>10639</v>
      </c>
      <c r="L461" s="12">
        <f ca="1">IFERROR(__xludf.DUMMYFUNCTION("""COMPUTED_VALUE"""),5246)</f>
        <v>5246</v>
      </c>
      <c r="M461" s="12">
        <f ca="1">IFERROR(__xludf.DUMMYFUNCTION("""COMPUTED_VALUE"""),-961)</f>
        <v>-961</v>
      </c>
      <c r="N461" s="12">
        <f ca="1">IFERROR(__xludf.DUMMYFUNCTION("""COMPUTED_VALUE"""),6022)</f>
        <v>6022</v>
      </c>
      <c r="O461" s="12">
        <f ca="1">IFERROR(__xludf.DUMMYFUNCTION("""COMPUTED_VALUE"""),185)</f>
        <v>185</v>
      </c>
      <c r="P461" s="12">
        <f ca="1">IFERROR(__xludf.DUMMYFUNCTION("""COMPUTED_VALUE"""),12)</f>
        <v>12</v>
      </c>
      <c r="Q461" s="12">
        <f ca="1">IFERROR(__xludf.DUMMYFUNCTION("""COMPUTED_VALUE"""),586)</f>
        <v>586</v>
      </c>
      <c r="R461" s="12">
        <f ca="1">IFERROR(__xludf.DUMMYFUNCTION("""COMPUTED_VALUE"""),-36)</f>
        <v>-36</v>
      </c>
      <c r="S461" s="12">
        <f ca="1">IFERROR(__xludf.DUMMYFUNCTION("""COMPUTED_VALUE"""),39)</f>
        <v>39</v>
      </c>
      <c r="T461" s="12">
        <f ca="1">IFERROR(__xludf.DUMMYFUNCTION("""COMPUTED_VALUE"""),601)</f>
        <v>601</v>
      </c>
      <c r="U461" s="12">
        <f ca="1">IFERROR(__xludf.DUMMYFUNCTION("""COMPUTED_VALUE"""),3)</f>
        <v>3</v>
      </c>
    </row>
    <row r="462" spans="1:21" x14ac:dyDescent="0.25">
      <c r="A462" s="11">
        <f ca="1">IFERROR(__xludf.DUMMYFUNCTION("""COMPUTED_VALUE"""),44350)</f>
        <v>44350</v>
      </c>
      <c r="B462" s="12">
        <f ca="1">IFERROR(__xludf.DUMMYFUNCTION("""COMPUTED_VALUE"""),1837126)</f>
        <v>1837126</v>
      </c>
      <c r="C462" s="12">
        <f ca="1">IFERROR(__xludf.DUMMYFUNCTION("""COMPUTED_VALUE"""),94438)</f>
        <v>94438</v>
      </c>
      <c r="D462" s="12">
        <f ca="1">IFERROR(__xludf.DUMMYFUNCTION("""COMPUTED_VALUE"""),1691593)</f>
        <v>1691593</v>
      </c>
      <c r="E462" s="12">
        <f ca="1">IFERROR(__xludf.DUMMYFUNCTION("""COMPUTED_VALUE"""),51095)</f>
        <v>51095</v>
      </c>
      <c r="F462" s="12">
        <f ca="1">IFERROR(__xludf.DUMMYFUNCTION("""COMPUTED_VALUE"""),7381)</f>
        <v>7381</v>
      </c>
      <c r="G462" s="12">
        <f ca="1">IFERROR(__xludf.DUMMYFUNCTION("""COMPUTED_VALUE"""),413680)</f>
        <v>413680</v>
      </c>
      <c r="H462" s="12">
        <f ca="1">IFERROR(__xludf.DUMMYFUNCTION("""COMPUTED_VALUE"""),5402)</f>
        <v>5402</v>
      </c>
      <c r="I462" s="12">
        <f ca="1">IFERROR(__xludf.DUMMYFUNCTION("""COMPUTED_VALUE"""),5430)</f>
        <v>5430</v>
      </c>
      <c r="J462" s="12">
        <f ca="1">IFERROR(__xludf.DUMMYFUNCTION("""COMPUTED_VALUE"""),431893)</f>
        <v>431893</v>
      </c>
      <c r="K462" s="12">
        <f ca="1">IFERROR(__xludf.DUMMYFUNCTION("""COMPUTED_VALUE"""),10832)</f>
        <v>10832</v>
      </c>
      <c r="L462" s="12">
        <f ca="1">IFERROR(__xludf.DUMMYFUNCTION("""COMPUTED_VALUE"""),5353)</f>
        <v>5353</v>
      </c>
      <c r="M462" s="12">
        <f ca="1">IFERROR(__xludf.DUMMYFUNCTION("""COMPUTED_VALUE"""),-5926)</f>
        <v>-5926</v>
      </c>
      <c r="N462" s="12">
        <f ca="1">IFERROR(__xludf.DUMMYFUNCTION("""COMPUTED_VALUE"""),11092)</f>
        <v>11092</v>
      </c>
      <c r="O462" s="12">
        <f ca="1">IFERROR(__xludf.DUMMYFUNCTION("""COMPUTED_VALUE"""),187)</f>
        <v>187</v>
      </c>
      <c r="P462" s="12">
        <f ca="1">IFERROR(__xludf.DUMMYFUNCTION("""COMPUTED_VALUE"""),20)</f>
        <v>20</v>
      </c>
      <c r="Q462" s="12">
        <f ca="1">IFERROR(__xludf.DUMMYFUNCTION("""COMPUTED_VALUE"""),501)</f>
        <v>501</v>
      </c>
      <c r="R462" s="12">
        <f ca="1">IFERROR(__xludf.DUMMYFUNCTION("""COMPUTED_VALUE"""),224)</f>
        <v>224</v>
      </c>
      <c r="S462" s="12">
        <f ca="1">IFERROR(__xludf.DUMMYFUNCTION("""COMPUTED_VALUE"""),-31)</f>
        <v>-31</v>
      </c>
      <c r="T462" s="12">
        <f ca="1">IFERROR(__xludf.DUMMYFUNCTION("""COMPUTED_VALUE"""),714)</f>
        <v>714</v>
      </c>
      <c r="U462" s="12">
        <f ca="1">IFERROR(__xludf.DUMMYFUNCTION("""COMPUTED_VALUE"""),193)</f>
        <v>193</v>
      </c>
    </row>
    <row r="463" spans="1:21" x14ac:dyDescent="0.25">
      <c r="A463" s="11">
        <f ca="1">IFERROR(__xludf.DUMMYFUNCTION("""COMPUTED_VALUE"""),44351)</f>
        <v>44351</v>
      </c>
      <c r="B463" s="12">
        <f ca="1">IFERROR(__xludf.DUMMYFUNCTION("""COMPUTED_VALUE"""),1843612)</f>
        <v>1843612</v>
      </c>
      <c r="C463" s="12">
        <f ca="1">IFERROR(__xludf.DUMMYFUNCTION("""COMPUTED_VALUE"""),94773)</f>
        <v>94773</v>
      </c>
      <c r="D463" s="12">
        <f ca="1">IFERROR(__xludf.DUMMYFUNCTION("""COMPUTED_VALUE"""),1697543)</f>
        <v>1697543</v>
      </c>
      <c r="E463" s="12">
        <f ca="1">IFERROR(__xludf.DUMMYFUNCTION("""COMPUTED_VALUE"""),51296)</f>
        <v>51296</v>
      </c>
      <c r="F463" s="12">
        <f ca="1">IFERROR(__xludf.DUMMYFUNCTION("""COMPUTED_VALUE"""),7402)</f>
        <v>7402</v>
      </c>
      <c r="G463" s="12">
        <f ca="1">IFERROR(__xludf.DUMMYFUNCTION("""COMPUTED_VALUE"""),414496)</f>
        <v>414496</v>
      </c>
      <c r="H463" s="12">
        <f ca="1">IFERROR(__xludf.DUMMYFUNCTION("""COMPUTED_VALUE"""),5414)</f>
        <v>5414</v>
      </c>
      <c r="I463" s="12">
        <f ca="1">IFERROR(__xludf.DUMMYFUNCTION("""COMPUTED_VALUE"""),5487)</f>
        <v>5487</v>
      </c>
      <c r="J463" s="12">
        <f ca="1">IFERROR(__xludf.DUMMYFUNCTION("""COMPUTED_VALUE"""),432799)</f>
        <v>432799</v>
      </c>
      <c r="K463" s="12">
        <f ca="1">IFERROR(__xludf.DUMMYFUNCTION("""COMPUTED_VALUE"""),10901)</f>
        <v>10901</v>
      </c>
      <c r="L463" s="12">
        <f ca="1">IFERROR(__xludf.DUMMYFUNCTION("""COMPUTED_VALUE"""),6486)</f>
        <v>6486</v>
      </c>
      <c r="M463" s="12">
        <f ca="1">IFERROR(__xludf.DUMMYFUNCTION("""COMPUTED_VALUE"""),335)</f>
        <v>335</v>
      </c>
      <c r="N463" s="12">
        <f ca="1">IFERROR(__xludf.DUMMYFUNCTION("""COMPUTED_VALUE"""),5950)</f>
        <v>5950</v>
      </c>
      <c r="O463" s="12">
        <f ca="1">IFERROR(__xludf.DUMMYFUNCTION("""COMPUTED_VALUE"""),201)</f>
        <v>201</v>
      </c>
      <c r="P463" s="12">
        <f ca="1">IFERROR(__xludf.DUMMYFUNCTION("""COMPUTED_VALUE"""),21)</f>
        <v>21</v>
      </c>
      <c r="Q463" s="12">
        <f ca="1">IFERROR(__xludf.DUMMYFUNCTION("""COMPUTED_VALUE"""),816)</f>
        <v>816</v>
      </c>
      <c r="R463" s="12">
        <f ca="1">IFERROR(__xludf.DUMMYFUNCTION("""COMPUTED_VALUE"""),12)</f>
        <v>12</v>
      </c>
      <c r="S463" s="12">
        <f ca="1">IFERROR(__xludf.DUMMYFUNCTION("""COMPUTED_VALUE"""),57)</f>
        <v>57</v>
      </c>
      <c r="T463" s="12">
        <f ca="1">IFERROR(__xludf.DUMMYFUNCTION("""COMPUTED_VALUE"""),906)</f>
        <v>906</v>
      </c>
      <c r="U463" s="12">
        <f ca="1">IFERROR(__xludf.DUMMYFUNCTION("""COMPUTED_VALUE"""),69)</f>
        <v>69</v>
      </c>
    </row>
    <row r="464" spans="1:21" x14ac:dyDescent="0.25">
      <c r="A464" s="11">
        <f ca="1">IFERROR(__xludf.DUMMYFUNCTION("""COMPUTED_VALUE"""),44352)</f>
        <v>44352</v>
      </c>
      <c r="B464" s="12">
        <f ca="1">IFERROR(__xludf.DUMMYFUNCTION("""COMPUTED_VALUE"""),1850206)</f>
        <v>1850206</v>
      </c>
      <c r="C464" s="12">
        <f ca="1">IFERROR(__xludf.DUMMYFUNCTION("""COMPUTED_VALUE"""),96973)</f>
        <v>96973</v>
      </c>
      <c r="D464" s="12">
        <f ca="1">IFERROR(__xludf.DUMMYFUNCTION("""COMPUTED_VALUE"""),1701784)</f>
        <v>1701784</v>
      </c>
      <c r="E464" s="12">
        <f ca="1">IFERROR(__xludf.DUMMYFUNCTION("""COMPUTED_VALUE"""),51449)</f>
        <v>51449</v>
      </c>
      <c r="F464" s="12">
        <f ca="1">IFERROR(__xludf.DUMMYFUNCTION("""COMPUTED_VALUE"""),7423)</f>
        <v>7423</v>
      </c>
      <c r="G464" s="12">
        <f ca="1">IFERROR(__xludf.DUMMYFUNCTION("""COMPUTED_VALUE"""),415317)</f>
        <v>415317</v>
      </c>
      <c r="H464" s="12">
        <f ca="1">IFERROR(__xludf.DUMMYFUNCTION("""COMPUTED_VALUE"""),5756)</f>
        <v>5756</v>
      </c>
      <c r="I464" s="12">
        <f ca="1">IFERROR(__xludf.DUMMYFUNCTION("""COMPUTED_VALUE"""),5620)</f>
        <v>5620</v>
      </c>
      <c r="J464" s="12">
        <f ca="1">IFERROR(__xludf.DUMMYFUNCTION("""COMPUTED_VALUE"""),434116)</f>
        <v>434116</v>
      </c>
      <c r="K464" s="12">
        <f ca="1">IFERROR(__xludf.DUMMYFUNCTION("""COMPUTED_VALUE"""),11376)</f>
        <v>11376</v>
      </c>
      <c r="L464" s="12">
        <f ca="1">IFERROR(__xludf.DUMMYFUNCTION("""COMPUTED_VALUE"""),6594)</f>
        <v>6594</v>
      </c>
      <c r="M464" s="12">
        <f ca="1">IFERROR(__xludf.DUMMYFUNCTION("""COMPUTED_VALUE"""),2200)</f>
        <v>2200</v>
      </c>
      <c r="N464" s="12">
        <f ca="1">IFERROR(__xludf.DUMMYFUNCTION("""COMPUTED_VALUE"""),4241)</f>
        <v>4241</v>
      </c>
      <c r="O464" s="12">
        <f ca="1">IFERROR(__xludf.DUMMYFUNCTION("""COMPUTED_VALUE"""),153)</f>
        <v>153</v>
      </c>
      <c r="P464" s="12">
        <f ca="1">IFERROR(__xludf.DUMMYFUNCTION("""COMPUTED_VALUE"""),21)</f>
        <v>21</v>
      </c>
      <c r="Q464" s="12">
        <f ca="1">IFERROR(__xludf.DUMMYFUNCTION("""COMPUTED_VALUE"""),821)</f>
        <v>821</v>
      </c>
      <c r="R464" s="12">
        <f ca="1">IFERROR(__xludf.DUMMYFUNCTION("""COMPUTED_VALUE"""),342)</f>
        <v>342</v>
      </c>
      <c r="S464" s="12">
        <f ca="1">IFERROR(__xludf.DUMMYFUNCTION("""COMPUTED_VALUE"""),133)</f>
        <v>133</v>
      </c>
      <c r="T464" s="12">
        <f ca="1">IFERROR(__xludf.DUMMYFUNCTION("""COMPUTED_VALUE"""),1317)</f>
        <v>1317</v>
      </c>
      <c r="U464" s="12">
        <f ca="1">IFERROR(__xludf.DUMMYFUNCTION("""COMPUTED_VALUE"""),475)</f>
        <v>475</v>
      </c>
    </row>
    <row r="465" spans="1:21" x14ac:dyDescent="0.25">
      <c r="A465" s="11">
        <f ca="1">IFERROR(__xludf.DUMMYFUNCTION("""COMPUTED_VALUE"""),44353)</f>
        <v>44353</v>
      </c>
      <c r="B465" s="12">
        <f ca="1">IFERROR(__xludf.DUMMYFUNCTION("""COMPUTED_VALUE"""),1856038)</f>
        <v>1856038</v>
      </c>
      <c r="C465" s="12">
        <f ca="1">IFERROR(__xludf.DUMMYFUNCTION("""COMPUTED_VALUE"""),98455)</f>
        <v>98455</v>
      </c>
      <c r="D465" s="12">
        <f ca="1">IFERROR(__xludf.DUMMYFUNCTION("""COMPUTED_VALUE"""),1705971)</f>
        <v>1705971</v>
      </c>
      <c r="E465" s="12">
        <f ca="1">IFERROR(__xludf.DUMMYFUNCTION("""COMPUTED_VALUE"""),51612)</f>
        <v>51612</v>
      </c>
      <c r="F465" s="12">
        <f ca="1">IFERROR(__xludf.DUMMYFUNCTION("""COMPUTED_VALUE"""),7438)</f>
        <v>7438</v>
      </c>
      <c r="G465" s="12">
        <f ca="1">IFERROR(__xludf.DUMMYFUNCTION("""COMPUTED_VALUE"""),416181)</f>
        <v>416181</v>
      </c>
      <c r="H465" s="12">
        <f ca="1">IFERROR(__xludf.DUMMYFUNCTION("""COMPUTED_VALUE"""),5966)</f>
        <v>5966</v>
      </c>
      <c r="I465" s="12">
        <f ca="1">IFERROR(__xludf.DUMMYFUNCTION("""COMPUTED_VALUE"""),5550)</f>
        <v>5550</v>
      </c>
      <c r="J465" s="12">
        <f ca="1">IFERROR(__xludf.DUMMYFUNCTION("""COMPUTED_VALUE"""),435135)</f>
        <v>435135</v>
      </c>
      <c r="K465" s="12">
        <f ca="1">IFERROR(__xludf.DUMMYFUNCTION("""COMPUTED_VALUE"""),11516)</f>
        <v>11516</v>
      </c>
      <c r="L465" s="12">
        <f ca="1">IFERROR(__xludf.DUMMYFUNCTION("""COMPUTED_VALUE"""),5832)</f>
        <v>5832</v>
      </c>
      <c r="M465" s="12">
        <f ca="1">IFERROR(__xludf.DUMMYFUNCTION("""COMPUTED_VALUE"""),1482)</f>
        <v>1482</v>
      </c>
      <c r="N465" s="12">
        <f ca="1">IFERROR(__xludf.DUMMYFUNCTION("""COMPUTED_VALUE"""),4187)</f>
        <v>4187</v>
      </c>
      <c r="O465" s="12">
        <f ca="1">IFERROR(__xludf.DUMMYFUNCTION("""COMPUTED_VALUE"""),163)</f>
        <v>163</v>
      </c>
      <c r="P465" s="12">
        <f ca="1">IFERROR(__xludf.DUMMYFUNCTION("""COMPUTED_VALUE"""),15)</f>
        <v>15</v>
      </c>
      <c r="Q465" s="12">
        <f ca="1">IFERROR(__xludf.DUMMYFUNCTION("""COMPUTED_VALUE"""),864)</f>
        <v>864</v>
      </c>
      <c r="R465" s="12">
        <f ca="1">IFERROR(__xludf.DUMMYFUNCTION("""COMPUTED_VALUE"""),210)</f>
        <v>210</v>
      </c>
      <c r="S465" s="12">
        <f ca="1">IFERROR(__xludf.DUMMYFUNCTION("""COMPUTED_VALUE"""),-70)</f>
        <v>-70</v>
      </c>
      <c r="T465" s="12">
        <f ca="1">IFERROR(__xludf.DUMMYFUNCTION("""COMPUTED_VALUE"""),1019)</f>
        <v>1019</v>
      </c>
      <c r="U465" s="12">
        <f ca="1">IFERROR(__xludf.DUMMYFUNCTION("""COMPUTED_VALUE"""),140)</f>
        <v>140</v>
      </c>
    </row>
    <row r="466" spans="1:21" x14ac:dyDescent="0.25">
      <c r="A466" s="11">
        <f ca="1">IFERROR(__xludf.DUMMYFUNCTION("""COMPUTED_VALUE"""),44354)</f>
        <v>44354</v>
      </c>
      <c r="B466" s="12">
        <f ca="1">IFERROR(__xludf.DUMMYFUNCTION("""COMPUTED_VALUE"""),1863031)</f>
        <v>1863031</v>
      </c>
      <c r="C466" s="12">
        <f ca="1">IFERROR(__xludf.DUMMYFUNCTION("""COMPUTED_VALUE"""),99663)</f>
        <v>99663</v>
      </c>
      <c r="D466" s="12">
        <f ca="1">IFERROR(__xludf.DUMMYFUNCTION("""COMPUTED_VALUE"""),1711565)</f>
        <v>1711565</v>
      </c>
      <c r="E466" s="12">
        <f ca="1">IFERROR(__xludf.DUMMYFUNCTION("""COMPUTED_VALUE"""),51803)</f>
        <v>51803</v>
      </c>
      <c r="F466" s="12">
        <f ca="1">IFERROR(__xludf.DUMMYFUNCTION("""COMPUTED_VALUE"""),7457)</f>
        <v>7457</v>
      </c>
      <c r="G466" s="12">
        <f ca="1">IFERROR(__xludf.DUMMYFUNCTION("""COMPUTED_VALUE"""),416994)</f>
        <v>416994</v>
      </c>
      <c r="H466" s="12">
        <f ca="1">IFERROR(__xludf.DUMMYFUNCTION("""COMPUTED_VALUE"""),6261)</f>
        <v>6261</v>
      </c>
      <c r="I466" s="12">
        <f ca="1">IFERROR(__xludf.DUMMYFUNCTION("""COMPUTED_VALUE"""),5620)</f>
        <v>5620</v>
      </c>
      <c r="J466" s="12">
        <f ca="1">IFERROR(__xludf.DUMMYFUNCTION("""COMPUTED_VALUE"""),436332)</f>
        <v>436332</v>
      </c>
      <c r="K466" s="12">
        <f ca="1">IFERROR(__xludf.DUMMYFUNCTION("""COMPUTED_VALUE"""),11881)</f>
        <v>11881</v>
      </c>
      <c r="L466" s="12">
        <f ca="1">IFERROR(__xludf.DUMMYFUNCTION("""COMPUTED_VALUE"""),6993)</f>
        <v>6993</v>
      </c>
      <c r="M466" s="12">
        <f ca="1">IFERROR(__xludf.DUMMYFUNCTION("""COMPUTED_VALUE"""),1208)</f>
        <v>1208</v>
      </c>
      <c r="N466" s="12">
        <f ca="1">IFERROR(__xludf.DUMMYFUNCTION("""COMPUTED_VALUE"""),5594)</f>
        <v>5594</v>
      </c>
      <c r="O466" s="12">
        <f ca="1">IFERROR(__xludf.DUMMYFUNCTION("""COMPUTED_VALUE"""),191)</f>
        <v>191</v>
      </c>
      <c r="P466" s="12">
        <f ca="1">IFERROR(__xludf.DUMMYFUNCTION("""COMPUTED_VALUE"""),19)</f>
        <v>19</v>
      </c>
      <c r="Q466" s="12">
        <f ca="1">IFERROR(__xludf.DUMMYFUNCTION("""COMPUTED_VALUE"""),813)</f>
        <v>813</v>
      </c>
      <c r="R466" s="12">
        <f ca="1">IFERROR(__xludf.DUMMYFUNCTION("""COMPUTED_VALUE"""),295)</f>
        <v>295</v>
      </c>
      <c r="S466" s="12">
        <f ca="1">IFERROR(__xludf.DUMMYFUNCTION("""COMPUTED_VALUE"""),70)</f>
        <v>70</v>
      </c>
      <c r="T466" s="12">
        <f ca="1">IFERROR(__xludf.DUMMYFUNCTION("""COMPUTED_VALUE"""),1197)</f>
        <v>1197</v>
      </c>
      <c r="U466" s="12">
        <f ca="1">IFERROR(__xludf.DUMMYFUNCTION("""COMPUTED_VALUE"""),365)</f>
        <v>365</v>
      </c>
    </row>
    <row r="467" spans="1:21" x14ac:dyDescent="0.25">
      <c r="A467" s="11">
        <f ca="1">IFERROR(__xludf.DUMMYFUNCTION("""COMPUTED_VALUE"""),44355)</f>
        <v>44355</v>
      </c>
      <c r="B467" s="12">
        <f ca="1">IFERROR(__xludf.DUMMYFUNCTION("""COMPUTED_VALUE"""),1869325)</f>
        <v>1869325</v>
      </c>
      <c r="C467" s="12">
        <f ca="1">IFERROR(__xludf.DUMMYFUNCTION("""COMPUTED_VALUE"""),99963)</f>
        <v>99963</v>
      </c>
      <c r="D467" s="12">
        <f ca="1">IFERROR(__xludf.DUMMYFUNCTION("""COMPUTED_VALUE"""),1717370)</f>
        <v>1717370</v>
      </c>
      <c r="E467" s="12">
        <f ca="1">IFERROR(__xludf.DUMMYFUNCTION("""COMPUTED_VALUE"""),51992)</f>
        <v>51992</v>
      </c>
      <c r="F467" s="12">
        <f ca="1">IFERROR(__xludf.DUMMYFUNCTION("""COMPUTED_VALUE"""),7478)</f>
        <v>7478</v>
      </c>
      <c r="G467" s="12">
        <f ca="1">IFERROR(__xludf.DUMMYFUNCTION("""COMPUTED_VALUE"""),417997)</f>
        <v>417997</v>
      </c>
      <c r="H467" s="12">
        <f ca="1">IFERROR(__xludf.DUMMYFUNCTION("""COMPUTED_VALUE"""),6057)</f>
        <v>6057</v>
      </c>
      <c r="I467" s="12">
        <f ca="1">IFERROR(__xludf.DUMMYFUNCTION("""COMPUTED_VALUE"""),5555)</f>
        <v>5555</v>
      </c>
      <c r="J467" s="12">
        <f ca="1">IFERROR(__xludf.DUMMYFUNCTION("""COMPUTED_VALUE"""),437087)</f>
        <v>437087</v>
      </c>
      <c r="K467" s="12">
        <f ca="1">IFERROR(__xludf.DUMMYFUNCTION("""COMPUTED_VALUE"""),11612)</f>
        <v>11612</v>
      </c>
      <c r="L467" s="12">
        <f ca="1">IFERROR(__xludf.DUMMYFUNCTION("""COMPUTED_VALUE"""),6294)</f>
        <v>6294</v>
      </c>
      <c r="M467" s="12">
        <f ca="1">IFERROR(__xludf.DUMMYFUNCTION("""COMPUTED_VALUE"""),300)</f>
        <v>300</v>
      </c>
      <c r="N467" s="12">
        <f ca="1">IFERROR(__xludf.DUMMYFUNCTION("""COMPUTED_VALUE"""),5805)</f>
        <v>5805</v>
      </c>
      <c r="O467" s="12">
        <f ca="1">IFERROR(__xludf.DUMMYFUNCTION("""COMPUTED_VALUE"""),189)</f>
        <v>189</v>
      </c>
      <c r="P467" s="12">
        <f ca="1">IFERROR(__xludf.DUMMYFUNCTION("""COMPUTED_VALUE"""),21)</f>
        <v>21</v>
      </c>
      <c r="Q467" s="12">
        <f ca="1">IFERROR(__xludf.DUMMYFUNCTION("""COMPUTED_VALUE"""),1003)</f>
        <v>1003</v>
      </c>
      <c r="R467" s="12">
        <f ca="1">IFERROR(__xludf.DUMMYFUNCTION("""COMPUTED_VALUE"""),-204)</f>
        <v>-204</v>
      </c>
      <c r="S467" s="12">
        <f ca="1">IFERROR(__xludf.DUMMYFUNCTION("""COMPUTED_VALUE"""),-65)</f>
        <v>-65</v>
      </c>
      <c r="T467" s="12">
        <f ca="1">IFERROR(__xludf.DUMMYFUNCTION("""COMPUTED_VALUE"""),755)</f>
        <v>755</v>
      </c>
      <c r="U467" s="12">
        <f ca="1">IFERROR(__xludf.DUMMYFUNCTION("""COMPUTED_VALUE"""),-269)</f>
        <v>-269</v>
      </c>
    </row>
    <row r="468" spans="1:21" x14ac:dyDescent="0.25">
      <c r="A468" s="11">
        <f ca="1">IFERROR(__xludf.DUMMYFUNCTION("""COMPUTED_VALUE"""),44356)</f>
        <v>44356</v>
      </c>
      <c r="B468" s="12">
        <f ca="1">IFERROR(__xludf.DUMMYFUNCTION("""COMPUTED_VALUE"""),1877050)</f>
        <v>1877050</v>
      </c>
      <c r="C468" s="12">
        <f ca="1">IFERROR(__xludf.DUMMYFUNCTION("""COMPUTED_VALUE"""),101635)</f>
        <v>101635</v>
      </c>
      <c r="D468" s="12">
        <f ca="1">IFERROR(__xludf.DUMMYFUNCTION("""COMPUTED_VALUE"""),1723253)</f>
        <v>1723253</v>
      </c>
      <c r="E468" s="12">
        <f ca="1">IFERROR(__xludf.DUMMYFUNCTION("""COMPUTED_VALUE"""),52162)</f>
        <v>52162</v>
      </c>
      <c r="F468" s="12">
        <f ca="1">IFERROR(__xludf.DUMMYFUNCTION("""COMPUTED_VALUE"""),7499)</f>
        <v>7499</v>
      </c>
      <c r="G468" s="12">
        <f ca="1">IFERROR(__xludf.DUMMYFUNCTION("""COMPUTED_VALUE"""),419109)</f>
        <v>419109</v>
      </c>
      <c r="H468" s="12">
        <f ca="1">IFERROR(__xludf.DUMMYFUNCTION("""COMPUTED_VALUE"""),6120)</f>
        <v>6120</v>
      </c>
      <c r="I468" s="12">
        <f ca="1">IFERROR(__xludf.DUMMYFUNCTION("""COMPUTED_VALUE"""),5730)</f>
        <v>5730</v>
      </c>
      <c r="J468" s="12">
        <f ca="1">IFERROR(__xludf.DUMMYFUNCTION("""COMPUTED_VALUE"""),438458)</f>
        <v>438458</v>
      </c>
      <c r="K468" s="12">
        <f ca="1">IFERROR(__xludf.DUMMYFUNCTION("""COMPUTED_VALUE"""),11850)</f>
        <v>11850</v>
      </c>
      <c r="L468" s="12">
        <f ca="1">IFERROR(__xludf.DUMMYFUNCTION("""COMPUTED_VALUE"""),7725)</f>
        <v>7725</v>
      </c>
      <c r="M468" s="12">
        <f ca="1">IFERROR(__xludf.DUMMYFUNCTION("""COMPUTED_VALUE"""),1672)</f>
        <v>1672</v>
      </c>
      <c r="N468" s="12">
        <f ca="1">IFERROR(__xludf.DUMMYFUNCTION("""COMPUTED_VALUE"""),5883)</f>
        <v>5883</v>
      </c>
      <c r="O468" s="12">
        <f ca="1">IFERROR(__xludf.DUMMYFUNCTION("""COMPUTED_VALUE"""),170)</f>
        <v>170</v>
      </c>
      <c r="P468" s="12">
        <f ca="1">IFERROR(__xludf.DUMMYFUNCTION("""COMPUTED_VALUE"""),21)</f>
        <v>21</v>
      </c>
      <c r="Q468" s="12">
        <f ca="1">IFERROR(__xludf.DUMMYFUNCTION("""COMPUTED_VALUE"""),1112)</f>
        <v>1112</v>
      </c>
      <c r="R468" s="12">
        <f ca="1">IFERROR(__xludf.DUMMYFUNCTION("""COMPUTED_VALUE"""),63)</f>
        <v>63</v>
      </c>
      <c r="S468" s="12">
        <f ca="1">IFERROR(__xludf.DUMMYFUNCTION("""COMPUTED_VALUE"""),175)</f>
        <v>175</v>
      </c>
      <c r="T468" s="12">
        <f ca="1">IFERROR(__xludf.DUMMYFUNCTION("""COMPUTED_VALUE"""),1371)</f>
        <v>1371</v>
      </c>
      <c r="U468" s="12">
        <f ca="1">IFERROR(__xludf.DUMMYFUNCTION("""COMPUTED_VALUE"""),238)</f>
        <v>238</v>
      </c>
    </row>
    <row r="469" spans="1:21" x14ac:dyDescent="0.25">
      <c r="A469" s="11">
        <f ca="1">IFERROR(__xludf.DUMMYFUNCTION("""COMPUTED_VALUE"""),44357)</f>
        <v>44357</v>
      </c>
      <c r="B469" s="12">
        <f ca="1">IFERROR(__xludf.DUMMYFUNCTION("""COMPUTED_VALUE"""),1885901)</f>
        <v>1885901</v>
      </c>
      <c r="C469" s="12">
        <f ca="1">IFERROR(__xludf.DUMMYFUNCTION("""COMPUTED_VALUE"""),104614)</f>
        <v>104614</v>
      </c>
      <c r="D469" s="12">
        <f ca="1">IFERROR(__xludf.DUMMYFUNCTION("""COMPUTED_VALUE"""),1728914)</f>
        <v>1728914</v>
      </c>
      <c r="E469" s="12">
        <f ca="1">IFERROR(__xludf.DUMMYFUNCTION("""COMPUTED_VALUE"""),52373)</f>
        <v>52373</v>
      </c>
      <c r="F469" s="12">
        <f ca="1">IFERROR(__xludf.DUMMYFUNCTION("""COMPUTED_VALUE"""),7523)</f>
        <v>7523</v>
      </c>
      <c r="G469" s="12">
        <f ca="1">IFERROR(__xludf.DUMMYFUNCTION("""COMPUTED_VALUE"""),420211)</f>
        <v>420211</v>
      </c>
      <c r="H469" s="12">
        <f ca="1">IFERROR(__xludf.DUMMYFUNCTION("""COMPUTED_VALUE"""),6991)</f>
        <v>6991</v>
      </c>
      <c r="I469" s="12">
        <f ca="1">IFERROR(__xludf.DUMMYFUNCTION("""COMPUTED_VALUE"""),5829)</f>
        <v>5829</v>
      </c>
      <c r="J469" s="12">
        <f ca="1">IFERROR(__xludf.DUMMYFUNCTION("""COMPUTED_VALUE"""),440554)</f>
        <v>440554</v>
      </c>
      <c r="K469" s="12">
        <f ca="1">IFERROR(__xludf.DUMMYFUNCTION("""COMPUTED_VALUE"""),12820)</f>
        <v>12820</v>
      </c>
      <c r="L469" s="12">
        <f ca="1">IFERROR(__xludf.DUMMYFUNCTION("""COMPUTED_VALUE"""),8851)</f>
        <v>8851</v>
      </c>
      <c r="M469" s="12">
        <f ca="1">IFERROR(__xludf.DUMMYFUNCTION("""COMPUTED_VALUE"""),2979)</f>
        <v>2979</v>
      </c>
      <c r="N469" s="12">
        <f ca="1">IFERROR(__xludf.DUMMYFUNCTION("""COMPUTED_VALUE"""),5661)</f>
        <v>5661</v>
      </c>
      <c r="O469" s="12">
        <f ca="1">IFERROR(__xludf.DUMMYFUNCTION("""COMPUTED_VALUE"""),211)</f>
        <v>211</v>
      </c>
      <c r="P469" s="12">
        <f ca="1">IFERROR(__xludf.DUMMYFUNCTION("""COMPUTED_VALUE"""),24)</f>
        <v>24</v>
      </c>
      <c r="Q469" s="12">
        <f ca="1">IFERROR(__xludf.DUMMYFUNCTION("""COMPUTED_VALUE"""),1102)</f>
        <v>1102</v>
      </c>
      <c r="R469" s="12">
        <f ca="1">IFERROR(__xludf.DUMMYFUNCTION("""COMPUTED_VALUE"""),871)</f>
        <v>871</v>
      </c>
      <c r="S469" s="12">
        <f ca="1">IFERROR(__xludf.DUMMYFUNCTION("""COMPUTED_VALUE"""),99)</f>
        <v>99</v>
      </c>
      <c r="T469" s="12">
        <f ca="1">IFERROR(__xludf.DUMMYFUNCTION("""COMPUTED_VALUE"""),2096)</f>
        <v>2096</v>
      </c>
      <c r="U469" s="12">
        <f ca="1">IFERROR(__xludf.DUMMYFUNCTION("""COMPUTED_VALUE"""),970)</f>
        <v>970</v>
      </c>
    </row>
    <row r="470" spans="1:21" x14ac:dyDescent="0.25">
      <c r="A470" s="11">
        <f ca="1">IFERROR(__xludf.DUMMYFUNCTION("""COMPUTED_VALUE"""),44358)</f>
        <v>44358</v>
      </c>
      <c r="B470" s="12">
        <f ca="1">IFERROR(__xludf.DUMMYFUNCTION("""COMPUTED_VALUE"""),1894025)</f>
        <v>1894025</v>
      </c>
      <c r="C470" s="12">
        <f ca="1">IFERROR(__xludf.DUMMYFUNCTION("""COMPUTED_VALUE"""),106315)</f>
        <v>106315</v>
      </c>
      <c r="D470" s="12">
        <f ca="1">IFERROR(__xludf.DUMMYFUNCTION("""COMPUTED_VALUE"""),1735144)</f>
        <v>1735144</v>
      </c>
      <c r="E470" s="12">
        <f ca="1">IFERROR(__xludf.DUMMYFUNCTION("""COMPUTED_VALUE"""),52566)</f>
        <v>52566</v>
      </c>
      <c r="F470" s="12">
        <f ca="1">IFERROR(__xludf.DUMMYFUNCTION("""COMPUTED_VALUE"""),7543)</f>
        <v>7543</v>
      </c>
      <c r="G470" s="12">
        <f ca="1">IFERROR(__xludf.DUMMYFUNCTION("""COMPUTED_VALUE"""),421396)</f>
        <v>421396</v>
      </c>
      <c r="H470" s="12">
        <f ca="1">IFERROR(__xludf.DUMMYFUNCTION("""COMPUTED_VALUE"""),7750)</f>
        <v>7750</v>
      </c>
      <c r="I470" s="12">
        <f ca="1">IFERROR(__xludf.DUMMYFUNCTION("""COMPUTED_VALUE"""),6158)</f>
        <v>6158</v>
      </c>
      <c r="J470" s="12">
        <f ca="1">IFERROR(__xludf.DUMMYFUNCTION("""COMPUTED_VALUE"""),442847)</f>
        <v>442847</v>
      </c>
      <c r="K470" s="12">
        <f ca="1">IFERROR(__xludf.DUMMYFUNCTION("""COMPUTED_VALUE"""),13908)</f>
        <v>13908</v>
      </c>
      <c r="L470" s="12">
        <f ca="1">IFERROR(__xludf.DUMMYFUNCTION("""COMPUTED_VALUE"""),8124)</f>
        <v>8124</v>
      </c>
      <c r="M470" s="12">
        <f ca="1">IFERROR(__xludf.DUMMYFUNCTION("""COMPUTED_VALUE"""),1701)</f>
        <v>1701</v>
      </c>
      <c r="N470" s="12">
        <f ca="1">IFERROR(__xludf.DUMMYFUNCTION("""COMPUTED_VALUE"""),6230)</f>
        <v>6230</v>
      </c>
      <c r="O470" s="12">
        <f ca="1">IFERROR(__xludf.DUMMYFUNCTION("""COMPUTED_VALUE"""),193)</f>
        <v>193</v>
      </c>
      <c r="P470" s="12">
        <f ca="1">IFERROR(__xludf.DUMMYFUNCTION("""COMPUTED_VALUE"""),20)</f>
        <v>20</v>
      </c>
      <c r="Q470" s="12">
        <f ca="1">IFERROR(__xludf.DUMMYFUNCTION("""COMPUTED_VALUE"""),1185)</f>
        <v>1185</v>
      </c>
      <c r="R470" s="12">
        <f ca="1">IFERROR(__xludf.DUMMYFUNCTION("""COMPUTED_VALUE"""),759)</f>
        <v>759</v>
      </c>
      <c r="S470" s="12">
        <f ca="1">IFERROR(__xludf.DUMMYFUNCTION("""COMPUTED_VALUE"""),329)</f>
        <v>329</v>
      </c>
      <c r="T470" s="12">
        <f ca="1">IFERROR(__xludf.DUMMYFUNCTION("""COMPUTED_VALUE"""),2293)</f>
        <v>2293</v>
      </c>
      <c r="U470" s="12">
        <f ca="1">IFERROR(__xludf.DUMMYFUNCTION("""COMPUTED_VALUE"""),1088)</f>
        <v>1088</v>
      </c>
    </row>
    <row r="471" spans="1:21" x14ac:dyDescent="0.25">
      <c r="A471" s="11">
        <f ca="1">IFERROR(__xludf.DUMMYFUNCTION("""COMPUTED_VALUE"""),44359)</f>
        <v>44359</v>
      </c>
      <c r="B471" s="12">
        <f ca="1">IFERROR(__xludf.DUMMYFUNCTION("""COMPUTED_VALUE"""),1901490)</f>
        <v>1901490</v>
      </c>
      <c r="C471" s="12">
        <f ca="1">IFERROR(__xludf.DUMMYFUNCTION("""COMPUTED_VALUE"""),108324)</f>
        <v>108324</v>
      </c>
      <c r="D471" s="12">
        <f ca="1">IFERROR(__xludf.DUMMYFUNCTION("""COMPUTED_VALUE"""),1740436)</f>
        <v>1740436</v>
      </c>
      <c r="E471" s="12">
        <f ca="1">IFERROR(__xludf.DUMMYFUNCTION("""COMPUTED_VALUE"""),52730)</f>
        <v>52730</v>
      </c>
      <c r="F471" s="12">
        <f ca="1">IFERROR(__xludf.DUMMYFUNCTION("""COMPUTED_VALUE"""),7557)</f>
        <v>7557</v>
      </c>
      <c r="G471" s="12">
        <f ca="1">IFERROR(__xludf.DUMMYFUNCTION("""COMPUTED_VALUE"""),422121)</f>
        <v>422121</v>
      </c>
      <c r="H471" s="12">
        <f ca="1">IFERROR(__xludf.DUMMYFUNCTION("""COMPUTED_VALUE"""),8855)</f>
        <v>8855</v>
      </c>
      <c r="I471" s="12">
        <f ca="1">IFERROR(__xludf.DUMMYFUNCTION("""COMPUTED_VALUE"""),6769)</f>
        <v>6769</v>
      </c>
      <c r="J471" s="12">
        <f ca="1">IFERROR(__xludf.DUMMYFUNCTION("""COMPUTED_VALUE"""),445302)</f>
        <v>445302</v>
      </c>
      <c r="K471" s="12">
        <f ca="1">IFERROR(__xludf.DUMMYFUNCTION("""COMPUTED_VALUE"""),15624)</f>
        <v>15624</v>
      </c>
      <c r="L471" s="12">
        <f ca="1">IFERROR(__xludf.DUMMYFUNCTION("""COMPUTED_VALUE"""),7465)</f>
        <v>7465</v>
      </c>
      <c r="M471" s="12">
        <f ca="1">IFERROR(__xludf.DUMMYFUNCTION("""COMPUTED_VALUE"""),2009)</f>
        <v>2009</v>
      </c>
      <c r="N471" s="12">
        <f ca="1">IFERROR(__xludf.DUMMYFUNCTION("""COMPUTED_VALUE"""),5292)</f>
        <v>5292</v>
      </c>
      <c r="O471" s="12">
        <f ca="1">IFERROR(__xludf.DUMMYFUNCTION("""COMPUTED_VALUE"""),164)</f>
        <v>164</v>
      </c>
      <c r="P471" s="12">
        <f ca="1">IFERROR(__xludf.DUMMYFUNCTION("""COMPUTED_VALUE"""),14)</f>
        <v>14</v>
      </c>
      <c r="Q471" s="12">
        <f ca="1">IFERROR(__xludf.DUMMYFUNCTION("""COMPUTED_VALUE"""),725)</f>
        <v>725</v>
      </c>
      <c r="R471" s="12">
        <f ca="1">IFERROR(__xludf.DUMMYFUNCTION("""COMPUTED_VALUE"""),1105)</f>
        <v>1105</v>
      </c>
      <c r="S471" s="12">
        <f ca="1">IFERROR(__xludf.DUMMYFUNCTION("""COMPUTED_VALUE"""),611)</f>
        <v>611</v>
      </c>
      <c r="T471" s="12">
        <f ca="1">IFERROR(__xludf.DUMMYFUNCTION("""COMPUTED_VALUE"""),2455)</f>
        <v>2455</v>
      </c>
      <c r="U471" s="12">
        <f ca="1">IFERROR(__xludf.DUMMYFUNCTION("""COMPUTED_VALUE"""),1716)</f>
        <v>1716</v>
      </c>
    </row>
    <row r="472" spans="1:21" x14ac:dyDescent="0.25">
      <c r="A472" s="11">
        <f ca="1">IFERROR(__xludf.DUMMYFUNCTION("""COMPUTED_VALUE"""),44360)</f>
        <v>44360</v>
      </c>
      <c r="B472" s="12">
        <f ca="1">IFERROR(__xludf.DUMMYFUNCTION("""COMPUTED_VALUE"""),1911358)</f>
        <v>1911358</v>
      </c>
      <c r="C472" s="12">
        <f ca="1">IFERROR(__xludf.DUMMYFUNCTION("""COMPUTED_VALUE"""),113388)</f>
        <v>113388</v>
      </c>
      <c r="D472" s="12">
        <f ca="1">IFERROR(__xludf.DUMMYFUNCTION("""COMPUTED_VALUE"""),1745091)</f>
        <v>1745091</v>
      </c>
      <c r="E472" s="12">
        <f ca="1">IFERROR(__xludf.DUMMYFUNCTION("""COMPUTED_VALUE"""),52879)</f>
        <v>52879</v>
      </c>
      <c r="F472" s="12">
        <f ca="1">IFERROR(__xludf.DUMMYFUNCTION("""COMPUTED_VALUE"""),7571)</f>
        <v>7571</v>
      </c>
      <c r="G472" s="12">
        <f ca="1">IFERROR(__xludf.DUMMYFUNCTION("""COMPUTED_VALUE"""),423056)</f>
        <v>423056</v>
      </c>
      <c r="H472" s="12">
        <f ca="1">IFERROR(__xludf.DUMMYFUNCTION("""COMPUTED_VALUE"""),10034)</f>
        <v>10034</v>
      </c>
      <c r="I472" s="12">
        <f ca="1">IFERROR(__xludf.DUMMYFUNCTION("""COMPUTED_VALUE"""),7410)</f>
        <v>7410</v>
      </c>
      <c r="J472" s="12">
        <f ca="1">IFERROR(__xludf.DUMMYFUNCTION("""COMPUTED_VALUE"""),448071)</f>
        <v>448071</v>
      </c>
      <c r="K472" s="12">
        <f ca="1">IFERROR(__xludf.DUMMYFUNCTION("""COMPUTED_VALUE"""),17444)</f>
        <v>17444</v>
      </c>
      <c r="L472" s="12">
        <f ca="1">IFERROR(__xludf.DUMMYFUNCTION("""COMPUTED_VALUE"""),9868)</f>
        <v>9868</v>
      </c>
      <c r="M472" s="12">
        <f ca="1">IFERROR(__xludf.DUMMYFUNCTION("""COMPUTED_VALUE"""),5064)</f>
        <v>5064</v>
      </c>
      <c r="N472" s="12">
        <f ca="1">IFERROR(__xludf.DUMMYFUNCTION("""COMPUTED_VALUE"""),4655)</f>
        <v>4655</v>
      </c>
      <c r="O472" s="12">
        <f ca="1">IFERROR(__xludf.DUMMYFUNCTION("""COMPUTED_VALUE"""),149)</f>
        <v>149</v>
      </c>
      <c r="P472" s="12">
        <f ca="1">IFERROR(__xludf.DUMMYFUNCTION("""COMPUTED_VALUE"""),14)</f>
        <v>14</v>
      </c>
      <c r="Q472" s="12">
        <f ca="1">IFERROR(__xludf.DUMMYFUNCTION("""COMPUTED_VALUE"""),935)</f>
        <v>935</v>
      </c>
      <c r="R472" s="12">
        <f ca="1">IFERROR(__xludf.DUMMYFUNCTION("""COMPUTED_VALUE"""),1179)</f>
        <v>1179</v>
      </c>
      <c r="S472" s="12">
        <f ca="1">IFERROR(__xludf.DUMMYFUNCTION("""COMPUTED_VALUE"""),641)</f>
        <v>641</v>
      </c>
      <c r="T472" s="12">
        <f ca="1">IFERROR(__xludf.DUMMYFUNCTION("""COMPUTED_VALUE"""),2769)</f>
        <v>2769</v>
      </c>
      <c r="U472" s="12">
        <f ca="1">IFERROR(__xludf.DUMMYFUNCTION("""COMPUTED_VALUE"""),1820)</f>
        <v>1820</v>
      </c>
    </row>
    <row r="473" spans="1:21" x14ac:dyDescent="0.25">
      <c r="A473" s="11">
        <f ca="1">IFERROR(__xludf.DUMMYFUNCTION("""COMPUTED_VALUE"""),44361)</f>
        <v>44361</v>
      </c>
      <c r="B473" s="12">
        <f ca="1">IFERROR(__xludf.DUMMYFUNCTION("""COMPUTED_VALUE"""),1919547)</f>
        <v>1919547</v>
      </c>
      <c r="C473" s="12">
        <f ca="1">IFERROR(__xludf.DUMMYFUNCTION("""COMPUTED_VALUE"""),115197)</f>
        <v>115197</v>
      </c>
      <c r="D473" s="12">
        <f ca="1">IFERROR(__xludf.DUMMYFUNCTION("""COMPUTED_VALUE"""),1751234)</f>
        <v>1751234</v>
      </c>
      <c r="E473" s="12">
        <f ca="1">IFERROR(__xludf.DUMMYFUNCTION("""COMPUTED_VALUE"""),53116)</f>
        <v>53116</v>
      </c>
      <c r="F473" s="12">
        <f ca="1">IFERROR(__xludf.DUMMYFUNCTION("""COMPUTED_VALUE"""),7609)</f>
        <v>7609</v>
      </c>
      <c r="G473" s="12">
        <f ca="1">IFERROR(__xludf.DUMMYFUNCTION("""COMPUTED_VALUE"""),424088)</f>
        <v>424088</v>
      </c>
      <c r="H473" s="12">
        <f ca="1">IFERROR(__xludf.DUMMYFUNCTION("""COMPUTED_VALUE"""),11240)</f>
        <v>11240</v>
      </c>
      <c r="I473" s="12">
        <f ca="1">IFERROR(__xludf.DUMMYFUNCTION("""COMPUTED_VALUE"""),7856)</f>
        <v>7856</v>
      </c>
      <c r="J473" s="12">
        <f ca="1">IFERROR(__xludf.DUMMYFUNCTION("""COMPUTED_VALUE"""),450793)</f>
        <v>450793</v>
      </c>
      <c r="K473" s="12">
        <f ca="1">IFERROR(__xludf.DUMMYFUNCTION("""COMPUTED_VALUE"""),19096)</f>
        <v>19096</v>
      </c>
      <c r="L473" s="12">
        <f ca="1">IFERROR(__xludf.DUMMYFUNCTION("""COMPUTED_VALUE"""),8189)</f>
        <v>8189</v>
      </c>
      <c r="M473" s="12">
        <f ca="1">IFERROR(__xludf.DUMMYFUNCTION("""COMPUTED_VALUE"""),1809)</f>
        <v>1809</v>
      </c>
      <c r="N473" s="12">
        <f ca="1">IFERROR(__xludf.DUMMYFUNCTION("""COMPUTED_VALUE"""),6143)</f>
        <v>6143</v>
      </c>
      <c r="O473" s="12">
        <f ca="1">IFERROR(__xludf.DUMMYFUNCTION("""COMPUTED_VALUE"""),237)</f>
        <v>237</v>
      </c>
      <c r="P473" s="12">
        <f ca="1">IFERROR(__xludf.DUMMYFUNCTION("""COMPUTED_VALUE"""),38)</f>
        <v>38</v>
      </c>
      <c r="Q473" s="12">
        <f ca="1">IFERROR(__xludf.DUMMYFUNCTION("""COMPUTED_VALUE"""),1032)</f>
        <v>1032</v>
      </c>
      <c r="R473" s="12">
        <f ca="1">IFERROR(__xludf.DUMMYFUNCTION("""COMPUTED_VALUE"""),1206)</f>
        <v>1206</v>
      </c>
      <c r="S473" s="12">
        <f ca="1">IFERROR(__xludf.DUMMYFUNCTION("""COMPUTED_VALUE"""),446)</f>
        <v>446</v>
      </c>
      <c r="T473" s="12">
        <f ca="1">IFERROR(__xludf.DUMMYFUNCTION("""COMPUTED_VALUE"""),2722)</f>
        <v>2722</v>
      </c>
      <c r="U473" s="12">
        <f ca="1">IFERROR(__xludf.DUMMYFUNCTION("""COMPUTED_VALUE"""),1652)</f>
        <v>1652</v>
      </c>
    </row>
    <row r="474" spans="1:21" x14ac:dyDescent="0.25">
      <c r="A474" s="11">
        <f ca="1">IFERROR(__xludf.DUMMYFUNCTION("""COMPUTED_VALUE"""),44362)</f>
        <v>44362</v>
      </c>
      <c r="B474" s="12">
        <f ca="1">IFERROR(__xludf.DUMMYFUNCTION("""COMPUTED_VALUE"""),1927708)</f>
        <v>1927708</v>
      </c>
      <c r="C474" s="12">
        <f ca="1">IFERROR(__xludf.DUMMYFUNCTION("""COMPUTED_VALUE"""),116787)</f>
        <v>116787</v>
      </c>
      <c r="D474" s="12">
        <f ca="1">IFERROR(__xludf.DUMMYFUNCTION("""COMPUTED_VALUE"""),1757641)</f>
        <v>1757641</v>
      </c>
      <c r="E474" s="12">
        <f ca="1">IFERROR(__xludf.DUMMYFUNCTION("""COMPUTED_VALUE"""),53280)</f>
        <v>53280</v>
      </c>
      <c r="F474" s="12">
        <f ca="1">IFERROR(__xludf.DUMMYFUNCTION("""COMPUTED_VALUE"""),7634)</f>
        <v>7634</v>
      </c>
      <c r="G474" s="12">
        <f ca="1">IFERROR(__xludf.DUMMYFUNCTION("""COMPUTED_VALUE"""),425417)</f>
        <v>425417</v>
      </c>
      <c r="H474" s="12">
        <f ca="1">IFERROR(__xludf.DUMMYFUNCTION("""COMPUTED_VALUE"""),11102)</f>
        <v>11102</v>
      </c>
      <c r="I474" s="12">
        <f ca="1">IFERROR(__xludf.DUMMYFUNCTION("""COMPUTED_VALUE"""),8142)</f>
        <v>8142</v>
      </c>
      <c r="J474" s="12">
        <f ca="1">IFERROR(__xludf.DUMMYFUNCTION("""COMPUTED_VALUE"""),452295)</f>
        <v>452295</v>
      </c>
      <c r="K474" s="12">
        <f ca="1">IFERROR(__xludf.DUMMYFUNCTION("""COMPUTED_VALUE"""),19244)</f>
        <v>19244</v>
      </c>
      <c r="L474" s="12">
        <f ca="1">IFERROR(__xludf.DUMMYFUNCTION("""COMPUTED_VALUE"""),8161)</f>
        <v>8161</v>
      </c>
      <c r="M474" s="12">
        <f ca="1">IFERROR(__xludf.DUMMYFUNCTION("""COMPUTED_VALUE"""),1590)</f>
        <v>1590</v>
      </c>
      <c r="N474" s="12">
        <f ca="1">IFERROR(__xludf.DUMMYFUNCTION("""COMPUTED_VALUE"""),6407)</f>
        <v>6407</v>
      </c>
      <c r="O474" s="12">
        <f ca="1">IFERROR(__xludf.DUMMYFUNCTION("""COMPUTED_VALUE"""),164)</f>
        <v>164</v>
      </c>
      <c r="P474" s="12">
        <f ca="1">IFERROR(__xludf.DUMMYFUNCTION("""COMPUTED_VALUE"""),25)</f>
        <v>25</v>
      </c>
      <c r="Q474" s="12">
        <f ca="1">IFERROR(__xludf.DUMMYFUNCTION("""COMPUTED_VALUE"""),1329)</f>
        <v>1329</v>
      </c>
      <c r="R474" s="12">
        <f ca="1">IFERROR(__xludf.DUMMYFUNCTION("""COMPUTED_VALUE"""),-138)</f>
        <v>-138</v>
      </c>
      <c r="S474" s="12">
        <f ca="1">IFERROR(__xludf.DUMMYFUNCTION("""COMPUTED_VALUE"""),286)</f>
        <v>286</v>
      </c>
      <c r="T474" s="12">
        <f ca="1">IFERROR(__xludf.DUMMYFUNCTION("""COMPUTED_VALUE"""),1502)</f>
        <v>1502</v>
      </c>
      <c r="U474" s="12">
        <f ca="1">IFERROR(__xludf.DUMMYFUNCTION("""COMPUTED_VALUE"""),148)</f>
        <v>148</v>
      </c>
    </row>
    <row r="475" spans="1:21" x14ac:dyDescent="0.25">
      <c r="A475" s="11">
        <f ca="1">IFERROR(__xludf.DUMMYFUNCTION("""COMPUTED_VALUE"""),44363)</f>
        <v>44363</v>
      </c>
      <c r="B475" s="12">
        <f ca="1">IFERROR(__xludf.DUMMYFUNCTION("""COMPUTED_VALUE"""),1937652)</f>
        <v>1937652</v>
      </c>
      <c r="C475" s="12">
        <f ca="1">IFERROR(__xludf.DUMMYFUNCTION("""COMPUTED_VALUE"""),120306)</f>
        <v>120306</v>
      </c>
      <c r="D475" s="12">
        <f ca="1">IFERROR(__xludf.DUMMYFUNCTION("""COMPUTED_VALUE"""),1763870)</f>
        <v>1763870</v>
      </c>
      <c r="E475" s="12">
        <f ca="1">IFERROR(__xludf.DUMMYFUNCTION("""COMPUTED_VALUE"""),53476)</f>
        <v>53476</v>
      </c>
      <c r="F475" s="12">
        <f ca="1">IFERROR(__xludf.DUMMYFUNCTION("""COMPUTED_VALUE"""),7665)</f>
        <v>7665</v>
      </c>
      <c r="G475" s="12">
        <f ca="1">IFERROR(__xludf.DUMMYFUNCTION("""COMPUTED_VALUE"""),426695)</f>
        <v>426695</v>
      </c>
      <c r="H475" s="12">
        <f ca="1">IFERROR(__xludf.DUMMYFUNCTION("""COMPUTED_VALUE"""),11555)</f>
        <v>11555</v>
      </c>
      <c r="I475" s="12">
        <f ca="1">IFERROR(__xludf.DUMMYFUNCTION("""COMPUTED_VALUE"""),8756)</f>
        <v>8756</v>
      </c>
      <c r="J475" s="12">
        <f ca="1">IFERROR(__xludf.DUMMYFUNCTION("""COMPUTED_VALUE"""),454671)</f>
        <v>454671</v>
      </c>
      <c r="K475" s="12">
        <f ca="1">IFERROR(__xludf.DUMMYFUNCTION("""COMPUTED_VALUE"""),20311)</f>
        <v>20311</v>
      </c>
      <c r="L475" s="12">
        <f ca="1">IFERROR(__xludf.DUMMYFUNCTION("""COMPUTED_VALUE"""),9944)</f>
        <v>9944</v>
      </c>
      <c r="M475" s="12">
        <f ca="1">IFERROR(__xludf.DUMMYFUNCTION("""COMPUTED_VALUE"""),3519)</f>
        <v>3519</v>
      </c>
      <c r="N475" s="12">
        <f ca="1">IFERROR(__xludf.DUMMYFUNCTION("""COMPUTED_VALUE"""),6229)</f>
        <v>6229</v>
      </c>
      <c r="O475" s="12">
        <f ca="1">IFERROR(__xludf.DUMMYFUNCTION("""COMPUTED_VALUE"""),196)</f>
        <v>196</v>
      </c>
      <c r="P475" s="12">
        <f ca="1">IFERROR(__xludf.DUMMYFUNCTION("""COMPUTED_VALUE"""),31)</f>
        <v>31</v>
      </c>
      <c r="Q475" s="12">
        <f ca="1">IFERROR(__xludf.DUMMYFUNCTION("""COMPUTED_VALUE"""),1278)</f>
        <v>1278</v>
      </c>
      <c r="R475" s="12">
        <f ca="1">IFERROR(__xludf.DUMMYFUNCTION("""COMPUTED_VALUE"""),453)</f>
        <v>453</v>
      </c>
      <c r="S475" s="12">
        <f ca="1">IFERROR(__xludf.DUMMYFUNCTION("""COMPUTED_VALUE"""),614)</f>
        <v>614</v>
      </c>
      <c r="T475" s="12">
        <f ca="1">IFERROR(__xludf.DUMMYFUNCTION("""COMPUTED_VALUE"""),2376)</f>
        <v>2376</v>
      </c>
      <c r="U475" s="12">
        <f ca="1">IFERROR(__xludf.DUMMYFUNCTION("""COMPUTED_VALUE"""),1067)</f>
        <v>1067</v>
      </c>
    </row>
    <row r="476" spans="1:21" x14ac:dyDescent="0.25">
      <c r="A476" s="11">
        <f ca="1">IFERROR(__xludf.DUMMYFUNCTION("""COMPUTED_VALUE"""),44364)</f>
        <v>44364</v>
      </c>
      <c r="B476" s="12">
        <f ca="1">IFERROR(__xludf.DUMMYFUNCTION("""COMPUTED_VALUE"""),1950276)</f>
        <v>1950276</v>
      </c>
      <c r="C476" s="12">
        <f ca="1">IFERROR(__xludf.DUMMYFUNCTION("""COMPUTED_VALUE"""),125303)</f>
        <v>125303</v>
      </c>
      <c r="D476" s="12">
        <f ca="1">IFERROR(__xludf.DUMMYFUNCTION("""COMPUTED_VALUE"""),1771220)</f>
        <v>1771220</v>
      </c>
      <c r="E476" s="12">
        <f ca="1">IFERROR(__xludf.DUMMYFUNCTION("""COMPUTED_VALUE"""),53753)</f>
        <v>53753</v>
      </c>
      <c r="F476" s="12">
        <f ca="1">IFERROR(__xludf.DUMMYFUNCTION("""COMPUTED_VALUE"""),7713)</f>
        <v>7713</v>
      </c>
      <c r="G476" s="12">
        <f ca="1">IFERROR(__xludf.DUMMYFUNCTION("""COMPUTED_VALUE"""),428764)</f>
        <v>428764</v>
      </c>
      <c r="H476" s="12">
        <f ca="1">IFERROR(__xludf.DUMMYFUNCTION("""COMPUTED_VALUE"""),13054)</f>
        <v>13054</v>
      </c>
      <c r="I476" s="12">
        <f ca="1">IFERROR(__xludf.DUMMYFUNCTION("""COMPUTED_VALUE"""),9284)</f>
        <v>9284</v>
      </c>
      <c r="J476" s="12">
        <f ca="1">IFERROR(__xludf.DUMMYFUNCTION("""COMPUTED_VALUE"""),458815)</f>
        <v>458815</v>
      </c>
      <c r="K476" s="12">
        <f ca="1">IFERROR(__xludf.DUMMYFUNCTION("""COMPUTED_VALUE"""),22338)</f>
        <v>22338</v>
      </c>
      <c r="L476" s="12">
        <f ca="1">IFERROR(__xludf.DUMMYFUNCTION("""COMPUTED_VALUE"""),12624)</f>
        <v>12624</v>
      </c>
      <c r="M476" s="12">
        <f ca="1">IFERROR(__xludf.DUMMYFUNCTION("""COMPUTED_VALUE"""),4997)</f>
        <v>4997</v>
      </c>
      <c r="N476" s="12">
        <f ca="1">IFERROR(__xludf.DUMMYFUNCTION("""COMPUTED_VALUE"""),7350)</f>
        <v>7350</v>
      </c>
      <c r="O476" s="12">
        <f ca="1">IFERROR(__xludf.DUMMYFUNCTION("""COMPUTED_VALUE"""),277)</f>
        <v>277</v>
      </c>
      <c r="P476" s="12">
        <f ca="1">IFERROR(__xludf.DUMMYFUNCTION("""COMPUTED_VALUE"""),48)</f>
        <v>48</v>
      </c>
      <c r="Q476" s="12">
        <f ca="1">IFERROR(__xludf.DUMMYFUNCTION("""COMPUTED_VALUE"""),2069)</f>
        <v>2069</v>
      </c>
      <c r="R476" s="12">
        <f ca="1">IFERROR(__xludf.DUMMYFUNCTION("""COMPUTED_VALUE"""),1499)</f>
        <v>1499</v>
      </c>
      <c r="S476" s="12">
        <f ca="1">IFERROR(__xludf.DUMMYFUNCTION("""COMPUTED_VALUE"""),528)</f>
        <v>528</v>
      </c>
      <c r="T476" s="12">
        <f ca="1">IFERROR(__xludf.DUMMYFUNCTION("""COMPUTED_VALUE"""),4144)</f>
        <v>4144</v>
      </c>
      <c r="U476" s="12">
        <f ca="1">IFERROR(__xludf.DUMMYFUNCTION("""COMPUTED_VALUE"""),2027)</f>
        <v>2027</v>
      </c>
    </row>
    <row r="477" spans="1:21" x14ac:dyDescent="0.25">
      <c r="A477" s="11">
        <f ca="1">IFERROR(__xludf.DUMMYFUNCTION("""COMPUTED_VALUE"""),44365)</f>
        <v>44365</v>
      </c>
      <c r="B477" s="12">
        <f ca="1">IFERROR(__xludf.DUMMYFUNCTION("""COMPUTED_VALUE"""),1963266)</f>
        <v>1963266</v>
      </c>
      <c r="C477" s="12">
        <f ca="1">IFERROR(__xludf.DUMMYFUNCTION("""COMPUTED_VALUE"""),130096)</f>
        <v>130096</v>
      </c>
      <c r="D477" s="12">
        <f ca="1">IFERROR(__xludf.DUMMYFUNCTION("""COMPUTED_VALUE"""),1779127)</f>
        <v>1779127</v>
      </c>
      <c r="E477" s="12">
        <f ca="1">IFERROR(__xludf.DUMMYFUNCTION("""COMPUTED_VALUE"""),54043)</f>
        <v>54043</v>
      </c>
      <c r="F477" s="12">
        <f ca="1">IFERROR(__xludf.DUMMYFUNCTION("""COMPUTED_VALUE"""),7777)</f>
        <v>7777</v>
      </c>
      <c r="G477" s="12">
        <f ca="1">IFERROR(__xludf.DUMMYFUNCTION("""COMPUTED_VALUE"""),431264)</f>
        <v>431264</v>
      </c>
      <c r="H477" s="12">
        <f ca="1">IFERROR(__xludf.DUMMYFUNCTION("""COMPUTED_VALUE"""),14951)</f>
        <v>14951</v>
      </c>
      <c r="I477" s="12">
        <f ca="1">IFERROR(__xludf.DUMMYFUNCTION("""COMPUTED_VALUE"""),9560)</f>
        <v>9560</v>
      </c>
      <c r="J477" s="12">
        <f ca="1">IFERROR(__xludf.DUMMYFUNCTION("""COMPUTED_VALUE"""),463552)</f>
        <v>463552</v>
      </c>
      <c r="K477" s="12">
        <f ca="1">IFERROR(__xludf.DUMMYFUNCTION("""COMPUTED_VALUE"""),24511)</f>
        <v>24511</v>
      </c>
      <c r="L477" s="12">
        <f ca="1">IFERROR(__xludf.DUMMYFUNCTION("""COMPUTED_VALUE"""),12990)</f>
        <v>12990</v>
      </c>
      <c r="M477" s="12">
        <f ca="1">IFERROR(__xludf.DUMMYFUNCTION("""COMPUTED_VALUE"""),4793)</f>
        <v>4793</v>
      </c>
      <c r="N477" s="12">
        <f ca="1">IFERROR(__xludf.DUMMYFUNCTION("""COMPUTED_VALUE"""),7907)</f>
        <v>7907</v>
      </c>
      <c r="O477" s="12">
        <f ca="1">IFERROR(__xludf.DUMMYFUNCTION("""COMPUTED_VALUE"""),290)</f>
        <v>290</v>
      </c>
      <c r="P477" s="12">
        <f ca="1">IFERROR(__xludf.DUMMYFUNCTION("""COMPUTED_VALUE"""),64)</f>
        <v>64</v>
      </c>
      <c r="Q477" s="12">
        <f ca="1">IFERROR(__xludf.DUMMYFUNCTION("""COMPUTED_VALUE"""),2500)</f>
        <v>2500</v>
      </c>
      <c r="R477" s="12">
        <f ca="1">IFERROR(__xludf.DUMMYFUNCTION("""COMPUTED_VALUE"""),1897)</f>
        <v>1897</v>
      </c>
      <c r="S477" s="12">
        <f ca="1">IFERROR(__xludf.DUMMYFUNCTION("""COMPUTED_VALUE"""),276)</f>
        <v>276</v>
      </c>
      <c r="T477" s="12">
        <f ca="1">IFERROR(__xludf.DUMMYFUNCTION("""COMPUTED_VALUE"""),4737)</f>
        <v>4737</v>
      </c>
      <c r="U477" s="12">
        <f ca="1">IFERROR(__xludf.DUMMYFUNCTION("""COMPUTED_VALUE"""),2173)</f>
        <v>2173</v>
      </c>
    </row>
    <row r="478" spans="1:21" x14ac:dyDescent="0.25">
      <c r="A478" s="11">
        <f ca="1">IFERROR(__xludf.DUMMYFUNCTION("""COMPUTED_VALUE"""),44366)</f>
        <v>44366</v>
      </c>
      <c r="B478" s="12">
        <f ca="1">IFERROR(__xludf.DUMMYFUNCTION("""COMPUTED_VALUE"""),1976172)</f>
        <v>1976172</v>
      </c>
      <c r="C478" s="12">
        <f ca="1">IFERROR(__xludf.DUMMYFUNCTION("""COMPUTED_VALUE"""),135738)</f>
        <v>135738</v>
      </c>
      <c r="D478" s="12">
        <f ca="1">IFERROR(__xludf.DUMMYFUNCTION("""COMPUTED_VALUE"""),1786143)</f>
        <v>1786143</v>
      </c>
      <c r="E478" s="12">
        <f ca="1">IFERROR(__xludf.DUMMYFUNCTION("""COMPUTED_VALUE"""),54291)</f>
        <v>54291</v>
      </c>
      <c r="F478" s="12">
        <f ca="1">IFERROR(__xludf.DUMMYFUNCTION("""COMPUTED_VALUE"""),7836)</f>
        <v>7836</v>
      </c>
      <c r="G478" s="12">
        <f ca="1">IFERROR(__xludf.DUMMYFUNCTION("""COMPUTED_VALUE"""),433499)</f>
        <v>433499</v>
      </c>
      <c r="H478" s="12">
        <f ca="1">IFERROR(__xludf.DUMMYFUNCTION("""COMPUTED_VALUE"""),16787)</f>
        <v>16787</v>
      </c>
      <c r="I478" s="12">
        <f ca="1">IFERROR(__xludf.DUMMYFUNCTION("""COMPUTED_VALUE"""),10325)</f>
        <v>10325</v>
      </c>
      <c r="J478" s="12">
        <f ca="1">IFERROR(__xludf.DUMMYFUNCTION("""COMPUTED_VALUE"""),468447)</f>
        <v>468447</v>
      </c>
      <c r="K478" s="12">
        <f ca="1">IFERROR(__xludf.DUMMYFUNCTION("""COMPUTED_VALUE"""),27112)</f>
        <v>27112</v>
      </c>
      <c r="L478" s="12">
        <f ca="1">IFERROR(__xludf.DUMMYFUNCTION("""COMPUTED_VALUE"""),12906)</f>
        <v>12906</v>
      </c>
      <c r="M478" s="12">
        <f ca="1">IFERROR(__xludf.DUMMYFUNCTION("""COMPUTED_VALUE"""),5642)</f>
        <v>5642</v>
      </c>
      <c r="N478" s="12">
        <f ca="1">IFERROR(__xludf.DUMMYFUNCTION("""COMPUTED_VALUE"""),7016)</f>
        <v>7016</v>
      </c>
      <c r="O478" s="12">
        <f ca="1">IFERROR(__xludf.DUMMYFUNCTION("""COMPUTED_VALUE"""),248)</f>
        <v>248</v>
      </c>
      <c r="P478" s="12">
        <f ca="1">IFERROR(__xludf.DUMMYFUNCTION("""COMPUTED_VALUE"""),59)</f>
        <v>59</v>
      </c>
      <c r="Q478" s="12">
        <f ca="1">IFERROR(__xludf.DUMMYFUNCTION("""COMPUTED_VALUE"""),2235)</f>
        <v>2235</v>
      </c>
      <c r="R478" s="12">
        <f ca="1">IFERROR(__xludf.DUMMYFUNCTION("""COMPUTED_VALUE"""),1836)</f>
        <v>1836</v>
      </c>
      <c r="S478" s="12">
        <f ca="1">IFERROR(__xludf.DUMMYFUNCTION("""COMPUTED_VALUE"""),765)</f>
        <v>765</v>
      </c>
      <c r="T478" s="12">
        <f ca="1">IFERROR(__xludf.DUMMYFUNCTION("""COMPUTED_VALUE"""),4895)</f>
        <v>4895</v>
      </c>
      <c r="U478" s="12">
        <f ca="1">IFERROR(__xludf.DUMMYFUNCTION("""COMPUTED_VALUE"""),2601)</f>
        <v>2601</v>
      </c>
    </row>
    <row r="479" spans="1:21" x14ac:dyDescent="0.25">
      <c r="A479" s="11">
        <f ca="1">IFERROR(__xludf.DUMMYFUNCTION("""COMPUTED_VALUE"""),44367)</f>
        <v>44367</v>
      </c>
      <c r="B479" s="12">
        <f ca="1">IFERROR(__xludf.DUMMYFUNCTION("""COMPUTED_VALUE"""),1989909)</f>
        <v>1989909</v>
      </c>
      <c r="C479" s="12">
        <f ca="1">IFERROR(__xludf.DUMMYFUNCTION("""COMPUTED_VALUE"""),142719)</f>
        <v>142719</v>
      </c>
      <c r="D479" s="12">
        <f ca="1">IFERROR(__xludf.DUMMYFUNCTION("""COMPUTED_VALUE"""),1792528)</f>
        <v>1792528</v>
      </c>
      <c r="E479" s="12">
        <f ca="1">IFERROR(__xludf.DUMMYFUNCTION("""COMPUTED_VALUE"""),54662)</f>
        <v>54662</v>
      </c>
      <c r="F479" s="12">
        <f ca="1">IFERROR(__xludf.DUMMYFUNCTION("""COMPUTED_VALUE"""),7905)</f>
        <v>7905</v>
      </c>
      <c r="G479" s="12">
        <f ca="1">IFERROR(__xludf.DUMMYFUNCTION("""COMPUTED_VALUE"""),435982)</f>
        <v>435982</v>
      </c>
      <c r="H479" s="12">
        <f ca="1">IFERROR(__xludf.DUMMYFUNCTION("""COMPUTED_VALUE"""),19105)</f>
        <v>19105</v>
      </c>
      <c r="I479" s="12">
        <f ca="1">IFERROR(__xludf.DUMMYFUNCTION("""COMPUTED_VALUE"""),11037)</f>
        <v>11037</v>
      </c>
      <c r="J479" s="12">
        <f ca="1">IFERROR(__xludf.DUMMYFUNCTION("""COMPUTED_VALUE"""),474029)</f>
        <v>474029</v>
      </c>
      <c r="K479" s="12">
        <f ca="1">IFERROR(__xludf.DUMMYFUNCTION("""COMPUTED_VALUE"""),30142)</f>
        <v>30142</v>
      </c>
      <c r="L479" s="12">
        <f ca="1">IFERROR(__xludf.DUMMYFUNCTION("""COMPUTED_VALUE"""),13737)</f>
        <v>13737</v>
      </c>
      <c r="M479" s="12">
        <f ca="1">IFERROR(__xludf.DUMMYFUNCTION("""COMPUTED_VALUE"""),6981)</f>
        <v>6981</v>
      </c>
      <c r="N479" s="12">
        <f ca="1">IFERROR(__xludf.DUMMYFUNCTION("""COMPUTED_VALUE"""),6385)</f>
        <v>6385</v>
      </c>
      <c r="O479" s="12">
        <f ca="1">IFERROR(__xludf.DUMMYFUNCTION("""COMPUTED_VALUE"""),371)</f>
        <v>371</v>
      </c>
      <c r="P479" s="12">
        <f ca="1">IFERROR(__xludf.DUMMYFUNCTION("""COMPUTED_VALUE"""),69)</f>
        <v>69</v>
      </c>
      <c r="Q479" s="12">
        <f ca="1">IFERROR(__xludf.DUMMYFUNCTION("""COMPUTED_VALUE"""),2483)</f>
        <v>2483</v>
      </c>
      <c r="R479" s="12">
        <f ca="1">IFERROR(__xludf.DUMMYFUNCTION("""COMPUTED_VALUE"""),2318)</f>
        <v>2318</v>
      </c>
      <c r="S479" s="12">
        <f ca="1">IFERROR(__xludf.DUMMYFUNCTION("""COMPUTED_VALUE"""),712)</f>
        <v>712</v>
      </c>
      <c r="T479" s="12">
        <f ca="1">IFERROR(__xludf.DUMMYFUNCTION("""COMPUTED_VALUE"""),5582)</f>
        <v>5582</v>
      </c>
      <c r="U479" s="12">
        <f ca="1">IFERROR(__xludf.DUMMYFUNCTION("""COMPUTED_VALUE"""),3030)</f>
        <v>3030</v>
      </c>
    </row>
    <row r="480" spans="1:21" x14ac:dyDescent="0.25">
      <c r="A480" s="11">
        <f ca="1">IFERROR(__xludf.DUMMYFUNCTION("""COMPUTED_VALUE"""),44368)</f>
        <v>44368</v>
      </c>
      <c r="B480" s="12">
        <f ca="1">IFERROR(__xludf.DUMMYFUNCTION("""COMPUTED_VALUE"""),2004445)</f>
        <v>2004445</v>
      </c>
      <c r="C480" s="12">
        <f ca="1">IFERROR(__xludf.DUMMYFUNCTION("""COMPUTED_VALUE"""),147728)</f>
        <v>147728</v>
      </c>
      <c r="D480" s="12">
        <f ca="1">IFERROR(__xludf.DUMMYFUNCTION("""COMPUTED_VALUE"""),1801761)</f>
        <v>1801761</v>
      </c>
      <c r="E480" s="12">
        <f ca="1">IFERROR(__xludf.DUMMYFUNCTION("""COMPUTED_VALUE"""),54956)</f>
        <v>54956</v>
      </c>
      <c r="F480" s="12">
        <f ca="1">IFERROR(__xludf.DUMMYFUNCTION("""COMPUTED_VALUE"""),7976)</f>
        <v>7976</v>
      </c>
      <c r="G480" s="12">
        <f ca="1">IFERROR(__xludf.DUMMYFUNCTION("""COMPUTED_VALUE"""),439007)</f>
        <v>439007</v>
      </c>
      <c r="H480" s="12">
        <f ca="1">IFERROR(__xludf.DUMMYFUNCTION("""COMPUTED_VALUE"""),20717)</f>
        <v>20717</v>
      </c>
      <c r="I480" s="12">
        <f ca="1">IFERROR(__xludf.DUMMYFUNCTION("""COMPUTED_VALUE"""),11343)</f>
        <v>11343</v>
      </c>
      <c r="J480" s="12">
        <f ca="1">IFERROR(__xludf.DUMMYFUNCTION("""COMPUTED_VALUE"""),479043)</f>
        <v>479043</v>
      </c>
      <c r="K480" s="12">
        <f ca="1">IFERROR(__xludf.DUMMYFUNCTION("""COMPUTED_VALUE"""),32060)</f>
        <v>32060</v>
      </c>
      <c r="L480" s="12">
        <f ca="1">IFERROR(__xludf.DUMMYFUNCTION("""COMPUTED_VALUE"""),14536)</f>
        <v>14536</v>
      </c>
      <c r="M480" s="12">
        <f ca="1">IFERROR(__xludf.DUMMYFUNCTION("""COMPUTED_VALUE"""),5009)</f>
        <v>5009</v>
      </c>
      <c r="N480" s="12">
        <f ca="1">IFERROR(__xludf.DUMMYFUNCTION("""COMPUTED_VALUE"""),9233)</f>
        <v>9233</v>
      </c>
      <c r="O480" s="12">
        <f ca="1">IFERROR(__xludf.DUMMYFUNCTION("""COMPUTED_VALUE"""),294)</f>
        <v>294</v>
      </c>
      <c r="P480" s="12">
        <f ca="1">IFERROR(__xludf.DUMMYFUNCTION("""COMPUTED_VALUE"""),71)</f>
        <v>71</v>
      </c>
      <c r="Q480" s="12">
        <f ca="1">IFERROR(__xludf.DUMMYFUNCTION("""COMPUTED_VALUE"""),3025)</f>
        <v>3025</v>
      </c>
      <c r="R480" s="12">
        <f ca="1">IFERROR(__xludf.DUMMYFUNCTION("""COMPUTED_VALUE"""),1612)</f>
        <v>1612</v>
      </c>
      <c r="S480" s="12">
        <f ca="1">IFERROR(__xludf.DUMMYFUNCTION("""COMPUTED_VALUE"""),306)</f>
        <v>306</v>
      </c>
      <c r="T480" s="12">
        <f ca="1">IFERROR(__xludf.DUMMYFUNCTION("""COMPUTED_VALUE"""),5014)</f>
        <v>5014</v>
      </c>
      <c r="U480" s="12">
        <f ca="1">IFERROR(__xludf.DUMMYFUNCTION("""COMPUTED_VALUE"""),1918)</f>
        <v>1918</v>
      </c>
    </row>
    <row r="481" spans="1:21" x14ac:dyDescent="0.25">
      <c r="A481" s="11">
        <f ca="1">IFERROR(__xludf.DUMMYFUNCTION("""COMPUTED_VALUE"""),44369)</f>
        <v>44369</v>
      </c>
      <c r="B481" s="12">
        <f ca="1">IFERROR(__xludf.DUMMYFUNCTION("""COMPUTED_VALUE"""),2018113)</f>
        <v>2018113</v>
      </c>
      <c r="C481" s="12">
        <f ca="1">IFERROR(__xludf.DUMMYFUNCTION("""COMPUTED_VALUE"""),152686)</f>
        <v>152686</v>
      </c>
      <c r="D481" s="12">
        <f ca="1">IFERROR(__xludf.DUMMYFUNCTION("""COMPUTED_VALUE"""),1810136)</f>
        <v>1810136</v>
      </c>
      <c r="E481" s="12">
        <f ca="1">IFERROR(__xludf.DUMMYFUNCTION("""COMPUTED_VALUE"""),55291)</f>
        <v>55291</v>
      </c>
      <c r="F481" s="12">
        <f ca="1">IFERROR(__xludf.DUMMYFUNCTION("""COMPUTED_VALUE"""),8014)</f>
        <v>8014</v>
      </c>
      <c r="G481" s="12">
        <f ca="1">IFERROR(__xludf.DUMMYFUNCTION("""COMPUTED_VALUE"""),442059)</f>
        <v>442059</v>
      </c>
      <c r="H481" s="12">
        <f ca="1">IFERROR(__xludf.DUMMYFUNCTION("""COMPUTED_VALUE"""),21167)</f>
        <v>21167</v>
      </c>
      <c r="I481" s="12">
        <f ca="1">IFERROR(__xludf.DUMMYFUNCTION("""COMPUTED_VALUE"""),11024)</f>
        <v>11024</v>
      </c>
      <c r="J481" s="12">
        <f ca="1">IFERROR(__xludf.DUMMYFUNCTION("""COMPUTED_VALUE"""),482264)</f>
        <v>482264</v>
      </c>
      <c r="K481" s="12">
        <f ca="1">IFERROR(__xludf.DUMMYFUNCTION("""COMPUTED_VALUE"""),32191)</f>
        <v>32191</v>
      </c>
      <c r="L481" s="12">
        <f ca="1">IFERROR(__xludf.DUMMYFUNCTION("""COMPUTED_VALUE"""),13668)</f>
        <v>13668</v>
      </c>
      <c r="M481" s="12">
        <f ca="1">IFERROR(__xludf.DUMMYFUNCTION("""COMPUTED_VALUE"""),4958)</f>
        <v>4958</v>
      </c>
      <c r="N481" s="12">
        <f ca="1">IFERROR(__xludf.DUMMYFUNCTION("""COMPUTED_VALUE"""),8375)</f>
        <v>8375</v>
      </c>
      <c r="O481" s="12">
        <f ca="1">IFERROR(__xludf.DUMMYFUNCTION("""COMPUTED_VALUE"""),335)</f>
        <v>335</v>
      </c>
      <c r="P481" s="12">
        <f ca="1">IFERROR(__xludf.DUMMYFUNCTION("""COMPUTED_VALUE"""),38)</f>
        <v>38</v>
      </c>
      <c r="Q481" s="12">
        <f ca="1">IFERROR(__xludf.DUMMYFUNCTION("""COMPUTED_VALUE"""),3052)</f>
        <v>3052</v>
      </c>
      <c r="R481" s="12">
        <f ca="1">IFERROR(__xludf.DUMMYFUNCTION("""COMPUTED_VALUE"""),450)</f>
        <v>450</v>
      </c>
      <c r="S481" s="12">
        <f ca="1">IFERROR(__xludf.DUMMYFUNCTION("""COMPUTED_VALUE"""),-319)</f>
        <v>-319</v>
      </c>
      <c r="T481" s="12">
        <f ca="1">IFERROR(__xludf.DUMMYFUNCTION("""COMPUTED_VALUE"""),3221)</f>
        <v>3221</v>
      </c>
      <c r="U481" s="12">
        <f ca="1">IFERROR(__xludf.DUMMYFUNCTION("""COMPUTED_VALUE"""),131)</f>
        <v>131</v>
      </c>
    </row>
    <row r="482" spans="1:21" x14ac:dyDescent="0.25">
      <c r="A482" s="11">
        <f ca="1">IFERROR(__xludf.DUMMYFUNCTION("""COMPUTED_VALUE"""),44370)</f>
        <v>44370</v>
      </c>
      <c r="B482" s="12">
        <f ca="1">IFERROR(__xludf.DUMMYFUNCTION("""COMPUTED_VALUE"""),2033421)</f>
        <v>2033421</v>
      </c>
      <c r="C482" s="12">
        <f ca="1">IFERROR(__xludf.DUMMYFUNCTION("""COMPUTED_VALUE"""),160524)</f>
        <v>160524</v>
      </c>
      <c r="D482" s="12">
        <f ca="1">IFERROR(__xludf.DUMMYFUNCTION("""COMPUTED_VALUE"""),1817303)</f>
        <v>1817303</v>
      </c>
      <c r="E482" s="12">
        <f ca="1">IFERROR(__xludf.DUMMYFUNCTION("""COMPUTED_VALUE"""),55594)</f>
        <v>55594</v>
      </c>
      <c r="F482" s="12">
        <f ca="1">IFERROR(__xludf.DUMMYFUNCTION("""COMPUTED_VALUE"""),8057)</f>
        <v>8057</v>
      </c>
      <c r="G482" s="12">
        <f ca="1">IFERROR(__xludf.DUMMYFUNCTION("""COMPUTED_VALUE"""),443195)</f>
        <v>443195</v>
      </c>
      <c r="H482" s="12">
        <f ca="1">IFERROR(__xludf.DUMMYFUNCTION("""COMPUTED_VALUE"""),22868)</f>
        <v>22868</v>
      </c>
      <c r="I482" s="12">
        <f ca="1">IFERROR(__xludf.DUMMYFUNCTION("""COMPUTED_VALUE"""),12837)</f>
        <v>12837</v>
      </c>
      <c r="J482" s="12">
        <f ca="1">IFERROR(__xludf.DUMMYFUNCTION("""COMPUTED_VALUE"""),486957)</f>
        <v>486957</v>
      </c>
      <c r="K482" s="12">
        <f ca="1">IFERROR(__xludf.DUMMYFUNCTION("""COMPUTED_VALUE"""),35705)</f>
        <v>35705</v>
      </c>
      <c r="L482" s="12">
        <f ca="1">IFERROR(__xludf.DUMMYFUNCTION("""COMPUTED_VALUE"""),15308)</f>
        <v>15308</v>
      </c>
      <c r="M482" s="12">
        <f ca="1">IFERROR(__xludf.DUMMYFUNCTION("""COMPUTED_VALUE"""),7838)</f>
        <v>7838</v>
      </c>
      <c r="N482" s="12">
        <f ca="1">IFERROR(__xludf.DUMMYFUNCTION("""COMPUTED_VALUE"""),7167)</f>
        <v>7167</v>
      </c>
      <c r="O482" s="12">
        <f ca="1">IFERROR(__xludf.DUMMYFUNCTION("""COMPUTED_VALUE"""),303)</f>
        <v>303</v>
      </c>
      <c r="P482" s="12">
        <f ca="1">IFERROR(__xludf.DUMMYFUNCTION("""COMPUTED_VALUE"""),43)</f>
        <v>43</v>
      </c>
      <c r="Q482" s="12">
        <f ca="1">IFERROR(__xludf.DUMMYFUNCTION("""COMPUTED_VALUE"""),1136)</f>
        <v>1136</v>
      </c>
      <c r="R482" s="12">
        <f ca="1">IFERROR(__xludf.DUMMYFUNCTION("""COMPUTED_VALUE"""),1701)</f>
        <v>1701</v>
      </c>
      <c r="S482" s="12">
        <f ca="1">IFERROR(__xludf.DUMMYFUNCTION("""COMPUTED_VALUE"""),1813)</f>
        <v>1813</v>
      </c>
      <c r="T482" s="12">
        <f ca="1">IFERROR(__xludf.DUMMYFUNCTION("""COMPUTED_VALUE"""),4693)</f>
        <v>4693</v>
      </c>
      <c r="U482" s="12">
        <f ca="1">IFERROR(__xludf.DUMMYFUNCTION("""COMPUTED_VALUE"""),3514)</f>
        <v>3514</v>
      </c>
    </row>
    <row r="483" spans="1:21" x14ac:dyDescent="0.25">
      <c r="A483" s="11">
        <f ca="1">IFERROR(__xludf.DUMMYFUNCTION("""COMPUTED_VALUE"""),44371)</f>
        <v>44371</v>
      </c>
      <c r="B483" s="12">
        <f ca="1">IFERROR(__xludf.DUMMYFUNCTION("""COMPUTED_VALUE"""),2053995)</f>
        <v>2053995</v>
      </c>
      <c r="C483" s="12">
        <f ca="1">IFERROR(__xludf.DUMMYFUNCTION("""COMPUTED_VALUE"""),171542)</f>
        <v>171542</v>
      </c>
      <c r="D483" s="12">
        <f ca="1">IFERROR(__xludf.DUMMYFUNCTION("""COMPUTED_VALUE"""),1826504)</f>
        <v>1826504</v>
      </c>
      <c r="E483" s="12">
        <f ca="1">IFERROR(__xludf.DUMMYFUNCTION("""COMPUTED_VALUE"""),55949)</f>
        <v>55949</v>
      </c>
      <c r="F483" s="12">
        <f ca="1">IFERROR(__xludf.DUMMYFUNCTION("""COMPUTED_VALUE"""),8107)</f>
        <v>8107</v>
      </c>
      <c r="G483" s="12">
        <f ca="1">IFERROR(__xludf.DUMMYFUNCTION("""COMPUTED_VALUE"""),445718)</f>
        <v>445718</v>
      </c>
      <c r="H483" s="12">
        <f ca="1">IFERROR(__xludf.DUMMYFUNCTION("""COMPUTED_VALUE"""),26403)</f>
        <v>26403</v>
      </c>
      <c r="I483" s="12">
        <f ca="1">IFERROR(__xludf.DUMMYFUNCTION("""COMPUTED_VALUE"""),14234)</f>
        <v>14234</v>
      </c>
      <c r="J483" s="12">
        <f ca="1">IFERROR(__xludf.DUMMYFUNCTION("""COMPUTED_VALUE"""),494462)</f>
        <v>494462</v>
      </c>
      <c r="K483" s="12">
        <f ca="1">IFERROR(__xludf.DUMMYFUNCTION("""COMPUTED_VALUE"""),40637)</f>
        <v>40637</v>
      </c>
      <c r="L483" s="12">
        <f ca="1">IFERROR(__xludf.DUMMYFUNCTION("""COMPUTED_VALUE"""),20574)</f>
        <v>20574</v>
      </c>
      <c r="M483" s="12">
        <f ca="1">IFERROR(__xludf.DUMMYFUNCTION("""COMPUTED_VALUE"""),11018)</f>
        <v>11018</v>
      </c>
      <c r="N483" s="12">
        <f ca="1">IFERROR(__xludf.DUMMYFUNCTION("""COMPUTED_VALUE"""),9201)</f>
        <v>9201</v>
      </c>
      <c r="O483" s="12">
        <f ca="1">IFERROR(__xludf.DUMMYFUNCTION("""COMPUTED_VALUE"""),355)</f>
        <v>355</v>
      </c>
      <c r="P483" s="12">
        <f ca="1">IFERROR(__xludf.DUMMYFUNCTION("""COMPUTED_VALUE"""),50)</f>
        <v>50</v>
      </c>
      <c r="Q483" s="12">
        <f ca="1">IFERROR(__xludf.DUMMYFUNCTION("""COMPUTED_VALUE"""),2523)</f>
        <v>2523</v>
      </c>
      <c r="R483" s="12">
        <f ca="1">IFERROR(__xludf.DUMMYFUNCTION("""COMPUTED_VALUE"""),3535)</f>
        <v>3535</v>
      </c>
      <c r="S483" s="12">
        <f ca="1">IFERROR(__xludf.DUMMYFUNCTION("""COMPUTED_VALUE"""),1397)</f>
        <v>1397</v>
      </c>
      <c r="T483" s="12">
        <f ca="1">IFERROR(__xludf.DUMMYFUNCTION("""COMPUTED_VALUE"""),7505)</f>
        <v>7505</v>
      </c>
      <c r="U483" s="12">
        <f ca="1">IFERROR(__xludf.DUMMYFUNCTION("""COMPUTED_VALUE"""),4932)</f>
        <v>4932</v>
      </c>
    </row>
    <row r="484" spans="1:21" x14ac:dyDescent="0.25">
      <c r="A484" s="11">
        <f ca="1">IFERROR(__xludf.DUMMYFUNCTION("""COMPUTED_VALUE"""),44372)</f>
        <v>44372</v>
      </c>
      <c r="B484" s="12">
        <f ca="1">IFERROR(__xludf.DUMMYFUNCTION("""COMPUTED_VALUE"""),2072867)</f>
        <v>2072867</v>
      </c>
      <c r="C484" s="12">
        <f ca="1">IFERROR(__xludf.DUMMYFUNCTION("""COMPUTED_VALUE"""),181435)</f>
        <v>181435</v>
      </c>
      <c r="D484" s="12">
        <f ca="1">IFERROR(__xludf.DUMMYFUNCTION("""COMPUTED_VALUE"""),1835061)</f>
        <v>1835061</v>
      </c>
      <c r="E484" s="12">
        <f ca="1">IFERROR(__xludf.DUMMYFUNCTION("""COMPUTED_VALUE"""),56371)</f>
        <v>56371</v>
      </c>
      <c r="F484" s="12">
        <f ca="1">IFERROR(__xludf.DUMMYFUNCTION("""COMPUTED_VALUE"""),8177)</f>
        <v>8177</v>
      </c>
      <c r="G484" s="12">
        <f ca="1">IFERROR(__xludf.DUMMYFUNCTION("""COMPUTED_VALUE"""),448288)</f>
        <v>448288</v>
      </c>
      <c r="H484" s="12">
        <f ca="1">IFERROR(__xludf.DUMMYFUNCTION("""COMPUTED_VALUE"""),29325)</f>
        <v>29325</v>
      </c>
      <c r="I484" s="12">
        <f ca="1">IFERROR(__xludf.DUMMYFUNCTION("""COMPUTED_VALUE"""),15606)</f>
        <v>15606</v>
      </c>
      <c r="J484" s="12">
        <f ca="1">IFERROR(__xludf.DUMMYFUNCTION("""COMPUTED_VALUE"""),501396)</f>
        <v>501396</v>
      </c>
      <c r="K484" s="12">
        <f ca="1">IFERROR(__xludf.DUMMYFUNCTION("""COMPUTED_VALUE"""),44931)</f>
        <v>44931</v>
      </c>
      <c r="L484" s="12">
        <f ca="1">IFERROR(__xludf.DUMMYFUNCTION("""COMPUTED_VALUE"""),18872)</f>
        <v>18872</v>
      </c>
      <c r="M484" s="12">
        <f ca="1">IFERROR(__xludf.DUMMYFUNCTION("""COMPUTED_VALUE"""),9893)</f>
        <v>9893</v>
      </c>
      <c r="N484" s="12">
        <f ca="1">IFERROR(__xludf.DUMMYFUNCTION("""COMPUTED_VALUE"""),8557)</f>
        <v>8557</v>
      </c>
      <c r="O484" s="12">
        <f ca="1">IFERROR(__xludf.DUMMYFUNCTION("""COMPUTED_VALUE"""),422)</f>
        <v>422</v>
      </c>
      <c r="P484" s="12">
        <f ca="1">IFERROR(__xludf.DUMMYFUNCTION("""COMPUTED_VALUE"""),70)</f>
        <v>70</v>
      </c>
      <c r="Q484" s="12">
        <f ca="1">IFERROR(__xludf.DUMMYFUNCTION("""COMPUTED_VALUE"""),2570)</f>
        <v>2570</v>
      </c>
      <c r="R484" s="12">
        <f ca="1">IFERROR(__xludf.DUMMYFUNCTION("""COMPUTED_VALUE"""),2922)</f>
        <v>2922</v>
      </c>
      <c r="S484" s="12">
        <f ca="1">IFERROR(__xludf.DUMMYFUNCTION("""COMPUTED_VALUE"""),1372)</f>
        <v>1372</v>
      </c>
      <c r="T484" s="12">
        <f ca="1">IFERROR(__xludf.DUMMYFUNCTION("""COMPUTED_VALUE"""),6934)</f>
        <v>6934</v>
      </c>
      <c r="U484" s="12">
        <f ca="1">IFERROR(__xludf.DUMMYFUNCTION("""COMPUTED_VALUE"""),4294)</f>
        <v>4294</v>
      </c>
    </row>
    <row r="485" spans="1:21" x14ac:dyDescent="0.25">
      <c r="A485" s="11">
        <f ca="1">IFERROR(__xludf.DUMMYFUNCTION("""COMPUTED_VALUE"""),44373)</f>
        <v>44373</v>
      </c>
      <c r="B485" s="12">
        <f ca="1">IFERROR(__xludf.DUMMYFUNCTION("""COMPUTED_VALUE"""),2093962)</f>
        <v>2093962</v>
      </c>
      <c r="C485" s="12">
        <f ca="1">IFERROR(__xludf.DUMMYFUNCTION("""COMPUTED_VALUE"""),194776)</f>
        <v>194776</v>
      </c>
      <c r="D485" s="12">
        <f ca="1">IFERROR(__xludf.DUMMYFUNCTION("""COMPUTED_VALUE"""),1842457)</f>
        <v>1842457</v>
      </c>
      <c r="E485" s="12">
        <f ca="1">IFERROR(__xludf.DUMMYFUNCTION("""COMPUTED_VALUE"""),56729)</f>
        <v>56729</v>
      </c>
      <c r="F485" s="12">
        <f ca="1">IFERROR(__xludf.DUMMYFUNCTION("""COMPUTED_VALUE"""),8220)</f>
        <v>8220</v>
      </c>
      <c r="G485" s="12">
        <f ca="1">IFERROR(__xludf.DUMMYFUNCTION("""COMPUTED_VALUE"""),451013)</f>
        <v>451013</v>
      </c>
      <c r="H485" s="12">
        <f ca="1">IFERROR(__xludf.DUMMYFUNCTION("""COMPUTED_VALUE"""),33829)</f>
        <v>33829</v>
      </c>
      <c r="I485" s="12">
        <f ca="1">IFERROR(__xludf.DUMMYFUNCTION("""COMPUTED_VALUE"""),17605)</f>
        <v>17605</v>
      </c>
      <c r="J485" s="12">
        <f ca="1">IFERROR(__xludf.DUMMYFUNCTION("""COMPUTED_VALUE"""),510667)</f>
        <v>510667</v>
      </c>
      <c r="K485" s="12">
        <f ca="1">IFERROR(__xludf.DUMMYFUNCTION("""COMPUTED_VALUE"""),51434)</f>
        <v>51434</v>
      </c>
      <c r="L485" s="12">
        <f ca="1">IFERROR(__xludf.DUMMYFUNCTION("""COMPUTED_VALUE"""),21095)</f>
        <v>21095</v>
      </c>
      <c r="M485" s="12">
        <f ca="1">IFERROR(__xludf.DUMMYFUNCTION("""COMPUTED_VALUE"""),13341)</f>
        <v>13341</v>
      </c>
      <c r="N485" s="12">
        <f ca="1">IFERROR(__xludf.DUMMYFUNCTION("""COMPUTED_VALUE"""),7396)</f>
        <v>7396</v>
      </c>
      <c r="O485" s="12">
        <f ca="1">IFERROR(__xludf.DUMMYFUNCTION("""COMPUTED_VALUE"""),358)</f>
        <v>358</v>
      </c>
      <c r="P485" s="12">
        <f ca="1">IFERROR(__xludf.DUMMYFUNCTION("""COMPUTED_VALUE"""),43)</f>
        <v>43</v>
      </c>
      <c r="Q485" s="12">
        <f ca="1">IFERROR(__xludf.DUMMYFUNCTION("""COMPUTED_VALUE"""),2725)</f>
        <v>2725</v>
      </c>
      <c r="R485" s="12">
        <f ca="1">IFERROR(__xludf.DUMMYFUNCTION("""COMPUTED_VALUE"""),4504)</f>
        <v>4504</v>
      </c>
      <c r="S485" s="12">
        <f ca="1">IFERROR(__xludf.DUMMYFUNCTION("""COMPUTED_VALUE"""),1999)</f>
        <v>1999</v>
      </c>
      <c r="T485" s="12">
        <f ca="1">IFERROR(__xludf.DUMMYFUNCTION("""COMPUTED_VALUE"""),9271)</f>
        <v>9271</v>
      </c>
      <c r="U485" s="12">
        <f ca="1">IFERROR(__xludf.DUMMYFUNCTION("""COMPUTED_VALUE"""),6503)</f>
        <v>6503</v>
      </c>
    </row>
    <row r="486" spans="1:21" x14ac:dyDescent="0.25">
      <c r="A486" s="11">
        <f ca="1">IFERROR(__xludf.DUMMYFUNCTION("""COMPUTED_VALUE"""),44374)</f>
        <v>44374</v>
      </c>
      <c r="B486" s="12">
        <f ca="1">IFERROR(__xludf.DUMMYFUNCTION("""COMPUTED_VALUE"""),2115304)</f>
        <v>2115304</v>
      </c>
      <c r="C486" s="12">
        <f ca="1">IFERROR(__xludf.DUMMYFUNCTION("""COMPUTED_VALUE"""),207685)</f>
        <v>207685</v>
      </c>
      <c r="D486" s="12">
        <f ca="1">IFERROR(__xludf.DUMMYFUNCTION("""COMPUTED_VALUE"""),1850481)</f>
        <v>1850481</v>
      </c>
      <c r="E486" s="12">
        <f ca="1">IFERROR(__xludf.DUMMYFUNCTION("""COMPUTED_VALUE"""),57138)</f>
        <v>57138</v>
      </c>
      <c r="F486" s="12">
        <f ca="1">IFERROR(__xludf.DUMMYFUNCTION("""COMPUTED_VALUE"""),8269)</f>
        <v>8269</v>
      </c>
      <c r="G486" s="12">
        <f ca="1">IFERROR(__xludf.DUMMYFUNCTION("""COMPUTED_VALUE"""),454497)</f>
        <v>454497</v>
      </c>
      <c r="H486" s="12">
        <f ca="1">IFERROR(__xludf.DUMMYFUNCTION("""COMPUTED_VALUE"""),38464)</f>
        <v>38464</v>
      </c>
      <c r="I486" s="12">
        <f ca="1">IFERROR(__xludf.DUMMYFUNCTION("""COMPUTED_VALUE"""),18831)</f>
        <v>18831</v>
      </c>
      <c r="J486" s="12">
        <f ca="1">IFERROR(__xludf.DUMMYFUNCTION("""COMPUTED_VALUE"""),520061)</f>
        <v>520061</v>
      </c>
      <c r="K486" s="12">
        <f ca="1">IFERROR(__xludf.DUMMYFUNCTION("""COMPUTED_VALUE"""),57295)</f>
        <v>57295</v>
      </c>
      <c r="L486" s="12">
        <f ca="1">IFERROR(__xludf.DUMMYFUNCTION("""COMPUTED_VALUE"""),21342)</f>
        <v>21342</v>
      </c>
      <c r="M486" s="12">
        <f ca="1">IFERROR(__xludf.DUMMYFUNCTION("""COMPUTED_VALUE"""),12909)</f>
        <v>12909</v>
      </c>
      <c r="N486" s="12">
        <f ca="1">IFERROR(__xludf.DUMMYFUNCTION("""COMPUTED_VALUE"""),8024)</f>
        <v>8024</v>
      </c>
      <c r="O486" s="12">
        <f ca="1">IFERROR(__xludf.DUMMYFUNCTION("""COMPUTED_VALUE"""),409)</f>
        <v>409</v>
      </c>
      <c r="P486" s="12">
        <f ca="1">IFERROR(__xludf.DUMMYFUNCTION("""COMPUTED_VALUE"""),49)</f>
        <v>49</v>
      </c>
      <c r="Q486" s="12">
        <f ca="1">IFERROR(__xludf.DUMMYFUNCTION("""COMPUTED_VALUE"""),3484)</f>
        <v>3484</v>
      </c>
      <c r="R486" s="12">
        <f ca="1">IFERROR(__xludf.DUMMYFUNCTION("""COMPUTED_VALUE"""),4635)</f>
        <v>4635</v>
      </c>
      <c r="S486" s="12">
        <f ca="1">IFERROR(__xludf.DUMMYFUNCTION("""COMPUTED_VALUE"""),1226)</f>
        <v>1226</v>
      </c>
      <c r="T486" s="12">
        <f ca="1">IFERROR(__xludf.DUMMYFUNCTION("""COMPUTED_VALUE"""),9394)</f>
        <v>9394</v>
      </c>
      <c r="U486" s="12">
        <f ca="1">IFERROR(__xludf.DUMMYFUNCTION("""COMPUTED_VALUE"""),5861)</f>
        <v>5861</v>
      </c>
    </row>
    <row r="487" spans="1:21" x14ac:dyDescent="0.25">
      <c r="A487" s="11">
        <f ca="1">IFERROR(__xludf.DUMMYFUNCTION("""COMPUTED_VALUE"""),44375)</f>
        <v>44375</v>
      </c>
      <c r="B487" s="12">
        <f ca="1">IFERROR(__xludf.DUMMYFUNCTION("""COMPUTED_VALUE"""),2135998)</f>
        <v>2135998</v>
      </c>
      <c r="C487" s="12">
        <f ca="1">IFERROR(__xludf.DUMMYFUNCTION("""COMPUTED_VALUE"""),218476)</f>
        <v>218476</v>
      </c>
      <c r="D487" s="12">
        <f ca="1">IFERROR(__xludf.DUMMYFUNCTION("""COMPUTED_VALUE"""),1859961)</f>
        <v>1859961</v>
      </c>
      <c r="E487" s="12">
        <f ca="1">IFERROR(__xludf.DUMMYFUNCTION("""COMPUTED_VALUE"""),57561)</f>
        <v>57561</v>
      </c>
      <c r="F487" s="12">
        <f ca="1">IFERROR(__xludf.DUMMYFUNCTION("""COMPUTED_VALUE"""),8348)</f>
        <v>8348</v>
      </c>
      <c r="G487" s="12">
        <f ca="1">IFERROR(__xludf.DUMMYFUNCTION("""COMPUTED_VALUE"""),457935)</f>
        <v>457935</v>
      </c>
      <c r="H487" s="12">
        <f ca="1">IFERROR(__xludf.DUMMYFUNCTION("""COMPUTED_VALUE"""),42252)</f>
        <v>42252</v>
      </c>
      <c r="I487" s="12">
        <f ca="1">IFERROR(__xludf.DUMMYFUNCTION("""COMPUTED_VALUE"""),19874)</f>
        <v>19874</v>
      </c>
      <c r="J487" s="12">
        <f ca="1">IFERROR(__xludf.DUMMYFUNCTION("""COMPUTED_VALUE"""),528409)</f>
        <v>528409</v>
      </c>
      <c r="K487" s="12">
        <f ca="1">IFERROR(__xludf.DUMMYFUNCTION("""COMPUTED_VALUE"""),62126)</f>
        <v>62126</v>
      </c>
      <c r="L487" s="12">
        <f ca="1">IFERROR(__xludf.DUMMYFUNCTION("""COMPUTED_VALUE"""),20694)</f>
        <v>20694</v>
      </c>
      <c r="M487" s="12">
        <f ca="1">IFERROR(__xludf.DUMMYFUNCTION("""COMPUTED_VALUE"""),10791)</f>
        <v>10791</v>
      </c>
      <c r="N487" s="12">
        <f ca="1">IFERROR(__xludf.DUMMYFUNCTION("""COMPUTED_VALUE"""),9480)</f>
        <v>9480</v>
      </c>
      <c r="O487" s="12">
        <f ca="1">IFERROR(__xludf.DUMMYFUNCTION("""COMPUTED_VALUE"""),423)</f>
        <v>423</v>
      </c>
      <c r="P487" s="12">
        <f ca="1">IFERROR(__xludf.DUMMYFUNCTION("""COMPUTED_VALUE"""),79)</f>
        <v>79</v>
      </c>
      <c r="Q487" s="12">
        <f ca="1">IFERROR(__xludf.DUMMYFUNCTION("""COMPUTED_VALUE"""),3438)</f>
        <v>3438</v>
      </c>
      <c r="R487" s="12">
        <f ca="1">IFERROR(__xludf.DUMMYFUNCTION("""COMPUTED_VALUE"""),3788)</f>
        <v>3788</v>
      </c>
      <c r="S487" s="12">
        <f ca="1">IFERROR(__xludf.DUMMYFUNCTION("""COMPUTED_VALUE"""),1043)</f>
        <v>1043</v>
      </c>
      <c r="T487" s="12">
        <f ca="1">IFERROR(__xludf.DUMMYFUNCTION("""COMPUTED_VALUE"""),8348)</f>
        <v>8348</v>
      </c>
      <c r="U487" s="12">
        <f ca="1">IFERROR(__xludf.DUMMYFUNCTION("""COMPUTED_VALUE"""),4831)</f>
        <v>4831</v>
      </c>
    </row>
    <row r="488" spans="1:21" x14ac:dyDescent="0.25">
      <c r="A488" s="11">
        <f ca="1">IFERROR(__xludf.DUMMYFUNCTION("""COMPUTED_VALUE"""),44376)</f>
        <v>44376</v>
      </c>
      <c r="B488" s="12">
        <f ca="1">IFERROR(__xludf.DUMMYFUNCTION("""COMPUTED_VALUE"""),2156465)</f>
        <v>2156465</v>
      </c>
      <c r="C488" s="12">
        <f ca="1">IFERROR(__xludf.DUMMYFUNCTION("""COMPUTED_VALUE"""),228835)</f>
        <v>228835</v>
      </c>
      <c r="D488" s="12">
        <f ca="1">IFERROR(__xludf.DUMMYFUNCTION("""COMPUTED_VALUE"""),1869606)</f>
        <v>1869606</v>
      </c>
      <c r="E488" s="12">
        <f ca="1">IFERROR(__xludf.DUMMYFUNCTION("""COMPUTED_VALUE"""),58024)</f>
        <v>58024</v>
      </c>
      <c r="F488" s="12">
        <f ca="1">IFERROR(__xludf.DUMMYFUNCTION("""COMPUTED_VALUE"""),8426)</f>
        <v>8426</v>
      </c>
      <c r="G488" s="12">
        <f ca="1">IFERROR(__xludf.DUMMYFUNCTION("""COMPUTED_VALUE"""),461439)</f>
        <v>461439</v>
      </c>
      <c r="H488" s="12">
        <f ca="1">IFERROR(__xludf.DUMMYFUNCTION("""COMPUTED_VALUE"""),45504)</f>
        <v>45504</v>
      </c>
      <c r="I488" s="12">
        <f ca="1">IFERROR(__xludf.DUMMYFUNCTION("""COMPUTED_VALUE"""),20419)</f>
        <v>20419</v>
      </c>
      <c r="J488" s="12">
        <f ca="1">IFERROR(__xludf.DUMMYFUNCTION("""COMPUTED_VALUE"""),535788)</f>
        <v>535788</v>
      </c>
      <c r="K488" s="12">
        <f ca="1">IFERROR(__xludf.DUMMYFUNCTION("""COMPUTED_VALUE"""),65923)</f>
        <v>65923</v>
      </c>
      <c r="L488" s="12">
        <f ca="1">IFERROR(__xludf.DUMMYFUNCTION("""COMPUTED_VALUE"""),20467)</f>
        <v>20467</v>
      </c>
      <c r="M488" s="12">
        <f ca="1">IFERROR(__xludf.DUMMYFUNCTION("""COMPUTED_VALUE"""),10359)</f>
        <v>10359</v>
      </c>
      <c r="N488" s="12">
        <f ca="1">IFERROR(__xludf.DUMMYFUNCTION("""COMPUTED_VALUE"""),9645)</f>
        <v>9645</v>
      </c>
      <c r="O488" s="12">
        <f ca="1">IFERROR(__xludf.DUMMYFUNCTION("""COMPUTED_VALUE"""),463)</f>
        <v>463</v>
      </c>
      <c r="P488" s="12">
        <f ca="1">IFERROR(__xludf.DUMMYFUNCTION("""COMPUTED_VALUE"""),78)</f>
        <v>78</v>
      </c>
      <c r="Q488" s="12">
        <f ca="1">IFERROR(__xludf.DUMMYFUNCTION("""COMPUTED_VALUE"""),3504)</f>
        <v>3504</v>
      </c>
      <c r="R488" s="12">
        <f ca="1">IFERROR(__xludf.DUMMYFUNCTION("""COMPUTED_VALUE"""),3252)</f>
        <v>3252</v>
      </c>
      <c r="S488" s="12">
        <f ca="1">IFERROR(__xludf.DUMMYFUNCTION("""COMPUTED_VALUE"""),545)</f>
        <v>545</v>
      </c>
      <c r="T488" s="12">
        <f ca="1">IFERROR(__xludf.DUMMYFUNCTION("""COMPUTED_VALUE"""),7379)</f>
        <v>7379</v>
      </c>
      <c r="U488" s="12">
        <f ca="1">IFERROR(__xludf.DUMMYFUNCTION("""COMPUTED_VALUE"""),3797)</f>
        <v>3797</v>
      </c>
    </row>
    <row r="489" spans="1:21" x14ac:dyDescent="0.25">
      <c r="A489" s="11">
        <f ca="1">IFERROR(__xludf.DUMMYFUNCTION("""COMPUTED_VALUE"""),44377)</f>
        <v>44377</v>
      </c>
      <c r="B489" s="12">
        <f ca="1">IFERROR(__xludf.DUMMYFUNCTION("""COMPUTED_VALUE"""),2178272)</f>
        <v>2178272</v>
      </c>
      <c r="C489" s="12">
        <f ca="1">IFERROR(__xludf.DUMMYFUNCTION("""COMPUTED_VALUE"""),239368)</f>
        <v>239368</v>
      </c>
      <c r="D489" s="12">
        <f ca="1">IFERROR(__xludf.DUMMYFUNCTION("""COMPUTED_VALUE"""),1880413)</f>
        <v>1880413</v>
      </c>
      <c r="E489" s="12">
        <f ca="1">IFERROR(__xludf.DUMMYFUNCTION("""COMPUTED_VALUE"""),58491)</f>
        <v>58491</v>
      </c>
      <c r="F489" s="12">
        <f ca="1">IFERROR(__xludf.DUMMYFUNCTION("""COMPUTED_VALUE"""),8486)</f>
        <v>8486</v>
      </c>
      <c r="G489" s="12">
        <f ca="1">IFERROR(__xludf.DUMMYFUNCTION("""COMPUTED_VALUE"""),464943)</f>
        <v>464943</v>
      </c>
      <c r="H489" s="12">
        <f ca="1">IFERROR(__xludf.DUMMYFUNCTION("""COMPUTED_VALUE"""),47829)</f>
        <v>47829</v>
      </c>
      <c r="I489" s="12">
        <f ca="1">IFERROR(__xludf.DUMMYFUNCTION("""COMPUTED_VALUE"""),22210)</f>
        <v>22210</v>
      </c>
      <c r="J489" s="12">
        <f ca="1">IFERROR(__xludf.DUMMYFUNCTION("""COMPUTED_VALUE"""),543468)</f>
        <v>543468</v>
      </c>
      <c r="K489" s="12">
        <f ca="1">IFERROR(__xludf.DUMMYFUNCTION("""COMPUTED_VALUE"""),70039)</f>
        <v>70039</v>
      </c>
      <c r="L489" s="12">
        <f ca="1">IFERROR(__xludf.DUMMYFUNCTION("""COMPUTED_VALUE"""),21807)</f>
        <v>21807</v>
      </c>
      <c r="M489" s="12">
        <f ca="1">IFERROR(__xludf.DUMMYFUNCTION("""COMPUTED_VALUE"""),10533)</f>
        <v>10533</v>
      </c>
      <c r="N489" s="12">
        <f ca="1">IFERROR(__xludf.DUMMYFUNCTION("""COMPUTED_VALUE"""),10807)</f>
        <v>10807</v>
      </c>
      <c r="O489" s="12">
        <f ca="1">IFERROR(__xludf.DUMMYFUNCTION("""COMPUTED_VALUE"""),467)</f>
        <v>467</v>
      </c>
      <c r="P489" s="12">
        <f ca="1">IFERROR(__xludf.DUMMYFUNCTION("""COMPUTED_VALUE"""),60)</f>
        <v>60</v>
      </c>
      <c r="Q489" s="12">
        <f ca="1">IFERROR(__xludf.DUMMYFUNCTION("""COMPUTED_VALUE"""),3504)</f>
        <v>3504</v>
      </c>
      <c r="R489" s="12">
        <f ca="1">IFERROR(__xludf.DUMMYFUNCTION("""COMPUTED_VALUE"""),2325)</f>
        <v>2325</v>
      </c>
      <c r="S489" s="12">
        <f ca="1">IFERROR(__xludf.DUMMYFUNCTION("""COMPUTED_VALUE"""),1791)</f>
        <v>1791</v>
      </c>
      <c r="T489" s="12">
        <f ca="1">IFERROR(__xludf.DUMMYFUNCTION("""COMPUTED_VALUE"""),7680)</f>
        <v>7680</v>
      </c>
      <c r="U489" s="12">
        <f ca="1">IFERROR(__xludf.DUMMYFUNCTION("""COMPUTED_VALUE"""),4116)</f>
        <v>4116</v>
      </c>
    </row>
    <row r="490" spans="1:21" x14ac:dyDescent="0.25">
      <c r="A490" s="11">
        <f ca="1">IFERROR(__xludf.DUMMYFUNCTION("""COMPUTED_VALUE"""),44378)</f>
        <v>44378</v>
      </c>
      <c r="B490" s="12">
        <f ca="1">IFERROR(__xludf.DUMMYFUNCTION("""COMPUTED_VALUE"""),2203108)</f>
        <v>2203108</v>
      </c>
      <c r="C490" s="12">
        <f ca="1">IFERROR(__xludf.DUMMYFUNCTION("""COMPUTED_VALUE"""),253826)</f>
        <v>253826</v>
      </c>
      <c r="D490" s="12">
        <f ca="1">IFERROR(__xludf.DUMMYFUNCTION("""COMPUTED_VALUE"""),1890287)</f>
        <v>1890287</v>
      </c>
      <c r="E490" s="12">
        <f ca="1">IFERROR(__xludf.DUMMYFUNCTION("""COMPUTED_VALUE"""),58995)</f>
        <v>58995</v>
      </c>
      <c r="F490" s="12">
        <f ca="1">IFERROR(__xludf.DUMMYFUNCTION("""COMPUTED_VALUE"""),8528)</f>
        <v>8528</v>
      </c>
      <c r="G490" s="12">
        <f ca="1">IFERROR(__xludf.DUMMYFUNCTION("""COMPUTED_VALUE"""),468461)</f>
        <v>468461</v>
      </c>
      <c r="H490" s="12">
        <f ca="1">IFERROR(__xludf.DUMMYFUNCTION("""COMPUTED_VALUE"""),49836)</f>
        <v>49836</v>
      </c>
      <c r="I490" s="12">
        <f ca="1">IFERROR(__xludf.DUMMYFUNCTION("""COMPUTED_VALUE"""),24184)</f>
        <v>24184</v>
      </c>
      <c r="J490" s="12">
        <f ca="1">IFERROR(__xludf.DUMMYFUNCTION("""COMPUTED_VALUE"""),551009)</f>
        <v>551009</v>
      </c>
      <c r="K490" s="12">
        <f ca="1">IFERROR(__xludf.DUMMYFUNCTION("""COMPUTED_VALUE"""),74020)</f>
        <v>74020</v>
      </c>
      <c r="L490" s="12">
        <f ca="1">IFERROR(__xludf.DUMMYFUNCTION("""COMPUTED_VALUE"""),24836)</f>
        <v>24836</v>
      </c>
      <c r="M490" s="12">
        <f ca="1">IFERROR(__xludf.DUMMYFUNCTION("""COMPUTED_VALUE"""),14458)</f>
        <v>14458</v>
      </c>
      <c r="N490" s="12">
        <f ca="1">IFERROR(__xludf.DUMMYFUNCTION("""COMPUTED_VALUE"""),9874)</f>
        <v>9874</v>
      </c>
      <c r="O490" s="12">
        <f ca="1">IFERROR(__xludf.DUMMYFUNCTION("""COMPUTED_VALUE"""),504)</f>
        <v>504</v>
      </c>
      <c r="P490" s="12">
        <f ca="1">IFERROR(__xludf.DUMMYFUNCTION("""COMPUTED_VALUE"""),42)</f>
        <v>42</v>
      </c>
      <c r="Q490" s="12">
        <f ca="1">IFERROR(__xludf.DUMMYFUNCTION("""COMPUTED_VALUE"""),3518)</f>
        <v>3518</v>
      </c>
      <c r="R490" s="12">
        <f ca="1">IFERROR(__xludf.DUMMYFUNCTION("""COMPUTED_VALUE"""),2007)</f>
        <v>2007</v>
      </c>
      <c r="S490" s="12">
        <f ca="1">IFERROR(__xludf.DUMMYFUNCTION("""COMPUTED_VALUE"""),1974)</f>
        <v>1974</v>
      </c>
      <c r="T490" s="12">
        <f ca="1">IFERROR(__xludf.DUMMYFUNCTION("""COMPUTED_VALUE"""),7541)</f>
        <v>7541</v>
      </c>
      <c r="U490" s="12">
        <f ca="1">IFERROR(__xludf.DUMMYFUNCTION("""COMPUTED_VALUE"""),3981)</f>
        <v>3981</v>
      </c>
    </row>
    <row r="491" spans="1:21" x14ac:dyDescent="0.25">
      <c r="A491" s="11">
        <f ca="1">IFERROR(__xludf.DUMMYFUNCTION("""COMPUTED_VALUE"""),44379)</f>
        <v>44379</v>
      </c>
      <c r="B491" s="12">
        <f ca="1">IFERROR(__xludf.DUMMYFUNCTION("""COMPUTED_VALUE"""),2228938)</f>
        <v>2228938</v>
      </c>
      <c r="C491" s="12">
        <f ca="1">IFERROR(__xludf.DUMMYFUNCTION("""COMPUTED_VALUE"""),267539)</f>
        <v>267539</v>
      </c>
      <c r="D491" s="12">
        <f ca="1">IFERROR(__xludf.DUMMYFUNCTION("""COMPUTED_VALUE"""),1901865)</f>
        <v>1901865</v>
      </c>
      <c r="E491" s="12">
        <f ca="1">IFERROR(__xludf.DUMMYFUNCTION("""COMPUTED_VALUE"""),59534)</f>
        <v>59534</v>
      </c>
      <c r="F491" s="12">
        <f ca="1">IFERROR(__xludf.DUMMYFUNCTION("""COMPUTED_VALUE"""),8547)</f>
        <v>8547</v>
      </c>
      <c r="G491" s="12">
        <f ca="1">IFERROR(__xludf.DUMMYFUNCTION("""COMPUTED_VALUE"""),473467)</f>
        <v>473467</v>
      </c>
      <c r="H491" s="12">
        <f ca="1">IFERROR(__xludf.DUMMYFUNCTION("""COMPUTED_VALUE"""),53014)</f>
        <v>53014</v>
      </c>
      <c r="I491" s="12">
        <f ca="1">IFERROR(__xludf.DUMMYFUNCTION("""COMPUTED_VALUE"""),25380)</f>
        <v>25380</v>
      </c>
      <c r="J491" s="12">
        <f ca="1">IFERROR(__xludf.DUMMYFUNCTION("""COMPUTED_VALUE"""),560408)</f>
        <v>560408</v>
      </c>
      <c r="K491" s="12">
        <f ca="1">IFERROR(__xludf.DUMMYFUNCTION("""COMPUTED_VALUE"""),78394)</f>
        <v>78394</v>
      </c>
      <c r="L491" s="12">
        <f ca="1">IFERROR(__xludf.DUMMYFUNCTION("""COMPUTED_VALUE"""),25830)</f>
        <v>25830</v>
      </c>
      <c r="M491" s="12">
        <f ca="1">IFERROR(__xludf.DUMMYFUNCTION("""COMPUTED_VALUE"""),13713)</f>
        <v>13713</v>
      </c>
      <c r="N491" s="12">
        <f ca="1">IFERROR(__xludf.DUMMYFUNCTION("""COMPUTED_VALUE"""),11578)</f>
        <v>11578</v>
      </c>
      <c r="O491" s="12">
        <f ca="1">IFERROR(__xludf.DUMMYFUNCTION("""COMPUTED_VALUE"""),539)</f>
        <v>539</v>
      </c>
      <c r="P491" s="12">
        <f ca="1">IFERROR(__xludf.DUMMYFUNCTION("""COMPUTED_VALUE"""),19)</f>
        <v>19</v>
      </c>
      <c r="Q491" s="12">
        <f ca="1">IFERROR(__xludf.DUMMYFUNCTION("""COMPUTED_VALUE"""),5006)</f>
        <v>5006</v>
      </c>
      <c r="R491" s="12">
        <f ca="1">IFERROR(__xludf.DUMMYFUNCTION("""COMPUTED_VALUE"""),3178)</f>
        <v>3178</v>
      </c>
      <c r="S491" s="12">
        <f ca="1">IFERROR(__xludf.DUMMYFUNCTION("""COMPUTED_VALUE"""),1196)</f>
        <v>1196</v>
      </c>
      <c r="T491" s="12">
        <f ca="1">IFERROR(__xludf.DUMMYFUNCTION("""COMPUTED_VALUE"""),9399)</f>
        <v>9399</v>
      </c>
      <c r="U491" s="12">
        <f ca="1">IFERROR(__xludf.DUMMYFUNCTION("""COMPUTED_VALUE"""),4374)</f>
        <v>4374</v>
      </c>
    </row>
    <row r="492" spans="1:21" x14ac:dyDescent="0.25">
      <c r="A492" s="11">
        <f ca="1">IFERROR(__xludf.DUMMYFUNCTION("""COMPUTED_VALUE"""),44380)</f>
        <v>44380</v>
      </c>
      <c r="B492" s="12">
        <f ca="1">IFERROR(__xludf.DUMMYFUNCTION("""COMPUTED_VALUE"""),2256851)</f>
        <v>2256851</v>
      </c>
      <c r="C492" s="12">
        <f ca="1">IFERROR(__xludf.DUMMYFUNCTION("""COMPUTED_VALUE"""),281677)</f>
        <v>281677</v>
      </c>
      <c r="D492" s="12">
        <f ca="1">IFERROR(__xludf.DUMMYFUNCTION("""COMPUTED_VALUE"""),1915147)</f>
        <v>1915147</v>
      </c>
      <c r="E492" s="12">
        <f ca="1">IFERROR(__xludf.DUMMYFUNCTION("""COMPUTED_VALUE"""),60027)</f>
        <v>60027</v>
      </c>
      <c r="F492" s="12">
        <f ca="1">IFERROR(__xludf.DUMMYFUNCTION("""COMPUTED_VALUE"""),8577)</f>
        <v>8577</v>
      </c>
      <c r="G492" s="12">
        <f ca="1">IFERROR(__xludf.DUMMYFUNCTION("""COMPUTED_VALUE"""),479150)</f>
        <v>479150</v>
      </c>
      <c r="H492" s="12">
        <f ca="1">IFERROR(__xludf.DUMMYFUNCTION("""COMPUTED_VALUE"""),54941)</f>
        <v>54941</v>
      </c>
      <c r="I492" s="12">
        <f ca="1">IFERROR(__xludf.DUMMYFUNCTION("""COMPUTED_VALUE"""),27442)</f>
        <v>27442</v>
      </c>
      <c r="J492" s="12">
        <f ca="1">IFERROR(__xludf.DUMMYFUNCTION("""COMPUTED_VALUE"""),570110)</f>
        <v>570110</v>
      </c>
      <c r="K492" s="12">
        <f ca="1">IFERROR(__xludf.DUMMYFUNCTION("""COMPUTED_VALUE"""),82383)</f>
        <v>82383</v>
      </c>
      <c r="L492" s="12">
        <f ca="1">IFERROR(__xludf.DUMMYFUNCTION("""COMPUTED_VALUE"""),27913)</f>
        <v>27913</v>
      </c>
      <c r="M492" s="12">
        <f ca="1">IFERROR(__xludf.DUMMYFUNCTION("""COMPUTED_VALUE"""),14138)</f>
        <v>14138</v>
      </c>
      <c r="N492" s="12">
        <f ca="1">IFERROR(__xludf.DUMMYFUNCTION("""COMPUTED_VALUE"""),13282)</f>
        <v>13282</v>
      </c>
      <c r="O492" s="12">
        <f ca="1">IFERROR(__xludf.DUMMYFUNCTION("""COMPUTED_VALUE"""),493)</f>
        <v>493</v>
      </c>
      <c r="P492" s="12">
        <f ca="1">IFERROR(__xludf.DUMMYFUNCTION("""COMPUTED_VALUE"""),30)</f>
        <v>30</v>
      </c>
      <c r="Q492" s="12">
        <f ca="1">IFERROR(__xludf.DUMMYFUNCTION("""COMPUTED_VALUE"""),5683)</f>
        <v>5683</v>
      </c>
      <c r="R492" s="12">
        <f ca="1">IFERROR(__xludf.DUMMYFUNCTION("""COMPUTED_VALUE"""),1927)</f>
        <v>1927</v>
      </c>
      <c r="S492" s="12">
        <f ca="1">IFERROR(__xludf.DUMMYFUNCTION("""COMPUTED_VALUE"""),2062)</f>
        <v>2062</v>
      </c>
      <c r="T492" s="12">
        <f ca="1">IFERROR(__xludf.DUMMYFUNCTION("""COMPUTED_VALUE"""),9702)</f>
        <v>9702</v>
      </c>
      <c r="U492" s="12">
        <f ca="1">IFERROR(__xludf.DUMMYFUNCTION("""COMPUTED_VALUE"""),3989)</f>
        <v>3989</v>
      </c>
    </row>
    <row r="493" spans="1:21" x14ac:dyDescent="0.25">
      <c r="A493" s="11">
        <f ca="1">IFERROR(__xludf.DUMMYFUNCTION("""COMPUTED_VALUE"""),44381)</f>
        <v>44381</v>
      </c>
      <c r="B493" s="12">
        <f ca="1">IFERROR(__xludf.DUMMYFUNCTION("""COMPUTED_VALUE"""),2284084)</f>
        <v>2284084</v>
      </c>
      <c r="C493" s="12">
        <f ca="1">IFERROR(__xludf.DUMMYFUNCTION("""COMPUTED_VALUE"""),295228)</f>
        <v>295228</v>
      </c>
      <c r="D493" s="12">
        <f ca="1">IFERROR(__xludf.DUMMYFUNCTION("""COMPUTED_VALUE"""),1928274)</f>
        <v>1928274</v>
      </c>
      <c r="E493" s="12">
        <f ca="1">IFERROR(__xludf.DUMMYFUNCTION("""COMPUTED_VALUE"""),60582)</f>
        <v>60582</v>
      </c>
      <c r="F493" s="12">
        <f ca="1">IFERROR(__xludf.DUMMYFUNCTION("""COMPUTED_VALUE"""),8652)</f>
        <v>8652</v>
      </c>
      <c r="G493" s="12">
        <f ca="1">IFERROR(__xludf.DUMMYFUNCTION("""COMPUTED_VALUE"""),484949)</f>
        <v>484949</v>
      </c>
      <c r="H493" s="12">
        <f ca="1">IFERROR(__xludf.DUMMYFUNCTION("""COMPUTED_VALUE"""),59307)</f>
        <v>59307</v>
      </c>
      <c r="I493" s="12">
        <f ca="1">IFERROR(__xludf.DUMMYFUNCTION("""COMPUTED_VALUE"""),27687)</f>
        <v>27687</v>
      </c>
      <c r="J493" s="12">
        <f ca="1">IFERROR(__xludf.DUMMYFUNCTION("""COMPUTED_VALUE"""),580595)</f>
        <v>580595</v>
      </c>
      <c r="K493" s="12">
        <f ca="1">IFERROR(__xludf.DUMMYFUNCTION("""COMPUTED_VALUE"""),86994)</f>
        <v>86994</v>
      </c>
      <c r="L493" s="12">
        <f ca="1">IFERROR(__xludf.DUMMYFUNCTION("""COMPUTED_VALUE"""),27233)</f>
        <v>27233</v>
      </c>
      <c r="M493" s="12">
        <f ca="1">IFERROR(__xludf.DUMMYFUNCTION("""COMPUTED_VALUE"""),13551)</f>
        <v>13551</v>
      </c>
      <c r="N493" s="12">
        <f ca="1">IFERROR(__xludf.DUMMYFUNCTION("""COMPUTED_VALUE"""),13127)</f>
        <v>13127</v>
      </c>
      <c r="O493" s="12">
        <f ca="1">IFERROR(__xludf.DUMMYFUNCTION("""COMPUTED_VALUE"""),555)</f>
        <v>555</v>
      </c>
      <c r="P493" s="12">
        <f ca="1">IFERROR(__xludf.DUMMYFUNCTION("""COMPUTED_VALUE"""),75)</f>
        <v>75</v>
      </c>
      <c r="Q493" s="12">
        <f ca="1">IFERROR(__xludf.DUMMYFUNCTION("""COMPUTED_VALUE"""),5799)</f>
        <v>5799</v>
      </c>
      <c r="R493" s="12">
        <f ca="1">IFERROR(__xludf.DUMMYFUNCTION("""COMPUTED_VALUE"""),4366)</f>
        <v>4366</v>
      </c>
      <c r="S493" s="12">
        <f ca="1">IFERROR(__xludf.DUMMYFUNCTION("""COMPUTED_VALUE"""),245)</f>
        <v>245</v>
      </c>
      <c r="T493" s="12">
        <f ca="1">IFERROR(__xludf.DUMMYFUNCTION("""COMPUTED_VALUE"""),10485)</f>
        <v>10485</v>
      </c>
      <c r="U493" s="12">
        <f ca="1">IFERROR(__xludf.DUMMYFUNCTION("""COMPUTED_VALUE"""),4611)</f>
        <v>4611</v>
      </c>
    </row>
    <row r="494" spans="1:21" x14ac:dyDescent="0.25">
      <c r="A494" s="11">
        <f ca="1">IFERROR(__xludf.DUMMYFUNCTION("""COMPUTED_VALUE"""),44382)</f>
        <v>44382</v>
      </c>
      <c r="B494" s="12">
        <f ca="1">IFERROR(__xludf.DUMMYFUNCTION("""COMPUTED_VALUE"""),2313829)</f>
        <v>2313829</v>
      </c>
      <c r="C494" s="12">
        <f ca="1">IFERROR(__xludf.DUMMYFUNCTION("""COMPUTED_VALUE"""),309999)</f>
        <v>309999</v>
      </c>
      <c r="D494" s="12">
        <f ca="1">IFERROR(__xludf.DUMMYFUNCTION("""COMPUTED_VALUE"""),1942690)</f>
        <v>1942690</v>
      </c>
      <c r="E494" s="12">
        <f ca="1">IFERROR(__xludf.DUMMYFUNCTION("""COMPUTED_VALUE"""),61140)</f>
        <v>61140</v>
      </c>
      <c r="F494" s="12">
        <f ca="1">IFERROR(__xludf.DUMMYFUNCTION("""COMPUTED_VALUE"""),8779)</f>
        <v>8779</v>
      </c>
      <c r="G494" s="12">
        <f ca="1">IFERROR(__xludf.DUMMYFUNCTION("""COMPUTED_VALUE"""),491556)</f>
        <v>491556</v>
      </c>
      <c r="H494" s="12">
        <f ca="1">IFERROR(__xludf.DUMMYFUNCTION("""COMPUTED_VALUE"""),62873)</f>
        <v>62873</v>
      </c>
      <c r="I494" s="12">
        <f ca="1">IFERROR(__xludf.DUMMYFUNCTION("""COMPUTED_VALUE"""),28290)</f>
        <v>28290</v>
      </c>
      <c r="J494" s="12">
        <f ca="1">IFERROR(__xludf.DUMMYFUNCTION("""COMPUTED_VALUE"""),591498)</f>
        <v>591498</v>
      </c>
      <c r="K494" s="12">
        <f ca="1">IFERROR(__xludf.DUMMYFUNCTION("""COMPUTED_VALUE"""),91163)</f>
        <v>91163</v>
      </c>
      <c r="L494" s="12">
        <f ca="1">IFERROR(__xludf.DUMMYFUNCTION("""COMPUTED_VALUE"""),29745)</f>
        <v>29745</v>
      </c>
      <c r="M494" s="12">
        <f ca="1">IFERROR(__xludf.DUMMYFUNCTION("""COMPUTED_VALUE"""),14771)</f>
        <v>14771</v>
      </c>
      <c r="N494" s="12">
        <f ca="1">IFERROR(__xludf.DUMMYFUNCTION("""COMPUTED_VALUE"""),14416)</f>
        <v>14416</v>
      </c>
      <c r="O494" s="12">
        <f ca="1">IFERROR(__xludf.DUMMYFUNCTION("""COMPUTED_VALUE"""),558)</f>
        <v>558</v>
      </c>
      <c r="P494" s="12">
        <f ca="1">IFERROR(__xludf.DUMMYFUNCTION("""COMPUTED_VALUE"""),127)</f>
        <v>127</v>
      </c>
      <c r="Q494" s="12">
        <f ca="1">IFERROR(__xludf.DUMMYFUNCTION("""COMPUTED_VALUE"""),6607)</f>
        <v>6607</v>
      </c>
      <c r="R494" s="12">
        <f ca="1">IFERROR(__xludf.DUMMYFUNCTION("""COMPUTED_VALUE"""),3566)</f>
        <v>3566</v>
      </c>
      <c r="S494" s="12">
        <f ca="1">IFERROR(__xludf.DUMMYFUNCTION("""COMPUTED_VALUE"""),603)</f>
        <v>603</v>
      </c>
      <c r="T494" s="12">
        <f ca="1">IFERROR(__xludf.DUMMYFUNCTION("""COMPUTED_VALUE"""),10903)</f>
        <v>10903</v>
      </c>
      <c r="U494" s="12">
        <f ca="1">IFERROR(__xludf.DUMMYFUNCTION("""COMPUTED_VALUE"""),4169)</f>
        <v>4169</v>
      </c>
    </row>
    <row r="495" spans="1:21" x14ac:dyDescent="0.25">
      <c r="A495" s="11">
        <f ca="1">IFERROR(__xludf.DUMMYFUNCTION("""COMPUTED_VALUE"""),44383)</f>
        <v>44383</v>
      </c>
      <c r="B495" s="12">
        <f ca="1">IFERROR(__xludf.DUMMYFUNCTION("""COMPUTED_VALUE"""),2345018)</f>
        <v>2345018</v>
      </c>
      <c r="C495" s="12">
        <f ca="1">IFERROR(__xludf.DUMMYFUNCTION("""COMPUTED_VALUE"""),324597)</f>
        <v>324597</v>
      </c>
      <c r="D495" s="12">
        <f ca="1">IFERROR(__xludf.DUMMYFUNCTION("""COMPUTED_VALUE"""),1958553)</f>
        <v>1958553</v>
      </c>
      <c r="E495" s="12">
        <f ca="1">IFERROR(__xludf.DUMMYFUNCTION("""COMPUTED_VALUE"""),61868)</f>
        <v>61868</v>
      </c>
      <c r="F495" s="12">
        <f ca="1">IFERROR(__xludf.DUMMYFUNCTION("""COMPUTED_VALUE"""),8861)</f>
        <v>8861</v>
      </c>
      <c r="G495" s="12">
        <f ca="1">IFERROR(__xludf.DUMMYFUNCTION("""COMPUTED_VALUE"""),497492)</f>
        <v>497492</v>
      </c>
      <c r="H495" s="12">
        <f ca="1">IFERROR(__xludf.DUMMYFUNCTION("""COMPUTED_VALUE"""),65448)</f>
        <v>65448</v>
      </c>
      <c r="I495" s="12">
        <f ca="1">IFERROR(__xludf.DUMMYFUNCTION("""COMPUTED_VALUE"""),29136)</f>
        <v>29136</v>
      </c>
      <c r="J495" s="12">
        <f ca="1">IFERROR(__xludf.DUMMYFUNCTION("""COMPUTED_VALUE"""),600937)</f>
        <v>600937</v>
      </c>
      <c r="K495" s="12">
        <f ca="1">IFERROR(__xludf.DUMMYFUNCTION("""COMPUTED_VALUE"""),94584)</f>
        <v>94584</v>
      </c>
      <c r="L495" s="12">
        <f ca="1">IFERROR(__xludf.DUMMYFUNCTION("""COMPUTED_VALUE"""),31189)</f>
        <v>31189</v>
      </c>
      <c r="M495" s="12">
        <f ca="1">IFERROR(__xludf.DUMMYFUNCTION("""COMPUTED_VALUE"""),14598)</f>
        <v>14598</v>
      </c>
      <c r="N495" s="12">
        <f ca="1">IFERROR(__xludf.DUMMYFUNCTION("""COMPUTED_VALUE"""),15863)</f>
        <v>15863</v>
      </c>
      <c r="O495" s="12">
        <f ca="1">IFERROR(__xludf.DUMMYFUNCTION("""COMPUTED_VALUE"""),728)</f>
        <v>728</v>
      </c>
      <c r="P495" s="12">
        <f ca="1">IFERROR(__xludf.DUMMYFUNCTION("""COMPUTED_VALUE"""),82)</f>
        <v>82</v>
      </c>
      <c r="Q495" s="12">
        <f ca="1">IFERROR(__xludf.DUMMYFUNCTION("""COMPUTED_VALUE"""),5936)</f>
        <v>5936</v>
      </c>
      <c r="R495" s="12">
        <f ca="1">IFERROR(__xludf.DUMMYFUNCTION("""COMPUTED_VALUE"""),2575)</f>
        <v>2575</v>
      </c>
      <c r="S495" s="12">
        <f ca="1">IFERROR(__xludf.DUMMYFUNCTION("""COMPUTED_VALUE"""),846)</f>
        <v>846</v>
      </c>
      <c r="T495" s="12">
        <f ca="1">IFERROR(__xludf.DUMMYFUNCTION("""COMPUTED_VALUE"""),9439)</f>
        <v>9439</v>
      </c>
      <c r="U495" s="12">
        <f ca="1">IFERROR(__xludf.DUMMYFUNCTION("""COMPUTED_VALUE"""),3421)</f>
        <v>3421</v>
      </c>
    </row>
    <row r="496" spans="1:21" x14ac:dyDescent="0.25">
      <c r="A496" s="11">
        <f ca="1">IFERROR(__xludf.DUMMYFUNCTION("""COMPUTED_VALUE"""),44384)</f>
        <v>44384</v>
      </c>
      <c r="B496" s="12">
        <f ca="1">IFERROR(__xludf.DUMMYFUNCTION("""COMPUTED_VALUE"""),2379397)</f>
        <v>2379397</v>
      </c>
      <c r="C496" s="12">
        <f ca="1">IFERROR(__xludf.DUMMYFUNCTION("""COMPUTED_VALUE"""),343101)</f>
        <v>343101</v>
      </c>
      <c r="D496" s="12">
        <f ca="1">IFERROR(__xludf.DUMMYFUNCTION("""COMPUTED_VALUE"""),1973388)</f>
        <v>1973388</v>
      </c>
      <c r="E496" s="12">
        <f ca="1">IFERROR(__xludf.DUMMYFUNCTION("""COMPUTED_VALUE"""),62908)</f>
        <v>62908</v>
      </c>
      <c r="F496" s="12">
        <f ca="1">IFERROR(__xludf.DUMMYFUNCTION("""COMPUTED_VALUE"""),9042)</f>
        <v>9042</v>
      </c>
      <c r="G496" s="12">
        <f ca="1">IFERROR(__xludf.DUMMYFUNCTION("""COMPUTED_VALUE"""),501199)</f>
        <v>501199</v>
      </c>
      <c r="H496" s="12">
        <f ca="1">IFERROR(__xludf.DUMMYFUNCTION("""COMPUTED_VALUE"""),69644)</f>
        <v>69644</v>
      </c>
      <c r="I496" s="12">
        <f ca="1">IFERROR(__xludf.DUMMYFUNCTION("""COMPUTED_VALUE"""),30418)</f>
        <v>30418</v>
      </c>
      <c r="J496" s="12">
        <f ca="1">IFERROR(__xludf.DUMMYFUNCTION("""COMPUTED_VALUE"""),610303)</f>
        <v>610303</v>
      </c>
      <c r="K496" s="12">
        <f ca="1">IFERROR(__xludf.DUMMYFUNCTION("""COMPUTED_VALUE"""),100062)</f>
        <v>100062</v>
      </c>
      <c r="L496" s="12">
        <f ca="1">IFERROR(__xludf.DUMMYFUNCTION("""COMPUTED_VALUE"""),34379)</f>
        <v>34379</v>
      </c>
      <c r="M496" s="12">
        <f ca="1">IFERROR(__xludf.DUMMYFUNCTION("""COMPUTED_VALUE"""),18504)</f>
        <v>18504</v>
      </c>
      <c r="N496" s="12">
        <f ca="1">IFERROR(__xludf.DUMMYFUNCTION("""COMPUTED_VALUE"""),14835)</f>
        <v>14835</v>
      </c>
      <c r="O496" s="12">
        <f ca="1">IFERROR(__xludf.DUMMYFUNCTION("""COMPUTED_VALUE"""),1040)</f>
        <v>1040</v>
      </c>
      <c r="P496" s="12">
        <f ca="1">IFERROR(__xludf.DUMMYFUNCTION("""COMPUTED_VALUE"""),181)</f>
        <v>181</v>
      </c>
      <c r="Q496" s="12">
        <f ca="1">IFERROR(__xludf.DUMMYFUNCTION("""COMPUTED_VALUE"""),3707)</f>
        <v>3707</v>
      </c>
      <c r="R496" s="12">
        <f ca="1">IFERROR(__xludf.DUMMYFUNCTION("""COMPUTED_VALUE"""),4196)</f>
        <v>4196</v>
      </c>
      <c r="S496" s="12">
        <f ca="1">IFERROR(__xludf.DUMMYFUNCTION("""COMPUTED_VALUE"""),1282)</f>
        <v>1282</v>
      </c>
      <c r="T496" s="12">
        <f ca="1">IFERROR(__xludf.DUMMYFUNCTION("""COMPUTED_VALUE"""),9366)</f>
        <v>9366</v>
      </c>
      <c r="U496" s="12">
        <f ca="1">IFERROR(__xludf.DUMMYFUNCTION("""COMPUTED_VALUE"""),5478)</f>
        <v>5478</v>
      </c>
    </row>
    <row r="497" spans="1:21" x14ac:dyDescent="0.25">
      <c r="A497" s="11">
        <f ca="1">IFERROR(__xludf.DUMMYFUNCTION("""COMPUTED_VALUE"""),44385)</f>
        <v>44385</v>
      </c>
      <c r="B497" s="12">
        <f ca="1">IFERROR(__xludf.DUMMYFUNCTION("""COMPUTED_VALUE"""),2417788)</f>
        <v>2417788</v>
      </c>
      <c r="C497" s="12">
        <f ca="1">IFERROR(__xludf.DUMMYFUNCTION("""COMPUTED_VALUE"""),359455)</f>
        <v>359455</v>
      </c>
      <c r="D497" s="12">
        <f ca="1">IFERROR(__xludf.DUMMYFUNCTION("""COMPUTED_VALUE"""),1994573)</f>
        <v>1994573</v>
      </c>
      <c r="E497" s="12">
        <f ca="1">IFERROR(__xludf.DUMMYFUNCTION("""COMPUTED_VALUE"""),63760)</f>
        <v>63760</v>
      </c>
      <c r="F497" s="12">
        <f ca="1">IFERROR(__xludf.DUMMYFUNCTION("""COMPUTED_VALUE"""),9110)</f>
        <v>9110</v>
      </c>
      <c r="G497" s="12">
        <f ca="1">IFERROR(__xludf.DUMMYFUNCTION("""COMPUTED_VALUE"""),512085)</f>
        <v>512085</v>
      </c>
      <c r="H497" s="12">
        <f ca="1">IFERROR(__xludf.DUMMYFUNCTION("""COMPUTED_VALUE"""),72361)</f>
        <v>72361</v>
      </c>
      <c r="I497" s="12">
        <f ca="1">IFERROR(__xludf.DUMMYFUNCTION("""COMPUTED_VALUE"""),29721)</f>
        <v>29721</v>
      </c>
      <c r="J497" s="12">
        <f ca="1">IFERROR(__xludf.DUMMYFUNCTION("""COMPUTED_VALUE"""),623277)</f>
        <v>623277</v>
      </c>
      <c r="K497" s="12">
        <f ca="1">IFERROR(__xludf.DUMMYFUNCTION("""COMPUTED_VALUE"""),102082)</f>
        <v>102082</v>
      </c>
      <c r="L497" s="12">
        <f ca="1">IFERROR(__xludf.DUMMYFUNCTION("""COMPUTED_VALUE"""),38391)</f>
        <v>38391</v>
      </c>
      <c r="M497" s="12">
        <f ca="1">IFERROR(__xludf.DUMMYFUNCTION("""COMPUTED_VALUE"""),16354)</f>
        <v>16354</v>
      </c>
      <c r="N497" s="12">
        <f ca="1">IFERROR(__xludf.DUMMYFUNCTION("""COMPUTED_VALUE"""),21185)</f>
        <v>21185</v>
      </c>
      <c r="O497" s="12">
        <f ca="1">IFERROR(__xludf.DUMMYFUNCTION("""COMPUTED_VALUE"""),852)</f>
        <v>852</v>
      </c>
      <c r="P497" s="12">
        <f ca="1">IFERROR(__xludf.DUMMYFUNCTION("""COMPUTED_VALUE"""),68)</f>
        <v>68</v>
      </c>
      <c r="Q497" s="12">
        <f ca="1">IFERROR(__xludf.DUMMYFUNCTION("""COMPUTED_VALUE"""),10886)</f>
        <v>10886</v>
      </c>
      <c r="R497" s="12">
        <f ca="1">IFERROR(__xludf.DUMMYFUNCTION("""COMPUTED_VALUE"""),2717)</f>
        <v>2717</v>
      </c>
      <c r="S497" s="12">
        <f ca="1">IFERROR(__xludf.DUMMYFUNCTION("""COMPUTED_VALUE"""),-697)</f>
        <v>-697</v>
      </c>
      <c r="T497" s="12">
        <f ca="1">IFERROR(__xludf.DUMMYFUNCTION("""COMPUTED_VALUE"""),12974)</f>
        <v>12974</v>
      </c>
      <c r="U497" s="12">
        <f ca="1">IFERROR(__xludf.DUMMYFUNCTION("""COMPUTED_VALUE"""),2020)</f>
        <v>2020</v>
      </c>
    </row>
    <row r="498" spans="1:21" x14ac:dyDescent="0.25">
      <c r="A498" s="11">
        <f ca="1">IFERROR(__xludf.DUMMYFUNCTION("""COMPUTED_VALUE"""),44386)</f>
        <v>44386</v>
      </c>
      <c r="B498" s="12">
        <f ca="1">IFERROR(__xludf.DUMMYFUNCTION("""COMPUTED_VALUE"""),2455912)</f>
        <v>2455912</v>
      </c>
      <c r="C498" s="12">
        <f ca="1">IFERROR(__xludf.DUMMYFUNCTION("""COMPUTED_VALUE"""),367733)</f>
        <v>367733</v>
      </c>
      <c r="D498" s="12">
        <f ca="1">IFERROR(__xludf.DUMMYFUNCTION("""COMPUTED_VALUE"""),2023548)</f>
        <v>2023548</v>
      </c>
      <c r="E498" s="12">
        <f ca="1">IFERROR(__xludf.DUMMYFUNCTION("""COMPUTED_VALUE"""),64631)</f>
        <v>64631</v>
      </c>
      <c r="F498" s="12">
        <f ca="1">IFERROR(__xludf.DUMMYFUNCTION("""COMPUTED_VALUE"""),9306)</f>
        <v>9306</v>
      </c>
      <c r="G498" s="12">
        <f ca="1">IFERROR(__xludf.DUMMYFUNCTION("""COMPUTED_VALUE"""),526941)</f>
        <v>526941</v>
      </c>
      <c r="H498" s="12">
        <f ca="1">IFERROR(__xludf.DUMMYFUNCTION("""COMPUTED_VALUE"""),73239)</f>
        <v>73239</v>
      </c>
      <c r="I498" s="12">
        <f ca="1">IFERROR(__xludf.DUMMYFUNCTION("""COMPUTED_VALUE"""),26903)</f>
        <v>26903</v>
      </c>
      <c r="J498" s="12">
        <f ca="1">IFERROR(__xludf.DUMMYFUNCTION("""COMPUTED_VALUE"""),636389)</f>
        <v>636389</v>
      </c>
      <c r="K498" s="12">
        <f ca="1">IFERROR(__xludf.DUMMYFUNCTION("""COMPUTED_VALUE"""),100142)</f>
        <v>100142</v>
      </c>
      <c r="L498" s="12">
        <f ca="1">IFERROR(__xludf.DUMMYFUNCTION("""COMPUTED_VALUE"""),38124)</f>
        <v>38124</v>
      </c>
      <c r="M498" s="12">
        <f ca="1">IFERROR(__xludf.DUMMYFUNCTION("""COMPUTED_VALUE"""),8278)</f>
        <v>8278</v>
      </c>
      <c r="N498" s="12">
        <f ca="1">IFERROR(__xludf.DUMMYFUNCTION("""COMPUTED_VALUE"""),28975)</f>
        <v>28975</v>
      </c>
      <c r="O498" s="12">
        <f ca="1">IFERROR(__xludf.DUMMYFUNCTION("""COMPUTED_VALUE"""),871)</f>
        <v>871</v>
      </c>
      <c r="P498" s="12">
        <f ca="1">IFERROR(__xludf.DUMMYFUNCTION("""COMPUTED_VALUE"""),196)</f>
        <v>196</v>
      </c>
      <c r="Q498" s="12">
        <f ca="1">IFERROR(__xludf.DUMMYFUNCTION("""COMPUTED_VALUE"""),14856)</f>
        <v>14856</v>
      </c>
      <c r="R498" s="12">
        <f ca="1">IFERROR(__xludf.DUMMYFUNCTION("""COMPUTED_VALUE"""),878)</f>
        <v>878</v>
      </c>
      <c r="S498" s="12">
        <f ca="1">IFERROR(__xludf.DUMMYFUNCTION("""COMPUTED_VALUE"""),-2818)</f>
        <v>-2818</v>
      </c>
      <c r="T498" s="12">
        <f ca="1">IFERROR(__xludf.DUMMYFUNCTION("""COMPUTED_VALUE"""),13112)</f>
        <v>13112</v>
      </c>
      <c r="U498" s="12">
        <f ca="1">IFERROR(__xludf.DUMMYFUNCTION("""COMPUTED_VALUE"""),-1940)</f>
        <v>-1940</v>
      </c>
    </row>
    <row r="499" spans="1:21" x14ac:dyDescent="0.25">
      <c r="A499" s="11">
        <f ca="1">IFERROR(__xludf.DUMMYFUNCTION("""COMPUTED_VALUE"""),44387)</f>
        <v>44387</v>
      </c>
      <c r="B499" s="12">
        <f ca="1">IFERROR(__xludf.DUMMYFUNCTION("""COMPUTED_VALUE"""),2491006)</f>
        <v>2491006</v>
      </c>
      <c r="C499" s="12">
        <f ca="1">IFERROR(__xludf.DUMMYFUNCTION("""COMPUTED_VALUE"""),373440)</f>
        <v>373440</v>
      </c>
      <c r="D499" s="12">
        <f ca="1">IFERROR(__xludf.DUMMYFUNCTION("""COMPUTED_VALUE"""),2052109)</f>
        <v>2052109</v>
      </c>
      <c r="E499" s="12">
        <f ca="1">IFERROR(__xludf.DUMMYFUNCTION("""COMPUTED_VALUE"""),65457)</f>
        <v>65457</v>
      </c>
      <c r="F499" s="12">
        <f ca="1">IFERROR(__xludf.DUMMYFUNCTION("""COMPUTED_VALUE"""),9357)</f>
        <v>9357</v>
      </c>
      <c r="G499" s="12">
        <f ca="1">IFERROR(__xludf.DUMMYFUNCTION("""COMPUTED_VALUE"""),543867)</f>
        <v>543867</v>
      </c>
      <c r="H499" s="12">
        <f ca="1">IFERROR(__xludf.DUMMYFUNCTION("""COMPUTED_VALUE"""),71812)</f>
        <v>71812</v>
      </c>
      <c r="I499" s="12">
        <f ca="1">IFERROR(__xludf.DUMMYFUNCTION("""COMPUTED_VALUE"""),24273)</f>
        <v>24273</v>
      </c>
      <c r="J499" s="12">
        <f ca="1">IFERROR(__xludf.DUMMYFUNCTION("""COMPUTED_VALUE"""),649309)</f>
        <v>649309</v>
      </c>
      <c r="K499" s="12">
        <f ca="1">IFERROR(__xludf.DUMMYFUNCTION("""COMPUTED_VALUE"""),96085)</f>
        <v>96085</v>
      </c>
      <c r="L499" s="12">
        <f ca="1">IFERROR(__xludf.DUMMYFUNCTION("""COMPUTED_VALUE"""),35094)</f>
        <v>35094</v>
      </c>
      <c r="M499" s="12">
        <f ca="1">IFERROR(__xludf.DUMMYFUNCTION("""COMPUTED_VALUE"""),5707)</f>
        <v>5707</v>
      </c>
      <c r="N499" s="12">
        <f ca="1">IFERROR(__xludf.DUMMYFUNCTION("""COMPUTED_VALUE"""),28561)</f>
        <v>28561</v>
      </c>
      <c r="O499" s="12">
        <f ca="1">IFERROR(__xludf.DUMMYFUNCTION("""COMPUTED_VALUE"""),826)</f>
        <v>826</v>
      </c>
      <c r="P499" s="12">
        <f ca="1">IFERROR(__xludf.DUMMYFUNCTION("""COMPUTED_VALUE"""),51)</f>
        <v>51</v>
      </c>
      <c r="Q499" s="12">
        <f ca="1">IFERROR(__xludf.DUMMYFUNCTION("""COMPUTED_VALUE"""),16926)</f>
        <v>16926</v>
      </c>
      <c r="R499" s="12">
        <f ca="1">IFERROR(__xludf.DUMMYFUNCTION("""COMPUTED_VALUE"""),-1427)</f>
        <v>-1427</v>
      </c>
      <c r="S499" s="12">
        <f ca="1">IFERROR(__xludf.DUMMYFUNCTION("""COMPUTED_VALUE"""),-2630)</f>
        <v>-2630</v>
      </c>
      <c r="T499" s="12">
        <f ca="1">IFERROR(__xludf.DUMMYFUNCTION("""COMPUTED_VALUE"""),12920)</f>
        <v>12920</v>
      </c>
      <c r="U499" s="12">
        <f ca="1">IFERROR(__xludf.DUMMYFUNCTION("""COMPUTED_VALUE"""),-4057)</f>
        <v>-4057</v>
      </c>
    </row>
    <row r="500" spans="1:21" x14ac:dyDescent="0.25">
      <c r="A500" s="11">
        <f ca="1">IFERROR(__xludf.DUMMYFUNCTION("""COMPUTED_VALUE"""),44388)</f>
        <v>44388</v>
      </c>
      <c r="B500" s="12">
        <f ca="1">IFERROR(__xludf.DUMMYFUNCTION("""COMPUTED_VALUE"""),2527203)</f>
        <v>2527203</v>
      </c>
      <c r="C500" s="12">
        <f ca="1">IFERROR(__xludf.DUMMYFUNCTION("""COMPUTED_VALUE"""),376015)</f>
        <v>376015</v>
      </c>
      <c r="D500" s="12">
        <f ca="1">IFERROR(__xludf.DUMMYFUNCTION("""COMPUTED_VALUE"""),2084724)</f>
        <v>2084724</v>
      </c>
      <c r="E500" s="12">
        <f ca="1">IFERROR(__xludf.DUMMYFUNCTION("""COMPUTED_VALUE"""),66464)</f>
        <v>66464</v>
      </c>
      <c r="F500" s="12">
        <f ca="1">IFERROR(__xludf.DUMMYFUNCTION("""COMPUTED_VALUE"""),9395)</f>
        <v>9395</v>
      </c>
      <c r="G500" s="12">
        <f ca="1">IFERROR(__xludf.DUMMYFUNCTION("""COMPUTED_VALUE"""),564437)</f>
        <v>564437</v>
      </c>
      <c r="H500" s="12">
        <f ca="1">IFERROR(__xludf.DUMMYFUNCTION("""COMPUTED_VALUE"""),68251)</f>
        <v>68251</v>
      </c>
      <c r="I500" s="12">
        <f ca="1">IFERROR(__xludf.DUMMYFUNCTION("""COMPUTED_VALUE"""),20359)</f>
        <v>20359</v>
      </c>
      <c r="J500" s="12">
        <f ca="1">IFERROR(__xludf.DUMMYFUNCTION("""COMPUTED_VALUE"""),662442)</f>
        <v>662442</v>
      </c>
      <c r="K500" s="12">
        <f ca="1">IFERROR(__xludf.DUMMYFUNCTION("""COMPUTED_VALUE"""),88610)</f>
        <v>88610</v>
      </c>
      <c r="L500" s="12">
        <f ca="1">IFERROR(__xludf.DUMMYFUNCTION("""COMPUTED_VALUE"""),36197)</f>
        <v>36197</v>
      </c>
      <c r="M500" s="12">
        <f ca="1">IFERROR(__xludf.DUMMYFUNCTION("""COMPUTED_VALUE"""),2575)</f>
        <v>2575</v>
      </c>
      <c r="N500" s="12">
        <f ca="1">IFERROR(__xludf.DUMMYFUNCTION("""COMPUTED_VALUE"""),32615)</f>
        <v>32615</v>
      </c>
      <c r="O500" s="12">
        <f ca="1">IFERROR(__xludf.DUMMYFUNCTION("""COMPUTED_VALUE"""),1007)</f>
        <v>1007</v>
      </c>
      <c r="P500" s="12">
        <f ca="1">IFERROR(__xludf.DUMMYFUNCTION("""COMPUTED_VALUE"""),38)</f>
        <v>38</v>
      </c>
      <c r="Q500" s="12">
        <f ca="1">IFERROR(__xludf.DUMMYFUNCTION("""COMPUTED_VALUE"""),20570)</f>
        <v>20570</v>
      </c>
      <c r="R500" s="12">
        <f ca="1">IFERROR(__xludf.DUMMYFUNCTION("""COMPUTED_VALUE"""),-3561)</f>
        <v>-3561</v>
      </c>
      <c r="S500" s="12">
        <f ca="1">IFERROR(__xludf.DUMMYFUNCTION("""COMPUTED_VALUE"""),-3914)</f>
        <v>-3914</v>
      </c>
      <c r="T500" s="12">
        <f ca="1">IFERROR(__xludf.DUMMYFUNCTION("""COMPUTED_VALUE"""),13133)</f>
        <v>13133</v>
      </c>
      <c r="U500" s="12">
        <f ca="1">IFERROR(__xludf.DUMMYFUNCTION("""COMPUTED_VALUE"""),-7475)</f>
        <v>-7475</v>
      </c>
    </row>
    <row r="501" spans="1:21" x14ac:dyDescent="0.25">
      <c r="A501" s="11">
        <f ca="1">IFERROR(__xludf.DUMMYFUNCTION("""COMPUTED_VALUE"""),44389)</f>
        <v>44389</v>
      </c>
      <c r="B501" s="12">
        <f ca="1">IFERROR(__xludf.DUMMYFUNCTION("""COMPUTED_VALUE"""),2567630)</f>
        <v>2567630</v>
      </c>
      <c r="C501" s="12">
        <f ca="1">IFERROR(__xludf.DUMMYFUNCTION("""COMPUTED_VALUE"""),380797)</f>
        <v>380797</v>
      </c>
      <c r="D501" s="12">
        <f ca="1">IFERROR(__xludf.DUMMYFUNCTION("""COMPUTED_VALUE"""),2119478)</f>
        <v>2119478</v>
      </c>
      <c r="E501" s="12">
        <f ca="1">IFERROR(__xludf.DUMMYFUNCTION("""COMPUTED_VALUE"""),67355)</f>
        <v>67355</v>
      </c>
      <c r="F501" s="12">
        <f ca="1">IFERROR(__xludf.DUMMYFUNCTION("""COMPUTED_VALUE"""),9462)</f>
        <v>9462</v>
      </c>
      <c r="G501" s="12">
        <f ca="1">IFERROR(__xludf.DUMMYFUNCTION("""COMPUTED_VALUE"""),584912)</f>
        <v>584912</v>
      </c>
      <c r="H501" s="12">
        <f ca="1">IFERROR(__xludf.DUMMYFUNCTION("""COMPUTED_VALUE"""),66581)</f>
        <v>66581</v>
      </c>
      <c r="I501" s="12">
        <f ca="1">IFERROR(__xludf.DUMMYFUNCTION("""COMPUTED_VALUE"""),16106)</f>
        <v>16106</v>
      </c>
      <c r="J501" s="12">
        <f ca="1">IFERROR(__xludf.DUMMYFUNCTION("""COMPUTED_VALUE"""),677061)</f>
        <v>677061</v>
      </c>
      <c r="K501" s="12">
        <f ca="1">IFERROR(__xludf.DUMMYFUNCTION("""COMPUTED_VALUE"""),82687)</f>
        <v>82687</v>
      </c>
      <c r="L501" s="12">
        <f ca="1">IFERROR(__xludf.DUMMYFUNCTION("""COMPUTED_VALUE"""),40427)</f>
        <v>40427</v>
      </c>
      <c r="M501" s="12">
        <f ca="1">IFERROR(__xludf.DUMMYFUNCTION("""COMPUTED_VALUE"""),4782)</f>
        <v>4782</v>
      </c>
      <c r="N501" s="12">
        <f ca="1">IFERROR(__xludf.DUMMYFUNCTION("""COMPUTED_VALUE"""),34754)</f>
        <v>34754</v>
      </c>
      <c r="O501" s="12">
        <f ca="1">IFERROR(__xludf.DUMMYFUNCTION("""COMPUTED_VALUE"""),891)</f>
        <v>891</v>
      </c>
      <c r="P501" s="12">
        <f ca="1">IFERROR(__xludf.DUMMYFUNCTION("""COMPUTED_VALUE"""),67)</f>
        <v>67</v>
      </c>
      <c r="Q501" s="12">
        <f ca="1">IFERROR(__xludf.DUMMYFUNCTION("""COMPUTED_VALUE"""),20475)</f>
        <v>20475</v>
      </c>
      <c r="R501" s="12">
        <f ca="1">IFERROR(__xludf.DUMMYFUNCTION("""COMPUTED_VALUE"""),-1670)</f>
        <v>-1670</v>
      </c>
      <c r="S501" s="12">
        <f ca="1">IFERROR(__xludf.DUMMYFUNCTION("""COMPUTED_VALUE"""),-4253)</f>
        <v>-4253</v>
      </c>
      <c r="T501" s="12">
        <f ca="1">IFERROR(__xludf.DUMMYFUNCTION("""COMPUTED_VALUE"""),14619)</f>
        <v>14619</v>
      </c>
      <c r="U501" s="12">
        <f ca="1">IFERROR(__xludf.DUMMYFUNCTION("""COMPUTED_VALUE"""),-5923)</f>
        <v>-5923</v>
      </c>
    </row>
    <row r="502" spans="1:21" x14ac:dyDescent="0.25">
      <c r="A502" s="11">
        <f ca="1">IFERROR(__xludf.DUMMYFUNCTION("""COMPUTED_VALUE"""),44390)</f>
        <v>44390</v>
      </c>
      <c r="B502" s="12">
        <f ca="1">IFERROR(__xludf.DUMMYFUNCTION("""COMPUTED_VALUE"""),2615529)</f>
        <v>2615529</v>
      </c>
      <c r="C502" s="12">
        <f ca="1">IFERROR(__xludf.DUMMYFUNCTION("""COMPUTED_VALUE"""),407709)</f>
        <v>407709</v>
      </c>
      <c r="D502" s="12">
        <f ca="1">IFERROR(__xludf.DUMMYFUNCTION("""COMPUTED_VALUE"""),2139601)</f>
        <v>2139601</v>
      </c>
      <c r="E502" s="12">
        <f ca="1">IFERROR(__xludf.DUMMYFUNCTION("""COMPUTED_VALUE"""),68219)</f>
        <v>68219</v>
      </c>
      <c r="F502" s="12">
        <f ca="1">IFERROR(__xludf.DUMMYFUNCTION("""COMPUTED_VALUE"""),9541)</f>
        <v>9541</v>
      </c>
      <c r="G502" s="12">
        <f ca="1">IFERROR(__xludf.DUMMYFUNCTION("""COMPUTED_VALUE"""),589486)</f>
        <v>589486</v>
      </c>
      <c r="H502" s="12">
        <f ca="1">IFERROR(__xludf.DUMMYFUNCTION("""COMPUTED_VALUE"""),71848)</f>
        <v>71848</v>
      </c>
      <c r="I502" s="12">
        <f ca="1">IFERROR(__xludf.DUMMYFUNCTION("""COMPUTED_VALUE"""),18368)</f>
        <v>18368</v>
      </c>
      <c r="J502" s="12">
        <f ca="1">IFERROR(__xludf.DUMMYFUNCTION("""COMPUTED_VALUE"""),689243)</f>
        <v>689243</v>
      </c>
      <c r="K502" s="12">
        <f ca="1">IFERROR(__xludf.DUMMYFUNCTION("""COMPUTED_VALUE"""),90216)</f>
        <v>90216</v>
      </c>
      <c r="L502" s="12">
        <f ca="1">IFERROR(__xludf.DUMMYFUNCTION("""COMPUTED_VALUE"""),47899)</f>
        <v>47899</v>
      </c>
      <c r="M502" s="12">
        <f ca="1">IFERROR(__xludf.DUMMYFUNCTION("""COMPUTED_VALUE"""),26912)</f>
        <v>26912</v>
      </c>
      <c r="N502" s="12">
        <f ca="1">IFERROR(__xludf.DUMMYFUNCTION("""COMPUTED_VALUE"""),20123)</f>
        <v>20123</v>
      </c>
      <c r="O502" s="12">
        <f ca="1">IFERROR(__xludf.DUMMYFUNCTION("""COMPUTED_VALUE"""),864)</f>
        <v>864</v>
      </c>
      <c r="P502" s="12">
        <f ca="1">IFERROR(__xludf.DUMMYFUNCTION("""COMPUTED_VALUE"""),79)</f>
        <v>79</v>
      </c>
      <c r="Q502" s="12">
        <f ca="1">IFERROR(__xludf.DUMMYFUNCTION("""COMPUTED_VALUE"""),4574)</f>
        <v>4574</v>
      </c>
      <c r="R502" s="12">
        <f ca="1">IFERROR(__xludf.DUMMYFUNCTION("""COMPUTED_VALUE"""),5267)</f>
        <v>5267</v>
      </c>
      <c r="S502" s="12">
        <f ca="1">IFERROR(__xludf.DUMMYFUNCTION("""COMPUTED_VALUE"""),2262)</f>
        <v>2262</v>
      </c>
      <c r="T502" s="12">
        <f ca="1">IFERROR(__xludf.DUMMYFUNCTION("""COMPUTED_VALUE"""),12182)</f>
        <v>12182</v>
      </c>
      <c r="U502" s="12">
        <f ca="1">IFERROR(__xludf.DUMMYFUNCTION("""COMPUTED_VALUE"""),7529)</f>
        <v>7529</v>
      </c>
    </row>
    <row r="503" spans="1:21" x14ac:dyDescent="0.25">
      <c r="A503" s="11">
        <f ca="1">IFERROR(__xludf.DUMMYFUNCTION("""COMPUTED_VALUE"""),44391)</f>
        <v>44391</v>
      </c>
      <c r="B503" s="12">
        <f ca="1">IFERROR(__xludf.DUMMYFUNCTION("""COMPUTED_VALUE"""),2670046)</f>
        <v>2670046</v>
      </c>
      <c r="C503" s="12">
        <f ca="1">IFERROR(__xludf.DUMMYFUNCTION("""COMPUTED_VALUE"""),443473)</f>
        <v>443473</v>
      </c>
      <c r="D503" s="12">
        <f ca="1">IFERROR(__xludf.DUMMYFUNCTION("""COMPUTED_VALUE"""),2157363)</f>
        <v>2157363</v>
      </c>
      <c r="E503" s="12">
        <f ca="1">IFERROR(__xludf.DUMMYFUNCTION("""COMPUTED_VALUE"""),69210)</f>
        <v>69210</v>
      </c>
      <c r="F503" s="12">
        <f ca="1">IFERROR(__xludf.DUMMYFUNCTION("""COMPUTED_VALUE"""),9603)</f>
        <v>9603</v>
      </c>
      <c r="G503" s="12">
        <f ca="1">IFERROR(__xludf.DUMMYFUNCTION("""COMPUTED_VALUE"""),592556)</f>
        <v>592556</v>
      </c>
      <c r="H503" s="12">
        <f ca="1">IFERROR(__xludf.DUMMYFUNCTION("""COMPUTED_VALUE"""),78571)</f>
        <v>78571</v>
      </c>
      <c r="I503" s="12">
        <f ca="1">IFERROR(__xludf.DUMMYFUNCTION("""COMPUTED_VALUE"""),21180)</f>
        <v>21180</v>
      </c>
      <c r="J503" s="12">
        <f ca="1">IFERROR(__xludf.DUMMYFUNCTION("""COMPUTED_VALUE"""),701910)</f>
        <v>701910</v>
      </c>
      <c r="K503" s="12">
        <f ca="1">IFERROR(__xludf.DUMMYFUNCTION("""COMPUTED_VALUE"""),99751)</f>
        <v>99751</v>
      </c>
      <c r="L503" s="12">
        <f ca="1">IFERROR(__xludf.DUMMYFUNCTION("""COMPUTED_VALUE"""),54517)</f>
        <v>54517</v>
      </c>
      <c r="M503" s="12">
        <f ca="1">IFERROR(__xludf.DUMMYFUNCTION("""COMPUTED_VALUE"""),35764)</f>
        <v>35764</v>
      </c>
      <c r="N503" s="12">
        <f ca="1">IFERROR(__xludf.DUMMYFUNCTION("""COMPUTED_VALUE"""),17762)</f>
        <v>17762</v>
      </c>
      <c r="O503" s="12">
        <f ca="1">IFERROR(__xludf.DUMMYFUNCTION("""COMPUTED_VALUE"""),991)</f>
        <v>991</v>
      </c>
      <c r="P503" s="12">
        <f ca="1">IFERROR(__xludf.DUMMYFUNCTION("""COMPUTED_VALUE"""),62)</f>
        <v>62</v>
      </c>
      <c r="Q503" s="12">
        <f ca="1">IFERROR(__xludf.DUMMYFUNCTION("""COMPUTED_VALUE"""),3070)</f>
        <v>3070</v>
      </c>
      <c r="R503" s="12">
        <f ca="1">IFERROR(__xludf.DUMMYFUNCTION("""COMPUTED_VALUE"""),6723)</f>
        <v>6723</v>
      </c>
      <c r="S503" s="12">
        <f ca="1">IFERROR(__xludf.DUMMYFUNCTION("""COMPUTED_VALUE"""),2812)</f>
        <v>2812</v>
      </c>
      <c r="T503" s="12">
        <f ca="1">IFERROR(__xludf.DUMMYFUNCTION("""COMPUTED_VALUE"""),12667)</f>
        <v>12667</v>
      </c>
      <c r="U503" s="12">
        <f ca="1">IFERROR(__xludf.DUMMYFUNCTION("""COMPUTED_VALUE"""),9535)</f>
        <v>9535</v>
      </c>
    </row>
    <row r="504" spans="1:21" x14ac:dyDescent="0.25">
      <c r="A504" s="11">
        <f ca="1">IFERROR(__xludf.DUMMYFUNCTION("""COMPUTED_VALUE"""),44392)</f>
        <v>44392</v>
      </c>
      <c r="B504" s="12">
        <f ca="1">IFERROR(__xludf.DUMMYFUNCTION("""COMPUTED_VALUE"""),2726803)</f>
        <v>2726803</v>
      </c>
      <c r="C504" s="12">
        <f ca="1">IFERROR(__xludf.DUMMYFUNCTION("""COMPUTED_VALUE"""),480199)</f>
        <v>480199</v>
      </c>
      <c r="D504" s="12">
        <f ca="1">IFERROR(__xludf.DUMMYFUNCTION("""COMPUTED_VALUE"""),2176412)</f>
        <v>2176412</v>
      </c>
      <c r="E504" s="12">
        <f ca="1">IFERROR(__xludf.DUMMYFUNCTION("""COMPUTED_VALUE"""),70192)</f>
        <v>70192</v>
      </c>
      <c r="F504" s="12">
        <f ca="1">IFERROR(__xludf.DUMMYFUNCTION("""COMPUTED_VALUE"""),9743)</f>
        <v>9743</v>
      </c>
      <c r="G504" s="12">
        <f ca="1">IFERROR(__xludf.DUMMYFUNCTION("""COMPUTED_VALUE"""),595582)</f>
        <v>595582</v>
      </c>
      <c r="H504" s="12">
        <f ca="1">IFERROR(__xludf.DUMMYFUNCTION("""COMPUTED_VALUE"""),86298)</f>
        <v>86298</v>
      </c>
      <c r="I504" s="12">
        <f ca="1">IFERROR(__xludf.DUMMYFUNCTION("""COMPUTED_VALUE"""),22978)</f>
        <v>22978</v>
      </c>
      <c r="J504" s="12">
        <f ca="1">IFERROR(__xludf.DUMMYFUNCTION("""COMPUTED_VALUE"""),714601)</f>
        <v>714601</v>
      </c>
      <c r="K504" s="12">
        <f ca="1">IFERROR(__xludf.DUMMYFUNCTION("""COMPUTED_VALUE"""),109276)</f>
        <v>109276</v>
      </c>
      <c r="L504" s="12">
        <f ca="1">IFERROR(__xludf.DUMMYFUNCTION("""COMPUTED_VALUE"""),56757)</f>
        <v>56757</v>
      </c>
      <c r="M504" s="12">
        <f ca="1">IFERROR(__xludf.DUMMYFUNCTION("""COMPUTED_VALUE"""),36726)</f>
        <v>36726</v>
      </c>
      <c r="N504" s="12">
        <f ca="1">IFERROR(__xludf.DUMMYFUNCTION("""COMPUTED_VALUE"""),19049)</f>
        <v>19049</v>
      </c>
      <c r="O504" s="12">
        <f ca="1">IFERROR(__xludf.DUMMYFUNCTION("""COMPUTED_VALUE"""),982)</f>
        <v>982</v>
      </c>
      <c r="P504" s="12">
        <f ca="1">IFERROR(__xludf.DUMMYFUNCTION("""COMPUTED_VALUE"""),140)</f>
        <v>140</v>
      </c>
      <c r="Q504" s="12">
        <f ca="1">IFERROR(__xludf.DUMMYFUNCTION("""COMPUTED_VALUE"""),3026)</f>
        <v>3026</v>
      </c>
      <c r="R504" s="12">
        <f ca="1">IFERROR(__xludf.DUMMYFUNCTION("""COMPUTED_VALUE"""),7727)</f>
        <v>7727</v>
      </c>
      <c r="S504" s="12">
        <f ca="1">IFERROR(__xludf.DUMMYFUNCTION("""COMPUTED_VALUE"""),1798)</f>
        <v>1798</v>
      </c>
      <c r="T504" s="12">
        <f ca="1">IFERROR(__xludf.DUMMYFUNCTION("""COMPUTED_VALUE"""),12691)</f>
        <v>12691</v>
      </c>
      <c r="U504" s="12">
        <f ca="1">IFERROR(__xludf.DUMMYFUNCTION("""COMPUTED_VALUE"""),9525)</f>
        <v>9525</v>
      </c>
    </row>
    <row r="505" spans="1:21" x14ac:dyDescent="0.25">
      <c r="A505" s="11">
        <f ca="1">IFERROR(__xludf.DUMMYFUNCTION("""COMPUTED_VALUE"""),44393)</f>
        <v>44393</v>
      </c>
      <c r="B505" s="12">
        <f ca="1">IFERROR(__xludf.DUMMYFUNCTION("""COMPUTED_VALUE"""),2780803)</f>
        <v>2780803</v>
      </c>
      <c r="C505" s="12">
        <f ca="1">IFERROR(__xludf.DUMMYFUNCTION("""COMPUTED_VALUE"""),504915)</f>
        <v>504915</v>
      </c>
      <c r="D505" s="12">
        <f ca="1">IFERROR(__xludf.DUMMYFUNCTION("""COMPUTED_VALUE"""),2204491)</f>
        <v>2204491</v>
      </c>
      <c r="E505" s="12">
        <f ca="1">IFERROR(__xludf.DUMMYFUNCTION("""COMPUTED_VALUE"""),71397)</f>
        <v>71397</v>
      </c>
      <c r="F505" s="12">
        <f ca="1">IFERROR(__xludf.DUMMYFUNCTION("""COMPUTED_VALUE"""),9845)</f>
        <v>9845</v>
      </c>
      <c r="G505" s="12">
        <f ca="1">IFERROR(__xludf.DUMMYFUNCTION("""COMPUTED_VALUE"""),604033)</f>
        <v>604033</v>
      </c>
      <c r="H505" s="12">
        <f ca="1">IFERROR(__xludf.DUMMYFUNCTION("""COMPUTED_VALUE"""),88295)</f>
        <v>88295</v>
      </c>
      <c r="I505" s="12">
        <f ca="1">IFERROR(__xludf.DUMMYFUNCTION("""COMPUTED_VALUE"""),24843)</f>
        <v>24843</v>
      </c>
      <c r="J505" s="12">
        <f ca="1">IFERROR(__xludf.DUMMYFUNCTION("""COMPUTED_VALUE"""),727016)</f>
        <v>727016</v>
      </c>
      <c r="K505" s="12">
        <f ca="1">IFERROR(__xludf.DUMMYFUNCTION("""COMPUTED_VALUE"""),113138)</f>
        <v>113138</v>
      </c>
      <c r="L505" s="12">
        <f ca="1">IFERROR(__xludf.DUMMYFUNCTION("""COMPUTED_VALUE"""),54000)</f>
        <v>54000</v>
      </c>
      <c r="M505" s="12">
        <f ca="1">IFERROR(__xludf.DUMMYFUNCTION("""COMPUTED_VALUE"""),24716)</f>
        <v>24716</v>
      </c>
      <c r="N505" s="12">
        <f ca="1">IFERROR(__xludf.DUMMYFUNCTION("""COMPUTED_VALUE"""),28079)</f>
        <v>28079</v>
      </c>
      <c r="O505" s="12">
        <f ca="1">IFERROR(__xludf.DUMMYFUNCTION("""COMPUTED_VALUE"""),1205)</f>
        <v>1205</v>
      </c>
      <c r="P505" s="12">
        <f ca="1">IFERROR(__xludf.DUMMYFUNCTION("""COMPUTED_VALUE"""),102)</f>
        <v>102</v>
      </c>
      <c r="Q505" s="12">
        <f ca="1">IFERROR(__xludf.DUMMYFUNCTION("""COMPUTED_VALUE"""),8451)</f>
        <v>8451</v>
      </c>
      <c r="R505" s="12">
        <f ca="1">IFERROR(__xludf.DUMMYFUNCTION("""COMPUTED_VALUE"""),1997)</f>
        <v>1997</v>
      </c>
      <c r="S505" s="12">
        <f ca="1">IFERROR(__xludf.DUMMYFUNCTION("""COMPUTED_VALUE"""),1865)</f>
        <v>1865</v>
      </c>
      <c r="T505" s="12">
        <f ca="1">IFERROR(__xludf.DUMMYFUNCTION("""COMPUTED_VALUE"""),12415)</f>
        <v>12415</v>
      </c>
      <c r="U505" s="12">
        <f ca="1">IFERROR(__xludf.DUMMYFUNCTION("""COMPUTED_VALUE"""),3862)</f>
        <v>3862</v>
      </c>
    </row>
    <row r="506" spans="1:21" x14ac:dyDescent="0.25">
      <c r="A506" s="11">
        <f ca="1">IFERROR(__xludf.DUMMYFUNCTION("""COMPUTED_VALUE"""),44394)</f>
        <v>44394</v>
      </c>
      <c r="B506" s="12">
        <f ca="1">IFERROR(__xludf.DUMMYFUNCTION("""COMPUTED_VALUE"""),2832755)</f>
        <v>2832755</v>
      </c>
      <c r="C506" s="12">
        <f ca="1">IFERROR(__xludf.DUMMYFUNCTION("""COMPUTED_VALUE"""),527872)</f>
        <v>527872</v>
      </c>
      <c r="D506" s="12">
        <f ca="1">IFERROR(__xludf.DUMMYFUNCTION("""COMPUTED_VALUE"""),2232394)</f>
        <v>2232394</v>
      </c>
      <c r="E506" s="12">
        <f ca="1">IFERROR(__xludf.DUMMYFUNCTION("""COMPUTED_VALUE"""),72489)</f>
        <v>72489</v>
      </c>
      <c r="F506" s="12">
        <f ca="1">IFERROR(__xludf.DUMMYFUNCTION("""COMPUTED_VALUE"""),9902)</f>
        <v>9902</v>
      </c>
      <c r="G506" s="12">
        <f ca="1">IFERROR(__xludf.DUMMYFUNCTION("""COMPUTED_VALUE"""),615640)</f>
        <v>615640</v>
      </c>
      <c r="H506" s="12">
        <f ca="1">IFERROR(__xludf.DUMMYFUNCTION("""COMPUTED_VALUE"""),87929)</f>
        <v>87929</v>
      </c>
      <c r="I506" s="12">
        <f ca="1">IFERROR(__xludf.DUMMYFUNCTION("""COMPUTED_VALUE"""),23713)</f>
        <v>23713</v>
      </c>
      <c r="J506" s="12">
        <f ca="1">IFERROR(__xludf.DUMMYFUNCTION("""COMPUTED_VALUE"""),737184)</f>
        <v>737184</v>
      </c>
      <c r="K506" s="12">
        <f ca="1">IFERROR(__xludf.DUMMYFUNCTION("""COMPUTED_VALUE"""),111642)</f>
        <v>111642</v>
      </c>
      <c r="L506" s="12">
        <f ca="1">IFERROR(__xludf.DUMMYFUNCTION("""COMPUTED_VALUE"""),51952)</f>
        <v>51952</v>
      </c>
      <c r="M506" s="12">
        <f ca="1">IFERROR(__xludf.DUMMYFUNCTION("""COMPUTED_VALUE"""),22957)</f>
        <v>22957</v>
      </c>
      <c r="N506" s="12">
        <f ca="1">IFERROR(__xludf.DUMMYFUNCTION("""COMPUTED_VALUE"""),27903)</f>
        <v>27903</v>
      </c>
      <c r="O506" s="12">
        <f ca="1">IFERROR(__xludf.DUMMYFUNCTION("""COMPUTED_VALUE"""),1092)</f>
        <v>1092</v>
      </c>
      <c r="P506" s="12">
        <f ca="1">IFERROR(__xludf.DUMMYFUNCTION("""COMPUTED_VALUE"""),57)</f>
        <v>57</v>
      </c>
      <c r="Q506" s="12">
        <f ca="1">IFERROR(__xludf.DUMMYFUNCTION("""COMPUTED_VALUE"""),11607)</f>
        <v>11607</v>
      </c>
      <c r="R506" s="12">
        <f ca="1">IFERROR(__xludf.DUMMYFUNCTION("""COMPUTED_VALUE"""),-366)</f>
        <v>-366</v>
      </c>
      <c r="S506" s="12">
        <f ca="1">IFERROR(__xludf.DUMMYFUNCTION("""COMPUTED_VALUE"""),-1130)</f>
        <v>-1130</v>
      </c>
      <c r="T506" s="12">
        <f ca="1">IFERROR(__xludf.DUMMYFUNCTION("""COMPUTED_VALUE"""),10168)</f>
        <v>10168</v>
      </c>
      <c r="U506" s="12">
        <f ca="1">IFERROR(__xludf.DUMMYFUNCTION("""COMPUTED_VALUE"""),-1496)</f>
        <v>-1496</v>
      </c>
    </row>
    <row r="507" spans="1:21" x14ac:dyDescent="0.25">
      <c r="A507" s="11">
        <f ca="1">IFERROR(__xludf.DUMMYFUNCTION("""COMPUTED_VALUE"""),44395)</f>
        <v>44395</v>
      </c>
      <c r="B507" s="12">
        <f ca="1">IFERROR(__xludf.DUMMYFUNCTION("""COMPUTED_VALUE"""),2877476)</f>
        <v>2877476</v>
      </c>
      <c r="C507" s="12">
        <f ca="1">IFERROR(__xludf.DUMMYFUNCTION("""COMPUTED_VALUE"""),542236)</f>
        <v>542236</v>
      </c>
      <c r="D507" s="12">
        <f ca="1">IFERROR(__xludf.DUMMYFUNCTION("""COMPUTED_VALUE"""),2261658)</f>
        <v>2261658</v>
      </c>
      <c r="E507" s="12">
        <f ca="1">IFERROR(__xludf.DUMMYFUNCTION("""COMPUTED_VALUE"""),73582)</f>
        <v>73582</v>
      </c>
      <c r="F507" s="12">
        <f ca="1">IFERROR(__xludf.DUMMYFUNCTION("""COMPUTED_VALUE"""),10103)</f>
        <v>10103</v>
      </c>
      <c r="G507" s="12">
        <f ca="1">IFERROR(__xludf.DUMMYFUNCTION("""COMPUTED_VALUE"""),627481)</f>
        <v>627481</v>
      </c>
      <c r="H507" s="12">
        <f ca="1">IFERROR(__xludf.DUMMYFUNCTION("""COMPUTED_VALUE"""),86457)</f>
        <v>86457</v>
      </c>
      <c r="I507" s="12">
        <f ca="1">IFERROR(__xludf.DUMMYFUNCTION("""COMPUTED_VALUE"""),22271)</f>
        <v>22271</v>
      </c>
      <c r="J507" s="12">
        <f ca="1">IFERROR(__xludf.DUMMYFUNCTION("""COMPUTED_VALUE"""),746312)</f>
        <v>746312</v>
      </c>
      <c r="K507" s="12">
        <f ca="1">IFERROR(__xludf.DUMMYFUNCTION("""COMPUTED_VALUE"""),108728)</f>
        <v>108728</v>
      </c>
      <c r="L507" s="12">
        <f ca="1">IFERROR(__xludf.DUMMYFUNCTION("""COMPUTED_VALUE"""),44721)</f>
        <v>44721</v>
      </c>
      <c r="M507" s="12">
        <f ca="1">IFERROR(__xludf.DUMMYFUNCTION("""COMPUTED_VALUE"""),14364)</f>
        <v>14364</v>
      </c>
      <c r="N507" s="12">
        <f ca="1">IFERROR(__xludf.DUMMYFUNCTION("""COMPUTED_VALUE"""),29264)</f>
        <v>29264</v>
      </c>
      <c r="O507" s="12">
        <f ca="1">IFERROR(__xludf.DUMMYFUNCTION("""COMPUTED_VALUE"""),1093)</f>
        <v>1093</v>
      </c>
      <c r="P507" s="12">
        <f ca="1">IFERROR(__xludf.DUMMYFUNCTION("""COMPUTED_VALUE"""),201)</f>
        <v>201</v>
      </c>
      <c r="Q507" s="12">
        <f ca="1">IFERROR(__xludf.DUMMYFUNCTION("""COMPUTED_VALUE"""),11841)</f>
        <v>11841</v>
      </c>
      <c r="R507" s="12">
        <f ca="1">IFERROR(__xludf.DUMMYFUNCTION("""COMPUTED_VALUE"""),-1472)</f>
        <v>-1472</v>
      </c>
      <c r="S507" s="12">
        <f ca="1">IFERROR(__xludf.DUMMYFUNCTION("""COMPUTED_VALUE"""),-1442)</f>
        <v>-1442</v>
      </c>
      <c r="T507" s="12">
        <f ca="1">IFERROR(__xludf.DUMMYFUNCTION("""COMPUTED_VALUE"""),9128)</f>
        <v>9128</v>
      </c>
      <c r="U507" s="12">
        <f ca="1">IFERROR(__xludf.DUMMYFUNCTION("""COMPUTED_VALUE"""),-2914)</f>
        <v>-2914</v>
      </c>
    </row>
    <row r="508" spans="1:21" x14ac:dyDescent="0.25">
      <c r="A508" s="11">
        <f ca="1">IFERROR(__xludf.DUMMYFUNCTION("""COMPUTED_VALUE"""),44396)</f>
        <v>44396</v>
      </c>
      <c r="B508" s="12">
        <f ca="1">IFERROR(__xludf.DUMMYFUNCTION("""COMPUTED_VALUE"""),2911733)</f>
        <v>2911733</v>
      </c>
      <c r="C508" s="12">
        <f ca="1">IFERROR(__xludf.DUMMYFUNCTION("""COMPUTED_VALUE"""),542938)</f>
        <v>542938</v>
      </c>
      <c r="D508" s="12">
        <f ca="1">IFERROR(__xludf.DUMMYFUNCTION("""COMPUTED_VALUE"""),2293875)</f>
        <v>2293875</v>
      </c>
      <c r="E508" s="12">
        <f ca="1">IFERROR(__xludf.DUMMYFUNCTION("""COMPUTED_VALUE"""),74920)</f>
        <v>74920</v>
      </c>
      <c r="F508" s="12">
        <f ca="1">IFERROR(__xludf.DUMMYFUNCTION("""COMPUTED_VALUE"""),10345)</f>
        <v>10345</v>
      </c>
      <c r="G508" s="12">
        <f ca="1">IFERROR(__xludf.DUMMYFUNCTION("""COMPUTED_VALUE"""),640171)</f>
        <v>640171</v>
      </c>
      <c r="H508" s="12">
        <f ca="1">IFERROR(__xludf.DUMMYFUNCTION("""COMPUTED_VALUE"""),81275)</f>
        <v>81275</v>
      </c>
      <c r="I508" s="12">
        <f ca="1">IFERROR(__xludf.DUMMYFUNCTION("""COMPUTED_VALUE"""),19521)</f>
        <v>19521</v>
      </c>
      <c r="J508" s="12">
        <f ca="1">IFERROR(__xludf.DUMMYFUNCTION("""COMPUTED_VALUE"""),751312)</f>
        <v>751312</v>
      </c>
      <c r="K508" s="12">
        <f ca="1">IFERROR(__xludf.DUMMYFUNCTION("""COMPUTED_VALUE"""),100796)</f>
        <v>100796</v>
      </c>
      <c r="L508" s="12">
        <f ca="1">IFERROR(__xludf.DUMMYFUNCTION("""COMPUTED_VALUE"""),34257)</f>
        <v>34257</v>
      </c>
      <c r="M508" s="12">
        <f ca="1">IFERROR(__xludf.DUMMYFUNCTION("""COMPUTED_VALUE"""),702)</f>
        <v>702</v>
      </c>
      <c r="N508" s="12">
        <f ca="1">IFERROR(__xludf.DUMMYFUNCTION("""COMPUTED_VALUE"""),32217)</f>
        <v>32217</v>
      </c>
      <c r="O508" s="12">
        <f ca="1">IFERROR(__xludf.DUMMYFUNCTION("""COMPUTED_VALUE"""),1338)</f>
        <v>1338</v>
      </c>
      <c r="P508" s="12">
        <f ca="1">IFERROR(__xludf.DUMMYFUNCTION("""COMPUTED_VALUE"""),242)</f>
        <v>242</v>
      </c>
      <c r="Q508" s="12">
        <f ca="1">IFERROR(__xludf.DUMMYFUNCTION("""COMPUTED_VALUE"""),12690)</f>
        <v>12690</v>
      </c>
      <c r="R508" s="12">
        <f ca="1">IFERROR(__xludf.DUMMYFUNCTION("""COMPUTED_VALUE"""),-5182)</f>
        <v>-5182</v>
      </c>
      <c r="S508" s="12">
        <f ca="1">IFERROR(__xludf.DUMMYFUNCTION("""COMPUTED_VALUE"""),-2750)</f>
        <v>-2750</v>
      </c>
      <c r="T508" s="12">
        <f ca="1">IFERROR(__xludf.DUMMYFUNCTION("""COMPUTED_VALUE"""),5000)</f>
        <v>5000</v>
      </c>
      <c r="U508" s="12">
        <f ca="1">IFERROR(__xludf.DUMMYFUNCTION("""COMPUTED_VALUE"""),-7932)</f>
        <v>-7932</v>
      </c>
    </row>
    <row r="509" spans="1:21" x14ac:dyDescent="0.25">
      <c r="A509" s="11">
        <f ca="1">IFERROR(__xludf.DUMMYFUNCTION("""COMPUTED_VALUE"""),44397)</f>
        <v>44397</v>
      </c>
      <c r="B509" s="12">
        <f ca="1">IFERROR(__xludf.DUMMYFUNCTION("""COMPUTED_VALUE"""),2950058)</f>
        <v>2950058</v>
      </c>
      <c r="C509" s="12">
        <f ca="1">IFERROR(__xludf.DUMMYFUNCTION("""COMPUTED_VALUE"""),550192)</f>
        <v>550192</v>
      </c>
      <c r="D509" s="12">
        <f ca="1">IFERROR(__xludf.DUMMYFUNCTION("""COMPUTED_VALUE"""),2323666)</f>
        <v>2323666</v>
      </c>
      <c r="E509" s="12">
        <f ca="1">IFERROR(__xludf.DUMMYFUNCTION("""COMPUTED_VALUE"""),76200)</f>
        <v>76200</v>
      </c>
      <c r="F509" s="12">
        <f ca="1">IFERROR(__xludf.DUMMYFUNCTION("""COMPUTED_VALUE"""),10610)</f>
        <v>10610</v>
      </c>
      <c r="G509" s="12">
        <f ca="1">IFERROR(__xludf.DUMMYFUNCTION("""COMPUTED_VALUE"""),652242)</f>
        <v>652242</v>
      </c>
      <c r="H509" s="12">
        <f ca="1">IFERROR(__xludf.DUMMYFUNCTION("""COMPUTED_VALUE"""),75776)</f>
        <v>75776</v>
      </c>
      <c r="I509" s="12">
        <f ca="1">IFERROR(__xludf.DUMMYFUNCTION("""COMPUTED_VALUE"""),18897)</f>
        <v>18897</v>
      </c>
      <c r="J509" s="12">
        <f ca="1">IFERROR(__xludf.DUMMYFUNCTION("""COMPUTED_VALUE"""),757525)</f>
        <v>757525</v>
      </c>
      <c r="K509" s="12">
        <f ca="1">IFERROR(__xludf.DUMMYFUNCTION("""COMPUTED_VALUE"""),94673)</f>
        <v>94673</v>
      </c>
      <c r="L509" s="12">
        <f ca="1">IFERROR(__xludf.DUMMYFUNCTION("""COMPUTED_VALUE"""),38325)</f>
        <v>38325</v>
      </c>
      <c r="M509" s="12">
        <f ca="1">IFERROR(__xludf.DUMMYFUNCTION("""COMPUTED_VALUE"""),7254)</f>
        <v>7254</v>
      </c>
      <c r="N509" s="12">
        <f ca="1">IFERROR(__xludf.DUMMYFUNCTION("""COMPUTED_VALUE"""),29791)</f>
        <v>29791</v>
      </c>
      <c r="O509" s="12">
        <f ca="1">IFERROR(__xludf.DUMMYFUNCTION("""COMPUTED_VALUE"""),1280)</f>
        <v>1280</v>
      </c>
      <c r="P509" s="12">
        <f ca="1">IFERROR(__xludf.DUMMYFUNCTION("""COMPUTED_VALUE"""),265)</f>
        <v>265</v>
      </c>
      <c r="Q509" s="12">
        <f ca="1">IFERROR(__xludf.DUMMYFUNCTION("""COMPUTED_VALUE"""),12071)</f>
        <v>12071</v>
      </c>
      <c r="R509" s="12">
        <f ca="1">IFERROR(__xludf.DUMMYFUNCTION("""COMPUTED_VALUE"""),-5499)</f>
        <v>-5499</v>
      </c>
      <c r="S509" s="12">
        <f ca="1">IFERROR(__xludf.DUMMYFUNCTION("""COMPUTED_VALUE"""),-624)</f>
        <v>-624</v>
      </c>
      <c r="T509" s="12">
        <f ca="1">IFERROR(__xludf.DUMMYFUNCTION("""COMPUTED_VALUE"""),6213)</f>
        <v>6213</v>
      </c>
      <c r="U509" s="12">
        <f ca="1">IFERROR(__xludf.DUMMYFUNCTION("""COMPUTED_VALUE"""),-6123)</f>
        <v>-6123</v>
      </c>
    </row>
    <row r="510" spans="1:21" x14ac:dyDescent="0.25">
      <c r="A510" s="11">
        <f ca="1">IFERROR(__xludf.DUMMYFUNCTION("""COMPUTED_VALUE"""),44398)</f>
        <v>44398</v>
      </c>
      <c r="B510" s="12">
        <f ca="1">IFERROR(__xludf.DUMMYFUNCTION("""COMPUTED_VALUE"""),2983830)</f>
        <v>2983830</v>
      </c>
      <c r="C510" s="12">
        <f ca="1">IFERROR(__xludf.DUMMYFUNCTION("""COMPUTED_VALUE"""),549694)</f>
        <v>549694</v>
      </c>
      <c r="D510" s="12">
        <f ca="1">IFERROR(__xludf.DUMMYFUNCTION("""COMPUTED_VALUE"""),2356553)</f>
        <v>2356553</v>
      </c>
      <c r="E510" s="12">
        <f ca="1">IFERROR(__xludf.DUMMYFUNCTION("""COMPUTED_VALUE"""),77583)</f>
        <v>77583</v>
      </c>
      <c r="F510" s="12">
        <f ca="1">IFERROR(__xludf.DUMMYFUNCTION("""COMPUTED_VALUE"""),10692)</f>
        <v>10692</v>
      </c>
      <c r="G510" s="12">
        <f ca="1">IFERROR(__xludf.DUMMYFUNCTION("""COMPUTED_VALUE"""),662800)</f>
        <v>662800</v>
      </c>
      <c r="H510" s="12">
        <f ca="1">IFERROR(__xludf.DUMMYFUNCTION("""COMPUTED_VALUE"""),72115)</f>
        <v>72115</v>
      </c>
      <c r="I510" s="12">
        <f ca="1">IFERROR(__xludf.DUMMYFUNCTION("""COMPUTED_VALUE"""),17822)</f>
        <v>17822</v>
      </c>
      <c r="J510" s="12">
        <f ca="1">IFERROR(__xludf.DUMMYFUNCTION("""COMPUTED_VALUE"""),763429)</f>
        <v>763429</v>
      </c>
      <c r="K510" s="12">
        <f ca="1">IFERROR(__xludf.DUMMYFUNCTION("""COMPUTED_VALUE"""),89937)</f>
        <v>89937</v>
      </c>
      <c r="L510" s="12">
        <f ca="1">IFERROR(__xludf.DUMMYFUNCTION("""COMPUTED_VALUE"""),33772)</f>
        <v>33772</v>
      </c>
      <c r="M510" s="12">
        <f ca="1">IFERROR(__xludf.DUMMYFUNCTION("""COMPUTED_VALUE"""),-498)</f>
        <v>-498</v>
      </c>
      <c r="N510" s="12">
        <f ca="1">IFERROR(__xludf.DUMMYFUNCTION("""COMPUTED_VALUE"""),32887)</f>
        <v>32887</v>
      </c>
      <c r="O510" s="12">
        <f ca="1">IFERROR(__xludf.DUMMYFUNCTION("""COMPUTED_VALUE"""),1383)</f>
        <v>1383</v>
      </c>
      <c r="P510" s="12">
        <f ca="1">IFERROR(__xludf.DUMMYFUNCTION("""COMPUTED_VALUE"""),82)</f>
        <v>82</v>
      </c>
      <c r="Q510" s="12">
        <f ca="1">IFERROR(__xludf.DUMMYFUNCTION("""COMPUTED_VALUE"""),10558)</f>
        <v>10558</v>
      </c>
      <c r="R510" s="12">
        <f ca="1">IFERROR(__xludf.DUMMYFUNCTION("""COMPUTED_VALUE"""),-3661)</f>
        <v>-3661</v>
      </c>
      <c r="S510" s="12">
        <f ca="1">IFERROR(__xludf.DUMMYFUNCTION("""COMPUTED_VALUE"""),-1075)</f>
        <v>-1075</v>
      </c>
      <c r="T510" s="12">
        <f ca="1">IFERROR(__xludf.DUMMYFUNCTION("""COMPUTED_VALUE"""),5904)</f>
        <v>5904</v>
      </c>
      <c r="U510" s="12">
        <f ca="1">IFERROR(__xludf.DUMMYFUNCTION("""COMPUTED_VALUE"""),-4736)</f>
        <v>-4736</v>
      </c>
    </row>
    <row r="511" spans="1:21" x14ac:dyDescent="0.25">
      <c r="A511" s="11">
        <f ca="1">IFERROR(__xludf.DUMMYFUNCTION("""COMPUTED_VALUE"""),44399)</f>
        <v>44399</v>
      </c>
      <c r="B511" s="12">
        <f ca="1">IFERROR(__xludf.DUMMYFUNCTION("""COMPUTED_VALUE"""),3033339)</f>
        <v>3033339</v>
      </c>
      <c r="C511" s="12">
        <f ca="1">IFERROR(__xludf.DUMMYFUNCTION("""COMPUTED_VALUE"""),561384)</f>
        <v>561384</v>
      </c>
      <c r="D511" s="12">
        <f ca="1">IFERROR(__xludf.DUMMYFUNCTION("""COMPUTED_VALUE"""),2392923)</f>
        <v>2392923</v>
      </c>
      <c r="E511" s="12">
        <f ca="1">IFERROR(__xludf.DUMMYFUNCTION("""COMPUTED_VALUE"""),79032)</f>
        <v>79032</v>
      </c>
      <c r="F511" s="12">
        <f ca="1">IFERROR(__xludf.DUMMYFUNCTION("""COMPUTED_VALUE"""),10865)</f>
        <v>10865</v>
      </c>
      <c r="G511" s="12">
        <f ca="1">IFERROR(__xludf.DUMMYFUNCTION("""COMPUTED_VALUE"""),673424)</f>
        <v>673424</v>
      </c>
      <c r="H511" s="12">
        <f ca="1">IFERROR(__xludf.DUMMYFUNCTION("""COMPUTED_VALUE"""),68974)</f>
        <v>68974</v>
      </c>
      <c r="I511" s="12">
        <f ca="1">IFERROR(__xludf.DUMMYFUNCTION("""COMPUTED_VALUE"""),17224)</f>
        <v>17224</v>
      </c>
      <c r="J511" s="12">
        <f ca="1">IFERROR(__xludf.DUMMYFUNCTION("""COMPUTED_VALUE"""),770487)</f>
        <v>770487</v>
      </c>
      <c r="K511" s="12">
        <f ca="1">IFERROR(__xludf.DUMMYFUNCTION("""COMPUTED_VALUE"""),86198)</f>
        <v>86198</v>
      </c>
      <c r="L511" s="12">
        <f ca="1">IFERROR(__xludf.DUMMYFUNCTION("""COMPUTED_VALUE"""),49509)</f>
        <v>49509</v>
      </c>
      <c r="M511" s="12">
        <f ca="1">IFERROR(__xludf.DUMMYFUNCTION("""COMPUTED_VALUE"""),11690)</f>
        <v>11690</v>
      </c>
      <c r="N511" s="12">
        <f ca="1">IFERROR(__xludf.DUMMYFUNCTION("""COMPUTED_VALUE"""),36370)</f>
        <v>36370</v>
      </c>
      <c r="O511" s="12">
        <f ca="1">IFERROR(__xludf.DUMMYFUNCTION("""COMPUTED_VALUE"""),1449)</f>
        <v>1449</v>
      </c>
      <c r="P511" s="12">
        <f ca="1">IFERROR(__xludf.DUMMYFUNCTION("""COMPUTED_VALUE"""),173)</f>
        <v>173</v>
      </c>
      <c r="Q511" s="12">
        <f ca="1">IFERROR(__xludf.DUMMYFUNCTION("""COMPUTED_VALUE"""),10624)</f>
        <v>10624</v>
      </c>
      <c r="R511" s="12">
        <f ca="1">IFERROR(__xludf.DUMMYFUNCTION("""COMPUTED_VALUE"""),-3141)</f>
        <v>-3141</v>
      </c>
      <c r="S511" s="12">
        <f ca="1">IFERROR(__xludf.DUMMYFUNCTION("""COMPUTED_VALUE"""),-598)</f>
        <v>-598</v>
      </c>
      <c r="T511" s="12">
        <f ca="1">IFERROR(__xludf.DUMMYFUNCTION("""COMPUTED_VALUE"""),7058)</f>
        <v>7058</v>
      </c>
      <c r="U511" s="12">
        <f ca="1">IFERROR(__xludf.DUMMYFUNCTION("""COMPUTED_VALUE"""),-3739)</f>
        <v>-3739</v>
      </c>
    </row>
    <row r="512" spans="1:21" x14ac:dyDescent="0.25">
      <c r="A512" s="11">
        <f ca="1">IFERROR(__xludf.DUMMYFUNCTION("""COMPUTED_VALUE"""),44400)</f>
        <v>44400</v>
      </c>
      <c r="B512" s="12">
        <f ca="1">IFERROR(__xludf.DUMMYFUNCTION("""COMPUTED_VALUE"""),3082410)</f>
        <v>3082410</v>
      </c>
      <c r="C512" s="12">
        <f ca="1">IFERROR(__xludf.DUMMYFUNCTION("""COMPUTED_VALUE"""),569901)</f>
        <v>569901</v>
      </c>
      <c r="D512" s="12">
        <f ca="1">IFERROR(__xludf.DUMMYFUNCTION("""COMPUTED_VALUE"""),2431911)</f>
        <v>2431911</v>
      </c>
      <c r="E512" s="12">
        <f ca="1">IFERROR(__xludf.DUMMYFUNCTION("""COMPUTED_VALUE"""),80598)</f>
        <v>80598</v>
      </c>
      <c r="F512" s="12">
        <f ca="1">IFERROR(__xludf.DUMMYFUNCTION("""COMPUTED_VALUE"""),11021)</f>
        <v>11021</v>
      </c>
      <c r="G512" s="12">
        <f ca="1">IFERROR(__xludf.DUMMYFUNCTION("""COMPUTED_VALUE"""),687864)</f>
        <v>687864</v>
      </c>
      <c r="H512" s="12">
        <f ca="1">IFERROR(__xludf.DUMMYFUNCTION("""COMPUTED_VALUE"""),62789)</f>
        <v>62789</v>
      </c>
      <c r="I512" s="12">
        <f ca="1">IFERROR(__xludf.DUMMYFUNCTION("""COMPUTED_VALUE"""),16846)</f>
        <v>16846</v>
      </c>
      <c r="J512" s="12">
        <f ca="1">IFERROR(__xludf.DUMMYFUNCTION("""COMPUTED_VALUE"""),778520)</f>
        <v>778520</v>
      </c>
      <c r="K512" s="12">
        <f ca="1">IFERROR(__xludf.DUMMYFUNCTION("""COMPUTED_VALUE"""),79635)</f>
        <v>79635</v>
      </c>
      <c r="L512" s="12">
        <f ca="1">IFERROR(__xludf.DUMMYFUNCTION("""COMPUTED_VALUE"""),49071)</f>
        <v>49071</v>
      </c>
      <c r="M512" s="12">
        <f ca="1">IFERROR(__xludf.DUMMYFUNCTION("""COMPUTED_VALUE"""),8517)</f>
        <v>8517</v>
      </c>
      <c r="N512" s="12">
        <f ca="1">IFERROR(__xludf.DUMMYFUNCTION("""COMPUTED_VALUE"""),38988)</f>
        <v>38988</v>
      </c>
      <c r="O512" s="12">
        <f ca="1">IFERROR(__xludf.DUMMYFUNCTION("""COMPUTED_VALUE"""),1566)</f>
        <v>1566</v>
      </c>
      <c r="P512" s="12">
        <f ca="1">IFERROR(__xludf.DUMMYFUNCTION("""COMPUTED_VALUE"""),156)</f>
        <v>156</v>
      </c>
      <c r="Q512" s="12">
        <f ca="1">IFERROR(__xludf.DUMMYFUNCTION("""COMPUTED_VALUE"""),14440)</f>
        <v>14440</v>
      </c>
      <c r="R512" s="12">
        <f ca="1">IFERROR(__xludf.DUMMYFUNCTION("""COMPUTED_VALUE"""),-6185)</f>
        <v>-6185</v>
      </c>
      <c r="S512" s="12">
        <f ca="1">IFERROR(__xludf.DUMMYFUNCTION("""COMPUTED_VALUE"""),-378)</f>
        <v>-378</v>
      </c>
      <c r="T512" s="12">
        <f ca="1">IFERROR(__xludf.DUMMYFUNCTION("""COMPUTED_VALUE"""),8033)</f>
        <v>8033</v>
      </c>
      <c r="U512" s="12">
        <f ca="1">IFERROR(__xludf.DUMMYFUNCTION("""COMPUTED_VALUE"""),-6563)</f>
        <v>-6563</v>
      </c>
    </row>
    <row r="513" spans="1:21" x14ac:dyDescent="0.25">
      <c r="A513" s="11">
        <f ca="1">IFERROR(__xludf.DUMMYFUNCTION("""COMPUTED_VALUE"""),44401)</f>
        <v>44401</v>
      </c>
      <c r="B513" s="12">
        <f ca="1">IFERROR(__xludf.DUMMYFUNCTION("""COMPUTED_VALUE"""),3127826)</f>
        <v>3127826</v>
      </c>
      <c r="C513" s="12">
        <f ca="1">IFERROR(__xludf.DUMMYFUNCTION("""COMPUTED_VALUE"""),574135)</f>
        <v>574135</v>
      </c>
      <c r="D513" s="12">
        <f ca="1">IFERROR(__xludf.DUMMYFUNCTION("""COMPUTED_VALUE"""),2471678)</f>
        <v>2471678</v>
      </c>
      <c r="E513" s="12">
        <f ca="1">IFERROR(__xludf.DUMMYFUNCTION("""COMPUTED_VALUE"""),82013)</f>
        <v>82013</v>
      </c>
      <c r="F513" s="12">
        <f ca="1">IFERROR(__xludf.DUMMYFUNCTION("""COMPUTED_VALUE"""),11181)</f>
        <v>11181</v>
      </c>
      <c r="G513" s="12">
        <f ca="1">IFERROR(__xludf.DUMMYFUNCTION("""COMPUTED_VALUE"""),702477)</f>
        <v>702477</v>
      </c>
      <c r="H513" s="12">
        <f ca="1">IFERROR(__xludf.DUMMYFUNCTION("""COMPUTED_VALUE"""),56946)</f>
        <v>56946</v>
      </c>
      <c r="I513" s="12">
        <f ca="1">IFERROR(__xludf.DUMMYFUNCTION("""COMPUTED_VALUE"""),16276)</f>
        <v>16276</v>
      </c>
      <c r="J513" s="12">
        <f ca="1">IFERROR(__xludf.DUMMYFUNCTION("""COMPUTED_VALUE"""),786880)</f>
        <v>786880</v>
      </c>
      <c r="K513" s="12">
        <f ca="1">IFERROR(__xludf.DUMMYFUNCTION("""COMPUTED_VALUE"""),73222)</f>
        <v>73222</v>
      </c>
      <c r="L513" s="12">
        <f ca="1">IFERROR(__xludf.DUMMYFUNCTION("""COMPUTED_VALUE"""),45416)</f>
        <v>45416</v>
      </c>
      <c r="M513" s="12">
        <f ca="1">IFERROR(__xludf.DUMMYFUNCTION("""COMPUTED_VALUE"""),4234)</f>
        <v>4234</v>
      </c>
      <c r="N513" s="12">
        <f ca="1">IFERROR(__xludf.DUMMYFUNCTION("""COMPUTED_VALUE"""),39767)</f>
        <v>39767</v>
      </c>
      <c r="O513" s="12">
        <f ca="1">IFERROR(__xludf.DUMMYFUNCTION("""COMPUTED_VALUE"""),1415)</f>
        <v>1415</v>
      </c>
      <c r="P513" s="12">
        <f ca="1">IFERROR(__xludf.DUMMYFUNCTION("""COMPUTED_VALUE"""),160)</f>
        <v>160</v>
      </c>
      <c r="Q513" s="12">
        <f ca="1">IFERROR(__xludf.DUMMYFUNCTION("""COMPUTED_VALUE"""),14613)</f>
        <v>14613</v>
      </c>
      <c r="R513" s="12">
        <f ca="1">IFERROR(__xludf.DUMMYFUNCTION("""COMPUTED_VALUE"""),-5843)</f>
        <v>-5843</v>
      </c>
      <c r="S513" s="12">
        <f ca="1">IFERROR(__xludf.DUMMYFUNCTION("""COMPUTED_VALUE"""),-570)</f>
        <v>-570</v>
      </c>
      <c r="T513" s="12">
        <f ca="1">IFERROR(__xludf.DUMMYFUNCTION("""COMPUTED_VALUE"""),8360)</f>
        <v>8360</v>
      </c>
      <c r="U513" s="12">
        <f ca="1">IFERROR(__xludf.DUMMYFUNCTION("""COMPUTED_VALUE"""),-6413)</f>
        <v>-6413</v>
      </c>
    </row>
    <row r="514" spans="1:21" x14ac:dyDescent="0.25">
      <c r="A514" s="11">
        <f ca="1">IFERROR(__xludf.DUMMYFUNCTION("""COMPUTED_VALUE"""),44402)</f>
        <v>44402</v>
      </c>
      <c r="B514" s="12">
        <f ca="1">IFERROR(__xludf.DUMMYFUNCTION("""COMPUTED_VALUE"""),3166505)</f>
        <v>3166505</v>
      </c>
      <c r="C514" s="12">
        <f ca="1">IFERROR(__xludf.DUMMYFUNCTION("""COMPUTED_VALUE"""),573908)</f>
        <v>573908</v>
      </c>
      <c r="D514" s="12">
        <f ca="1">IFERROR(__xludf.DUMMYFUNCTION("""COMPUTED_VALUE"""),2509318)</f>
        <v>2509318</v>
      </c>
      <c r="E514" s="12">
        <f ca="1">IFERROR(__xludf.DUMMYFUNCTION("""COMPUTED_VALUE"""),83279)</f>
        <v>83279</v>
      </c>
      <c r="F514" s="12">
        <f ca="1">IFERROR(__xludf.DUMMYFUNCTION("""COMPUTED_VALUE"""),11333)</f>
        <v>11333</v>
      </c>
      <c r="G514" s="12">
        <f ca="1">IFERROR(__xludf.DUMMYFUNCTION("""COMPUTED_VALUE"""),716838)</f>
        <v>716838</v>
      </c>
      <c r="H514" s="12">
        <f ca="1">IFERROR(__xludf.DUMMYFUNCTION("""COMPUTED_VALUE"""),48934)</f>
        <v>48934</v>
      </c>
      <c r="I514" s="12">
        <f ca="1">IFERROR(__xludf.DUMMYFUNCTION("""COMPUTED_VALUE"""),15168)</f>
        <v>15168</v>
      </c>
      <c r="J514" s="12">
        <f ca="1">IFERROR(__xludf.DUMMYFUNCTION("""COMPUTED_VALUE"""),792273)</f>
        <v>792273</v>
      </c>
      <c r="K514" s="12">
        <f ca="1">IFERROR(__xludf.DUMMYFUNCTION("""COMPUTED_VALUE"""),64102)</f>
        <v>64102</v>
      </c>
      <c r="L514" s="12">
        <f ca="1">IFERROR(__xludf.DUMMYFUNCTION("""COMPUTED_VALUE"""),38679)</f>
        <v>38679</v>
      </c>
      <c r="M514" s="12">
        <f ca="1">IFERROR(__xludf.DUMMYFUNCTION("""COMPUTED_VALUE"""),-227)</f>
        <v>-227</v>
      </c>
      <c r="N514" s="12">
        <f ca="1">IFERROR(__xludf.DUMMYFUNCTION("""COMPUTED_VALUE"""),37640)</f>
        <v>37640</v>
      </c>
      <c r="O514" s="12">
        <f ca="1">IFERROR(__xludf.DUMMYFUNCTION("""COMPUTED_VALUE"""),1266)</f>
        <v>1266</v>
      </c>
      <c r="P514" s="12">
        <f ca="1">IFERROR(__xludf.DUMMYFUNCTION("""COMPUTED_VALUE"""),152)</f>
        <v>152</v>
      </c>
      <c r="Q514" s="12">
        <f ca="1">IFERROR(__xludf.DUMMYFUNCTION("""COMPUTED_VALUE"""),14361)</f>
        <v>14361</v>
      </c>
      <c r="R514" s="12">
        <f ca="1">IFERROR(__xludf.DUMMYFUNCTION("""COMPUTED_VALUE"""),-8012)</f>
        <v>-8012</v>
      </c>
      <c r="S514" s="12">
        <f ca="1">IFERROR(__xludf.DUMMYFUNCTION("""COMPUTED_VALUE"""),-1108)</f>
        <v>-1108</v>
      </c>
      <c r="T514" s="12">
        <f ca="1">IFERROR(__xludf.DUMMYFUNCTION("""COMPUTED_VALUE"""),5393)</f>
        <v>5393</v>
      </c>
      <c r="U514" s="12">
        <f ca="1">IFERROR(__xludf.DUMMYFUNCTION("""COMPUTED_VALUE"""),-9120)</f>
        <v>-9120</v>
      </c>
    </row>
    <row r="515" spans="1:21" x14ac:dyDescent="0.25">
      <c r="A515" s="11">
        <f ca="1">IFERROR(__xludf.DUMMYFUNCTION("""COMPUTED_VALUE"""),44403)</f>
        <v>44403</v>
      </c>
      <c r="B515" s="12">
        <f ca="1">IFERROR(__xludf.DUMMYFUNCTION("""COMPUTED_VALUE"""),3194733)</f>
        <v>3194733</v>
      </c>
      <c r="C515" s="12">
        <f ca="1">IFERROR(__xludf.DUMMYFUNCTION("""COMPUTED_VALUE"""),560275)</f>
        <v>560275</v>
      </c>
      <c r="D515" s="12">
        <f ca="1">IFERROR(__xludf.DUMMYFUNCTION("""COMPUTED_VALUE"""),2549692)</f>
        <v>2549692</v>
      </c>
      <c r="E515" s="12">
        <f ca="1">IFERROR(__xludf.DUMMYFUNCTION("""COMPUTED_VALUE"""),84766)</f>
        <v>84766</v>
      </c>
      <c r="F515" s="12">
        <f ca="1">IFERROR(__xludf.DUMMYFUNCTION("""COMPUTED_VALUE"""),11436)</f>
        <v>11436</v>
      </c>
      <c r="G515" s="12">
        <f ca="1">IFERROR(__xludf.DUMMYFUNCTION("""COMPUTED_VALUE"""),731504)</f>
        <v>731504</v>
      </c>
      <c r="H515" s="12">
        <f ca="1">IFERROR(__xludf.DUMMYFUNCTION("""COMPUTED_VALUE"""),38271)</f>
        <v>38271</v>
      </c>
      <c r="I515" s="12">
        <f ca="1">IFERROR(__xludf.DUMMYFUNCTION("""COMPUTED_VALUE"""),13724)</f>
        <v>13724</v>
      </c>
      <c r="J515" s="12">
        <f ca="1">IFERROR(__xludf.DUMMYFUNCTION("""COMPUTED_VALUE"""),794935)</f>
        <v>794935</v>
      </c>
      <c r="K515" s="12">
        <f ca="1">IFERROR(__xludf.DUMMYFUNCTION("""COMPUTED_VALUE"""),51995)</f>
        <v>51995</v>
      </c>
      <c r="L515" s="12">
        <f ca="1">IFERROR(__xludf.DUMMYFUNCTION("""COMPUTED_VALUE"""),28228)</f>
        <v>28228</v>
      </c>
      <c r="M515" s="12">
        <f ca="1">IFERROR(__xludf.DUMMYFUNCTION("""COMPUTED_VALUE"""),-13633)</f>
        <v>-13633</v>
      </c>
      <c r="N515" s="12">
        <f ca="1">IFERROR(__xludf.DUMMYFUNCTION("""COMPUTED_VALUE"""),40374)</f>
        <v>40374</v>
      </c>
      <c r="O515" s="12">
        <f ca="1">IFERROR(__xludf.DUMMYFUNCTION("""COMPUTED_VALUE"""),1487)</f>
        <v>1487</v>
      </c>
      <c r="P515" s="12">
        <f ca="1">IFERROR(__xludf.DUMMYFUNCTION("""COMPUTED_VALUE"""),103)</f>
        <v>103</v>
      </c>
      <c r="Q515" s="12">
        <f ca="1">IFERROR(__xludf.DUMMYFUNCTION("""COMPUTED_VALUE"""),14666)</f>
        <v>14666</v>
      </c>
      <c r="R515" s="12">
        <f ca="1">IFERROR(__xludf.DUMMYFUNCTION("""COMPUTED_VALUE"""),-10663)</f>
        <v>-10663</v>
      </c>
      <c r="S515" s="12">
        <f ca="1">IFERROR(__xludf.DUMMYFUNCTION("""COMPUTED_VALUE"""),-1444)</f>
        <v>-1444</v>
      </c>
      <c r="T515" s="12">
        <f ca="1">IFERROR(__xludf.DUMMYFUNCTION("""COMPUTED_VALUE"""),2662)</f>
        <v>2662</v>
      </c>
      <c r="U515" s="12">
        <f ca="1">IFERROR(__xludf.DUMMYFUNCTION("""COMPUTED_VALUE"""),-12107)</f>
        <v>-12107</v>
      </c>
    </row>
    <row r="516" spans="1:21" x14ac:dyDescent="0.25">
      <c r="A516" s="11">
        <f ca="1">IFERROR(__xludf.DUMMYFUNCTION("""COMPUTED_VALUE"""),44404)</f>
        <v>44404</v>
      </c>
      <c r="B516" s="12">
        <f ca="1">IFERROR(__xludf.DUMMYFUNCTION("""COMPUTED_VALUE"""),3239936)</f>
        <v>3239936</v>
      </c>
      <c r="C516" s="12">
        <f ca="1">IFERROR(__xludf.DUMMYFUNCTION("""COMPUTED_VALUE"""),556281)</f>
        <v>556281</v>
      </c>
      <c r="D516" s="12">
        <f ca="1">IFERROR(__xludf.DUMMYFUNCTION("""COMPUTED_VALUE"""),2596820)</f>
        <v>2596820</v>
      </c>
      <c r="E516" s="12">
        <f ca="1">IFERROR(__xludf.DUMMYFUNCTION("""COMPUTED_VALUE"""),86835)</f>
        <v>86835</v>
      </c>
      <c r="F516" s="12">
        <f ca="1">IFERROR(__xludf.DUMMYFUNCTION("""COMPUTED_VALUE"""),11606)</f>
        <v>11606</v>
      </c>
      <c r="G516" s="12">
        <f ca="1">IFERROR(__xludf.DUMMYFUNCTION("""COMPUTED_VALUE"""),746087)</f>
        <v>746087</v>
      </c>
      <c r="H516" s="12">
        <f ca="1">IFERROR(__xludf.DUMMYFUNCTION("""COMPUTED_VALUE"""),26961)</f>
        <v>26961</v>
      </c>
      <c r="I516" s="12">
        <f ca="1">IFERROR(__xludf.DUMMYFUNCTION("""COMPUTED_VALUE"""),13848)</f>
        <v>13848</v>
      </c>
      <c r="J516" s="12">
        <f ca="1">IFERROR(__xludf.DUMMYFUNCTION("""COMPUTED_VALUE"""),798502)</f>
        <v>798502</v>
      </c>
      <c r="K516" s="12">
        <f ca="1">IFERROR(__xludf.DUMMYFUNCTION("""COMPUTED_VALUE"""),40809)</f>
        <v>40809</v>
      </c>
      <c r="L516" s="12">
        <f ca="1">IFERROR(__xludf.DUMMYFUNCTION("""COMPUTED_VALUE"""),45203)</f>
        <v>45203</v>
      </c>
      <c r="M516" s="12">
        <f ca="1">IFERROR(__xludf.DUMMYFUNCTION("""COMPUTED_VALUE"""),-3994)</f>
        <v>-3994</v>
      </c>
      <c r="N516" s="12">
        <f ca="1">IFERROR(__xludf.DUMMYFUNCTION("""COMPUTED_VALUE"""),47128)</f>
        <v>47128</v>
      </c>
      <c r="O516" s="12">
        <f ca="1">IFERROR(__xludf.DUMMYFUNCTION("""COMPUTED_VALUE"""),2069)</f>
        <v>2069</v>
      </c>
      <c r="P516" s="12">
        <f ca="1">IFERROR(__xludf.DUMMYFUNCTION("""COMPUTED_VALUE"""),170)</f>
        <v>170</v>
      </c>
      <c r="Q516" s="12">
        <f ca="1">IFERROR(__xludf.DUMMYFUNCTION("""COMPUTED_VALUE"""),14583)</f>
        <v>14583</v>
      </c>
      <c r="R516" s="12">
        <f ca="1">IFERROR(__xludf.DUMMYFUNCTION("""COMPUTED_VALUE"""),-11310)</f>
        <v>-11310</v>
      </c>
      <c r="S516" s="12">
        <f ca="1">IFERROR(__xludf.DUMMYFUNCTION("""COMPUTED_VALUE"""),124)</f>
        <v>124</v>
      </c>
      <c r="T516" s="12">
        <f ca="1">IFERROR(__xludf.DUMMYFUNCTION("""COMPUTED_VALUE"""),3567)</f>
        <v>3567</v>
      </c>
      <c r="U516" s="12">
        <f ca="1">IFERROR(__xludf.DUMMYFUNCTION("""COMPUTED_VALUE"""),-11186)</f>
        <v>-11186</v>
      </c>
    </row>
    <row r="517" spans="1:21" x14ac:dyDescent="0.25">
      <c r="A517" s="11">
        <f ca="1">IFERROR(__xludf.DUMMYFUNCTION("""COMPUTED_VALUE"""),44405)</f>
        <v>44405</v>
      </c>
      <c r="B517" s="12">
        <f ca="1">IFERROR(__xludf.DUMMYFUNCTION("""COMPUTED_VALUE"""),3287727)</f>
        <v>3287727</v>
      </c>
      <c r="C517" s="12">
        <f ca="1">IFERROR(__xludf.DUMMYFUNCTION("""COMPUTED_VALUE"""),558392)</f>
        <v>558392</v>
      </c>
      <c r="D517" s="12">
        <f ca="1">IFERROR(__xludf.DUMMYFUNCTION("""COMPUTED_VALUE"""),2640676)</f>
        <v>2640676</v>
      </c>
      <c r="E517" s="12">
        <f ca="1">IFERROR(__xludf.DUMMYFUNCTION("""COMPUTED_VALUE"""),88659)</f>
        <v>88659</v>
      </c>
      <c r="F517" s="12">
        <f ca="1">IFERROR(__xludf.DUMMYFUNCTION("""COMPUTED_VALUE"""),11688)</f>
        <v>11688</v>
      </c>
      <c r="G517" s="12">
        <f ca="1">IFERROR(__xludf.DUMMYFUNCTION("""COMPUTED_VALUE"""),757122)</f>
        <v>757122</v>
      </c>
      <c r="H517" s="12">
        <f ca="1">IFERROR(__xludf.DUMMYFUNCTION("""COMPUTED_VALUE"""),22332)</f>
        <v>22332</v>
      </c>
      <c r="I517" s="12">
        <f ca="1">IFERROR(__xludf.DUMMYFUNCTION("""COMPUTED_VALUE"""),12885)</f>
        <v>12885</v>
      </c>
      <c r="J517" s="12">
        <f ca="1">IFERROR(__xludf.DUMMYFUNCTION("""COMPUTED_VALUE"""),804027)</f>
        <v>804027</v>
      </c>
      <c r="K517" s="12">
        <f ca="1">IFERROR(__xludf.DUMMYFUNCTION("""COMPUTED_VALUE"""),35217)</f>
        <v>35217</v>
      </c>
      <c r="L517" s="12">
        <f ca="1">IFERROR(__xludf.DUMMYFUNCTION("""COMPUTED_VALUE"""),47791)</f>
        <v>47791</v>
      </c>
      <c r="M517" s="12">
        <f ca="1">IFERROR(__xludf.DUMMYFUNCTION("""COMPUTED_VALUE"""),2111)</f>
        <v>2111</v>
      </c>
      <c r="N517" s="12">
        <f ca="1">IFERROR(__xludf.DUMMYFUNCTION("""COMPUTED_VALUE"""),43856)</f>
        <v>43856</v>
      </c>
      <c r="O517" s="12">
        <f ca="1">IFERROR(__xludf.DUMMYFUNCTION("""COMPUTED_VALUE"""),1824)</f>
        <v>1824</v>
      </c>
      <c r="P517" s="12">
        <f ca="1">IFERROR(__xludf.DUMMYFUNCTION("""COMPUTED_VALUE"""),82)</f>
        <v>82</v>
      </c>
      <c r="Q517" s="12">
        <f ca="1">IFERROR(__xludf.DUMMYFUNCTION("""COMPUTED_VALUE"""),11035)</f>
        <v>11035</v>
      </c>
      <c r="R517" s="12">
        <f ca="1">IFERROR(__xludf.DUMMYFUNCTION("""COMPUTED_VALUE"""),-4629)</f>
        <v>-4629</v>
      </c>
      <c r="S517" s="12">
        <f ca="1">IFERROR(__xludf.DUMMYFUNCTION("""COMPUTED_VALUE"""),-963)</f>
        <v>-963</v>
      </c>
      <c r="T517" s="12">
        <f ca="1">IFERROR(__xludf.DUMMYFUNCTION("""COMPUTED_VALUE"""),5525)</f>
        <v>5525</v>
      </c>
      <c r="U517" s="12">
        <f ca="1">IFERROR(__xludf.DUMMYFUNCTION("""COMPUTED_VALUE"""),-5592)</f>
        <v>-5592</v>
      </c>
    </row>
    <row r="518" spans="1:21" x14ac:dyDescent="0.25">
      <c r="A518" s="11">
        <f ca="1">IFERROR(__xludf.DUMMYFUNCTION("""COMPUTED_VALUE"""),44406)</f>
        <v>44406</v>
      </c>
      <c r="B518" s="12">
        <f ca="1">IFERROR(__xludf.DUMMYFUNCTION("""COMPUTED_VALUE"""),3331206)</f>
        <v>3331206</v>
      </c>
      <c r="C518" s="12">
        <f ca="1">IFERROR(__xludf.DUMMYFUNCTION("""COMPUTED_VALUE"""),554484)</f>
        <v>554484</v>
      </c>
      <c r="D518" s="12">
        <f ca="1">IFERROR(__xludf.DUMMYFUNCTION("""COMPUTED_VALUE"""),2686170)</f>
        <v>2686170</v>
      </c>
      <c r="E518" s="12">
        <f ca="1">IFERROR(__xludf.DUMMYFUNCTION("""COMPUTED_VALUE"""),90552)</f>
        <v>90552</v>
      </c>
      <c r="F518" s="12">
        <f ca="1">IFERROR(__xludf.DUMMYFUNCTION("""COMPUTED_VALUE"""),11844)</f>
        <v>11844</v>
      </c>
      <c r="G518" s="12">
        <f ca="1">IFERROR(__xludf.DUMMYFUNCTION("""COMPUTED_VALUE"""),768562)</f>
        <v>768562</v>
      </c>
      <c r="H518" s="12">
        <f ca="1">IFERROR(__xludf.DUMMYFUNCTION("""COMPUTED_VALUE"""),16676)</f>
        <v>16676</v>
      </c>
      <c r="I518" s="12">
        <f ca="1">IFERROR(__xludf.DUMMYFUNCTION("""COMPUTED_VALUE"""),10790)</f>
        <v>10790</v>
      </c>
      <c r="J518" s="12">
        <f ca="1">IFERROR(__xludf.DUMMYFUNCTION("""COMPUTED_VALUE"""),807872)</f>
        <v>807872</v>
      </c>
      <c r="K518" s="12">
        <f ca="1">IFERROR(__xludf.DUMMYFUNCTION("""COMPUTED_VALUE"""),27466)</f>
        <v>27466</v>
      </c>
      <c r="L518" s="12">
        <f ca="1">IFERROR(__xludf.DUMMYFUNCTION("""COMPUTED_VALUE"""),43479)</f>
        <v>43479</v>
      </c>
      <c r="M518" s="12">
        <f ca="1">IFERROR(__xludf.DUMMYFUNCTION("""COMPUTED_VALUE"""),-3908)</f>
        <v>-3908</v>
      </c>
      <c r="N518" s="12">
        <f ca="1">IFERROR(__xludf.DUMMYFUNCTION("""COMPUTED_VALUE"""),45494)</f>
        <v>45494</v>
      </c>
      <c r="O518" s="12">
        <f ca="1">IFERROR(__xludf.DUMMYFUNCTION("""COMPUTED_VALUE"""),1893)</f>
        <v>1893</v>
      </c>
      <c r="P518" s="12">
        <f ca="1">IFERROR(__xludf.DUMMYFUNCTION("""COMPUTED_VALUE"""),156)</f>
        <v>156</v>
      </c>
      <c r="Q518" s="12">
        <f ca="1">IFERROR(__xludf.DUMMYFUNCTION("""COMPUTED_VALUE"""),11440)</f>
        <v>11440</v>
      </c>
      <c r="R518" s="12">
        <f ca="1">IFERROR(__xludf.DUMMYFUNCTION("""COMPUTED_VALUE"""),-5656)</f>
        <v>-5656</v>
      </c>
      <c r="S518" s="12">
        <f ca="1">IFERROR(__xludf.DUMMYFUNCTION("""COMPUTED_VALUE"""),-2095)</f>
        <v>-2095</v>
      </c>
      <c r="T518" s="12">
        <f ca="1">IFERROR(__xludf.DUMMYFUNCTION("""COMPUTED_VALUE"""),3845)</f>
        <v>3845</v>
      </c>
      <c r="U518" s="12">
        <f ca="1">IFERROR(__xludf.DUMMYFUNCTION("""COMPUTED_VALUE"""),-7751)</f>
        <v>-7751</v>
      </c>
    </row>
    <row r="519" spans="1:21" x14ac:dyDescent="0.25">
      <c r="A519" s="11">
        <f ca="1">IFERROR(__xludf.DUMMYFUNCTION("""COMPUTED_VALUE"""),44407)</f>
        <v>44407</v>
      </c>
      <c r="B519" s="12">
        <f ca="1">IFERROR(__xludf.DUMMYFUNCTION("""COMPUTED_VALUE"""),3372374)</f>
        <v>3372374</v>
      </c>
      <c r="C519" s="12">
        <f ca="1">IFERROR(__xludf.DUMMYFUNCTION("""COMPUTED_VALUE"""),549343)</f>
        <v>549343</v>
      </c>
      <c r="D519" s="12">
        <f ca="1">IFERROR(__xludf.DUMMYFUNCTION("""COMPUTED_VALUE"""),2730720)</f>
        <v>2730720</v>
      </c>
      <c r="E519" s="12">
        <f ca="1">IFERROR(__xludf.DUMMYFUNCTION("""COMPUTED_VALUE"""),92311)</f>
        <v>92311</v>
      </c>
      <c r="F519" s="12">
        <f ca="1">IFERROR(__xludf.DUMMYFUNCTION("""COMPUTED_VALUE"""),11952)</f>
        <v>11952</v>
      </c>
      <c r="G519" s="12">
        <f ca="1">IFERROR(__xludf.DUMMYFUNCTION("""COMPUTED_VALUE"""),779720)</f>
        <v>779720</v>
      </c>
      <c r="H519" s="12">
        <f ca="1">IFERROR(__xludf.DUMMYFUNCTION("""COMPUTED_VALUE"""),11264)</f>
        <v>11264</v>
      </c>
      <c r="I519" s="12">
        <f ca="1">IFERROR(__xludf.DUMMYFUNCTION("""COMPUTED_VALUE"""),8390)</f>
        <v>8390</v>
      </c>
      <c r="J519" s="12">
        <f ca="1">IFERROR(__xludf.DUMMYFUNCTION("""COMPUTED_VALUE"""),811326)</f>
        <v>811326</v>
      </c>
      <c r="K519" s="12">
        <f ca="1">IFERROR(__xludf.DUMMYFUNCTION("""COMPUTED_VALUE"""),19654)</f>
        <v>19654</v>
      </c>
      <c r="L519" s="12">
        <f ca="1">IFERROR(__xludf.DUMMYFUNCTION("""COMPUTED_VALUE"""),41168)</f>
        <v>41168</v>
      </c>
      <c r="M519" s="12">
        <f ca="1">IFERROR(__xludf.DUMMYFUNCTION("""COMPUTED_VALUE"""),-5141)</f>
        <v>-5141</v>
      </c>
      <c r="N519" s="12">
        <f ca="1">IFERROR(__xludf.DUMMYFUNCTION("""COMPUTED_VALUE"""),44550)</f>
        <v>44550</v>
      </c>
      <c r="O519" s="12">
        <f ca="1">IFERROR(__xludf.DUMMYFUNCTION("""COMPUTED_VALUE"""),1759)</f>
        <v>1759</v>
      </c>
      <c r="P519" s="12">
        <f ca="1">IFERROR(__xludf.DUMMYFUNCTION("""COMPUTED_VALUE"""),108)</f>
        <v>108</v>
      </c>
      <c r="Q519" s="12">
        <f ca="1">IFERROR(__xludf.DUMMYFUNCTION("""COMPUTED_VALUE"""),11158)</f>
        <v>11158</v>
      </c>
      <c r="R519" s="12">
        <f ca="1">IFERROR(__xludf.DUMMYFUNCTION("""COMPUTED_VALUE"""),-5412)</f>
        <v>-5412</v>
      </c>
      <c r="S519" s="12">
        <f ca="1">IFERROR(__xludf.DUMMYFUNCTION("""COMPUTED_VALUE"""),-2400)</f>
        <v>-2400</v>
      </c>
      <c r="T519" s="12">
        <f ca="1">IFERROR(__xludf.DUMMYFUNCTION("""COMPUTED_VALUE"""),3454)</f>
        <v>3454</v>
      </c>
      <c r="U519" s="12">
        <f ca="1">IFERROR(__xludf.DUMMYFUNCTION("""COMPUTED_VALUE"""),-7812)</f>
        <v>-7812</v>
      </c>
    </row>
    <row r="520" spans="1:21" x14ac:dyDescent="0.25">
      <c r="A520" s="11">
        <f ca="1">IFERROR(__xludf.DUMMYFUNCTION("""COMPUTED_VALUE"""),44408)</f>
        <v>44408</v>
      </c>
      <c r="B520" s="12">
        <f ca="1">IFERROR(__xludf.DUMMYFUNCTION("""COMPUTED_VALUE"""),3409658)</f>
        <v>3409658</v>
      </c>
      <c r="C520" s="12">
        <f ca="1">IFERROR(__xludf.DUMMYFUNCTION("""COMPUTED_VALUE"""),545447)</f>
        <v>545447</v>
      </c>
      <c r="D520" s="12">
        <f ca="1">IFERROR(__xludf.DUMMYFUNCTION("""COMPUTED_VALUE"""),2770092)</f>
        <v>2770092</v>
      </c>
      <c r="E520" s="12">
        <f ca="1">IFERROR(__xludf.DUMMYFUNCTION("""COMPUTED_VALUE"""),94119)</f>
        <v>94119</v>
      </c>
      <c r="F520" s="12">
        <f ca="1">IFERROR(__xludf.DUMMYFUNCTION("""COMPUTED_VALUE"""),12135)</f>
        <v>12135</v>
      </c>
      <c r="G520" s="12">
        <f ca="1">IFERROR(__xludf.DUMMYFUNCTION("""COMPUTED_VALUE"""),784668)</f>
        <v>784668</v>
      </c>
      <c r="H520" s="12">
        <f ca="1">IFERROR(__xludf.DUMMYFUNCTION("""COMPUTED_VALUE"""),10134)</f>
        <v>10134</v>
      </c>
      <c r="I520" s="12">
        <f ca="1">IFERROR(__xludf.DUMMYFUNCTION("""COMPUTED_VALUE"""),7716)</f>
        <v>7716</v>
      </c>
      <c r="J520" s="12">
        <f ca="1">IFERROR(__xludf.DUMMYFUNCTION("""COMPUTED_VALUE"""),814653)</f>
        <v>814653</v>
      </c>
      <c r="K520" s="12">
        <f ca="1">IFERROR(__xludf.DUMMYFUNCTION("""COMPUTED_VALUE"""),17850)</f>
        <v>17850</v>
      </c>
      <c r="L520" s="12">
        <f ca="1">IFERROR(__xludf.DUMMYFUNCTION("""COMPUTED_VALUE"""),37284)</f>
        <v>37284</v>
      </c>
      <c r="M520" s="12">
        <f ca="1">IFERROR(__xludf.DUMMYFUNCTION("""COMPUTED_VALUE"""),-3896)</f>
        <v>-3896</v>
      </c>
      <c r="N520" s="12">
        <f ca="1">IFERROR(__xludf.DUMMYFUNCTION("""COMPUTED_VALUE"""),39372)</f>
        <v>39372</v>
      </c>
      <c r="O520" s="12">
        <f ca="1">IFERROR(__xludf.DUMMYFUNCTION("""COMPUTED_VALUE"""),1808)</f>
        <v>1808</v>
      </c>
      <c r="P520" s="12">
        <f ca="1">IFERROR(__xludf.DUMMYFUNCTION("""COMPUTED_VALUE"""),183)</f>
        <v>183</v>
      </c>
      <c r="Q520" s="12">
        <f ca="1">IFERROR(__xludf.DUMMYFUNCTION("""COMPUTED_VALUE"""),4948)</f>
        <v>4948</v>
      </c>
      <c r="R520" s="12">
        <f ca="1">IFERROR(__xludf.DUMMYFUNCTION("""COMPUTED_VALUE"""),-1130)</f>
        <v>-1130</v>
      </c>
      <c r="S520" s="12">
        <f ca="1">IFERROR(__xludf.DUMMYFUNCTION("""COMPUTED_VALUE"""),-674)</f>
        <v>-674</v>
      </c>
      <c r="T520" s="12">
        <f ca="1">IFERROR(__xludf.DUMMYFUNCTION("""COMPUTED_VALUE"""),3327)</f>
        <v>3327</v>
      </c>
      <c r="U520" s="12">
        <f ca="1">IFERROR(__xludf.DUMMYFUNCTION("""COMPUTED_VALUE"""),-1804)</f>
        <v>-1804</v>
      </c>
    </row>
    <row r="521" spans="1:21" x14ac:dyDescent="0.25">
      <c r="A521" s="11">
        <f ca="1">IFERROR(__xludf.DUMMYFUNCTION("""COMPUTED_VALUE"""),44409)</f>
        <v>44409</v>
      </c>
      <c r="B521" s="12">
        <f ca="1">IFERROR(__xludf.DUMMYFUNCTION("""COMPUTED_VALUE"""),3440396)</f>
        <v>3440396</v>
      </c>
      <c r="C521" s="12">
        <f ca="1">IFERROR(__xludf.DUMMYFUNCTION("""COMPUTED_VALUE"""),535135)</f>
        <v>535135</v>
      </c>
      <c r="D521" s="12">
        <f ca="1">IFERROR(__xludf.DUMMYFUNCTION("""COMPUTED_VALUE"""),2809538)</f>
        <v>2809538</v>
      </c>
      <c r="E521" s="12">
        <f ca="1">IFERROR(__xludf.DUMMYFUNCTION("""COMPUTED_VALUE"""),95723)</f>
        <v>95723</v>
      </c>
      <c r="F521" s="12">
        <f ca="1">IFERROR(__xludf.DUMMYFUNCTION("""COMPUTED_VALUE"""),12209)</f>
        <v>12209</v>
      </c>
      <c r="G521" s="12">
        <f ca="1">IFERROR(__xludf.DUMMYFUNCTION("""COMPUTED_VALUE"""),789261)</f>
        <v>789261</v>
      </c>
      <c r="H521" s="12">
        <f ca="1">IFERROR(__xludf.DUMMYFUNCTION("""COMPUTED_VALUE"""),9399)</f>
        <v>9399</v>
      </c>
      <c r="I521" s="12">
        <f ca="1">IFERROR(__xludf.DUMMYFUNCTION("""COMPUTED_VALUE"""),6485)</f>
        <v>6485</v>
      </c>
      <c r="J521" s="12">
        <f ca="1">IFERROR(__xludf.DUMMYFUNCTION("""COMPUTED_VALUE"""),817354)</f>
        <v>817354</v>
      </c>
      <c r="K521" s="12">
        <f ca="1">IFERROR(__xludf.DUMMYFUNCTION("""COMPUTED_VALUE"""),15884)</f>
        <v>15884</v>
      </c>
      <c r="L521" s="12">
        <f ca="1">IFERROR(__xludf.DUMMYFUNCTION("""COMPUTED_VALUE"""),30738)</f>
        <v>30738</v>
      </c>
      <c r="M521" s="12">
        <f ca="1">IFERROR(__xludf.DUMMYFUNCTION("""COMPUTED_VALUE"""),-10312)</f>
        <v>-10312</v>
      </c>
      <c r="N521" s="12">
        <f ca="1">IFERROR(__xludf.DUMMYFUNCTION("""COMPUTED_VALUE"""),39446)</f>
        <v>39446</v>
      </c>
      <c r="O521" s="12">
        <f ca="1">IFERROR(__xludf.DUMMYFUNCTION("""COMPUTED_VALUE"""),1604)</f>
        <v>1604</v>
      </c>
      <c r="P521" s="12">
        <f ca="1">IFERROR(__xludf.DUMMYFUNCTION("""COMPUTED_VALUE"""),74)</f>
        <v>74</v>
      </c>
      <c r="Q521" s="12">
        <f ca="1">IFERROR(__xludf.DUMMYFUNCTION("""COMPUTED_VALUE"""),4593)</f>
        <v>4593</v>
      </c>
      <c r="R521" s="12">
        <f ca="1">IFERROR(__xludf.DUMMYFUNCTION("""COMPUTED_VALUE"""),-735)</f>
        <v>-735</v>
      </c>
      <c r="S521" s="12">
        <f ca="1">IFERROR(__xludf.DUMMYFUNCTION("""COMPUTED_VALUE"""),-1231)</f>
        <v>-1231</v>
      </c>
      <c r="T521" s="12">
        <f ca="1">IFERROR(__xludf.DUMMYFUNCTION("""COMPUTED_VALUE"""),2701)</f>
        <v>2701</v>
      </c>
      <c r="U521" s="12">
        <f ca="1">IFERROR(__xludf.DUMMYFUNCTION("""COMPUTED_VALUE"""),-1966)</f>
        <v>-1966</v>
      </c>
    </row>
    <row r="522" spans="1:21" x14ac:dyDescent="0.25">
      <c r="A522" s="11">
        <f ca="1">IFERROR(__xludf.DUMMYFUNCTION("""COMPUTED_VALUE"""),44410)</f>
        <v>44410</v>
      </c>
      <c r="B522" s="12">
        <f ca="1">IFERROR(__xludf.DUMMYFUNCTION("""COMPUTED_VALUE"""),3462800)</f>
        <v>3462800</v>
      </c>
      <c r="C522" s="12">
        <f ca="1">IFERROR(__xludf.DUMMYFUNCTION("""COMPUTED_VALUE"""),523164)</f>
        <v>523164</v>
      </c>
      <c r="D522" s="12">
        <f ca="1">IFERROR(__xludf.DUMMYFUNCTION("""COMPUTED_VALUE"""),2842345)</f>
        <v>2842345</v>
      </c>
      <c r="E522" s="12">
        <f ca="1">IFERROR(__xludf.DUMMYFUNCTION("""COMPUTED_VALUE"""),97291)</f>
        <v>97291</v>
      </c>
      <c r="F522" s="12">
        <f ca="1">IFERROR(__xludf.DUMMYFUNCTION("""COMPUTED_VALUE"""),12363)</f>
        <v>12363</v>
      </c>
      <c r="G522" s="12">
        <f ca="1">IFERROR(__xludf.DUMMYFUNCTION("""COMPUTED_VALUE"""),791422)</f>
        <v>791422</v>
      </c>
      <c r="H522" s="12">
        <f ca="1">IFERROR(__xludf.DUMMYFUNCTION("""COMPUTED_VALUE"""),9202)</f>
        <v>9202</v>
      </c>
      <c r="I522" s="12">
        <f ca="1">IFERROR(__xludf.DUMMYFUNCTION("""COMPUTED_VALUE"""),5777)</f>
        <v>5777</v>
      </c>
      <c r="J522" s="12">
        <f ca="1">IFERROR(__xludf.DUMMYFUNCTION("""COMPUTED_VALUE"""),818764)</f>
        <v>818764</v>
      </c>
      <c r="K522" s="12">
        <f ca="1">IFERROR(__xludf.DUMMYFUNCTION("""COMPUTED_VALUE"""),14979)</f>
        <v>14979</v>
      </c>
      <c r="L522" s="12">
        <f ca="1">IFERROR(__xludf.DUMMYFUNCTION("""COMPUTED_VALUE"""),22404)</f>
        <v>22404</v>
      </c>
      <c r="M522" s="12">
        <f ca="1">IFERROR(__xludf.DUMMYFUNCTION("""COMPUTED_VALUE"""),-11971)</f>
        <v>-11971</v>
      </c>
      <c r="N522" s="12">
        <f ca="1">IFERROR(__xludf.DUMMYFUNCTION("""COMPUTED_VALUE"""),32807)</f>
        <v>32807</v>
      </c>
      <c r="O522" s="12">
        <f ca="1">IFERROR(__xludf.DUMMYFUNCTION("""COMPUTED_VALUE"""),1568)</f>
        <v>1568</v>
      </c>
      <c r="P522" s="12">
        <f ca="1">IFERROR(__xludf.DUMMYFUNCTION("""COMPUTED_VALUE"""),154)</f>
        <v>154</v>
      </c>
      <c r="Q522" s="12">
        <f ca="1">IFERROR(__xludf.DUMMYFUNCTION("""COMPUTED_VALUE"""),2161)</f>
        <v>2161</v>
      </c>
      <c r="R522" s="12">
        <f ca="1">IFERROR(__xludf.DUMMYFUNCTION("""COMPUTED_VALUE"""),-197)</f>
        <v>-197</v>
      </c>
      <c r="S522" s="12">
        <f ca="1">IFERROR(__xludf.DUMMYFUNCTION("""COMPUTED_VALUE"""),-708)</f>
        <v>-708</v>
      </c>
      <c r="T522" s="12">
        <f ca="1">IFERROR(__xludf.DUMMYFUNCTION("""COMPUTED_VALUE"""),1410)</f>
        <v>1410</v>
      </c>
      <c r="U522" s="12">
        <f ca="1">IFERROR(__xludf.DUMMYFUNCTION("""COMPUTED_VALUE"""),-905)</f>
        <v>-905</v>
      </c>
    </row>
    <row r="523" spans="1:21" x14ac:dyDescent="0.25">
      <c r="A523" s="11">
        <f ca="1">IFERROR(__xludf.DUMMYFUNCTION("""COMPUTED_VALUE"""),44411)</f>
        <v>44411</v>
      </c>
      <c r="B523" s="12">
        <f ca="1">IFERROR(__xludf.DUMMYFUNCTION("""COMPUTED_VALUE"""),3496700)</f>
        <v>3496700</v>
      </c>
      <c r="C523" s="12">
        <f ca="1">IFERROR(__xludf.DUMMYFUNCTION("""COMPUTED_VALUE"""),524142)</f>
        <v>524142</v>
      </c>
      <c r="D523" s="12">
        <f ca="1">IFERROR(__xludf.DUMMYFUNCTION("""COMPUTED_VALUE"""),2873669)</f>
        <v>2873669</v>
      </c>
      <c r="E523" s="12">
        <f ca="1">IFERROR(__xludf.DUMMYFUNCTION("""COMPUTED_VALUE"""),98889)</f>
        <v>98889</v>
      </c>
      <c r="F523" s="12">
        <f ca="1">IFERROR(__xludf.DUMMYFUNCTION("""COMPUTED_VALUE"""),12433)</f>
        <v>12433</v>
      </c>
      <c r="G523" s="12">
        <f ca="1">IFERROR(__xludf.DUMMYFUNCTION("""COMPUTED_VALUE"""),793928)</f>
        <v>793928</v>
      </c>
      <c r="H523" s="12">
        <f ca="1">IFERROR(__xludf.DUMMYFUNCTION("""COMPUTED_VALUE"""),8705)</f>
        <v>8705</v>
      </c>
      <c r="I523" s="12">
        <f ca="1">IFERROR(__xludf.DUMMYFUNCTION("""COMPUTED_VALUE"""),5299)</f>
        <v>5299</v>
      </c>
      <c r="J523" s="12">
        <f ca="1">IFERROR(__xludf.DUMMYFUNCTION("""COMPUTED_VALUE"""),820365)</f>
        <v>820365</v>
      </c>
      <c r="K523" s="12">
        <f ca="1">IFERROR(__xludf.DUMMYFUNCTION("""COMPUTED_VALUE"""),14004)</f>
        <v>14004</v>
      </c>
      <c r="L523" s="12">
        <f ca="1">IFERROR(__xludf.DUMMYFUNCTION("""COMPUTED_VALUE"""),33900)</f>
        <v>33900</v>
      </c>
      <c r="M523" s="12">
        <f ca="1">IFERROR(__xludf.DUMMYFUNCTION("""COMPUTED_VALUE"""),978)</f>
        <v>978</v>
      </c>
      <c r="N523" s="12">
        <f ca="1">IFERROR(__xludf.DUMMYFUNCTION("""COMPUTED_VALUE"""),31324)</f>
        <v>31324</v>
      </c>
      <c r="O523" s="12">
        <f ca="1">IFERROR(__xludf.DUMMYFUNCTION("""COMPUTED_VALUE"""),1598)</f>
        <v>1598</v>
      </c>
      <c r="P523" s="12">
        <f ca="1">IFERROR(__xludf.DUMMYFUNCTION("""COMPUTED_VALUE"""),70)</f>
        <v>70</v>
      </c>
      <c r="Q523" s="12">
        <f ca="1">IFERROR(__xludf.DUMMYFUNCTION("""COMPUTED_VALUE"""),2506)</f>
        <v>2506</v>
      </c>
      <c r="R523" s="12">
        <f ca="1">IFERROR(__xludf.DUMMYFUNCTION("""COMPUTED_VALUE"""),-497)</f>
        <v>-497</v>
      </c>
      <c r="S523" s="12">
        <f ca="1">IFERROR(__xludf.DUMMYFUNCTION("""COMPUTED_VALUE"""),-478)</f>
        <v>-478</v>
      </c>
      <c r="T523" s="12">
        <f ca="1">IFERROR(__xludf.DUMMYFUNCTION("""COMPUTED_VALUE"""),1601)</f>
        <v>1601</v>
      </c>
      <c r="U523" s="12">
        <f ca="1">IFERROR(__xludf.DUMMYFUNCTION("""COMPUTED_VALUE"""),-975)</f>
        <v>-975</v>
      </c>
    </row>
    <row r="524" spans="1:21" x14ac:dyDescent="0.25">
      <c r="A524" s="11">
        <f ca="1">IFERROR(__xludf.DUMMYFUNCTION("""COMPUTED_VALUE"""),44412)</f>
        <v>44412</v>
      </c>
      <c r="B524" s="12">
        <f ca="1">IFERROR(__xludf.DUMMYFUNCTION("""COMPUTED_VALUE"""),3532567)</f>
        <v>3532567</v>
      </c>
      <c r="C524" s="12">
        <f ca="1">IFERROR(__xludf.DUMMYFUNCTION("""COMPUTED_VALUE"""),524011)</f>
        <v>524011</v>
      </c>
      <c r="D524" s="12">
        <f ca="1">IFERROR(__xludf.DUMMYFUNCTION("""COMPUTED_VALUE"""),2907920)</f>
        <v>2907920</v>
      </c>
      <c r="E524" s="12">
        <f ca="1">IFERROR(__xludf.DUMMYFUNCTION("""COMPUTED_VALUE"""),100636)</f>
        <v>100636</v>
      </c>
      <c r="F524" s="12">
        <f ca="1">IFERROR(__xludf.DUMMYFUNCTION("""COMPUTED_VALUE"""),12514)</f>
        <v>12514</v>
      </c>
      <c r="G524" s="12">
        <f ca="1">IFERROR(__xludf.DUMMYFUNCTION("""COMPUTED_VALUE"""),796381)</f>
        <v>796381</v>
      </c>
      <c r="H524" s="12">
        <f ca="1">IFERROR(__xludf.DUMMYFUNCTION("""COMPUTED_VALUE"""),9535)</f>
        <v>9535</v>
      </c>
      <c r="I524" s="12">
        <f ca="1">IFERROR(__xludf.DUMMYFUNCTION("""COMPUTED_VALUE"""),4916)</f>
        <v>4916</v>
      </c>
      <c r="J524" s="12">
        <f ca="1">IFERROR(__xludf.DUMMYFUNCTION("""COMPUTED_VALUE"""),823346)</f>
        <v>823346</v>
      </c>
      <c r="K524" s="12">
        <f ca="1">IFERROR(__xludf.DUMMYFUNCTION("""COMPUTED_VALUE"""),14451)</f>
        <v>14451</v>
      </c>
      <c r="L524" s="12">
        <f ca="1">IFERROR(__xludf.DUMMYFUNCTION("""COMPUTED_VALUE"""),35867)</f>
        <v>35867</v>
      </c>
      <c r="M524" s="12">
        <f ca="1">IFERROR(__xludf.DUMMYFUNCTION("""COMPUTED_VALUE"""),-131)</f>
        <v>-131</v>
      </c>
      <c r="N524" s="12">
        <f ca="1">IFERROR(__xludf.DUMMYFUNCTION("""COMPUTED_VALUE"""),34251)</f>
        <v>34251</v>
      </c>
      <c r="O524" s="12">
        <f ca="1">IFERROR(__xludf.DUMMYFUNCTION("""COMPUTED_VALUE"""),1747)</f>
        <v>1747</v>
      </c>
      <c r="P524" s="12">
        <f ca="1">IFERROR(__xludf.DUMMYFUNCTION("""COMPUTED_VALUE"""),81)</f>
        <v>81</v>
      </c>
      <c r="Q524" s="12">
        <f ca="1">IFERROR(__xludf.DUMMYFUNCTION("""COMPUTED_VALUE"""),2453)</f>
        <v>2453</v>
      </c>
      <c r="R524" s="12">
        <f ca="1">IFERROR(__xludf.DUMMYFUNCTION("""COMPUTED_VALUE"""),830)</f>
        <v>830</v>
      </c>
      <c r="S524" s="12">
        <f ca="1">IFERROR(__xludf.DUMMYFUNCTION("""COMPUTED_VALUE"""),-383)</f>
        <v>-383</v>
      </c>
      <c r="T524" s="12">
        <f ca="1">IFERROR(__xludf.DUMMYFUNCTION("""COMPUTED_VALUE"""),2981)</f>
        <v>2981</v>
      </c>
      <c r="U524" s="12">
        <f ca="1">IFERROR(__xludf.DUMMYFUNCTION("""COMPUTED_VALUE"""),447)</f>
        <v>447</v>
      </c>
    </row>
    <row r="525" spans="1:21" x14ac:dyDescent="0.25">
      <c r="A525" s="11">
        <f ca="1">IFERROR(__xludf.DUMMYFUNCTION("""COMPUTED_VALUE"""),44413)</f>
        <v>44413</v>
      </c>
      <c r="B525" s="12">
        <f ca="1">IFERROR(__xludf.DUMMYFUNCTION("""COMPUTED_VALUE"""),3568331)</f>
        <v>3568331</v>
      </c>
      <c r="C525" s="12">
        <f ca="1">IFERROR(__xludf.DUMMYFUNCTION("""COMPUTED_VALUE"""),518310)</f>
        <v>518310</v>
      </c>
      <c r="D525" s="12">
        <f ca="1">IFERROR(__xludf.DUMMYFUNCTION("""COMPUTED_VALUE"""),2947646)</f>
        <v>2947646</v>
      </c>
      <c r="E525" s="12">
        <f ca="1">IFERROR(__xludf.DUMMYFUNCTION("""COMPUTED_VALUE"""),102375)</f>
        <v>102375</v>
      </c>
      <c r="F525" s="12">
        <f ca="1">IFERROR(__xludf.DUMMYFUNCTION("""COMPUTED_VALUE"""),12629)</f>
        <v>12629</v>
      </c>
      <c r="G525" s="12">
        <f ca="1">IFERROR(__xludf.DUMMYFUNCTION("""COMPUTED_VALUE"""),799151)</f>
        <v>799151</v>
      </c>
      <c r="H525" s="12">
        <f ca="1">IFERROR(__xludf.DUMMYFUNCTION("""COMPUTED_VALUE"""),9458)</f>
        <v>9458</v>
      </c>
      <c r="I525" s="12">
        <f ca="1">IFERROR(__xludf.DUMMYFUNCTION("""COMPUTED_VALUE"""),4419)</f>
        <v>4419</v>
      </c>
      <c r="J525" s="12">
        <f ca="1">IFERROR(__xludf.DUMMYFUNCTION("""COMPUTED_VALUE"""),825657)</f>
        <v>825657</v>
      </c>
      <c r="K525" s="12">
        <f ca="1">IFERROR(__xludf.DUMMYFUNCTION("""COMPUTED_VALUE"""),13877)</f>
        <v>13877</v>
      </c>
      <c r="L525" s="12">
        <f ca="1">IFERROR(__xludf.DUMMYFUNCTION("""COMPUTED_VALUE"""),35764)</f>
        <v>35764</v>
      </c>
      <c r="M525" s="12">
        <f ca="1">IFERROR(__xludf.DUMMYFUNCTION("""COMPUTED_VALUE"""),-5701)</f>
        <v>-5701</v>
      </c>
      <c r="N525" s="12">
        <f ca="1">IFERROR(__xludf.DUMMYFUNCTION("""COMPUTED_VALUE"""),39726)</f>
        <v>39726</v>
      </c>
      <c r="O525" s="12">
        <f ca="1">IFERROR(__xludf.DUMMYFUNCTION("""COMPUTED_VALUE"""),1739)</f>
        <v>1739</v>
      </c>
      <c r="P525" s="12">
        <f ca="1">IFERROR(__xludf.DUMMYFUNCTION("""COMPUTED_VALUE"""),115)</f>
        <v>115</v>
      </c>
      <c r="Q525" s="12">
        <f ca="1">IFERROR(__xludf.DUMMYFUNCTION("""COMPUTED_VALUE"""),2770)</f>
        <v>2770</v>
      </c>
      <c r="R525" s="12">
        <f ca="1">IFERROR(__xludf.DUMMYFUNCTION("""COMPUTED_VALUE"""),-77)</f>
        <v>-77</v>
      </c>
      <c r="S525" s="12">
        <f ca="1">IFERROR(__xludf.DUMMYFUNCTION("""COMPUTED_VALUE"""),-497)</f>
        <v>-497</v>
      </c>
      <c r="T525" s="12">
        <f ca="1">IFERROR(__xludf.DUMMYFUNCTION("""COMPUTED_VALUE"""),2311)</f>
        <v>2311</v>
      </c>
      <c r="U525" s="12">
        <f ca="1">IFERROR(__xludf.DUMMYFUNCTION("""COMPUTED_VALUE"""),-574)</f>
        <v>-574</v>
      </c>
    </row>
    <row r="526" spans="1:21" x14ac:dyDescent="0.25">
      <c r="A526" s="11">
        <f ca="1">IFERROR(__xludf.DUMMYFUNCTION("""COMPUTED_VALUE"""),44414)</f>
        <v>44414</v>
      </c>
      <c r="B526" s="12">
        <f ca="1">IFERROR(__xludf.DUMMYFUNCTION("""COMPUTED_VALUE"""),3607863)</f>
        <v>3607863</v>
      </c>
      <c r="C526" s="12">
        <f ca="1">IFERROR(__xludf.DUMMYFUNCTION("""COMPUTED_VALUE"""),507375)</f>
        <v>507375</v>
      </c>
      <c r="D526" s="12">
        <f ca="1">IFERROR(__xludf.DUMMYFUNCTION("""COMPUTED_VALUE"""),2996478)</f>
        <v>2996478</v>
      </c>
      <c r="E526" s="12">
        <f ca="1">IFERROR(__xludf.DUMMYFUNCTION("""COMPUTED_VALUE"""),104010)</f>
        <v>104010</v>
      </c>
      <c r="F526" s="12">
        <f ca="1">IFERROR(__xludf.DUMMYFUNCTION("""COMPUTED_VALUE"""),12682)</f>
        <v>12682</v>
      </c>
      <c r="G526" s="12">
        <f ca="1">IFERROR(__xludf.DUMMYFUNCTION("""COMPUTED_VALUE"""),802373)</f>
        <v>802373</v>
      </c>
      <c r="H526" s="12">
        <f ca="1">IFERROR(__xludf.DUMMYFUNCTION("""COMPUTED_VALUE"""),8813)</f>
        <v>8813</v>
      </c>
      <c r="I526" s="12">
        <f ca="1">IFERROR(__xludf.DUMMYFUNCTION("""COMPUTED_VALUE"""),3974)</f>
        <v>3974</v>
      </c>
      <c r="J526" s="12">
        <f ca="1">IFERROR(__xludf.DUMMYFUNCTION("""COMPUTED_VALUE"""),827842)</f>
        <v>827842</v>
      </c>
      <c r="K526" s="12">
        <f ca="1">IFERROR(__xludf.DUMMYFUNCTION("""COMPUTED_VALUE"""),12787)</f>
        <v>12787</v>
      </c>
      <c r="L526" s="12">
        <f ca="1">IFERROR(__xludf.DUMMYFUNCTION("""COMPUTED_VALUE"""),39532)</f>
        <v>39532</v>
      </c>
      <c r="M526" s="12">
        <f ca="1">IFERROR(__xludf.DUMMYFUNCTION("""COMPUTED_VALUE"""),-10935)</f>
        <v>-10935</v>
      </c>
      <c r="N526" s="12">
        <f ca="1">IFERROR(__xludf.DUMMYFUNCTION("""COMPUTED_VALUE"""),48832)</f>
        <v>48832</v>
      </c>
      <c r="O526" s="12">
        <f ca="1">IFERROR(__xludf.DUMMYFUNCTION("""COMPUTED_VALUE"""),1635)</f>
        <v>1635</v>
      </c>
      <c r="P526" s="12">
        <f ca="1">IFERROR(__xludf.DUMMYFUNCTION("""COMPUTED_VALUE"""),53)</f>
        <v>53</v>
      </c>
      <c r="Q526" s="12">
        <f ca="1">IFERROR(__xludf.DUMMYFUNCTION("""COMPUTED_VALUE"""),3222)</f>
        <v>3222</v>
      </c>
      <c r="R526" s="12">
        <f ca="1">IFERROR(__xludf.DUMMYFUNCTION("""COMPUTED_VALUE"""),-645)</f>
        <v>-645</v>
      </c>
      <c r="S526" s="12">
        <f ca="1">IFERROR(__xludf.DUMMYFUNCTION("""COMPUTED_VALUE"""),-445)</f>
        <v>-445</v>
      </c>
      <c r="T526" s="12">
        <f ca="1">IFERROR(__xludf.DUMMYFUNCTION("""COMPUTED_VALUE"""),2185)</f>
        <v>2185</v>
      </c>
      <c r="U526" s="12">
        <f ca="1">IFERROR(__xludf.DUMMYFUNCTION("""COMPUTED_VALUE"""),-1090)</f>
        <v>-1090</v>
      </c>
    </row>
    <row r="527" spans="1:21" x14ac:dyDescent="0.25">
      <c r="A527" s="11">
        <f ca="1">IFERROR(__xludf.DUMMYFUNCTION("""COMPUTED_VALUE"""),44415)</f>
        <v>44415</v>
      </c>
      <c r="B527" s="12">
        <f ca="1">IFERROR(__xludf.DUMMYFUNCTION("""COMPUTED_VALUE"""),3639616)</f>
        <v>3639616</v>
      </c>
      <c r="C527" s="12">
        <f ca="1">IFERROR(__xludf.DUMMYFUNCTION("""COMPUTED_VALUE"""),497824)</f>
        <v>497824</v>
      </c>
      <c r="D527" s="12">
        <f ca="1">IFERROR(__xludf.DUMMYFUNCTION("""COMPUTED_VALUE"""),3036194)</f>
        <v>3036194</v>
      </c>
      <c r="E527" s="12">
        <f ca="1">IFERROR(__xludf.DUMMYFUNCTION("""COMPUTED_VALUE"""),105598)</f>
        <v>105598</v>
      </c>
      <c r="F527" s="12">
        <f ca="1">IFERROR(__xludf.DUMMYFUNCTION("""COMPUTED_VALUE"""),12750)</f>
        <v>12750</v>
      </c>
      <c r="G527" s="12">
        <f ca="1">IFERROR(__xludf.DUMMYFUNCTION("""COMPUTED_VALUE"""),806924)</f>
        <v>806924</v>
      </c>
      <c r="H527" s="12">
        <f ca="1">IFERROR(__xludf.DUMMYFUNCTION("""COMPUTED_VALUE"""),6957)</f>
        <v>6957</v>
      </c>
      <c r="I527" s="12">
        <f ca="1">IFERROR(__xludf.DUMMYFUNCTION("""COMPUTED_VALUE"""),3219)</f>
        <v>3219</v>
      </c>
      <c r="J527" s="12">
        <f ca="1">IFERROR(__xludf.DUMMYFUNCTION("""COMPUTED_VALUE"""),829850)</f>
        <v>829850</v>
      </c>
      <c r="K527" s="12">
        <f ca="1">IFERROR(__xludf.DUMMYFUNCTION("""COMPUTED_VALUE"""),10176)</f>
        <v>10176</v>
      </c>
      <c r="L527" s="12">
        <f ca="1">IFERROR(__xludf.DUMMYFUNCTION("""COMPUTED_VALUE"""),31753)</f>
        <v>31753</v>
      </c>
      <c r="M527" s="12">
        <f ca="1">IFERROR(__xludf.DUMMYFUNCTION("""COMPUTED_VALUE"""),-9551)</f>
        <v>-9551</v>
      </c>
      <c r="N527" s="12">
        <f ca="1">IFERROR(__xludf.DUMMYFUNCTION("""COMPUTED_VALUE"""),39716)</f>
        <v>39716</v>
      </c>
      <c r="O527" s="12">
        <f ca="1">IFERROR(__xludf.DUMMYFUNCTION("""COMPUTED_VALUE"""),1588)</f>
        <v>1588</v>
      </c>
      <c r="P527" s="12">
        <f ca="1">IFERROR(__xludf.DUMMYFUNCTION("""COMPUTED_VALUE"""),68)</f>
        <v>68</v>
      </c>
      <c r="Q527" s="12">
        <f ca="1">IFERROR(__xludf.DUMMYFUNCTION("""COMPUTED_VALUE"""),4551)</f>
        <v>4551</v>
      </c>
      <c r="R527" s="12">
        <f ca="1">IFERROR(__xludf.DUMMYFUNCTION("""COMPUTED_VALUE"""),-1856)</f>
        <v>-1856</v>
      </c>
      <c r="S527" s="12">
        <f ca="1">IFERROR(__xludf.DUMMYFUNCTION("""COMPUTED_VALUE"""),-755)</f>
        <v>-755</v>
      </c>
      <c r="T527" s="12">
        <f ca="1">IFERROR(__xludf.DUMMYFUNCTION("""COMPUTED_VALUE"""),2008)</f>
        <v>2008</v>
      </c>
      <c r="U527" s="12">
        <f ca="1">IFERROR(__xludf.DUMMYFUNCTION("""COMPUTED_VALUE"""),-2611)</f>
        <v>-2611</v>
      </c>
    </row>
    <row r="528" spans="1:21" x14ac:dyDescent="0.25">
      <c r="A528" s="11">
        <f ca="1">IFERROR(__xludf.DUMMYFUNCTION("""COMPUTED_VALUE"""),44416)</f>
        <v>44416</v>
      </c>
      <c r="B528" s="12">
        <f ca="1">IFERROR(__xludf.DUMMYFUNCTION("""COMPUTED_VALUE"""),3666031)</f>
        <v>3666031</v>
      </c>
      <c r="C528" s="12">
        <f ca="1">IFERROR(__xludf.DUMMYFUNCTION("""COMPUTED_VALUE"""),474233)</f>
        <v>474233</v>
      </c>
      <c r="D528" s="12">
        <f ca="1">IFERROR(__xludf.DUMMYFUNCTION("""COMPUTED_VALUE"""),3084702)</f>
        <v>3084702</v>
      </c>
      <c r="E528" s="12">
        <f ca="1">IFERROR(__xludf.DUMMYFUNCTION("""COMPUTED_VALUE"""),107096)</f>
        <v>107096</v>
      </c>
      <c r="F528" s="12">
        <f ca="1">IFERROR(__xludf.DUMMYFUNCTION("""COMPUTED_VALUE"""),12770)</f>
        <v>12770</v>
      </c>
      <c r="G528" s="12">
        <f ca="1">IFERROR(__xludf.DUMMYFUNCTION("""COMPUTED_VALUE"""),808087)</f>
        <v>808087</v>
      </c>
      <c r="H528" s="12">
        <f ca="1">IFERROR(__xludf.DUMMYFUNCTION("""COMPUTED_VALUE"""),7567)</f>
        <v>7567</v>
      </c>
      <c r="I528" s="12">
        <f ca="1">IFERROR(__xludf.DUMMYFUNCTION("""COMPUTED_VALUE"""),3075)</f>
        <v>3075</v>
      </c>
      <c r="J528" s="12">
        <f ca="1">IFERROR(__xludf.DUMMYFUNCTION("""COMPUTED_VALUE"""),831499)</f>
        <v>831499</v>
      </c>
      <c r="K528" s="12">
        <f ca="1">IFERROR(__xludf.DUMMYFUNCTION("""COMPUTED_VALUE"""),10642)</f>
        <v>10642</v>
      </c>
      <c r="L528" s="12">
        <f ca="1">IFERROR(__xludf.DUMMYFUNCTION("""COMPUTED_VALUE"""),26415)</f>
        <v>26415</v>
      </c>
      <c r="M528" s="12">
        <f ca="1">IFERROR(__xludf.DUMMYFUNCTION("""COMPUTED_VALUE"""),-23591)</f>
        <v>-23591</v>
      </c>
      <c r="N528" s="12">
        <f ca="1">IFERROR(__xludf.DUMMYFUNCTION("""COMPUTED_VALUE"""),48508)</f>
        <v>48508</v>
      </c>
      <c r="O528" s="12">
        <f ca="1">IFERROR(__xludf.DUMMYFUNCTION("""COMPUTED_VALUE"""),1498)</f>
        <v>1498</v>
      </c>
      <c r="P528" s="12">
        <f ca="1">IFERROR(__xludf.DUMMYFUNCTION("""COMPUTED_VALUE"""),20)</f>
        <v>20</v>
      </c>
      <c r="Q528" s="12">
        <f ca="1">IFERROR(__xludf.DUMMYFUNCTION("""COMPUTED_VALUE"""),1163)</f>
        <v>1163</v>
      </c>
      <c r="R528" s="12">
        <f ca="1">IFERROR(__xludf.DUMMYFUNCTION("""COMPUTED_VALUE"""),610)</f>
        <v>610</v>
      </c>
      <c r="S528" s="12">
        <f ca="1">IFERROR(__xludf.DUMMYFUNCTION("""COMPUTED_VALUE"""),-144)</f>
        <v>-144</v>
      </c>
      <c r="T528" s="12">
        <f ca="1">IFERROR(__xludf.DUMMYFUNCTION("""COMPUTED_VALUE"""),1649)</f>
        <v>1649</v>
      </c>
      <c r="U528" s="12">
        <f ca="1">IFERROR(__xludf.DUMMYFUNCTION("""COMPUTED_VALUE"""),466)</f>
        <v>466</v>
      </c>
    </row>
    <row r="529" spans="1:21" x14ac:dyDescent="0.25">
      <c r="A529" s="11">
        <f ca="1">IFERROR(__xludf.DUMMYFUNCTION("""COMPUTED_VALUE"""),44417)</f>
        <v>44417</v>
      </c>
      <c r="B529" s="12">
        <f ca="1">IFERROR(__xludf.DUMMYFUNCTION("""COMPUTED_VALUE"""),3686740)</f>
        <v>3686740</v>
      </c>
      <c r="C529" s="12">
        <f ca="1">IFERROR(__xludf.DUMMYFUNCTION("""COMPUTED_VALUE"""),448508)</f>
        <v>448508</v>
      </c>
      <c r="D529" s="12">
        <f ca="1">IFERROR(__xludf.DUMMYFUNCTION("""COMPUTED_VALUE"""),3129661)</f>
        <v>3129661</v>
      </c>
      <c r="E529" s="12">
        <f ca="1">IFERROR(__xludf.DUMMYFUNCTION("""COMPUTED_VALUE"""),108571)</f>
        <v>108571</v>
      </c>
      <c r="F529" s="12">
        <f ca="1">IFERROR(__xludf.DUMMYFUNCTION("""COMPUTED_VALUE"""),12783)</f>
        <v>12783</v>
      </c>
      <c r="G529" s="12">
        <f ca="1">IFERROR(__xludf.DUMMYFUNCTION("""COMPUTED_VALUE"""),809087)</f>
        <v>809087</v>
      </c>
      <c r="H529" s="12">
        <f ca="1">IFERROR(__xludf.DUMMYFUNCTION("""COMPUTED_VALUE"""),7430)</f>
        <v>7430</v>
      </c>
      <c r="I529" s="12">
        <f ca="1">IFERROR(__xludf.DUMMYFUNCTION("""COMPUTED_VALUE"""),2926)</f>
        <v>2926</v>
      </c>
      <c r="J529" s="12">
        <f ca="1">IFERROR(__xludf.DUMMYFUNCTION("""COMPUTED_VALUE"""),832226)</f>
        <v>832226</v>
      </c>
      <c r="K529" s="12">
        <f ca="1">IFERROR(__xludf.DUMMYFUNCTION("""COMPUTED_VALUE"""),10356)</f>
        <v>10356</v>
      </c>
      <c r="L529" s="12">
        <f ca="1">IFERROR(__xludf.DUMMYFUNCTION("""COMPUTED_VALUE"""),20709)</f>
        <v>20709</v>
      </c>
      <c r="M529" s="12">
        <f ca="1">IFERROR(__xludf.DUMMYFUNCTION("""COMPUTED_VALUE"""),-25725)</f>
        <v>-25725</v>
      </c>
      <c r="N529" s="12">
        <f ca="1">IFERROR(__xludf.DUMMYFUNCTION("""COMPUTED_VALUE"""),44959)</f>
        <v>44959</v>
      </c>
      <c r="O529" s="12">
        <f ca="1">IFERROR(__xludf.DUMMYFUNCTION("""COMPUTED_VALUE"""),1475)</f>
        <v>1475</v>
      </c>
      <c r="P529" s="12">
        <f ca="1">IFERROR(__xludf.DUMMYFUNCTION("""COMPUTED_VALUE"""),13)</f>
        <v>13</v>
      </c>
      <c r="Q529" s="12">
        <f ca="1">IFERROR(__xludf.DUMMYFUNCTION("""COMPUTED_VALUE"""),1000)</f>
        <v>1000</v>
      </c>
      <c r="R529" s="12">
        <f ca="1">IFERROR(__xludf.DUMMYFUNCTION("""COMPUTED_VALUE"""),-137)</f>
        <v>-137</v>
      </c>
      <c r="S529" s="12">
        <f ca="1">IFERROR(__xludf.DUMMYFUNCTION("""COMPUTED_VALUE"""),-149)</f>
        <v>-149</v>
      </c>
      <c r="T529" s="12">
        <f ca="1">IFERROR(__xludf.DUMMYFUNCTION("""COMPUTED_VALUE"""),727)</f>
        <v>727</v>
      </c>
      <c r="U529" s="12">
        <f ca="1">IFERROR(__xludf.DUMMYFUNCTION("""COMPUTED_VALUE"""),-286)</f>
        <v>-286</v>
      </c>
    </row>
    <row r="530" spans="1:21" x14ac:dyDescent="0.25">
      <c r="A530" s="11">
        <f ca="1">IFERROR(__xludf.DUMMYFUNCTION("""COMPUTED_VALUE"""),44418)</f>
        <v>44418</v>
      </c>
      <c r="B530" s="12">
        <f ca="1">IFERROR(__xludf.DUMMYFUNCTION("""COMPUTED_VALUE"""),3718821)</f>
        <v>3718821</v>
      </c>
      <c r="C530" s="12">
        <f ca="1">IFERROR(__xludf.DUMMYFUNCTION("""COMPUTED_VALUE"""),437055)</f>
        <v>437055</v>
      </c>
      <c r="D530" s="12">
        <f ca="1">IFERROR(__xludf.DUMMYFUNCTION("""COMPUTED_VALUE"""),3171147)</f>
        <v>3171147</v>
      </c>
      <c r="E530" s="12">
        <f ca="1">IFERROR(__xludf.DUMMYFUNCTION("""COMPUTED_VALUE"""),110619)</f>
        <v>110619</v>
      </c>
      <c r="F530" s="12">
        <f ca="1">IFERROR(__xludf.DUMMYFUNCTION("""COMPUTED_VALUE"""),12824)</f>
        <v>12824</v>
      </c>
      <c r="G530" s="12">
        <f ca="1">IFERROR(__xludf.DUMMYFUNCTION("""COMPUTED_VALUE"""),810308)</f>
        <v>810308</v>
      </c>
      <c r="H530" s="12">
        <f ca="1">IFERROR(__xludf.DUMMYFUNCTION("""COMPUTED_VALUE"""),7495)</f>
        <v>7495</v>
      </c>
      <c r="I530" s="12">
        <f ca="1">IFERROR(__xludf.DUMMYFUNCTION("""COMPUTED_VALUE"""),3024)</f>
        <v>3024</v>
      </c>
      <c r="J530" s="12">
        <f ca="1">IFERROR(__xludf.DUMMYFUNCTION("""COMPUTED_VALUE"""),833651)</f>
        <v>833651</v>
      </c>
      <c r="K530" s="12">
        <f ca="1">IFERROR(__xludf.DUMMYFUNCTION("""COMPUTED_VALUE"""),10519)</f>
        <v>10519</v>
      </c>
      <c r="L530" s="12">
        <f ca="1">IFERROR(__xludf.DUMMYFUNCTION("""COMPUTED_VALUE"""),32081)</f>
        <v>32081</v>
      </c>
      <c r="M530" s="12">
        <f ca="1">IFERROR(__xludf.DUMMYFUNCTION("""COMPUTED_VALUE"""),-11453)</f>
        <v>-11453</v>
      </c>
      <c r="N530" s="12">
        <f ca="1">IFERROR(__xludf.DUMMYFUNCTION("""COMPUTED_VALUE"""),41486)</f>
        <v>41486</v>
      </c>
      <c r="O530" s="12">
        <f ca="1">IFERROR(__xludf.DUMMYFUNCTION("""COMPUTED_VALUE"""),2048)</f>
        <v>2048</v>
      </c>
      <c r="P530" s="12">
        <f ca="1">IFERROR(__xludf.DUMMYFUNCTION("""COMPUTED_VALUE"""),41)</f>
        <v>41</v>
      </c>
      <c r="Q530" s="12">
        <f ca="1">IFERROR(__xludf.DUMMYFUNCTION("""COMPUTED_VALUE"""),1221)</f>
        <v>1221</v>
      </c>
      <c r="R530" s="12">
        <f ca="1">IFERROR(__xludf.DUMMYFUNCTION("""COMPUTED_VALUE"""),65)</f>
        <v>65</v>
      </c>
      <c r="S530" s="12">
        <f ca="1">IFERROR(__xludf.DUMMYFUNCTION("""COMPUTED_VALUE"""),98)</f>
        <v>98</v>
      </c>
      <c r="T530" s="12">
        <f ca="1">IFERROR(__xludf.DUMMYFUNCTION("""COMPUTED_VALUE"""),1425)</f>
        <v>1425</v>
      </c>
      <c r="U530" s="12">
        <f ca="1">IFERROR(__xludf.DUMMYFUNCTION("""COMPUTED_VALUE"""),163)</f>
        <v>163</v>
      </c>
    </row>
    <row r="531" spans="1:21" x14ac:dyDescent="0.25">
      <c r="A531" s="11">
        <f ca="1">IFERROR(__xludf.DUMMYFUNCTION("""COMPUTED_VALUE"""),44419)</f>
        <v>44419</v>
      </c>
      <c r="B531" s="12">
        <f ca="1">IFERROR(__xludf.DUMMYFUNCTION("""COMPUTED_VALUE"""),3749446)</f>
        <v>3749446</v>
      </c>
      <c r="C531" s="12">
        <f ca="1">IFERROR(__xludf.DUMMYFUNCTION("""COMPUTED_VALUE"""),426170)</f>
        <v>426170</v>
      </c>
      <c r="D531" s="12">
        <f ca="1">IFERROR(__xludf.DUMMYFUNCTION("""COMPUTED_VALUE"""),3211078)</f>
        <v>3211078</v>
      </c>
      <c r="E531" s="12">
        <f ca="1">IFERROR(__xludf.DUMMYFUNCTION("""COMPUTED_VALUE"""),112198)</f>
        <v>112198</v>
      </c>
      <c r="F531" s="12">
        <f ca="1">IFERROR(__xludf.DUMMYFUNCTION("""COMPUTED_VALUE"""),12866)</f>
        <v>12866</v>
      </c>
      <c r="G531" s="12">
        <f ca="1">IFERROR(__xludf.DUMMYFUNCTION("""COMPUTED_VALUE"""),811642)</f>
        <v>811642</v>
      </c>
      <c r="H531" s="12">
        <f ca="1">IFERROR(__xludf.DUMMYFUNCTION("""COMPUTED_VALUE"""),7873)</f>
        <v>7873</v>
      </c>
      <c r="I531" s="12">
        <f ca="1">IFERROR(__xludf.DUMMYFUNCTION("""COMPUTED_VALUE"""),3228)</f>
        <v>3228</v>
      </c>
      <c r="J531" s="12">
        <f ca="1">IFERROR(__xludf.DUMMYFUNCTION("""COMPUTED_VALUE"""),835609)</f>
        <v>835609</v>
      </c>
      <c r="K531" s="12">
        <f ca="1">IFERROR(__xludf.DUMMYFUNCTION("""COMPUTED_VALUE"""),11101)</f>
        <v>11101</v>
      </c>
      <c r="L531" s="12">
        <f ca="1">IFERROR(__xludf.DUMMYFUNCTION("""COMPUTED_VALUE"""),30625)</f>
        <v>30625</v>
      </c>
      <c r="M531" s="12">
        <f ca="1">IFERROR(__xludf.DUMMYFUNCTION("""COMPUTED_VALUE"""),-10885)</f>
        <v>-10885</v>
      </c>
      <c r="N531" s="12">
        <f ca="1">IFERROR(__xludf.DUMMYFUNCTION("""COMPUTED_VALUE"""),39931)</f>
        <v>39931</v>
      </c>
      <c r="O531" s="12">
        <f ca="1">IFERROR(__xludf.DUMMYFUNCTION("""COMPUTED_VALUE"""),1579)</f>
        <v>1579</v>
      </c>
      <c r="P531" s="12">
        <f ca="1">IFERROR(__xludf.DUMMYFUNCTION("""COMPUTED_VALUE"""),42)</f>
        <v>42</v>
      </c>
      <c r="Q531" s="12">
        <f ca="1">IFERROR(__xludf.DUMMYFUNCTION("""COMPUTED_VALUE"""),1334)</f>
        <v>1334</v>
      </c>
      <c r="R531" s="12">
        <f ca="1">IFERROR(__xludf.DUMMYFUNCTION("""COMPUTED_VALUE"""),378)</f>
        <v>378</v>
      </c>
      <c r="S531" s="12">
        <f ca="1">IFERROR(__xludf.DUMMYFUNCTION("""COMPUTED_VALUE"""),204)</f>
        <v>204</v>
      </c>
      <c r="T531" s="12">
        <f ca="1">IFERROR(__xludf.DUMMYFUNCTION("""COMPUTED_VALUE"""),1958)</f>
        <v>1958</v>
      </c>
      <c r="U531" s="12">
        <f ca="1">IFERROR(__xludf.DUMMYFUNCTION("""COMPUTED_VALUE"""),582)</f>
        <v>582</v>
      </c>
    </row>
    <row r="532" spans="1:21" x14ac:dyDescent="0.25">
      <c r="A532" s="11">
        <f ca="1">IFERROR(__xludf.DUMMYFUNCTION("""COMPUTED_VALUE"""),44420)</f>
        <v>44420</v>
      </c>
      <c r="B532" s="12">
        <f ca="1">IFERROR(__xludf.DUMMYFUNCTION("""COMPUTED_VALUE"""),3774155)</f>
        <v>3774155</v>
      </c>
      <c r="C532" s="12">
        <f ca="1">IFERROR(__xludf.DUMMYFUNCTION("""COMPUTED_VALUE"""),412776)</f>
        <v>412776</v>
      </c>
      <c r="D532" s="12">
        <f ca="1">IFERROR(__xludf.DUMMYFUNCTION("""COMPUTED_VALUE"""),3247715)</f>
        <v>3247715</v>
      </c>
      <c r="E532" s="12">
        <f ca="1">IFERROR(__xludf.DUMMYFUNCTION("""COMPUTED_VALUE"""),113664)</f>
        <v>113664</v>
      </c>
      <c r="F532" s="12">
        <f ca="1">IFERROR(__xludf.DUMMYFUNCTION("""COMPUTED_VALUE"""),12908)</f>
        <v>12908</v>
      </c>
      <c r="G532" s="12">
        <f ca="1">IFERROR(__xludf.DUMMYFUNCTION("""COMPUTED_VALUE"""),813898)</f>
        <v>813898</v>
      </c>
      <c r="H532" s="12">
        <f ca="1">IFERROR(__xludf.DUMMYFUNCTION("""COMPUTED_VALUE"""),7008)</f>
        <v>7008</v>
      </c>
      <c r="I532" s="12">
        <f ca="1">IFERROR(__xludf.DUMMYFUNCTION("""COMPUTED_VALUE"""),2873)</f>
        <v>2873</v>
      </c>
      <c r="J532" s="12">
        <f ca="1">IFERROR(__xludf.DUMMYFUNCTION("""COMPUTED_VALUE"""),836687)</f>
        <v>836687</v>
      </c>
      <c r="K532" s="12">
        <f ca="1">IFERROR(__xludf.DUMMYFUNCTION("""COMPUTED_VALUE"""),9881)</f>
        <v>9881</v>
      </c>
      <c r="L532" s="12">
        <f ca="1">IFERROR(__xludf.DUMMYFUNCTION("""COMPUTED_VALUE"""),24709)</f>
        <v>24709</v>
      </c>
      <c r="M532" s="12">
        <f ca="1">IFERROR(__xludf.DUMMYFUNCTION("""COMPUTED_VALUE"""),-13394)</f>
        <v>-13394</v>
      </c>
      <c r="N532" s="12">
        <f ca="1">IFERROR(__xludf.DUMMYFUNCTION("""COMPUTED_VALUE"""),36637)</f>
        <v>36637</v>
      </c>
      <c r="O532" s="12">
        <f ca="1">IFERROR(__xludf.DUMMYFUNCTION("""COMPUTED_VALUE"""),1466)</f>
        <v>1466</v>
      </c>
      <c r="P532" s="12">
        <f ca="1">IFERROR(__xludf.DUMMYFUNCTION("""COMPUTED_VALUE"""),42)</f>
        <v>42</v>
      </c>
      <c r="Q532" s="12">
        <f ca="1">IFERROR(__xludf.DUMMYFUNCTION("""COMPUTED_VALUE"""),2256)</f>
        <v>2256</v>
      </c>
      <c r="R532" s="12">
        <f ca="1">IFERROR(__xludf.DUMMYFUNCTION("""COMPUTED_VALUE"""),-865)</f>
        <v>-865</v>
      </c>
      <c r="S532" s="12">
        <f ca="1">IFERROR(__xludf.DUMMYFUNCTION("""COMPUTED_VALUE"""),-355)</f>
        <v>-355</v>
      </c>
      <c r="T532" s="12">
        <f ca="1">IFERROR(__xludf.DUMMYFUNCTION("""COMPUTED_VALUE"""),1078)</f>
        <v>1078</v>
      </c>
      <c r="U532" s="12">
        <f ca="1">IFERROR(__xludf.DUMMYFUNCTION("""COMPUTED_VALUE"""),-1220)</f>
        <v>-1220</v>
      </c>
    </row>
    <row r="533" spans="1:21" x14ac:dyDescent="0.25">
      <c r="A533" s="11">
        <f ca="1">IFERROR(__xludf.DUMMYFUNCTION("""COMPUTED_VALUE"""),44421)</f>
        <v>44421</v>
      </c>
      <c r="B533" s="12">
        <f ca="1">IFERROR(__xludf.DUMMYFUNCTION("""COMPUTED_VALUE"""),3804943)</f>
        <v>3804943</v>
      </c>
      <c r="C533" s="12">
        <f ca="1">IFERROR(__xludf.DUMMYFUNCTION("""COMPUTED_VALUE"""),400129)</f>
        <v>400129</v>
      </c>
      <c r="D533" s="12">
        <f ca="1">IFERROR(__xludf.DUMMYFUNCTION("""COMPUTED_VALUE"""),3289718)</f>
        <v>3289718</v>
      </c>
      <c r="E533" s="12">
        <f ca="1">IFERROR(__xludf.DUMMYFUNCTION("""COMPUTED_VALUE"""),115096)</f>
        <v>115096</v>
      </c>
      <c r="F533" s="12">
        <f ca="1">IFERROR(__xludf.DUMMYFUNCTION("""COMPUTED_VALUE"""),12976)</f>
        <v>12976</v>
      </c>
      <c r="G533" s="12">
        <f ca="1">IFERROR(__xludf.DUMMYFUNCTION("""COMPUTED_VALUE"""),815468)</f>
        <v>815468</v>
      </c>
      <c r="H533" s="12">
        <f ca="1">IFERROR(__xludf.DUMMYFUNCTION("""COMPUTED_VALUE"""),6724)</f>
        <v>6724</v>
      </c>
      <c r="I533" s="12">
        <f ca="1">IFERROR(__xludf.DUMMYFUNCTION("""COMPUTED_VALUE"""),2729)</f>
        <v>2729</v>
      </c>
      <c r="J533" s="12">
        <f ca="1">IFERROR(__xludf.DUMMYFUNCTION("""COMPUTED_VALUE"""),837897)</f>
        <v>837897</v>
      </c>
      <c r="K533" s="12">
        <f ca="1">IFERROR(__xludf.DUMMYFUNCTION("""COMPUTED_VALUE"""),9453)</f>
        <v>9453</v>
      </c>
      <c r="L533" s="12">
        <f ca="1">IFERROR(__xludf.DUMMYFUNCTION("""COMPUTED_VALUE"""),30788)</f>
        <v>30788</v>
      </c>
      <c r="M533" s="12">
        <f ca="1">IFERROR(__xludf.DUMMYFUNCTION("""COMPUTED_VALUE"""),-12647)</f>
        <v>-12647</v>
      </c>
      <c r="N533" s="12">
        <f ca="1">IFERROR(__xludf.DUMMYFUNCTION("""COMPUTED_VALUE"""),42003)</f>
        <v>42003</v>
      </c>
      <c r="O533" s="12">
        <f ca="1">IFERROR(__xludf.DUMMYFUNCTION("""COMPUTED_VALUE"""),1432)</f>
        <v>1432</v>
      </c>
      <c r="P533" s="12">
        <f ca="1">IFERROR(__xludf.DUMMYFUNCTION("""COMPUTED_VALUE"""),68)</f>
        <v>68</v>
      </c>
      <c r="Q533" s="12">
        <f ca="1">IFERROR(__xludf.DUMMYFUNCTION("""COMPUTED_VALUE"""),1570)</f>
        <v>1570</v>
      </c>
      <c r="R533" s="12">
        <f ca="1">IFERROR(__xludf.DUMMYFUNCTION("""COMPUTED_VALUE"""),-284)</f>
        <v>-284</v>
      </c>
      <c r="S533" s="12">
        <f ca="1">IFERROR(__xludf.DUMMYFUNCTION("""COMPUTED_VALUE"""),-144)</f>
        <v>-144</v>
      </c>
      <c r="T533" s="12">
        <f ca="1">IFERROR(__xludf.DUMMYFUNCTION("""COMPUTED_VALUE"""),1210)</f>
        <v>1210</v>
      </c>
      <c r="U533" s="12">
        <f ca="1">IFERROR(__xludf.DUMMYFUNCTION("""COMPUTED_VALUE"""),-428)</f>
        <v>-428</v>
      </c>
    </row>
    <row r="534" spans="1:21" x14ac:dyDescent="0.25">
      <c r="A534" s="11">
        <f ca="1">IFERROR(__xludf.DUMMYFUNCTION("""COMPUTED_VALUE"""),44422)</f>
        <v>44422</v>
      </c>
      <c r="B534" s="12">
        <f ca="1">IFERROR(__xludf.DUMMYFUNCTION("""COMPUTED_VALUE"""),3833541)</f>
        <v>3833541</v>
      </c>
      <c r="C534" s="12">
        <f ca="1">IFERROR(__xludf.DUMMYFUNCTION("""COMPUTED_VALUE"""),395577)</f>
        <v>395577</v>
      </c>
      <c r="D534" s="12">
        <f ca="1">IFERROR(__xludf.DUMMYFUNCTION("""COMPUTED_VALUE"""),3321598)</f>
        <v>3321598</v>
      </c>
      <c r="E534" s="12">
        <f ca="1">IFERROR(__xludf.DUMMYFUNCTION("""COMPUTED_VALUE"""),116366)</f>
        <v>116366</v>
      </c>
      <c r="F534" s="12">
        <f ca="1">IFERROR(__xludf.DUMMYFUNCTION("""COMPUTED_VALUE"""),13005)</f>
        <v>13005</v>
      </c>
      <c r="G534" s="12">
        <f ca="1">IFERROR(__xludf.DUMMYFUNCTION("""COMPUTED_VALUE"""),816687)</f>
        <v>816687</v>
      </c>
      <c r="H534" s="12">
        <f ca="1">IFERROR(__xludf.DUMMYFUNCTION("""COMPUTED_VALUE"""),6748)</f>
        <v>6748</v>
      </c>
      <c r="I534" s="12">
        <f ca="1">IFERROR(__xludf.DUMMYFUNCTION("""COMPUTED_VALUE"""),2820)</f>
        <v>2820</v>
      </c>
      <c r="J534" s="12">
        <f ca="1">IFERROR(__xludf.DUMMYFUNCTION("""COMPUTED_VALUE"""),839260)</f>
        <v>839260</v>
      </c>
      <c r="K534" s="12">
        <f ca="1">IFERROR(__xludf.DUMMYFUNCTION("""COMPUTED_VALUE"""),9568)</f>
        <v>9568</v>
      </c>
      <c r="L534" s="12">
        <f ca="1">IFERROR(__xludf.DUMMYFUNCTION("""COMPUTED_VALUE"""),28598)</f>
        <v>28598</v>
      </c>
      <c r="M534" s="12">
        <f ca="1">IFERROR(__xludf.DUMMYFUNCTION("""COMPUTED_VALUE"""),-4552)</f>
        <v>-4552</v>
      </c>
      <c r="N534" s="12">
        <f ca="1">IFERROR(__xludf.DUMMYFUNCTION("""COMPUTED_VALUE"""),31880)</f>
        <v>31880</v>
      </c>
      <c r="O534" s="12">
        <f ca="1">IFERROR(__xludf.DUMMYFUNCTION("""COMPUTED_VALUE"""),1270)</f>
        <v>1270</v>
      </c>
      <c r="P534" s="12">
        <f ca="1">IFERROR(__xludf.DUMMYFUNCTION("""COMPUTED_VALUE"""),29)</f>
        <v>29</v>
      </c>
      <c r="Q534" s="12">
        <f ca="1">IFERROR(__xludf.DUMMYFUNCTION("""COMPUTED_VALUE"""),1219)</f>
        <v>1219</v>
      </c>
      <c r="R534" s="12">
        <f ca="1">IFERROR(__xludf.DUMMYFUNCTION("""COMPUTED_VALUE"""),24)</f>
        <v>24</v>
      </c>
      <c r="S534" s="12">
        <f ca="1">IFERROR(__xludf.DUMMYFUNCTION("""COMPUTED_VALUE"""),91)</f>
        <v>91</v>
      </c>
      <c r="T534" s="12">
        <f ca="1">IFERROR(__xludf.DUMMYFUNCTION("""COMPUTED_VALUE"""),1363)</f>
        <v>1363</v>
      </c>
      <c r="U534" s="12">
        <f ca="1">IFERROR(__xludf.DUMMYFUNCTION("""COMPUTED_VALUE"""),115)</f>
        <v>115</v>
      </c>
    </row>
    <row r="535" spans="1:21" x14ac:dyDescent="0.25">
      <c r="A535" s="11">
        <f ca="1">IFERROR(__xludf.DUMMYFUNCTION("""COMPUTED_VALUE"""),44423)</f>
        <v>44423</v>
      </c>
      <c r="B535" s="12">
        <f ca="1">IFERROR(__xludf.DUMMYFUNCTION("""COMPUTED_VALUE"""),3854354)</f>
        <v>3854354</v>
      </c>
      <c r="C535" s="12">
        <f ca="1">IFERROR(__xludf.DUMMYFUNCTION("""COMPUTED_VALUE"""),384807)</f>
        <v>384807</v>
      </c>
      <c r="D535" s="12">
        <f ca="1">IFERROR(__xludf.DUMMYFUNCTION("""COMPUTED_VALUE"""),3351959)</f>
        <v>3351959</v>
      </c>
      <c r="E535" s="12">
        <f ca="1">IFERROR(__xludf.DUMMYFUNCTION("""COMPUTED_VALUE"""),117588)</f>
        <v>117588</v>
      </c>
      <c r="F535" s="12">
        <f ca="1">IFERROR(__xludf.DUMMYFUNCTION("""COMPUTED_VALUE"""),13022)</f>
        <v>13022</v>
      </c>
      <c r="G535" s="12">
        <f ca="1">IFERROR(__xludf.DUMMYFUNCTION("""COMPUTED_VALUE"""),817764)</f>
        <v>817764</v>
      </c>
      <c r="H535" s="12">
        <f ca="1">IFERROR(__xludf.DUMMYFUNCTION("""COMPUTED_VALUE"""),6755)</f>
        <v>6755</v>
      </c>
      <c r="I535" s="12">
        <f ca="1">IFERROR(__xludf.DUMMYFUNCTION("""COMPUTED_VALUE"""),2901)</f>
        <v>2901</v>
      </c>
      <c r="J535" s="12">
        <f ca="1">IFERROR(__xludf.DUMMYFUNCTION("""COMPUTED_VALUE"""),840442)</f>
        <v>840442</v>
      </c>
      <c r="K535" s="12">
        <f ca="1">IFERROR(__xludf.DUMMYFUNCTION("""COMPUTED_VALUE"""),9656)</f>
        <v>9656</v>
      </c>
      <c r="L535" s="12">
        <f ca="1">IFERROR(__xludf.DUMMYFUNCTION("""COMPUTED_VALUE"""),20813)</f>
        <v>20813</v>
      </c>
      <c r="M535" s="12">
        <f ca="1">IFERROR(__xludf.DUMMYFUNCTION("""COMPUTED_VALUE"""),-10770)</f>
        <v>-10770</v>
      </c>
      <c r="N535" s="12">
        <f ca="1">IFERROR(__xludf.DUMMYFUNCTION("""COMPUTED_VALUE"""),30361)</f>
        <v>30361</v>
      </c>
      <c r="O535" s="12">
        <f ca="1">IFERROR(__xludf.DUMMYFUNCTION("""COMPUTED_VALUE"""),1222)</f>
        <v>1222</v>
      </c>
      <c r="P535" s="12">
        <f ca="1">IFERROR(__xludf.DUMMYFUNCTION("""COMPUTED_VALUE"""),17)</f>
        <v>17</v>
      </c>
      <c r="Q535" s="12">
        <f ca="1">IFERROR(__xludf.DUMMYFUNCTION("""COMPUTED_VALUE"""),1077)</f>
        <v>1077</v>
      </c>
      <c r="R535" s="12">
        <f ca="1">IFERROR(__xludf.DUMMYFUNCTION("""COMPUTED_VALUE"""),7)</f>
        <v>7</v>
      </c>
      <c r="S535" s="12">
        <f ca="1">IFERROR(__xludf.DUMMYFUNCTION("""COMPUTED_VALUE"""),81)</f>
        <v>81</v>
      </c>
      <c r="T535" s="12">
        <f ca="1">IFERROR(__xludf.DUMMYFUNCTION("""COMPUTED_VALUE"""),1182)</f>
        <v>1182</v>
      </c>
      <c r="U535" s="12">
        <f ca="1">IFERROR(__xludf.DUMMYFUNCTION("""COMPUTED_VALUE"""),88)</f>
        <v>88</v>
      </c>
    </row>
    <row r="536" spans="1:21" x14ac:dyDescent="0.25">
      <c r="A536" s="11">
        <f ca="1">IFERROR(__xludf.DUMMYFUNCTION("""COMPUTED_VALUE"""),44424)</f>
        <v>44424</v>
      </c>
      <c r="B536" s="12">
        <f ca="1">IFERROR(__xludf.DUMMYFUNCTION("""COMPUTED_VALUE"""),3871738)</f>
        <v>3871738</v>
      </c>
      <c r="C536" s="12">
        <f ca="1">IFERROR(__xludf.DUMMYFUNCTION("""COMPUTED_VALUE"""),371021)</f>
        <v>371021</v>
      </c>
      <c r="D536" s="12">
        <f ca="1">IFERROR(__xludf.DUMMYFUNCTION("""COMPUTED_VALUE"""),3381884)</f>
        <v>3381884</v>
      </c>
      <c r="E536" s="12">
        <f ca="1">IFERROR(__xludf.DUMMYFUNCTION("""COMPUTED_VALUE"""),118833)</f>
        <v>118833</v>
      </c>
      <c r="F536" s="12">
        <f ca="1">IFERROR(__xludf.DUMMYFUNCTION("""COMPUTED_VALUE"""),13050)</f>
        <v>13050</v>
      </c>
      <c r="G536" s="12">
        <f ca="1">IFERROR(__xludf.DUMMYFUNCTION("""COMPUTED_VALUE"""),818700)</f>
        <v>818700</v>
      </c>
      <c r="H536" s="12">
        <f ca="1">IFERROR(__xludf.DUMMYFUNCTION("""COMPUTED_VALUE"""),6290)</f>
        <v>6290</v>
      </c>
      <c r="I536" s="12">
        <f ca="1">IFERROR(__xludf.DUMMYFUNCTION("""COMPUTED_VALUE"""),2915)</f>
        <v>2915</v>
      </c>
      <c r="J536" s="12">
        <f ca="1">IFERROR(__xludf.DUMMYFUNCTION("""COMPUTED_VALUE"""),840955)</f>
        <v>840955</v>
      </c>
      <c r="K536" s="12">
        <f ca="1">IFERROR(__xludf.DUMMYFUNCTION("""COMPUTED_VALUE"""),9205)</f>
        <v>9205</v>
      </c>
      <c r="L536" s="12">
        <f ca="1">IFERROR(__xludf.DUMMYFUNCTION("""COMPUTED_VALUE"""),17384)</f>
        <v>17384</v>
      </c>
      <c r="M536" s="12">
        <f ca="1">IFERROR(__xludf.DUMMYFUNCTION("""COMPUTED_VALUE"""),-13786)</f>
        <v>-13786</v>
      </c>
      <c r="N536" s="12">
        <f ca="1">IFERROR(__xludf.DUMMYFUNCTION("""COMPUTED_VALUE"""),29925)</f>
        <v>29925</v>
      </c>
      <c r="O536" s="12">
        <f ca="1">IFERROR(__xludf.DUMMYFUNCTION("""COMPUTED_VALUE"""),1245)</f>
        <v>1245</v>
      </c>
      <c r="P536" s="12">
        <f ca="1">IFERROR(__xludf.DUMMYFUNCTION("""COMPUTED_VALUE"""),28)</f>
        <v>28</v>
      </c>
      <c r="Q536" s="12">
        <f ca="1">IFERROR(__xludf.DUMMYFUNCTION("""COMPUTED_VALUE"""),936)</f>
        <v>936</v>
      </c>
      <c r="R536" s="12">
        <f ca="1">IFERROR(__xludf.DUMMYFUNCTION("""COMPUTED_VALUE"""),-465)</f>
        <v>-465</v>
      </c>
      <c r="S536" s="12">
        <f ca="1">IFERROR(__xludf.DUMMYFUNCTION("""COMPUTED_VALUE"""),14)</f>
        <v>14</v>
      </c>
      <c r="T536" s="12">
        <f ca="1">IFERROR(__xludf.DUMMYFUNCTION("""COMPUTED_VALUE"""),513)</f>
        <v>513</v>
      </c>
      <c r="U536" s="12">
        <f ca="1">IFERROR(__xludf.DUMMYFUNCTION("""COMPUTED_VALUE"""),-451)</f>
        <v>-451</v>
      </c>
    </row>
    <row r="537" spans="1:21" x14ac:dyDescent="0.25">
      <c r="A537" s="11">
        <f ca="1">IFERROR(__xludf.DUMMYFUNCTION("""COMPUTED_VALUE"""),44425)</f>
        <v>44425</v>
      </c>
      <c r="B537" s="12">
        <f ca="1">IFERROR(__xludf.DUMMYFUNCTION("""COMPUTED_VALUE"""),3892479)</f>
        <v>3892479</v>
      </c>
      <c r="C537" s="12">
        <f ca="1">IFERROR(__xludf.DUMMYFUNCTION("""COMPUTED_VALUE"""),358357)</f>
        <v>358357</v>
      </c>
      <c r="D537" s="12">
        <f ca="1">IFERROR(__xludf.DUMMYFUNCTION("""COMPUTED_VALUE"""),3414109)</f>
        <v>3414109</v>
      </c>
      <c r="E537" s="12">
        <f ca="1">IFERROR(__xludf.DUMMYFUNCTION("""COMPUTED_VALUE"""),120013)</f>
        <v>120013</v>
      </c>
      <c r="F537" s="12">
        <f ca="1">IFERROR(__xludf.DUMMYFUNCTION("""COMPUTED_VALUE"""),13074)</f>
        <v>13074</v>
      </c>
      <c r="G537" s="12">
        <f ca="1">IFERROR(__xludf.DUMMYFUNCTION("""COMPUTED_VALUE"""),819620)</f>
        <v>819620</v>
      </c>
      <c r="H537" s="12">
        <f ca="1">IFERROR(__xludf.DUMMYFUNCTION("""COMPUTED_VALUE"""),5955)</f>
        <v>5955</v>
      </c>
      <c r="I537" s="12">
        <f ca="1">IFERROR(__xludf.DUMMYFUNCTION("""COMPUTED_VALUE"""),2961)</f>
        <v>2961</v>
      </c>
      <c r="J537" s="12">
        <f ca="1">IFERROR(__xludf.DUMMYFUNCTION("""COMPUTED_VALUE"""),841610)</f>
        <v>841610</v>
      </c>
      <c r="K537" s="12">
        <f ca="1">IFERROR(__xludf.DUMMYFUNCTION("""COMPUTED_VALUE"""),8916)</f>
        <v>8916</v>
      </c>
      <c r="L537" s="12">
        <f ca="1">IFERROR(__xludf.DUMMYFUNCTION("""COMPUTED_VALUE"""),20741)</f>
        <v>20741</v>
      </c>
      <c r="M537" s="12">
        <f ca="1">IFERROR(__xludf.DUMMYFUNCTION("""COMPUTED_VALUE"""),-12664)</f>
        <v>-12664</v>
      </c>
      <c r="N537" s="12">
        <f ca="1">IFERROR(__xludf.DUMMYFUNCTION("""COMPUTED_VALUE"""),32225)</f>
        <v>32225</v>
      </c>
      <c r="O537" s="12">
        <f ca="1">IFERROR(__xludf.DUMMYFUNCTION("""COMPUTED_VALUE"""),1180)</f>
        <v>1180</v>
      </c>
      <c r="P537" s="12">
        <f ca="1">IFERROR(__xludf.DUMMYFUNCTION("""COMPUTED_VALUE"""),24)</f>
        <v>24</v>
      </c>
      <c r="Q537" s="12">
        <f ca="1">IFERROR(__xludf.DUMMYFUNCTION("""COMPUTED_VALUE"""),920)</f>
        <v>920</v>
      </c>
      <c r="R537" s="12">
        <f ca="1">IFERROR(__xludf.DUMMYFUNCTION("""COMPUTED_VALUE"""),-335)</f>
        <v>-335</v>
      </c>
      <c r="S537" s="12">
        <f ca="1">IFERROR(__xludf.DUMMYFUNCTION("""COMPUTED_VALUE"""),46)</f>
        <v>46</v>
      </c>
      <c r="T537" s="12">
        <f ca="1">IFERROR(__xludf.DUMMYFUNCTION("""COMPUTED_VALUE"""),655)</f>
        <v>655</v>
      </c>
      <c r="U537" s="12">
        <f ca="1">IFERROR(__xludf.DUMMYFUNCTION("""COMPUTED_VALUE"""),-289)</f>
        <v>-289</v>
      </c>
    </row>
    <row r="538" spans="1:21" x14ac:dyDescent="0.25">
      <c r="A538" s="11">
        <f ca="1">IFERROR(__xludf.DUMMYFUNCTION("""COMPUTED_VALUE"""),44426)</f>
        <v>44426</v>
      </c>
      <c r="B538" s="12">
        <f ca="1">IFERROR(__xludf.DUMMYFUNCTION("""COMPUTED_VALUE"""),3908247)</f>
        <v>3908247</v>
      </c>
      <c r="C538" s="12">
        <f ca="1">IFERROR(__xludf.DUMMYFUNCTION("""COMPUTED_VALUE"""),343203)</f>
        <v>343203</v>
      </c>
      <c r="D538" s="12">
        <f ca="1">IFERROR(__xludf.DUMMYFUNCTION("""COMPUTED_VALUE"""),3443903)</f>
        <v>3443903</v>
      </c>
      <c r="E538" s="12">
        <f ca="1">IFERROR(__xludf.DUMMYFUNCTION("""COMPUTED_VALUE"""),121141)</f>
        <v>121141</v>
      </c>
      <c r="F538" s="12">
        <f ca="1">IFERROR(__xludf.DUMMYFUNCTION("""COMPUTED_VALUE"""),13087)</f>
        <v>13087</v>
      </c>
      <c r="G538" s="12">
        <f ca="1">IFERROR(__xludf.DUMMYFUNCTION("""COMPUTED_VALUE"""),820517)</f>
        <v>820517</v>
      </c>
      <c r="H538" s="12">
        <f ca="1">IFERROR(__xludf.DUMMYFUNCTION("""COMPUTED_VALUE"""),6006)</f>
        <v>6006</v>
      </c>
      <c r="I538" s="12">
        <f ca="1">IFERROR(__xludf.DUMMYFUNCTION("""COMPUTED_VALUE"""),3029)</f>
        <v>3029</v>
      </c>
      <c r="J538" s="12">
        <f ca="1">IFERROR(__xludf.DUMMYFUNCTION("""COMPUTED_VALUE"""),842639)</f>
        <v>842639</v>
      </c>
      <c r="K538" s="12">
        <f ca="1">IFERROR(__xludf.DUMMYFUNCTION("""COMPUTED_VALUE"""),9035)</f>
        <v>9035</v>
      </c>
      <c r="L538" s="12">
        <f ca="1">IFERROR(__xludf.DUMMYFUNCTION("""COMPUTED_VALUE"""),15768)</f>
        <v>15768</v>
      </c>
      <c r="M538" s="12">
        <f ca="1">IFERROR(__xludf.DUMMYFUNCTION("""COMPUTED_VALUE"""),-15154)</f>
        <v>-15154</v>
      </c>
      <c r="N538" s="12">
        <f ca="1">IFERROR(__xludf.DUMMYFUNCTION("""COMPUTED_VALUE"""),29794)</f>
        <v>29794</v>
      </c>
      <c r="O538" s="12">
        <f ca="1">IFERROR(__xludf.DUMMYFUNCTION("""COMPUTED_VALUE"""),1128)</f>
        <v>1128</v>
      </c>
      <c r="P538" s="12">
        <f ca="1">IFERROR(__xludf.DUMMYFUNCTION("""COMPUTED_VALUE"""),13)</f>
        <v>13</v>
      </c>
      <c r="Q538" s="12">
        <f ca="1">IFERROR(__xludf.DUMMYFUNCTION("""COMPUTED_VALUE"""),897)</f>
        <v>897</v>
      </c>
      <c r="R538" s="12">
        <f ca="1">IFERROR(__xludf.DUMMYFUNCTION("""COMPUTED_VALUE"""),51)</f>
        <v>51</v>
      </c>
      <c r="S538" s="12">
        <f ca="1">IFERROR(__xludf.DUMMYFUNCTION("""COMPUTED_VALUE"""),68)</f>
        <v>68</v>
      </c>
      <c r="T538" s="12">
        <f ca="1">IFERROR(__xludf.DUMMYFUNCTION("""COMPUTED_VALUE"""),1029)</f>
        <v>1029</v>
      </c>
      <c r="U538" s="12">
        <f ca="1">IFERROR(__xludf.DUMMYFUNCTION("""COMPUTED_VALUE"""),119)</f>
        <v>119</v>
      </c>
    </row>
    <row r="539" spans="1:21" x14ac:dyDescent="0.25">
      <c r="A539" s="11">
        <f ca="1">IFERROR(__xludf.DUMMYFUNCTION("""COMPUTED_VALUE"""),44427)</f>
        <v>44427</v>
      </c>
      <c r="B539" s="12">
        <f ca="1">IFERROR(__xludf.DUMMYFUNCTION("""COMPUTED_VALUE"""),3930300)</f>
        <v>3930300</v>
      </c>
      <c r="C539" s="12">
        <f ca="1">IFERROR(__xludf.DUMMYFUNCTION("""COMPUTED_VALUE"""),334752)</f>
        <v>334752</v>
      </c>
      <c r="D539" s="12">
        <f ca="1">IFERROR(__xludf.DUMMYFUNCTION("""COMPUTED_VALUE"""),3472915)</f>
        <v>3472915</v>
      </c>
      <c r="E539" s="12">
        <f ca="1">IFERROR(__xludf.DUMMYFUNCTION("""COMPUTED_VALUE"""),122633)</f>
        <v>122633</v>
      </c>
      <c r="F539" s="12">
        <f ca="1">IFERROR(__xludf.DUMMYFUNCTION("""COMPUTED_VALUE"""),13121)</f>
        <v>13121</v>
      </c>
      <c r="G539" s="12">
        <f ca="1">IFERROR(__xludf.DUMMYFUNCTION("""COMPUTED_VALUE"""),821451)</f>
        <v>821451</v>
      </c>
      <c r="H539" s="12">
        <f ca="1">IFERROR(__xludf.DUMMYFUNCTION("""COMPUTED_VALUE"""),5794)</f>
        <v>5794</v>
      </c>
      <c r="I539" s="12">
        <f ca="1">IFERROR(__xludf.DUMMYFUNCTION("""COMPUTED_VALUE"""),3004)</f>
        <v>3004</v>
      </c>
      <c r="J539" s="12">
        <f ca="1">IFERROR(__xludf.DUMMYFUNCTION("""COMPUTED_VALUE"""),843370)</f>
        <v>843370</v>
      </c>
      <c r="K539" s="12">
        <f ca="1">IFERROR(__xludf.DUMMYFUNCTION("""COMPUTED_VALUE"""),8798)</f>
        <v>8798</v>
      </c>
      <c r="L539" s="12">
        <f ca="1">IFERROR(__xludf.DUMMYFUNCTION("""COMPUTED_VALUE"""),22053)</f>
        <v>22053</v>
      </c>
      <c r="M539" s="12">
        <f ca="1">IFERROR(__xludf.DUMMYFUNCTION("""COMPUTED_VALUE"""),-8451)</f>
        <v>-8451</v>
      </c>
      <c r="N539" s="12">
        <f ca="1">IFERROR(__xludf.DUMMYFUNCTION("""COMPUTED_VALUE"""),29012)</f>
        <v>29012</v>
      </c>
      <c r="O539" s="12">
        <f ca="1">IFERROR(__xludf.DUMMYFUNCTION("""COMPUTED_VALUE"""),1492)</f>
        <v>1492</v>
      </c>
      <c r="P539" s="12">
        <f ca="1">IFERROR(__xludf.DUMMYFUNCTION("""COMPUTED_VALUE"""),34)</f>
        <v>34</v>
      </c>
      <c r="Q539" s="12">
        <f ca="1">IFERROR(__xludf.DUMMYFUNCTION("""COMPUTED_VALUE"""),934)</f>
        <v>934</v>
      </c>
      <c r="R539" s="12">
        <f ca="1">IFERROR(__xludf.DUMMYFUNCTION("""COMPUTED_VALUE"""),-212)</f>
        <v>-212</v>
      </c>
      <c r="S539" s="12">
        <f ca="1">IFERROR(__xludf.DUMMYFUNCTION("""COMPUTED_VALUE"""),-25)</f>
        <v>-25</v>
      </c>
      <c r="T539" s="12">
        <f ca="1">IFERROR(__xludf.DUMMYFUNCTION("""COMPUTED_VALUE"""),731)</f>
        <v>731</v>
      </c>
      <c r="U539" s="12">
        <f ca="1">IFERROR(__xludf.DUMMYFUNCTION("""COMPUTED_VALUE"""),-237)</f>
        <v>-237</v>
      </c>
    </row>
    <row r="540" spans="1:21" x14ac:dyDescent="0.25">
      <c r="A540" s="11">
        <f ca="1">IFERROR(__xludf.DUMMYFUNCTION("""COMPUTED_VALUE"""),44428)</f>
        <v>44428</v>
      </c>
      <c r="B540" s="12">
        <f ca="1">IFERROR(__xludf.DUMMYFUNCTION("""COMPUTED_VALUE"""),3950304)</f>
        <v>3950304</v>
      </c>
      <c r="C540" s="12">
        <f ca="1">IFERROR(__xludf.DUMMYFUNCTION("""COMPUTED_VALUE"""),327286)</f>
        <v>327286</v>
      </c>
      <c r="D540" s="12">
        <f ca="1">IFERROR(__xludf.DUMMYFUNCTION("""COMPUTED_VALUE"""),3499037)</f>
        <v>3499037</v>
      </c>
      <c r="E540" s="12">
        <f ca="1">IFERROR(__xludf.DUMMYFUNCTION("""COMPUTED_VALUE"""),123981)</f>
        <v>123981</v>
      </c>
      <c r="F540" s="12">
        <f ca="1">IFERROR(__xludf.DUMMYFUNCTION("""COMPUTED_VALUE"""),13132)</f>
        <v>13132</v>
      </c>
      <c r="G540" s="12">
        <f ca="1">IFERROR(__xludf.DUMMYFUNCTION("""COMPUTED_VALUE"""),822399)</f>
        <v>822399</v>
      </c>
      <c r="H540" s="12">
        <f ca="1">IFERROR(__xludf.DUMMYFUNCTION("""COMPUTED_VALUE"""),5721)</f>
        <v>5721</v>
      </c>
      <c r="I540" s="12">
        <f ca="1">IFERROR(__xludf.DUMMYFUNCTION("""COMPUTED_VALUE"""),3087)</f>
        <v>3087</v>
      </c>
      <c r="J540" s="12">
        <f ca="1">IFERROR(__xludf.DUMMYFUNCTION("""COMPUTED_VALUE"""),844339)</f>
        <v>844339</v>
      </c>
      <c r="K540" s="12">
        <f ca="1">IFERROR(__xludf.DUMMYFUNCTION("""COMPUTED_VALUE"""),8808)</f>
        <v>8808</v>
      </c>
      <c r="L540" s="12">
        <f ca="1">IFERROR(__xludf.DUMMYFUNCTION("""COMPUTED_VALUE"""),20004)</f>
        <v>20004</v>
      </c>
      <c r="M540" s="12">
        <f ca="1">IFERROR(__xludf.DUMMYFUNCTION("""COMPUTED_VALUE"""),-7466)</f>
        <v>-7466</v>
      </c>
      <c r="N540" s="12">
        <f ca="1">IFERROR(__xludf.DUMMYFUNCTION("""COMPUTED_VALUE"""),26122)</f>
        <v>26122</v>
      </c>
      <c r="O540" s="12">
        <f ca="1">IFERROR(__xludf.DUMMYFUNCTION("""COMPUTED_VALUE"""),1348)</f>
        <v>1348</v>
      </c>
      <c r="P540" s="12">
        <f ca="1">IFERROR(__xludf.DUMMYFUNCTION("""COMPUTED_VALUE"""),11)</f>
        <v>11</v>
      </c>
      <c r="Q540" s="12">
        <f ca="1">IFERROR(__xludf.DUMMYFUNCTION("""COMPUTED_VALUE"""),948)</f>
        <v>948</v>
      </c>
      <c r="R540" s="12">
        <f ca="1">IFERROR(__xludf.DUMMYFUNCTION("""COMPUTED_VALUE"""),-73)</f>
        <v>-73</v>
      </c>
      <c r="S540" s="12">
        <f ca="1">IFERROR(__xludf.DUMMYFUNCTION("""COMPUTED_VALUE"""),83)</f>
        <v>83</v>
      </c>
      <c r="T540" s="12">
        <f ca="1">IFERROR(__xludf.DUMMYFUNCTION("""COMPUTED_VALUE"""),969)</f>
        <v>969</v>
      </c>
      <c r="U540" s="12">
        <f ca="1">IFERROR(__xludf.DUMMYFUNCTION("""COMPUTED_VALUE"""),10)</f>
        <v>10</v>
      </c>
    </row>
    <row r="541" spans="1:21" x14ac:dyDescent="0.25">
      <c r="A541" s="11">
        <f ca="1">IFERROR(__xludf.DUMMYFUNCTION("""COMPUTED_VALUE"""),44429)</f>
        <v>44429</v>
      </c>
      <c r="B541" s="12">
        <f ca="1">IFERROR(__xludf.DUMMYFUNCTION("""COMPUTED_VALUE"""),3967048)</f>
        <v>3967048</v>
      </c>
      <c r="C541" s="12">
        <f ca="1">IFERROR(__xludf.DUMMYFUNCTION("""COMPUTED_VALUE"""),319658)</f>
        <v>319658</v>
      </c>
      <c r="D541" s="12">
        <f ca="1">IFERROR(__xludf.DUMMYFUNCTION("""COMPUTED_VALUE"""),3522048)</f>
        <v>3522048</v>
      </c>
      <c r="E541" s="12">
        <f ca="1">IFERROR(__xludf.DUMMYFUNCTION("""COMPUTED_VALUE"""),125342)</f>
        <v>125342</v>
      </c>
      <c r="F541" s="12">
        <f ca="1">IFERROR(__xludf.DUMMYFUNCTION("""COMPUTED_VALUE"""),13152)</f>
        <v>13152</v>
      </c>
      <c r="G541" s="12">
        <f ca="1">IFERROR(__xludf.DUMMYFUNCTION("""COMPUTED_VALUE"""),823314)</f>
        <v>823314</v>
      </c>
      <c r="H541" s="12">
        <f ca="1">IFERROR(__xludf.DUMMYFUNCTION("""COMPUTED_VALUE"""),5565)</f>
        <v>5565</v>
      </c>
      <c r="I541" s="12">
        <f ca="1">IFERROR(__xludf.DUMMYFUNCTION("""COMPUTED_VALUE"""),3199)</f>
        <v>3199</v>
      </c>
      <c r="J541" s="12">
        <f ca="1">IFERROR(__xludf.DUMMYFUNCTION("""COMPUTED_VALUE"""),845230)</f>
        <v>845230</v>
      </c>
      <c r="K541" s="12">
        <f ca="1">IFERROR(__xludf.DUMMYFUNCTION("""COMPUTED_VALUE"""),8764)</f>
        <v>8764</v>
      </c>
      <c r="L541" s="12">
        <f ca="1">IFERROR(__xludf.DUMMYFUNCTION("""COMPUTED_VALUE"""),16744)</f>
        <v>16744</v>
      </c>
      <c r="M541" s="12">
        <f ca="1">IFERROR(__xludf.DUMMYFUNCTION("""COMPUTED_VALUE"""),-7628)</f>
        <v>-7628</v>
      </c>
      <c r="N541" s="12">
        <f ca="1">IFERROR(__xludf.DUMMYFUNCTION("""COMPUTED_VALUE"""),23011)</f>
        <v>23011</v>
      </c>
      <c r="O541" s="12">
        <f ca="1">IFERROR(__xludf.DUMMYFUNCTION("""COMPUTED_VALUE"""),1361)</f>
        <v>1361</v>
      </c>
      <c r="P541" s="12">
        <f ca="1">IFERROR(__xludf.DUMMYFUNCTION("""COMPUTED_VALUE"""),20)</f>
        <v>20</v>
      </c>
      <c r="Q541" s="12">
        <f ca="1">IFERROR(__xludf.DUMMYFUNCTION("""COMPUTED_VALUE"""),915)</f>
        <v>915</v>
      </c>
      <c r="R541" s="12">
        <f ca="1">IFERROR(__xludf.DUMMYFUNCTION("""COMPUTED_VALUE"""),-156)</f>
        <v>-156</v>
      </c>
      <c r="S541" s="12">
        <f ca="1">IFERROR(__xludf.DUMMYFUNCTION("""COMPUTED_VALUE"""),112)</f>
        <v>112</v>
      </c>
      <c r="T541" s="12">
        <f ca="1">IFERROR(__xludf.DUMMYFUNCTION("""COMPUTED_VALUE"""),891)</f>
        <v>891</v>
      </c>
      <c r="U541" s="12">
        <f ca="1">IFERROR(__xludf.DUMMYFUNCTION("""COMPUTED_VALUE"""),-44)</f>
        <v>-44</v>
      </c>
    </row>
    <row r="542" spans="1:21" x14ac:dyDescent="0.25">
      <c r="A542" s="11">
        <f ca="1">IFERROR(__xludf.DUMMYFUNCTION("""COMPUTED_VALUE"""),44430)</f>
        <v>44430</v>
      </c>
      <c r="B542" s="12">
        <f ca="1">IFERROR(__xludf.DUMMYFUNCTION("""COMPUTED_VALUE"""),3979456)</f>
        <v>3979456</v>
      </c>
      <c r="C542" s="12">
        <f ca="1">IFERROR(__xludf.DUMMYFUNCTION("""COMPUTED_VALUE"""),306760)</f>
        <v>306760</v>
      </c>
      <c r="D542" s="12">
        <f ca="1">IFERROR(__xludf.DUMMYFUNCTION("""COMPUTED_VALUE"""),3546324)</f>
        <v>3546324</v>
      </c>
      <c r="E542" s="12">
        <f ca="1">IFERROR(__xludf.DUMMYFUNCTION("""COMPUTED_VALUE"""),126372)</f>
        <v>126372</v>
      </c>
      <c r="F542" s="12">
        <f ca="1">IFERROR(__xludf.DUMMYFUNCTION("""COMPUTED_VALUE"""),13173)</f>
        <v>13173</v>
      </c>
      <c r="G542" s="12">
        <f ca="1">IFERROR(__xludf.DUMMYFUNCTION("""COMPUTED_VALUE"""),824227)</f>
        <v>824227</v>
      </c>
      <c r="H542" s="12">
        <f ca="1">IFERROR(__xludf.DUMMYFUNCTION("""COMPUTED_VALUE"""),5584)</f>
        <v>5584</v>
      </c>
      <c r="I542" s="12">
        <f ca="1">IFERROR(__xludf.DUMMYFUNCTION("""COMPUTED_VALUE"""),2947)</f>
        <v>2947</v>
      </c>
      <c r="J542" s="12">
        <f ca="1">IFERROR(__xludf.DUMMYFUNCTION("""COMPUTED_VALUE"""),845931)</f>
        <v>845931</v>
      </c>
      <c r="K542" s="12">
        <f ca="1">IFERROR(__xludf.DUMMYFUNCTION("""COMPUTED_VALUE"""),8531)</f>
        <v>8531</v>
      </c>
      <c r="L542" s="12">
        <f ca="1">IFERROR(__xludf.DUMMYFUNCTION("""COMPUTED_VALUE"""),12408)</f>
        <v>12408</v>
      </c>
      <c r="M542" s="12">
        <f ca="1">IFERROR(__xludf.DUMMYFUNCTION("""COMPUTED_VALUE"""),-12898)</f>
        <v>-12898</v>
      </c>
      <c r="N542" s="12">
        <f ca="1">IFERROR(__xludf.DUMMYFUNCTION("""COMPUTED_VALUE"""),24276)</f>
        <v>24276</v>
      </c>
      <c r="O542" s="12">
        <f ca="1">IFERROR(__xludf.DUMMYFUNCTION("""COMPUTED_VALUE"""),1030)</f>
        <v>1030</v>
      </c>
      <c r="P542" s="12">
        <f ca="1">IFERROR(__xludf.DUMMYFUNCTION("""COMPUTED_VALUE"""),21)</f>
        <v>21</v>
      </c>
      <c r="Q542" s="12">
        <f ca="1">IFERROR(__xludf.DUMMYFUNCTION("""COMPUTED_VALUE"""),913)</f>
        <v>913</v>
      </c>
      <c r="R542" s="12">
        <f ca="1">IFERROR(__xludf.DUMMYFUNCTION("""COMPUTED_VALUE"""),19)</f>
        <v>19</v>
      </c>
      <c r="S542" s="12">
        <f ca="1">IFERROR(__xludf.DUMMYFUNCTION("""COMPUTED_VALUE"""),-252)</f>
        <v>-252</v>
      </c>
      <c r="T542" s="12">
        <f ca="1">IFERROR(__xludf.DUMMYFUNCTION("""COMPUTED_VALUE"""),701)</f>
        <v>701</v>
      </c>
      <c r="U542" s="12">
        <f ca="1">IFERROR(__xludf.DUMMYFUNCTION("""COMPUTED_VALUE"""),-233)</f>
        <v>-233</v>
      </c>
    </row>
    <row r="543" spans="1:21" x14ac:dyDescent="0.25">
      <c r="A543" s="11">
        <f ca="1">IFERROR(__xludf.DUMMYFUNCTION("""COMPUTED_VALUE"""),44431)</f>
        <v>44431</v>
      </c>
      <c r="B543" s="12">
        <f ca="1">IFERROR(__xludf.DUMMYFUNCTION("""COMPUTED_VALUE"""),3989060)</f>
        <v>3989060</v>
      </c>
      <c r="C543" s="12">
        <f ca="1">IFERROR(__xludf.DUMMYFUNCTION("""COMPUTED_VALUE"""),290764)</f>
        <v>290764</v>
      </c>
      <c r="D543" s="12">
        <f ca="1">IFERROR(__xludf.DUMMYFUNCTION("""COMPUTED_VALUE"""),3571082)</f>
        <v>3571082</v>
      </c>
      <c r="E543" s="12">
        <f ca="1">IFERROR(__xludf.DUMMYFUNCTION("""COMPUTED_VALUE"""),127214)</f>
        <v>127214</v>
      </c>
      <c r="F543" s="12">
        <f ca="1">IFERROR(__xludf.DUMMYFUNCTION("""COMPUTED_VALUE"""),13193)</f>
        <v>13193</v>
      </c>
      <c r="G543" s="12">
        <f ca="1">IFERROR(__xludf.DUMMYFUNCTION("""COMPUTED_VALUE"""),824958)</f>
        <v>824958</v>
      </c>
      <c r="H543" s="12">
        <f ca="1">IFERROR(__xludf.DUMMYFUNCTION("""COMPUTED_VALUE"""),5477)</f>
        <v>5477</v>
      </c>
      <c r="I543" s="12">
        <f ca="1">IFERROR(__xludf.DUMMYFUNCTION("""COMPUTED_VALUE"""),2788)</f>
        <v>2788</v>
      </c>
      <c r="J543" s="12">
        <f ca="1">IFERROR(__xludf.DUMMYFUNCTION("""COMPUTED_VALUE"""),846416)</f>
        <v>846416</v>
      </c>
      <c r="K543" s="12">
        <f ca="1">IFERROR(__xludf.DUMMYFUNCTION("""COMPUTED_VALUE"""),8265)</f>
        <v>8265</v>
      </c>
      <c r="L543" s="12">
        <f ca="1">IFERROR(__xludf.DUMMYFUNCTION("""COMPUTED_VALUE"""),9604)</f>
        <v>9604</v>
      </c>
      <c r="M543" s="12">
        <f ca="1">IFERROR(__xludf.DUMMYFUNCTION("""COMPUTED_VALUE"""),-15996)</f>
        <v>-15996</v>
      </c>
      <c r="N543" s="12">
        <f ca="1">IFERROR(__xludf.DUMMYFUNCTION("""COMPUTED_VALUE"""),24758)</f>
        <v>24758</v>
      </c>
      <c r="O543" s="12">
        <f ca="1">IFERROR(__xludf.DUMMYFUNCTION("""COMPUTED_VALUE"""),842)</f>
        <v>842</v>
      </c>
      <c r="P543" s="12">
        <f ca="1">IFERROR(__xludf.DUMMYFUNCTION("""COMPUTED_VALUE"""),20)</f>
        <v>20</v>
      </c>
      <c r="Q543" s="12">
        <f ca="1">IFERROR(__xludf.DUMMYFUNCTION("""COMPUTED_VALUE"""),731)</f>
        <v>731</v>
      </c>
      <c r="R543" s="12">
        <f ca="1">IFERROR(__xludf.DUMMYFUNCTION("""COMPUTED_VALUE"""),-107)</f>
        <v>-107</v>
      </c>
      <c r="S543" s="12">
        <f ca="1">IFERROR(__xludf.DUMMYFUNCTION("""COMPUTED_VALUE"""),-159)</f>
        <v>-159</v>
      </c>
      <c r="T543" s="12">
        <f ca="1">IFERROR(__xludf.DUMMYFUNCTION("""COMPUTED_VALUE"""),485)</f>
        <v>485</v>
      </c>
      <c r="U543" s="12">
        <f ca="1">IFERROR(__xludf.DUMMYFUNCTION("""COMPUTED_VALUE"""),-266)</f>
        <v>-266</v>
      </c>
    </row>
    <row r="544" spans="1:21" x14ac:dyDescent="0.25">
      <c r="A544" s="11">
        <f ca="1">IFERROR(__xludf.DUMMYFUNCTION("""COMPUTED_VALUE"""),44432)</f>
        <v>44432</v>
      </c>
      <c r="B544" s="12">
        <f ca="1">IFERROR(__xludf.DUMMYFUNCTION("""COMPUTED_VALUE"""),4008166)</f>
        <v>4008166</v>
      </c>
      <c r="C544" s="12">
        <f ca="1">IFERROR(__xludf.DUMMYFUNCTION("""COMPUTED_VALUE"""),273750)</f>
        <v>273750</v>
      </c>
      <c r="D544" s="12">
        <f ca="1">IFERROR(__xludf.DUMMYFUNCTION("""COMPUTED_VALUE"""),3606164)</f>
        <v>3606164</v>
      </c>
      <c r="E544" s="12">
        <f ca="1">IFERROR(__xludf.DUMMYFUNCTION("""COMPUTED_VALUE"""),128252)</f>
        <v>128252</v>
      </c>
      <c r="F544" s="12">
        <f ca="1">IFERROR(__xludf.DUMMYFUNCTION("""COMPUTED_VALUE"""),13203)</f>
        <v>13203</v>
      </c>
      <c r="G544" s="12">
        <f ca="1">IFERROR(__xludf.DUMMYFUNCTION("""COMPUTED_VALUE"""),825573)</f>
        <v>825573</v>
      </c>
      <c r="H544" s="12">
        <f ca="1">IFERROR(__xludf.DUMMYFUNCTION("""COMPUTED_VALUE"""),5277)</f>
        <v>5277</v>
      </c>
      <c r="I544" s="12">
        <f ca="1">IFERROR(__xludf.DUMMYFUNCTION("""COMPUTED_VALUE"""),2847)</f>
        <v>2847</v>
      </c>
      <c r="J544" s="12">
        <f ca="1">IFERROR(__xludf.DUMMYFUNCTION("""COMPUTED_VALUE"""),846900)</f>
        <v>846900</v>
      </c>
      <c r="K544" s="12">
        <f ca="1">IFERROR(__xludf.DUMMYFUNCTION("""COMPUTED_VALUE"""),8124)</f>
        <v>8124</v>
      </c>
      <c r="L544" s="12">
        <f ca="1">IFERROR(__xludf.DUMMYFUNCTION("""COMPUTED_VALUE"""),19106)</f>
        <v>19106</v>
      </c>
      <c r="M544" s="12">
        <f ca="1">IFERROR(__xludf.DUMMYFUNCTION("""COMPUTED_VALUE"""),-17014)</f>
        <v>-17014</v>
      </c>
      <c r="N544" s="12">
        <f ca="1">IFERROR(__xludf.DUMMYFUNCTION("""COMPUTED_VALUE"""),35082)</f>
        <v>35082</v>
      </c>
      <c r="O544" s="12">
        <f ca="1">IFERROR(__xludf.DUMMYFUNCTION("""COMPUTED_VALUE"""),1038)</f>
        <v>1038</v>
      </c>
      <c r="P544" s="12">
        <f ca="1">IFERROR(__xludf.DUMMYFUNCTION("""COMPUTED_VALUE"""),10)</f>
        <v>10</v>
      </c>
      <c r="Q544" s="12">
        <f ca="1">IFERROR(__xludf.DUMMYFUNCTION("""COMPUTED_VALUE"""),615)</f>
        <v>615</v>
      </c>
      <c r="R544" s="12">
        <f ca="1">IFERROR(__xludf.DUMMYFUNCTION("""COMPUTED_VALUE"""),-200)</f>
        <v>-200</v>
      </c>
      <c r="S544" s="12">
        <f ca="1">IFERROR(__xludf.DUMMYFUNCTION("""COMPUTED_VALUE"""),59)</f>
        <v>59</v>
      </c>
      <c r="T544" s="12">
        <f ca="1">IFERROR(__xludf.DUMMYFUNCTION("""COMPUTED_VALUE"""),484)</f>
        <v>484</v>
      </c>
      <c r="U544" s="12">
        <f ca="1">IFERROR(__xludf.DUMMYFUNCTION("""COMPUTED_VALUE"""),-141)</f>
        <v>-141</v>
      </c>
    </row>
    <row r="545" spans="1:21" x14ac:dyDescent="0.25">
      <c r="A545" s="11">
        <f ca="1">IFERROR(__xludf.DUMMYFUNCTION("""COMPUTED_VALUE"""),44433)</f>
        <v>44433</v>
      </c>
      <c r="B545" s="12">
        <f ca="1">IFERROR(__xludf.DUMMYFUNCTION("""COMPUTED_VALUE"""),4026837)</f>
        <v>4026837</v>
      </c>
      <c r="C545" s="12">
        <f ca="1">IFERROR(__xludf.DUMMYFUNCTION("""COMPUTED_VALUE"""),257677)</f>
        <v>257677</v>
      </c>
      <c r="D545" s="12">
        <f ca="1">IFERROR(__xludf.DUMMYFUNCTION("""COMPUTED_VALUE"""),3639867)</f>
        <v>3639867</v>
      </c>
      <c r="E545" s="12">
        <f ca="1">IFERROR(__xludf.DUMMYFUNCTION("""COMPUTED_VALUE"""),129293)</f>
        <v>129293</v>
      </c>
      <c r="F545" s="12">
        <f ca="1">IFERROR(__xludf.DUMMYFUNCTION("""COMPUTED_VALUE"""),13214)</f>
        <v>13214</v>
      </c>
      <c r="G545" s="12">
        <f ca="1">IFERROR(__xludf.DUMMYFUNCTION("""COMPUTED_VALUE"""),826302)</f>
        <v>826302</v>
      </c>
      <c r="H545" s="12">
        <f ca="1">IFERROR(__xludf.DUMMYFUNCTION("""COMPUTED_VALUE"""),5442)</f>
        <v>5442</v>
      </c>
      <c r="I545" s="12">
        <f ca="1">IFERROR(__xludf.DUMMYFUNCTION("""COMPUTED_VALUE"""),2731)</f>
        <v>2731</v>
      </c>
      <c r="J545" s="12">
        <f ca="1">IFERROR(__xludf.DUMMYFUNCTION("""COMPUTED_VALUE"""),847689)</f>
        <v>847689</v>
      </c>
      <c r="K545" s="12">
        <f ca="1">IFERROR(__xludf.DUMMYFUNCTION("""COMPUTED_VALUE"""),8173)</f>
        <v>8173</v>
      </c>
      <c r="L545" s="12">
        <f ca="1">IFERROR(__xludf.DUMMYFUNCTION("""COMPUTED_VALUE"""),18671)</f>
        <v>18671</v>
      </c>
      <c r="M545" s="12">
        <f ca="1">IFERROR(__xludf.DUMMYFUNCTION("""COMPUTED_VALUE"""),-16073)</f>
        <v>-16073</v>
      </c>
      <c r="N545" s="12">
        <f ca="1">IFERROR(__xludf.DUMMYFUNCTION("""COMPUTED_VALUE"""),33703)</f>
        <v>33703</v>
      </c>
      <c r="O545" s="12">
        <f ca="1">IFERROR(__xludf.DUMMYFUNCTION("""COMPUTED_VALUE"""),1041)</f>
        <v>1041</v>
      </c>
      <c r="P545" s="12">
        <f ca="1">IFERROR(__xludf.DUMMYFUNCTION("""COMPUTED_VALUE"""),11)</f>
        <v>11</v>
      </c>
      <c r="Q545" s="12">
        <f ca="1">IFERROR(__xludf.DUMMYFUNCTION("""COMPUTED_VALUE"""),729)</f>
        <v>729</v>
      </c>
      <c r="R545" s="12">
        <f ca="1">IFERROR(__xludf.DUMMYFUNCTION("""COMPUTED_VALUE"""),165)</f>
        <v>165</v>
      </c>
      <c r="S545" s="12">
        <f ca="1">IFERROR(__xludf.DUMMYFUNCTION("""COMPUTED_VALUE"""),-116)</f>
        <v>-116</v>
      </c>
      <c r="T545" s="12">
        <f ca="1">IFERROR(__xludf.DUMMYFUNCTION("""COMPUTED_VALUE"""),789)</f>
        <v>789</v>
      </c>
      <c r="U545" s="12">
        <f ca="1">IFERROR(__xludf.DUMMYFUNCTION("""COMPUTED_VALUE"""),49)</f>
        <v>49</v>
      </c>
    </row>
    <row r="546" spans="1:21" x14ac:dyDescent="0.25">
      <c r="A546" s="11">
        <f ca="1">IFERROR(__xludf.DUMMYFUNCTION("""COMPUTED_VALUE"""),44434)</f>
        <v>44434</v>
      </c>
      <c r="B546" s="12">
        <f ca="1">IFERROR(__xludf.DUMMYFUNCTION("""COMPUTED_VALUE"""),4043736)</f>
        <v>4043736</v>
      </c>
      <c r="C546" s="12">
        <f ca="1">IFERROR(__xludf.DUMMYFUNCTION("""COMPUTED_VALUE"""),243588)</f>
        <v>243588</v>
      </c>
      <c r="D546" s="12">
        <f ca="1">IFERROR(__xludf.DUMMYFUNCTION("""COMPUTED_VALUE"""),3669966)</f>
        <v>3669966</v>
      </c>
      <c r="E546" s="12">
        <f ca="1">IFERROR(__xludf.DUMMYFUNCTION("""COMPUTED_VALUE"""),130182)</f>
        <v>130182</v>
      </c>
      <c r="F546" s="12">
        <f ca="1">IFERROR(__xludf.DUMMYFUNCTION("""COMPUTED_VALUE"""),13216)</f>
        <v>13216</v>
      </c>
      <c r="G546" s="12">
        <f ca="1">IFERROR(__xludf.DUMMYFUNCTION("""COMPUTED_VALUE"""),827333)</f>
        <v>827333</v>
      </c>
      <c r="H546" s="12">
        <f ca="1">IFERROR(__xludf.DUMMYFUNCTION("""COMPUTED_VALUE"""),5110)</f>
        <v>5110</v>
      </c>
      <c r="I546" s="12">
        <f ca="1">IFERROR(__xludf.DUMMYFUNCTION("""COMPUTED_VALUE"""),2604)</f>
        <v>2604</v>
      </c>
      <c r="J546" s="12">
        <f ca="1">IFERROR(__xludf.DUMMYFUNCTION("""COMPUTED_VALUE"""),848263)</f>
        <v>848263</v>
      </c>
      <c r="K546" s="12">
        <f ca="1">IFERROR(__xludf.DUMMYFUNCTION("""COMPUTED_VALUE"""),7714)</f>
        <v>7714</v>
      </c>
      <c r="L546" s="12">
        <f ca="1">IFERROR(__xludf.DUMMYFUNCTION("""COMPUTED_VALUE"""),16899)</f>
        <v>16899</v>
      </c>
      <c r="M546" s="12">
        <f ca="1">IFERROR(__xludf.DUMMYFUNCTION("""COMPUTED_VALUE"""),-14089)</f>
        <v>-14089</v>
      </c>
      <c r="N546" s="12">
        <f ca="1">IFERROR(__xludf.DUMMYFUNCTION("""COMPUTED_VALUE"""),30099)</f>
        <v>30099</v>
      </c>
      <c r="O546" s="12">
        <f ca="1">IFERROR(__xludf.DUMMYFUNCTION("""COMPUTED_VALUE"""),889)</f>
        <v>889</v>
      </c>
      <c r="P546" s="12">
        <f ca="1">IFERROR(__xludf.DUMMYFUNCTION("""COMPUTED_VALUE"""),2)</f>
        <v>2</v>
      </c>
      <c r="Q546" s="12">
        <f ca="1">IFERROR(__xludf.DUMMYFUNCTION("""COMPUTED_VALUE"""),1031)</f>
        <v>1031</v>
      </c>
      <c r="R546" s="12">
        <f ca="1">IFERROR(__xludf.DUMMYFUNCTION("""COMPUTED_VALUE"""),-332)</f>
        <v>-332</v>
      </c>
      <c r="S546" s="12">
        <f ca="1">IFERROR(__xludf.DUMMYFUNCTION("""COMPUTED_VALUE"""),-127)</f>
        <v>-127</v>
      </c>
      <c r="T546" s="12">
        <f ca="1">IFERROR(__xludf.DUMMYFUNCTION("""COMPUTED_VALUE"""),574)</f>
        <v>574</v>
      </c>
      <c r="U546" s="12">
        <f ca="1">IFERROR(__xludf.DUMMYFUNCTION("""COMPUTED_VALUE"""),-459)</f>
        <v>-459</v>
      </c>
    </row>
    <row r="547" spans="1:21" x14ac:dyDescent="0.25">
      <c r="A547" s="11">
        <f ca="1">IFERROR(__xludf.DUMMYFUNCTION("""COMPUTED_VALUE"""),44435)</f>
        <v>44435</v>
      </c>
      <c r="B547" s="12">
        <f ca="1">IFERROR(__xludf.DUMMYFUNCTION("""COMPUTED_VALUE"""),4056354)</f>
        <v>4056354</v>
      </c>
      <c r="C547" s="12">
        <f ca="1">IFERROR(__xludf.DUMMYFUNCTION("""COMPUTED_VALUE"""),236317)</f>
        <v>236317</v>
      </c>
      <c r="D547" s="12">
        <f ca="1">IFERROR(__xludf.DUMMYFUNCTION("""COMPUTED_VALUE"""),3689256)</f>
        <v>3689256</v>
      </c>
      <c r="E547" s="12">
        <f ca="1">IFERROR(__xludf.DUMMYFUNCTION("""COMPUTED_VALUE"""),130781)</f>
        <v>130781</v>
      </c>
      <c r="F547" s="12">
        <f ca="1">IFERROR(__xludf.DUMMYFUNCTION("""COMPUTED_VALUE"""),13232)</f>
        <v>13232</v>
      </c>
      <c r="G547" s="12">
        <f ca="1">IFERROR(__xludf.DUMMYFUNCTION("""COMPUTED_VALUE"""),827674)</f>
        <v>827674</v>
      </c>
      <c r="H547" s="12">
        <f ca="1">IFERROR(__xludf.DUMMYFUNCTION("""COMPUTED_VALUE"""),5491)</f>
        <v>5491</v>
      </c>
      <c r="I547" s="12">
        <f ca="1">IFERROR(__xludf.DUMMYFUNCTION("""COMPUTED_VALUE"""),2504)</f>
        <v>2504</v>
      </c>
      <c r="J547" s="12">
        <f ca="1">IFERROR(__xludf.DUMMYFUNCTION("""COMPUTED_VALUE"""),848901)</f>
        <v>848901</v>
      </c>
      <c r="K547" s="12">
        <f ca="1">IFERROR(__xludf.DUMMYFUNCTION("""COMPUTED_VALUE"""),7995)</f>
        <v>7995</v>
      </c>
      <c r="L547" s="12">
        <f ca="1">IFERROR(__xludf.DUMMYFUNCTION("""COMPUTED_VALUE"""),12618)</f>
        <v>12618</v>
      </c>
      <c r="M547" s="12">
        <f ca="1">IFERROR(__xludf.DUMMYFUNCTION("""COMPUTED_VALUE"""),-7271)</f>
        <v>-7271</v>
      </c>
      <c r="N547" s="12">
        <f ca="1">IFERROR(__xludf.DUMMYFUNCTION("""COMPUTED_VALUE"""),19290)</f>
        <v>19290</v>
      </c>
      <c r="O547" s="12">
        <f ca="1">IFERROR(__xludf.DUMMYFUNCTION("""COMPUTED_VALUE"""),599)</f>
        <v>599</v>
      </c>
      <c r="P547" s="12">
        <f ca="1">IFERROR(__xludf.DUMMYFUNCTION("""COMPUTED_VALUE"""),16)</f>
        <v>16</v>
      </c>
      <c r="Q547" s="12">
        <f ca="1">IFERROR(__xludf.DUMMYFUNCTION("""COMPUTED_VALUE"""),341)</f>
        <v>341</v>
      </c>
      <c r="R547" s="12">
        <f ca="1">IFERROR(__xludf.DUMMYFUNCTION("""COMPUTED_VALUE"""),381)</f>
        <v>381</v>
      </c>
      <c r="S547" s="12">
        <f ca="1">IFERROR(__xludf.DUMMYFUNCTION("""COMPUTED_VALUE"""),-100)</f>
        <v>-100</v>
      </c>
      <c r="T547" s="12">
        <f ca="1">IFERROR(__xludf.DUMMYFUNCTION("""COMPUTED_VALUE"""),638)</f>
        <v>638</v>
      </c>
      <c r="U547" s="12">
        <f ca="1">IFERROR(__xludf.DUMMYFUNCTION("""COMPUTED_VALUE"""),281)</f>
        <v>281</v>
      </c>
    </row>
    <row r="548" spans="1:21" x14ac:dyDescent="0.25">
      <c r="A548" s="11">
        <f ca="1">IFERROR(__xludf.DUMMYFUNCTION("""COMPUTED_VALUE"""),44436)</f>
        <v>44436</v>
      </c>
      <c r="B548" s="12">
        <f ca="1">IFERROR(__xludf.DUMMYFUNCTION("""COMPUTED_VALUE"""),4066404)</f>
        <v>4066404</v>
      </c>
      <c r="C548" s="12">
        <f ca="1">IFERROR(__xludf.DUMMYFUNCTION("""COMPUTED_VALUE"""),227182)</f>
        <v>227182</v>
      </c>
      <c r="D548" s="12">
        <f ca="1">IFERROR(__xludf.DUMMYFUNCTION("""COMPUTED_VALUE"""),3707850)</f>
        <v>3707850</v>
      </c>
      <c r="E548" s="12">
        <f ca="1">IFERROR(__xludf.DUMMYFUNCTION("""COMPUTED_VALUE"""),131372)</f>
        <v>131372</v>
      </c>
      <c r="F548" s="12">
        <f ca="1">IFERROR(__xludf.DUMMYFUNCTION("""COMPUTED_VALUE"""),13242)</f>
        <v>13242</v>
      </c>
      <c r="G548" s="12">
        <f ca="1">IFERROR(__xludf.DUMMYFUNCTION("""COMPUTED_VALUE"""),828125)</f>
        <v>828125</v>
      </c>
      <c r="H548" s="12">
        <f ca="1">IFERROR(__xludf.DUMMYFUNCTION("""COMPUTED_VALUE"""),5607)</f>
        <v>5607</v>
      </c>
      <c r="I548" s="12">
        <f ca="1">IFERROR(__xludf.DUMMYFUNCTION("""COMPUTED_VALUE"""),2395)</f>
        <v>2395</v>
      </c>
      <c r="J548" s="12">
        <f ca="1">IFERROR(__xludf.DUMMYFUNCTION("""COMPUTED_VALUE"""),849369)</f>
        <v>849369</v>
      </c>
      <c r="K548" s="12">
        <f ca="1">IFERROR(__xludf.DUMMYFUNCTION("""COMPUTED_VALUE"""),8002)</f>
        <v>8002</v>
      </c>
      <c r="L548" s="12">
        <f ca="1">IFERROR(__xludf.DUMMYFUNCTION("""COMPUTED_VALUE"""),10050)</f>
        <v>10050</v>
      </c>
      <c r="M548" s="12">
        <f ca="1">IFERROR(__xludf.DUMMYFUNCTION("""COMPUTED_VALUE"""),-9135)</f>
        <v>-9135</v>
      </c>
      <c r="N548" s="12">
        <f ca="1">IFERROR(__xludf.DUMMYFUNCTION("""COMPUTED_VALUE"""),18594)</f>
        <v>18594</v>
      </c>
      <c r="O548" s="12">
        <f ca="1">IFERROR(__xludf.DUMMYFUNCTION("""COMPUTED_VALUE"""),591)</f>
        <v>591</v>
      </c>
      <c r="P548" s="12">
        <f ca="1">IFERROR(__xludf.DUMMYFUNCTION("""COMPUTED_VALUE"""),10)</f>
        <v>10</v>
      </c>
      <c r="Q548" s="12">
        <f ca="1">IFERROR(__xludf.DUMMYFUNCTION("""COMPUTED_VALUE"""),451)</f>
        <v>451</v>
      </c>
      <c r="R548" s="12">
        <f ca="1">IFERROR(__xludf.DUMMYFUNCTION("""COMPUTED_VALUE"""),116)</f>
        <v>116</v>
      </c>
      <c r="S548" s="12">
        <f ca="1">IFERROR(__xludf.DUMMYFUNCTION("""COMPUTED_VALUE"""),-109)</f>
        <v>-109</v>
      </c>
      <c r="T548" s="12">
        <f ca="1">IFERROR(__xludf.DUMMYFUNCTION("""COMPUTED_VALUE"""),468)</f>
        <v>468</v>
      </c>
      <c r="U548" s="12">
        <f ca="1">IFERROR(__xludf.DUMMYFUNCTION("""COMPUTED_VALUE"""),7)</f>
        <v>7</v>
      </c>
    </row>
    <row r="549" spans="1:21" x14ac:dyDescent="0.25">
      <c r="A549" s="11">
        <f ca="1">IFERROR(__xludf.DUMMYFUNCTION("""COMPUTED_VALUE"""),44437)</f>
        <v>44437</v>
      </c>
      <c r="B549" s="12">
        <f ca="1">IFERROR(__xludf.DUMMYFUNCTION("""COMPUTED_VALUE"""),4073831)</f>
        <v>4073831</v>
      </c>
      <c r="C549" s="12">
        <f ca="1">IFERROR(__xludf.DUMMYFUNCTION("""COMPUTED_VALUE"""),217590)</f>
        <v>217590</v>
      </c>
      <c r="D549" s="12">
        <f ca="1">IFERROR(__xludf.DUMMYFUNCTION("""COMPUTED_VALUE"""),3724318)</f>
        <v>3724318</v>
      </c>
      <c r="E549" s="12">
        <f ca="1">IFERROR(__xludf.DUMMYFUNCTION("""COMPUTED_VALUE"""),131923)</f>
        <v>131923</v>
      </c>
      <c r="F549" s="12">
        <f ca="1">IFERROR(__xludf.DUMMYFUNCTION("""COMPUTED_VALUE"""),13252)</f>
        <v>13252</v>
      </c>
      <c r="G549" s="12">
        <f ca="1">IFERROR(__xludf.DUMMYFUNCTION("""COMPUTED_VALUE"""),828838)</f>
        <v>828838</v>
      </c>
      <c r="H549" s="12">
        <f ca="1">IFERROR(__xludf.DUMMYFUNCTION("""COMPUTED_VALUE"""),5497)</f>
        <v>5497</v>
      </c>
      <c r="I549" s="12">
        <f ca="1">IFERROR(__xludf.DUMMYFUNCTION("""COMPUTED_VALUE"""),2256)</f>
        <v>2256</v>
      </c>
      <c r="J549" s="12">
        <f ca="1">IFERROR(__xludf.DUMMYFUNCTION("""COMPUTED_VALUE"""),849843)</f>
        <v>849843</v>
      </c>
      <c r="K549" s="12">
        <f ca="1">IFERROR(__xludf.DUMMYFUNCTION("""COMPUTED_VALUE"""),7753)</f>
        <v>7753</v>
      </c>
      <c r="L549" s="12">
        <f ca="1">IFERROR(__xludf.DUMMYFUNCTION("""COMPUTED_VALUE"""),7427)</f>
        <v>7427</v>
      </c>
      <c r="M549" s="12">
        <f ca="1">IFERROR(__xludf.DUMMYFUNCTION("""COMPUTED_VALUE"""),-9592)</f>
        <v>-9592</v>
      </c>
      <c r="N549" s="12">
        <f ca="1">IFERROR(__xludf.DUMMYFUNCTION("""COMPUTED_VALUE"""),16468)</f>
        <v>16468</v>
      </c>
      <c r="O549" s="12">
        <f ca="1">IFERROR(__xludf.DUMMYFUNCTION("""COMPUTED_VALUE"""),551)</f>
        <v>551</v>
      </c>
      <c r="P549" s="12">
        <f ca="1">IFERROR(__xludf.DUMMYFUNCTION("""COMPUTED_VALUE"""),10)</f>
        <v>10</v>
      </c>
      <c r="Q549" s="12">
        <f ca="1">IFERROR(__xludf.DUMMYFUNCTION("""COMPUTED_VALUE"""),713)</f>
        <v>713</v>
      </c>
      <c r="R549" s="12">
        <f ca="1">IFERROR(__xludf.DUMMYFUNCTION("""COMPUTED_VALUE"""),-110)</f>
        <v>-110</v>
      </c>
      <c r="S549" s="12">
        <f ca="1">IFERROR(__xludf.DUMMYFUNCTION("""COMPUTED_VALUE"""),-139)</f>
        <v>-139</v>
      </c>
      <c r="T549" s="12">
        <f ca="1">IFERROR(__xludf.DUMMYFUNCTION("""COMPUTED_VALUE"""),474)</f>
        <v>474</v>
      </c>
      <c r="U549" s="12">
        <f ca="1">IFERROR(__xludf.DUMMYFUNCTION("""COMPUTED_VALUE"""),-249)</f>
        <v>-249</v>
      </c>
    </row>
    <row r="550" spans="1:21" x14ac:dyDescent="0.25">
      <c r="A550" s="11">
        <f ca="1">IFERROR(__xludf.DUMMYFUNCTION("""COMPUTED_VALUE"""),44438)</f>
        <v>44438</v>
      </c>
      <c r="B550" s="12">
        <f ca="1">IFERROR(__xludf.DUMMYFUNCTION("""COMPUTED_VALUE"""),4079267)</f>
        <v>4079267</v>
      </c>
      <c r="C550" s="12">
        <f ca="1">IFERROR(__xludf.DUMMYFUNCTION("""COMPUTED_VALUE"""),203060)</f>
        <v>203060</v>
      </c>
      <c r="D550" s="12">
        <f ca="1">IFERROR(__xludf.DUMMYFUNCTION("""COMPUTED_VALUE"""),3743716)</f>
        <v>3743716</v>
      </c>
      <c r="E550" s="12">
        <f ca="1">IFERROR(__xludf.DUMMYFUNCTION("""COMPUTED_VALUE"""),132491)</f>
        <v>132491</v>
      </c>
      <c r="F550" s="12">
        <f ca="1">IFERROR(__xludf.DUMMYFUNCTION("""COMPUTED_VALUE"""),13261)</f>
        <v>13261</v>
      </c>
      <c r="G550" s="12">
        <f ca="1">IFERROR(__xludf.DUMMYFUNCTION("""COMPUTED_VALUE"""),829668)</f>
        <v>829668</v>
      </c>
      <c r="H550" s="12">
        <f ca="1">IFERROR(__xludf.DUMMYFUNCTION("""COMPUTED_VALUE"""),5097)</f>
        <v>5097</v>
      </c>
      <c r="I550" s="12">
        <f ca="1">IFERROR(__xludf.DUMMYFUNCTION("""COMPUTED_VALUE"""),2158)</f>
        <v>2158</v>
      </c>
      <c r="J550" s="12">
        <f ca="1">IFERROR(__xludf.DUMMYFUNCTION("""COMPUTED_VALUE"""),850184)</f>
        <v>850184</v>
      </c>
      <c r="K550" s="12">
        <f ca="1">IFERROR(__xludf.DUMMYFUNCTION("""COMPUTED_VALUE"""),7255)</f>
        <v>7255</v>
      </c>
      <c r="L550" s="12">
        <f ca="1">IFERROR(__xludf.DUMMYFUNCTION("""COMPUTED_VALUE"""),5436)</f>
        <v>5436</v>
      </c>
      <c r="M550" s="12">
        <f ca="1">IFERROR(__xludf.DUMMYFUNCTION("""COMPUTED_VALUE"""),-14530)</f>
        <v>-14530</v>
      </c>
      <c r="N550" s="12">
        <f ca="1">IFERROR(__xludf.DUMMYFUNCTION("""COMPUTED_VALUE"""),19398)</f>
        <v>19398</v>
      </c>
      <c r="O550" s="12">
        <f ca="1">IFERROR(__xludf.DUMMYFUNCTION("""COMPUTED_VALUE"""),568)</f>
        <v>568</v>
      </c>
      <c r="P550" s="12">
        <f ca="1">IFERROR(__xludf.DUMMYFUNCTION("""COMPUTED_VALUE"""),9)</f>
        <v>9</v>
      </c>
      <c r="Q550" s="12">
        <f ca="1">IFERROR(__xludf.DUMMYFUNCTION("""COMPUTED_VALUE"""),830)</f>
        <v>830</v>
      </c>
      <c r="R550" s="12">
        <f ca="1">IFERROR(__xludf.DUMMYFUNCTION("""COMPUTED_VALUE"""),-400)</f>
        <v>-400</v>
      </c>
      <c r="S550" s="12">
        <f ca="1">IFERROR(__xludf.DUMMYFUNCTION("""COMPUTED_VALUE"""),-98)</f>
        <v>-98</v>
      </c>
      <c r="T550" s="12">
        <f ca="1">IFERROR(__xludf.DUMMYFUNCTION("""COMPUTED_VALUE"""),341)</f>
        <v>341</v>
      </c>
      <c r="U550" s="12">
        <f ca="1">IFERROR(__xludf.DUMMYFUNCTION("""COMPUTED_VALUE"""),-498)</f>
        <v>-498</v>
      </c>
    </row>
    <row r="551" spans="1:21" x14ac:dyDescent="0.25">
      <c r="A551" s="7"/>
      <c r="B551" s="7"/>
      <c r="C551" s="7"/>
      <c r="D551" s="7"/>
      <c r="E551" s="7"/>
      <c r="F551" s="7"/>
      <c r="G551" s="7"/>
      <c r="H551" s="7"/>
      <c r="I551" s="7"/>
      <c r="J551" s="7"/>
      <c r="K551" s="7"/>
      <c r="L551" s="7"/>
      <c r="M551" s="7"/>
      <c r="N551" s="7"/>
      <c r="O551" s="7"/>
      <c r="P551" s="7"/>
      <c r="Q551" s="7"/>
      <c r="R551" s="7"/>
      <c r="S551" s="7"/>
      <c r="T551" s="7"/>
      <c r="U551" s="7"/>
    </row>
    <row r="552" spans="1:21" x14ac:dyDescent="0.25">
      <c r="A552" s="7"/>
      <c r="B552" s="7"/>
      <c r="C552" s="7"/>
      <c r="D552" s="7"/>
      <c r="E552" s="7"/>
      <c r="F552" s="7"/>
      <c r="G552" s="7"/>
      <c r="H552" s="7"/>
      <c r="I552" s="7"/>
      <c r="J552" s="7"/>
      <c r="K552" s="7"/>
      <c r="L552" s="7"/>
      <c r="M552" s="7"/>
      <c r="N552" s="7"/>
      <c r="O552" s="7"/>
      <c r="P552" s="7"/>
      <c r="Q552" s="7"/>
      <c r="R552" s="7"/>
      <c r="S552" s="7"/>
      <c r="T552" s="7"/>
      <c r="U552" s="7"/>
    </row>
    <row r="553" spans="1:21" x14ac:dyDescent="0.25">
      <c r="A553" s="7"/>
      <c r="B553" s="7"/>
      <c r="C553" s="7"/>
      <c r="D553" s="7"/>
      <c r="E553" s="7"/>
      <c r="F553" s="7"/>
      <c r="G553" s="7"/>
      <c r="H553" s="7"/>
      <c r="I553" s="7"/>
      <c r="J553" s="7"/>
      <c r="K553" s="7"/>
      <c r="L553" s="7"/>
      <c r="M553" s="7"/>
      <c r="N553" s="7"/>
      <c r="O553" s="7"/>
      <c r="P553" s="7"/>
      <c r="Q553" s="7"/>
      <c r="R553" s="7"/>
      <c r="S553" s="7"/>
      <c r="T553" s="7"/>
      <c r="U553" s="7"/>
    </row>
    <row r="554" spans="1:21" x14ac:dyDescent="0.25">
      <c r="A554" s="7"/>
      <c r="B554" s="7"/>
      <c r="C554" s="7"/>
      <c r="D554" s="7"/>
      <c r="E554" s="7"/>
      <c r="F554" s="7"/>
      <c r="G554" s="7"/>
      <c r="H554" s="7"/>
      <c r="I554" s="7"/>
      <c r="J554" s="7"/>
      <c r="K554" s="7"/>
      <c r="L554" s="7"/>
      <c r="M554" s="7"/>
      <c r="N554" s="7"/>
      <c r="O554" s="7"/>
      <c r="P554" s="7"/>
      <c r="Q554" s="7"/>
      <c r="R554" s="7"/>
      <c r="S554" s="7"/>
      <c r="T554" s="7"/>
      <c r="U554" s="7"/>
    </row>
    <row r="555" spans="1:21" x14ac:dyDescent="0.25">
      <c r="A555" s="7"/>
      <c r="B555" s="7"/>
      <c r="C555" s="7"/>
      <c r="D555" s="7"/>
      <c r="E555" s="7"/>
      <c r="F555" s="7"/>
      <c r="G555" s="7"/>
      <c r="H555" s="7"/>
      <c r="I555" s="7"/>
      <c r="J555" s="7"/>
      <c r="K555" s="7"/>
      <c r="L555" s="7"/>
      <c r="M555" s="7"/>
      <c r="N555" s="7"/>
      <c r="O555" s="7"/>
      <c r="P555" s="7"/>
      <c r="Q555" s="7"/>
      <c r="R555" s="7"/>
      <c r="S555" s="7"/>
      <c r="T555" s="7"/>
      <c r="U555" s="7"/>
    </row>
    <row r="556" spans="1:21" x14ac:dyDescent="0.25">
      <c r="A556" s="7"/>
      <c r="B556" s="7"/>
      <c r="C556" s="7"/>
      <c r="D556" s="7"/>
      <c r="E556" s="7"/>
      <c r="F556" s="7"/>
      <c r="G556" s="7"/>
      <c r="H556" s="7"/>
      <c r="I556" s="7"/>
      <c r="J556" s="7"/>
      <c r="K556" s="7"/>
      <c r="L556" s="7"/>
      <c r="M556" s="7"/>
      <c r="N556" s="7"/>
      <c r="O556" s="7"/>
      <c r="P556" s="7"/>
      <c r="Q556" s="7"/>
      <c r="R556" s="7"/>
      <c r="S556" s="7"/>
      <c r="T556" s="7"/>
      <c r="U556" s="7"/>
    </row>
    <row r="557" spans="1:21" x14ac:dyDescent="0.25">
      <c r="A557" s="7"/>
      <c r="B557" s="7"/>
      <c r="C557" s="7"/>
      <c r="D557" s="7"/>
      <c r="E557" s="7"/>
      <c r="F557" s="7"/>
      <c r="G557" s="7"/>
      <c r="H557" s="7"/>
      <c r="I557" s="7"/>
      <c r="J557" s="7"/>
      <c r="K557" s="7"/>
      <c r="L557" s="7"/>
      <c r="M557" s="7"/>
      <c r="N557" s="7"/>
      <c r="O557" s="7"/>
      <c r="P557" s="7"/>
      <c r="Q557" s="7"/>
      <c r="R557" s="7"/>
      <c r="S557" s="7"/>
      <c r="T557" s="7"/>
      <c r="U557" s="7"/>
    </row>
    <row r="558" spans="1:21" x14ac:dyDescent="0.25">
      <c r="A558" s="7"/>
      <c r="B558" s="7"/>
      <c r="C558" s="7"/>
      <c r="D558" s="7"/>
      <c r="E558" s="7"/>
      <c r="F558" s="7"/>
      <c r="G558" s="7"/>
      <c r="H558" s="7"/>
      <c r="I558" s="7"/>
      <c r="J558" s="7"/>
      <c r="K558" s="7"/>
      <c r="L558" s="7"/>
      <c r="M558" s="7"/>
      <c r="N558" s="7"/>
      <c r="O558" s="7"/>
      <c r="P558" s="7"/>
      <c r="Q558" s="7"/>
      <c r="R558" s="7"/>
      <c r="S558" s="7"/>
      <c r="T558" s="7"/>
      <c r="U558" s="7"/>
    </row>
    <row r="559" spans="1:21" x14ac:dyDescent="0.25">
      <c r="A559" s="7"/>
      <c r="B559" s="7"/>
      <c r="C559" s="7"/>
      <c r="D559" s="7"/>
      <c r="E559" s="7"/>
      <c r="F559" s="7"/>
      <c r="G559" s="7"/>
      <c r="H559" s="7"/>
      <c r="I559" s="7"/>
      <c r="J559" s="7"/>
      <c r="K559" s="7"/>
      <c r="L559" s="7"/>
      <c r="M559" s="7"/>
      <c r="N559" s="7"/>
      <c r="O559" s="7"/>
      <c r="P559" s="7"/>
      <c r="Q559" s="7"/>
      <c r="R559" s="7"/>
      <c r="S559" s="7"/>
      <c r="T559" s="7"/>
      <c r="U559" s="7"/>
    </row>
    <row r="560" spans="1:21" x14ac:dyDescent="0.25">
      <c r="A560" s="7"/>
      <c r="B560" s="7"/>
      <c r="C560" s="7"/>
      <c r="D560" s="7"/>
      <c r="E560" s="7"/>
      <c r="F560" s="7"/>
      <c r="G560" s="7"/>
      <c r="H560" s="7"/>
      <c r="I560" s="7"/>
      <c r="J560" s="7"/>
      <c r="K560" s="7"/>
      <c r="L560" s="7"/>
      <c r="M560" s="7"/>
      <c r="N560" s="7"/>
      <c r="O560" s="7"/>
      <c r="P560" s="7"/>
      <c r="Q560" s="7"/>
      <c r="R560" s="7"/>
      <c r="S560" s="7"/>
      <c r="T560" s="7"/>
      <c r="U560" s="7"/>
    </row>
    <row r="561" spans="1:21" x14ac:dyDescent="0.25">
      <c r="A561" s="7"/>
      <c r="B561" s="7"/>
      <c r="C561" s="7"/>
      <c r="D561" s="7"/>
      <c r="E561" s="7"/>
      <c r="F561" s="7"/>
      <c r="G561" s="7"/>
      <c r="H561" s="7"/>
      <c r="I561" s="7"/>
      <c r="J561" s="7"/>
      <c r="K561" s="7"/>
      <c r="L561" s="7"/>
      <c r="M561" s="7"/>
      <c r="N561" s="7"/>
      <c r="O561" s="7"/>
      <c r="P561" s="7"/>
      <c r="Q561" s="7"/>
      <c r="R561" s="7"/>
      <c r="S561" s="7"/>
      <c r="T561" s="7"/>
      <c r="U561" s="7"/>
    </row>
    <row r="562" spans="1:21" x14ac:dyDescent="0.25">
      <c r="A562" s="7"/>
      <c r="B562" s="7"/>
      <c r="C562" s="7"/>
      <c r="D562" s="7"/>
      <c r="E562" s="7"/>
      <c r="F562" s="7"/>
      <c r="G562" s="7"/>
      <c r="H562" s="7"/>
      <c r="I562" s="7"/>
      <c r="J562" s="7"/>
      <c r="K562" s="7"/>
      <c r="L562" s="7"/>
      <c r="M562" s="7"/>
      <c r="N562" s="7"/>
      <c r="O562" s="7"/>
      <c r="P562" s="7"/>
      <c r="Q562" s="7"/>
      <c r="R562" s="7"/>
      <c r="S562" s="7"/>
      <c r="T562" s="7"/>
      <c r="U562" s="7"/>
    </row>
    <row r="563" spans="1:21" x14ac:dyDescent="0.25">
      <c r="A563" s="7"/>
      <c r="B563" s="7"/>
      <c r="C563" s="7"/>
      <c r="D563" s="7"/>
      <c r="E563" s="7"/>
      <c r="F563" s="7"/>
      <c r="G563" s="7"/>
      <c r="H563" s="7"/>
      <c r="I563" s="7"/>
      <c r="J563" s="7"/>
      <c r="K563" s="7"/>
      <c r="L563" s="7"/>
      <c r="M563" s="7"/>
      <c r="N563" s="7"/>
      <c r="O563" s="7"/>
      <c r="P563" s="7"/>
      <c r="Q563" s="7"/>
      <c r="R563" s="7"/>
      <c r="S563" s="7"/>
      <c r="T563" s="7"/>
      <c r="U563" s="7"/>
    </row>
    <row r="564" spans="1:21" x14ac:dyDescent="0.25">
      <c r="A564" s="7"/>
      <c r="B564" s="7"/>
      <c r="C564" s="7"/>
      <c r="D564" s="7"/>
      <c r="E564" s="7"/>
      <c r="F564" s="7"/>
      <c r="G564" s="7"/>
      <c r="H564" s="7"/>
      <c r="I564" s="7"/>
      <c r="J564" s="7"/>
      <c r="K564" s="7"/>
      <c r="L564" s="7"/>
      <c r="M564" s="7"/>
      <c r="N564" s="7"/>
      <c r="O564" s="7"/>
      <c r="P564" s="7"/>
      <c r="Q564" s="7"/>
      <c r="R564" s="7"/>
      <c r="S564" s="7"/>
      <c r="T564" s="7"/>
      <c r="U564" s="7"/>
    </row>
    <row r="565" spans="1:21" x14ac:dyDescent="0.25">
      <c r="A565" s="7"/>
      <c r="B565" s="7"/>
      <c r="C565" s="7"/>
      <c r="D565" s="7"/>
      <c r="E565" s="7"/>
      <c r="F565" s="7"/>
      <c r="G565" s="7"/>
      <c r="H565" s="7"/>
      <c r="I565" s="7"/>
      <c r="J565" s="7"/>
      <c r="K565" s="7"/>
      <c r="L565" s="7"/>
      <c r="M565" s="7"/>
      <c r="N565" s="7"/>
      <c r="O565" s="7"/>
      <c r="P565" s="7"/>
      <c r="Q565" s="7"/>
      <c r="R565" s="7"/>
      <c r="S565" s="7"/>
      <c r="T565" s="7"/>
      <c r="U565" s="7"/>
    </row>
    <row r="566" spans="1:21" x14ac:dyDescent="0.25">
      <c r="A566" s="7"/>
      <c r="B566" s="7"/>
      <c r="C566" s="7"/>
      <c r="D566" s="7"/>
      <c r="E566" s="7"/>
      <c r="F566" s="7"/>
      <c r="G566" s="7"/>
      <c r="H566" s="7"/>
      <c r="I566" s="7"/>
      <c r="J566" s="7"/>
      <c r="K566" s="7"/>
      <c r="L566" s="7"/>
      <c r="M566" s="7"/>
      <c r="N566" s="7"/>
      <c r="O566" s="7"/>
      <c r="P566" s="7"/>
      <c r="Q566" s="7"/>
      <c r="R566" s="7"/>
      <c r="S566" s="7"/>
      <c r="T566" s="7"/>
      <c r="U566" s="7"/>
    </row>
    <row r="567" spans="1:21" x14ac:dyDescent="0.25">
      <c r="A567" s="7"/>
      <c r="B567" s="7"/>
      <c r="C567" s="7"/>
      <c r="D567" s="7"/>
      <c r="E567" s="7"/>
      <c r="F567" s="7"/>
      <c r="G567" s="7"/>
      <c r="H567" s="7"/>
      <c r="I567" s="7"/>
      <c r="J567" s="7"/>
      <c r="K567" s="7"/>
      <c r="L567" s="7"/>
      <c r="M567" s="7"/>
      <c r="N567" s="7"/>
      <c r="O567" s="7"/>
      <c r="P567" s="7"/>
      <c r="Q567" s="7"/>
      <c r="R567" s="7"/>
      <c r="S567" s="7"/>
      <c r="T567" s="7"/>
      <c r="U567" s="7"/>
    </row>
    <row r="568" spans="1:21" x14ac:dyDescent="0.25">
      <c r="A568" s="7"/>
      <c r="B568" s="7"/>
      <c r="C568" s="7"/>
      <c r="D568" s="7"/>
      <c r="E568" s="7"/>
      <c r="F568" s="7"/>
      <c r="G568" s="7"/>
      <c r="H568" s="7"/>
      <c r="I568" s="7"/>
      <c r="J568" s="7"/>
      <c r="K568" s="7"/>
      <c r="L568" s="7"/>
      <c r="M568" s="7"/>
      <c r="N568" s="7"/>
      <c r="O568" s="7"/>
      <c r="P568" s="7"/>
      <c r="Q568" s="7"/>
      <c r="R568" s="7"/>
      <c r="S568" s="7"/>
      <c r="T568" s="7"/>
      <c r="U568" s="7"/>
    </row>
    <row r="569" spans="1:21" x14ac:dyDescent="0.25">
      <c r="A569" s="7"/>
      <c r="B569" s="7"/>
      <c r="C569" s="7"/>
      <c r="D569" s="7"/>
      <c r="E569" s="7"/>
      <c r="F569" s="7"/>
      <c r="G569" s="7"/>
      <c r="H569" s="7"/>
      <c r="I569" s="7"/>
      <c r="J569" s="7"/>
      <c r="K569" s="7"/>
      <c r="L569" s="7"/>
      <c r="M569" s="7"/>
      <c r="N569" s="7"/>
      <c r="O569" s="7"/>
      <c r="P569" s="7"/>
      <c r="Q569" s="7"/>
      <c r="R569" s="7"/>
      <c r="S569" s="7"/>
      <c r="T569" s="7"/>
      <c r="U569" s="7"/>
    </row>
    <row r="570" spans="1:21" x14ac:dyDescent="0.25">
      <c r="A570" s="7"/>
      <c r="B570" s="7"/>
      <c r="C570" s="7"/>
      <c r="D570" s="7"/>
      <c r="E570" s="7"/>
      <c r="F570" s="7"/>
      <c r="G570" s="7"/>
      <c r="H570" s="7"/>
      <c r="I570" s="7"/>
      <c r="J570" s="7"/>
      <c r="K570" s="7"/>
      <c r="L570" s="7"/>
      <c r="M570" s="7"/>
      <c r="N570" s="7"/>
      <c r="O570" s="7"/>
      <c r="P570" s="7"/>
      <c r="Q570" s="7"/>
      <c r="R570" s="7"/>
      <c r="S570" s="7"/>
      <c r="T570" s="7"/>
      <c r="U570" s="7"/>
    </row>
    <row r="571" spans="1:21" x14ac:dyDescent="0.25">
      <c r="A571" s="7"/>
      <c r="B571" s="7"/>
      <c r="C571" s="7"/>
      <c r="D571" s="7"/>
      <c r="E571" s="7"/>
      <c r="F571" s="7"/>
      <c r="G571" s="7"/>
      <c r="H571" s="7"/>
      <c r="I571" s="7"/>
      <c r="J571" s="7"/>
      <c r="K571" s="7"/>
      <c r="L571" s="7"/>
      <c r="M571" s="7"/>
      <c r="N571" s="7"/>
      <c r="O571" s="7"/>
      <c r="P571" s="7"/>
      <c r="Q571" s="7"/>
      <c r="R571" s="7"/>
      <c r="S571" s="7"/>
      <c r="T571" s="7"/>
      <c r="U571" s="7"/>
    </row>
    <row r="572" spans="1:21" x14ac:dyDescent="0.25">
      <c r="A572" s="7"/>
      <c r="B572" s="7"/>
      <c r="C572" s="7"/>
      <c r="D572" s="7"/>
      <c r="E572" s="7"/>
      <c r="F572" s="7"/>
      <c r="G572" s="7"/>
      <c r="H572" s="7"/>
      <c r="I572" s="7"/>
      <c r="J572" s="7"/>
      <c r="K572" s="7"/>
      <c r="L572" s="7"/>
      <c r="M572" s="7"/>
      <c r="N572" s="7"/>
      <c r="O572" s="7"/>
      <c r="P572" s="7"/>
      <c r="Q572" s="7"/>
      <c r="R572" s="7"/>
      <c r="S572" s="7"/>
      <c r="T572" s="7"/>
      <c r="U572" s="7"/>
    </row>
    <row r="573" spans="1:21" x14ac:dyDescent="0.25">
      <c r="A573" s="7"/>
      <c r="B573" s="7"/>
      <c r="C573" s="7"/>
      <c r="D573" s="7"/>
      <c r="E573" s="7"/>
      <c r="F573" s="7"/>
      <c r="G573" s="7"/>
      <c r="H573" s="7"/>
      <c r="I573" s="7"/>
      <c r="J573" s="7"/>
      <c r="K573" s="7"/>
      <c r="L573" s="7"/>
      <c r="M573" s="7"/>
      <c r="N573" s="7"/>
      <c r="O573" s="7"/>
      <c r="P573" s="7"/>
      <c r="Q573" s="7"/>
      <c r="R573" s="7"/>
      <c r="S573" s="7"/>
      <c r="T573" s="7"/>
      <c r="U573" s="7"/>
    </row>
    <row r="574" spans="1:21" x14ac:dyDescent="0.25">
      <c r="A574" s="7"/>
      <c r="B574" s="7"/>
      <c r="C574" s="7"/>
      <c r="D574" s="7"/>
      <c r="E574" s="7"/>
      <c r="F574" s="7"/>
      <c r="G574" s="7"/>
      <c r="H574" s="7"/>
      <c r="I574" s="7"/>
      <c r="J574" s="7"/>
      <c r="K574" s="7"/>
      <c r="L574" s="7"/>
      <c r="M574" s="7"/>
      <c r="N574" s="7"/>
      <c r="O574" s="7"/>
      <c r="P574" s="7"/>
      <c r="Q574" s="7"/>
      <c r="R574" s="7"/>
      <c r="S574" s="7"/>
      <c r="T574" s="7"/>
      <c r="U574" s="7"/>
    </row>
    <row r="575" spans="1:21" x14ac:dyDescent="0.25">
      <c r="A575" s="7"/>
      <c r="B575" s="7"/>
      <c r="C575" s="7"/>
      <c r="D575" s="7"/>
      <c r="E575" s="7"/>
      <c r="F575" s="7"/>
      <c r="G575" s="7"/>
      <c r="H575" s="7"/>
      <c r="I575" s="7"/>
      <c r="J575" s="7"/>
      <c r="K575" s="7"/>
      <c r="L575" s="7"/>
      <c r="M575" s="7"/>
      <c r="N575" s="7"/>
      <c r="O575" s="7"/>
      <c r="P575" s="7"/>
      <c r="Q575" s="7"/>
      <c r="R575" s="7"/>
      <c r="S575" s="7"/>
      <c r="T575" s="7"/>
      <c r="U575" s="7"/>
    </row>
    <row r="576" spans="1:21" x14ac:dyDescent="0.25">
      <c r="A576" s="7"/>
      <c r="B576" s="7"/>
      <c r="C576" s="7"/>
      <c r="D576" s="7"/>
      <c r="E576" s="7"/>
      <c r="F576" s="7"/>
      <c r="G576" s="7"/>
      <c r="H576" s="7"/>
      <c r="I576" s="7"/>
      <c r="J576" s="7"/>
      <c r="K576" s="7"/>
      <c r="L576" s="7"/>
      <c r="M576" s="7"/>
      <c r="N576" s="7"/>
      <c r="O576" s="7"/>
      <c r="P576" s="7"/>
      <c r="Q576" s="7"/>
      <c r="R576" s="7"/>
      <c r="S576" s="7"/>
      <c r="T576" s="7"/>
      <c r="U576" s="7"/>
    </row>
    <row r="577" spans="1:21" x14ac:dyDescent="0.25">
      <c r="A577" s="7"/>
      <c r="B577" s="7"/>
      <c r="C577" s="7"/>
      <c r="D577" s="7"/>
      <c r="E577" s="7"/>
      <c r="F577" s="7"/>
      <c r="G577" s="7"/>
      <c r="H577" s="7"/>
      <c r="I577" s="7"/>
      <c r="J577" s="7"/>
      <c r="K577" s="7"/>
      <c r="L577" s="7"/>
      <c r="M577" s="7"/>
      <c r="N577" s="7"/>
      <c r="O577" s="7"/>
      <c r="P577" s="7"/>
      <c r="Q577" s="7"/>
      <c r="R577" s="7"/>
      <c r="S577" s="7"/>
      <c r="T577" s="7"/>
      <c r="U577" s="7"/>
    </row>
    <row r="578" spans="1:21" x14ac:dyDescent="0.25">
      <c r="A578" s="7"/>
      <c r="B578" s="7"/>
      <c r="C578" s="7"/>
      <c r="D578" s="7"/>
      <c r="E578" s="7"/>
      <c r="F578" s="7"/>
      <c r="G578" s="7"/>
      <c r="H578" s="7"/>
      <c r="I578" s="7"/>
      <c r="J578" s="7"/>
      <c r="K578" s="7"/>
      <c r="L578" s="7"/>
      <c r="M578" s="7"/>
      <c r="N578" s="7"/>
      <c r="O578" s="7"/>
      <c r="P578" s="7"/>
      <c r="Q578" s="7"/>
      <c r="R578" s="7"/>
      <c r="S578" s="7"/>
      <c r="T578" s="7"/>
      <c r="U578" s="7"/>
    </row>
    <row r="579" spans="1:21" x14ac:dyDescent="0.25">
      <c r="A579" s="7"/>
      <c r="B579" s="7"/>
      <c r="C579" s="7"/>
      <c r="D579" s="7"/>
      <c r="E579" s="7"/>
      <c r="F579" s="7"/>
      <c r="G579" s="7"/>
      <c r="H579" s="7"/>
      <c r="I579" s="7"/>
      <c r="J579" s="7"/>
      <c r="K579" s="7"/>
      <c r="L579" s="7"/>
      <c r="M579" s="7"/>
      <c r="N579" s="7"/>
      <c r="O579" s="7"/>
      <c r="P579" s="7"/>
      <c r="Q579" s="7"/>
      <c r="R579" s="7"/>
      <c r="S579" s="7"/>
      <c r="T579" s="7"/>
      <c r="U579" s="7"/>
    </row>
    <row r="580" spans="1:21" x14ac:dyDescent="0.25">
      <c r="A580" s="7"/>
      <c r="B580" s="7"/>
      <c r="C580" s="7"/>
      <c r="D580" s="7"/>
      <c r="E580" s="7"/>
      <c r="F580" s="7"/>
      <c r="G580" s="7"/>
      <c r="H580" s="7"/>
      <c r="I580" s="7"/>
      <c r="J580" s="7"/>
      <c r="K580" s="7"/>
      <c r="L580" s="7"/>
      <c r="M580" s="7"/>
      <c r="N580" s="7"/>
      <c r="O580" s="7"/>
      <c r="P580" s="7"/>
      <c r="Q580" s="7"/>
      <c r="R580" s="7"/>
      <c r="S580" s="7"/>
      <c r="T580" s="7"/>
      <c r="U580" s="7"/>
    </row>
    <row r="581" spans="1:21" x14ac:dyDescent="0.25">
      <c r="A581" s="7"/>
      <c r="B581" s="7"/>
      <c r="C581" s="7"/>
      <c r="D581" s="7"/>
      <c r="E581" s="7"/>
      <c r="F581" s="7"/>
      <c r="G581" s="7"/>
      <c r="H581" s="7"/>
      <c r="I581" s="7"/>
      <c r="J581" s="7"/>
      <c r="K581" s="7"/>
      <c r="L581" s="7"/>
      <c r="M581" s="7"/>
      <c r="N581" s="7"/>
      <c r="O581" s="7"/>
      <c r="P581" s="7"/>
      <c r="Q581" s="7"/>
      <c r="R581" s="7"/>
      <c r="S581" s="7"/>
      <c r="T581" s="7"/>
      <c r="U581" s="7"/>
    </row>
    <row r="582" spans="1:21" x14ac:dyDescent="0.25">
      <c r="A582" s="7"/>
      <c r="B582" s="7"/>
      <c r="C582" s="7"/>
      <c r="D582" s="7"/>
      <c r="E582" s="7"/>
      <c r="F582" s="7"/>
      <c r="G582" s="7"/>
      <c r="H582" s="7"/>
      <c r="I582" s="7"/>
      <c r="J582" s="7"/>
      <c r="K582" s="7"/>
      <c r="L582" s="7"/>
      <c r="M582" s="7"/>
      <c r="N582" s="7"/>
      <c r="O582" s="7"/>
      <c r="P582" s="7"/>
      <c r="Q582" s="7"/>
      <c r="R582" s="7"/>
      <c r="S582" s="7"/>
      <c r="T582" s="7"/>
      <c r="U582" s="7"/>
    </row>
    <row r="583" spans="1:21" x14ac:dyDescent="0.25">
      <c r="A583" s="7"/>
      <c r="B583" s="7"/>
      <c r="C583" s="7"/>
      <c r="D583" s="7"/>
      <c r="E583" s="7"/>
      <c r="F583" s="7"/>
      <c r="G583" s="7"/>
      <c r="H583" s="7"/>
      <c r="I583" s="7"/>
      <c r="J583" s="7"/>
      <c r="K583" s="7"/>
      <c r="L583" s="7"/>
      <c r="M583" s="7"/>
      <c r="N583" s="7"/>
      <c r="O583" s="7"/>
      <c r="P583" s="7"/>
      <c r="Q583" s="7"/>
      <c r="R583" s="7"/>
      <c r="S583" s="7"/>
      <c r="T583" s="7"/>
      <c r="U583" s="7"/>
    </row>
    <row r="584" spans="1:21" x14ac:dyDescent="0.25">
      <c r="A584" s="7"/>
      <c r="B584" s="7"/>
      <c r="C584" s="7"/>
      <c r="D584" s="7"/>
      <c r="E584" s="7"/>
      <c r="F584" s="7"/>
      <c r="G584" s="7"/>
      <c r="H584" s="7"/>
      <c r="I584" s="7"/>
      <c r="J584" s="7"/>
      <c r="K584" s="7"/>
      <c r="L584" s="7"/>
      <c r="M584" s="7"/>
      <c r="N584" s="7"/>
      <c r="O584" s="7"/>
      <c r="P584" s="7"/>
      <c r="Q584" s="7"/>
      <c r="R584" s="7"/>
      <c r="S584" s="7"/>
      <c r="T584" s="7"/>
      <c r="U584" s="7"/>
    </row>
    <row r="585" spans="1:21" x14ac:dyDescent="0.25">
      <c r="A585" s="7"/>
      <c r="B585" s="7"/>
      <c r="C585" s="7"/>
      <c r="D585" s="7"/>
      <c r="E585" s="7"/>
      <c r="F585" s="7"/>
      <c r="G585" s="7"/>
      <c r="H585" s="7"/>
      <c r="I585" s="7"/>
      <c r="J585" s="7"/>
      <c r="K585" s="7"/>
      <c r="L585" s="7"/>
      <c r="M585" s="7"/>
      <c r="N585" s="7"/>
      <c r="O585" s="7"/>
      <c r="P585" s="7"/>
      <c r="Q585" s="7"/>
      <c r="R585" s="7"/>
      <c r="S585" s="7"/>
      <c r="T585" s="7"/>
      <c r="U585" s="7"/>
    </row>
    <row r="586" spans="1:21" x14ac:dyDescent="0.25">
      <c r="A586" s="7"/>
      <c r="B586" s="7"/>
      <c r="C586" s="7"/>
      <c r="D586" s="7"/>
      <c r="E586" s="7"/>
      <c r="F586" s="7"/>
      <c r="G586" s="7"/>
      <c r="H586" s="7"/>
      <c r="I586" s="7"/>
      <c r="J586" s="7"/>
      <c r="K586" s="7"/>
      <c r="L586" s="7"/>
      <c r="M586" s="7"/>
      <c r="N586" s="7"/>
      <c r="O586" s="7"/>
      <c r="P586" s="7"/>
      <c r="Q586" s="7"/>
      <c r="R586" s="7"/>
      <c r="S586" s="7"/>
      <c r="T586" s="7"/>
      <c r="U586" s="7"/>
    </row>
    <row r="587" spans="1:21" x14ac:dyDescent="0.25">
      <c r="A587" s="7"/>
      <c r="B587" s="7"/>
      <c r="C587" s="7"/>
      <c r="D587" s="7"/>
      <c r="E587" s="7"/>
      <c r="F587" s="7"/>
      <c r="G587" s="7"/>
      <c r="H587" s="7"/>
      <c r="I587" s="7"/>
      <c r="J587" s="7"/>
      <c r="K587" s="7"/>
      <c r="L587" s="7"/>
      <c r="M587" s="7"/>
      <c r="N587" s="7"/>
      <c r="O587" s="7"/>
      <c r="P587" s="7"/>
      <c r="Q587" s="7"/>
      <c r="R587" s="7"/>
      <c r="S587" s="7"/>
      <c r="T587" s="7"/>
      <c r="U587" s="7"/>
    </row>
    <row r="588" spans="1:21" x14ac:dyDescent="0.25">
      <c r="A588" s="7"/>
      <c r="B588" s="7"/>
      <c r="C588" s="7"/>
      <c r="D588" s="7"/>
      <c r="E588" s="7"/>
      <c r="F588" s="7"/>
      <c r="G588" s="7"/>
      <c r="H588" s="7"/>
      <c r="I588" s="7"/>
      <c r="J588" s="7"/>
      <c r="K588" s="7"/>
      <c r="L588" s="7"/>
      <c r="M588" s="7"/>
      <c r="N588" s="7"/>
      <c r="O588" s="7"/>
      <c r="P588" s="7"/>
      <c r="Q588" s="7"/>
      <c r="R588" s="7"/>
      <c r="S588" s="7"/>
      <c r="T588" s="7"/>
      <c r="U588" s="7"/>
    </row>
    <row r="589" spans="1:21" x14ac:dyDescent="0.25">
      <c r="A589" s="7"/>
      <c r="B589" s="7"/>
      <c r="C589" s="7"/>
      <c r="D589" s="7"/>
      <c r="E589" s="7"/>
      <c r="F589" s="7"/>
      <c r="G589" s="7"/>
      <c r="H589" s="7"/>
      <c r="I589" s="7"/>
      <c r="J589" s="7"/>
      <c r="K589" s="7"/>
      <c r="L589" s="7"/>
      <c r="M589" s="7"/>
      <c r="N589" s="7"/>
      <c r="O589" s="7"/>
      <c r="P589" s="7"/>
      <c r="Q589" s="7"/>
      <c r="R589" s="7"/>
      <c r="S589" s="7"/>
      <c r="T589" s="7"/>
      <c r="U589" s="7"/>
    </row>
    <row r="590" spans="1:21" x14ac:dyDescent="0.25">
      <c r="A590" s="7"/>
      <c r="B590" s="7"/>
      <c r="C590" s="7"/>
      <c r="D590" s="7"/>
      <c r="E590" s="7"/>
      <c r="F590" s="7"/>
      <c r="G590" s="7"/>
      <c r="H590" s="7"/>
      <c r="I590" s="7"/>
      <c r="J590" s="7"/>
      <c r="K590" s="7"/>
      <c r="L590" s="7"/>
      <c r="M590" s="7"/>
      <c r="N590" s="7"/>
      <c r="O590" s="7"/>
      <c r="P590" s="7"/>
      <c r="Q590" s="7"/>
      <c r="R590" s="7"/>
      <c r="S590" s="7"/>
      <c r="T590" s="7"/>
      <c r="U590" s="7"/>
    </row>
    <row r="591" spans="1:21" x14ac:dyDescent="0.25">
      <c r="A591" s="7"/>
      <c r="B591" s="7"/>
      <c r="C591" s="7"/>
      <c r="D591" s="7"/>
      <c r="E591" s="7"/>
      <c r="F591" s="7"/>
      <c r="G591" s="7"/>
      <c r="H591" s="7"/>
      <c r="I591" s="7"/>
      <c r="J591" s="7"/>
      <c r="K591" s="7"/>
      <c r="L591" s="7"/>
      <c r="M591" s="7"/>
      <c r="N591" s="7"/>
      <c r="O591" s="7"/>
      <c r="P591" s="7"/>
      <c r="Q591" s="7"/>
      <c r="R591" s="7"/>
      <c r="S591" s="7"/>
      <c r="T591" s="7"/>
      <c r="U591" s="7"/>
    </row>
    <row r="592" spans="1:21" x14ac:dyDescent="0.25">
      <c r="A592" s="7"/>
      <c r="B592" s="7"/>
      <c r="C592" s="7"/>
      <c r="D592" s="7"/>
      <c r="E592" s="7"/>
      <c r="F592" s="7"/>
      <c r="G592" s="7"/>
      <c r="H592" s="7"/>
      <c r="I592" s="7"/>
      <c r="J592" s="7"/>
      <c r="K592" s="7"/>
      <c r="L592" s="7"/>
      <c r="M592" s="7"/>
      <c r="N592" s="7"/>
      <c r="O592" s="7"/>
      <c r="P592" s="7"/>
      <c r="Q592" s="7"/>
      <c r="R592" s="7"/>
      <c r="S592" s="7"/>
      <c r="T592" s="7"/>
      <c r="U592" s="7"/>
    </row>
    <row r="593" spans="1:21" x14ac:dyDescent="0.25">
      <c r="A593" s="7"/>
      <c r="B593" s="7"/>
      <c r="C593" s="7"/>
      <c r="D593" s="7"/>
      <c r="E593" s="7"/>
      <c r="F593" s="7"/>
      <c r="G593" s="7"/>
      <c r="H593" s="7"/>
      <c r="I593" s="7"/>
      <c r="J593" s="7"/>
      <c r="K593" s="7"/>
      <c r="L593" s="7"/>
      <c r="M593" s="7"/>
      <c r="N593" s="7"/>
      <c r="O593" s="7"/>
      <c r="P593" s="7"/>
      <c r="Q593" s="7"/>
      <c r="R593" s="7"/>
      <c r="S593" s="7"/>
      <c r="T593" s="7"/>
      <c r="U593" s="7"/>
    </row>
    <row r="594" spans="1:21" x14ac:dyDescent="0.25">
      <c r="A594" s="7"/>
      <c r="B594" s="7"/>
      <c r="C594" s="7"/>
      <c r="D594" s="7"/>
      <c r="E594" s="7"/>
      <c r="F594" s="7"/>
      <c r="G594" s="7"/>
      <c r="H594" s="7"/>
      <c r="I594" s="7"/>
      <c r="J594" s="7"/>
      <c r="K594" s="7"/>
      <c r="L594" s="7"/>
      <c r="M594" s="7"/>
      <c r="N594" s="7"/>
      <c r="O594" s="7"/>
      <c r="P594" s="7"/>
      <c r="Q594" s="7"/>
      <c r="R594" s="7"/>
      <c r="S594" s="7"/>
      <c r="T594" s="7"/>
      <c r="U594" s="7"/>
    </row>
    <row r="595" spans="1:21" x14ac:dyDescent="0.25">
      <c r="A595" s="7"/>
      <c r="B595" s="7"/>
      <c r="C595" s="7"/>
      <c r="D595" s="7"/>
      <c r="E595" s="7"/>
      <c r="F595" s="7"/>
      <c r="G595" s="7"/>
      <c r="H595" s="7"/>
      <c r="I595" s="7"/>
      <c r="J595" s="7"/>
      <c r="K595" s="7"/>
      <c r="L595" s="7"/>
      <c r="M595" s="7"/>
      <c r="N595" s="7"/>
      <c r="O595" s="7"/>
      <c r="P595" s="7"/>
      <c r="Q595" s="7"/>
      <c r="R595" s="7"/>
      <c r="S595" s="7"/>
      <c r="T595" s="7"/>
      <c r="U595" s="7"/>
    </row>
    <row r="596" spans="1:21" x14ac:dyDescent="0.25">
      <c r="A596" s="7"/>
      <c r="B596" s="7"/>
      <c r="C596" s="7"/>
      <c r="D596" s="7"/>
      <c r="E596" s="7"/>
      <c r="F596" s="7"/>
      <c r="G596" s="7"/>
      <c r="H596" s="7"/>
      <c r="I596" s="7"/>
      <c r="J596" s="7"/>
      <c r="K596" s="7"/>
      <c r="L596" s="7"/>
      <c r="M596" s="7"/>
      <c r="N596" s="7"/>
      <c r="O596" s="7"/>
      <c r="P596" s="7"/>
      <c r="Q596" s="7"/>
      <c r="R596" s="7"/>
      <c r="S596" s="7"/>
      <c r="T596" s="7"/>
      <c r="U596" s="7"/>
    </row>
    <row r="597" spans="1:21" x14ac:dyDescent="0.25">
      <c r="A597" s="7"/>
      <c r="B597" s="7"/>
      <c r="C597" s="7"/>
      <c r="D597" s="7"/>
      <c r="E597" s="7"/>
      <c r="F597" s="7"/>
      <c r="G597" s="7"/>
      <c r="H597" s="7"/>
      <c r="I597" s="7"/>
      <c r="J597" s="7"/>
      <c r="K597" s="7"/>
      <c r="L597" s="7"/>
      <c r="M597" s="7"/>
      <c r="N597" s="7"/>
      <c r="O597" s="7"/>
      <c r="P597" s="7"/>
      <c r="Q597" s="7"/>
      <c r="R597" s="7"/>
      <c r="S597" s="7"/>
      <c r="T597" s="7"/>
      <c r="U597" s="7"/>
    </row>
    <row r="598" spans="1:21" x14ac:dyDescent="0.25">
      <c r="A598" s="7"/>
      <c r="B598" s="7"/>
      <c r="C598" s="7"/>
      <c r="D598" s="7"/>
      <c r="E598" s="7"/>
      <c r="F598" s="7"/>
      <c r="G598" s="7"/>
      <c r="H598" s="7"/>
      <c r="I598" s="7"/>
      <c r="J598" s="7"/>
      <c r="K598" s="7"/>
      <c r="L598" s="7"/>
      <c r="M598" s="7"/>
      <c r="N598" s="7"/>
      <c r="O598" s="7"/>
      <c r="P598" s="7"/>
      <c r="Q598" s="7"/>
      <c r="R598" s="7"/>
      <c r="S598" s="7"/>
      <c r="T598" s="7"/>
      <c r="U598" s="7"/>
    </row>
    <row r="599" spans="1:21" x14ac:dyDescent="0.25">
      <c r="A599" s="7"/>
      <c r="B599" s="7"/>
      <c r="C599" s="7"/>
      <c r="D599" s="7"/>
      <c r="E599" s="7"/>
      <c r="F599" s="7"/>
      <c r="G599" s="7"/>
      <c r="H599" s="7"/>
      <c r="I599" s="7"/>
      <c r="J599" s="7"/>
      <c r="K599" s="7"/>
      <c r="L599" s="7"/>
      <c r="M599" s="7"/>
      <c r="N599" s="7"/>
      <c r="O599" s="7"/>
      <c r="P599" s="7"/>
      <c r="Q599" s="7"/>
      <c r="R599" s="7"/>
      <c r="S599" s="7"/>
      <c r="T599" s="7"/>
      <c r="U599" s="7"/>
    </row>
    <row r="600" spans="1:21" x14ac:dyDescent="0.25">
      <c r="A600" s="7"/>
      <c r="B600" s="7"/>
      <c r="C600" s="7"/>
      <c r="D600" s="7"/>
      <c r="E600" s="7"/>
      <c r="F600" s="7"/>
      <c r="G600" s="7"/>
      <c r="H600" s="7"/>
      <c r="I600" s="7"/>
      <c r="J600" s="7"/>
      <c r="K600" s="7"/>
      <c r="L600" s="7"/>
      <c r="M600" s="7"/>
      <c r="N600" s="7"/>
      <c r="O600" s="7"/>
      <c r="P600" s="7"/>
      <c r="Q600" s="7"/>
      <c r="R600" s="7"/>
      <c r="S600" s="7"/>
      <c r="T600" s="7"/>
      <c r="U600" s="7"/>
    </row>
    <row r="601" spans="1:21" x14ac:dyDescent="0.25">
      <c r="A601" s="7"/>
      <c r="B601" s="7"/>
      <c r="C601" s="7"/>
      <c r="D601" s="7"/>
      <c r="E601" s="7"/>
      <c r="F601" s="7"/>
      <c r="G601" s="7"/>
      <c r="H601" s="7"/>
      <c r="I601" s="7"/>
      <c r="J601" s="7"/>
      <c r="K601" s="7"/>
      <c r="L601" s="7"/>
      <c r="M601" s="7"/>
      <c r="N601" s="7"/>
      <c r="O601" s="7"/>
      <c r="P601" s="7"/>
      <c r="Q601" s="7"/>
      <c r="R601" s="7"/>
      <c r="S601" s="7"/>
      <c r="T601" s="7"/>
      <c r="U601" s="7"/>
    </row>
    <row r="602" spans="1:21" x14ac:dyDescent="0.25">
      <c r="A602" s="7"/>
      <c r="B602" s="7"/>
      <c r="C602" s="7"/>
      <c r="D602" s="7"/>
      <c r="E602" s="7"/>
      <c r="F602" s="7"/>
      <c r="G602" s="7"/>
      <c r="H602" s="7"/>
      <c r="I602" s="7"/>
      <c r="J602" s="7"/>
      <c r="K602" s="7"/>
      <c r="L602" s="7"/>
      <c r="M602" s="7"/>
      <c r="N602" s="7"/>
      <c r="O602" s="7"/>
      <c r="P602" s="7"/>
      <c r="Q602" s="7"/>
      <c r="R602" s="7"/>
      <c r="S602" s="7"/>
      <c r="T602" s="7"/>
      <c r="U602" s="7"/>
    </row>
    <row r="603" spans="1:21" x14ac:dyDescent="0.25">
      <c r="A603" s="7"/>
      <c r="B603" s="7"/>
      <c r="C603" s="7"/>
      <c r="D603" s="7"/>
      <c r="E603" s="7"/>
      <c r="F603" s="7"/>
      <c r="G603" s="7"/>
      <c r="H603" s="7"/>
      <c r="I603" s="7"/>
      <c r="J603" s="7"/>
      <c r="K603" s="7"/>
      <c r="L603" s="7"/>
      <c r="M603" s="7"/>
      <c r="N603" s="7"/>
      <c r="O603" s="7"/>
      <c r="P603" s="7"/>
      <c r="Q603" s="7"/>
      <c r="R603" s="7"/>
      <c r="S603" s="7"/>
      <c r="T603" s="7"/>
      <c r="U603" s="7"/>
    </row>
    <row r="604" spans="1:21" x14ac:dyDescent="0.25">
      <c r="A604" s="7"/>
      <c r="B604" s="7"/>
      <c r="C604" s="7"/>
      <c r="D604" s="7"/>
      <c r="E604" s="7"/>
      <c r="F604" s="7"/>
      <c r="G604" s="7"/>
      <c r="H604" s="7"/>
      <c r="I604" s="7"/>
      <c r="J604" s="7"/>
      <c r="K604" s="7"/>
      <c r="L604" s="7"/>
      <c r="M604" s="7"/>
      <c r="N604" s="7"/>
      <c r="O604" s="7"/>
      <c r="P604" s="7"/>
      <c r="Q604" s="7"/>
      <c r="R604" s="7"/>
      <c r="S604" s="7"/>
      <c r="T604" s="7"/>
      <c r="U604" s="7"/>
    </row>
    <row r="605" spans="1:21" x14ac:dyDescent="0.25">
      <c r="A605" s="7"/>
      <c r="B605" s="7"/>
      <c r="C605" s="7"/>
      <c r="D605" s="7"/>
      <c r="E605" s="7"/>
      <c r="F605" s="7"/>
      <c r="G605" s="7"/>
      <c r="H605" s="7"/>
      <c r="I605" s="7"/>
      <c r="J605" s="7"/>
      <c r="K605" s="7"/>
      <c r="L605" s="7"/>
      <c r="M605" s="7"/>
      <c r="N605" s="7"/>
      <c r="O605" s="7"/>
      <c r="P605" s="7"/>
      <c r="Q605" s="7"/>
      <c r="R605" s="7"/>
      <c r="S605" s="7"/>
      <c r="T605" s="7"/>
      <c r="U605" s="7"/>
    </row>
    <row r="606" spans="1:21" x14ac:dyDescent="0.25">
      <c r="A606" s="7"/>
      <c r="B606" s="7"/>
      <c r="C606" s="7"/>
      <c r="D606" s="7"/>
      <c r="E606" s="7"/>
      <c r="F606" s="7"/>
      <c r="G606" s="7"/>
      <c r="H606" s="7"/>
      <c r="I606" s="7"/>
      <c r="J606" s="7"/>
      <c r="K606" s="7"/>
      <c r="L606" s="7"/>
      <c r="M606" s="7"/>
      <c r="N606" s="7"/>
      <c r="O606" s="7"/>
      <c r="P606" s="7"/>
      <c r="Q606" s="7"/>
      <c r="R606" s="7"/>
      <c r="S606" s="7"/>
      <c r="T606" s="7"/>
      <c r="U606" s="7"/>
    </row>
    <row r="607" spans="1:21" x14ac:dyDescent="0.25">
      <c r="A607" s="7"/>
      <c r="B607" s="7"/>
      <c r="C607" s="7"/>
      <c r="D607" s="7"/>
      <c r="E607" s="7"/>
      <c r="F607" s="7"/>
      <c r="G607" s="7"/>
      <c r="H607" s="7"/>
      <c r="I607" s="7"/>
      <c r="J607" s="7"/>
      <c r="K607" s="7"/>
      <c r="L607" s="7"/>
      <c r="M607" s="7"/>
      <c r="N607" s="7"/>
      <c r="O607" s="7"/>
      <c r="P607" s="7"/>
      <c r="Q607" s="7"/>
      <c r="R607" s="7"/>
      <c r="S607" s="7"/>
      <c r="T607" s="7"/>
      <c r="U607" s="7"/>
    </row>
    <row r="608" spans="1:21" x14ac:dyDescent="0.25">
      <c r="A608" s="7"/>
      <c r="B608" s="7"/>
      <c r="C608" s="7"/>
      <c r="D608" s="7"/>
      <c r="E608" s="7"/>
      <c r="F608" s="7"/>
      <c r="G608" s="7"/>
      <c r="H608" s="7"/>
      <c r="I608" s="7"/>
      <c r="J608" s="7"/>
      <c r="K608" s="7"/>
      <c r="L608" s="7"/>
      <c r="M608" s="7"/>
      <c r="N608" s="7"/>
      <c r="O608" s="7"/>
      <c r="P608" s="7"/>
      <c r="Q608" s="7"/>
      <c r="R608" s="7"/>
      <c r="S608" s="7"/>
      <c r="T608" s="7"/>
      <c r="U608" s="7"/>
    </row>
    <row r="609" spans="1:21" x14ac:dyDescent="0.25">
      <c r="A609" s="7"/>
      <c r="B609" s="7"/>
      <c r="C609" s="7"/>
      <c r="D609" s="7"/>
      <c r="E609" s="7"/>
      <c r="F609" s="7"/>
      <c r="G609" s="7"/>
      <c r="H609" s="7"/>
      <c r="I609" s="7"/>
      <c r="J609" s="7"/>
      <c r="K609" s="7"/>
      <c r="L609" s="7"/>
      <c r="M609" s="7"/>
      <c r="N609" s="7"/>
      <c r="O609" s="7"/>
      <c r="P609" s="7"/>
      <c r="Q609" s="7"/>
      <c r="R609" s="7"/>
      <c r="S609" s="7"/>
      <c r="T609" s="7"/>
      <c r="U609" s="7"/>
    </row>
    <row r="610" spans="1:21" x14ac:dyDescent="0.25">
      <c r="A610" s="7"/>
      <c r="B610" s="7"/>
      <c r="C610" s="7"/>
      <c r="D610" s="7"/>
      <c r="E610" s="7"/>
      <c r="F610" s="7"/>
      <c r="G610" s="7"/>
      <c r="H610" s="7"/>
      <c r="I610" s="7"/>
      <c r="J610" s="7"/>
      <c r="K610" s="7"/>
      <c r="L610" s="7"/>
      <c r="M610" s="7"/>
      <c r="N610" s="7"/>
      <c r="O610" s="7"/>
      <c r="P610" s="7"/>
      <c r="Q610" s="7"/>
      <c r="R610" s="7"/>
      <c r="S610" s="7"/>
      <c r="T610" s="7"/>
      <c r="U610" s="7"/>
    </row>
    <row r="611" spans="1:21" x14ac:dyDescent="0.25">
      <c r="A611" s="7"/>
      <c r="B611" s="7"/>
      <c r="C611" s="7"/>
      <c r="D611" s="7"/>
      <c r="E611" s="7"/>
      <c r="F611" s="7"/>
      <c r="G611" s="7"/>
      <c r="H611" s="7"/>
      <c r="I611" s="7"/>
      <c r="J611" s="7"/>
      <c r="K611" s="7"/>
      <c r="L611" s="7"/>
      <c r="M611" s="7"/>
      <c r="N611" s="7"/>
      <c r="O611" s="7"/>
      <c r="P611" s="7"/>
      <c r="Q611" s="7"/>
      <c r="R611" s="7"/>
      <c r="S611" s="7"/>
      <c r="T611" s="7"/>
      <c r="U611" s="7"/>
    </row>
    <row r="612" spans="1:21" x14ac:dyDescent="0.25">
      <c r="A612" s="7"/>
      <c r="B612" s="7"/>
      <c r="C612" s="7"/>
      <c r="D612" s="7"/>
      <c r="E612" s="7"/>
      <c r="F612" s="7"/>
      <c r="G612" s="7"/>
      <c r="H612" s="7"/>
      <c r="I612" s="7"/>
      <c r="J612" s="7"/>
      <c r="K612" s="7"/>
      <c r="L612" s="7"/>
      <c r="M612" s="7"/>
      <c r="N612" s="7"/>
      <c r="O612" s="7"/>
      <c r="P612" s="7"/>
      <c r="Q612" s="7"/>
      <c r="R612" s="7"/>
      <c r="S612" s="7"/>
      <c r="T612" s="7"/>
      <c r="U612" s="7"/>
    </row>
    <row r="613" spans="1:21" x14ac:dyDescent="0.25">
      <c r="A613" s="7"/>
      <c r="B613" s="7"/>
      <c r="C613" s="7"/>
      <c r="D613" s="7"/>
      <c r="E613" s="7"/>
      <c r="F613" s="7"/>
      <c r="G613" s="7"/>
      <c r="H613" s="7"/>
      <c r="I613" s="7"/>
      <c r="J613" s="7"/>
      <c r="K613" s="7"/>
      <c r="L613" s="7"/>
      <c r="M613" s="7"/>
      <c r="N613" s="7"/>
      <c r="O613" s="7"/>
      <c r="P613" s="7"/>
      <c r="Q613" s="7"/>
      <c r="R613" s="7"/>
      <c r="S613" s="7"/>
      <c r="T613" s="7"/>
      <c r="U613" s="7"/>
    </row>
    <row r="614" spans="1:21" x14ac:dyDescent="0.25">
      <c r="A614" s="7"/>
      <c r="B614" s="7"/>
      <c r="C614" s="7"/>
      <c r="D614" s="7"/>
      <c r="E614" s="7"/>
      <c r="F614" s="7"/>
      <c r="G614" s="7"/>
      <c r="H614" s="7"/>
      <c r="I614" s="7"/>
      <c r="J614" s="7"/>
      <c r="K614" s="7"/>
      <c r="L614" s="7"/>
      <c r="M614" s="7"/>
      <c r="N614" s="7"/>
      <c r="O614" s="7"/>
      <c r="P614" s="7"/>
      <c r="Q614" s="7"/>
      <c r="R614" s="7"/>
      <c r="S614" s="7"/>
      <c r="T614" s="7"/>
      <c r="U614" s="7"/>
    </row>
    <row r="615" spans="1:21" x14ac:dyDescent="0.25">
      <c r="A615" s="7"/>
      <c r="B615" s="7"/>
      <c r="C615" s="7"/>
      <c r="D615" s="7"/>
      <c r="E615" s="7"/>
      <c r="F615" s="7"/>
      <c r="G615" s="7"/>
      <c r="H615" s="7"/>
      <c r="I615" s="7"/>
      <c r="J615" s="7"/>
      <c r="K615" s="7"/>
      <c r="L615" s="7"/>
      <c r="M615" s="7"/>
      <c r="N615" s="7"/>
      <c r="O615" s="7"/>
      <c r="P615" s="7"/>
      <c r="Q615" s="7"/>
      <c r="R615" s="7"/>
      <c r="S615" s="7"/>
      <c r="T615" s="7"/>
      <c r="U615" s="7"/>
    </row>
    <row r="616" spans="1:21" x14ac:dyDescent="0.25">
      <c r="A616" s="7"/>
      <c r="B616" s="7"/>
      <c r="C616" s="7"/>
      <c r="D616" s="7"/>
      <c r="E616" s="7"/>
      <c r="F616" s="7"/>
      <c r="G616" s="7"/>
      <c r="H616" s="7"/>
      <c r="I616" s="7"/>
      <c r="J616" s="7"/>
      <c r="K616" s="7"/>
      <c r="L616" s="7"/>
      <c r="M616" s="7"/>
      <c r="N616" s="7"/>
      <c r="O616" s="7"/>
      <c r="P616" s="7"/>
      <c r="Q616" s="7"/>
      <c r="R616" s="7"/>
      <c r="S616" s="7"/>
      <c r="T616" s="7"/>
      <c r="U616" s="7"/>
    </row>
    <row r="617" spans="1:21" x14ac:dyDescent="0.25">
      <c r="A617" s="7"/>
      <c r="B617" s="7"/>
      <c r="C617" s="7"/>
      <c r="D617" s="7"/>
      <c r="E617" s="7"/>
      <c r="F617" s="7"/>
      <c r="G617" s="7"/>
      <c r="H617" s="7"/>
      <c r="I617" s="7"/>
      <c r="J617" s="7"/>
      <c r="K617" s="7"/>
      <c r="L617" s="7"/>
      <c r="M617" s="7"/>
      <c r="N617" s="7"/>
      <c r="O617" s="7"/>
      <c r="P617" s="7"/>
      <c r="Q617" s="7"/>
      <c r="R617" s="7"/>
      <c r="S617" s="7"/>
      <c r="T617" s="7"/>
      <c r="U617" s="7"/>
    </row>
    <row r="618" spans="1:21" x14ac:dyDescent="0.25">
      <c r="A618" s="7"/>
      <c r="B618" s="7"/>
      <c r="C618" s="7"/>
      <c r="D618" s="7"/>
      <c r="E618" s="7"/>
      <c r="F618" s="7"/>
      <c r="G618" s="7"/>
      <c r="H618" s="7"/>
      <c r="I618" s="7"/>
      <c r="J618" s="7"/>
      <c r="K618" s="7"/>
      <c r="L618" s="7"/>
      <c r="M618" s="7"/>
      <c r="N618" s="7"/>
      <c r="O618" s="7"/>
      <c r="P618" s="7"/>
      <c r="Q618" s="7"/>
      <c r="R618" s="7"/>
      <c r="S618" s="7"/>
      <c r="T618" s="7"/>
      <c r="U618" s="7"/>
    </row>
    <row r="619" spans="1:21" x14ac:dyDescent="0.25">
      <c r="A619" s="7"/>
      <c r="B619" s="7"/>
      <c r="C619" s="7"/>
      <c r="D619" s="7"/>
      <c r="E619" s="7"/>
      <c r="F619" s="7"/>
      <c r="G619" s="7"/>
      <c r="H619" s="7"/>
      <c r="I619" s="7"/>
      <c r="J619" s="7"/>
      <c r="K619" s="7"/>
      <c r="L619" s="7"/>
      <c r="M619" s="7"/>
      <c r="N619" s="7"/>
      <c r="O619" s="7"/>
      <c r="P619" s="7"/>
      <c r="Q619" s="7"/>
      <c r="R619" s="7"/>
      <c r="S619" s="7"/>
      <c r="T619" s="7"/>
      <c r="U619" s="7"/>
    </row>
    <row r="620" spans="1:21" x14ac:dyDescent="0.25">
      <c r="A620" s="7"/>
      <c r="B620" s="7"/>
      <c r="C620" s="7"/>
      <c r="D620" s="7"/>
      <c r="E620" s="7"/>
      <c r="F620" s="7"/>
      <c r="G620" s="7"/>
      <c r="H620" s="7"/>
      <c r="I620" s="7"/>
      <c r="J620" s="7"/>
      <c r="K620" s="7"/>
      <c r="L620" s="7"/>
      <c r="M620" s="7"/>
      <c r="N620" s="7"/>
      <c r="O620" s="7"/>
      <c r="P620" s="7"/>
      <c r="Q620" s="7"/>
      <c r="R620" s="7"/>
      <c r="S620" s="7"/>
      <c r="T620" s="7"/>
      <c r="U620" s="7"/>
    </row>
    <row r="621" spans="1:21" x14ac:dyDescent="0.25">
      <c r="A621" s="7"/>
      <c r="B621" s="7"/>
      <c r="C621" s="7"/>
      <c r="D621" s="7"/>
      <c r="E621" s="7"/>
      <c r="F621" s="7"/>
      <c r="G621" s="7"/>
      <c r="H621" s="7"/>
      <c r="I621" s="7"/>
      <c r="J621" s="7"/>
      <c r="K621" s="7"/>
      <c r="L621" s="7"/>
      <c r="M621" s="7"/>
      <c r="N621" s="7"/>
      <c r="O621" s="7"/>
      <c r="P621" s="7"/>
      <c r="Q621" s="7"/>
      <c r="R621" s="7"/>
      <c r="S621" s="7"/>
      <c r="T621" s="7"/>
      <c r="U621" s="7"/>
    </row>
    <row r="622" spans="1:21" x14ac:dyDescent="0.25">
      <c r="A622" s="7"/>
      <c r="B622" s="7"/>
      <c r="C622" s="7"/>
      <c r="D622" s="7"/>
      <c r="E622" s="7"/>
      <c r="F622" s="7"/>
      <c r="G622" s="7"/>
      <c r="H622" s="7"/>
      <c r="I622" s="7"/>
      <c r="J622" s="7"/>
      <c r="K622" s="7"/>
      <c r="L622" s="7"/>
      <c r="M622" s="7"/>
      <c r="N622" s="7"/>
      <c r="O622" s="7"/>
      <c r="P622" s="7"/>
      <c r="Q622" s="7"/>
      <c r="R622" s="7"/>
      <c r="S622" s="7"/>
      <c r="T622" s="7"/>
      <c r="U622" s="7"/>
    </row>
    <row r="623" spans="1:21" x14ac:dyDescent="0.25">
      <c r="A623" s="7"/>
      <c r="B623" s="7"/>
      <c r="C623" s="7"/>
      <c r="D623" s="7"/>
      <c r="E623" s="7"/>
      <c r="F623" s="7"/>
      <c r="G623" s="7"/>
      <c r="H623" s="7"/>
      <c r="I623" s="7"/>
      <c r="J623" s="7"/>
      <c r="K623" s="7"/>
      <c r="L623" s="7"/>
      <c r="M623" s="7"/>
      <c r="N623" s="7"/>
      <c r="O623" s="7"/>
      <c r="P623" s="7"/>
      <c r="Q623" s="7"/>
      <c r="R623" s="7"/>
      <c r="S623" s="7"/>
      <c r="T623" s="7"/>
      <c r="U623" s="7"/>
    </row>
    <row r="624" spans="1:21" x14ac:dyDescent="0.25">
      <c r="A624" s="7"/>
      <c r="B624" s="7"/>
      <c r="C624" s="7"/>
      <c r="D624" s="7"/>
      <c r="E624" s="7"/>
      <c r="F624" s="7"/>
      <c r="G624" s="7"/>
      <c r="H624" s="7"/>
      <c r="I624" s="7"/>
      <c r="J624" s="7"/>
      <c r="K624" s="7"/>
      <c r="L624" s="7"/>
      <c r="M624" s="7"/>
      <c r="N624" s="7"/>
      <c r="O624" s="7"/>
      <c r="P624" s="7"/>
      <c r="Q624" s="7"/>
      <c r="R624" s="7"/>
      <c r="S624" s="7"/>
      <c r="T624" s="7"/>
      <c r="U624" s="7"/>
    </row>
    <row r="625" spans="1:21" x14ac:dyDescent="0.25">
      <c r="A625" s="7"/>
      <c r="B625" s="7"/>
      <c r="C625" s="7"/>
      <c r="D625" s="7"/>
      <c r="E625" s="7"/>
      <c r="F625" s="7"/>
      <c r="G625" s="7"/>
      <c r="H625" s="7"/>
      <c r="I625" s="7"/>
      <c r="J625" s="7"/>
      <c r="K625" s="7"/>
      <c r="L625" s="7"/>
      <c r="M625" s="7"/>
      <c r="N625" s="7"/>
      <c r="O625" s="7"/>
      <c r="P625" s="7"/>
      <c r="Q625" s="7"/>
      <c r="R625" s="7"/>
      <c r="S625" s="7"/>
      <c r="T625" s="7"/>
      <c r="U625" s="7"/>
    </row>
    <row r="626" spans="1:21" x14ac:dyDescent="0.25">
      <c r="A626" s="7"/>
      <c r="B626" s="7"/>
      <c r="C626" s="7"/>
      <c r="D626" s="7"/>
      <c r="E626" s="7"/>
      <c r="F626" s="7"/>
      <c r="G626" s="7"/>
      <c r="H626" s="7"/>
      <c r="I626" s="7"/>
      <c r="J626" s="7"/>
      <c r="K626" s="7"/>
      <c r="L626" s="7"/>
      <c r="M626" s="7"/>
      <c r="N626" s="7"/>
      <c r="O626" s="7"/>
      <c r="P626" s="7"/>
      <c r="Q626" s="7"/>
      <c r="R626" s="7"/>
      <c r="S626" s="7"/>
      <c r="T626" s="7"/>
      <c r="U626" s="7"/>
    </row>
    <row r="627" spans="1:21" x14ac:dyDescent="0.25">
      <c r="A627" s="7"/>
      <c r="B627" s="7"/>
      <c r="C627" s="7"/>
      <c r="D627" s="7"/>
      <c r="E627" s="7"/>
      <c r="F627" s="7"/>
      <c r="G627" s="7"/>
      <c r="H627" s="7"/>
      <c r="I627" s="7"/>
      <c r="J627" s="7"/>
      <c r="K627" s="7"/>
      <c r="L627" s="7"/>
      <c r="M627" s="7"/>
      <c r="N627" s="7"/>
      <c r="O627" s="7"/>
      <c r="P627" s="7"/>
      <c r="Q627" s="7"/>
      <c r="R627" s="7"/>
      <c r="S627" s="7"/>
      <c r="T627" s="7"/>
      <c r="U627" s="7"/>
    </row>
    <row r="628" spans="1:21" x14ac:dyDescent="0.25">
      <c r="A628" s="7"/>
      <c r="B628" s="7"/>
      <c r="C628" s="7"/>
      <c r="D628" s="7"/>
      <c r="E628" s="7"/>
      <c r="F628" s="7"/>
      <c r="G628" s="7"/>
      <c r="H628" s="7"/>
      <c r="I628" s="7"/>
      <c r="J628" s="7"/>
      <c r="K628" s="7"/>
      <c r="L628" s="7"/>
      <c r="M628" s="7"/>
      <c r="N628" s="7"/>
      <c r="O628" s="7"/>
      <c r="P628" s="7"/>
      <c r="Q628" s="7"/>
      <c r="R628" s="7"/>
      <c r="S628" s="7"/>
      <c r="T628" s="7"/>
      <c r="U628" s="7"/>
    </row>
    <row r="629" spans="1:21" x14ac:dyDescent="0.25">
      <c r="A629" s="7"/>
      <c r="B629" s="7"/>
      <c r="C629" s="7"/>
      <c r="D629" s="7"/>
      <c r="E629" s="7"/>
      <c r="F629" s="7"/>
      <c r="G629" s="7"/>
      <c r="H629" s="7"/>
      <c r="I629" s="7"/>
      <c r="J629" s="7"/>
      <c r="K629" s="7"/>
      <c r="L629" s="7"/>
      <c r="M629" s="7"/>
      <c r="N629" s="7"/>
      <c r="O629" s="7"/>
      <c r="P629" s="7"/>
      <c r="Q629" s="7"/>
      <c r="R629" s="7"/>
      <c r="S629" s="7"/>
      <c r="T629" s="7"/>
      <c r="U629" s="7"/>
    </row>
    <row r="630" spans="1:21" x14ac:dyDescent="0.25">
      <c r="A630" s="7"/>
      <c r="B630" s="7"/>
      <c r="C630" s="7"/>
      <c r="D630" s="7"/>
      <c r="E630" s="7"/>
      <c r="F630" s="7"/>
      <c r="G630" s="7"/>
      <c r="H630" s="7"/>
      <c r="I630" s="7"/>
      <c r="J630" s="7"/>
      <c r="K630" s="7"/>
      <c r="L630" s="7"/>
      <c r="M630" s="7"/>
      <c r="N630" s="7"/>
      <c r="O630" s="7"/>
      <c r="P630" s="7"/>
      <c r="Q630" s="7"/>
      <c r="R630" s="7"/>
      <c r="S630" s="7"/>
      <c r="T630" s="7"/>
      <c r="U630" s="7"/>
    </row>
    <row r="631" spans="1:21" x14ac:dyDescent="0.25">
      <c r="A631" s="7"/>
      <c r="B631" s="7"/>
      <c r="C631" s="7"/>
      <c r="D631" s="7"/>
      <c r="E631" s="7"/>
      <c r="F631" s="7"/>
      <c r="G631" s="7"/>
      <c r="H631" s="7"/>
      <c r="I631" s="7"/>
      <c r="J631" s="7"/>
      <c r="K631" s="7"/>
      <c r="L631" s="7"/>
      <c r="M631" s="7"/>
      <c r="N631" s="7"/>
      <c r="O631" s="7"/>
      <c r="P631" s="7"/>
      <c r="Q631" s="7"/>
      <c r="R631" s="7"/>
      <c r="S631" s="7"/>
      <c r="T631" s="7"/>
      <c r="U631" s="7"/>
    </row>
    <row r="632" spans="1:21" x14ac:dyDescent="0.25">
      <c r="A632" s="7"/>
      <c r="B632" s="7"/>
      <c r="C632" s="7"/>
      <c r="D632" s="7"/>
      <c r="E632" s="7"/>
      <c r="F632" s="7"/>
      <c r="G632" s="7"/>
      <c r="H632" s="7"/>
      <c r="I632" s="7"/>
      <c r="J632" s="7"/>
      <c r="K632" s="7"/>
      <c r="L632" s="7"/>
      <c r="M632" s="7"/>
      <c r="N632" s="7"/>
      <c r="O632" s="7"/>
      <c r="P632" s="7"/>
      <c r="Q632" s="7"/>
      <c r="R632" s="7"/>
      <c r="S632" s="7"/>
      <c r="T632" s="7"/>
      <c r="U632" s="7"/>
    </row>
    <row r="633" spans="1:21" x14ac:dyDescent="0.25">
      <c r="A633" s="7"/>
      <c r="B633" s="7"/>
      <c r="C633" s="7"/>
      <c r="D633" s="7"/>
      <c r="E633" s="7"/>
      <c r="F633" s="7"/>
      <c r="G633" s="7"/>
      <c r="H633" s="7"/>
      <c r="I633" s="7"/>
      <c r="J633" s="7"/>
      <c r="K633" s="7"/>
      <c r="L633" s="7"/>
      <c r="M633" s="7"/>
      <c r="N633" s="7"/>
      <c r="O633" s="7"/>
      <c r="P633" s="7"/>
      <c r="Q633" s="7"/>
      <c r="R633" s="7"/>
      <c r="S633" s="7"/>
      <c r="T633" s="7"/>
      <c r="U633" s="7"/>
    </row>
    <row r="634" spans="1:21" x14ac:dyDescent="0.25">
      <c r="A634" s="7"/>
      <c r="B634" s="7"/>
      <c r="C634" s="7"/>
      <c r="D634" s="7"/>
      <c r="E634" s="7"/>
      <c r="F634" s="7"/>
      <c r="G634" s="7"/>
      <c r="H634" s="7"/>
      <c r="I634" s="7"/>
      <c r="J634" s="7"/>
      <c r="K634" s="7"/>
      <c r="L634" s="7"/>
      <c r="M634" s="7"/>
      <c r="N634" s="7"/>
      <c r="O634" s="7"/>
      <c r="P634" s="7"/>
      <c r="Q634" s="7"/>
      <c r="R634" s="7"/>
      <c r="S634" s="7"/>
      <c r="T634" s="7"/>
      <c r="U634" s="7"/>
    </row>
    <row r="635" spans="1:21" x14ac:dyDescent="0.25">
      <c r="A635" s="7"/>
      <c r="B635" s="7"/>
      <c r="C635" s="7"/>
      <c r="D635" s="7"/>
      <c r="E635" s="7"/>
      <c r="F635" s="7"/>
      <c r="G635" s="7"/>
      <c r="H635" s="7"/>
      <c r="I635" s="7"/>
      <c r="J635" s="7"/>
      <c r="K635" s="7"/>
      <c r="L635" s="7"/>
      <c r="M635" s="7"/>
      <c r="N635" s="7"/>
      <c r="O635" s="7"/>
      <c r="P635" s="7"/>
      <c r="Q635" s="7"/>
      <c r="R635" s="7"/>
      <c r="S635" s="7"/>
      <c r="T635" s="7"/>
      <c r="U635" s="7"/>
    </row>
    <row r="636" spans="1:21" x14ac:dyDescent="0.25">
      <c r="A636" s="7"/>
      <c r="B636" s="7"/>
      <c r="C636" s="7"/>
      <c r="D636" s="7"/>
      <c r="E636" s="7"/>
      <c r="F636" s="7"/>
      <c r="G636" s="7"/>
      <c r="H636" s="7"/>
      <c r="I636" s="7"/>
      <c r="J636" s="7"/>
      <c r="K636" s="7"/>
      <c r="L636" s="7"/>
      <c r="M636" s="7"/>
      <c r="N636" s="7"/>
      <c r="O636" s="7"/>
      <c r="P636" s="7"/>
      <c r="Q636" s="7"/>
      <c r="R636" s="7"/>
      <c r="S636" s="7"/>
      <c r="T636" s="7"/>
      <c r="U636" s="7"/>
    </row>
    <row r="637" spans="1:21" x14ac:dyDescent="0.25">
      <c r="A637" s="7"/>
      <c r="B637" s="7"/>
      <c r="C637" s="7"/>
      <c r="D637" s="7"/>
      <c r="E637" s="7"/>
      <c r="F637" s="7"/>
      <c r="G637" s="7"/>
      <c r="H637" s="7"/>
      <c r="I637" s="7"/>
      <c r="J637" s="7"/>
      <c r="K637" s="7"/>
      <c r="L637" s="7"/>
      <c r="M637" s="7"/>
      <c r="N637" s="7"/>
      <c r="O637" s="7"/>
      <c r="P637" s="7"/>
      <c r="Q637" s="7"/>
      <c r="R637" s="7"/>
      <c r="S637" s="7"/>
      <c r="T637" s="7"/>
      <c r="U637" s="7"/>
    </row>
    <row r="638" spans="1:21" x14ac:dyDescent="0.25">
      <c r="A638" s="7"/>
      <c r="B638" s="7"/>
      <c r="C638" s="7"/>
      <c r="D638" s="7"/>
      <c r="E638" s="7"/>
      <c r="F638" s="7"/>
      <c r="G638" s="7"/>
      <c r="H638" s="7"/>
      <c r="I638" s="7"/>
      <c r="J638" s="7"/>
      <c r="K638" s="7"/>
      <c r="L638" s="7"/>
      <c r="M638" s="7"/>
      <c r="N638" s="7"/>
      <c r="O638" s="7"/>
      <c r="P638" s="7"/>
      <c r="Q638" s="7"/>
      <c r="R638" s="7"/>
      <c r="S638" s="7"/>
      <c r="T638" s="7"/>
      <c r="U638" s="7"/>
    </row>
    <row r="639" spans="1:21" x14ac:dyDescent="0.25">
      <c r="A639" s="7"/>
      <c r="B639" s="7"/>
      <c r="C639" s="7"/>
      <c r="D639" s="7"/>
      <c r="E639" s="7"/>
      <c r="F639" s="7"/>
      <c r="G639" s="7"/>
      <c r="H639" s="7"/>
      <c r="I639" s="7"/>
      <c r="J639" s="7"/>
      <c r="K639" s="7"/>
      <c r="L639" s="7"/>
      <c r="M639" s="7"/>
      <c r="N639" s="7"/>
      <c r="O639" s="7"/>
      <c r="P639" s="7"/>
      <c r="Q639" s="7"/>
      <c r="R639" s="7"/>
      <c r="S639" s="7"/>
      <c r="T639" s="7"/>
      <c r="U639" s="7"/>
    </row>
    <row r="640" spans="1:21" x14ac:dyDescent="0.25">
      <c r="A640" s="7"/>
      <c r="B640" s="7"/>
      <c r="C640" s="7"/>
      <c r="D640" s="7"/>
      <c r="E640" s="7"/>
      <c r="F640" s="7"/>
      <c r="G640" s="7"/>
      <c r="H640" s="7"/>
      <c r="I640" s="7"/>
      <c r="J640" s="7"/>
      <c r="K640" s="7"/>
      <c r="L640" s="7"/>
      <c r="M640" s="7"/>
      <c r="N640" s="7"/>
      <c r="O640" s="7"/>
      <c r="P640" s="7"/>
      <c r="Q640" s="7"/>
      <c r="R640" s="7"/>
      <c r="S640" s="7"/>
      <c r="T640" s="7"/>
      <c r="U640" s="7"/>
    </row>
    <row r="641" spans="1:21" x14ac:dyDescent="0.25">
      <c r="A641" s="7"/>
      <c r="B641" s="7"/>
      <c r="C641" s="7"/>
      <c r="D641" s="7"/>
      <c r="E641" s="7"/>
      <c r="F641" s="7"/>
      <c r="G641" s="7"/>
      <c r="H641" s="7"/>
      <c r="I641" s="7"/>
      <c r="J641" s="7"/>
      <c r="K641" s="7"/>
      <c r="L641" s="7"/>
      <c r="M641" s="7"/>
      <c r="N641" s="7"/>
      <c r="O641" s="7"/>
      <c r="P641" s="7"/>
      <c r="Q641" s="7"/>
      <c r="R641" s="7"/>
      <c r="S641" s="7"/>
      <c r="T641" s="7"/>
      <c r="U641" s="7"/>
    </row>
    <row r="642" spans="1:21" x14ac:dyDescent="0.25">
      <c r="A642" s="7"/>
      <c r="B642" s="7"/>
      <c r="C642" s="7"/>
      <c r="D642" s="7"/>
      <c r="E642" s="7"/>
      <c r="F642" s="7"/>
      <c r="G642" s="7"/>
      <c r="H642" s="7"/>
      <c r="I642" s="7"/>
      <c r="J642" s="7"/>
      <c r="K642" s="7"/>
      <c r="L642" s="7"/>
      <c r="M642" s="7"/>
      <c r="N642" s="7"/>
      <c r="O642" s="7"/>
      <c r="P642" s="7"/>
      <c r="Q642" s="7"/>
      <c r="R642" s="7"/>
      <c r="S642" s="7"/>
      <c r="T642" s="7"/>
      <c r="U642" s="7"/>
    </row>
    <row r="643" spans="1:21" x14ac:dyDescent="0.25">
      <c r="A643" s="7"/>
      <c r="B643" s="7"/>
      <c r="C643" s="7"/>
      <c r="D643" s="7"/>
      <c r="E643" s="7"/>
      <c r="F643" s="7"/>
      <c r="G643" s="7"/>
      <c r="H643" s="7"/>
      <c r="I643" s="7"/>
      <c r="J643" s="7"/>
      <c r="K643" s="7"/>
      <c r="L643" s="7"/>
      <c r="M643" s="7"/>
      <c r="N643" s="7"/>
      <c r="O643" s="7"/>
      <c r="P643" s="7"/>
      <c r="Q643" s="7"/>
      <c r="R643" s="7"/>
      <c r="S643" s="7"/>
      <c r="T643" s="7"/>
      <c r="U643" s="7"/>
    </row>
    <row r="644" spans="1:21" x14ac:dyDescent="0.25">
      <c r="A644" s="7"/>
      <c r="B644" s="7"/>
      <c r="C644" s="7"/>
      <c r="D644" s="7"/>
      <c r="E644" s="7"/>
      <c r="F644" s="7"/>
      <c r="G644" s="7"/>
      <c r="H644" s="7"/>
      <c r="I644" s="7"/>
      <c r="J644" s="7"/>
      <c r="K644" s="7"/>
      <c r="L644" s="7"/>
      <c r="M644" s="7"/>
      <c r="N644" s="7"/>
      <c r="O644" s="7"/>
      <c r="P644" s="7"/>
      <c r="Q644" s="7"/>
      <c r="R644" s="7"/>
      <c r="S644" s="7"/>
      <c r="T644" s="7"/>
      <c r="U644" s="7"/>
    </row>
    <row r="645" spans="1:21" x14ac:dyDescent="0.25">
      <c r="A645" s="7"/>
      <c r="B645" s="7"/>
      <c r="C645" s="7"/>
      <c r="D645" s="7"/>
      <c r="E645" s="7"/>
      <c r="F645" s="7"/>
      <c r="G645" s="7"/>
      <c r="H645" s="7"/>
      <c r="I645" s="7"/>
      <c r="J645" s="7"/>
      <c r="K645" s="7"/>
      <c r="L645" s="7"/>
      <c r="M645" s="7"/>
      <c r="N645" s="7"/>
      <c r="O645" s="7"/>
      <c r="P645" s="7"/>
      <c r="Q645" s="7"/>
      <c r="R645" s="7"/>
      <c r="S645" s="7"/>
      <c r="T645" s="7"/>
      <c r="U645" s="7"/>
    </row>
    <row r="646" spans="1:21" x14ac:dyDescent="0.25">
      <c r="A646" s="7"/>
      <c r="B646" s="7"/>
      <c r="C646" s="7"/>
      <c r="D646" s="7"/>
      <c r="E646" s="7"/>
      <c r="F646" s="7"/>
      <c r="G646" s="7"/>
      <c r="H646" s="7"/>
      <c r="I646" s="7"/>
      <c r="J646" s="7"/>
      <c r="K646" s="7"/>
      <c r="L646" s="7"/>
      <c r="M646" s="7"/>
      <c r="N646" s="7"/>
      <c r="O646" s="7"/>
      <c r="P646" s="7"/>
      <c r="Q646" s="7"/>
      <c r="R646" s="7"/>
      <c r="S646" s="7"/>
      <c r="T646" s="7"/>
      <c r="U646" s="7"/>
    </row>
    <row r="647" spans="1:21" x14ac:dyDescent="0.25">
      <c r="A647" s="7"/>
      <c r="B647" s="7"/>
      <c r="C647" s="7"/>
      <c r="D647" s="7"/>
      <c r="E647" s="7"/>
      <c r="F647" s="7"/>
      <c r="G647" s="7"/>
      <c r="H647" s="7"/>
      <c r="I647" s="7"/>
      <c r="J647" s="7"/>
      <c r="K647" s="7"/>
      <c r="L647" s="7"/>
      <c r="M647" s="7"/>
      <c r="N647" s="7"/>
      <c r="O647" s="7"/>
      <c r="P647" s="7"/>
      <c r="Q647" s="7"/>
      <c r="R647" s="7"/>
      <c r="S647" s="7"/>
      <c r="T647" s="7"/>
      <c r="U647" s="7"/>
    </row>
    <row r="648" spans="1:21" x14ac:dyDescent="0.25">
      <c r="A648" s="7"/>
      <c r="B648" s="7"/>
      <c r="C648" s="7"/>
      <c r="D648" s="7"/>
      <c r="E648" s="7"/>
      <c r="F648" s="7"/>
      <c r="G648" s="7"/>
      <c r="H648" s="7"/>
      <c r="I648" s="7"/>
      <c r="J648" s="7"/>
      <c r="K648" s="7"/>
      <c r="L648" s="7"/>
      <c r="M648" s="7"/>
      <c r="N648" s="7"/>
      <c r="O648" s="7"/>
      <c r="P648" s="7"/>
      <c r="Q648" s="7"/>
      <c r="R648" s="7"/>
      <c r="S648" s="7"/>
      <c r="T648" s="7"/>
      <c r="U648" s="7"/>
    </row>
    <row r="649" spans="1:21" x14ac:dyDescent="0.25">
      <c r="A649" s="7"/>
      <c r="B649" s="7"/>
      <c r="C649" s="7"/>
      <c r="D649" s="7"/>
      <c r="E649" s="7"/>
      <c r="F649" s="7"/>
      <c r="G649" s="7"/>
      <c r="H649" s="7"/>
      <c r="I649" s="7"/>
      <c r="J649" s="7"/>
      <c r="K649" s="7"/>
      <c r="L649" s="7"/>
      <c r="M649" s="7"/>
      <c r="N649" s="7"/>
      <c r="O649" s="7"/>
      <c r="P649" s="7"/>
      <c r="Q649" s="7"/>
      <c r="R649" s="7"/>
      <c r="S649" s="7"/>
      <c r="T649" s="7"/>
      <c r="U649" s="7"/>
    </row>
    <row r="650" spans="1:21" x14ac:dyDescent="0.25">
      <c r="A650" s="7"/>
      <c r="B650" s="7"/>
      <c r="C650" s="7"/>
      <c r="D650" s="7"/>
      <c r="E650" s="7"/>
      <c r="F650" s="7"/>
      <c r="G650" s="7"/>
      <c r="H650" s="7"/>
      <c r="I650" s="7"/>
      <c r="J650" s="7"/>
      <c r="K650" s="7"/>
      <c r="L650" s="7"/>
      <c r="M650" s="7"/>
      <c r="N650" s="7"/>
      <c r="O650" s="7"/>
      <c r="P650" s="7"/>
      <c r="Q650" s="7"/>
      <c r="R650" s="7"/>
      <c r="S650" s="7"/>
      <c r="T650" s="7"/>
      <c r="U650" s="7"/>
    </row>
    <row r="651" spans="1:21" x14ac:dyDescent="0.25">
      <c r="A651" s="7"/>
      <c r="B651" s="7"/>
      <c r="C651" s="7"/>
      <c r="D651" s="7"/>
      <c r="E651" s="7"/>
      <c r="F651" s="7"/>
      <c r="G651" s="7"/>
      <c r="H651" s="7"/>
      <c r="I651" s="7"/>
      <c r="J651" s="7"/>
      <c r="K651" s="7"/>
      <c r="L651" s="7"/>
      <c r="M651" s="7"/>
      <c r="N651" s="7"/>
      <c r="O651" s="7"/>
      <c r="P651" s="7"/>
      <c r="Q651" s="7"/>
      <c r="R651" s="7"/>
      <c r="S651" s="7"/>
      <c r="T651" s="7"/>
      <c r="U651" s="7"/>
    </row>
    <row r="652" spans="1:21" x14ac:dyDescent="0.25">
      <c r="A652" s="7"/>
      <c r="B652" s="7"/>
      <c r="C652" s="7"/>
      <c r="D652" s="7"/>
      <c r="E652" s="7"/>
      <c r="F652" s="7"/>
      <c r="G652" s="7"/>
      <c r="H652" s="7"/>
      <c r="I652" s="7"/>
      <c r="J652" s="7"/>
      <c r="K652" s="7"/>
      <c r="L652" s="7"/>
      <c r="M652" s="7"/>
      <c r="N652" s="7"/>
      <c r="O652" s="7"/>
      <c r="P652" s="7"/>
      <c r="Q652" s="7"/>
      <c r="R652" s="7"/>
      <c r="S652" s="7"/>
      <c r="T652" s="7"/>
      <c r="U652" s="7"/>
    </row>
    <row r="653" spans="1:21" x14ac:dyDescent="0.25">
      <c r="A653" s="7"/>
      <c r="B653" s="7"/>
      <c r="C653" s="7"/>
      <c r="D653" s="7"/>
      <c r="E653" s="7"/>
      <c r="F653" s="7"/>
      <c r="G653" s="7"/>
      <c r="H653" s="7"/>
      <c r="I653" s="7"/>
      <c r="J653" s="7"/>
      <c r="K653" s="7"/>
      <c r="L653" s="7"/>
      <c r="M653" s="7"/>
      <c r="N653" s="7"/>
      <c r="O653" s="7"/>
      <c r="P653" s="7"/>
      <c r="Q653" s="7"/>
      <c r="R653" s="7"/>
      <c r="S653" s="7"/>
      <c r="T653" s="7"/>
      <c r="U653" s="7"/>
    </row>
    <row r="654" spans="1:21" x14ac:dyDescent="0.25">
      <c r="A654" s="7"/>
      <c r="B654" s="7"/>
      <c r="C654" s="7"/>
      <c r="D654" s="7"/>
      <c r="E654" s="7"/>
      <c r="F654" s="7"/>
      <c r="G654" s="7"/>
      <c r="H654" s="7"/>
      <c r="I654" s="7"/>
      <c r="J654" s="7"/>
      <c r="K654" s="7"/>
      <c r="L654" s="7"/>
      <c r="M654" s="7"/>
      <c r="N654" s="7"/>
      <c r="O654" s="7"/>
      <c r="P654" s="7"/>
      <c r="Q654" s="7"/>
      <c r="R654" s="7"/>
      <c r="S654" s="7"/>
      <c r="T654" s="7"/>
      <c r="U654" s="7"/>
    </row>
    <row r="655" spans="1:21" x14ac:dyDescent="0.25">
      <c r="A655" s="7"/>
      <c r="B655" s="7"/>
      <c r="C655" s="7"/>
      <c r="D655" s="7"/>
      <c r="E655" s="7"/>
      <c r="F655" s="7"/>
      <c r="G655" s="7"/>
      <c r="H655" s="7"/>
      <c r="I655" s="7"/>
      <c r="J655" s="7"/>
      <c r="K655" s="7"/>
      <c r="L655" s="7"/>
      <c r="M655" s="7"/>
      <c r="N655" s="7"/>
      <c r="O655" s="7"/>
      <c r="P655" s="7"/>
      <c r="Q655" s="7"/>
      <c r="R655" s="7"/>
      <c r="S655" s="7"/>
      <c r="T655" s="7"/>
      <c r="U655" s="7"/>
    </row>
    <row r="656" spans="1:21" x14ac:dyDescent="0.25">
      <c r="A656" s="7"/>
      <c r="B656" s="7"/>
      <c r="C656" s="7"/>
      <c r="D656" s="7"/>
      <c r="E656" s="7"/>
      <c r="F656" s="7"/>
      <c r="G656" s="7"/>
      <c r="H656" s="7"/>
      <c r="I656" s="7"/>
      <c r="J656" s="7"/>
      <c r="K656" s="7"/>
      <c r="L656" s="7"/>
      <c r="M656" s="7"/>
      <c r="N656" s="7"/>
      <c r="O656" s="7"/>
      <c r="P656" s="7"/>
      <c r="Q656" s="7"/>
      <c r="R656" s="7"/>
      <c r="S656" s="7"/>
      <c r="T656" s="7"/>
      <c r="U656" s="7"/>
    </row>
    <row r="657" spans="1:21" x14ac:dyDescent="0.25">
      <c r="A657" s="7"/>
      <c r="B657" s="7"/>
      <c r="C657" s="7"/>
      <c r="D657" s="7"/>
      <c r="E657" s="7"/>
      <c r="F657" s="7"/>
      <c r="G657" s="7"/>
      <c r="H657" s="7"/>
      <c r="I657" s="7"/>
      <c r="J657" s="7"/>
      <c r="K657" s="7"/>
      <c r="L657" s="7"/>
      <c r="M657" s="7"/>
      <c r="N657" s="7"/>
      <c r="O657" s="7"/>
      <c r="P657" s="7"/>
      <c r="Q657" s="7"/>
      <c r="R657" s="7"/>
      <c r="S657" s="7"/>
      <c r="T657" s="7"/>
      <c r="U657" s="7"/>
    </row>
    <row r="658" spans="1:21" x14ac:dyDescent="0.25">
      <c r="A658" s="7"/>
      <c r="B658" s="7"/>
      <c r="C658" s="7"/>
      <c r="D658" s="7"/>
      <c r="E658" s="7"/>
      <c r="F658" s="7"/>
      <c r="G658" s="7"/>
      <c r="H658" s="7"/>
      <c r="I658" s="7"/>
      <c r="J658" s="7"/>
      <c r="K658" s="7"/>
      <c r="L658" s="7"/>
      <c r="M658" s="7"/>
      <c r="N658" s="7"/>
      <c r="O658" s="7"/>
      <c r="P658" s="7"/>
      <c r="Q658" s="7"/>
      <c r="R658" s="7"/>
      <c r="S658" s="7"/>
      <c r="T658" s="7"/>
      <c r="U658" s="7"/>
    </row>
    <row r="659" spans="1:21" x14ac:dyDescent="0.25">
      <c r="A659" s="7"/>
      <c r="B659" s="7"/>
      <c r="C659" s="7"/>
      <c r="D659" s="7"/>
      <c r="E659" s="7"/>
      <c r="F659" s="7"/>
      <c r="G659" s="7"/>
      <c r="H659" s="7"/>
      <c r="I659" s="7"/>
      <c r="J659" s="7"/>
      <c r="K659" s="7"/>
      <c r="L659" s="7"/>
      <c r="M659" s="7"/>
      <c r="N659" s="7"/>
      <c r="O659" s="7"/>
      <c r="P659" s="7"/>
      <c r="Q659" s="7"/>
      <c r="R659" s="7"/>
      <c r="S659" s="7"/>
      <c r="T659" s="7"/>
      <c r="U659" s="7"/>
    </row>
    <row r="660" spans="1:21" x14ac:dyDescent="0.25">
      <c r="A660" s="7"/>
      <c r="B660" s="7"/>
      <c r="C660" s="7"/>
      <c r="D660" s="7"/>
      <c r="E660" s="7"/>
      <c r="F660" s="7"/>
      <c r="G660" s="7"/>
      <c r="H660" s="7"/>
      <c r="I660" s="7"/>
      <c r="J660" s="7"/>
      <c r="K660" s="7"/>
      <c r="L660" s="7"/>
      <c r="M660" s="7"/>
      <c r="N660" s="7"/>
      <c r="O660" s="7"/>
      <c r="P660" s="7"/>
      <c r="Q660" s="7"/>
      <c r="R660" s="7"/>
      <c r="S660" s="7"/>
      <c r="T660" s="7"/>
      <c r="U660" s="7"/>
    </row>
    <row r="661" spans="1:21" x14ac:dyDescent="0.25">
      <c r="A661" s="7"/>
      <c r="B661" s="7"/>
      <c r="C661" s="7"/>
      <c r="D661" s="7"/>
      <c r="E661" s="7"/>
      <c r="F661" s="7"/>
      <c r="G661" s="7"/>
      <c r="H661" s="7"/>
      <c r="I661" s="7"/>
      <c r="J661" s="7"/>
      <c r="K661" s="7"/>
      <c r="L661" s="7"/>
      <c r="M661" s="7"/>
      <c r="N661" s="7"/>
      <c r="O661" s="7"/>
      <c r="P661" s="7"/>
      <c r="Q661" s="7"/>
      <c r="R661" s="7"/>
      <c r="S661" s="7"/>
      <c r="T661" s="7"/>
      <c r="U661" s="7"/>
    </row>
    <row r="662" spans="1:21" x14ac:dyDescent="0.25">
      <c r="A662" s="7"/>
      <c r="B662" s="7"/>
      <c r="C662" s="7"/>
      <c r="D662" s="7"/>
      <c r="E662" s="7"/>
      <c r="F662" s="7"/>
      <c r="G662" s="7"/>
      <c r="H662" s="7"/>
      <c r="I662" s="7"/>
      <c r="J662" s="7"/>
      <c r="K662" s="7"/>
      <c r="L662" s="7"/>
      <c r="M662" s="7"/>
      <c r="N662" s="7"/>
      <c r="O662" s="7"/>
      <c r="P662" s="7"/>
      <c r="Q662" s="7"/>
      <c r="R662" s="7"/>
      <c r="S662" s="7"/>
      <c r="T662" s="7"/>
      <c r="U662" s="7"/>
    </row>
    <row r="663" spans="1:21" x14ac:dyDescent="0.25">
      <c r="A663" s="7"/>
      <c r="B663" s="7"/>
      <c r="C663" s="7"/>
      <c r="D663" s="7"/>
      <c r="E663" s="7"/>
      <c r="F663" s="7"/>
      <c r="G663" s="7"/>
      <c r="H663" s="7"/>
      <c r="I663" s="7"/>
      <c r="J663" s="7"/>
      <c r="K663" s="7"/>
      <c r="L663" s="7"/>
      <c r="M663" s="7"/>
      <c r="N663" s="7"/>
      <c r="O663" s="7"/>
      <c r="P663" s="7"/>
      <c r="Q663" s="7"/>
      <c r="R663" s="7"/>
      <c r="S663" s="7"/>
      <c r="T663" s="7"/>
      <c r="U663" s="7"/>
    </row>
    <row r="664" spans="1:21" x14ac:dyDescent="0.25">
      <c r="A664" s="7"/>
      <c r="B664" s="7"/>
      <c r="C664" s="7"/>
      <c r="D664" s="7"/>
      <c r="E664" s="7"/>
      <c r="F664" s="7"/>
      <c r="G664" s="7"/>
      <c r="H664" s="7"/>
      <c r="I664" s="7"/>
      <c r="J664" s="7"/>
      <c r="K664" s="7"/>
      <c r="L664" s="7"/>
      <c r="M664" s="7"/>
      <c r="N664" s="7"/>
      <c r="O664" s="7"/>
      <c r="P664" s="7"/>
      <c r="Q664" s="7"/>
      <c r="R664" s="7"/>
      <c r="S664" s="7"/>
      <c r="T664" s="7"/>
      <c r="U664" s="7"/>
    </row>
    <row r="665" spans="1:21" x14ac:dyDescent="0.25">
      <c r="A665" s="7"/>
      <c r="B665" s="7"/>
      <c r="C665" s="7"/>
      <c r="D665" s="7"/>
      <c r="E665" s="7"/>
      <c r="F665" s="7"/>
      <c r="G665" s="7"/>
      <c r="H665" s="7"/>
      <c r="I665" s="7"/>
      <c r="J665" s="7"/>
      <c r="K665" s="7"/>
      <c r="L665" s="7"/>
      <c r="M665" s="7"/>
      <c r="N665" s="7"/>
      <c r="O665" s="7"/>
      <c r="P665" s="7"/>
      <c r="Q665" s="7"/>
      <c r="R665" s="7"/>
      <c r="S665" s="7"/>
      <c r="T665" s="7"/>
      <c r="U665" s="7"/>
    </row>
    <row r="666" spans="1:21" x14ac:dyDescent="0.25">
      <c r="A666" s="7"/>
      <c r="B666" s="7"/>
      <c r="C666" s="7"/>
      <c r="D666" s="7"/>
      <c r="E666" s="7"/>
      <c r="F666" s="7"/>
      <c r="G666" s="7"/>
      <c r="H666" s="7"/>
      <c r="I666" s="7"/>
      <c r="J666" s="7"/>
      <c r="K666" s="7"/>
      <c r="L666" s="7"/>
      <c r="M666" s="7"/>
      <c r="N666" s="7"/>
      <c r="O666" s="7"/>
      <c r="P666" s="7"/>
      <c r="Q666" s="7"/>
      <c r="R666" s="7"/>
      <c r="S666" s="7"/>
      <c r="T666" s="7"/>
      <c r="U666" s="7"/>
    </row>
    <row r="667" spans="1:21" x14ac:dyDescent="0.25">
      <c r="A667" s="7"/>
      <c r="B667" s="7"/>
      <c r="C667" s="7"/>
      <c r="D667" s="7"/>
      <c r="E667" s="7"/>
      <c r="F667" s="7"/>
      <c r="G667" s="7"/>
      <c r="H667" s="7"/>
      <c r="I667" s="7"/>
      <c r="J667" s="7"/>
      <c r="K667" s="7"/>
      <c r="L667" s="7"/>
      <c r="M667" s="7"/>
      <c r="N667" s="7"/>
      <c r="O667" s="7"/>
      <c r="P667" s="7"/>
      <c r="Q667" s="7"/>
      <c r="R667" s="7"/>
      <c r="S667" s="7"/>
      <c r="T667" s="7"/>
      <c r="U667" s="7"/>
    </row>
    <row r="668" spans="1:21" x14ac:dyDescent="0.25">
      <c r="A668" s="7"/>
      <c r="B668" s="7"/>
      <c r="C668" s="7"/>
      <c r="D668" s="7"/>
      <c r="E668" s="7"/>
      <c r="F668" s="7"/>
      <c r="G668" s="7"/>
      <c r="H668" s="7"/>
      <c r="I668" s="7"/>
      <c r="J668" s="7"/>
      <c r="K668" s="7"/>
      <c r="L668" s="7"/>
      <c r="M668" s="7"/>
      <c r="N668" s="7"/>
      <c r="O668" s="7"/>
      <c r="P668" s="7"/>
      <c r="Q668" s="7"/>
      <c r="R668" s="7"/>
      <c r="S668" s="7"/>
      <c r="T668" s="7"/>
      <c r="U668" s="7"/>
    </row>
    <row r="669" spans="1:21" x14ac:dyDescent="0.25">
      <c r="A669" s="7"/>
      <c r="B669" s="7"/>
      <c r="C669" s="7"/>
      <c r="D669" s="7"/>
      <c r="E669" s="7"/>
      <c r="F669" s="7"/>
      <c r="G669" s="7"/>
      <c r="H669" s="7"/>
      <c r="I669" s="7"/>
      <c r="J669" s="7"/>
      <c r="K669" s="7"/>
      <c r="L669" s="7"/>
      <c r="M669" s="7"/>
      <c r="N669" s="7"/>
      <c r="O669" s="7"/>
      <c r="P669" s="7"/>
      <c r="Q669" s="7"/>
      <c r="R669" s="7"/>
      <c r="S669" s="7"/>
      <c r="T669" s="7"/>
      <c r="U669" s="7"/>
    </row>
    <row r="670" spans="1:21" x14ac:dyDescent="0.25">
      <c r="A670" s="7"/>
      <c r="B670" s="7"/>
      <c r="C670" s="7"/>
      <c r="D670" s="7"/>
      <c r="E670" s="7"/>
      <c r="F670" s="7"/>
      <c r="G670" s="7"/>
      <c r="H670" s="7"/>
      <c r="I670" s="7"/>
      <c r="J670" s="7"/>
      <c r="K670" s="7"/>
      <c r="L670" s="7"/>
      <c r="M670" s="7"/>
      <c r="N670" s="7"/>
      <c r="O670" s="7"/>
      <c r="P670" s="7"/>
      <c r="Q670" s="7"/>
      <c r="R670" s="7"/>
      <c r="S670" s="7"/>
      <c r="T670" s="7"/>
      <c r="U670" s="7"/>
    </row>
    <row r="671" spans="1:21" x14ac:dyDescent="0.25">
      <c r="A671" s="7"/>
      <c r="B671" s="7"/>
      <c r="C671" s="7"/>
      <c r="D671" s="7"/>
      <c r="E671" s="7"/>
      <c r="F671" s="7"/>
      <c r="G671" s="7"/>
      <c r="H671" s="7"/>
      <c r="I671" s="7"/>
      <c r="J671" s="7"/>
      <c r="K671" s="7"/>
      <c r="L671" s="7"/>
      <c r="M671" s="7"/>
      <c r="N671" s="7"/>
      <c r="O671" s="7"/>
      <c r="P671" s="7"/>
      <c r="Q671" s="7"/>
      <c r="R671" s="7"/>
      <c r="S671" s="7"/>
      <c r="T671" s="7"/>
      <c r="U671" s="7"/>
    </row>
    <row r="672" spans="1:21" x14ac:dyDescent="0.25">
      <c r="A672" s="7"/>
      <c r="B672" s="7"/>
      <c r="C672" s="7"/>
      <c r="D672" s="7"/>
      <c r="E672" s="7"/>
      <c r="F672" s="7"/>
      <c r="G672" s="7"/>
      <c r="H672" s="7"/>
      <c r="I672" s="7"/>
      <c r="J672" s="7"/>
      <c r="K672" s="7"/>
      <c r="L672" s="7"/>
      <c r="M672" s="7"/>
      <c r="N672" s="7"/>
      <c r="O672" s="7"/>
      <c r="P672" s="7"/>
      <c r="Q672" s="7"/>
      <c r="R672" s="7"/>
      <c r="S672" s="7"/>
      <c r="T672" s="7"/>
      <c r="U672" s="7"/>
    </row>
    <row r="673" spans="1:21" x14ac:dyDescent="0.25">
      <c r="A673" s="7"/>
      <c r="B673" s="7"/>
      <c r="C673" s="7"/>
      <c r="D673" s="7"/>
      <c r="E673" s="7"/>
      <c r="F673" s="7"/>
      <c r="G673" s="7"/>
      <c r="H673" s="7"/>
      <c r="I673" s="7"/>
      <c r="J673" s="7"/>
      <c r="K673" s="7"/>
      <c r="L673" s="7"/>
      <c r="M673" s="7"/>
      <c r="N673" s="7"/>
      <c r="O673" s="7"/>
      <c r="P673" s="7"/>
      <c r="Q673" s="7"/>
      <c r="R673" s="7"/>
      <c r="S673" s="7"/>
      <c r="T673" s="7"/>
      <c r="U673" s="7"/>
    </row>
    <row r="674" spans="1:21" x14ac:dyDescent="0.25">
      <c r="A674" s="7"/>
      <c r="B674" s="7"/>
      <c r="C674" s="7"/>
      <c r="D674" s="7"/>
      <c r="E674" s="7"/>
      <c r="F674" s="7"/>
      <c r="G674" s="7"/>
      <c r="H674" s="7"/>
      <c r="I674" s="7"/>
      <c r="J674" s="7"/>
      <c r="K674" s="7"/>
      <c r="L674" s="7"/>
      <c r="M674" s="7"/>
      <c r="N674" s="7"/>
      <c r="O674" s="7"/>
      <c r="P674" s="7"/>
      <c r="Q674" s="7"/>
      <c r="R674" s="7"/>
      <c r="S674" s="7"/>
      <c r="T674" s="7"/>
      <c r="U674" s="7"/>
    </row>
    <row r="675" spans="1:21" x14ac:dyDescent="0.25">
      <c r="A675" s="7"/>
      <c r="B675" s="7"/>
      <c r="C675" s="7"/>
      <c r="D675" s="7"/>
      <c r="E675" s="7"/>
      <c r="F675" s="7"/>
      <c r="G675" s="7"/>
      <c r="H675" s="7"/>
      <c r="I675" s="7"/>
      <c r="J675" s="7"/>
      <c r="K675" s="7"/>
      <c r="L675" s="7"/>
      <c r="M675" s="7"/>
      <c r="N675" s="7"/>
      <c r="O675" s="7"/>
      <c r="P675" s="7"/>
      <c r="Q675" s="7"/>
      <c r="R675" s="7"/>
      <c r="S675" s="7"/>
      <c r="T675" s="7"/>
      <c r="U675" s="7"/>
    </row>
    <row r="676" spans="1:21" x14ac:dyDescent="0.25">
      <c r="A676" s="7"/>
      <c r="B676" s="7"/>
      <c r="C676" s="7"/>
      <c r="D676" s="7"/>
      <c r="E676" s="7"/>
      <c r="F676" s="7"/>
      <c r="G676" s="7"/>
      <c r="H676" s="7"/>
      <c r="I676" s="7"/>
      <c r="J676" s="7"/>
      <c r="K676" s="7"/>
      <c r="L676" s="7"/>
      <c r="M676" s="7"/>
      <c r="N676" s="7"/>
      <c r="O676" s="7"/>
      <c r="P676" s="7"/>
      <c r="Q676" s="7"/>
      <c r="R676" s="7"/>
      <c r="S676" s="7"/>
      <c r="T676" s="7"/>
      <c r="U676" s="7"/>
    </row>
    <row r="677" spans="1:21" x14ac:dyDescent="0.25">
      <c r="A677" s="7"/>
      <c r="B677" s="7"/>
      <c r="C677" s="7"/>
      <c r="D677" s="7"/>
      <c r="E677" s="7"/>
      <c r="F677" s="7"/>
      <c r="G677" s="7"/>
      <c r="H677" s="7"/>
      <c r="I677" s="7"/>
      <c r="J677" s="7"/>
      <c r="K677" s="7"/>
      <c r="L677" s="7"/>
      <c r="M677" s="7"/>
      <c r="N677" s="7"/>
      <c r="O677" s="7"/>
      <c r="P677" s="7"/>
      <c r="Q677" s="7"/>
      <c r="R677" s="7"/>
      <c r="S677" s="7"/>
      <c r="T677" s="7"/>
      <c r="U677" s="7"/>
    </row>
    <row r="678" spans="1:21" x14ac:dyDescent="0.25">
      <c r="A678" s="7"/>
      <c r="B678" s="7"/>
      <c r="C678" s="7"/>
      <c r="D678" s="7"/>
      <c r="E678" s="7"/>
      <c r="F678" s="7"/>
      <c r="G678" s="7"/>
      <c r="H678" s="7"/>
      <c r="I678" s="7"/>
      <c r="J678" s="7"/>
      <c r="K678" s="7"/>
      <c r="L678" s="7"/>
      <c r="M678" s="7"/>
      <c r="N678" s="7"/>
      <c r="O678" s="7"/>
      <c r="P678" s="7"/>
      <c r="Q678" s="7"/>
      <c r="R678" s="7"/>
      <c r="S678" s="7"/>
      <c r="T678" s="7"/>
      <c r="U678" s="7"/>
    </row>
    <row r="679" spans="1:21" x14ac:dyDescent="0.25">
      <c r="A679" s="7"/>
      <c r="B679" s="7"/>
      <c r="C679" s="7"/>
      <c r="D679" s="7"/>
      <c r="E679" s="7"/>
      <c r="F679" s="7"/>
      <c r="G679" s="7"/>
      <c r="H679" s="7"/>
      <c r="I679" s="7"/>
      <c r="J679" s="7"/>
      <c r="K679" s="7"/>
      <c r="L679" s="7"/>
      <c r="M679" s="7"/>
      <c r="N679" s="7"/>
      <c r="O679" s="7"/>
      <c r="P679" s="7"/>
      <c r="Q679" s="7"/>
      <c r="R679" s="7"/>
      <c r="S679" s="7"/>
      <c r="T679" s="7"/>
      <c r="U679" s="7"/>
    </row>
    <row r="680" spans="1:21" x14ac:dyDescent="0.25">
      <c r="A680" s="7"/>
      <c r="B680" s="7"/>
      <c r="C680" s="7"/>
      <c r="D680" s="7"/>
      <c r="E680" s="7"/>
      <c r="F680" s="7"/>
      <c r="G680" s="7"/>
      <c r="H680" s="7"/>
      <c r="I680" s="7"/>
      <c r="J680" s="7"/>
      <c r="K680" s="7"/>
      <c r="L680" s="7"/>
      <c r="M680" s="7"/>
      <c r="N680" s="7"/>
      <c r="O680" s="7"/>
      <c r="P680" s="7"/>
      <c r="Q680" s="7"/>
      <c r="R680" s="7"/>
      <c r="S680" s="7"/>
      <c r="T680" s="7"/>
      <c r="U680" s="7"/>
    </row>
    <row r="681" spans="1:21" x14ac:dyDescent="0.25">
      <c r="A681" s="7"/>
      <c r="B681" s="7"/>
      <c r="C681" s="7"/>
      <c r="D681" s="7"/>
      <c r="E681" s="7"/>
      <c r="F681" s="7"/>
      <c r="G681" s="7"/>
      <c r="H681" s="7"/>
      <c r="I681" s="7"/>
      <c r="J681" s="7"/>
      <c r="K681" s="7"/>
      <c r="L681" s="7"/>
      <c r="M681" s="7"/>
      <c r="N681" s="7"/>
      <c r="O681" s="7"/>
      <c r="P681" s="7"/>
      <c r="Q681" s="7"/>
      <c r="R681" s="7"/>
      <c r="S681" s="7"/>
      <c r="T681" s="7"/>
      <c r="U681" s="7"/>
    </row>
    <row r="682" spans="1:21" x14ac:dyDescent="0.25">
      <c r="A682" s="7"/>
      <c r="B682" s="7"/>
      <c r="C682" s="7"/>
      <c r="D682" s="7"/>
      <c r="E682" s="7"/>
      <c r="F682" s="7"/>
      <c r="G682" s="7"/>
      <c r="H682" s="7"/>
      <c r="I682" s="7"/>
      <c r="J682" s="7"/>
      <c r="K682" s="7"/>
      <c r="L682" s="7"/>
      <c r="M682" s="7"/>
      <c r="N682" s="7"/>
      <c r="O682" s="7"/>
      <c r="P682" s="7"/>
      <c r="Q682" s="7"/>
      <c r="R682" s="7"/>
      <c r="S682" s="7"/>
      <c r="T682" s="7"/>
      <c r="U682" s="7"/>
    </row>
    <row r="683" spans="1:21" x14ac:dyDescent="0.25">
      <c r="A683" s="7"/>
      <c r="B683" s="7"/>
      <c r="C683" s="7"/>
      <c r="D683" s="7"/>
      <c r="E683" s="7"/>
      <c r="F683" s="7"/>
      <c r="G683" s="7"/>
      <c r="H683" s="7"/>
      <c r="I683" s="7"/>
      <c r="J683" s="7"/>
      <c r="K683" s="7"/>
      <c r="L683" s="7"/>
      <c r="M683" s="7"/>
      <c r="N683" s="7"/>
      <c r="O683" s="7"/>
      <c r="P683" s="7"/>
      <c r="Q683" s="7"/>
      <c r="R683" s="7"/>
      <c r="S683" s="7"/>
      <c r="T683" s="7"/>
      <c r="U683" s="7"/>
    </row>
    <row r="684" spans="1:21" x14ac:dyDescent="0.25">
      <c r="A684" s="7"/>
      <c r="B684" s="7"/>
      <c r="C684" s="7"/>
      <c r="D684" s="7"/>
      <c r="E684" s="7"/>
      <c r="F684" s="7"/>
      <c r="G684" s="7"/>
      <c r="H684" s="7"/>
      <c r="I684" s="7"/>
      <c r="J684" s="7"/>
      <c r="K684" s="7"/>
      <c r="L684" s="7"/>
      <c r="M684" s="7"/>
      <c r="N684" s="7"/>
      <c r="O684" s="7"/>
      <c r="P684" s="7"/>
      <c r="Q684" s="7"/>
      <c r="R684" s="7"/>
      <c r="S684" s="7"/>
      <c r="T684" s="7"/>
      <c r="U684" s="7"/>
    </row>
    <row r="685" spans="1:21" x14ac:dyDescent="0.25">
      <c r="A685" s="7"/>
      <c r="B685" s="7"/>
      <c r="C685" s="7"/>
      <c r="D685" s="7"/>
      <c r="E685" s="7"/>
      <c r="F685" s="7"/>
      <c r="G685" s="7"/>
      <c r="H685" s="7"/>
      <c r="I685" s="7"/>
      <c r="J685" s="7"/>
      <c r="K685" s="7"/>
      <c r="L685" s="7"/>
      <c r="M685" s="7"/>
      <c r="N685" s="7"/>
      <c r="O685" s="7"/>
      <c r="P685" s="7"/>
      <c r="Q685" s="7"/>
      <c r="R685" s="7"/>
      <c r="S685" s="7"/>
      <c r="T685" s="7"/>
      <c r="U685" s="7"/>
    </row>
    <row r="686" spans="1:21" x14ac:dyDescent="0.25">
      <c r="A686" s="7"/>
      <c r="B686" s="7"/>
      <c r="C686" s="7"/>
      <c r="D686" s="7"/>
      <c r="E686" s="7"/>
      <c r="F686" s="7"/>
      <c r="G686" s="7"/>
      <c r="H686" s="7"/>
      <c r="I686" s="7"/>
      <c r="J686" s="7"/>
      <c r="K686" s="7"/>
      <c r="L686" s="7"/>
      <c r="M686" s="7"/>
      <c r="N686" s="7"/>
      <c r="O686" s="7"/>
      <c r="P686" s="7"/>
      <c r="Q686" s="7"/>
      <c r="R686" s="7"/>
      <c r="S686" s="7"/>
      <c r="T686" s="7"/>
      <c r="U686" s="7"/>
    </row>
    <row r="687" spans="1:21" x14ac:dyDescent="0.25">
      <c r="A687" s="7"/>
      <c r="B687" s="7"/>
      <c r="C687" s="7"/>
      <c r="D687" s="7"/>
      <c r="E687" s="7"/>
      <c r="F687" s="7"/>
      <c r="G687" s="7"/>
      <c r="H687" s="7"/>
      <c r="I687" s="7"/>
      <c r="J687" s="7"/>
      <c r="K687" s="7"/>
      <c r="L687" s="7"/>
      <c r="M687" s="7"/>
      <c r="N687" s="7"/>
      <c r="O687" s="7"/>
      <c r="P687" s="7"/>
      <c r="Q687" s="7"/>
      <c r="R687" s="7"/>
      <c r="S687" s="7"/>
      <c r="T687" s="7"/>
      <c r="U687" s="7"/>
    </row>
    <row r="688" spans="1:21" x14ac:dyDescent="0.25">
      <c r="A688" s="7"/>
      <c r="B688" s="7"/>
      <c r="C688" s="7"/>
      <c r="D688" s="7"/>
      <c r="E688" s="7"/>
      <c r="F688" s="7"/>
      <c r="G688" s="7"/>
      <c r="H688" s="7"/>
      <c r="I688" s="7"/>
      <c r="J688" s="7"/>
      <c r="K688" s="7"/>
      <c r="L688" s="7"/>
      <c r="M688" s="7"/>
      <c r="N688" s="7"/>
      <c r="O688" s="7"/>
      <c r="P688" s="7"/>
      <c r="Q688" s="7"/>
      <c r="R688" s="7"/>
      <c r="S688" s="7"/>
      <c r="T688" s="7"/>
      <c r="U688" s="7"/>
    </row>
    <row r="689" spans="1:21" x14ac:dyDescent="0.25">
      <c r="A689" s="7"/>
      <c r="B689" s="7"/>
      <c r="C689" s="7"/>
      <c r="D689" s="7"/>
      <c r="E689" s="7"/>
      <c r="F689" s="7"/>
      <c r="G689" s="7"/>
      <c r="H689" s="7"/>
      <c r="I689" s="7"/>
      <c r="J689" s="7"/>
      <c r="K689" s="7"/>
      <c r="L689" s="7"/>
      <c r="M689" s="7"/>
      <c r="N689" s="7"/>
      <c r="O689" s="7"/>
      <c r="P689" s="7"/>
      <c r="Q689" s="7"/>
      <c r="R689" s="7"/>
      <c r="S689" s="7"/>
      <c r="T689" s="7"/>
      <c r="U689" s="7"/>
    </row>
    <row r="690" spans="1:21" x14ac:dyDescent="0.25">
      <c r="A690" s="7"/>
      <c r="B690" s="7"/>
      <c r="C690" s="7"/>
      <c r="D690" s="7"/>
      <c r="E690" s="7"/>
      <c r="F690" s="7"/>
      <c r="G690" s="7"/>
      <c r="H690" s="7"/>
      <c r="I690" s="7"/>
      <c r="J690" s="7"/>
      <c r="K690" s="7"/>
      <c r="L690" s="7"/>
      <c r="M690" s="7"/>
      <c r="N690" s="7"/>
      <c r="O690" s="7"/>
      <c r="P690" s="7"/>
      <c r="Q690" s="7"/>
      <c r="R690" s="7"/>
      <c r="S690" s="7"/>
      <c r="T690" s="7"/>
      <c r="U690" s="7"/>
    </row>
    <row r="691" spans="1:21" x14ac:dyDescent="0.25">
      <c r="A691" s="7"/>
      <c r="B691" s="7"/>
      <c r="C691" s="7"/>
      <c r="D691" s="7"/>
      <c r="E691" s="7"/>
      <c r="F691" s="7"/>
      <c r="G691" s="7"/>
      <c r="H691" s="7"/>
      <c r="I691" s="7"/>
      <c r="J691" s="7"/>
      <c r="K691" s="7"/>
      <c r="L691" s="7"/>
      <c r="M691" s="7"/>
      <c r="N691" s="7"/>
      <c r="O691" s="7"/>
      <c r="P691" s="7"/>
      <c r="Q691" s="7"/>
      <c r="R691" s="7"/>
      <c r="S691" s="7"/>
      <c r="T691" s="7"/>
      <c r="U691" s="7"/>
    </row>
    <row r="692" spans="1:21" x14ac:dyDescent="0.25">
      <c r="A692" s="7"/>
      <c r="B692" s="7"/>
      <c r="C692" s="7"/>
      <c r="D692" s="7"/>
      <c r="E692" s="7"/>
      <c r="F692" s="7"/>
      <c r="G692" s="7"/>
      <c r="H692" s="7"/>
      <c r="I692" s="7"/>
      <c r="J692" s="7"/>
      <c r="K692" s="7"/>
      <c r="L692" s="7"/>
      <c r="M692" s="7"/>
      <c r="N692" s="7"/>
      <c r="O692" s="7"/>
      <c r="P692" s="7"/>
      <c r="Q692" s="7"/>
      <c r="R692" s="7"/>
      <c r="S692" s="7"/>
      <c r="T692" s="7"/>
      <c r="U692" s="7"/>
    </row>
    <row r="693" spans="1:21" x14ac:dyDescent="0.25">
      <c r="A693" s="7"/>
      <c r="B693" s="7"/>
      <c r="C693" s="7"/>
      <c r="D693" s="7"/>
      <c r="E693" s="7"/>
      <c r="F693" s="7"/>
      <c r="G693" s="7"/>
      <c r="H693" s="7"/>
      <c r="I693" s="7"/>
      <c r="J693" s="7"/>
      <c r="K693" s="7"/>
      <c r="L693" s="7"/>
      <c r="M693" s="7"/>
      <c r="N693" s="7"/>
      <c r="O693" s="7"/>
      <c r="P693" s="7"/>
      <c r="Q693" s="7"/>
      <c r="R693" s="7"/>
      <c r="S693" s="7"/>
      <c r="T693" s="7"/>
      <c r="U693" s="7"/>
    </row>
    <row r="694" spans="1:21" x14ac:dyDescent="0.25">
      <c r="A694" s="7"/>
      <c r="B694" s="7"/>
      <c r="C694" s="7"/>
      <c r="D694" s="7"/>
      <c r="E694" s="7"/>
      <c r="F694" s="7"/>
      <c r="G694" s="7"/>
      <c r="H694" s="7"/>
      <c r="I694" s="7"/>
      <c r="J694" s="7"/>
      <c r="K694" s="7"/>
      <c r="L694" s="7"/>
      <c r="M694" s="7"/>
      <c r="N694" s="7"/>
      <c r="O694" s="7"/>
      <c r="P694" s="7"/>
      <c r="Q694" s="7"/>
      <c r="R694" s="7"/>
      <c r="S694" s="7"/>
      <c r="T694" s="7"/>
      <c r="U694" s="7"/>
    </row>
    <row r="695" spans="1:21" x14ac:dyDescent="0.25">
      <c r="A695" s="7"/>
      <c r="B695" s="7"/>
      <c r="C695" s="7"/>
      <c r="D695" s="7"/>
      <c r="E695" s="7"/>
      <c r="F695" s="7"/>
      <c r="G695" s="7"/>
      <c r="H695" s="7"/>
      <c r="I695" s="7"/>
      <c r="J695" s="7"/>
      <c r="K695" s="7"/>
      <c r="L695" s="7"/>
      <c r="M695" s="7"/>
      <c r="N695" s="7"/>
      <c r="O695" s="7"/>
      <c r="P695" s="7"/>
      <c r="Q695" s="7"/>
      <c r="R695" s="7"/>
      <c r="S695" s="7"/>
      <c r="T695" s="7"/>
      <c r="U695" s="7"/>
    </row>
    <row r="696" spans="1:21" x14ac:dyDescent="0.25">
      <c r="A696" s="7"/>
      <c r="B696" s="7"/>
      <c r="C696" s="7"/>
      <c r="D696" s="7"/>
      <c r="E696" s="7"/>
      <c r="F696" s="7"/>
      <c r="G696" s="7"/>
      <c r="H696" s="7"/>
      <c r="I696" s="7"/>
      <c r="J696" s="7"/>
      <c r="K696" s="7"/>
      <c r="L696" s="7"/>
      <c r="M696" s="7"/>
      <c r="N696" s="7"/>
      <c r="O696" s="7"/>
      <c r="P696" s="7"/>
      <c r="Q696" s="7"/>
      <c r="R696" s="7"/>
      <c r="S696" s="7"/>
      <c r="T696" s="7"/>
      <c r="U696" s="7"/>
    </row>
    <row r="697" spans="1:21" x14ac:dyDescent="0.25">
      <c r="A697" s="7"/>
      <c r="B697" s="7"/>
      <c r="C697" s="7"/>
      <c r="D697" s="7"/>
      <c r="E697" s="7"/>
      <c r="F697" s="7"/>
      <c r="G697" s="7"/>
      <c r="H697" s="7"/>
      <c r="I697" s="7"/>
      <c r="J697" s="7"/>
      <c r="K697" s="7"/>
      <c r="L697" s="7"/>
      <c r="M697" s="7"/>
      <c r="N697" s="7"/>
      <c r="O697" s="7"/>
      <c r="P697" s="7"/>
      <c r="Q697" s="7"/>
      <c r="R697" s="7"/>
      <c r="S697" s="7"/>
      <c r="T697" s="7"/>
      <c r="U697" s="7"/>
    </row>
    <row r="698" spans="1:21" x14ac:dyDescent="0.25">
      <c r="A698" s="7"/>
      <c r="B698" s="7"/>
      <c r="C698" s="7"/>
      <c r="D698" s="7"/>
      <c r="E698" s="7"/>
      <c r="F698" s="7"/>
      <c r="G698" s="7"/>
      <c r="H698" s="7"/>
      <c r="I698" s="7"/>
      <c r="J698" s="7"/>
      <c r="K698" s="7"/>
      <c r="L698" s="7"/>
      <c r="M698" s="7"/>
      <c r="N698" s="7"/>
      <c r="O698" s="7"/>
      <c r="P698" s="7"/>
      <c r="Q698" s="7"/>
      <c r="R698" s="7"/>
      <c r="S698" s="7"/>
      <c r="T698" s="7"/>
      <c r="U698" s="7"/>
    </row>
    <row r="699" spans="1:21" x14ac:dyDescent="0.25">
      <c r="A699" s="7"/>
      <c r="B699" s="7"/>
      <c r="C699" s="7"/>
      <c r="D699" s="7"/>
      <c r="E699" s="7"/>
      <c r="F699" s="7"/>
      <c r="G699" s="7"/>
      <c r="H699" s="7"/>
      <c r="I699" s="7"/>
      <c r="J699" s="7"/>
      <c r="K699" s="7"/>
      <c r="L699" s="7"/>
      <c r="M699" s="7"/>
      <c r="N699" s="7"/>
      <c r="O699" s="7"/>
      <c r="P699" s="7"/>
      <c r="Q699" s="7"/>
      <c r="R699" s="7"/>
      <c r="S699" s="7"/>
      <c r="T699" s="7"/>
      <c r="U699" s="7"/>
    </row>
    <row r="700" spans="1:21" x14ac:dyDescent="0.25">
      <c r="A700" s="7"/>
      <c r="B700" s="7"/>
      <c r="C700" s="7"/>
      <c r="D700" s="7"/>
      <c r="E700" s="7"/>
      <c r="F700" s="7"/>
      <c r="G700" s="7"/>
      <c r="H700" s="7"/>
      <c r="I700" s="7"/>
      <c r="J700" s="7"/>
      <c r="K700" s="7"/>
      <c r="L700" s="7"/>
      <c r="M700" s="7"/>
      <c r="N700" s="7"/>
      <c r="O700" s="7"/>
      <c r="P700" s="7"/>
      <c r="Q700" s="7"/>
      <c r="R700" s="7"/>
      <c r="S700" s="7"/>
      <c r="T700" s="7"/>
      <c r="U700" s="7"/>
    </row>
    <row r="701" spans="1:21" x14ac:dyDescent="0.25">
      <c r="A701" s="7"/>
      <c r="B701" s="7"/>
      <c r="C701" s="7"/>
      <c r="D701" s="7"/>
      <c r="E701" s="7"/>
      <c r="F701" s="7"/>
      <c r="G701" s="7"/>
      <c r="H701" s="7"/>
      <c r="I701" s="7"/>
      <c r="J701" s="7"/>
      <c r="K701" s="7"/>
      <c r="L701" s="7"/>
      <c r="M701" s="7"/>
      <c r="N701" s="7"/>
      <c r="O701" s="7"/>
      <c r="P701" s="7"/>
      <c r="Q701" s="7"/>
      <c r="R701" s="7"/>
      <c r="S701" s="7"/>
      <c r="T701" s="7"/>
      <c r="U701" s="7"/>
    </row>
    <row r="702" spans="1:21" x14ac:dyDescent="0.25">
      <c r="A702" s="7"/>
      <c r="B702" s="7"/>
      <c r="C702" s="7"/>
      <c r="D702" s="7"/>
      <c r="E702" s="7"/>
      <c r="F702" s="7"/>
      <c r="G702" s="7"/>
      <c r="H702" s="7"/>
      <c r="I702" s="7"/>
      <c r="J702" s="7"/>
      <c r="K702" s="7"/>
      <c r="L702" s="7"/>
      <c r="M702" s="7"/>
      <c r="N702" s="7"/>
      <c r="O702" s="7"/>
      <c r="P702" s="7"/>
      <c r="Q702" s="7"/>
      <c r="R702" s="7"/>
      <c r="S702" s="7"/>
      <c r="T702" s="7"/>
      <c r="U702" s="7"/>
    </row>
    <row r="703" spans="1:21" x14ac:dyDescent="0.25">
      <c r="A703" s="7"/>
      <c r="B703" s="7"/>
      <c r="C703" s="7"/>
      <c r="D703" s="7"/>
      <c r="E703" s="7"/>
      <c r="F703" s="7"/>
      <c r="G703" s="7"/>
      <c r="H703" s="7"/>
      <c r="I703" s="7"/>
      <c r="J703" s="7"/>
      <c r="K703" s="7"/>
      <c r="L703" s="7"/>
      <c r="M703" s="7"/>
      <c r="N703" s="7"/>
      <c r="O703" s="7"/>
      <c r="P703" s="7"/>
      <c r="Q703" s="7"/>
      <c r="R703" s="7"/>
      <c r="S703" s="7"/>
      <c r="T703" s="7"/>
      <c r="U703" s="7"/>
    </row>
    <row r="704" spans="1:21" x14ac:dyDescent="0.25">
      <c r="A704" s="7"/>
      <c r="B704" s="7"/>
      <c r="C704" s="7"/>
      <c r="D704" s="7"/>
      <c r="E704" s="7"/>
      <c r="F704" s="7"/>
      <c r="G704" s="7"/>
      <c r="H704" s="7"/>
      <c r="I704" s="7"/>
      <c r="J704" s="7"/>
      <c r="K704" s="7"/>
      <c r="L704" s="7"/>
      <c r="M704" s="7"/>
      <c r="N704" s="7"/>
      <c r="O704" s="7"/>
      <c r="P704" s="7"/>
      <c r="Q704" s="7"/>
      <c r="R704" s="7"/>
      <c r="S704" s="7"/>
      <c r="T704" s="7"/>
      <c r="U704" s="7"/>
    </row>
    <row r="705" spans="1:21" x14ac:dyDescent="0.25">
      <c r="A705" s="7"/>
      <c r="B705" s="7"/>
      <c r="C705" s="7"/>
      <c r="D705" s="7"/>
      <c r="E705" s="7"/>
      <c r="F705" s="7"/>
      <c r="G705" s="7"/>
      <c r="H705" s="7"/>
      <c r="I705" s="7"/>
      <c r="J705" s="7"/>
      <c r="K705" s="7"/>
      <c r="L705" s="7"/>
      <c r="M705" s="7"/>
      <c r="N705" s="7"/>
      <c r="O705" s="7"/>
      <c r="P705" s="7"/>
      <c r="Q705" s="7"/>
      <c r="R705" s="7"/>
      <c r="S705" s="7"/>
      <c r="T705" s="7"/>
      <c r="U705" s="7"/>
    </row>
    <row r="706" spans="1:21" x14ac:dyDescent="0.25">
      <c r="A706" s="7"/>
      <c r="B706" s="7"/>
      <c r="C706" s="7"/>
      <c r="D706" s="7"/>
      <c r="E706" s="7"/>
      <c r="F706" s="7"/>
      <c r="G706" s="7"/>
      <c r="H706" s="7"/>
      <c r="I706" s="7"/>
      <c r="J706" s="7"/>
      <c r="K706" s="7"/>
      <c r="L706" s="7"/>
      <c r="M706" s="7"/>
      <c r="N706" s="7"/>
      <c r="O706" s="7"/>
      <c r="P706" s="7"/>
      <c r="Q706" s="7"/>
      <c r="R706" s="7"/>
      <c r="S706" s="7"/>
      <c r="T706" s="7"/>
      <c r="U706" s="7"/>
    </row>
    <row r="707" spans="1:21" x14ac:dyDescent="0.25">
      <c r="A707" s="7"/>
      <c r="B707" s="7"/>
      <c r="C707" s="7"/>
      <c r="D707" s="7"/>
      <c r="E707" s="7"/>
      <c r="F707" s="7"/>
      <c r="G707" s="7"/>
      <c r="H707" s="7"/>
      <c r="I707" s="7"/>
      <c r="J707" s="7"/>
      <c r="K707" s="7"/>
      <c r="L707" s="7"/>
      <c r="M707" s="7"/>
      <c r="N707" s="7"/>
      <c r="O707" s="7"/>
      <c r="P707" s="7"/>
      <c r="Q707" s="7"/>
      <c r="R707" s="7"/>
      <c r="S707" s="7"/>
      <c r="T707" s="7"/>
      <c r="U707" s="7"/>
    </row>
    <row r="708" spans="1:21" x14ac:dyDescent="0.25">
      <c r="A708" s="7"/>
      <c r="B708" s="7"/>
      <c r="C708" s="7"/>
      <c r="D708" s="7"/>
      <c r="E708" s="7"/>
      <c r="F708" s="7"/>
      <c r="G708" s="7"/>
      <c r="H708" s="7"/>
      <c r="I708" s="7"/>
      <c r="J708" s="7"/>
      <c r="K708" s="7"/>
      <c r="L708" s="7"/>
      <c r="M708" s="7"/>
      <c r="N708" s="7"/>
      <c r="O708" s="7"/>
      <c r="P708" s="7"/>
      <c r="Q708" s="7"/>
      <c r="R708" s="7"/>
      <c r="S708" s="7"/>
      <c r="T708" s="7"/>
      <c r="U708" s="7"/>
    </row>
    <row r="709" spans="1:21" x14ac:dyDescent="0.25">
      <c r="A709" s="7"/>
      <c r="B709" s="7"/>
      <c r="C709" s="7"/>
      <c r="D709" s="7"/>
      <c r="E709" s="7"/>
      <c r="F709" s="7"/>
      <c r="G709" s="7"/>
      <c r="H709" s="7"/>
      <c r="I709" s="7"/>
      <c r="J709" s="7"/>
      <c r="K709" s="7"/>
      <c r="L709" s="7"/>
      <c r="M709" s="7"/>
      <c r="N709" s="7"/>
      <c r="O709" s="7"/>
      <c r="P709" s="7"/>
      <c r="Q709" s="7"/>
      <c r="R709" s="7"/>
      <c r="S709" s="7"/>
      <c r="T709" s="7"/>
      <c r="U709" s="7"/>
    </row>
    <row r="710" spans="1:21" x14ac:dyDescent="0.25">
      <c r="A710" s="7"/>
      <c r="B710" s="7"/>
      <c r="C710" s="7"/>
      <c r="D710" s="7"/>
      <c r="E710" s="7"/>
      <c r="F710" s="7"/>
      <c r="G710" s="7"/>
      <c r="H710" s="7"/>
      <c r="I710" s="7"/>
      <c r="J710" s="7"/>
      <c r="K710" s="7"/>
      <c r="L710" s="7"/>
      <c r="M710" s="7"/>
      <c r="N710" s="7"/>
      <c r="O710" s="7"/>
      <c r="P710" s="7"/>
      <c r="Q710" s="7"/>
      <c r="R710" s="7"/>
      <c r="S710" s="7"/>
      <c r="T710" s="7"/>
      <c r="U710" s="7"/>
    </row>
    <row r="711" spans="1:21" x14ac:dyDescent="0.25">
      <c r="A711" s="7"/>
      <c r="B711" s="7"/>
      <c r="C711" s="7"/>
      <c r="D711" s="7"/>
      <c r="E711" s="7"/>
      <c r="F711" s="7"/>
      <c r="G711" s="7"/>
      <c r="H711" s="7"/>
      <c r="I711" s="7"/>
      <c r="J711" s="7"/>
      <c r="K711" s="7"/>
      <c r="L711" s="7"/>
      <c r="M711" s="7"/>
      <c r="N711" s="7"/>
      <c r="O711" s="7"/>
      <c r="P711" s="7"/>
      <c r="Q711" s="7"/>
      <c r="R711" s="7"/>
      <c r="S711" s="7"/>
      <c r="T711" s="7"/>
      <c r="U711" s="7"/>
    </row>
    <row r="712" spans="1:21" x14ac:dyDescent="0.25">
      <c r="A712" s="7"/>
      <c r="B712" s="7"/>
      <c r="C712" s="7"/>
      <c r="D712" s="7"/>
      <c r="E712" s="7"/>
      <c r="F712" s="7"/>
      <c r="G712" s="7"/>
      <c r="H712" s="7"/>
      <c r="I712" s="7"/>
      <c r="J712" s="7"/>
      <c r="K712" s="7"/>
      <c r="L712" s="7"/>
      <c r="M712" s="7"/>
      <c r="N712" s="7"/>
      <c r="O712" s="7"/>
      <c r="P712" s="7"/>
      <c r="Q712" s="7"/>
      <c r="R712" s="7"/>
      <c r="S712" s="7"/>
      <c r="T712" s="7"/>
      <c r="U712" s="7"/>
    </row>
    <row r="713" spans="1:21" x14ac:dyDescent="0.25">
      <c r="A713" s="7"/>
      <c r="B713" s="7"/>
      <c r="C713" s="7"/>
      <c r="D713" s="7"/>
      <c r="E713" s="7"/>
      <c r="F713" s="7"/>
      <c r="G713" s="7"/>
      <c r="H713" s="7"/>
      <c r="I713" s="7"/>
      <c r="J713" s="7"/>
      <c r="K713" s="7"/>
      <c r="L713" s="7"/>
      <c r="M713" s="7"/>
      <c r="N713" s="7"/>
      <c r="O713" s="7"/>
      <c r="P713" s="7"/>
      <c r="Q713" s="7"/>
      <c r="R713" s="7"/>
      <c r="S713" s="7"/>
      <c r="T713" s="7"/>
      <c r="U713" s="7"/>
    </row>
    <row r="714" spans="1:21" x14ac:dyDescent="0.25">
      <c r="A714" s="7"/>
      <c r="B714" s="7"/>
      <c r="C714" s="7"/>
      <c r="D714" s="7"/>
      <c r="E714" s="7"/>
      <c r="F714" s="7"/>
      <c r="G714" s="7"/>
      <c r="H714" s="7"/>
      <c r="I714" s="7"/>
      <c r="J714" s="7"/>
      <c r="K714" s="7"/>
      <c r="L714" s="7"/>
      <c r="M714" s="7"/>
      <c r="N714" s="7"/>
      <c r="O714" s="7"/>
      <c r="P714" s="7"/>
      <c r="Q714" s="7"/>
      <c r="R714" s="7"/>
      <c r="S714" s="7"/>
      <c r="T714" s="7"/>
      <c r="U714" s="7"/>
    </row>
    <row r="715" spans="1:21" x14ac:dyDescent="0.25">
      <c r="A715" s="7"/>
      <c r="B715" s="7"/>
      <c r="C715" s="7"/>
      <c r="D715" s="7"/>
      <c r="E715" s="7"/>
      <c r="F715" s="7"/>
      <c r="G715" s="7"/>
      <c r="H715" s="7"/>
      <c r="I715" s="7"/>
      <c r="J715" s="7"/>
      <c r="K715" s="7"/>
      <c r="L715" s="7"/>
      <c r="M715" s="7"/>
      <c r="N715" s="7"/>
      <c r="O715" s="7"/>
      <c r="P715" s="7"/>
      <c r="Q715" s="7"/>
      <c r="R715" s="7"/>
      <c r="S715" s="7"/>
      <c r="T715" s="7"/>
      <c r="U715" s="7"/>
    </row>
    <row r="716" spans="1:21" x14ac:dyDescent="0.25">
      <c r="A716" s="7"/>
      <c r="B716" s="7"/>
      <c r="C716" s="7"/>
      <c r="D716" s="7"/>
      <c r="E716" s="7"/>
      <c r="F716" s="7"/>
      <c r="G716" s="7"/>
      <c r="H716" s="7"/>
      <c r="I716" s="7"/>
      <c r="J716" s="7"/>
      <c r="K716" s="7"/>
      <c r="L716" s="7"/>
      <c r="M716" s="7"/>
      <c r="N716" s="7"/>
      <c r="O716" s="7"/>
      <c r="P716" s="7"/>
      <c r="Q716" s="7"/>
      <c r="R716" s="7"/>
      <c r="S716" s="7"/>
      <c r="T716" s="7"/>
      <c r="U716" s="7"/>
    </row>
    <row r="717" spans="1:21" x14ac:dyDescent="0.25">
      <c r="A717" s="7"/>
      <c r="B717" s="7"/>
      <c r="C717" s="7"/>
      <c r="D717" s="7"/>
      <c r="E717" s="7"/>
      <c r="F717" s="7"/>
      <c r="G717" s="7"/>
      <c r="H717" s="7"/>
      <c r="I717" s="7"/>
      <c r="J717" s="7"/>
      <c r="K717" s="7"/>
      <c r="L717" s="7"/>
      <c r="M717" s="7"/>
      <c r="N717" s="7"/>
      <c r="O717" s="7"/>
      <c r="P717" s="7"/>
      <c r="Q717" s="7"/>
      <c r="R717" s="7"/>
      <c r="S717" s="7"/>
      <c r="T717" s="7"/>
      <c r="U717" s="7"/>
    </row>
    <row r="718" spans="1:21" x14ac:dyDescent="0.25">
      <c r="A718" s="7"/>
      <c r="B718" s="7"/>
      <c r="C718" s="7"/>
      <c r="D718" s="7"/>
      <c r="E718" s="7"/>
      <c r="F718" s="7"/>
      <c r="G718" s="7"/>
      <c r="H718" s="7"/>
      <c r="I718" s="7"/>
      <c r="J718" s="7"/>
      <c r="K718" s="7"/>
      <c r="L718" s="7"/>
      <c r="M718" s="7"/>
      <c r="N718" s="7"/>
      <c r="O718" s="7"/>
      <c r="P718" s="7"/>
      <c r="Q718" s="7"/>
      <c r="R718" s="7"/>
      <c r="S718" s="7"/>
      <c r="T718" s="7"/>
      <c r="U718" s="7"/>
    </row>
    <row r="719" spans="1:21" x14ac:dyDescent="0.25">
      <c r="A719" s="7"/>
      <c r="B719" s="7"/>
      <c r="C719" s="7"/>
      <c r="D719" s="7"/>
      <c r="E719" s="7"/>
      <c r="F719" s="7"/>
      <c r="G719" s="7"/>
      <c r="H719" s="7"/>
      <c r="I719" s="7"/>
      <c r="J719" s="7"/>
      <c r="K719" s="7"/>
      <c r="L719" s="7"/>
      <c r="M719" s="7"/>
      <c r="N719" s="7"/>
      <c r="O719" s="7"/>
      <c r="P719" s="7"/>
      <c r="Q719" s="7"/>
      <c r="R719" s="7"/>
      <c r="S719" s="7"/>
      <c r="T719" s="7"/>
      <c r="U719" s="7"/>
    </row>
    <row r="720" spans="1:21" x14ac:dyDescent="0.25">
      <c r="A720" s="7"/>
      <c r="B720" s="7"/>
      <c r="C720" s="7"/>
      <c r="D720" s="7"/>
      <c r="E720" s="7"/>
      <c r="F720" s="7"/>
      <c r="G720" s="7"/>
      <c r="H720" s="7"/>
      <c r="I720" s="7"/>
      <c r="J720" s="7"/>
      <c r="K720" s="7"/>
      <c r="L720" s="7"/>
      <c r="M720" s="7"/>
      <c r="N720" s="7"/>
      <c r="O720" s="7"/>
      <c r="P720" s="7"/>
      <c r="Q720" s="7"/>
      <c r="R720" s="7"/>
      <c r="S720" s="7"/>
      <c r="T720" s="7"/>
      <c r="U720" s="7"/>
    </row>
    <row r="721" spans="1:21" x14ac:dyDescent="0.25">
      <c r="A721" s="7"/>
      <c r="B721" s="7"/>
      <c r="C721" s="7"/>
      <c r="D721" s="7"/>
      <c r="E721" s="7"/>
      <c r="F721" s="7"/>
      <c r="G721" s="7"/>
      <c r="H721" s="7"/>
      <c r="I721" s="7"/>
      <c r="J721" s="7"/>
      <c r="K721" s="7"/>
      <c r="L721" s="7"/>
      <c r="M721" s="7"/>
      <c r="N721" s="7"/>
      <c r="O721" s="7"/>
      <c r="P721" s="7"/>
      <c r="Q721" s="7"/>
      <c r="R721" s="7"/>
      <c r="S721" s="7"/>
      <c r="T721" s="7"/>
      <c r="U721" s="7"/>
    </row>
    <row r="722" spans="1:21" x14ac:dyDescent="0.25">
      <c r="A722" s="7"/>
      <c r="B722" s="7"/>
      <c r="C722" s="7"/>
      <c r="D722" s="7"/>
      <c r="E722" s="7"/>
      <c r="F722" s="7"/>
      <c r="G722" s="7"/>
      <c r="H722" s="7"/>
      <c r="I722" s="7"/>
      <c r="J722" s="7"/>
      <c r="K722" s="7"/>
      <c r="L722" s="7"/>
      <c r="M722" s="7"/>
      <c r="N722" s="7"/>
      <c r="O722" s="7"/>
      <c r="P722" s="7"/>
      <c r="Q722" s="7"/>
      <c r="R722" s="7"/>
      <c r="S722" s="7"/>
      <c r="T722" s="7"/>
      <c r="U722" s="7"/>
    </row>
    <row r="723" spans="1:21" x14ac:dyDescent="0.25">
      <c r="A723" s="7"/>
      <c r="B723" s="7"/>
      <c r="C723" s="7"/>
      <c r="D723" s="7"/>
      <c r="E723" s="7"/>
      <c r="F723" s="7"/>
      <c r="G723" s="7"/>
      <c r="H723" s="7"/>
      <c r="I723" s="7"/>
      <c r="J723" s="7"/>
      <c r="K723" s="7"/>
      <c r="L723" s="7"/>
      <c r="M723" s="7"/>
      <c r="N723" s="7"/>
      <c r="O723" s="7"/>
      <c r="P723" s="7"/>
      <c r="Q723" s="7"/>
      <c r="R723" s="7"/>
      <c r="S723" s="7"/>
      <c r="T723" s="7"/>
      <c r="U723" s="7"/>
    </row>
    <row r="724" spans="1:21" x14ac:dyDescent="0.25">
      <c r="A724" s="7"/>
      <c r="B724" s="7"/>
      <c r="C724" s="7"/>
      <c r="D724" s="7"/>
      <c r="E724" s="7"/>
      <c r="F724" s="7"/>
      <c r="G724" s="7"/>
      <c r="H724" s="7"/>
      <c r="I724" s="7"/>
      <c r="J724" s="7"/>
      <c r="K724" s="7"/>
      <c r="L724" s="7"/>
      <c r="M724" s="7"/>
      <c r="N724" s="7"/>
      <c r="O724" s="7"/>
      <c r="P724" s="7"/>
      <c r="Q724" s="7"/>
      <c r="R724" s="7"/>
      <c r="S724" s="7"/>
      <c r="T724" s="7"/>
      <c r="U724" s="7"/>
    </row>
    <row r="725" spans="1:21" x14ac:dyDescent="0.25">
      <c r="A725" s="7"/>
      <c r="B725" s="7"/>
      <c r="C725" s="7"/>
      <c r="D725" s="7"/>
      <c r="E725" s="7"/>
      <c r="F725" s="7"/>
      <c r="G725" s="7"/>
      <c r="H725" s="7"/>
      <c r="I725" s="7"/>
      <c r="J725" s="7"/>
      <c r="K725" s="7"/>
      <c r="L725" s="7"/>
      <c r="M725" s="7"/>
      <c r="N725" s="7"/>
      <c r="O725" s="7"/>
      <c r="P725" s="7"/>
      <c r="Q725" s="7"/>
      <c r="R725" s="7"/>
      <c r="S725" s="7"/>
      <c r="T725" s="7"/>
      <c r="U725" s="7"/>
    </row>
    <row r="726" spans="1:21" x14ac:dyDescent="0.25">
      <c r="A726" s="7"/>
      <c r="B726" s="7"/>
      <c r="C726" s="7"/>
      <c r="D726" s="7"/>
      <c r="E726" s="7"/>
      <c r="F726" s="7"/>
      <c r="G726" s="7"/>
      <c r="H726" s="7"/>
      <c r="I726" s="7"/>
      <c r="J726" s="7"/>
      <c r="K726" s="7"/>
      <c r="L726" s="7"/>
      <c r="M726" s="7"/>
      <c r="N726" s="7"/>
      <c r="O726" s="7"/>
      <c r="P726" s="7"/>
      <c r="Q726" s="7"/>
      <c r="R726" s="7"/>
      <c r="S726" s="7"/>
      <c r="T726" s="7"/>
      <c r="U726" s="7"/>
    </row>
    <row r="727" spans="1:21" x14ac:dyDescent="0.25">
      <c r="A727" s="7"/>
      <c r="B727" s="7"/>
      <c r="C727" s="7"/>
      <c r="D727" s="7"/>
      <c r="E727" s="7"/>
      <c r="F727" s="7"/>
      <c r="G727" s="7"/>
      <c r="H727" s="7"/>
      <c r="I727" s="7"/>
      <c r="J727" s="7"/>
      <c r="K727" s="7"/>
      <c r="L727" s="7"/>
      <c r="M727" s="7"/>
      <c r="N727" s="7"/>
      <c r="O727" s="7"/>
      <c r="P727" s="7"/>
      <c r="Q727" s="7"/>
      <c r="R727" s="7"/>
      <c r="S727" s="7"/>
      <c r="T727" s="7"/>
      <c r="U727" s="7"/>
    </row>
    <row r="728" spans="1:21" x14ac:dyDescent="0.25">
      <c r="A728" s="7"/>
      <c r="B728" s="7"/>
      <c r="C728" s="7"/>
      <c r="D728" s="7"/>
      <c r="E728" s="7"/>
      <c r="F728" s="7"/>
      <c r="G728" s="7"/>
      <c r="H728" s="7"/>
      <c r="I728" s="7"/>
      <c r="J728" s="7"/>
      <c r="K728" s="7"/>
      <c r="L728" s="7"/>
      <c r="M728" s="7"/>
      <c r="N728" s="7"/>
      <c r="O728" s="7"/>
      <c r="P728" s="7"/>
      <c r="Q728" s="7"/>
      <c r="R728" s="7"/>
      <c r="S728" s="7"/>
      <c r="T728" s="7"/>
      <c r="U728" s="7"/>
    </row>
    <row r="729" spans="1:21" x14ac:dyDescent="0.25">
      <c r="A729" s="7"/>
      <c r="B729" s="7"/>
      <c r="C729" s="7"/>
      <c r="D729" s="7"/>
      <c r="E729" s="7"/>
      <c r="F729" s="7"/>
      <c r="G729" s="7"/>
      <c r="H729" s="7"/>
      <c r="I729" s="7"/>
      <c r="J729" s="7"/>
      <c r="K729" s="7"/>
      <c r="L729" s="7"/>
      <c r="M729" s="7"/>
      <c r="N729" s="7"/>
      <c r="O729" s="7"/>
      <c r="P729" s="7"/>
      <c r="Q729" s="7"/>
      <c r="R729" s="7"/>
      <c r="S729" s="7"/>
      <c r="T729" s="7"/>
      <c r="U729" s="7"/>
    </row>
    <row r="730" spans="1:21" x14ac:dyDescent="0.25">
      <c r="A730" s="7"/>
      <c r="B730" s="7"/>
      <c r="C730" s="7"/>
      <c r="D730" s="7"/>
      <c r="E730" s="7"/>
      <c r="F730" s="7"/>
      <c r="G730" s="7"/>
      <c r="H730" s="7"/>
      <c r="I730" s="7"/>
      <c r="J730" s="7"/>
      <c r="K730" s="7"/>
      <c r="L730" s="7"/>
      <c r="M730" s="7"/>
      <c r="N730" s="7"/>
      <c r="O730" s="7"/>
      <c r="P730" s="7"/>
      <c r="Q730" s="7"/>
      <c r="R730" s="7"/>
      <c r="S730" s="7"/>
      <c r="T730" s="7"/>
      <c r="U730" s="7"/>
    </row>
    <row r="731" spans="1:21" x14ac:dyDescent="0.25">
      <c r="A731" s="7"/>
      <c r="B731" s="7"/>
      <c r="C731" s="7"/>
      <c r="D731" s="7"/>
      <c r="E731" s="7"/>
      <c r="F731" s="7"/>
      <c r="G731" s="7"/>
      <c r="H731" s="7"/>
      <c r="I731" s="7"/>
      <c r="J731" s="7"/>
      <c r="K731" s="7"/>
      <c r="L731" s="7"/>
      <c r="M731" s="7"/>
      <c r="N731" s="7"/>
      <c r="O731" s="7"/>
      <c r="P731" s="7"/>
      <c r="Q731" s="7"/>
      <c r="R731" s="7"/>
      <c r="S731" s="7"/>
      <c r="T731" s="7"/>
      <c r="U731" s="7"/>
    </row>
    <row r="732" spans="1:21" x14ac:dyDescent="0.25">
      <c r="A732" s="7"/>
      <c r="B732" s="7"/>
      <c r="C732" s="7"/>
      <c r="D732" s="7"/>
      <c r="E732" s="7"/>
      <c r="F732" s="7"/>
      <c r="G732" s="7"/>
      <c r="H732" s="7"/>
      <c r="I732" s="7"/>
      <c r="J732" s="7"/>
      <c r="K732" s="7"/>
      <c r="L732" s="7"/>
      <c r="M732" s="7"/>
      <c r="N732" s="7"/>
      <c r="O732" s="7"/>
      <c r="P732" s="7"/>
      <c r="Q732" s="7"/>
      <c r="R732" s="7"/>
      <c r="S732" s="7"/>
      <c r="T732" s="7"/>
      <c r="U732" s="7"/>
    </row>
    <row r="733" spans="1:21" x14ac:dyDescent="0.25">
      <c r="A733" s="7"/>
      <c r="B733" s="7"/>
      <c r="C733" s="7"/>
      <c r="D733" s="7"/>
      <c r="E733" s="7"/>
      <c r="F733" s="7"/>
      <c r="G733" s="7"/>
      <c r="H733" s="7"/>
      <c r="I733" s="7"/>
      <c r="J733" s="7"/>
      <c r="K733" s="7"/>
      <c r="L733" s="7"/>
      <c r="M733" s="7"/>
      <c r="N733" s="7"/>
      <c r="O733" s="7"/>
      <c r="P733" s="7"/>
      <c r="Q733" s="7"/>
      <c r="R733" s="7"/>
      <c r="S733" s="7"/>
      <c r="T733" s="7"/>
      <c r="U733" s="7"/>
    </row>
    <row r="734" spans="1:21" x14ac:dyDescent="0.25">
      <c r="A734" s="7"/>
      <c r="B734" s="7"/>
      <c r="C734" s="7"/>
      <c r="D734" s="7"/>
      <c r="E734" s="7"/>
      <c r="F734" s="7"/>
      <c r="G734" s="7"/>
      <c r="H734" s="7"/>
      <c r="I734" s="7"/>
      <c r="J734" s="7"/>
      <c r="K734" s="7"/>
      <c r="L734" s="7"/>
      <c r="M734" s="7"/>
      <c r="N734" s="7"/>
      <c r="O734" s="7"/>
      <c r="P734" s="7"/>
      <c r="Q734" s="7"/>
      <c r="R734" s="7"/>
      <c r="S734" s="7"/>
      <c r="T734" s="7"/>
      <c r="U734" s="7"/>
    </row>
    <row r="735" spans="1:21" x14ac:dyDescent="0.25">
      <c r="A735" s="7"/>
      <c r="B735" s="7"/>
      <c r="C735" s="7"/>
      <c r="D735" s="7"/>
      <c r="E735" s="7"/>
      <c r="F735" s="7"/>
      <c r="G735" s="7"/>
      <c r="H735" s="7"/>
      <c r="I735" s="7"/>
      <c r="J735" s="7"/>
      <c r="K735" s="7"/>
      <c r="L735" s="7"/>
      <c r="M735" s="7"/>
      <c r="N735" s="7"/>
      <c r="O735" s="7"/>
      <c r="P735" s="7"/>
      <c r="Q735" s="7"/>
      <c r="R735" s="7"/>
      <c r="S735" s="7"/>
      <c r="T735" s="7"/>
      <c r="U735" s="7"/>
    </row>
    <row r="736" spans="1:21" x14ac:dyDescent="0.25">
      <c r="A736" s="7"/>
      <c r="B736" s="7"/>
      <c r="C736" s="7"/>
      <c r="D736" s="7"/>
      <c r="E736" s="7"/>
      <c r="F736" s="7"/>
      <c r="G736" s="7"/>
      <c r="H736" s="7"/>
      <c r="I736" s="7"/>
      <c r="J736" s="7"/>
      <c r="K736" s="7"/>
      <c r="L736" s="7"/>
      <c r="M736" s="7"/>
      <c r="N736" s="7"/>
      <c r="O736" s="7"/>
      <c r="P736" s="7"/>
      <c r="Q736" s="7"/>
      <c r="R736" s="7"/>
      <c r="S736" s="7"/>
      <c r="T736" s="7"/>
      <c r="U736" s="7"/>
    </row>
    <row r="737" spans="1:21" x14ac:dyDescent="0.25">
      <c r="A737" s="7"/>
      <c r="B737" s="7"/>
      <c r="C737" s="7"/>
      <c r="D737" s="7"/>
      <c r="E737" s="7"/>
      <c r="F737" s="7"/>
      <c r="G737" s="7"/>
      <c r="H737" s="7"/>
      <c r="I737" s="7"/>
      <c r="J737" s="7"/>
      <c r="K737" s="7"/>
      <c r="L737" s="7"/>
      <c r="M737" s="7"/>
      <c r="N737" s="7"/>
      <c r="O737" s="7"/>
      <c r="P737" s="7"/>
      <c r="Q737" s="7"/>
      <c r="R737" s="7"/>
      <c r="S737" s="7"/>
      <c r="T737" s="7"/>
      <c r="U737" s="7"/>
    </row>
    <row r="738" spans="1:21" x14ac:dyDescent="0.25">
      <c r="A738" s="7"/>
      <c r="B738" s="7"/>
      <c r="C738" s="7"/>
      <c r="D738" s="7"/>
      <c r="E738" s="7"/>
      <c r="F738" s="7"/>
      <c r="G738" s="7"/>
      <c r="H738" s="7"/>
      <c r="I738" s="7"/>
      <c r="J738" s="7"/>
      <c r="K738" s="7"/>
      <c r="L738" s="7"/>
      <c r="M738" s="7"/>
      <c r="N738" s="7"/>
      <c r="O738" s="7"/>
      <c r="P738" s="7"/>
      <c r="Q738" s="7"/>
      <c r="R738" s="7"/>
      <c r="S738" s="7"/>
      <c r="T738" s="7"/>
      <c r="U738" s="7"/>
    </row>
    <row r="739" spans="1:21" x14ac:dyDescent="0.25">
      <c r="A739" s="7"/>
      <c r="B739" s="7"/>
      <c r="C739" s="7"/>
      <c r="D739" s="7"/>
      <c r="E739" s="7"/>
      <c r="F739" s="7"/>
      <c r="G739" s="7"/>
      <c r="H739" s="7"/>
      <c r="I739" s="7"/>
      <c r="J739" s="7"/>
      <c r="K739" s="7"/>
      <c r="L739" s="7"/>
      <c r="M739" s="7"/>
      <c r="N739" s="7"/>
      <c r="O739" s="7"/>
      <c r="P739" s="7"/>
      <c r="Q739" s="7"/>
      <c r="R739" s="7"/>
      <c r="S739" s="7"/>
      <c r="T739" s="7"/>
      <c r="U739" s="7"/>
    </row>
    <row r="740" spans="1:21" x14ac:dyDescent="0.25">
      <c r="A740" s="7"/>
      <c r="B740" s="7"/>
      <c r="C740" s="7"/>
      <c r="D740" s="7"/>
      <c r="E740" s="7"/>
      <c r="F740" s="7"/>
      <c r="G740" s="7"/>
      <c r="H740" s="7"/>
      <c r="I740" s="7"/>
      <c r="J740" s="7"/>
      <c r="K740" s="7"/>
      <c r="L740" s="7"/>
      <c r="M740" s="7"/>
      <c r="N740" s="7"/>
      <c r="O740" s="7"/>
      <c r="P740" s="7"/>
      <c r="Q740" s="7"/>
      <c r="R740" s="7"/>
      <c r="S740" s="7"/>
      <c r="T740" s="7"/>
      <c r="U740" s="7"/>
    </row>
    <row r="741" spans="1:21" x14ac:dyDescent="0.25">
      <c r="A741" s="7"/>
      <c r="B741" s="7"/>
      <c r="C741" s="7"/>
      <c r="D741" s="7"/>
      <c r="E741" s="7"/>
      <c r="F741" s="7"/>
      <c r="G741" s="7"/>
      <c r="H741" s="7"/>
      <c r="I741" s="7"/>
      <c r="J741" s="7"/>
      <c r="K741" s="7"/>
      <c r="L741" s="7"/>
      <c r="M741" s="7"/>
      <c r="N741" s="7"/>
      <c r="O741" s="7"/>
      <c r="P741" s="7"/>
      <c r="Q741" s="7"/>
      <c r="R741" s="7"/>
      <c r="S741" s="7"/>
      <c r="T741" s="7"/>
      <c r="U741" s="7"/>
    </row>
    <row r="742" spans="1:21" x14ac:dyDescent="0.25">
      <c r="A742" s="7"/>
      <c r="B742" s="7"/>
      <c r="C742" s="7"/>
      <c r="D742" s="7"/>
      <c r="E742" s="7"/>
      <c r="F742" s="7"/>
      <c r="G742" s="7"/>
      <c r="H742" s="7"/>
      <c r="I742" s="7"/>
      <c r="J742" s="7"/>
      <c r="K742" s="7"/>
      <c r="L742" s="7"/>
      <c r="M742" s="7"/>
      <c r="N742" s="7"/>
      <c r="O742" s="7"/>
      <c r="P742" s="7"/>
      <c r="Q742" s="7"/>
      <c r="R742" s="7"/>
      <c r="S742" s="7"/>
      <c r="T742" s="7"/>
      <c r="U742" s="7"/>
    </row>
    <row r="743" spans="1:21" x14ac:dyDescent="0.25">
      <c r="A743" s="7"/>
      <c r="B743" s="7"/>
      <c r="C743" s="7"/>
      <c r="D743" s="7"/>
      <c r="E743" s="7"/>
      <c r="F743" s="7"/>
      <c r="G743" s="7"/>
      <c r="H743" s="7"/>
      <c r="I743" s="7"/>
      <c r="J743" s="7"/>
      <c r="K743" s="7"/>
      <c r="L743" s="7"/>
      <c r="M743" s="7"/>
      <c r="N743" s="7"/>
      <c r="O743" s="7"/>
      <c r="P743" s="7"/>
      <c r="Q743" s="7"/>
      <c r="R743" s="7"/>
      <c r="S743" s="7"/>
      <c r="T743" s="7"/>
      <c r="U743" s="7"/>
    </row>
    <row r="744" spans="1:21" x14ac:dyDescent="0.25">
      <c r="A744" s="7"/>
      <c r="B744" s="7"/>
      <c r="C744" s="7"/>
      <c r="D744" s="7"/>
      <c r="E744" s="7"/>
      <c r="F744" s="7"/>
      <c r="G744" s="7"/>
      <c r="H744" s="7"/>
      <c r="I744" s="7"/>
      <c r="J744" s="7"/>
      <c r="K744" s="7"/>
      <c r="L744" s="7"/>
      <c r="M744" s="7"/>
      <c r="N744" s="7"/>
      <c r="O744" s="7"/>
      <c r="P744" s="7"/>
      <c r="Q744" s="7"/>
      <c r="R744" s="7"/>
      <c r="S744" s="7"/>
      <c r="T744" s="7"/>
      <c r="U744" s="7"/>
    </row>
    <row r="745" spans="1:21" x14ac:dyDescent="0.25">
      <c r="A745" s="7"/>
      <c r="B745" s="7"/>
      <c r="C745" s="7"/>
      <c r="D745" s="7"/>
      <c r="E745" s="7"/>
      <c r="F745" s="7"/>
      <c r="G745" s="7"/>
      <c r="H745" s="7"/>
      <c r="I745" s="7"/>
      <c r="J745" s="7"/>
      <c r="K745" s="7"/>
      <c r="L745" s="7"/>
      <c r="M745" s="7"/>
      <c r="N745" s="7"/>
      <c r="O745" s="7"/>
      <c r="P745" s="7"/>
      <c r="Q745" s="7"/>
      <c r="R745" s="7"/>
      <c r="S745" s="7"/>
      <c r="T745" s="7"/>
      <c r="U745" s="7"/>
    </row>
    <row r="746" spans="1:21" x14ac:dyDescent="0.25">
      <c r="A746" s="7"/>
      <c r="B746" s="7"/>
      <c r="C746" s="7"/>
      <c r="D746" s="7"/>
      <c r="E746" s="7"/>
      <c r="F746" s="7"/>
      <c r="G746" s="7"/>
      <c r="H746" s="7"/>
      <c r="I746" s="7"/>
      <c r="J746" s="7"/>
      <c r="K746" s="7"/>
      <c r="L746" s="7"/>
      <c r="M746" s="7"/>
      <c r="N746" s="7"/>
      <c r="O746" s="7"/>
      <c r="P746" s="7"/>
      <c r="Q746" s="7"/>
      <c r="R746" s="7"/>
      <c r="S746" s="7"/>
      <c r="T746" s="7"/>
      <c r="U746" s="7"/>
    </row>
    <row r="747" spans="1:21" x14ac:dyDescent="0.25">
      <c r="A747" s="7"/>
      <c r="B747" s="7"/>
      <c r="C747" s="7"/>
      <c r="D747" s="7"/>
      <c r="E747" s="7"/>
      <c r="F747" s="7"/>
      <c r="G747" s="7"/>
      <c r="H747" s="7"/>
      <c r="I747" s="7"/>
      <c r="J747" s="7"/>
      <c r="K747" s="7"/>
      <c r="L747" s="7"/>
      <c r="M747" s="7"/>
      <c r="N747" s="7"/>
      <c r="O747" s="7"/>
      <c r="P747" s="7"/>
      <c r="Q747" s="7"/>
      <c r="R747" s="7"/>
      <c r="S747" s="7"/>
      <c r="T747" s="7"/>
      <c r="U747" s="7"/>
    </row>
    <row r="748" spans="1:21" x14ac:dyDescent="0.25">
      <c r="A748" s="7"/>
      <c r="B748" s="7"/>
      <c r="C748" s="7"/>
      <c r="D748" s="7"/>
      <c r="E748" s="7"/>
      <c r="F748" s="7"/>
      <c r="G748" s="7"/>
      <c r="H748" s="7"/>
      <c r="I748" s="7"/>
      <c r="J748" s="7"/>
      <c r="K748" s="7"/>
      <c r="L748" s="7"/>
      <c r="M748" s="7"/>
      <c r="N748" s="7"/>
      <c r="O748" s="7"/>
      <c r="P748" s="7"/>
      <c r="Q748" s="7"/>
      <c r="R748" s="7"/>
      <c r="S748" s="7"/>
      <c r="T748" s="7"/>
      <c r="U748" s="7"/>
    </row>
    <row r="749" spans="1:21" x14ac:dyDescent="0.25">
      <c r="A749" s="7"/>
      <c r="B749" s="7"/>
      <c r="C749" s="7"/>
      <c r="D749" s="7"/>
      <c r="E749" s="7"/>
      <c r="F749" s="7"/>
      <c r="G749" s="7"/>
      <c r="H749" s="7"/>
      <c r="I749" s="7"/>
      <c r="J749" s="7"/>
      <c r="K749" s="7"/>
      <c r="L749" s="7"/>
      <c r="M749" s="7"/>
      <c r="N749" s="7"/>
      <c r="O749" s="7"/>
      <c r="P749" s="7"/>
      <c r="Q749" s="7"/>
      <c r="R749" s="7"/>
      <c r="S749" s="7"/>
      <c r="T749" s="7"/>
      <c r="U749" s="7"/>
    </row>
    <row r="750" spans="1:21" x14ac:dyDescent="0.25">
      <c r="A750" s="7"/>
      <c r="B750" s="7"/>
      <c r="C750" s="7"/>
      <c r="D750" s="7"/>
      <c r="E750" s="7"/>
      <c r="F750" s="7"/>
      <c r="G750" s="7"/>
      <c r="H750" s="7"/>
      <c r="I750" s="7"/>
      <c r="J750" s="7"/>
      <c r="K750" s="7"/>
      <c r="L750" s="7"/>
      <c r="M750" s="7"/>
      <c r="N750" s="7"/>
      <c r="O750" s="7"/>
      <c r="P750" s="7"/>
      <c r="Q750" s="7"/>
      <c r="R750" s="7"/>
      <c r="S750" s="7"/>
      <c r="T750" s="7"/>
      <c r="U750" s="7"/>
    </row>
    <row r="751" spans="1:21" x14ac:dyDescent="0.25">
      <c r="A751" s="7"/>
      <c r="B751" s="7"/>
      <c r="C751" s="7"/>
      <c r="D751" s="7"/>
      <c r="E751" s="7"/>
      <c r="F751" s="7"/>
      <c r="G751" s="7"/>
      <c r="H751" s="7"/>
      <c r="I751" s="7"/>
      <c r="J751" s="7"/>
      <c r="K751" s="7"/>
      <c r="L751" s="7"/>
      <c r="M751" s="7"/>
      <c r="N751" s="7"/>
      <c r="O751" s="7"/>
      <c r="P751" s="7"/>
      <c r="Q751" s="7"/>
      <c r="R751" s="7"/>
      <c r="S751" s="7"/>
      <c r="T751" s="7"/>
      <c r="U751" s="7"/>
    </row>
    <row r="752" spans="1:21" x14ac:dyDescent="0.25">
      <c r="A752" s="7"/>
      <c r="B752" s="7"/>
      <c r="C752" s="7"/>
      <c r="D752" s="7"/>
      <c r="E752" s="7"/>
      <c r="F752" s="7"/>
      <c r="G752" s="7"/>
      <c r="H752" s="7"/>
      <c r="I752" s="7"/>
      <c r="J752" s="7"/>
      <c r="K752" s="7"/>
      <c r="L752" s="7"/>
      <c r="M752" s="7"/>
      <c r="N752" s="7"/>
      <c r="O752" s="7"/>
      <c r="P752" s="7"/>
      <c r="Q752" s="7"/>
      <c r="R752" s="7"/>
      <c r="S752" s="7"/>
      <c r="T752" s="7"/>
      <c r="U752" s="7"/>
    </row>
    <row r="753" spans="1:21" x14ac:dyDescent="0.25">
      <c r="A753" s="7"/>
      <c r="B753" s="7"/>
      <c r="C753" s="7"/>
      <c r="D753" s="7"/>
      <c r="E753" s="7"/>
      <c r="F753" s="7"/>
      <c r="G753" s="7"/>
      <c r="H753" s="7"/>
      <c r="I753" s="7"/>
      <c r="J753" s="7"/>
      <c r="K753" s="7"/>
      <c r="L753" s="7"/>
      <c r="M753" s="7"/>
      <c r="N753" s="7"/>
      <c r="O753" s="7"/>
      <c r="P753" s="7"/>
      <c r="Q753" s="7"/>
      <c r="R753" s="7"/>
      <c r="S753" s="7"/>
      <c r="T753" s="7"/>
      <c r="U753" s="7"/>
    </row>
    <row r="754" spans="1:21" x14ac:dyDescent="0.25">
      <c r="A754" s="7"/>
      <c r="B754" s="7"/>
      <c r="C754" s="7"/>
      <c r="D754" s="7"/>
      <c r="E754" s="7"/>
      <c r="F754" s="7"/>
      <c r="G754" s="7"/>
      <c r="H754" s="7"/>
      <c r="I754" s="7"/>
      <c r="J754" s="7"/>
      <c r="K754" s="7"/>
      <c r="L754" s="7"/>
      <c r="M754" s="7"/>
      <c r="N754" s="7"/>
      <c r="O754" s="7"/>
      <c r="P754" s="7"/>
      <c r="Q754" s="7"/>
      <c r="R754" s="7"/>
      <c r="S754" s="7"/>
      <c r="T754" s="7"/>
      <c r="U754" s="7"/>
    </row>
    <row r="755" spans="1:21" x14ac:dyDescent="0.25">
      <c r="A755" s="7"/>
      <c r="B755" s="7"/>
      <c r="C755" s="7"/>
      <c r="D755" s="7"/>
      <c r="E755" s="7"/>
      <c r="F755" s="7"/>
      <c r="G755" s="7"/>
      <c r="H755" s="7"/>
      <c r="I755" s="7"/>
      <c r="J755" s="7"/>
      <c r="K755" s="7"/>
      <c r="L755" s="7"/>
      <c r="M755" s="7"/>
      <c r="N755" s="7"/>
      <c r="O755" s="7"/>
      <c r="P755" s="7"/>
      <c r="Q755" s="7"/>
      <c r="R755" s="7"/>
      <c r="S755" s="7"/>
      <c r="T755" s="7"/>
      <c r="U755" s="7"/>
    </row>
    <row r="756" spans="1:21" x14ac:dyDescent="0.25">
      <c r="A756" s="7"/>
      <c r="B756" s="7"/>
      <c r="C756" s="7"/>
      <c r="D756" s="7"/>
      <c r="E756" s="7"/>
      <c r="F756" s="7"/>
      <c r="G756" s="7"/>
      <c r="H756" s="7"/>
      <c r="I756" s="7"/>
      <c r="J756" s="7"/>
      <c r="K756" s="7"/>
      <c r="L756" s="7"/>
      <c r="M756" s="7"/>
      <c r="N756" s="7"/>
      <c r="O756" s="7"/>
      <c r="P756" s="7"/>
      <c r="Q756" s="7"/>
      <c r="R756" s="7"/>
      <c r="S756" s="7"/>
      <c r="T756" s="7"/>
      <c r="U756" s="7"/>
    </row>
    <row r="757" spans="1:21" x14ac:dyDescent="0.25">
      <c r="A757" s="7"/>
      <c r="B757" s="7"/>
      <c r="C757" s="7"/>
      <c r="D757" s="7"/>
      <c r="E757" s="7"/>
      <c r="F757" s="7"/>
      <c r="G757" s="7"/>
      <c r="H757" s="7"/>
      <c r="I757" s="7"/>
      <c r="J757" s="7"/>
      <c r="K757" s="7"/>
      <c r="L757" s="7"/>
      <c r="M757" s="7"/>
      <c r="N757" s="7"/>
      <c r="O757" s="7"/>
      <c r="P757" s="7"/>
      <c r="Q757" s="7"/>
      <c r="R757" s="7"/>
      <c r="S757" s="7"/>
      <c r="T757" s="7"/>
      <c r="U757" s="7"/>
    </row>
    <row r="758" spans="1:21" x14ac:dyDescent="0.25">
      <c r="A758" s="7"/>
      <c r="B758" s="7"/>
      <c r="C758" s="7"/>
      <c r="D758" s="7"/>
      <c r="E758" s="7"/>
      <c r="F758" s="7"/>
      <c r="G758" s="7"/>
      <c r="H758" s="7"/>
      <c r="I758" s="7"/>
      <c r="J758" s="7"/>
      <c r="K758" s="7"/>
      <c r="L758" s="7"/>
      <c r="M758" s="7"/>
      <c r="N758" s="7"/>
      <c r="O758" s="7"/>
      <c r="P758" s="7"/>
      <c r="Q758" s="7"/>
      <c r="R758" s="7"/>
      <c r="S758" s="7"/>
      <c r="T758" s="7"/>
      <c r="U758" s="7"/>
    </row>
    <row r="759" spans="1:21" x14ac:dyDescent="0.25">
      <c r="A759" s="7"/>
      <c r="B759" s="7"/>
      <c r="C759" s="7"/>
      <c r="D759" s="7"/>
      <c r="E759" s="7"/>
      <c r="F759" s="7"/>
      <c r="G759" s="7"/>
      <c r="H759" s="7"/>
      <c r="I759" s="7"/>
      <c r="J759" s="7"/>
      <c r="K759" s="7"/>
      <c r="L759" s="7"/>
      <c r="M759" s="7"/>
      <c r="N759" s="7"/>
      <c r="O759" s="7"/>
      <c r="P759" s="7"/>
      <c r="Q759" s="7"/>
      <c r="R759" s="7"/>
      <c r="S759" s="7"/>
      <c r="T759" s="7"/>
      <c r="U759" s="7"/>
    </row>
    <row r="760" spans="1:21" x14ac:dyDescent="0.25">
      <c r="A760" s="7"/>
      <c r="B760" s="7"/>
      <c r="C760" s="7"/>
      <c r="D760" s="7"/>
      <c r="E760" s="7"/>
      <c r="F760" s="7"/>
      <c r="G760" s="7"/>
      <c r="H760" s="7"/>
      <c r="I760" s="7"/>
      <c r="J760" s="7"/>
      <c r="K760" s="7"/>
      <c r="L760" s="7"/>
      <c r="M760" s="7"/>
      <c r="N760" s="7"/>
      <c r="O760" s="7"/>
      <c r="P760" s="7"/>
      <c r="Q760" s="7"/>
      <c r="R760" s="7"/>
      <c r="S760" s="7"/>
      <c r="T760" s="7"/>
      <c r="U760" s="7"/>
    </row>
    <row r="761" spans="1:21" x14ac:dyDescent="0.25">
      <c r="A761" s="7"/>
      <c r="B761" s="7"/>
      <c r="C761" s="7"/>
      <c r="D761" s="7"/>
      <c r="E761" s="7"/>
      <c r="F761" s="7"/>
      <c r="G761" s="7"/>
      <c r="H761" s="7"/>
      <c r="I761" s="7"/>
      <c r="J761" s="7"/>
      <c r="K761" s="7"/>
      <c r="L761" s="7"/>
      <c r="M761" s="7"/>
      <c r="N761" s="7"/>
      <c r="O761" s="7"/>
      <c r="P761" s="7"/>
      <c r="Q761" s="7"/>
      <c r="R761" s="7"/>
      <c r="S761" s="7"/>
      <c r="T761" s="7"/>
      <c r="U761" s="7"/>
    </row>
    <row r="762" spans="1:21" x14ac:dyDescent="0.25">
      <c r="A762" s="7"/>
      <c r="B762" s="7"/>
      <c r="C762" s="7"/>
      <c r="D762" s="7"/>
      <c r="E762" s="7"/>
      <c r="F762" s="7"/>
      <c r="G762" s="7"/>
      <c r="H762" s="7"/>
      <c r="I762" s="7"/>
      <c r="J762" s="7"/>
      <c r="K762" s="7"/>
      <c r="L762" s="7"/>
      <c r="M762" s="7"/>
      <c r="N762" s="7"/>
      <c r="O762" s="7"/>
      <c r="P762" s="7"/>
      <c r="Q762" s="7"/>
      <c r="R762" s="7"/>
      <c r="S762" s="7"/>
      <c r="T762" s="7"/>
      <c r="U762" s="7"/>
    </row>
    <row r="763" spans="1:21" x14ac:dyDescent="0.25">
      <c r="A763" s="7"/>
      <c r="B763" s="7"/>
      <c r="C763" s="7"/>
      <c r="D763" s="7"/>
      <c r="E763" s="7"/>
      <c r="F763" s="7"/>
      <c r="G763" s="7"/>
      <c r="H763" s="7"/>
      <c r="I763" s="7"/>
      <c r="J763" s="7"/>
      <c r="K763" s="7"/>
      <c r="L763" s="7"/>
      <c r="M763" s="7"/>
      <c r="N763" s="7"/>
      <c r="O763" s="7"/>
      <c r="P763" s="7"/>
      <c r="Q763" s="7"/>
      <c r="R763" s="7"/>
      <c r="S763" s="7"/>
      <c r="T763" s="7"/>
      <c r="U763" s="7"/>
    </row>
    <row r="764" spans="1:21" x14ac:dyDescent="0.25">
      <c r="A764" s="7"/>
      <c r="B764" s="7"/>
      <c r="C764" s="7"/>
      <c r="D764" s="7"/>
      <c r="E764" s="7"/>
      <c r="F764" s="7"/>
      <c r="G764" s="7"/>
      <c r="H764" s="7"/>
      <c r="I764" s="7"/>
      <c r="J764" s="7"/>
      <c r="K764" s="7"/>
      <c r="L764" s="7"/>
      <c r="M764" s="7"/>
      <c r="N764" s="7"/>
      <c r="O764" s="7"/>
      <c r="P764" s="7"/>
      <c r="Q764" s="7"/>
      <c r="R764" s="7"/>
      <c r="S764" s="7"/>
      <c r="T764" s="7"/>
      <c r="U764" s="7"/>
    </row>
    <row r="765" spans="1:21" x14ac:dyDescent="0.25">
      <c r="A765" s="7"/>
      <c r="B765" s="7"/>
      <c r="C765" s="7"/>
      <c r="D765" s="7"/>
      <c r="E765" s="7"/>
      <c r="F765" s="7"/>
      <c r="G765" s="7"/>
      <c r="H765" s="7"/>
      <c r="I765" s="7"/>
      <c r="J765" s="7"/>
      <c r="K765" s="7"/>
      <c r="L765" s="7"/>
      <c r="M765" s="7"/>
      <c r="N765" s="7"/>
      <c r="O765" s="7"/>
      <c r="P765" s="7"/>
      <c r="Q765" s="7"/>
      <c r="R765" s="7"/>
      <c r="S765" s="7"/>
      <c r="T765" s="7"/>
      <c r="U765" s="7"/>
    </row>
    <row r="766" spans="1:21" x14ac:dyDescent="0.25">
      <c r="A766" s="7"/>
      <c r="B766" s="7"/>
      <c r="C766" s="7"/>
      <c r="D766" s="7"/>
      <c r="E766" s="7"/>
      <c r="F766" s="7"/>
      <c r="G766" s="7"/>
      <c r="H766" s="7"/>
      <c r="I766" s="7"/>
      <c r="J766" s="7"/>
      <c r="K766" s="7"/>
      <c r="L766" s="7"/>
      <c r="M766" s="7"/>
      <c r="N766" s="7"/>
      <c r="O766" s="7"/>
      <c r="P766" s="7"/>
      <c r="Q766" s="7"/>
      <c r="R766" s="7"/>
      <c r="S766" s="7"/>
      <c r="T766" s="7"/>
      <c r="U766" s="7"/>
    </row>
    <row r="767" spans="1:21" x14ac:dyDescent="0.25">
      <c r="A767" s="7"/>
      <c r="B767" s="7"/>
      <c r="C767" s="7"/>
      <c r="D767" s="7"/>
      <c r="E767" s="7"/>
      <c r="F767" s="7"/>
      <c r="G767" s="7"/>
      <c r="H767" s="7"/>
      <c r="I767" s="7"/>
      <c r="J767" s="7"/>
      <c r="K767" s="7"/>
      <c r="L767" s="7"/>
      <c r="M767" s="7"/>
      <c r="N767" s="7"/>
      <c r="O767" s="7"/>
      <c r="P767" s="7"/>
      <c r="Q767" s="7"/>
      <c r="R767" s="7"/>
      <c r="S767" s="7"/>
      <c r="T767" s="7"/>
      <c r="U767" s="7"/>
    </row>
    <row r="768" spans="1:21" x14ac:dyDescent="0.25">
      <c r="A768" s="7"/>
      <c r="B768" s="7"/>
      <c r="C768" s="7"/>
      <c r="D768" s="7"/>
      <c r="E768" s="7"/>
      <c r="F768" s="7"/>
      <c r="G768" s="7"/>
      <c r="H768" s="7"/>
      <c r="I768" s="7"/>
      <c r="J768" s="7"/>
      <c r="K768" s="7"/>
      <c r="L768" s="7"/>
      <c r="M768" s="7"/>
      <c r="N768" s="7"/>
      <c r="O768" s="7"/>
      <c r="P768" s="7"/>
      <c r="Q768" s="7"/>
      <c r="R768" s="7"/>
      <c r="S768" s="7"/>
      <c r="T768" s="7"/>
      <c r="U768" s="7"/>
    </row>
    <row r="769" spans="1:21" x14ac:dyDescent="0.25">
      <c r="A769" s="7"/>
      <c r="B769" s="7"/>
      <c r="C769" s="7"/>
      <c r="D769" s="7"/>
      <c r="E769" s="7"/>
      <c r="F769" s="7"/>
      <c r="G769" s="7"/>
      <c r="H769" s="7"/>
      <c r="I769" s="7"/>
      <c r="J769" s="7"/>
      <c r="K769" s="7"/>
      <c r="L769" s="7"/>
      <c r="M769" s="7"/>
      <c r="N769" s="7"/>
      <c r="O769" s="7"/>
      <c r="P769" s="7"/>
      <c r="Q769" s="7"/>
      <c r="R769" s="7"/>
      <c r="S769" s="7"/>
      <c r="T769" s="7"/>
      <c r="U769" s="7"/>
    </row>
    <row r="770" spans="1:21" x14ac:dyDescent="0.25">
      <c r="A770" s="7"/>
      <c r="B770" s="7"/>
      <c r="C770" s="7"/>
      <c r="D770" s="7"/>
      <c r="E770" s="7"/>
      <c r="F770" s="7"/>
      <c r="G770" s="7"/>
      <c r="H770" s="7"/>
      <c r="I770" s="7"/>
      <c r="J770" s="7"/>
      <c r="K770" s="7"/>
      <c r="L770" s="7"/>
      <c r="M770" s="7"/>
      <c r="N770" s="7"/>
      <c r="O770" s="7"/>
      <c r="P770" s="7"/>
      <c r="Q770" s="7"/>
      <c r="R770" s="7"/>
      <c r="S770" s="7"/>
      <c r="T770" s="7"/>
      <c r="U770" s="7"/>
    </row>
    <row r="771" spans="1:21" x14ac:dyDescent="0.25">
      <c r="A771" s="7"/>
      <c r="B771" s="7"/>
      <c r="C771" s="7"/>
      <c r="D771" s="7"/>
      <c r="E771" s="7"/>
      <c r="F771" s="7"/>
      <c r="G771" s="7"/>
      <c r="H771" s="7"/>
      <c r="I771" s="7"/>
      <c r="J771" s="7"/>
      <c r="K771" s="7"/>
      <c r="L771" s="7"/>
      <c r="M771" s="7"/>
      <c r="N771" s="7"/>
      <c r="O771" s="7"/>
      <c r="P771" s="7"/>
      <c r="Q771" s="7"/>
      <c r="R771" s="7"/>
      <c r="S771" s="7"/>
      <c r="T771" s="7"/>
      <c r="U771" s="7"/>
    </row>
    <row r="772" spans="1:21" x14ac:dyDescent="0.25">
      <c r="A772" s="7"/>
      <c r="B772" s="7"/>
      <c r="C772" s="7"/>
      <c r="D772" s="7"/>
      <c r="E772" s="7"/>
      <c r="F772" s="7"/>
      <c r="G772" s="7"/>
      <c r="H772" s="7"/>
      <c r="I772" s="7"/>
      <c r="J772" s="7"/>
      <c r="K772" s="7"/>
      <c r="L772" s="7"/>
      <c r="M772" s="7"/>
      <c r="N772" s="7"/>
      <c r="O772" s="7"/>
      <c r="P772" s="7"/>
      <c r="Q772" s="7"/>
      <c r="R772" s="7"/>
      <c r="S772" s="7"/>
      <c r="T772" s="7"/>
      <c r="U772" s="7"/>
    </row>
    <row r="773" spans="1:21" x14ac:dyDescent="0.25">
      <c r="A773" s="7"/>
      <c r="B773" s="7"/>
      <c r="C773" s="7"/>
      <c r="D773" s="7"/>
      <c r="E773" s="7"/>
      <c r="F773" s="7"/>
      <c r="G773" s="7"/>
      <c r="H773" s="7"/>
      <c r="I773" s="7"/>
      <c r="J773" s="7"/>
      <c r="K773" s="7"/>
      <c r="L773" s="7"/>
      <c r="M773" s="7"/>
      <c r="N773" s="7"/>
      <c r="O773" s="7"/>
      <c r="P773" s="7"/>
      <c r="Q773" s="7"/>
      <c r="R773" s="7"/>
      <c r="S773" s="7"/>
      <c r="T773" s="7"/>
      <c r="U773" s="7"/>
    </row>
    <row r="774" spans="1:21" x14ac:dyDescent="0.25">
      <c r="A774" s="7"/>
      <c r="B774" s="7"/>
      <c r="C774" s="7"/>
      <c r="D774" s="7"/>
      <c r="E774" s="7"/>
      <c r="F774" s="7"/>
      <c r="G774" s="7"/>
      <c r="H774" s="7"/>
      <c r="I774" s="7"/>
      <c r="J774" s="7"/>
      <c r="K774" s="7"/>
      <c r="L774" s="7"/>
      <c r="M774" s="7"/>
      <c r="N774" s="7"/>
      <c r="O774" s="7"/>
      <c r="P774" s="7"/>
      <c r="Q774" s="7"/>
      <c r="R774" s="7"/>
      <c r="S774" s="7"/>
      <c r="T774" s="7"/>
      <c r="U774" s="7"/>
    </row>
    <row r="775" spans="1:21" x14ac:dyDescent="0.25">
      <c r="A775" s="7"/>
      <c r="B775" s="7"/>
      <c r="C775" s="7"/>
      <c r="D775" s="7"/>
      <c r="E775" s="7"/>
      <c r="F775" s="7"/>
      <c r="G775" s="7"/>
      <c r="H775" s="7"/>
      <c r="I775" s="7"/>
      <c r="J775" s="7"/>
      <c r="K775" s="7"/>
      <c r="L775" s="7"/>
      <c r="M775" s="7"/>
      <c r="N775" s="7"/>
      <c r="O775" s="7"/>
      <c r="P775" s="7"/>
      <c r="Q775" s="7"/>
      <c r="R775" s="7"/>
      <c r="S775" s="7"/>
      <c r="T775" s="7"/>
      <c r="U775" s="7"/>
    </row>
    <row r="776" spans="1:21" x14ac:dyDescent="0.25">
      <c r="A776" s="7"/>
      <c r="B776" s="7"/>
      <c r="C776" s="7"/>
      <c r="D776" s="7"/>
      <c r="E776" s="7"/>
      <c r="F776" s="7"/>
      <c r="G776" s="7"/>
      <c r="H776" s="7"/>
      <c r="I776" s="7"/>
      <c r="J776" s="7"/>
      <c r="K776" s="7"/>
      <c r="L776" s="7"/>
      <c r="M776" s="7"/>
      <c r="N776" s="7"/>
      <c r="O776" s="7"/>
      <c r="P776" s="7"/>
      <c r="Q776" s="7"/>
      <c r="R776" s="7"/>
      <c r="S776" s="7"/>
      <c r="T776" s="7"/>
      <c r="U776" s="7"/>
    </row>
    <row r="777" spans="1:21" x14ac:dyDescent="0.25">
      <c r="A777" s="7"/>
      <c r="B777" s="7"/>
      <c r="C777" s="7"/>
      <c r="D777" s="7"/>
      <c r="E777" s="7"/>
      <c r="F777" s="7"/>
      <c r="G777" s="7"/>
      <c r="H777" s="7"/>
      <c r="I777" s="7"/>
      <c r="J777" s="7"/>
      <c r="K777" s="7"/>
      <c r="L777" s="7"/>
      <c r="M777" s="7"/>
      <c r="N777" s="7"/>
      <c r="O777" s="7"/>
      <c r="P777" s="7"/>
      <c r="Q777" s="7"/>
      <c r="R777" s="7"/>
      <c r="S777" s="7"/>
      <c r="T777" s="7"/>
      <c r="U777" s="7"/>
    </row>
    <row r="778" spans="1:21" x14ac:dyDescent="0.25">
      <c r="A778" s="7"/>
      <c r="B778" s="7"/>
      <c r="C778" s="7"/>
      <c r="D778" s="7"/>
      <c r="E778" s="7"/>
      <c r="F778" s="7"/>
      <c r="G778" s="7"/>
      <c r="H778" s="7"/>
      <c r="I778" s="7"/>
      <c r="J778" s="7"/>
      <c r="K778" s="7"/>
      <c r="L778" s="7"/>
      <c r="M778" s="7"/>
      <c r="N778" s="7"/>
      <c r="O778" s="7"/>
      <c r="P778" s="7"/>
      <c r="Q778" s="7"/>
      <c r="R778" s="7"/>
      <c r="S778" s="7"/>
      <c r="T778" s="7"/>
      <c r="U778" s="7"/>
    </row>
    <row r="779" spans="1:21" x14ac:dyDescent="0.25">
      <c r="A779" s="7"/>
      <c r="B779" s="7"/>
      <c r="C779" s="7"/>
      <c r="D779" s="7"/>
      <c r="E779" s="7"/>
      <c r="F779" s="7"/>
      <c r="G779" s="7"/>
      <c r="H779" s="7"/>
      <c r="I779" s="7"/>
      <c r="J779" s="7"/>
      <c r="K779" s="7"/>
      <c r="L779" s="7"/>
      <c r="M779" s="7"/>
      <c r="N779" s="7"/>
      <c r="O779" s="7"/>
      <c r="P779" s="7"/>
      <c r="Q779" s="7"/>
      <c r="R779" s="7"/>
      <c r="S779" s="7"/>
      <c r="T779" s="7"/>
      <c r="U779" s="7"/>
    </row>
    <row r="780" spans="1:21" x14ac:dyDescent="0.25">
      <c r="A780" s="7"/>
      <c r="B780" s="7"/>
      <c r="C780" s="7"/>
      <c r="D780" s="7"/>
      <c r="E780" s="7"/>
      <c r="F780" s="7"/>
      <c r="G780" s="7"/>
      <c r="H780" s="7"/>
      <c r="I780" s="7"/>
      <c r="J780" s="7"/>
      <c r="K780" s="7"/>
      <c r="L780" s="7"/>
      <c r="M780" s="7"/>
      <c r="N780" s="7"/>
      <c r="O780" s="7"/>
      <c r="P780" s="7"/>
      <c r="Q780" s="7"/>
      <c r="R780" s="7"/>
      <c r="S780" s="7"/>
      <c r="T780" s="7"/>
      <c r="U780" s="7"/>
    </row>
    <row r="781" spans="1:21" x14ac:dyDescent="0.25">
      <c r="A781" s="7"/>
      <c r="B781" s="7"/>
      <c r="C781" s="7"/>
      <c r="D781" s="7"/>
      <c r="E781" s="7"/>
      <c r="F781" s="7"/>
      <c r="G781" s="7"/>
      <c r="H781" s="7"/>
      <c r="I781" s="7"/>
      <c r="J781" s="7"/>
      <c r="K781" s="7"/>
      <c r="L781" s="7"/>
      <c r="M781" s="7"/>
      <c r="N781" s="7"/>
      <c r="O781" s="7"/>
      <c r="P781" s="7"/>
      <c r="Q781" s="7"/>
      <c r="R781" s="7"/>
      <c r="S781" s="7"/>
      <c r="T781" s="7"/>
      <c r="U781" s="7"/>
    </row>
    <row r="782" spans="1:21" x14ac:dyDescent="0.25">
      <c r="A782" s="7"/>
      <c r="B782" s="7"/>
      <c r="C782" s="7"/>
      <c r="D782" s="7"/>
      <c r="E782" s="7"/>
      <c r="F782" s="7"/>
      <c r="G782" s="7"/>
      <c r="H782" s="7"/>
      <c r="I782" s="7"/>
      <c r="J782" s="7"/>
      <c r="K782" s="7"/>
      <c r="L782" s="7"/>
      <c r="M782" s="7"/>
      <c r="N782" s="7"/>
      <c r="O782" s="7"/>
      <c r="P782" s="7"/>
      <c r="Q782" s="7"/>
      <c r="R782" s="7"/>
      <c r="S782" s="7"/>
      <c r="T782" s="7"/>
      <c r="U782" s="7"/>
    </row>
    <row r="783" spans="1:21" x14ac:dyDescent="0.25">
      <c r="A783" s="7"/>
      <c r="B783" s="7"/>
      <c r="C783" s="7"/>
      <c r="D783" s="7"/>
      <c r="E783" s="7"/>
      <c r="F783" s="7"/>
      <c r="G783" s="7"/>
      <c r="H783" s="7"/>
      <c r="I783" s="7"/>
      <c r="J783" s="7"/>
      <c r="K783" s="7"/>
      <c r="L783" s="7"/>
      <c r="M783" s="7"/>
      <c r="N783" s="7"/>
      <c r="O783" s="7"/>
      <c r="P783" s="7"/>
      <c r="Q783" s="7"/>
      <c r="R783" s="7"/>
      <c r="S783" s="7"/>
      <c r="T783" s="7"/>
      <c r="U783" s="7"/>
    </row>
    <row r="784" spans="1:21" x14ac:dyDescent="0.25">
      <c r="A784" s="7"/>
      <c r="B784" s="7"/>
      <c r="C784" s="7"/>
      <c r="D784" s="7"/>
      <c r="E784" s="7"/>
      <c r="F784" s="7"/>
      <c r="G784" s="7"/>
      <c r="H784" s="7"/>
      <c r="I784" s="7"/>
      <c r="J784" s="7"/>
      <c r="K784" s="7"/>
      <c r="L784" s="7"/>
      <c r="M784" s="7"/>
      <c r="N784" s="7"/>
      <c r="O784" s="7"/>
      <c r="P784" s="7"/>
      <c r="Q784" s="7"/>
      <c r="R784" s="7"/>
      <c r="S784" s="7"/>
      <c r="T784" s="7"/>
      <c r="U784" s="7"/>
    </row>
    <row r="785" spans="1:21" x14ac:dyDescent="0.25">
      <c r="A785" s="7"/>
      <c r="B785" s="7"/>
      <c r="C785" s="7"/>
      <c r="D785" s="7"/>
      <c r="E785" s="7"/>
      <c r="F785" s="7"/>
      <c r="G785" s="7"/>
      <c r="H785" s="7"/>
      <c r="I785" s="7"/>
      <c r="J785" s="7"/>
      <c r="K785" s="7"/>
      <c r="L785" s="7"/>
      <c r="M785" s="7"/>
      <c r="N785" s="7"/>
      <c r="O785" s="7"/>
      <c r="P785" s="7"/>
      <c r="Q785" s="7"/>
      <c r="R785" s="7"/>
      <c r="S785" s="7"/>
      <c r="T785" s="7"/>
      <c r="U785" s="7"/>
    </row>
    <row r="786" spans="1:21" x14ac:dyDescent="0.25">
      <c r="A786" s="7"/>
      <c r="B786" s="7"/>
      <c r="C786" s="7"/>
      <c r="D786" s="7"/>
      <c r="E786" s="7"/>
      <c r="F786" s="7"/>
      <c r="G786" s="7"/>
      <c r="H786" s="7"/>
      <c r="I786" s="7"/>
      <c r="J786" s="7"/>
      <c r="K786" s="7"/>
      <c r="L786" s="7"/>
      <c r="M786" s="7"/>
      <c r="N786" s="7"/>
      <c r="O786" s="7"/>
      <c r="P786" s="7"/>
      <c r="Q786" s="7"/>
      <c r="R786" s="7"/>
      <c r="S786" s="7"/>
      <c r="T786" s="7"/>
      <c r="U786" s="7"/>
    </row>
    <row r="787" spans="1:21" x14ac:dyDescent="0.25">
      <c r="A787" s="7"/>
      <c r="B787" s="7"/>
      <c r="C787" s="7"/>
      <c r="D787" s="7"/>
      <c r="E787" s="7"/>
      <c r="F787" s="7"/>
      <c r="G787" s="7"/>
      <c r="H787" s="7"/>
      <c r="I787" s="7"/>
      <c r="J787" s="7"/>
      <c r="K787" s="7"/>
      <c r="L787" s="7"/>
      <c r="M787" s="7"/>
      <c r="N787" s="7"/>
      <c r="O787" s="7"/>
      <c r="P787" s="7"/>
      <c r="Q787" s="7"/>
      <c r="R787" s="7"/>
      <c r="S787" s="7"/>
      <c r="T787" s="7"/>
      <c r="U787" s="7"/>
    </row>
    <row r="788" spans="1:21" x14ac:dyDescent="0.25">
      <c r="A788" s="7"/>
      <c r="B788" s="7"/>
      <c r="C788" s="7"/>
      <c r="D788" s="7"/>
      <c r="E788" s="7"/>
      <c r="F788" s="7"/>
      <c r="G788" s="7"/>
      <c r="H788" s="7"/>
      <c r="I788" s="7"/>
      <c r="J788" s="7"/>
      <c r="K788" s="7"/>
      <c r="L788" s="7"/>
      <c r="M788" s="7"/>
      <c r="N788" s="7"/>
      <c r="O788" s="7"/>
      <c r="P788" s="7"/>
      <c r="Q788" s="7"/>
      <c r="R788" s="7"/>
      <c r="S788" s="7"/>
      <c r="T788" s="7"/>
      <c r="U788" s="7"/>
    </row>
    <row r="789" spans="1:21" x14ac:dyDescent="0.25">
      <c r="A789" s="7"/>
      <c r="B789" s="7"/>
      <c r="C789" s="7"/>
      <c r="D789" s="7"/>
      <c r="E789" s="7"/>
      <c r="F789" s="7"/>
      <c r="G789" s="7"/>
      <c r="H789" s="7"/>
      <c r="I789" s="7"/>
      <c r="J789" s="7"/>
      <c r="K789" s="7"/>
      <c r="L789" s="7"/>
      <c r="M789" s="7"/>
      <c r="N789" s="7"/>
      <c r="O789" s="7"/>
      <c r="P789" s="7"/>
      <c r="Q789" s="7"/>
      <c r="R789" s="7"/>
      <c r="S789" s="7"/>
      <c r="T789" s="7"/>
      <c r="U789" s="7"/>
    </row>
    <row r="790" spans="1:21" x14ac:dyDescent="0.25">
      <c r="A790" s="7"/>
      <c r="B790" s="7"/>
      <c r="C790" s="7"/>
      <c r="D790" s="7"/>
      <c r="E790" s="7"/>
      <c r="F790" s="7"/>
      <c r="G790" s="7"/>
      <c r="H790" s="7"/>
      <c r="I790" s="7"/>
      <c r="J790" s="7"/>
      <c r="K790" s="7"/>
      <c r="L790" s="7"/>
      <c r="M790" s="7"/>
      <c r="N790" s="7"/>
      <c r="O790" s="7"/>
      <c r="P790" s="7"/>
      <c r="Q790" s="7"/>
      <c r="R790" s="7"/>
      <c r="S790" s="7"/>
      <c r="T790" s="7"/>
      <c r="U790" s="7"/>
    </row>
    <row r="791" spans="1:21" x14ac:dyDescent="0.25">
      <c r="A791" s="7"/>
      <c r="B791" s="7"/>
      <c r="C791" s="7"/>
      <c r="D791" s="7"/>
      <c r="E791" s="7"/>
      <c r="F791" s="7"/>
      <c r="G791" s="7"/>
      <c r="H791" s="7"/>
      <c r="I791" s="7"/>
      <c r="J791" s="7"/>
      <c r="K791" s="7"/>
      <c r="L791" s="7"/>
      <c r="M791" s="7"/>
      <c r="N791" s="7"/>
      <c r="O791" s="7"/>
      <c r="P791" s="7"/>
      <c r="Q791" s="7"/>
      <c r="R791" s="7"/>
      <c r="S791" s="7"/>
      <c r="T791" s="7"/>
      <c r="U791" s="7"/>
    </row>
    <row r="792" spans="1:21" x14ac:dyDescent="0.25">
      <c r="A792" s="7"/>
      <c r="B792" s="7"/>
      <c r="C792" s="7"/>
      <c r="D792" s="7"/>
      <c r="E792" s="7"/>
      <c r="F792" s="7"/>
      <c r="G792" s="7"/>
      <c r="H792" s="7"/>
      <c r="I792" s="7"/>
      <c r="J792" s="7"/>
      <c r="K792" s="7"/>
      <c r="L792" s="7"/>
      <c r="M792" s="7"/>
      <c r="N792" s="7"/>
      <c r="O792" s="7"/>
      <c r="P792" s="7"/>
      <c r="Q792" s="7"/>
      <c r="R792" s="7"/>
      <c r="S792" s="7"/>
      <c r="T792" s="7"/>
      <c r="U792" s="7"/>
    </row>
    <row r="793" spans="1:21" x14ac:dyDescent="0.25">
      <c r="A793" s="7"/>
      <c r="B793" s="7"/>
      <c r="C793" s="7"/>
      <c r="D793" s="7"/>
      <c r="E793" s="7"/>
      <c r="F793" s="7"/>
      <c r="G793" s="7"/>
      <c r="H793" s="7"/>
      <c r="I793" s="7"/>
      <c r="J793" s="7"/>
      <c r="K793" s="7"/>
      <c r="L793" s="7"/>
      <c r="M793" s="7"/>
      <c r="N793" s="7"/>
      <c r="O793" s="7"/>
      <c r="P793" s="7"/>
      <c r="Q793" s="7"/>
      <c r="R793" s="7"/>
      <c r="S793" s="7"/>
      <c r="T793" s="7"/>
      <c r="U793" s="7"/>
    </row>
    <row r="794" spans="1:21" x14ac:dyDescent="0.25">
      <c r="A794" s="7"/>
      <c r="B794" s="7"/>
      <c r="C794" s="7"/>
      <c r="D794" s="7"/>
      <c r="E794" s="7"/>
      <c r="F794" s="7"/>
      <c r="G794" s="7"/>
      <c r="H794" s="7"/>
      <c r="I794" s="7"/>
      <c r="J794" s="7"/>
      <c r="K794" s="7"/>
      <c r="L794" s="7"/>
      <c r="M794" s="7"/>
      <c r="N794" s="7"/>
      <c r="O794" s="7"/>
      <c r="P794" s="7"/>
      <c r="Q794" s="7"/>
      <c r="R794" s="7"/>
      <c r="S794" s="7"/>
      <c r="T794" s="7"/>
      <c r="U794" s="7"/>
    </row>
    <row r="795" spans="1:21" x14ac:dyDescent="0.25">
      <c r="A795" s="7"/>
      <c r="B795" s="7"/>
      <c r="C795" s="7"/>
      <c r="D795" s="7"/>
      <c r="E795" s="7"/>
      <c r="F795" s="7"/>
      <c r="G795" s="7"/>
      <c r="H795" s="7"/>
      <c r="I795" s="7"/>
      <c r="J795" s="7"/>
      <c r="K795" s="7"/>
      <c r="L795" s="7"/>
      <c r="M795" s="7"/>
      <c r="N795" s="7"/>
      <c r="O795" s="7"/>
      <c r="P795" s="7"/>
      <c r="Q795" s="7"/>
      <c r="R795" s="7"/>
      <c r="S795" s="7"/>
      <c r="T795" s="7"/>
      <c r="U795" s="7"/>
    </row>
    <row r="796" spans="1:21" x14ac:dyDescent="0.25">
      <c r="A796" s="7"/>
      <c r="B796" s="7"/>
      <c r="C796" s="7"/>
      <c r="D796" s="7"/>
      <c r="E796" s="7"/>
      <c r="F796" s="7"/>
      <c r="G796" s="7"/>
      <c r="H796" s="7"/>
      <c r="I796" s="7"/>
      <c r="J796" s="7"/>
      <c r="K796" s="7"/>
      <c r="L796" s="7"/>
      <c r="M796" s="7"/>
      <c r="N796" s="7"/>
      <c r="O796" s="7"/>
      <c r="P796" s="7"/>
      <c r="Q796" s="7"/>
      <c r="R796" s="7"/>
      <c r="S796" s="7"/>
      <c r="T796" s="7"/>
      <c r="U796" s="7"/>
    </row>
    <row r="797" spans="1:21" x14ac:dyDescent="0.25">
      <c r="A797" s="7"/>
      <c r="B797" s="7"/>
      <c r="C797" s="7"/>
      <c r="D797" s="7"/>
      <c r="E797" s="7"/>
      <c r="F797" s="7"/>
      <c r="G797" s="7"/>
      <c r="H797" s="7"/>
      <c r="I797" s="7"/>
      <c r="J797" s="7"/>
      <c r="K797" s="7"/>
      <c r="L797" s="7"/>
      <c r="M797" s="7"/>
      <c r="N797" s="7"/>
      <c r="O797" s="7"/>
      <c r="P797" s="7"/>
      <c r="Q797" s="7"/>
      <c r="R797" s="7"/>
      <c r="S797" s="7"/>
      <c r="T797" s="7"/>
      <c r="U797" s="7"/>
    </row>
    <row r="798" spans="1:21" x14ac:dyDescent="0.25">
      <c r="A798" s="7"/>
      <c r="B798" s="7"/>
      <c r="C798" s="7"/>
      <c r="D798" s="7"/>
      <c r="E798" s="7"/>
      <c r="F798" s="7"/>
      <c r="G798" s="7"/>
      <c r="H798" s="7"/>
      <c r="I798" s="7"/>
      <c r="J798" s="7"/>
      <c r="K798" s="7"/>
      <c r="L798" s="7"/>
      <c r="M798" s="7"/>
      <c r="N798" s="7"/>
      <c r="O798" s="7"/>
      <c r="P798" s="7"/>
      <c r="Q798" s="7"/>
      <c r="R798" s="7"/>
      <c r="S798" s="7"/>
      <c r="T798" s="7"/>
      <c r="U798" s="7"/>
    </row>
    <row r="799" spans="1:21" x14ac:dyDescent="0.25">
      <c r="A799" s="7"/>
      <c r="B799" s="7"/>
      <c r="C799" s="7"/>
      <c r="D799" s="7"/>
      <c r="E799" s="7"/>
      <c r="F799" s="7"/>
      <c r="G799" s="7"/>
      <c r="H799" s="7"/>
      <c r="I799" s="7"/>
      <c r="J799" s="7"/>
      <c r="K799" s="7"/>
      <c r="L799" s="7"/>
      <c r="M799" s="7"/>
      <c r="N799" s="7"/>
      <c r="O799" s="7"/>
      <c r="P799" s="7"/>
      <c r="Q799" s="7"/>
      <c r="R799" s="7"/>
      <c r="S799" s="7"/>
      <c r="T799" s="7"/>
      <c r="U799" s="7"/>
    </row>
    <row r="800" spans="1:21" x14ac:dyDescent="0.25">
      <c r="A800" s="7"/>
      <c r="B800" s="7"/>
      <c r="C800" s="7"/>
      <c r="D800" s="7"/>
      <c r="E800" s="7"/>
      <c r="F800" s="7"/>
      <c r="G800" s="7"/>
      <c r="H800" s="7"/>
      <c r="I800" s="7"/>
      <c r="J800" s="7"/>
      <c r="K800" s="7"/>
      <c r="L800" s="7"/>
      <c r="M800" s="7"/>
      <c r="N800" s="7"/>
      <c r="O800" s="7"/>
      <c r="P800" s="7"/>
      <c r="Q800" s="7"/>
      <c r="R800" s="7"/>
      <c r="S800" s="7"/>
      <c r="T800" s="7"/>
      <c r="U800" s="7"/>
    </row>
    <row r="801" spans="1:21" x14ac:dyDescent="0.25">
      <c r="A801" s="7"/>
      <c r="B801" s="7"/>
      <c r="C801" s="7"/>
      <c r="D801" s="7"/>
      <c r="E801" s="7"/>
      <c r="F801" s="7"/>
      <c r="G801" s="7"/>
      <c r="H801" s="7"/>
      <c r="I801" s="7"/>
      <c r="J801" s="7"/>
      <c r="K801" s="7"/>
      <c r="L801" s="7"/>
      <c r="M801" s="7"/>
      <c r="N801" s="7"/>
      <c r="O801" s="7"/>
      <c r="P801" s="7"/>
      <c r="Q801" s="7"/>
      <c r="R801" s="7"/>
      <c r="S801" s="7"/>
      <c r="T801" s="7"/>
      <c r="U801" s="7"/>
    </row>
    <row r="802" spans="1:21" x14ac:dyDescent="0.25">
      <c r="A802" s="7"/>
      <c r="B802" s="7"/>
      <c r="C802" s="7"/>
      <c r="D802" s="7"/>
      <c r="E802" s="7"/>
      <c r="F802" s="7"/>
      <c r="G802" s="7"/>
      <c r="H802" s="7"/>
      <c r="I802" s="7"/>
      <c r="J802" s="7"/>
      <c r="K802" s="7"/>
      <c r="L802" s="7"/>
      <c r="M802" s="7"/>
      <c r="N802" s="7"/>
      <c r="O802" s="7"/>
      <c r="P802" s="7"/>
      <c r="Q802" s="7"/>
      <c r="R802" s="7"/>
      <c r="S802" s="7"/>
      <c r="T802" s="7"/>
      <c r="U802" s="7"/>
    </row>
    <row r="803" spans="1:21" x14ac:dyDescent="0.25">
      <c r="A803" s="7"/>
      <c r="B803" s="7"/>
      <c r="C803" s="7"/>
      <c r="D803" s="7"/>
      <c r="E803" s="7"/>
      <c r="F803" s="7"/>
      <c r="G803" s="7"/>
      <c r="H803" s="7"/>
      <c r="I803" s="7"/>
      <c r="J803" s="7"/>
      <c r="K803" s="7"/>
      <c r="L803" s="7"/>
      <c r="M803" s="7"/>
      <c r="N803" s="7"/>
      <c r="O803" s="7"/>
      <c r="P803" s="7"/>
      <c r="Q803" s="7"/>
      <c r="R803" s="7"/>
      <c r="S803" s="7"/>
      <c r="T803" s="7"/>
      <c r="U803" s="7"/>
    </row>
    <row r="804" spans="1:21" x14ac:dyDescent="0.25">
      <c r="A804" s="7"/>
      <c r="B804" s="7"/>
      <c r="C804" s="7"/>
      <c r="D804" s="7"/>
      <c r="E804" s="7"/>
      <c r="F804" s="7"/>
      <c r="G804" s="7"/>
      <c r="H804" s="7"/>
      <c r="I804" s="7"/>
      <c r="J804" s="7"/>
      <c r="K804" s="7"/>
      <c r="L804" s="7"/>
      <c r="M804" s="7"/>
      <c r="N804" s="7"/>
      <c r="O804" s="7"/>
      <c r="P804" s="7"/>
      <c r="Q804" s="7"/>
      <c r="R804" s="7"/>
      <c r="S804" s="7"/>
      <c r="T804" s="7"/>
      <c r="U804" s="7"/>
    </row>
    <row r="805" spans="1:21" x14ac:dyDescent="0.25">
      <c r="A805" s="7"/>
      <c r="B805" s="7"/>
      <c r="C805" s="7"/>
      <c r="D805" s="7"/>
      <c r="E805" s="7"/>
      <c r="F805" s="7"/>
      <c r="G805" s="7"/>
      <c r="H805" s="7"/>
      <c r="I805" s="7"/>
      <c r="J805" s="7"/>
      <c r="K805" s="7"/>
      <c r="L805" s="7"/>
      <c r="M805" s="7"/>
      <c r="N805" s="7"/>
      <c r="O805" s="7"/>
      <c r="P805" s="7"/>
      <c r="Q805" s="7"/>
      <c r="R805" s="7"/>
      <c r="S805" s="7"/>
      <c r="T805" s="7"/>
      <c r="U805" s="7"/>
    </row>
    <row r="806" spans="1:21" x14ac:dyDescent="0.25">
      <c r="A806" s="7"/>
      <c r="B806" s="7"/>
      <c r="C806" s="7"/>
      <c r="D806" s="7"/>
      <c r="E806" s="7"/>
      <c r="F806" s="7"/>
      <c r="G806" s="7"/>
      <c r="H806" s="7"/>
      <c r="I806" s="7"/>
      <c r="J806" s="7"/>
      <c r="K806" s="7"/>
      <c r="L806" s="7"/>
      <c r="M806" s="7"/>
      <c r="N806" s="7"/>
      <c r="O806" s="7"/>
      <c r="P806" s="7"/>
      <c r="Q806" s="7"/>
      <c r="R806" s="7"/>
      <c r="S806" s="7"/>
      <c r="T806" s="7"/>
      <c r="U806" s="7"/>
    </row>
    <row r="807" spans="1:21" x14ac:dyDescent="0.25">
      <c r="A807" s="7"/>
      <c r="B807" s="7"/>
      <c r="C807" s="7"/>
      <c r="D807" s="7"/>
      <c r="E807" s="7"/>
      <c r="F807" s="7"/>
      <c r="G807" s="7"/>
      <c r="H807" s="7"/>
      <c r="I807" s="7"/>
      <c r="J807" s="7"/>
      <c r="K807" s="7"/>
      <c r="L807" s="7"/>
      <c r="M807" s="7"/>
      <c r="N807" s="7"/>
      <c r="O807" s="7"/>
      <c r="P807" s="7"/>
      <c r="Q807" s="7"/>
      <c r="R807" s="7"/>
      <c r="S807" s="7"/>
      <c r="T807" s="7"/>
      <c r="U807" s="7"/>
    </row>
    <row r="808" spans="1:21" x14ac:dyDescent="0.25">
      <c r="A808" s="7"/>
      <c r="B808" s="7"/>
      <c r="C808" s="7"/>
      <c r="D808" s="7"/>
      <c r="E808" s="7"/>
      <c r="F808" s="7"/>
      <c r="G808" s="7"/>
      <c r="H808" s="7"/>
      <c r="I808" s="7"/>
      <c r="J808" s="7"/>
      <c r="K808" s="7"/>
      <c r="L808" s="7"/>
      <c r="M808" s="7"/>
      <c r="N808" s="7"/>
      <c r="O808" s="7"/>
      <c r="P808" s="7"/>
      <c r="Q808" s="7"/>
      <c r="R808" s="7"/>
      <c r="S808" s="7"/>
      <c r="T808" s="7"/>
      <c r="U808" s="7"/>
    </row>
    <row r="809" spans="1:21" x14ac:dyDescent="0.25">
      <c r="A809" s="7"/>
      <c r="B809" s="7"/>
      <c r="C809" s="7"/>
      <c r="D809" s="7"/>
      <c r="E809" s="7"/>
      <c r="F809" s="7"/>
      <c r="G809" s="7"/>
      <c r="H809" s="7"/>
      <c r="I809" s="7"/>
      <c r="J809" s="7"/>
      <c r="K809" s="7"/>
      <c r="L809" s="7"/>
      <c r="M809" s="7"/>
      <c r="N809" s="7"/>
      <c r="O809" s="7"/>
      <c r="P809" s="7"/>
      <c r="Q809" s="7"/>
      <c r="R809" s="7"/>
      <c r="S809" s="7"/>
      <c r="T809" s="7"/>
      <c r="U809" s="7"/>
    </row>
    <row r="810" spans="1:21" x14ac:dyDescent="0.25">
      <c r="A810" s="7"/>
      <c r="B810" s="7"/>
      <c r="C810" s="7"/>
      <c r="D810" s="7"/>
      <c r="E810" s="7"/>
      <c r="F810" s="7"/>
      <c r="G810" s="7"/>
      <c r="H810" s="7"/>
      <c r="I810" s="7"/>
      <c r="J810" s="7"/>
      <c r="K810" s="7"/>
      <c r="L810" s="7"/>
      <c r="M810" s="7"/>
      <c r="N810" s="7"/>
      <c r="O810" s="7"/>
      <c r="P810" s="7"/>
      <c r="Q810" s="7"/>
      <c r="R810" s="7"/>
      <c r="S810" s="7"/>
      <c r="T810" s="7"/>
      <c r="U810" s="7"/>
    </row>
    <row r="811" spans="1:21" x14ac:dyDescent="0.25">
      <c r="A811" s="7"/>
      <c r="B811" s="7"/>
      <c r="C811" s="7"/>
      <c r="D811" s="7"/>
      <c r="E811" s="7"/>
      <c r="F811" s="7"/>
      <c r="G811" s="7"/>
      <c r="H811" s="7"/>
      <c r="I811" s="7"/>
      <c r="J811" s="7"/>
      <c r="K811" s="7"/>
      <c r="L811" s="7"/>
      <c r="M811" s="7"/>
      <c r="N811" s="7"/>
      <c r="O811" s="7"/>
      <c r="P811" s="7"/>
      <c r="Q811" s="7"/>
      <c r="R811" s="7"/>
      <c r="S811" s="7"/>
      <c r="T811" s="7"/>
      <c r="U811" s="7"/>
    </row>
    <row r="812" spans="1:21" x14ac:dyDescent="0.25">
      <c r="A812" s="7"/>
      <c r="B812" s="7"/>
      <c r="C812" s="7"/>
      <c r="D812" s="7"/>
      <c r="E812" s="7"/>
      <c r="F812" s="7"/>
      <c r="G812" s="7"/>
      <c r="H812" s="7"/>
      <c r="I812" s="7"/>
      <c r="J812" s="7"/>
      <c r="K812" s="7"/>
      <c r="L812" s="7"/>
      <c r="M812" s="7"/>
      <c r="N812" s="7"/>
      <c r="O812" s="7"/>
      <c r="P812" s="7"/>
      <c r="Q812" s="7"/>
      <c r="R812" s="7"/>
      <c r="S812" s="7"/>
      <c r="T812" s="7"/>
      <c r="U812" s="7"/>
    </row>
    <row r="813" spans="1:21" x14ac:dyDescent="0.25">
      <c r="A813" s="7"/>
      <c r="B813" s="7"/>
      <c r="C813" s="7"/>
      <c r="D813" s="7"/>
      <c r="E813" s="7"/>
      <c r="F813" s="7"/>
      <c r="G813" s="7"/>
      <c r="H813" s="7"/>
      <c r="I813" s="7"/>
      <c r="J813" s="7"/>
      <c r="K813" s="7"/>
      <c r="L813" s="7"/>
      <c r="M813" s="7"/>
      <c r="N813" s="7"/>
      <c r="O813" s="7"/>
      <c r="P813" s="7"/>
      <c r="Q813" s="7"/>
      <c r="R813" s="7"/>
      <c r="S813" s="7"/>
      <c r="T813" s="7"/>
      <c r="U813" s="7"/>
    </row>
    <row r="814" spans="1:21" x14ac:dyDescent="0.25">
      <c r="A814" s="7"/>
      <c r="B814" s="7"/>
      <c r="C814" s="7"/>
      <c r="D814" s="7"/>
      <c r="E814" s="7"/>
      <c r="F814" s="7"/>
      <c r="G814" s="7"/>
      <c r="H814" s="7"/>
      <c r="I814" s="7"/>
      <c r="J814" s="7"/>
      <c r="K814" s="7"/>
      <c r="L814" s="7"/>
      <c r="M814" s="7"/>
      <c r="N814" s="7"/>
      <c r="O814" s="7"/>
      <c r="P814" s="7"/>
      <c r="Q814" s="7"/>
      <c r="R814" s="7"/>
      <c r="S814" s="7"/>
      <c r="T814" s="7"/>
      <c r="U814" s="7"/>
    </row>
    <row r="815" spans="1:21" x14ac:dyDescent="0.25">
      <c r="A815" s="7"/>
      <c r="B815" s="7"/>
      <c r="C815" s="7"/>
      <c r="D815" s="7"/>
      <c r="E815" s="7"/>
      <c r="F815" s="7"/>
      <c r="G815" s="7"/>
      <c r="H815" s="7"/>
      <c r="I815" s="7"/>
      <c r="J815" s="7"/>
      <c r="K815" s="7"/>
      <c r="L815" s="7"/>
      <c r="M815" s="7"/>
      <c r="N815" s="7"/>
      <c r="O815" s="7"/>
      <c r="P815" s="7"/>
      <c r="Q815" s="7"/>
      <c r="R815" s="7"/>
      <c r="S815" s="7"/>
      <c r="T815" s="7"/>
      <c r="U815" s="7"/>
    </row>
    <row r="816" spans="1:21" x14ac:dyDescent="0.25">
      <c r="A816" s="7"/>
      <c r="B816" s="7"/>
      <c r="C816" s="7"/>
      <c r="D816" s="7"/>
      <c r="E816" s="7"/>
      <c r="F816" s="7"/>
      <c r="G816" s="7"/>
      <c r="H816" s="7"/>
      <c r="I816" s="7"/>
      <c r="J816" s="7"/>
      <c r="K816" s="7"/>
      <c r="L816" s="7"/>
      <c r="M816" s="7"/>
      <c r="N816" s="7"/>
      <c r="O816" s="7"/>
      <c r="P816" s="7"/>
      <c r="Q816" s="7"/>
      <c r="R816" s="7"/>
      <c r="S816" s="7"/>
      <c r="T816" s="7"/>
      <c r="U816" s="7"/>
    </row>
    <row r="817" spans="1:21" x14ac:dyDescent="0.25">
      <c r="A817" s="7"/>
      <c r="B817" s="7"/>
      <c r="C817" s="7"/>
      <c r="D817" s="7"/>
      <c r="E817" s="7"/>
      <c r="F817" s="7"/>
      <c r="G817" s="7"/>
      <c r="H817" s="7"/>
      <c r="I817" s="7"/>
      <c r="J817" s="7"/>
      <c r="K817" s="7"/>
      <c r="L817" s="7"/>
      <c r="M817" s="7"/>
      <c r="N817" s="7"/>
      <c r="O817" s="7"/>
      <c r="P817" s="7"/>
      <c r="Q817" s="7"/>
      <c r="R817" s="7"/>
      <c r="S817" s="7"/>
      <c r="T817" s="7"/>
      <c r="U817" s="7"/>
    </row>
    <row r="818" spans="1:21" x14ac:dyDescent="0.25">
      <c r="A818" s="7"/>
      <c r="B818" s="7"/>
      <c r="C818" s="7"/>
      <c r="D818" s="7"/>
      <c r="E818" s="7"/>
      <c r="F818" s="7"/>
      <c r="G818" s="7"/>
      <c r="H818" s="7"/>
      <c r="I818" s="7"/>
      <c r="J818" s="7"/>
      <c r="K818" s="7"/>
      <c r="L818" s="7"/>
      <c r="M818" s="7"/>
      <c r="N818" s="7"/>
      <c r="O818" s="7"/>
      <c r="P818" s="7"/>
      <c r="Q818" s="7"/>
      <c r="R818" s="7"/>
      <c r="S818" s="7"/>
      <c r="T818" s="7"/>
      <c r="U818" s="7"/>
    </row>
    <row r="819" spans="1:21" x14ac:dyDescent="0.25">
      <c r="A819" s="7"/>
      <c r="B819" s="7"/>
      <c r="C819" s="7"/>
      <c r="D819" s="7"/>
      <c r="E819" s="7"/>
      <c r="F819" s="7"/>
      <c r="G819" s="7"/>
      <c r="H819" s="7"/>
      <c r="I819" s="7"/>
      <c r="J819" s="7"/>
      <c r="K819" s="7"/>
      <c r="L819" s="7"/>
      <c r="M819" s="7"/>
      <c r="N819" s="7"/>
      <c r="O819" s="7"/>
      <c r="P819" s="7"/>
      <c r="Q819" s="7"/>
      <c r="R819" s="7"/>
      <c r="S819" s="7"/>
      <c r="T819" s="7"/>
      <c r="U819" s="7"/>
    </row>
    <row r="820" spans="1:21" x14ac:dyDescent="0.25">
      <c r="A820" s="7"/>
      <c r="B820" s="7"/>
      <c r="C820" s="7"/>
      <c r="D820" s="7"/>
      <c r="E820" s="7"/>
      <c r="F820" s="7"/>
      <c r="G820" s="7"/>
      <c r="H820" s="7"/>
      <c r="I820" s="7"/>
      <c r="J820" s="7"/>
      <c r="K820" s="7"/>
      <c r="L820" s="7"/>
      <c r="M820" s="7"/>
      <c r="N820" s="7"/>
      <c r="O820" s="7"/>
      <c r="P820" s="7"/>
      <c r="Q820" s="7"/>
      <c r="R820" s="7"/>
      <c r="S820" s="7"/>
      <c r="T820" s="7"/>
      <c r="U820" s="7"/>
    </row>
    <row r="821" spans="1:21" x14ac:dyDescent="0.25">
      <c r="A821" s="7"/>
      <c r="B821" s="7"/>
      <c r="C821" s="7"/>
      <c r="D821" s="7"/>
      <c r="E821" s="7"/>
      <c r="F821" s="7"/>
      <c r="G821" s="7"/>
      <c r="H821" s="7"/>
      <c r="I821" s="7"/>
      <c r="J821" s="7"/>
      <c r="K821" s="7"/>
      <c r="L821" s="7"/>
      <c r="M821" s="7"/>
      <c r="N821" s="7"/>
      <c r="O821" s="7"/>
      <c r="P821" s="7"/>
      <c r="Q821" s="7"/>
      <c r="R821" s="7"/>
      <c r="S821" s="7"/>
      <c r="T821" s="7"/>
      <c r="U821" s="7"/>
    </row>
    <row r="822" spans="1:21" x14ac:dyDescent="0.25">
      <c r="A822" s="7"/>
      <c r="B822" s="7"/>
      <c r="C822" s="7"/>
      <c r="D822" s="7"/>
      <c r="E822" s="7"/>
      <c r="F822" s="7"/>
      <c r="G822" s="7"/>
      <c r="H822" s="7"/>
      <c r="I822" s="7"/>
      <c r="J822" s="7"/>
      <c r="K822" s="7"/>
      <c r="L822" s="7"/>
      <c r="M822" s="7"/>
      <c r="N822" s="7"/>
      <c r="O822" s="7"/>
      <c r="P822" s="7"/>
      <c r="Q822" s="7"/>
      <c r="R822" s="7"/>
      <c r="S822" s="7"/>
      <c r="T822" s="7"/>
      <c r="U822" s="7"/>
    </row>
    <row r="823" spans="1:21" x14ac:dyDescent="0.25">
      <c r="A823" s="7"/>
      <c r="B823" s="7"/>
      <c r="C823" s="7"/>
      <c r="D823" s="7"/>
      <c r="E823" s="7"/>
      <c r="F823" s="7"/>
      <c r="G823" s="7"/>
      <c r="H823" s="7"/>
      <c r="I823" s="7"/>
      <c r="J823" s="7"/>
      <c r="K823" s="7"/>
      <c r="L823" s="7"/>
      <c r="M823" s="7"/>
      <c r="N823" s="7"/>
      <c r="O823" s="7"/>
      <c r="P823" s="7"/>
      <c r="Q823" s="7"/>
      <c r="R823" s="7"/>
      <c r="S823" s="7"/>
      <c r="T823" s="7"/>
      <c r="U823" s="7"/>
    </row>
    <row r="824" spans="1:21" x14ac:dyDescent="0.25">
      <c r="A824" s="7"/>
      <c r="B824" s="7"/>
      <c r="C824" s="7"/>
      <c r="D824" s="7"/>
      <c r="E824" s="7"/>
      <c r="F824" s="7"/>
      <c r="G824" s="7"/>
      <c r="H824" s="7"/>
      <c r="I824" s="7"/>
      <c r="J824" s="7"/>
      <c r="K824" s="7"/>
      <c r="L824" s="7"/>
      <c r="M824" s="7"/>
      <c r="N824" s="7"/>
      <c r="O824" s="7"/>
      <c r="P824" s="7"/>
      <c r="Q824" s="7"/>
      <c r="R824" s="7"/>
      <c r="S824" s="7"/>
      <c r="T824" s="7"/>
      <c r="U824" s="7"/>
    </row>
    <row r="825" spans="1:21" x14ac:dyDescent="0.25">
      <c r="A825" s="7"/>
      <c r="B825" s="7"/>
      <c r="C825" s="7"/>
      <c r="D825" s="7"/>
      <c r="E825" s="7"/>
      <c r="F825" s="7"/>
      <c r="G825" s="7"/>
      <c r="H825" s="7"/>
      <c r="I825" s="7"/>
      <c r="J825" s="7"/>
      <c r="K825" s="7"/>
      <c r="L825" s="7"/>
      <c r="M825" s="7"/>
      <c r="N825" s="7"/>
      <c r="O825" s="7"/>
      <c r="P825" s="7"/>
      <c r="Q825" s="7"/>
      <c r="R825" s="7"/>
      <c r="S825" s="7"/>
      <c r="T825" s="7"/>
      <c r="U825" s="7"/>
    </row>
    <row r="826" spans="1:21" x14ac:dyDescent="0.25">
      <c r="A826" s="7"/>
      <c r="B826" s="7"/>
      <c r="C826" s="7"/>
      <c r="D826" s="7"/>
      <c r="E826" s="7"/>
      <c r="F826" s="7"/>
      <c r="G826" s="7"/>
      <c r="H826" s="7"/>
      <c r="I826" s="7"/>
      <c r="J826" s="7"/>
      <c r="K826" s="7"/>
      <c r="L826" s="7"/>
      <c r="M826" s="7"/>
      <c r="N826" s="7"/>
      <c r="O826" s="7"/>
      <c r="P826" s="7"/>
      <c r="Q826" s="7"/>
      <c r="R826" s="7"/>
      <c r="S826" s="7"/>
      <c r="T826" s="7"/>
      <c r="U826" s="7"/>
    </row>
    <row r="827" spans="1:21" x14ac:dyDescent="0.25">
      <c r="A827" s="7"/>
      <c r="B827" s="7"/>
      <c r="C827" s="7"/>
      <c r="D827" s="7"/>
      <c r="E827" s="7"/>
      <c r="F827" s="7"/>
      <c r="G827" s="7"/>
      <c r="H827" s="7"/>
      <c r="I827" s="7"/>
      <c r="J827" s="7"/>
      <c r="K827" s="7"/>
      <c r="L827" s="7"/>
      <c r="M827" s="7"/>
      <c r="N827" s="7"/>
      <c r="O827" s="7"/>
      <c r="P827" s="7"/>
      <c r="Q827" s="7"/>
      <c r="R827" s="7"/>
      <c r="S827" s="7"/>
      <c r="T827" s="7"/>
      <c r="U827" s="7"/>
    </row>
    <row r="828" spans="1:21" x14ac:dyDescent="0.25">
      <c r="A828" s="7"/>
      <c r="B828" s="7"/>
      <c r="C828" s="7"/>
      <c r="D828" s="7"/>
      <c r="E828" s="7"/>
      <c r="F828" s="7"/>
      <c r="G828" s="7"/>
      <c r="H828" s="7"/>
      <c r="I828" s="7"/>
      <c r="J828" s="7"/>
      <c r="K828" s="7"/>
      <c r="L828" s="7"/>
      <c r="M828" s="7"/>
      <c r="N828" s="7"/>
      <c r="O828" s="7"/>
      <c r="P828" s="7"/>
      <c r="Q828" s="7"/>
      <c r="R828" s="7"/>
      <c r="S828" s="7"/>
      <c r="T828" s="7"/>
      <c r="U828" s="7"/>
    </row>
    <row r="829" spans="1:21" x14ac:dyDescent="0.25">
      <c r="A829" s="7"/>
      <c r="B829" s="7"/>
      <c r="C829" s="7"/>
      <c r="D829" s="7"/>
      <c r="E829" s="7"/>
      <c r="F829" s="7"/>
      <c r="G829" s="7"/>
      <c r="H829" s="7"/>
      <c r="I829" s="7"/>
      <c r="J829" s="7"/>
      <c r="K829" s="7"/>
      <c r="L829" s="7"/>
      <c r="M829" s="7"/>
      <c r="N829" s="7"/>
      <c r="O829" s="7"/>
      <c r="P829" s="7"/>
      <c r="Q829" s="7"/>
      <c r="R829" s="7"/>
      <c r="S829" s="7"/>
      <c r="T829" s="7"/>
      <c r="U829" s="7"/>
    </row>
    <row r="830" spans="1:21" x14ac:dyDescent="0.25">
      <c r="A830" s="7"/>
      <c r="B830" s="7"/>
      <c r="C830" s="7"/>
      <c r="D830" s="7"/>
      <c r="E830" s="7"/>
      <c r="F830" s="7"/>
      <c r="G830" s="7"/>
      <c r="H830" s="7"/>
      <c r="I830" s="7"/>
      <c r="J830" s="7"/>
      <c r="K830" s="7"/>
      <c r="L830" s="7"/>
      <c r="M830" s="7"/>
      <c r="N830" s="7"/>
      <c r="O830" s="7"/>
      <c r="P830" s="7"/>
      <c r="Q830" s="7"/>
      <c r="R830" s="7"/>
      <c r="S830" s="7"/>
      <c r="T830" s="7"/>
      <c r="U830" s="7"/>
    </row>
    <row r="831" spans="1:21" x14ac:dyDescent="0.25">
      <c r="A831" s="7"/>
      <c r="B831" s="7"/>
      <c r="C831" s="7"/>
      <c r="D831" s="7"/>
      <c r="E831" s="7"/>
      <c r="F831" s="7"/>
      <c r="G831" s="7"/>
      <c r="H831" s="7"/>
      <c r="I831" s="7"/>
      <c r="J831" s="7"/>
      <c r="K831" s="7"/>
      <c r="L831" s="7"/>
      <c r="M831" s="7"/>
      <c r="N831" s="7"/>
      <c r="O831" s="7"/>
      <c r="P831" s="7"/>
      <c r="Q831" s="7"/>
      <c r="R831" s="7"/>
      <c r="S831" s="7"/>
      <c r="T831" s="7"/>
      <c r="U831" s="7"/>
    </row>
    <row r="832" spans="1:21" x14ac:dyDescent="0.25">
      <c r="A832" s="7"/>
      <c r="B832" s="7"/>
      <c r="C832" s="7"/>
      <c r="D832" s="7"/>
      <c r="E832" s="7"/>
      <c r="F832" s="7"/>
      <c r="G832" s="7"/>
      <c r="H832" s="7"/>
      <c r="I832" s="7"/>
      <c r="J832" s="7"/>
      <c r="K832" s="7"/>
      <c r="L832" s="7"/>
      <c r="M832" s="7"/>
      <c r="N832" s="7"/>
      <c r="O832" s="7"/>
      <c r="P832" s="7"/>
      <c r="Q832" s="7"/>
      <c r="R832" s="7"/>
      <c r="S832" s="7"/>
      <c r="T832" s="7"/>
      <c r="U832" s="7"/>
    </row>
    <row r="833" spans="1:21" x14ac:dyDescent="0.25">
      <c r="A833" s="7"/>
      <c r="B833" s="7"/>
      <c r="C833" s="7"/>
      <c r="D833" s="7"/>
      <c r="E833" s="7"/>
      <c r="F833" s="7"/>
      <c r="G833" s="7"/>
      <c r="H833" s="7"/>
      <c r="I833" s="7"/>
      <c r="J833" s="7"/>
      <c r="K833" s="7"/>
      <c r="L833" s="7"/>
      <c r="M833" s="7"/>
      <c r="N833" s="7"/>
      <c r="O833" s="7"/>
      <c r="P833" s="7"/>
      <c r="Q833" s="7"/>
      <c r="R833" s="7"/>
      <c r="S833" s="7"/>
      <c r="T833" s="7"/>
      <c r="U833" s="7"/>
    </row>
    <row r="834" spans="1:21" x14ac:dyDescent="0.25">
      <c r="A834" s="7"/>
      <c r="B834" s="7"/>
      <c r="C834" s="7"/>
      <c r="D834" s="7"/>
      <c r="E834" s="7"/>
      <c r="F834" s="7"/>
      <c r="G834" s="7"/>
      <c r="H834" s="7"/>
      <c r="I834" s="7"/>
      <c r="J834" s="7"/>
      <c r="K834" s="7"/>
      <c r="L834" s="7"/>
      <c r="M834" s="7"/>
      <c r="N834" s="7"/>
      <c r="O834" s="7"/>
      <c r="P834" s="7"/>
      <c r="Q834" s="7"/>
      <c r="R834" s="7"/>
      <c r="S834" s="7"/>
      <c r="T834" s="7"/>
      <c r="U834" s="7"/>
    </row>
    <row r="835" spans="1:21" x14ac:dyDescent="0.25">
      <c r="A835" s="7"/>
      <c r="B835" s="7"/>
      <c r="C835" s="7"/>
      <c r="D835" s="7"/>
      <c r="E835" s="7"/>
      <c r="F835" s="7"/>
      <c r="G835" s="7"/>
      <c r="H835" s="7"/>
      <c r="I835" s="7"/>
      <c r="J835" s="7"/>
      <c r="K835" s="7"/>
      <c r="L835" s="7"/>
      <c r="M835" s="7"/>
      <c r="N835" s="7"/>
      <c r="O835" s="7"/>
      <c r="P835" s="7"/>
      <c r="Q835" s="7"/>
      <c r="R835" s="7"/>
      <c r="S835" s="7"/>
      <c r="T835" s="7"/>
      <c r="U835" s="7"/>
    </row>
    <row r="836" spans="1:21" x14ac:dyDescent="0.25">
      <c r="A836" s="7"/>
      <c r="B836" s="7"/>
      <c r="C836" s="7"/>
      <c r="D836" s="7"/>
      <c r="E836" s="7"/>
      <c r="F836" s="7"/>
      <c r="G836" s="7"/>
      <c r="H836" s="7"/>
      <c r="I836" s="7"/>
      <c r="J836" s="7"/>
      <c r="K836" s="7"/>
      <c r="L836" s="7"/>
      <c r="M836" s="7"/>
      <c r="N836" s="7"/>
      <c r="O836" s="7"/>
      <c r="P836" s="7"/>
      <c r="Q836" s="7"/>
      <c r="R836" s="7"/>
      <c r="S836" s="7"/>
      <c r="T836" s="7"/>
      <c r="U836" s="7"/>
    </row>
    <row r="837" spans="1:21" x14ac:dyDescent="0.25">
      <c r="A837" s="7"/>
      <c r="B837" s="7"/>
      <c r="C837" s="7"/>
      <c r="D837" s="7"/>
      <c r="E837" s="7"/>
      <c r="F837" s="7"/>
      <c r="G837" s="7"/>
      <c r="H837" s="7"/>
      <c r="I837" s="7"/>
      <c r="J837" s="7"/>
      <c r="K837" s="7"/>
      <c r="L837" s="7"/>
      <c r="M837" s="7"/>
      <c r="N837" s="7"/>
      <c r="O837" s="7"/>
      <c r="P837" s="7"/>
      <c r="Q837" s="7"/>
      <c r="R837" s="7"/>
      <c r="S837" s="7"/>
      <c r="T837" s="7"/>
      <c r="U837" s="7"/>
    </row>
    <row r="838" spans="1:21" x14ac:dyDescent="0.25">
      <c r="A838" s="7"/>
      <c r="B838" s="7"/>
      <c r="C838" s="7"/>
      <c r="D838" s="7"/>
      <c r="E838" s="7"/>
      <c r="F838" s="7"/>
      <c r="G838" s="7"/>
      <c r="H838" s="7"/>
      <c r="I838" s="7"/>
      <c r="J838" s="7"/>
      <c r="K838" s="7"/>
      <c r="L838" s="7"/>
      <c r="M838" s="7"/>
      <c r="N838" s="7"/>
      <c r="O838" s="7"/>
      <c r="P838" s="7"/>
      <c r="Q838" s="7"/>
      <c r="R838" s="7"/>
      <c r="S838" s="7"/>
      <c r="T838" s="7"/>
      <c r="U838" s="7"/>
    </row>
    <row r="839" spans="1:21" x14ac:dyDescent="0.25">
      <c r="A839" s="7"/>
      <c r="B839" s="7"/>
      <c r="C839" s="7"/>
      <c r="D839" s="7"/>
      <c r="E839" s="7"/>
      <c r="F839" s="7"/>
      <c r="G839" s="7"/>
      <c r="H839" s="7"/>
      <c r="I839" s="7"/>
      <c r="J839" s="7"/>
      <c r="K839" s="7"/>
      <c r="L839" s="7"/>
      <c r="M839" s="7"/>
      <c r="N839" s="7"/>
      <c r="O839" s="7"/>
      <c r="P839" s="7"/>
      <c r="Q839" s="7"/>
      <c r="R839" s="7"/>
      <c r="S839" s="7"/>
      <c r="T839" s="7"/>
      <c r="U839" s="7"/>
    </row>
    <row r="840" spans="1:21" x14ac:dyDescent="0.25">
      <c r="A840" s="7"/>
      <c r="B840" s="7"/>
      <c r="C840" s="7"/>
      <c r="D840" s="7"/>
      <c r="E840" s="7"/>
      <c r="F840" s="7"/>
      <c r="G840" s="7"/>
      <c r="H840" s="7"/>
      <c r="I840" s="7"/>
      <c r="J840" s="7"/>
      <c r="K840" s="7"/>
      <c r="L840" s="7"/>
      <c r="M840" s="7"/>
      <c r="N840" s="7"/>
      <c r="O840" s="7"/>
      <c r="P840" s="7"/>
      <c r="Q840" s="7"/>
      <c r="R840" s="7"/>
      <c r="S840" s="7"/>
      <c r="T840" s="7"/>
      <c r="U840" s="7"/>
    </row>
    <row r="841" spans="1:21" x14ac:dyDescent="0.25">
      <c r="A841" s="7"/>
      <c r="B841" s="7"/>
      <c r="C841" s="7"/>
      <c r="D841" s="7"/>
      <c r="E841" s="7"/>
      <c r="F841" s="7"/>
      <c r="G841" s="7"/>
      <c r="H841" s="7"/>
      <c r="I841" s="7"/>
      <c r="J841" s="7"/>
      <c r="K841" s="7"/>
      <c r="L841" s="7"/>
      <c r="M841" s="7"/>
      <c r="N841" s="7"/>
      <c r="O841" s="7"/>
      <c r="P841" s="7"/>
      <c r="Q841" s="7"/>
      <c r="R841" s="7"/>
      <c r="S841" s="7"/>
      <c r="T841" s="7"/>
      <c r="U841" s="7"/>
    </row>
    <row r="842" spans="1:21" x14ac:dyDescent="0.25">
      <c r="A842" s="7"/>
      <c r="B842" s="7"/>
      <c r="C842" s="7"/>
      <c r="D842" s="7"/>
      <c r="E842" s="7"/>
      <c r="F842" s="7"/>
      <c r="G842" s="7"/>
      <c r="H842" s="7"/>
      <c r="I842" s="7"/>
      <c r="J842" s="7"/>
      <c r="K842" s="7"/>
      <c r="L842" s="7"/>
      <c r="M842" s="7"/>
      <c r="N842" s="7"/>
      <c r="O842" s="7"/>
      <c r="P842" s="7"/>
      <c r="Q842" s="7"/>
      <c r="R842" s="7"/>
      <c r="S842" s="7"/>
      <c r="T842" s="7"/>
      <c r="U842" s="7"/>
    </row>
    <row r="843" spans="1:21" x14ac:dyDescent="0.25">
      <c r="A843" s="7"/>
      <c r="B843" s="7"/>
      <c r="C843" s="7"/>
      <c r="D843" s="7"/>
      <c r="E843" s="7"/>
      <c r="F843" s="7"/>
      <c r="G843" s="7"/>
      <c r="H843" s="7"/>
      <c r="I843" s="7"/>
      <c r="J843" s="7"/>
      <c r="K843" s="7"/>
      <c r="L843" s="7"/>
      <c r="M843" s="7"/>
      <c r="N843" s="7"/>
      <c r="O843" s="7"/>
      <c r="P843" s="7"/>
      <c r="Q843" s="7"/>
      <c r="R843" s="7"/>
      <c r="S843" s="7"/>
      <c r="T843" s="7"/>
      <c r="U843" s="7"/>
    </row>
    <row r="844" spans="1:21" x14ac:dyDescent="0.25">
      <c r="A844" s="7"/>
      <c r="B844" s="7"/>
      <c r="C844" s="7"/>
      <c r="D844" s="7"/>
      <c r="E844" s="7"/>
      <c r="F844" s="7"/>
      <c r="G844" s="7"/>
      <c r="H844" s="7"/>
      <c r="I844" s="7"/>
      <c r="J844" s="7"/>
      <c r="K844" s="7"/>
      <c r="L844" s="7"/>
      <c r="M844" s="7"/>
      <c r="N844" s="7"/>
      <c r="O844" s="7"/>
      <c r="P844" s="7"/>
      <c r="Q844" s="7"/>
      <c r="R844" s="7"/>
      <c r="S844" s="7"/>
      <c r="T844" s="7"/>
      <c r="U844" s="7"/>
    </row>
    <row r="845" spans="1:21" x14ac:dyDescent="0.25">
      <c r="A845" s="7"/>
      <c r="B845" s="7"/>
      <c r="C845" s="7"/>
      <c r="D845" s="7"/>
      <c r="E845" s="7"/>
      <c r="F845" s="7"/>
      <c r="G845" s="7"/>
      <c r="H845" s="7"/>
      <c r="I845" s="7"/>
      <c r="J845" s="7"/>
      <c r="K845" s="7"/>
      <c r="L845" s="7"/>
      <c r="M845" s="7"/>
      <c r="N845" s="7"/>
      <c r="O845" s="7"/>
      <c r="P845" s="7"/>
      <c r="Q845" s="7"/>
      <c r="R845" s="7"/>
      <c r="S845" s="7"/>
      <c r="T845" s="7"/>
      <c r="U845" s="7"/>
    </row>
    <row r="846" spans="1:21" x14ac:dyDescent="0.25">
      <c r="A846" s="7"/>
      <c r="B846" s="7"/>
      <c r="C846" s="7"/>
      <c r="D846" s="7"/>
      <c r="E846" s="7"/>
      <c r="F846" s="7"/>
      <c r="G846" s="7"/>
      <c r="H846" s="7"/>
      <c r="I846" s="7"/>
      <c r="J846" s="7"/>
      <c r="K846" s="7"/>
      <c r="L846" s="7"/>
      <c r="M846" s="7"/>
      <c r="N846" s="7"/>
      <c r="O846" s="7"/>
      <c r="P846" s="7"/>
      <c r="Q846" s="7"/>
      <c r="R846" s="7"/>
      <c r="S846" s="7"/>
      <c r="T846" s="7"/>
      <c r="U846" s="7"/>
    </row>
    <row r="847" spans="1:21" x14ac:dyDescent="0.25">
      <c r="A847" s="7"/>
      <c r="B847" s="7"/>
      <c r="C847" s="7"/>
      <c r="D847" s="7"/>
      <c r="E847" s="7"/>
      <c r="F847" s="7"/>
      <c r="G847" s="7"/>
      <c r="H847" s="7"/>
      <c r="I847" s="7"/>
      <c r="J847" s="7"/>
      <c r="K847" s="7"/>
      <c r="L847" s="7"/>
      <c r="M847" s="7"/>
      <c r="N847" s="7"/>
      <c r="O847" s="7"/>
      <c r="P847" s="7"/>
      <c r="Q847" s="7"/>
      <c r="R847" s="7"/>
      <c r="S847" s="7"/>
      <c r="T847" s="7"/>
      <c r="U847" s="7"/>
    </row>
    <row r="848" spans="1:21" x14ac:dyDescent="0.25">
      <c r="A848" s="7"/>
      <c r="B848" s="7"/>
      <c r="C848" s="7"/>
      <c r="D848" s="7"/>
      <c r="E848" s="7"/>
      <c r="F848" s="7"/>
      <c r="G848" s="7"/>
      <c r="H848" s="7"/>
      <c r="I848" s="7"/>
      <c r="J848" s="7"/>
      <c r="K848" s="7"/>
      <c r="L848" s="7"/>
      <c r="M848" s="7"/>
      <c r="N848" s="7"/>
      <c r="O848" s="7"/>
      <c r="P848" s="7"/>
      <c r="Q848" s="7"/>
      <c r="R848" s="7"/>
      <c r="S848" s="7"/>
      <c r="T848" s="7"/>
      <c r="U848" s="7"/>
    </row>
    <row r="849" spans="1:21" x14ac:dyDescent="0.25">
      <c r="A849" s="7"/>
      <c r="B849" s="7"/>
      <c r="C849" s="7"/>
      <c r="D849" s="7"/>
      <c r="E849" s="7"/>
      <c r="F849" s="7"/>
      <c r="G849" s="7"/>
      <c r="H849" s="7"/>
      <c r="I849" s="7"/>
      <c r="J849" s="7"/>
      <c r="K849" s="7"/>
      <c r="L849" s="7"/>
      <c r="M849" s="7"/>
      <c r="N849" s="7"/>
      <c r="O849" s="7"/>
      <c r="P849" s="7"/>
      <c r="Q849" s="7"/>
      <c r="R849" s="7"/>
      <c r="S849" s="7"/>
      <c r="T849" s="7"/>
      <c r="U849" s="7"/>
    </row>
    <row r="850" spans="1:21" x14ac:dyDescent="0.25">
      <c r="A850" s="7"/>
      <c r="B850" s="7"/>
      <c r="C850" s="7"/>
      <c r="D850" s="7"/>
      <c r="E850" s="7"/>
      <c r="F850" s="7"/>
      <c r="G850" s="7"/>
      <c r="H850" s="7"/>
      <c r="I850" s="7"/>
      <c r="J850" s="7"/>
      <c r="K850" s="7"/>
      <c r="L850" s="7"/>
      <c r="M850" s="7"/>
      <c r="N850" s="7"/>
      <c r="O850" s="7"/>
      <c r="P850" s="7"/>
      <c r="Q850" s="7"/>
      <c r="R850" s="7"/>
      <c r="S850" s="7"/>
      <c r="T850" s="7"/>
      <c r="U850" s="7"/>
    </row>
    <row r="851" spans="1:21" x14ac:dyDescent="0.25">
      <c r="A851" s="7"/>
      <c r="B851" s="7"/>
      <c r="C851" s="7"/>
      <c r="D851" s="7"/>
      <c r="E851" s="7"/>
      <c r="F851" s="7"/>
      <c r="G851" s="7"/>
      <c r="H851" s="7"/>
      <c r="I851" s="7"/>
      <c r="J851" s="7"/>
      <c r="K851" s="7"/>
      <c r="L851" s="7"/>
      <c r="M851" s="7"/>
      <c r="N851" s="7"/>
      <c r="O851" s="7"/>
      <c r="P851" s="7"/>
      <c r="Q851" s="7"/>
      <c r="R851" s="7"/>
      <c r="S851" s="7"/>
      <c r="T851" s="7"/>
      <c r="U851" s="7"/>
    </row>
    <row r="852" spans="1:21" x14ac:dyDescent="0.25">
      <c r="A852" s="7"/>
      <c r="B852" s="7"/>
      <c r="C852" s="7"/>
      <c r="D852" s="7"/>
      <c r="E852" s="7"/>
      <c r="F852" s="7"/>
      <c r="G852" s="7"/>
      <c r="H852" s="7"/>
      <c r="I852" s="7"/>
      <c r="J852" s="7"/>
      <c r="K852" s="7"/>
      <c r="L852" s="7"/>
      <c r="M852" s="7"/>
      <c r="N852" s="7"/>
      <c r="O852" s="7"/>
      <c r="P852" s="7"/>
      <c r="Q852" s="7"/>
      <c r="R852" s="7"/>
      <c r="S852" s="7"/>
      <c r="T852" s="7"/>
      <c r="U852" s="7"/>
    </row>
    <row r="853" spans="1:21" x14ac:dyDescent="0.25">
      <c r="A853" s="7"/>
      <c r="B853" s="7"/>
      <c r="C853" s="7"/>
      <c r="D853" s="7"/>
      <c r="E853" s="7"/>
      <c r="F853" s="7"/>
      <c r="G853" s="7"/>
      <c r="H853" s="7"/>
      <c r="I853" s="7"/>
      <c r="J853" s="7"/>
      <c r="K853" s="7"/>
      <c r="L853" s="7"/>
      <c r="M853" s="7"/>
      <c r="N853" s="7"/>
      <c r="O853" s="7"/>
      <c r="P853" s="7"/>
      <c r="Q853" s="7"/>
      <c r="R853" s="7"/>
      <c r="S853" s="7"/>
      <c r="T853" s="7"/>
      <c r="U853" s="7"/>
    </row>
    <row r="854" spans="1:21" x14ac:dyDescent="0.25">
      <c r="A854" s="7"/>
      <c r="B854" s="7"/>
      <c r="C854" s="7"/>
      <c r="D854" s="7"/>
      <c r="E854" s="7"/>
      <c r="F854" s="7"/>
      <c r="G854" s="7"/>
      <c r="H854" s="7"/>
      <c r="I854" s="7"/>
      <c r="J854" s="7"/>
      <c r="K854" s="7"/>
      <c r="L854" s="7"/>
      <c r="M854" s="7"/>
      <c r="N854" s="7"/>
      <c r="O854" s="7"/>
      <c r="P854" s="7"/>
      <c r="Q854" s="7"/>
      <c r="R854" s="7"/>
      <c r="S854" s="7"/>
      <c r="T854" s="7"/>
      <c r="U854" s="7"/>
    </row>
    <row r="855" spans="1:21" x14ac:dyDescent="0.25">
      <c r="A855" s="7"/>
      <c r="B855" s="7"/>
      <c r="C855" s="7"/>
      <c r="D855" s="7"/>
      <c r="E855" s="7"/>
      <c r="F855" s="7"/>
      <c r="G855" s="7"/>
      <c r="H855" s="7"/>
      <c r="I855" s="7"/>
      <c r="J855" s="7"/>
      <c r="K855" s="7"/>
      <c r="L855" s="7"/>
      <c r="M855" s="7"/>
      <c r="N855" s="7"/>
      <c r="O855" s="7"/>
      <c r="P855" s="7"/>
      <c r="Q855" s="7"/>
      <c r="R855" s="7"/>
      <c r="S855" s="7"/>
      <c r="T855" s="7"/>
      <c r="U855" s="7"/>
    </row>
    <row r="856" spans="1:21" x14ac:dyDescent="0.25">
      <c r="A856" s="7"/>
      <c r="B856" s="7"/>
      <c r="C856" s="7"/>
      <c r="D856" s="7"/>
      <c r="E856" s="7"/>
      <c r="F856" s="7"/>
      <c r="G856" s="7"/>
      <c r="H856" s="7"/>
      <c r="I856" s="7"/>
      <c r="J856" s="7"/>
      <c r="K856" s="7"/>
      <c r="L856" s="7"/>
      <c r="M856" s="7"/>
      <c r="N856" s="7"/>
      <c r="O856" s="7"/>
      <c r="P856" s="7"/>
      <c r="Q856" s="7"/>
      <c r="R856" s="7"/>
      <c r="S856" s="7"/>
      <c r="T856" s="7"/>
      <c r="U856" s="7"/>
    </row>
    <row r="857" spans="1:21" x14ac:dyDescent="0.25">
      <c r="A857" s="7"/>
      <c r="B857" s="7"/>
      <c r="C857" s="7"/>
      <c r="D857" s="7"/>
      <c r="E857" s="7"/>
      <c r="F857" s="7"/>
      <c r="G857" s="7"/>
      <c r="H857" s="7"/>
      <c r="I857" s="7"/>
      <c r="J857" s="7"/>
      <c r="K857" s="7"/>
      <c r="L857" s="7"/>
      <c r="M857" s="7"/>
      <c r="N857" s="7"/>
      <c r="O857" s="7"/>
      <c r="P857" s="7"/>
      <c r="Q857" s="7"/>
      <c r="R857" s="7"/>
      <c r="S857" s="7"/>
      <c r="T857" s="7"/>
      <c r="U857" s="7"/>
    </row>
    <row r="858" spans="1:21" x14ac:dyDescent="0.25">
      <c r="A858" s="7"/>
      <c r="B858" s="7"/>
      <c r="C858" s="7"/>
      <c r="D858" s="7"/>
      <c r="E858" s="7"/>
      <c r="F858" s="7"/>
      <c r="G858" s="7"/>
      <c r="H858" s="7"/>
      <c r="I858" s="7"/>
      <c r="J858" s="7"/>
      <c r="K858" s="7"/>
      <c r="L858" s="7"/>
      <c r="M858" s="7"/>
      <c r="N858" s="7"/>
      <c r="O858" s="7"/>
      <c r="P858" s="7"/>
      <c r="Q858" s="7"/>
      <c r="R858" s="7"/>
      <c r="S858" s="7"/>
      <c r="T858" s="7"/>
      <c r="U858" s="7"/>
    </row>
    <row r="859" spans="1:21" x14ac:dyDescent="0.25">
      <c r="A859" s="7"/>
      <c r="B859" s="7"/>
      <c r="C859" s="7"/>
      <c r="D859" s="7"/>
      <c r="E859" s="7"/>
      <c r="F859" s="7"/>
      <c r="G859" s="7"/>
      <c r="H859" s="7"/>
      <c r="I859" s="7"/>
      <c r="J859" s="7"/>
      <c r="K859" s="7"/>
      <c r="L859" s="7"/>
      <c r="M859" s="7"/>
      <c r="N859" s="7"/>
      <c r="O859" s="7"/>
      <c r="P859" s="7"/>
      <c r="Q859" s="7"/>
      <c r="R859" s="7"/>
      <c r="S859" s="7"/>
      <c r="T859" s="7"/>
      <c r="U859" s="7"/>
    </row>
    <row r="860" spans="1:21" x14ac:dyDescent="0.25">
      <c r="A860" s="7"/>
      <c r="B860" s="7"/>
      <c r="C860" s="7"/>
      <c r="D860" s="7"/>
      <c r="E860" s="7"/>
      <c r="F860" s="7"/>
      <c r="G860" s="7"/>
      <c r="H860" s="7"/>
      <c r="I860" s="7"/>
      <c r="J860" s="7"/>
      <c r="K860" s="7"/>
      <c r="L860" s="7"/>
      <c r="M860" s="7"/>
      <c r="N860" s="7"/>
      <c r="O860" s="7"/>
      <c r="P860" s="7"/>
      <c r="Q860" s="7"/>
      <c r="R860" s="7"/>
      <c r="S860" s="7"/>
      <c r="T860" s="7"/>
      <c r="U860" s="7"/>
    </row>
    <row r="861" spans="1:21" x14ac:dyDescent="0.25">
      <c r="A861" s="7"/>
      <c r="B861" s="7"/>
      <c r="C861" s="7"/>
      <c r="D861" s="7"/>
      <c r="E861" s="7"/>
      <c r="F861" s="7"/>
      <c r="G861" s="7"/>
      <c r="H861" s="7"/>
      <c r="I861" s="7"/>
      <c r="J861" s="7"/>
      <c r="K861" s="7"/>
      <c r="L861" s="7"/>
      <c r="M861" s="7"/>
      <c r="N861" s="7"/>
      <c r="O861" s="7"/>
      <c r="P861" s="7"/>
      <c r="Q861" s="7"/>
      <c r="R861" s="7"/>
      <c r="S861" s="7"/>
      <c r="T861" s="7"/>
      <c r="U861" s="7"/>
    </row>
    <row r="862" spans="1:21" x14ac:dyDescent="0.25">
      <c r="A862" s="7"/>
      <c r="B862" s="7"/>
      <c r="C862" s="7"/>
      <c r="D862" s="7"/>
      <c r="E862" s="7"/>
      <c r="F862" s="7"/>
      <c r="G862" s="7"/>
      <c r="H862" s="7"/>
      <c r="I862" s="7"/>
      <c r="J862" s="7"/>
      <c r="K862" s="7"/>
      <c r="L862" s="7"/>
      <c r="M862" s="7"/>
      <c r="N862" s="7"/>
      <c r="O862" s="7"/>
      <c r="P862" s="7"/>
      <c r="Q862" s="7"/>
      <c r="R862" s="7"/>
      <c r="S862" s="7"/>
      <c r="T862" s="7"/>
      <c r="U862" s="7"/>
    </row>
    <row r="863" spans="1:21" x14ac:dyDescent="0.25">
      <c r="A863" s="7"/>
      <c r="B863" s="7"/>
      <c r="C863" s="7"/>
      <c r="D863" s="7"/>
      <c r="E863" s="7"/>
      <c r="F863" s="7"/>
      <c r="G863" s="7"/>
      <c r="H863" s="7"/>
      <c r="I863" s="7"/>
      <c r="J863" s="7"/>
      <c r="K863" s="7"/>
      <c r="L863" s="7"/>
      <c r="M863" s="7"/>
      <c r="N863" s="7"/>
      <c r="O863" s="7"/>
      <c r="P863" s="7"/>
      <c r="Q863" s="7"/>
      <c r="R863" s="7"/>
      <c r="S863" s="7"/>
      <c r="T863" s="7"/>
      <c r="U863" s="7"/>
    </row>
    <row r="864" spans="1:21" x14ac:dyDescent="0.25">
      <c r="A864" s="7"/>
      <c r="B864" s="7"/>
      <c r="C864" s="7"/>
      <c r="D864" s="7"/>
      <c r="E864" s="7"/>
      <c r="F864" s="7"/>
      <c r="G864" s="7"/>
      <c r="H864" s="7"/>
      <c r="I864" s="7"/>
      <c r="J864" s="7"/>
      <c r="K864" s="7"/>
      <c r="L864" s="7"/>
      <c r="M864" s="7"/>
      <c r="N864" s="7"/>
      <c r="O864" s="7"/>
      <c r="P864" s="7"/>
      <c r="Q864" s="7"/>
      <c r="R864" s="7"/>
      <c r="S864" s="7"/>
      <c r="T864" s="7"/>
      <c r="U864" s="7"/>
    </row>
    <row r="865" spans="1:21" x14ac:dyDescent="0.25">
      <c r="A865" s="7"/>
      <c r="B865" s="7"/>
      <c r="C865" s="7"/>
      <c r="D865" s="7"/>
      <c r="E865" s="7"/>
      <c r="F865" s="7"/>
      <c r="G865" s="7"/>
      <c r="H865" s="7"/>
      <c r="I865" s="7"/>
      <c r="J865" s="7"/>
      <c r="K865" s="7"/>
      <c r="L865" s="7"/>
      <c r="M865" s="7"/>
      <c r="N865" s="7"/>
      <c r="O865" s="7"/>
      <c r="P865" s="7"/>
      <c r="Q865" s="7"/>
      <c r="R865" s="7"/>
      <c r="S865" s="7"/>
      <c r="T865" s="7"/>
      <c r="U865" s="7"/>
    </row>
    <row r="866" spans="1:21" x14ac:dyDescent="0.25">
      <c r="A866" s="7"/>
      <c r="B866" s="7"/>
      <c r="C866" s="7"/>
      <c r="D866" s="7"/>
      <c r="E866" s="7"/>
      <c r="F866" s="7"/>
      <c r="G866" s="7"/>
      <c r="H866" s="7"/>
      <c r="I866" s="7"/>
      <c r="J866" s="7"/>
      <c r="K866" s="7"/>
      <c r="L866" s="7"/>
      <c r="M866" s="7"/>
      <c r="N866" s="7"/>
      <c r="O866" s="7"/>
      <c r="P866" s="7"/>
      <c r="Q866" s="7"/>
      <c r="R866" s="7"/>
      <c r="S866" s="7"/>
      <c r="T866" s="7"/>
      <c r="U866" s="7"/>
    </row>
    <row r="867" spans="1:21" x14ac:dyDescent="0.25">
      <c r="A867" s="7"/>
      <c r="B867" s="7"/>
      <c r="C867" s="7"/>
      <c r="D867" s="7"/>
      <c r="E867" s="7"/>
      <c r="F867" s="7"/>
      <c r="G867" s="7"/>
      <c r="H867" s="7"/>
      <c r="I867" s="7"/>
      <c r="J867" s="7"/>
      <c r="K867" s="7"/>
      <c r="L867" s="7"/>
      <c r="M867" s="7"/>
      <c r="N867" s="7"/>
      <c r="O867" s="7"/>
      <c r="P867" s="7"/>
      <c r="Q867" s="7"/>
      <c r="R867" s="7"/>
      <c r="S867" s="7"/>
      <c r="T867" s="7"/>
      <c r="U867" s="7"/>
    </row>
    <row r="868" spans="1:21" x14ac:dyDescent="0.25">
      <c r="A868" s="7"/>
      <c r="B868" s="7"/>
      <c r="C868" s="7"/>
      <c r="D868" s="7"/>
      <c r="E868" s="7"/>
      <c r="F868" s="7"/>
      <c r="G868" s="7"/>
      <c r="H868" s="7"/>
      <c r="I868" s="7"/>
      <c r="J868" s="7"/>
      <c r="K868" s="7"/>
      <c r="L868" s="7"/>
      <c r="M868" s="7"/>
      <c r="N868" s="7"/>
      <c r="O868" s="7"/>
      <c r="P868" s="7"/>
      <c r="Q868" s="7"/>
      <c r="R868" s="7"/>
      <c r="S868" s="7"/>
      <c r="T868" s="7"/>
      <c r="U868" s="7"/>
    </row>
    <row r="869" spans="1:21" x14ac:dyDescent="0.25">
      <c r="A869" s="7"/>
      <c r="B869" s="7"/>
      <c r="C869" s="7"/>
      <c r="D869" s="7"/>
      <c r="E869" s="7"/>
      <c r="F869" s="7"/>
      <c r="G869" s="7"/>
      <c r="H869" s="7"/>
      <c r="I869" s="7"/>
      <c r="J869" s="7"/>
      <c r="K869" s="7"/>
      <c r="L869" s="7"/>
      <c r="M869" s="7"/>
      <c r="N869" s="7"/>
      <c r="O869" s="7"/>
      <c r="P869" s="7"/>
      <c r="Q869" s="7"/>
      <c r="R869" s="7"/>
      <c r="S869" s="7"/>
      <c r="T869" s="7"/>
      <c r="U869" s="7"/>
    </row>
    <row r="870" spans="1:21" x14ac:dyDescent="0.25">
      <c r="A870" s="7"/>
      <c r="B870" s="7"/>
      <c r="C870" s="7"/>
      <c r="D870" s="7"/>
      <c r="E870" s="7"/>
      <c r="F870" s="7"/>
      <c r="G870" s="7"/>
      <c r="H870" s="7"/>
      <c r="I870" s="7"/>
      <c r="J870" s="7"/>
      <c r="K870" s="7"/>
      <c r="L870" s="7"/>
      <c r="M870" s="7"/>
      <c r="N870" s="7"/>
      <c r="O870" s="7"/>
      <c r="P870" s="7"/>
      <c r="Q870" s="7"/>
      <c r="R870" s="7"/>
      <c r="S870" s="7"/>
      <c r="T870" s="7"/>
      <c r="U870" s="7"/>
    </row>
    <row r="871" spans="1:21" x14ac:dyDescent="0.25">
      <c r="A871" s="7"/>
      <c r="B871" s="7"/>
      <c r="C871" s="7"/>
      <c r="D871" s="7"/>
      <c r="E871" s="7"/>
      <c r="F871" s="7"/>
      <c r="G871" s="7"/>
      <c r="H871" s="7"/>
      <c r="I871" s="7"/>
      <c r="J871" s="7"/>
      <c r="K871" s="7"/>
      <c r="L871" s="7"/>
      <c r="M871" s="7"/>
      <c r="N871" s="7"/>
      <c r="O871" s="7"/>
      <c r="P871" s="7"/>
      <c r="Q871" s="7"/>
      <c r="R871" s="7"/>
      <c r="S871" s="7"/>
      <c r="T871" s="7"/>
      <c r="U871" s="7"/>
    </row>
    <row r="872" spans="1:21" x14ac:dyDescent="0.25">
      <c r="A872" s="7"/>
      <c r="B872" s="7"/>
      <c r="C872" s="7"/>
      <c r="D872" s="7"/>
      <c r="E872" s="7"/>
      <c r="F872" s="7"/>
      <c r="G872" s="7"/>
      <c r="H872" s="7"/>
      <c r="I872" s="7"/>
      <c r="J872" s="7"/>
      <c r="K872" s="7"/>
      <c r="L872" s="7"/>
      <c r="M872" s="7"/>
      <c r="N872" s="7"/>
      <c r="O872" s="7"/>
      <c r="P872" s="7"/>
      <c r="Q872" s="7"/>
      <c r="R872" s="7"/>
      <c r="S872" s="7"/>
      <c r="T872" s="7"/>
      <c r="U872" s="7"/>
    </row>
    <row r="873" spans="1:21" x14ac:dyDescent="0.25">
      <c r="A873" s="7"/>
      <c r="B873" s="7"/>
      <c r="C873" s="7"/>
      <c r="D873" s="7"/>
      <c r="E873" s="7"/>
      <c r="F873" s="7"/>
      <c r="G873" s="7"/>
      <c r="H873" s="7"/>
      <c r="I873" s="7"/>
      <c r="J873" s="7"/>
      <c r="K873" s="7"/>
      <c r="L873" s="7"/>
      <c r="M873" s="7"/>
      <c r="N873" s="7"/>
      <c r="O873" s="7"/>
      <c r="P873" s="7"/>
      <c r="Q873" s="7"/>
      <c r="R873" s="7"/>
      <c r="S873" s="7"/>
      <c r="T873" s="7"/>
      <c r="U873" s="7"/>
    </row>
    <row r="874" spans="1:21" x14ac:dyDescent="0.25">
      <c r="A874" s="7"/>
      <c r="B874" s="7"/>
      <c r="C874" s="7"/>
      <c r="D874" s="7"/>
      <c r="E874" s="7"/>
      <c r="F874" s="7"/>
      <c r="G874" s="7"/>
      <c r="H874" s="7"/>
      <c r="I874" s="7"/>
      <c r="J874" s="7"/>
      <c r="K874" s="7"/>
      <c r="L874" s="7"/>
      <c r="M874" s="7"/>
      <c r="N874" s="7"/>
      <c r="O874" s="7"/>
      <c r="P874" s="7"/>
      <c r="Q874" s="7"/>
      <c r="R874" s="7"/>
      <c r="S874" s="7"/>
      <c r="T874" s="7"/>
      <c r="U874" s="7"/>
    </row>
    <row r="875" spans="1:21" x14ac:dyDescent="0.25">
      <c r="A875" s="7"/>
      <c r="B875" s="7"/>
      <c r="C875" s="7"/>
      <c r="D875" s="7"/>
      <c r="E875" s="7"/>
      <c r="F875" s="7"/>
      <c r="G875" s="7"/>
      <c r="H875" s="7"/>
      <c r="I875" s="7"/>
      <c r="J875" s="7"/>
      <c r="K875" s="7"/>
      <c r="L875" s="7"/>
      <c r="M875" s="7"/>
      <c r="N875" s="7"/>
      <c r="O875" s="7"/>
      <c r="P875" s="7"/>
      <c r="Q875" s="7"/>
      <c r="R875" s="7"/>
      <c r="S875" s="7"/>
      <c r="T875" s="7"/>
      <c r="U875" s="7"/>
    </row>
    <row r="876" spans="1:21" x14ac:dyDescent="0.25">
      <c r="A876" s="7"/>
      <c r="B876" s="7"/>
      <c r="C876" s="7"/>
      <c r="D876" s="7"/>
      <c r="E876" s="7"/>
      <c r="F876" s="7"/>
      <c r="G876" s="7"/>
      <c r="H876" s="7"/>
      <c r="I876" s="7"/>
      <c r="J876" s="7"/>
      <c r="K876" s="7"/>
      <c r="L876" s="7"/>
      <c r="M876" s="7"/>
      <c r="N876" s="7"/>
      <c r="O876" s="7"/>
      <c r="P876" s="7"/>
      <c r="Q876" s="7"/>
      <c r="R876" s="7"/>
      <c r="S876" s="7"/>
      <c r="T876" s="7"/>
      <c r="U876" s="7"/>
    </row>
    <row r="877" spans="1:21" x14ac:dyDescent="0.25">
      <c r="A877" s="7"/>
      <c r="B877" s="7"/>
      <c r="C877" s="7"/>
      <c r="D877" s="7"/>
      <c r="E877" s="7"/>
      <c r="F877" s="7"/>
      <c r="G877" s="7"/>
      <c r="H877" s="7"/>
      <c r="I877" s="7"/>
      <c r="J877" s="7"/>
      <c r="K877" s="7"/>
      <c r="L877" s="7"/>
      <c r="M877" s="7"/>
      <c r="N877" s="7"/>
      <c r="O877" s="7"/>
      <c r="P877" s="7"/>
      <c r="Q877" s="7"/>
      <c r="R877" s="7"/>
      <c r="S877" s="7"/>
      <c r="T877" s="7"/>
      <c r="U877" s="7"/>
    </row>
    <row r="878" spans="1:21" x14ac:dyDescent="0.25">
      <c r="A878" s="7"/>
      <c r="B878" s="7"/>
      <c r="C878" s="7"/>
      <c r="D878" s="7"/>
      <c r="E878" s="7"/>
      <c r="F878" s="7"/>
      <c r="G878" s="7"/>
      <c r="H878" s="7"/>
      <c r="I878" s="7"/>
      <c r="J878" s="7"/>
      <c r="K878" s="7"/>
      <c r="L878" s="7"/>
      <c r="M878" s="7"/>
      <c r="N878" s="7"/>
      <c r="O878" s="7"/>
      <c r="P878" s="7"/>
      <c r="Q878" s="7"/>
      <c r="R878" s="7"/>
      <c r="S878" s="7"/>
      <c r="T878" s="7"/>
      <c r="U878" s="7"/>
    </row>
    <row r="879" spans="1:21" x14ac:dyDescent="0.25">
      <c r="A879" s="7"/>
      <c r="B879" s="7"/>
      <c r="C879" s="7"/>
      <c r="D879" s="7"/>
      <c r="E879" s="7"/>
      <c r="F879" s="7"/>
      <c r="G879" s="7"/>
      <c r="H879" s="7"/>
      <c r="I879" s="7"/>
      <c r="J879" s="7"/>
      <c r="K879" s="7"/>
      <c r="L879" s="7"/>
      <c r="M879" s="7"/>
      <c r="N879" s="7"/>
      <c r="O879" s="7"/>
      <c r="P879" s="7"/>
      <c r="Q879" s="7"/>
      <c r="R879" s="7"/>
      <c r="S879" s="7"/>
      <c r="T879" s="7"/>
      <c r="U879" s="7"/>
    </row>
    <row r="880" spans="1:21" x14ac:dyDescent="0.25">
      <c r="A880" s="7"/>
      <c r="B880" s="7"/>
      <c r="C880" s="7"/>
      <c r="D880" s="7"/>
      <c r="E880" s="7"/>
      <c r="F880" s="7"/>
      <c r="G880" s="7"/>
      <c r="H880" s="7"/>
      <c r="I880" s="7"/>
      <c r="J880" s="7"/>
      <c r="K880" s="7"/>
      <c r="L880" s="7"/>
      <c r="M880" s="7"/>
      <c r="N880" s="7"/>
      <c r="O880" s="7"/>
      <c r="P880" s="7"/>
      <c r="Q880" s="7"/>
      <c r="R880" s="7"/>
      <c r="S880" s="7"/>
      <c r="T880" s="7"/>
      <c r="U880" s="7"/>
    </row>
    <row r="881" spans="1:21" x14ac:dyDescent="0.25">
      <c r="A881" s="7"/>
      <c r="B881" s="7"/>
      <c r="C881" s="7"/>
      <c r="D881" s="7"/>
      <c r="E881" s="7"/>
      <c r="F881" s="7"/>
      <c r="G881" s="7"/>
      <c r="H881" s="7"/>
      <c r="I881" s="7"/>
      <c r="J881" s="7"/>
      <c r="K881" s="7"/>
      <c r="L881" s="7"/>
      <c r="M881" s="7"/>
      <c r="N881" s="7"/>
      <c r="O881" s="7"/>
      <c r="P881" s="7"/>
      <c r="Q881" s="7"/>
      <c r="R881" s="7"/>
      <c r="S881" s="7"/>
      <c r="T881" s="7"/>
      <c r="U881" s="7"/>
    </row>
    <row r="882" spans="1:21" x14ac:dyDescent="0.25">
      <c r="A882" s="7"/>
      <c r="B882" s="7"/>
      <c r="C882" s="7"/>
      <c r="D882" s="7"/>
      <c r="E882" s="7"/>
      <c r="F882" s="7"/>
      <c r="G882" s="7"/>
      <c r="H882" s="7"/>
      <c r="I882" s="7"/>
      <c r="J882" s="7"/>
      <c r="K882" s="7"/>
      <c r="L882" s="7"/>
      <c r="M882" s="7"/>
      <c r="N882" s="7"/>
      <c r="O882" s="7"/>
      <c r="P882" s="7"/>
      <c r="Q882" s="7"/>
      <c r="R882" s="7"/>
      <c r="S882" s="7"/>
      <c r="T882" s="7"/>
      <c r="U882" s="7"/>
    </row>
    <row r="883" spans="1:21" x14ac:dyDescent="0.25">
      <c r="A883" s="7"/>
      <c r="B883" s="7"/>
      <c r="C883" s="7"/>
      <c r="D883" s="7"/>
      <c r="E883" s="7"/>
      <c r="F883" s="7"/>
      <c r="G883" s="7"/>
      <c r="H883" s="7"/>
      <c r="I883" s="7"/>
      <c r="J883" s="7"/>
      <c r="K883" s="7"/>
      <c r="L883" s="7"/>
      <c r="M883" s="7"/>
      <c r="N883" s="7"/>
      <c r="O883" s="7"/>
      <c r="P883" s="7"/>
      <c r="Q883" s="7"/>
      <c r="R883" s="7"/>
      <c r="S883" s="7"/>
      <c r="T883" s="7"/>
      <c r="U883" s="7"/>
    </row>
    <row r="884" spans="1:21" x14ac:dyDescent="0.25">
      <c r="A884" s="7"/>
      <c r="B884" s="7"/>
      <c r="C884" s="7"/>
      <c r="D884" s="7"/>
      <c r="E884" s="7"/>
      <c r="F884" s="7"/>
      <c r="G884" s="7"/>
      <c r="H884" s="7"/>
      <c r="I884" s="7"/>
      <c r="J884" s="7"/>
      <c r="K884" s="7"/>
      <c r="L884" s="7"/>
      <c r="M884" s="7"/>
      <c r="N884" s="7"/>
      <c r="O884" s="7"/>
      <c r="P884" s="7"/>
      <c r="Q884" s="7"/>
      <c r="R884" s="7"/>
      <c r="S884" s="7"/>
      <c r="T884" s="7"/>
      <c r="U884" s="7"/>
    </row>
    <row r="885" spans="1:21" x14ac:dyDescent="0.25">
      <c r="A885" s="7"/>
      <c r="B885" s="7"/>
      <c r="C885" s="7"/>
      <c r="D885" s="7"/>
      <c r="E885" s="7"/>
      <c r="F885" s="7"/>
      <c r="G885" s="7"/>
      <c r="H885" s="7"/>
      <c r="I885" s="7"/>
      <c r="J885" s="7"/>
      <c r="K885" s="7"/>
      <c r="L885" s="7"/>
      <c r="M885" s="7"/>
      <c r="N885" s="7"/>
      <c r="O885" s="7"/>
      <c r="P885" s="7"/>
      <c r="Q885" s="7"/>
      <c r="R885" s="7"/>
      <c r="S885" s="7"/>
      <c r="T885" s="7"/>
      <c r="U885" s="7"/>
    </row>
    <row r="886" spans="1:21" x14ac:dyDescent="0.25">
      <c r="A886" s="7"/>
      <c r="B886" s="7"/>
      <c r="C886" s="7"/>
      <c r="D886" s="7"/>
      <c r="E886" s="7"/>
      <c r="F886" s="7"/>
      <c r="G886" s="7"/>
      <c r="H886" s="7"/>
      <c r="I886" s="7"/>
      <c r="J886" s="7"/>
      <c r="K886" s="7"/>
      <c r="L886" s="7"/>
      <c r="M886" s="7"/>
      <c r="N886" s="7"/>
      <c r="O886" s="7"/>
      <c r="P886" s="7"/>
      <c r="Q886" s="7"/>
      <c r="R886" s="7"/>
      <c r="S886" s="7"/>
      <c r="T886" s="7"/>
      <c r="U886" s="7"/>
    </row>
    <row r="887" spans="1:21" x14ac:dyDescent="0.25">
      <c r="A887" s="7"/>
      <c r="B887" s="7"/>
      <c r="C887" s="7"/>
      <c r="D887" s="7"/>
      <c r="E887" s="7"/>
      <c r="F887" s="7"/>
      <c r="G887" s="7"/>
      <c r="H887" s="7"/>
      <c r="I887" s="7"/>
      <c r="J887" s="7"/>
      <c r="K887" s="7"/>
      <c r="L887" s="7"/>
      <c r="M887" s="7"/>
      <c r="N887" s="7"/>
      <c r="O887" s="7"/>
      <c r="P887" s="7"/>
      <c r="Q887" s="7"/>
      <c r="R887" s="7"/>
      <c r="S887" s="7"/>
      <c r="T887" s="7"/>
      <c r="U887" s="7"/>
    </row>
    <row r="888" spans="1:21" x14ac:dyDescent="0.25">
      <c r="A888" s="7"/>
      <c r="B888" s="7"/>
      <c r="C888" s="7"/>
      <c r="D888" s="7"/>
      <c r="E888" s="7"/>
      <c r="F888" s="7"/>
      <c r="G888" s="7"/>
      <c r="H888" s="7"/>
      <c r="I888" s="7"/>
      <c r="J888" s="7"/>
      <c r="K888" s="7"/>
      <c r="L888" s="7"/>
      <c r="M888" s="7"/>
      <c r="N888" s="7"/>
      <c r="O888" s="7"/>
      <c r="P888" s="7"/>
      <c r="Q888" s="7"/>
      <c r="R888" s="7"/>
      <c r="S888" s="7"/>
      <c r="T888" s="7"/>
      <c r="U888" s="7"/>
    </row>
    <row r="889" spans="1:21" x14ac:dyDescent="0.25">
      <c r="A889" s="7"/>
      <c r="B889" s="7"/>
      <c r="C889" s="7"/>
      <c r="D889" s="7"/>
      <c r="E889" s="7"/>
      <c r="F889" s="7"/>
      <c r="G889" s="7"/>
      <c r="H889" s="7"/>
      <c r="I889" s="7"/>
      <c r="J889" s="7"/>
      <c r="K889" s="7"/>
      <c r="L889" s="7"/>
      <c r="M889" s="7"/>
      <c r="N889" s="7"/>
      <c r="O889" s="7"/>
      <c r="P889" s="7"/>
      <c r="Q889" s="7"/>
      <c r="R889" s="7"/>
      <c r="S889" s="7"/>
      <c r="T889" s="7"/>
      <c r="U889" s="7"/>
    </row>
    <row r="890" spans="1:21" x14ac:dyDescent="0.25">
      <c r="A890" s="7"/>
      <c r="B890" s="7"/>
      <c r="C890" s="7"/>
      <c r="D890" s="7"/>
      <c r="E890" s="7"/>
      <c r="F890" s="7"/>
      <c r="G890" s="7"/>
      <c r="H890" s="7"/>
      <c r="I890" s="7"/>
      <c r="J890" s="7"/>
      <c r="K890" s="7"/>
      <c r="L890" s="7"/>
      <c r="M890" s="7"/>
      <c r="N890" s="7"/>
      <c r="O890" s="7"/>
      <c r="P890" s="7"/>
      <c r="Q890" s="7"/>
      <c r="R890" s="7"/>
      <c r="S890" s="7"/>
      <c r="T890" s="7"/>
      <c r="U890" s="7"/>
    </row>
    <row r="891" spans="1:21" x14ac:dyDescent="0.25">
      <c r="A891" s="7"/>
      <c r="B891" s="7"/>
      <c r="C891" s="7"/>
      <c r="D891" s="7"/>
      <c r="E891" s="7"/>
      <c r="F891" s="7"/>
      <c r="G891" s="7"/>
      <c r="H891" s="7"/>
      <c r="I891" s="7"/>
      <c r="J891" s="7"/>
      <c r="K891" s="7"/>
      <c r="L891" s="7"/>
      <c r="M891" s="7"/>
      <c r="N891" s="7"/>
      <c r="O891" s="7"/>
      <c r="P891" s="7"/>
      <c r="Q891" s="7"/>
      <c r="R891" s="7"/>
      <c r="S891" s="7"/>
      <c r="T891" s="7"/>
      <c r="U891" s="7"/>
    </row>
    <row r="892" spans="1:21" x14ac:dyDescent="0.25">
      <c r="A892" s="7"/>
      <c r="B892" s="7"/>
      <c r="C892" s="7"/>
      <c r="D892" s="7"/>
      <c r="E892" s="7"/>
      <c r="F892" s="7"/>
      <c r="G892" s="7"/>
      <c r="H892" s="7"/>
      <c r="I892" s="7"/>
      <c r="J892" s="7"/>
      <c r="K892" s="7"/>
      <c r="L892" s="7"/>
      <c r="M892" s="7"/>
      <c r="N892" s="7"/>
      <c r="O892" s="7"/>
      <c r="P892" s="7"/>
      <c r="Q892" s="7"/>
      <c r="R892" s="7"/>
      <c r="S892" s="7"/>
      <c r="T892" s="7"/>
      <c r="U892" s="7"/>
    </row>
    <row r="893" spans="1:21" x14ac:dyDescent="0.25">
      <c r="A893" s="7"/>
      <c r="B893" s="7"/>
      <c r="C893" s="7"/>
      <c r="D893" s="7"/>
      <c r="E893" s="7"/>
      <c r="F893" s="7"/>
      <c r="G893" s="7"/>
      <c r="H893" s="7"/>
      <c r="I893" s="7"/>
      <c r="J893" s="7"/>
      <c r="K893" s="7"/>
      <c r="L893" s="7"/>
      <c r="M893" s="7"/>
      <c r="N893" s="7"/>
      <c r="O893" s="7"/>
      <c r="P893" s="7"/>
      <c r="Q893" s="7"/>
      <c r="R893" s="7"/>
      <c r="S893" s="7"/>
      <c r="T893" s="7"/>
      <c r="U893" s="7"/>
    </row>
    <row r="894" spans="1:21" x14ac:dyDescent="0.25">
      <c r="A894" s="7"/>
      <c r="B894" s="7"/>
      <c r="C894" s="7"/>
      <c r="D894" s="7"/>
      <c r="E894" s="7"/>
      <c r="F894" s="7"/>
      <c r="G894" s="7"/>
      <c r="H894" s="7"/>
      <c r="I894" s="7"/>
      <c r="J894" s="7"/>
      <c r="K894" s="7"/>
      <c r="L894" s="7"/>
      <c r="M894" s="7"/>
      <c r="N894" s="7"/>
      <c r="O894" s="7"/>
      <c r="P894" s="7"/>
      <c r="Q894" s="7"/>
      <c r="R894" s="7"/>
      <c r="S894" s="7"/>
      <c r="T894" s="7"/>
      <c r="U894" s="7"/>
    </row>
    <row r="895" spans="1:21" x14ac:dyDescent="0.25">
      <c r="A895" s="7"/>
      <c r="B895" s="7"/>
      <c r="C895" s="7"/>
      <c r="D895" s="7"/>
      <c r="E895" s="7"/>
      <c r="F895" s="7"/>
      <c r="G895" s="7"/>
      <c r="H895" s="7"/>
      <c r="I895" s="7"/>
      <c r="J895" s="7"/>
      <c r="K895" s="7"/>
      <c r="L895" s="7"/>
      <c r="M895" s="7"/>
      <c r="N895" s="7"/>
      <c r="O895" s="7"/>
      <c r="P895" s="7"/>
      <c r="Q895" s="7"/>
      <c r="R895" s="7"/>
      <c r="S895" s="7"/>
      <c r="T895" s="7"/>
      <c r="U895" s="7"/>
    </row>
    <row r="896" spans="1:21" x14ac:dyDescent="0.25">
      <c r="A896" s="7"/>
      <c r="B896" s="7"/>
      <c r="C896" s="7"/>
      <c r="D896" s="7"/>
      <c r="E896" s="7"/>
      <c r="F896" s="7"/>
      <c r="G896" s="7"/>
      <c r="H896" s="7"/>
      <c r="I896" s="7"/>
      <c r="J896" s="7"/>
      <c r="K896" s="7"/>
      <c r="L896" s="7"/>
      <c r="M896" s="7"/>
      <c r="N896" s="7"/>
      <c r="O896" s="7"/>
      <c r="P896" s="7"/>
      <c r="Q896" s="7"/>
      <c r="R896" s="7"/>
      <c r="S896" s="7"/>
      <c r="T896" s="7"/>
      <c r="U896" s="7"/>
    </row>
    <row r="897" spans="1:21" x14ac:dyDescent="0.25">
      <c r="A897" s="7"/>
      <c r="B897" s="7"/>
      <c r="C897" s="7"/>
      <c r="D897" s="7"/>
      <c r="E897" s="7"/>
      <c r="F897" s="7"/>
      <c r="G897" s="7"/>
      <c r="H897" s="7"/>
      <c r="I897" s="7"/>
      <c r="J897" s="7"/>
      <c r="K897" s="7"/>
      <c r="L897" s="7"/>
      <c r="M897" s="7"/>
      <c r="N897" s="7"/>
      <c r="O897" s="7"/>
      <c r="P897" s="7"/>
      <c r="Q897" s="7"/>
      <c r="R897" s="7"/>
      <c r="S897" s="7"/>
      <c r="T897" s="7"/>
      <c r="U897" s="7"/>
    </row>
    <row r="898" spans="1:21" x14ac:dyDescent="0.25">
      <c r="A898" s="7"/>
      <c r="B898" s="7"/>
      <c r="C898" s="7"/>
      <c r="D898" s="7"/>
      <c r="E898" s="7"/>
      <c r="F898" s="7"/>
      <c r="G898" s="7"/>
      <c r="H898" s="7"/>
      <c r="I898" s="7"/>
      <c r="J898" s="7"/>
      <c r="K898" s="7"/>
      <c r="L898" s="7"/>
      <c r="M898" s="7"/>
      <c r="N898" s="7"/>
      <c r="O898" s="7"/>
      <c r="P898" s="7"/>
      <c r="Q898" s="7"/>
      <c r="R898" s="7"/>
      <c r="S898" s="7"/>
      <c r="T898" s="7"/>
      <c r="U898" s="7"/>
    </row>
    <row r="899" spans="1:21" x14ac:dyDescent="0.25">
      <c r="A899" s="7"/>
      <c r="B899" s="7"/>
      <c r="C899" s="7"/>
      <c r="D899" s="7"/>
      <c r="E899" s="7"/>
      <c r="F899" s="7"/>
      <c r="G899" s="7"/>
      <c r="H899" s="7"/>
      <c r="I899" s="7"/>
      <c r="J899" s="7"/>
      <c r="K899" s="7"/>
      <c r="L899" s="7"/>
      <c r="M899" s="7"/>
      <c r="N899" s="7"/>
      <c r="O899" s="7"/>
      <c r="P899" s="7"/>
      <c r="Q899" s="7"/>
      <c r="R899" s="7"/>
      <c r="S899" s="7"/>
      <c r="T899" s="7"/>
      <c r="U899" s="7"/>
    </row>
    <row r="900" spans="1:21" x14ac:dyDescent="0.25">
      <c r="A900" s="7"/>
      <c r="B900" s="7"/>
      <c r="C900" s="7"/>
      <c r="D900" s="7"/>
      <c r="E900" s="7"/>
      <c r="F900" s="7"/>
      <c r="G900" s="7"/>
      <c r="H900" s="7"/>
      <c r="I900" s="7"/>
      <c r="J900" s="7"/>
      <c r="K900" s="7"/>
      <c r="L900" s="7"/>
      <c r="M900" s="7"/>
      <c r="N900" s="7"/>
      <c r="O900" s="7"/>
      <c r="P900" s="7"/>
      <c r="Q900" s="7"/>
      <c r="R900" s="7"/>
      <c r="S900" s="7"/>
      <c r="T900" s="7"/>
      <c r="U900" s="7"/>
    </row>
    <row r="901" spans="1:21" x14ac:dyDescent="0.25">
      <c r="A901" s="7"/>
      <c r="B901" s="7"/>
      <c r="C901" s="7"/>
      <c r="D901" s="7"/>
      <c r="E901" s="7"/>
      <c r="F901" s="7"/>
      <c r="G901" s="7"/>
      <c r="H901" s="7"/>
      <c r="I901" s="7"/>
      <c r="J901" s="7"/>
      <c r="K901" s="7"/>
      <c r="L901" s="7"/>
      <c r="M901" s="7"/>
      <c r="N901" s="7"/>
      <c r="O901" s="7"/>
      <c r="P901" s="7"/>
      <c r="Q901" s="7"/>
      <c r="R901" s="7"/>
      <c r="S901" s="7"/>
      <c r="T901" s="7"/>
      <c r="U901" s="7"/>
    </row>
    <row r="902" spans="1:21" x14ac:dyDescent="0.25">
      <c r="A902" s="7"/>
      <c r="B902" s="7"/>
      <c r="C902" s="7"/>
      <c r="D902" s="7"/>
      <c r="E902" s="7"/>
      <c r="F902" s="7"/>
      <c r="G902" s="7"/>
      <c r="H902" s="7"/>
      <c r="I902" s="7"/>
      <c r="J902" s="7"/>
      <c r="K902" s="7"/>
      <c r="L902" s="7"/>
      <c r="M902" s="7"/>
      <c r="N902" s="7"/>
      <c r="O902" s="7"/>
      <c r="P902" s="7"/>
      <c r="Q902" s="7"/>
      <c r="R902" s="7"/>
      <c r="S902" s="7"/>
      <c r="T902" s="7"/>
      <c r="U902" s="7"/>
    </row>
    <row r="903" spans="1:21" x14ac:dyDescent="0.25">
      <c r="A903" s="7"/>
      <c r="B903" s="7"/>
      <c r="C903" s="7"/>
      <c r="D903" s="7"/>
      <c r="E903" s="7"/>
      <c r="F903" s="7"/>
      <c r="G903" s="7"/>
      <c r="H903" s="7"/>
      <c r="I903" s="7"/>
      <c r="J903" s="7"/>
      <c r="K903" s="7"/>
      <c r="L903" s="7"/>
      <c r="M903" s="7"/>
      <c r="N903" s="7"/>
      <c r="O903" s="7"/>
      <c r="P903" s="7"/>
      <c r="Q903" s="7"/>
      <c r="R903" s="7"/>
      <c r="S903" s="7"/>
      <c r="T903" s="7"/>
      <c r="U903" s="7"/>
    </row>
    <row r="904" spans="1:21" x14ac:dyDescent="0.25">
      <c r="A904" s="7"/>
      <c r="B904" s="7"/>
      <c r="C904" s="7"/>
      <c r="D904" s="7"/>
      <c r="E904" s="7"/>
      <c r="F904" s="7"/>
      <c r="G904" s="7"/>
      <c r="H904" s="7"/>
      <c r="I904" s="7"/>
      <c r="J904" s="7"/>
      <c r="K904" s="7"/>
      <c r="L904" s="7"/>
      <c r="M904" s="7"/>
      <c r="N904" s="7"/>
      <c r="O904" s="7"/>
      <c r="P904" s="7"/>
      <c r="Q904" s="7"/>
      <c r="R904" s="7"/>
      <c r="S904" s="7"/>
      <c r="T904" s="7"/>
      <c r="U904" s="7"/>
    </row>
    <row r="905" spans="1:21" x14ac:dyDescent="0.25">
      <c r="A905" s="7"/>
      <c r="B905" s="7"/>
      <c r="C905" s="7"/>
      <c r="D905" s="7"/>
      <c r="E905" s="7"/>
      <c r="F905" s="7"/>
      <c r="G905" s="7"/>
      <c r="H905" s="7"/>
      <c r="I905" s="7"/>
      <c r="J905" s="7"/>
      <c r="K905" s="7"/>
      <c r="L905" s="7"/>
      <c r="M905" s="7"/>
      <c r="N905" s="7"/>
      <c r="O905" s="7"/>
      <c r="P905" s="7"/>
      <c r="Q905" s="7"/>
      <c r="R905" s="7"/>
      <c r="S905" s="7"/>
      <c r="T905" s="7"/>
      <c r="U905" s="7"/>
    </row>
    <row r="906" spans="1:21" x14ac:dyDescent="0.25">
      <c r="A906" s="7"/>
      <c r="B906" s="7"/>
      <c r="C906" s="7"/>
      <c r="D906" s="7"/>
      <c r="E906" s="7"/>
      <c r="F906" s="7"/>
      <c r="G906" s="7"/>
      <c r="H906" s="7"/>
      <c r="I906" s="7"/>
      <c r="J906" s="7"/>
      <c r="K906" s="7"/>
      <c r="L906" s="7"/>
      <c r="M906" s="7"/>
      <c r="N906" s="7"/>
      <c r="O906" s="7"/>
      <c r="P906" s="7"/>
      <c r="Q906" s="7"/>
      <c r="R906" s="7"/>
      <c r="S906" s="7"/>
      <c r="T906" s="7"/>
      <c r="U906" s="7"/>
    </row>
    <row r="907" spans="1:21" x14ac:dyDescent="0.25">
      <c r="A907" s="7"/>
      <c r="B907" s="7"/>
      <c r="C907" s="7"/>
      <c r="D907" s="7"/>
      <c r="E907" s="7"/>
      <c r="F907" s="7"/>
      <c r="G907" s="7"/>
      <c r="H907" s="7"/>
      <c r="I907" s="7"/>
      <c r="J907" s="7"/>
      <c r="K907" s="7"/>
      <c r="L907" s="7"/>
      <c r="M907" s="7"/>
      <c r="N907" s="7"/>
      <c r="O907" s="7"/>
      <c r="P907" s="7"/>
      <c r="Q907" s="7"/>
      <c r="R907" s="7"/>
      <c r="S907" s="7"/>
      <c r="T907" s="7"/>
      <c r="U907" s="7"/>
    </row>
    <row r="908" spans="1:21" x14ac:dyDescent="0.25">
      <c r="A908" s="7"/>
      <c r="B908" s="7"/>
      <c r="C908" s="7"/>
      <c r="D908" s="7"/>
      <c r="E908" s="7"/>
      <c r="F908" s="7"/>
      <c r="G908" s="7"/>
      <c r="H908" s="7"/>
      <c r="I908" s="7"/>
      <c r="J908" s="7"/>
      <c r="K908" s="7"/>
      <c r="L908" s="7"/>
      <c r="M908" s="7"/>
      <c r="N908" s="7"/>
      <c r="O908" s="7"/>
      <c r="P908" s="7"/>
      <c r="Q908" s="7"/>
      <c r="R908" s="7"/>
      <c r="S908" s="7"/>
      <c r="T908" s="7"/>
      <c r="U908" s="7"/>
    </row>
    <row r="909" spans="1:21" x14ac:dyDescent="0.25">
      <c r="A909" s="7"/>
      <c r="B909" s="7"/>
      <c r="C909" s="7"/>
      <c r="D909" s="7"/>
      <c r="E909" s="7"/>
      <c r="F909" s="7"/>
      <c r="G909" s="7"/>
      <c r="H909" s="7"/>
      <c r="I909" s="7"/>
      <c r="J909" s="7"/>
      <c r="K909" s="7"/>
      <c r="L909" s="7"/>
      <c r="M909" s="7"/>
      <c r="N909" s="7"/>
      <c r="O909" s="7"/>
      <c r="P909" s="7"/>
      <c r="Q909" s="7"/>
      <c r="R909" s="7"/>
      <c r="S909" s="7"/>
      <c r="T909" s="7"/>
      <c r="U909" s="7"/>
    </row>
    <row r="910" spans="1:21" x14ac:dyDescent="0.25">
      <c r="A910" s="7"/>
      <c r="B910" s="7"/>
      <c r="C910" s="7"/>
      <c r="D910" s="7"/>
      <c r="E910" s="7"/>
      <c r="F910" s="7"/>
      <c r="G910" s="7"/>
      <c r="H910" s="7"/>
      <c r="I910" s="7"/>
      <c r="J910" s="7"/>
      <c r="K910" s="7"/>
      <c r="L910" s="7"/>
      <c r="M910" s="7"/>
      <c r="N910" s="7"/>
      <c r="O910" s="7"/>
      <c r="P910" s="7"/>
      <c r="Q910" s="7"/>
      <c r="R910" s="7"/>
      <c r="S910" s="7"/>
      <c r="T910" s="7"/>
      <c r="U910" s="7"/>
    </row>
    <row r="911" spans="1:21" x14ac:dyDescent="0.25">
      <c r="A911" s="7"/>
      <c r="B911" s="7"/>
      <c r="C911" s="7"/>
      <c r="D911" s="7"/>
      <c r="E911" s="7"/>
      <c r="F911" s="7"/>
      <c r="G911" s="7"/>
      <c r="H911" s="7"/>
      <c r="I911" s="7"/>
      <c r="J911" s="7"/>
      <c r="K911" s="7"/>
      <c r="L911" s="7"/>
      <c r="M911" s="7"/>
      <c r="N911" s="7"/>
      <c r="O911" s="7"/>
      <c r="P911" s="7"/>
      <c r="Q911" s="7"/>
      <c r="R911" s="7"/>
      <c r="S911" s="7"/>
      <c r="T911" s="7"/>
      <c r="U911" s="7"/>
    </row>
    <row r="912" spans="1:21" x14ac:dyDescent="0.25">
      <c r="A912" s="7"/>
      <c r="B912" s="7"/>
      <c r="C912" s="7"/>
      <c r="D912" s="7"/>
      <c r="E912" s="7"/>
      <c r="F912" s="7"/>
      <c r="G912" s="7"/>
      <c r="H912" s="7"/>
      <c r="I912" s="7"/>
      <c r="J912" s="7"/>
      <c r="K912" s="7"/>
      <c r="L912" s="7"/>
      <c r="M912" s="7"/>
      <c r="N912" s="7"/>
      <c r="O912" s="7"/>
      <c r="P912" s="7"/>
      <c r="Q912" s="7"/>
      <c r="R912" s="7"/>
      <c r="S912" s="7"/>
      <c r="T912" s="7"/>
      <c r="U912" s="7"/>
    </row>
    <row r="913" spans="1:21" x14ac:dyDescent="0.25">
      <c r="A913" s="7"/>
      <c r="B913" s="7"/>
      <c r="C913" s="7"/>
      <c r="D913" s="7"/>
      <c r="E913" s="7"/>
      <c r="F913" s="7"/>
      <c r="G913" s="7"/>
      <c r="H913" s="7"/>
      <c r="I913" s="7"/>
      <c r="J913" s="7"/>
      <c r="K913" s="7"/>
      <c r="L913" s="7"/>
      <c r="M913" s="7"/>
      <c r="N913" s="7"/>
      <c r="O913" s="7"/>
      <c r="P913" s="7"/>
      <c r="Q913" s="7"/>
      <c r="R913" s="7"/>
      <c r="S913" s="7"/>
      <c r="T913" s="7"/>
      <c r="U913" s="7"/>
    </row>
    <row r="914" spans="1:21" x14ac:dyDescent="0.25">
      <c r="A914" s="7"/>
      <c r="B914" s="7"/>
      <c r="C914" s="7"/>
      <c r="D914" s="7"/>
      <c r="E914" s="7"/>
      <c r="F914" s="7"/>
      <c r="G914" s="7"/>
      <c r="H914" s="7"/>
      <c r="I914" s="7"/>
      <c r="J914" s="7"/>
      <c r="K914" s="7"/>
      <c r="L914" s="7"/>
      <c r="M914" s="7"/>
      <c r="N914" s="7"/>
      <c r="O914" s="7"/>
      <c r="P914" s="7"/>
      <c r="Q914" s="7"/>
      <c r="R914" s="7"/>
      <c r="S914" s="7"/>
      <c r="T914" s="7"/>
      <c r="U914" s="7"/>
    </row>
    <row r="915" spans="1:21" x14ac:dyDescent="0.25">
      <c r="A915" s="7"/>
      <c r="B915" s="7"/>
      <c r="C915" s="7"/>
      <c r="D915" s="7"/>
      <c r="E915" s="7"/>
      <c r="F915" s="7"/>
      <c r="G915" s="7"/>
      <c r="H915" s="7"/>
      <c r="I915" s="7"/>
      <c r="J915" s="7"/>
      <c r="K915" s="7"/>
      <c r="L915" s="7"/>
      <c r="M915" s="7"/>
      <c r="N915" s="7"/>
      <c r="O915" s="7"/>
      <c r="P915" s="7"/>
      <c r="Q915" s="7"/>
      <c r="R915" s="7"/>
      <c r="S915" s="7"/>
      <c r="T915" s="7"/>
      <c r="U915" s="7"/>
    </row>
    <row r="916" spans="1:21" x14ac:dyDescent="0.25">
      <c r="A916" s="7"/>
      <c r="B916" s="7"/>
      <c r="C916" s="7"/>
      <c r="D916" s="7"/>
      <c r="E916" s="7"/>
      <c r="F916" s="7"/>
      <c r="G916" s="7"/>
      <c r="H916" s="7"/>
      <c r="I916" s="7"/>
      <c r="J916" s="7"/>
      <c r="K916" s="7"/>
      <c r="L916" s="7"/>
      <c r="M916" s="7"/>
      <c r="N916" s="7"/>
      <c r="O916" s="7"/>
      <c r="P916" s="7"/>
      <c r="Q916" s="7"/>
      <c r="R916" s="7"/>
      <c r="S916" s="7"/>
      <c r="T916" s="7"/>
      <c r="U916" s="7"/>
    </row>
    <row r="917" spans="1:21" x14ac:dyDescent="0.25">
      <c r="A917" s="7"/>
      <c r="B917" s="7"/>
      <c r="C917" s="7"/>
      <c r="D917" s="7"/>
      <c r="E917" s="7"/>
      <c r="F917" s="7"/>
      <c r="G917" s="7"/>
      <c r="H917" s="7"/>
      <c r="I917" s="7"/>
      <c r="J917" s="7"/>
      <c r="K917" s="7"/>
      <c r="L917" s="7"/>
      <c r="M917" s="7"/>
      <c r="N917" s="7"/>
      <c r="O917" s="7"/>
      <c r="P917" s="7"/>
      <c r="Q917" s="7"/>
      <c r="R917" s="7"/>
      <c r="S917" s="7"/>
      <c r="T917" s="7"/>
      <c r="U917" s="7"/>
    </row>
    <row r="918" spans="1:21" x14ac:dyDescent="0.25">
      <c r="A918" s="7"/>
      <c r="B918" s="7"/>
      <c r="C918" s="7"/>
      <c r="D918" s="7"/>
      <c r="E918" s="7"/>
      <c r="F918" s="7"/>
      <c r="G918" s="7"/>
      <c r="H918" s="7"/>
      <c r="I918" s="7"/>
      <c r="J918" s="7"/>
      <c r="K918" s="7"/>
      <c r="L918" s="7"/>
      <c r="M918" s="7"/>
      <c r="N918" s="7"/>
      <c r="O918" s="7"/>
      <c r="P918" s="7"/>
      <c r="Q918" s="7"/>
      <c r="R918" s="7"/>
      <c r="S918" s="7"/>
      <c r="T918" s="7"/>
      <c r="U918" s="7"/>
    </row>
    <row r="919" spans="1:21" x14ac:dyDescent="0.25">
      <c r="A919" s="7"/>
      <c r="B919" s="7"/>
      <c r="C919" s="7"/>
      <c r="D919" s="7"/>
      <c r="E919" s="7"/>
      <c r="F919" s="7"/>
      <c r="G919" s="7"/>
      <c r="H919" s="7"/>
      <c r="I919" s="7"/>
      <c r="J919" s="7"/>
      <c r="K919" s="7"/>
      <c r="L919" s="7"/>
      <c r="M919" s="7"/>
      <c r="N919" s="7"/>
      <c r="O919" s="7"/>
      <c r="P919" s="7"/>
      <c r="Q919" s="7"/>
      <c r="R919" s="7"/>
      <c r="S919" s="7"/>
      <c r="T919" s="7"/>
      <c r="U919" s="7"/>
    </row>
    <row r="920" spans="1:21" x14ac:dyDescent="0.25">
      <c r="A920" s="7"/>
      <c r="B920" s="7"/>
      <c r="C920" s="7"/>
      <c r="D920" s="7"/>
      <c r="E920" s="7"/>
      <c r="F920" s="7"/>
      <c r="G920" s="7"/>
      <c r="H920" s="7"/>
      <c r="I920" s="7"/>
      <c r="J920" s="7"/>
      <c r="K920" s="7"/>
      <c r="L920" s="7"/>
      <c r="M920" s="7"/>
      <c r="N920" s="7"/>
      <c r="O920" s="7"/>
      <c r="P920" s="7"/>
      <c r="Q920" s="7"/>
      <c r="R920" s="7"/>
      <c r="S920" s="7"/>
      <c r="T920" s="7"/>
      <c r="U920" s="7"/>
    </row>
    <row r="921" spans="1:21" x14ac:dyDescent="0.25">
      <c r="A921" s="7"/>
      <c r="B921" s="7"/>
      <c r="C921" s="7"/>
      <c r="D921" s="7"/>
      <c r="E921" s="7"/>
      <c r="F921" s="7"/>
      <c r="G921" s="7"/>
      <c r="H921" s="7"/>
      <c r="I921" s="7"/>
      <c r="J921" s="7"/>
      <c r="K921" s="7"/>
      <c r="L921" s="7"/>
      <c r="M921" s="7"/>
      <c r="N921" s="7"/>
      <c r="O921" s="7"/>
      <c r="P921" s="7"/>
      <c r="Q921" s="7"/>
      <c r="R921" s="7"/>
      <c r="S921" s="7"/>
      <c r="T921" s="7"/>
      <c r="U921" s="7"/>
    </row>
    <row r="922" spans="1:21" x14ac:dyDescent="0.25">
      <c r="A922" s="7"/>
      <c r="B922" s="7"/>
      <c r="C922" s="7"/>
      <c r="D922" s="7"/>
      <c r="E922" s="7"/>
      <c r="F922" s="7"/>
      <c r="G922" s="7"/>
      <c r="H922" s="7"/>
      <c r="I922" s="7"/>
      <c r="J922" s="7"/>
      <c r="K922" s="7"/>
      <c r="L922" s="7"/>
      <c r="M922" s="7"/>
      <c r="N922" s="7"/>
      <c r="O922" s="7"/>
      <c r="P922" s="7"/>
      <c r="Q922" s="7"/>
      <c r="R922" s="7"/>
      <c r="S922" s="7"/>
      <c r="T922" s="7"/>
      <c r="U922" s="7"/>
    </row>
    <row r="923" spans="1:21" x14ac:dyDescent="0.25">
      <c r="A923" s="7"/>
      <c r="B923" s="7"/>
      <c r="C923" s="7"/>
      <c r="D923" s="7"/>
      <c r="E923" s="7"/>
      <c r="F923" s="7"/>
      <c r="G923" s="7"/>
      <c r="H923" s="7"/>
      <c r="I923" s="7"/>
      <c r="J923" s="7"/>
      <c r="K923" s="7"/>
      <c r="L923" s="7"/>
      <c r="M923" s="7"/>
      <c r="N923" s="7"/>
      <c r="O923" s="7"/>
      <c r="P923" s="7"/>
      <c r="Q923" s="7"/>
      <c r="R923" s="7"/>
      <c r="S923" s="7"/>
      <c r="T923" s="7"/>
      <c r="U923" s="7"/>
    </row>
    <row r="924" spans="1:21" x14ac:dyDescent="0.25">
      <c r="A924" s="7"/>
      <c r="B924" s="7"/>
      <c r="C924" s="7"/>
      <c r="D924" s="7"/>
      <c r="E924" s="7"/>
      <c r="F924" s="7"/>
      <c r="G924" s="7"/>
      <c r="H924" s="7"/>
      <c r="I924" s="7"/>
      <c r="J924" s="7"/>
      <c r="K924" s="7"/>
      <c r="L924" s="7"/>
      <c r="M924" s="7"/>
      <c r="N924" s="7"/>
      <c r="O924" s="7"/>
      <c r="P924" s="7"/>
      <c r="Q924" s="7"/>
      <c r="R924" s="7"/>
      <c r="S924" s="7"/>
      <c r="T924" s="7"/>
      <c r="U924" s="7"/>
    </row>
    <row r="925" spans="1:21" x14ac:dyDescent="0.25">
      <c r="A925" s="7"/>
      <c r="B925" s="7"/>
      <c r="C925" s="7"/>
      <c r="D925" s="7"/>
      <c r="E925" s="7"/>
      <c r="F925" s="7"/>
      <c r="G925" s="7"/>
      <c r="H925" s="7"/>
      <c r="I925" s="7"/>
      <c r="J925" s="7"/>
      <c r="K925" s="7"/>
      <c r="L925" s="7"/>
      <c r="M925" s="7"/>
      <c r="N925" s="7"/>
      <c r="O925" s="7"/>
      <c r="P925" s="7"/>
      <c r="Q925" s="7"/>
      <c r="R925" s="7"/>
      <c r="S925" s="7"/>
      <c r="T925" s="7"/>
      <c r="U925" s="7"/>
    </row>
    <row r="926" spans="1:21" x14ac:dyDescent="0.25">
      <c r="A926" s="7"/>
      <c r="B926" s="7"/>
      <c r="C926" s="7"/>
      <c r="D926" s="7"/>
      <c r="E926" s="7"/>
      <c r="F926" s="7"/>
      <c r="G926" s="7"/>
      <c r="H926" s="7"/>
      <c r="I926" s="7"/>
      <c r="J926" s="7"/>
      <c r="K926" s="7"/>
      <c r="L926" s="7"/>
      <c r="M926" s="7"/>
      <c r="N926" s="7"/>
      <c r="O926" s="7"/>
      <c r="P926" s="7"/>
      <c r="Q926" s="7"/>
      <c r="R926" s="7"/>
      <c r="S926" s="7"/>
      <c r="T926" s="7"/>
      <c r="U926" s="7"/>
    </row>
    <row r="927" spans="1:21" x14ac:dyDescent="0.25">
      <c r="A927" s="7"/>
      <c r="B927" s="7"/>
      <c r="C927" s="7"/>
      <c r="D927" s="7"/>
      <c r="E927" s="7"/>
      <c r="F927" s="7"/>
      <c r="G927" s="7"/>
      <c r="H927" s="7"/>
      <c r="I927" s="7"/>
      <c r="J927" s="7"/>
      <c r="K927" s="7"/>
      <c r="L927" s="7"/>
      <c r="M927" s="7"/>
      <c r="N927" s="7"/>
      <c r="O927" s="7"/>
      <c r="P927" s="7"/>
      <c r="Q927" s="7"/>
      <c r="R927" s="7"/>
      <c r="S927" s="7"/>
      <c r="T927" s="7"/>
      <c r="U927" s="7"/>
    </row>
    <row r="928" spans="1:21" x14ac:dyDescent="0.25">
      <c r="A928" s="7"/>
      <c r="B928" s="7"/>
      <c r="C928" s="7"/>
      <c r="D928" s="7"/>
      <c r="E928" s="7"/>
      <c r="F928" s="7"/>
      <c r="G928" s="7"/>
      <c r="H928" s="7"/>
      <c r="I928" s="7"/>
      <c r="J928" s="7"/>
      <c r="K928" s="7"/>
      <c r="L928" s="7"/>
      <c r="M928" s="7"/>
      <c r="N928" s="7"/>
      <c r="O928" s="7"/>
      <c r="P928" s="7"/>
      <c r="Q928" s="7"/>
      <c r="R928" s="7"/>
      <c r="S928" s="7"/>
      <c r="T928" s="7"/>
      <c r="U928" s="7"/>
    </row>
    <row r="929" spans="1:21" x14ac:dyDescent="0.25">
      <c r="A929" s="7"/>
      <c r="B929" s="7"/>
      <c r="C929" s="7"/>
      <c r="D929" s="7"/>
      <c r="E929" s="7"/>
      <c r="F929" s="7"/>
      <c r="G929" s="7"/>
      <c r="H929" s="7"/>
      <c r="I929" s="7"/>
      <c r="J929" s="7"/>
      <c r="K929" s="7"/>
      <c r="L929" s="7"/>
      <c r="M929" s="7"/>
      <c r="N929" s="7"/>
      <c r="O929" s="7"/>
      <c r="P929" s="7"/>
      <c r="Q929" s="7"/>
      <c r="R929" s="7"/>
      <c r="S929" s="7"/>
      <c r="T929" s="7"/>
      <c r="U929" s="7"/>
    </row>
    <row r="930" spans="1:21" x14ac:dyDescent="0.25">
      <c r="A930" s="7"/>
      <c r="B930" s="7"/>
      <c r="C930" s="7"/>
      <c r="D930" s="7"/>
      <c r="E930" s="7"/>
      <c r="F930" s="7"/>
      <c r="G930" s="7"/>
      <c r="H930" s="7"/>
      <c r="I930" s="7"/>
      <c r="J930" s="7"/>
      <c r="K930" s="7"/>
      <c r="L930" s="7"/>
      <c r="M930" s="7"/>
      <c r="N930" s="7"/>
      <c r="O930" s="7"/>
      <c r="P930" s="7"/>
      <c r="Q930" s="7"/>
      <c r="R930" s="7"/>
      <c r="S930" s="7"/>
      <c r="T930" s="7"/>
      <c r="U930" s="7"/>
    </row>
    <row r="931" spans="1:21" x14ac:dyDescent="0.25">
      <c r="A931" s="7"/>
      <c r="B931" s="7"/>
      <c r="C931" s="7"/>
      <c r="D931" s="7"/>
      <c r="E931" s="7"/>
      <c r="F931" s="7"/>
      <c r="G931" s="7"/>
      <c r="H931" s="7"/>
      <c r="I931" s="7"/>
      <c r="J931" s="7"/>
      <c r="K931" s="7"/>
      <c r="L931" s="7"/>
      <c r="M931" s="7"/>
      <c r="N931" s="7"/>
      <c r="O931" s="7"/>
      <c r="P931" s="7"/>
      <c r="Q931" s="7"/>
      <c r="R931" s="7"/>
      <c r="S931" s="7"/>
      <c r="T931" s="7"/>
      <c r="U931" s="7"/>
    </row>
    <row r="932" spans="1:21" x14ac:dyDescent="0.25">
      <c r="A932" s="7"/>
      <c r="B932" s="7"/>
      <c r="C932" s="7"/>
      <c r="D932" s="7"/>
      <c r="E932" s="7"/>
      <c r="F932" s="7"/>
      <c r="G932" s="7"/>
      <c r="H932" s="7"/>
      <c r="I932" s="7"/>
      <c r="J932" s="7"/>
      <c r="K932" s="7"/>
      <c r="L932" s="7"/>
      <c r="M932" s="7"/>
      <c r="N932" s="7"/>
      <c r="O932" s="7"/>
      <c r="P932" s="7"/>
      <c r="Q932" s="7"/>
      <c r="R932" s="7"/>
      <c r="S932" s="7"/>
      <c r="T932" s="7"/>
      <c r="U932" s="7"/>
    </row>
    <row r="933" spans="1:21" x14ac:dyDescent="0.25">
      <c r="A933" s="7"/>
      <c r="B933" s="7"/>
      <c r="C933" s="7"/>
      <c r="D933" s="7"/>
      <c r="E933" s="7"/>
      <c r="F933" s="7"/>
      <c r="G933" s="7"/>
      <c r="H933" s="7"/>
      <c r="I933" s="7"/>
      <c r="J933" s="7"/>
      <c r="K933" s="7"/>
      <c r="L933" s="7"/>
      <c r="M933" s="7"/>
      <c r="N933" s="7"/>
      <c r="O933" s="7"/>
      <c r="P933" s="7"/>
      <c r="Q933" s="7"/>
      <c r="R933" s="7"/>
      <c r="S933" s="7"/>
      <c r="T933" s="7"/>
      <c r="U933" s="7"/>
    </row>
    <row r="934" spans="1:21" x14ac:dyDescent="0.25">
      <c r="A934" s="7"/>
      <c r="B934" s="7"/>
      <c r="C934" s="7"/>
      <c r="D934" s="7"/>
      <c r="E934" s="7"/>
      <c r="F934" s="7"/>
      <c r="G934" s="7"/>
      <c r="H934" s="7"/>
      <c r="I934" s="7"/>
      <c r="J934" s="7"/>
      <c r="K934" s="7"/>
      <c r="L934" s="7"/>
      <c r="M934" s="7"/>
      <c r="N934" s="7"/>
      <c r="O934" s="7"/>
      <c r="P934" s="7"/>
      <c r="Q934" s="7"/>
      <c r="R934" s="7"/>
      <c r="S934" s="7"/>
      <c r="T934" s="7"/>
      <c r="U934" s="7"/>
    </row>
    <row r="935" spans="1:21" x14ac:dyDescent="0.25">
      <c r="A935" s="7"/>
      <c r="B935" s="7"/>
      <c r="C935" s="7"/>
      <c r="D935" s="7"/>
      <c r="E935" s="7"/>
      <c r="F935" s="7"/>
      <c r="G935" s="7"/>
      <c r="H935" s="7"/>
      <c r="I935" s="7"/>
      <c r="J935" s="7"/>
      <c r="K935" s="7"/>
      <c r="L935" s="7"/>
      <c r="M935" s="7"/>
      <c r="N935" s="7"/>
      <c r="O935" s="7"/>
      <c r="P935" s="7"/>
      <c r="Q935" s="7"/>
      <c r="R935" s="7"/>
      <c r="S935" s="7"/>
      <c r="T935" s="7"/>
      <c r="U935" s="7"/>
    </row>
    <row r="936" spans="1:21" x14ac:dyDescent="0.25">
      <c r="A936" s="7"/>
      <c r="B936" s="7"/>
      <c r="C936" s="7"/>
      <c r="D936" s="7"/>
      <c r="E936" s="7"/>
      <c r="F936" s="7"/>
      <c r="G936" s="7"/>
      <c r="H936" s="7"/>
      <c r="I936" s="7"/>
      <c r="J936" s="7"/>
      <c r="K936" s="7"/>
      <c r="L936" s="7"/>
      <c r="M936" s="7"/>
      <c r="N936" s="7"/>
      <c r="O936" s="7"/>
      <c r="P936" s="7"/>
      <c r="Q936" s="7"/>
      <c r="R936" s="7"/>
      <c r="S936" s="7"/>
      <c r="T936" s="7"/>
      <c r="U936" s="7"/>
    </row>
    <row r="937" spans="1:21" x14ac:dyDescent="0.25">
      <c r="A937" s="7"/>
      <c r="B937" s="7"/>
      <c r="C937" s="7"/>
      <c r="D937" s="7"/>
      <c r="E937" s="7"/>
      <c r="F937" s="7"/>
      <c r="G937" s="7"/>
      <c r="H937" s="7"/>
      <c r="I937" s="7"/>
      <c r="J937" s="7"/>
      <c r="K937" s="7"/>
      <c r="L937" s="7"/>
      <c r="M937" s="7"/>
      <c r="N937" s="7"/>
      <c r="O937" s="7"/>
      <c r="P937" s="7"/>
      <c r="Q937" s="7"/>
      <c r="R937" s="7"/>
      <c r="S937" s="7"/>
      <c r="T937" s="7"/>
      <c r="U937" s="7"/>
    </row>
    <row r="938" spans="1:21" x14ac:dyDescent="0.25">
      <c r="A938" s="7"/>
      <c r="B938" s="7"/>
      <c r="C938" s="7"/>
      <c r="D938" s="7"/>
      <c r="E938" s="7"/>
      <c r="F938" s="7"/>
      <c r="G938" s="7"/>
      <c r="H938" s="7"/>
      <c r="I938" s="7"/>
      <c r="J938" s="7"/>
      <c r="K938" s="7"/>
      <c r="L938" s="7"/>
      <c r="M938" s="7"/>
      <c r="N938" s="7"/>
      <c r="O938" s="7"/>
      <c r="P938" s="7"/>
      <c r="Q938" s="7"/>
      <c r="R938" s="7"/>
      <c r="S938" s="7"/>
      <c r="T938" s="7"/>
      <c r="U938" s="7"/>
    </row>
    <row r="939" spans="1:21" x14ac:dyDescent="0.25">
      <c r="A939" s="7"/>
      <c r="B939" s="7"/>
      <c r="C939" s="7"/>
      <c r="D939" s="7"/>
      <c r="E939" s="7"/>
      <c r="F939" s="7"/>
      <c r="G939" s="7"/>
      <c r="H939" s="7"/>
      <c r="I939" s="7"/>
      <c r="J939" s="7"/>
      <c r="K939" s="7"/>
      <c r="L939" s="7"/>
      <c r="M939" s="7"/>
      <c r="N939" s="7"/>
      <c r="O939" s="7"/>
      <c r="P939" s="7"/>
      <c r="Q939" s="7"/>
      <c r="R939" s="7"/>
      <c r="S939" s="7"/>
      <c r="T939" s="7"/>
      <c r="U939" s="7"/>
    </row>
    <row r="940" spans="1:21" x14ac:dyDescent="0.25">
      <c r="A940" s="7"/>
      <c r="B940" s="7"/>
      <c r="C940" s="7"/>
      <c r="D940" s="7"/>
      <c r="E940" s="7"/>
      <c r="F940" s="7"/>
      <c r="G940" s="7"/>
      <c r="H940" s="7"/>
      <c r="I940" s="7"/>
      <c r="J940" s="7"/>
      <c r="K940" s="7"/>
      <c r="L940" s="7"/>
      <c r="M940" s="7"/>
      <c r="N940" s="7"/>
      <c r="O940" s="7"/>
      <c r="P940" s="7"/>
      <c r="Q940" s="7"/>
      <c r="R940" s="7"/>
      <c r="S940" s="7"/>
      <c r="T940" s="7"/>
      <c r="U940" s="7"/>
    </row>
    <row r="941" spans="1:21" x14ac:dyDescent="0.25">
      <c r="A941" s="7"/>
      <c r="B941" s="7"/>
      <c r="C941" s="7"/>
      <c r="D941" s="7"/>
      <c r="E941" s="7"/>
      <c r="F941" s="7"/>
      <c r="G941" s="7"/>
      <c r="H941" s="7"/>
      <c r="I941" s="7"/>
      <c r="J941" s="7"/>
      <c r="K941" s="7"/>
      <c r="L941" s="7"/>
      <c r="M941" s="7"/>
      <c r="N941" s="7"/>
      <c r="O941" s="7"/>
      <c r="P941" s="7"/>
      <c r="Q941" s="7"/>
      <c r="R941" s="7"/>
      <c r="S941" s="7"/>
      <c r="T941" s="7"/>
      <c r="U941" s="7"/>
    </row>
    <row r="942" spans="1:21" x14ac:dyDescent="0.25">
      <c r="A942" s="7"/>
      <c r="B942" s="7"/>
      <c r="C942" s="7"/>
      <c r="D942" s="7"/>
      <c r="E942" s="7"/>
      <c r="F942" s="7"/>
      <c r="G942" s="7"/>
      <c r="H942" s="7"/>
      <c r="I942" s="7"/>
      <c r="J942" s="7"/>
      <c r="K942" s="7"/>
      <c r="L942" s="7"/>
      <c r="M942" s="7"/>
      <c r="N942" s="7"/>
      <c r="O942" s="7"/>
      <c r="P942" s="7"/>
      <c r="Q942" s="7"/>
      <c r="R942" s="7"/>
      <c r="S942" s="7"/>
      <c r="T942" s="7"/>
      <c r="U942" s="7"/>
    </row>
    <row r="943" spans="1:21" x14ac:dyDescent="0.25">
      <c r="A943" s="7"/>
      <c r="B943" s="7"/>
      <c r="C943" s="7"/>
      <c r="D943" s="7"/>
      <c r="E943" s="7"/>
      <c r="F943" s="7"/>
      <c r="G943" s="7"/>
      <c r="H943" s="7"/>
      <c r="I943" s="7"/>
      <c r="J943" s="7"/>
      <c r="K943" s="7"/>
      <c r="L943" s="7"/>
      <c r="M943" s="7"/>
      <c r="N943" s="7"/>
      <c r="O943" s="7"/>
      <c r="P943" s="7"/>
      <c r="Q943" s="7"/>
      <c r="R943" s="7"/>
      <c r="S943" s="7"/>
      <c r="T943" s="7"/>
      <c r="U943" s="7"/>
    </row>
    <row r="944" spans="1:21" x14ac:dyDescent="0.25">
      <c r="A944" s="7"/>
      <c r="B944" s="7"/>
      <c r="C944" s="7"/>
      <c r="D944" s="7"/>
      <c r="E944" s="7"/>
      <c r="F944" s="7"/>
      <c r="G944" s="7"/>
      <c r="H944" s="7"/>
      <c r="I944" s="7"/>
      <c r="J944" s="7"/>
      <c r="K944" s="7"/>
      <c r="L944" s="7"/>
      <c r="M944" s="7"/>
      <c r="N944" s="7"/>
      <c r="O944" s="7"/>
      <c r="P944" s="7"/>
      <c r="Q944" s="7"/>
      <c r="R944" s="7"/>
      <c r="S944" s="7"/>
      <c r="T944" s="7"/>
      <c r="U944" s="7"/>
    </row>
    <row r="945" spans="1:21" x14ac:dyDescent="0.25">
      <c r="A945" s="7"/>
      <c r="B945" s="7"/>
      <c r="C945" s="7"/>
      <c r="D945" s="7"/>
      <c r="E945" s="7"/>
      <c r="F945" s="7"/>
      <c r="G945" s="7"/>
      <c r="H945" s="7"/>
      <c r="I945" s="7"/>
      <c r="J945" s="7"/>
      <c r="K945" s="7"/>
      <c r="L945" s="7"/>
      <c r="M945" s="7"/>
      <c r="N945" s="7"/>
      <c r="O945" s="7"/>
      <c r="P945" s="7"/>
      <c r="Q945" s="7"/>
      <c r="R945" s="7"/>
      <c r="S945" s="7"/>
      <c r="T945" s="7"/>
      <c r="U945" s="7"/>
    </row>
    <row r="946" spans="1:21" x14ac:dyDescent="0.25">
      <c r="A946" s="7"/>
      <c r="B946" s="7"/>
      <c r="C946" s="7"/>
      <c r="D946" s="7"/>
      <c r="E946" s="7"/>
      <c r="F946" s="7"/>
      <c r="G946" s="7"/>
      <c r="H946" s="7"/>
      <c r="I946" s="7"/>
      <c r="J946" s="7"/>
      <c r="K946" s="7"/>
      <c r="L946" s="7"/>
      <c r="M946" s="7"/>
      <c r="N946" s="7"/>
      <c r="O946" s="7"/>
      <c r="P946" s="7"/>
      <c r="Q946" s="7"/>
      <c r="R946" s="7"/>
      <c r="S946" s="7"/>
      <c r="T946" s="7"/>
      <c r="U946" s="7"/>
    </row>
    <row r="947" spans="1:21" x14ac:dyDescent="0.25">
      <c r="A947" s="7"/>
      <c r="B947" s="7"/>
      <c r="C947" s="7"/>
      <c r="D947" s="7"/>
      <c r="E947" s="7"/>
      <c r="F947" s="7"/>
      <c r="G947" s="7"/>
      <c r="H947" s="7"/>
      <c r="I947" s="7"/>
      <c r="J947" s="7"/>
      <c r="K947" s="7"/>
      <c r="L947" s="7"/>
      <c r="M947" s="7"/>
      <c r="N947" s="7"/>
      <c r="O947" s="7"/>
      <c r="P947" s="7"/>
      <c r="Q947" s="7"/>
      <c r="R947" s="7"/>
      <c r="S947" s="7"/>
      <c r="T947" s="7"/>
      <c r="U947" s="7"/>
    </row>
    <row r="948" spans="1:21" x14ac:dyDescent="0.25">
      <c r="A948" s="7"/>
      <c r="B948" s="7"/>
      <c r="C948" s="7"/>
      <c r="D948" s="7"/>
      <c r="E948" s="7"/>
      <c r="F948" s="7"/>
      <c r="G948" s="7"/>
      <c r="H948" s="7"/>
      <c r="I948" s="7"/>
      <c r="J948" s="7"/>
      <c r="K948" s="7"/>
      <c r="L948" s="7"/>
      <c r="M948" s="7"/>
      <c r="N948" s="7"/>
      <c r="O948" s="7"/>
      <c r="P948" s="7"/>
      <c r="Q948" s="7"/>
      <c r="R948" s="7"/>
      <c r="S948" s="7"/>
      <c r="T948" s="7"/>
      <c r="U948" s="7"/>
    </row>
    <row r="949" spans="1:21" x14ac:dyDescent="0.25">
      <c r="A949" s="7"/>
      <c r="B949" s="7"/>
      <c r="C949" s="7"/>
      <c r="D949" s="7"/>
      <c r="E949" s="7"/>
      <c r="F949" s="7"/>
      <c r="G949" s="7"/>
      <c r="H949" s="7"/>
      <c r="I949" s="7"/>
      <c r="J949" s="7"/>
      <c r="K949" s="7"/>
      <c r="L949" s="7"/>
      <c r="M949" s="7"/>
      <c r="N949" s="7"/>
      <c r="O949" s="7"/>
      <c r="P949" s="7"/>
      <c r="Q949" s="7"/>
      <c r="R949" s="7"/>
      <c r="S949" s="7"/>
      <c r="T949" s="7"/>
      <c r="U949" s="7"/>
    </row>
    <row r="950" spans="1:21" x14ac:dyDescent="0.25">
      <c r="A950" s="7"/>
      <c r="B950" s="7"/>
      <c r="C950" s="7"/>
      <c r="D950" s="7"/>
      <c r="E950" s="7"/>
      <c r="F950" s="7"/>
      <c r="G950" s="7"/>
      <c r="H950" s="7"/>
      <c r="I950" s="7"/>
      <c r="J950" s="7"/>
      <c r="K950" s="7"/>
      <c r="L950" s="7"/>
      <c r="M950" s="7"/>
      <c r="N950" s="7"/>
      <c r="O950" s="7"/>
      <c r="P950" s="7"/>
      <c r="Q950" s="7"/>
      <c r="R950" s="7"/>
      <c r="S950" s="7"/>
      <c r="T950" s="7"/>
      <c r="U950" s="7"/>
    </row>
    <row r="951" spans="1:21" x14ac:dyDescent="0.25">
      <c r="A951" s="7"/>
      <c r="B951" s="7"/>
      <c r="C951" s="7"/>
      <c r="D951" s="7"/>
      <c r="E951" s="7"/>
      <c r="F951" s="7"/>
      <c r="G951" s="7"/>
      <c r="H951" s="7"/>
      <c r="I951" s="7"/>
      <c r="J951" s="7"/>
      <c r="K951" s="7"/>
      <c r="L951" s="7"/>
      <c r="M951" s="7"/>
      <c r="N951" s="7"/>
      <c r="O951" s="7"/>
      <c r="P951" s="7"/>
      <c r="Q951" s="7"/>
      <c r="R951" s="7"/>
      <c r="S951" s="7"/>
      <c r="T951" s="7"/>
      <c r="U951" s="7"/>
    </row>
    <row r="952" spans="1:21" x14ac:dyDescent="0.25">
      <c r="A952" s="7"/>
      <c r="B952" s="7"/>
      <c r="C952" s="7"/>
      <c r="D952" s="7"/>
      <c r="E952" s="7"/>
      <c r="F952" s="7"/>
      <c r="G952" s="7"/>
      <c r="H952" s="7"/>
      <c r="I952" s="7"/>
      <c r="J952" s="7"/>
      <c r="K952" s="7"/>
      <c r="L952" s="7"/>
      <c r="M952" s="7"/>
      <c r="N952" s="7"/>
      <c r="O952" s="7"/>
      <c r="P952" s="7"/>
      <c r="Q952" s="7"/>
      <c r="R952" s="7"/>
      <c r="S952" s="7"/>
      <c r="T952" s="7"/>
      <c r="U952" s="7"/>
    </row>
    <row r="953" spans="1:21" x14ac:dyDescent="0.25">
      <c r="A953" s="7"/>
      <c r="B953" s="7"/>
      <c r="C953" s="7"/>
      <c r="D953" s="7"/>
      <c r="E953" s="7"/>
      <c r="F953" s="7"/>
      <c r="G953" s="7"/>
      <c r="H953" s="7"/>
      <c r="I953" s="7"/>
      <c r="J953" s="7"/>
      <c r="K953" s="7"/>
      <c r="L953" s="7"/>
      <c r="M953" s="7"/>
      <c r="N953" s="7"/>
      <c r="O953" s="7"/>
      <c r="P953" s="7"/>
      <c r="Q953" s="7"/>
      <c r="R953" s="7"/>
      <c r="S953" s="7"/>
      <c r="T953" s="7"/>
      <c r="U953" s="7"/>
    </row>
    <row r="954" spans="1:21" x14ac:dyDescent="0.25">
      <c r="A954" s="7"/>
      <c r="B954" s="7"/>
      <c r="C954" s="7"/>
      <c r="D954" s="7"/>
      <c r="E954" s="7"/>
      <c r="F954" s="7"/>
      <c r="G954" s="7"/>
      <c r="H954" s="7"/>
      <c r="I954" s="7"/>
      <c r="J954" s="7"/>
      <c r="K954" s="7"/>
      <c r="L954" s="7"/>
      <c r="M954" s="7"/>
      <c r="N954" s="7"/>
      <c r="O954" s="7"/>
      <c r="P954" s="7"/>
      <c r="Q954" s="7"/>
      <c r="R954" s="7"/>
      <c r="S954" s="7"/>
      <c r="T954" s="7"/>
      <c r="U954" s="7"/>
    </row>
    <row r="955" spans="1:21" x14ac:dyDescent="0.25">
      <c r="A955" s="7"/>
      <c r="B955" s="7"/>
      <c r="C955" s="7"/>
      <c r="D955" s="7"/>
      <c r="E955" s="7"/>
      <c r="F955" s="7"/>
      <c r="G955" s="7"/>
      <c r="H955" s="7"/>
      <c r="I955" s="7"/>
      <c r="J955" s="7"/>
      <c r="K955" s="7"/>
      <c r="L955" s="7"/>
      <c r="M955" s="7"/>
      <c r="N955" s="7"/>
      <c r="O955" s="7"/>
      <c r="P955" s="7"/>
      <c r="Q955" s="7"/>
      <c r="R955" s="7"/>
      <c r="S955" s="7"/>
      <c r="T955" s="7"/>
      <c r="U955" s="7"/>
    </row>
    <row r="956" spans="1:21" x14ac:dyDescent="0.25">
      <c r="A956" s="7"/>
      <c r="B956" s="7"/>
      <c r="C956" s="7"/>
      <c r="D956" s="7"/>
      <c r="E956" s="7"/>
      <c r="F956" s="7"/>
      <c r="G956" s="7"/>
      <c r="H956" s="7"/>
      <c r="I956" s="7"/>
      <c r="J956" s="7"/>
      <c r="K956" s="7"/>
      <c r="L956" s="7"/>
      <c r="M956" s="7"/>
      <c r="N956" s="7"/>
      <c r="O956" s="7"/>
      <c r="P956" s="7"/>
      <c r="Q956" s="7"/>
      <c r="R956" s="7"/>
      <c r="S956" s="7"/>
      <c r="T956" s="7"/>
      <c r="U956" s="7"/>
    </row>
    <row r="957" spans="1:21" x14ac:dyDescent="0.25">
      <c r="A957" s="7"/>
      <c r="B957" s="7"/>
      <c r="C957" s="7"/>
      <c r="D957" s="7"/>
      <c r="E957" s="7"/>
      <c r="F957" s="7"/>
      <c r="G957" s="7"/>
      <c r="H957" s="7"/>
      <c r="I957" s="7"/>
      <c r="J957" s="7"/>
      <c r="K957" s="7"/>
      <c r="L957" s="7"/>
      <c r="M957" s="7"/>
      <c r="N957" s="7"/>
      <c r="O957" s="7"/>
      <c r="P957" s="7"/>
      <c r="Q957" s="7"/>
      <c r="R957" s="7"/>
      <c r="S957" s="7"/>
      <c r="T957" s="7"/>
      <c r="U957" s="7"/>
    </row>
    <row r="958" spans="1:21" x14ac:dyDescent="0.25">
      <c r="A958" s="7"/>
      <c r="B958" s="7"/>
      <c r="C958" s="7"/>
      <c r="D958" s="7"/>
      <c r="E958" s="7"/>
      <c r="F958" s="7"/>
      <c r="G958" s="7"/>
      <c r="H958" s="7"/>
      <c r="I958" s="7"/>
      <c r="J958" s="7"/>
      <c r="K958" s="7"/>
      <c r="L958" s="7"/>
      <c r="M958" s="7"/>
      <c r="N958" s="7"/>
      <c r="O958" s="7"/>
      <c r="P958" s="7"/>
      <c r="Q958" s="7"/>
      <c r="R958" s="7"/>
      <c r="S958" s="7"/>
      <c r="T958" s="7"/>
      <c r="U958" s="7"/>
    </row>
    <row r="959" spans="1:21" x14ac:dyDescent="0.25">
      <c r="A959" s="7"/>
      <c r="B959" s="7"/>
      <c r="C959" s="7"/>
      <c r="D959" s="7"/>
      <c r="E959" s="7"/>
      <c r="F959" s="7"/>
      <c r="G959" s="7"/>
      <c r="H959" s="7"/>
      <c r="I959" s="7"/>
      <c r="J959" s="7"/>
      <c r="K959" s="7"/>
      <c r="L959" s="7"/>
      <c r="M959" s="7"/>
      <c r="N959" s="7"/>
      <c r="O959" s="7"/>
      <c r="P959" s="7"/>
      <c r="Q959" s="7"/>
      <c r="R959" s="7"/>
      <c r="S959" s="7"/>
      <c r="T959" s="7"/>
      <c r="U959" s="7"/>
    </row>
    <row r="960" spans="1:21" x14ac:dyDescent="0.25">
      <c r="A960" s="7"/>
      <c r="B960" s="7"/>
      <c r="C960" s="7"/>
      <c r="D960" s="7"/>
      <c r="E960" s="7"/>
      <c r="F960" s="7"/>
      <c r="G960" s="7"/>
      <c r="H960" s="7"/>
      <c r="I960" s="7"/>
      <c r="J960" s="7"/>
      <c r="K960" s="7"/>
      <c r="L960" s="7"/>
      <c r="M960" s="7"/>
      <c r="N960" s="7"/>
      <c r="O960" s="7"/>
      <c r="P960" s="7"/>
      <c r="Q960" s="7"/>
      <c r="R960" s="7"/>
      <c r="S960" s="7"/>
      <c r="T960" s="7"/>
      <c r="U960" s="7"/>
    </row>
    <row r="961" spans="1:21" x14ac:dyDescent="0.25">
      <c r="A961" s="7"/>
      <c r="B961" s="7"/>
      <c r="C961" s="7"/>
      <c r="D961" s="7"/>
      <c r="E961" s="7"/>
      <c r="F961" s="7"/>
      <c r="G961" s="7"/>
      <c r="H961" s="7"/>
      <c r="I961" s="7"/>
      <c r="J961" s="7"/>
      <c r="K961" s="7"/>
      <c r="L961" s="7"/>
      <c r="M961" s="7"/>
      <c r="N961" s="7"/>
      <c r="O961" s="7"/>
      <c r="P961" s="7"/>
      <c r="Q961" s="7"/>
      <c r="R961" s="7"/>
      <c r="S961" s="7"/>
      <c r="T961" s="7"/>
      <c r="U961" s="7"/>
    </row>
    <row r="962" spans="1:21" x14ac:dyDescent="0.25">
      <c r="A962" s="7"/>
      <c r="B962" s="7"/>
      <c r="C962" s="7"/>
      <c r="D962" s="7"/>
      <c r="E962" s="7"/>
      <c r="F962" s="7"/>
      <c r="G962" s="7"/>
      <c r="H962" s="7"/>
      <c r="I962" s="7"/>
      <c r="J962" s="7"/>
      <c r="K962" s="7"/>
      <c r="L962" s="7"/>
      <c r="M962" s="7"/>
      <c r="N962" s="7"/>
      <c r="O962" s="7"/>
      <c r="P962" s="7"/>
      <c r="Q962" s="7"/>
      <c r="R962" s="7"/>
      <c r="S962" s="7"/>
      <c r="T962" s="7"/>
      <c r="U962" s="7"/>
    </row>
    <row r="963" spans="1:21" x14ac:dyDescent="0.25">
      <c r="A963" s="7"/>
      <c r="B963" s="7"/>
      <c r="C963" s="7"/>
      <c r="D963" s="7"/>
      <c r="E963" s="7"/>
      <c r="F963" s="7"/>
      <c r="G963" s="7"/>
      <c r="H963" s="7"/>
      <c r="I963" s="7"/>
      <c r="J963" s="7"/>
      <c r="K963" s="7"/>
      <c r="L963" s="7"/>
      <c r="M963" s="7"/>
      <c r="N963" s="7"/>
      <c r="O963" s="7"/>
      <c r="P963" s="7"/>
      <c r="Q963" s="7"/>
      <c r="R963" s="7"/>
      <c r="S963" s="7"/>
      <c r="T963" s="7"/>
      <c r="U963" s="7"/>
    </row>
    <row r="964" spans="1:21" x14ac:dyDescent="0.25">
      <c r="A964" s="7"/>
      <c r="B964" s="7"/>
      <c r="C964" s="7"/>
      <c r="D964" s="7"/>
      <c r="E964" s="7"/>
      <c r="F964" s="7"/>
      <c r="G964" s="7"/>
      <c r="H964" s="7"/>
      <c r="I964" s="7"/>
      <c r="J964" s="7"/>
      <c r="K964" s="7"/>
      <c r="L964" s="7"/>
      <c r="M964" s="7"/>
      <c r="N964" s="7"/>
      <c r="O964" s="7"/>
      <c r="P964" s="7"/>
      <c r="Q964" s="7"/>
      <c r="R964" s="7"/>
      <c r="S964" s="7"/>
      <c r="T964" s="7"/>
      <c r="U964" s="7"/>
    </row>
    <row r="965" spans="1:21" x14ac:dyDescent="0.25">
      <c r="A965" s="7"/>
      <c r="B965" s="7"/>
      <c r="C965" s="7"/>
      <c r="D965" s="7"/>
      <c r="E965" s="7"/>
      <c r="F965" s="7"/>
      <c r="G965" s="7"/>
      <c r="H965" s="7"/>
      <c r="I965" s="7"/>
      <c r="J965" s="7"/>
      <c r="K965" s="7"/>
      <c r="L965" s="7"/>
      <c r="M965" s="7"/>
      <c r="N965" s="7"/>
      <c r="O965" s="7"/>
      <c r="P965" s="7"/>
      <c r="Q965" s="7"/>
      <c r="R965" s="7"/>
      <c r="S965" s="7"/>
      <c r="T965" s="7"/>
      <c r="U965" s="7"/>
    </row>
    <row r="966" spans="1:21" x14ac:dyDescent="0.25">
      <c r="A966" s="7"/>
      <c r="B966" s="7"/>
      <c r="C966" s="7"/>
      <c r="D966" s="7"/>
      <c r="E966" s="7"/>
      <c r="F966" s="7"/>
      <c r="G966" s="7"/>
      <c r="H966" s="7"/>
      <c r="I966" s="7"/>
      <c r="J966" s="7"/>
      <c r="K966" s="7"/>
      <c r="L966" s="7"/>
      <c r="M966" s="7"/>
      <c r="N966" s="7"/>
      <c r="O966" s="7"/>
      <c r="P966" s="7"/>
      <c r="Q966" s="7"/>
      <c r="R966" s="7"/>
      <c r="S966" s="7"/>
      <c r="T966" s="7"/>
      <c r="U966" s="7"/>
    </row>
    <row r="967" spans="1:21" x14ac:dyDescent="0.25">
      <c r="A967" s="7"/>
      <c r="B967" s="7"/>
      <c r="C967" s="7"/>
      <c r="D967" s="7"/>
      <c r="E967" s="7"/>
      <c r="F967" s="7"/>
      <c r="G967" s="7"/>
      <c r="H967" s="7"/>
      <c r="I967" s="7"/>
      <c r="J967" s="7"/>
      <c r="K967" s="7"/>
      <c r="L967" s="7"/>
      <c r="M967" s="7"/>
      <c r="N967" s="7"/>
      <c r="O967" s="7"/>
      <c r="P967" s="7"/>
      <c r="Q967" s="7"/>
      <c r="R967" s="7"/>
      <c r="S967" s="7"/>
      <c r="T967" s="7"/>
      <c r="U967" s="7"/>
    </row>
    <row r="968" spans="1:21" x14ac:dyDescent="0.25">
      <c r="A968" s="7"/>
      <c r="B968" s="7"/>
      <c r="C968" s="7"/>
      <c r="D968" s="7"/>
      <c r="E968" s="7"/>
      <c r="F968" s="7"/>
      <c r="G968" s="7"/>
      <c r="H968" s="7"/>
      <c r="I968" s="7"/>
      <c r="J968" s="7"/>
      <c r="K968" s="7"/>
      <c r="L968" s="7"/>
      <c r="M968" s="7"/>
      <c r="N968" s="7"/>
      <c r="O968" s="7"/>
      <c r="P968" s="7"/>
      <c r="Q968" s="7"/>
      <c r="R968" s="7"/>
      <c r="S968" s="7"/>
      <c r="T968" s="7"/>
      <c r="U968" s="7"/>
    </row>
    <row r="969" spans="1:21" x14ac:dyDescent="0.25">
      <c r="A969" s="7"/>
      <c r="B969" s="7"/>
      <c r="C969" s="7"/>
      <c r="D969" s="7"/>
      <c r="E969" s="7"/>
      <c r="F969" s="7"/>
      <c r="G969" s="7"/>
      <c r="H969" s="7"/>
      <c r="I969" s="7"/>
      <c r="J969" s="7"/>
      <c r="K969" s="7"/>
      <c r="L969" s="7"/>
      <c r="M969" s="7"/>
      <c r="N969" s="7"/>
      <c r="O969" s="7"/>
      <c r="P969" s="7"/>
      <c r="Q969" s="7"/>
      <c r="R969" s="7"/>
      <c r="S969" s="7"/>
      <c r="T969" s="7"/>
      <c r="U969" s="7"/>
    </row>
    <row r="970" spans="1:21" x14ac:dyDescent="0.25">
      <c r="A970" s="7"/>
      <c r="B970" s="7"/>
      <c r="C970" s="7"/>
      <c r="D970" s="7"/>
      <c r="E970" s="7"/>
      <c r="F970" s="7"/>
      <c r="G970" s="7"/>
      <c r="H970" s="7"/>
      <c r="I970" s="7"/>
      <c r="J970" s="7"/>
      <c r="K970" s="7"/>
      <c r="L970" s="7"/>
      <c r="M970" s="7"/>
      <c r="N970" s="7"/>
      <c r="O970" s="7"/>
      <c r="P970" s="7"/>
      <c r="Q970" s="7"/>
      <c r="R970" s="7"/>
      <c r="S970" s="7"/>
      <c r="T970" s="7"/>
      <c r="U970" s="7"/>
    </row>
    <row r="971" spans="1:21" x14ac:dyDescent="0.25">
      <c r="A971" s="7"/>
      <c r="B971" s="7"/>
      <c r="C971" s="7"/>
      <c r="D971" s="7"/>
      <c r="E971" s="7"/>
      <c r="F971" s="7"/>
      <c r="G971" s="7"/>
      <c r="H971" s="7"/>
      <c r="I971" s="7"/>
      <c r="J971" s="7"/>
      <c r="K971" s="7"/>
      <c r="L971" s="7"/>
      <c r="M971" s="7"/>
      <c r="N971" s="7"/>
      <c r="O971" s="7"/>
      <c r="P971" s="7"/>
      <c r="Q971" s="7"/>
      <c r="R971" s="7"/>
      <c r="S971" s="7"/>
      <c r="T971" s="7"/>
      <c r="U971" s="7"/>
    </row>
    <row r="972" spans="1:21" x14ac:dyDescent="0.25">
      <c r="A972" s="7"/>
      <c r="B972" s="7"/>
      <c r="C972" s="7"/>
      <c r="D972" s="7"/>
      <c r="E972" s="7"/>
      <c r="F972" s="7"/>
      <c r="G972" s="7"/>
      <c r="H972" s="7"/>
      <c r="I972" s="7"/>
      <c r="J972" s="7"/>
      <c r="K972" s="7"/>
      <c r="L972" s="7"/>
      <c r="M972" s="7"/>
      <c r="N972" s="7"/>
      <c r="O972" s="7"/>
      <c r="P972" s="7"/>
      <c r="Q972" s="7"/>
      <c r="R972" s="7"/>
      <c r="S972" s="7"/>
      <c r="T972" s="7"/>
      <c r="U972" s="7"/>
    </row>
    <row r="973" spans="1:21" x14ac:dyDescent="0.25">
      <c r="A973" s="7"/>
      <c r="B973" s="7"/>
      <c r="C973" s="7"/>
      <c r="D973" s="7"/>
      <c r="E973" s="7"/>
      <c r="F973" s="7"/>
      <c r="G973" s="7"/>
      <c r="H973" s="7"/>
      <c r="I973" s="7"/>
      <c r="J973" s="7"/>
      <c r="K973" s="7"/>
      <c r="L973" s="7"/>
      <c r="M973" s="7"/>
      <c r="N973" s="7"/>
      <c r="O973" s="7"/>
      <c r="P973" s="7"/>
      <c r="Q973" s="7"/>
      <c r="R973" s="7"/>
      <c r="S973" s="7"/>
      <c r="T973" s="7"/>
      <c r="U973" s="7"/>
    </row>
    <row r="974" spans="1:21" x14ac:dyDescent="0.25">
      <c r="A974" s="7"/>
      <c r="B974" s="7"/>
      <c r="C974" s="7"/>
      <c r="D974" s="7"/>
      <c r="E974" s="7"/>
      <c r="F974" s="7"/>
      <c r="G974" s="7"/>
      <c r="H974" s="7"/>
      <c r="I974" s="7"/>
      <c r="J974" s="7"/>
      <c r="K974" s="7"/>
      <c r="L974" s="7"/>
      <c r="M974" s="7"/>
      <c r="N974" s="7"/>
      <c r="O974" s="7"/>
      <c r="P974" s="7"/>
      <c r="Q974" s="7"/>
      <c r="R974" s="7"/>
      <c r="S974" s="7"/>
      <c r="T974" s="7"/>
      <c r="U974" s="7"/>
    </row>
    <row r="975" spans="1:21" x14ac:dyDescent="0.25">
      <c r="A975" s="7"/>
      <c r="B975" s="7"/>
      <c r="C975" s="7"/>
      <c r="D975" s="7"/>
      <c r="E975" s="7"/>
      <c r="F975" s="7"/>
      <c r="G975" s="7"/>
      <c r="H975" s="7"/>
      <c r="I975" s="7"/>
      <c r="J975" s="7"/>
      <c r="K975" s="7"/>
      <c r="L975" s="7"/>
      <c r="M975" s="7"/>
      <c r="N975" s="7"/>
      <c r="O975" s="7"/>
      <c r="P975" s="7"/>
      <c r="Q975" s="7"/>
      <c r="R975" s="7"/>
      <c r="S975" s="7"/>
      <c r="T975" s="7"/>
      <c r="U975" s="7"/>
    </row>
    <row r="976" spans="1:21" x14ac:dyDescent="0.25">
      <c r="A976" s="7"/>
      <c r="B976" s="7"/>
      <c r="C976" s="7"/>
      <c r="D976" s="7"/>
      <c r="E976" s="7"/>
      <c r="F976" s="7"/>
      <c r="G976" s="7"/>
      <c r="H976" s="7"/>
      <c r="I976" s="7"/>
      <c r="J976" s="7"/>
      <c r="K976" s="7"/>
      <c r="L976" s="7"/>
      <c r="M976" s="7"/>
      <c r="N976" s="7"/>
      <c r="O976" s="7"/>
      <c r="P976" s="7"/>
      <c r="Q976" s="7"/>
      <c r="R976" s="7"/>
      <c r="S976" s="7"/>
      <c r="T976" s="7"/>
      <c r="U976" s="7"/>
    </row>
    <row r="977" spans="1:21" x14ac:dyDescent="0.25">
      <c r="A977" s="7"/>
      <c r="B977" s="7"/>
      <c r="C977" s="7"/>
      <c r="D977" s="7"/>
      <c r="E977" s="7"/>
      <c r="F977" s="7"/>
      <c r="G977" s="7"/>
      <c r="H977" s="7"/>
      <c r="I977" s="7"/>
      <c r="J977" s="7"/>
      <c r="K977" s="7"/>
      <c r="L977" s="7"/>
      <c r="M977" s="7"/>
      <c r="N977" s="7"/>
      <c r="O977" s="7"/>
      <c r="P977" s="7"/>
      <c r="Q977" s="7"/>
      <c r="R977" s="7"/>
      <c r="S977" s="7"/>
      <c r="T977" s="7"/>
      <c r="U977" s="7"/>
    </row>
    <row r="978" spans="1:21" x14ac:dyDescent="0.25">
      <c r="A978" s="7"/>
      <c r="B978" s="7"/>
      <c r="C978" s="7"/>
      <c r="D978" s="7"/>
      <c r="E978" s="7"/>
      <c r="F978" s="7"/>
      <c r="G978" s="7"/>
      <c r="H978" s="7"/>
      <c r="I978" s="7"/>
      <c r="J978" s="7"/>
      <c r="K978" s="7"/>
      <c r="L978" s="7"/>
      <c r="M978" s="7"/>
      <c r="N978" s="7"/>
      <c r="O978" s="7"/>
      <c r="P978" s="7"/>
      <c r="Q978" s="7"/>
      <c r="R978" s="7"/>
      <c r="S978" s="7"/>
      <c r="T978" s="7"/>
      <c r="U978" s="7"/>
    </row>
    <row r="979" spans="1:21" x14ac:dyDescent="0.25">
      <c r="A979" s="7"/>
      <c r="B979" s="7"/>
      <c r="C979" s="7"/>
      <c r="D979" s="7"/>
      <c r="E979" s="7"/>
      <c r="F979" s="7"/>
      <c r="G979" s="7"/>
      <c r="H979" s="7"/>
      <c r="I979" s="7"/>
      <c r="J979" s="7"/>
      <c r="K979" s="7"/>
      <c r="L979" s="7"/>
      <c r="M979" s="7"/>
      <c r="N979" s="7"/>
      <c r="O979" s="7"/>
      <c r="P979" s="7"/>
      <c r="Q979" s="7"/>
      <c r="R979" s="7"/>
      <c r="S979" s="7"/>
      <c r="T979" s="7"/>
      <c r="U979" s="7"/>
    </row>
    <row r="980" spans="1:21" x14ac:dyDescent="0.25">
      <c r="A980" s="7"/>
      <c r="B980" s="7"/>
      <c r="C980" s="7"/>
      <c r="D980" s="7"/>
      <c r="E980" s="7"/>
      <c r="F980" s="7"/>
      <c r="G980" s="7"/>
      <c r="H980" s="7"/>
      <c r="I980" s="7"/>
      <c r="J980" s="7"/>
      <c r="K980" s="7"/>
      <c r="L980" s="7"/>
      <c r="M980" s="7"/>
      <c r="N980" s="7"/>
      <c r="O980" s="7"/>
      <c r="P980" s="7"/>
      <c r="Q980" s="7"/>
      <c r="R980" s="7"/>
      <c r="S980" s="7"/>
      <c r="T980" s="7"/>
      <c r="U980" s="7"/>
    </row>
    <row r="981" spans="1:21" x14ac:dyDescent="0.25">
      <c r="A981" s="7"/>
      <c r="B981" s="7"/>
      <c r="C981" s="7"/>
      <c r="D981" s="7"/>
      <c r="E981" s="7"/>
      <c r="F981" s="7"/>
      <c r="G981" s="7"/>
      <c r="H981" s="7"/>
      <c r="I981" s="7"/>
      <c r="J981" s="7"/>
      <c r="K981" s="7"/>
      <c r="L981" s="7"/>
      <c r="M981" s="7"/>
      <c r="N981" s="7"/>
      <c r="O981" s="7"/>
      <c r="P981" s="7"/>
      <c r="Q981" s="7"/>
      <c r="R981" s="7"/>
      <c r="S981" s="7"/>
      <c r="T981" s="7"/>
      <c r="U981" s="7"/>
    </row>
    <row r="982" spans="1:21" x14ac:dyDescent="0.25">
      <c r="A982" s="7"/>
      <c r="B982" s="7"/>
      <c r="C982" s="7"/>
      <c r="D982" s="7"/>
      <c r="E982" s="7"/>
      <c r="F982" s="7"/>
      <c r="G982" s="7"/>
      <c r="H982" s="7"/>
      <c r="I982" s="7"/>
      <c r="J982" s="7"/>
      <c r="K982" s="7"/>
      <c r="L982" s="7"/>
      <c r="M982" s="7"/>
      <c r="N982" s="7"/>
      <c r="O982" s="7"/>
      <c r="P982" s="7"/>
      <c r="Q982" s="7"/>
      <c r="R982" s="7"/>
      <c r="S982" s="7"/>
      <c r="T982" s="7"/>
      <c r="U982" s="7"/>
    </row>
    <row r="983" spans="1:21" x14ac:dyDescent="0.25">
      <c r="A983" s="7"/>
      <c r="B983" s="7"/>
      <c r="C983" s="7"/>
      <c r="D983" s="7"/>
      <c r="E983" s="7"/>
      <c r="F983" s="7"/>
      <c r="G983" s="7"/>
      <c r="H983" s="7"/>
      <c r="I983" s="7"/>
      <c r="J983" s="7"/>
      <c r="K983" s="7"/>
      <c r="L983" s="7"/>
      <c r="M983" s="7"/>
      <c r="N983" s="7"/>
      <c r="O983" s="7"/>
      <c r="P983" s="7"/>
      <c r="Q983" s="7"/>
      <c r="R983" s="7"/>
      <c r="S983" s="7"/>
      <c r="T983" s="7"/>
      <c r="U983" s="7"/>
    </row>
    <row r="984" spans="1:21" x14ac:dyDescent="0.25">
      <c r="A984" s="7"/>
      <c r="B984" s="7"/>
      <c r="C984" s="7"/>
      <c r="D984" s="7"/>
      <c r="E984" s="7"/>
      <c r="F984" s="7"/>
      <c r="G984" s="7"/>
      <c r="H984" s="7"/>
      <c r="I984" s="7"/>
      <c r="J984" s="7"/>
      <c r="K984" s="7"/>
      <c r="L984" s="7"/>
      <c r="M984" s="7"/>
      <c r="N984" s="7"/>
      <c r="O984" s="7"/>
      <c r="P984" s="7"/>
      <c r="Q984" s="7"/>
      <c r="R984" s="7"/>
      <c r="S984" s="7"/>
      <c r="T984" s="7"/>
      <c r="U984" s="7"/>
    </row>
    <row r="985" spans="1:21" x14ac:dyDescent="0.25">
      <c r="A985" s="7"/>
      <c r="B985" s="7"/>
      <c r="C985" s="7"/>
      <c r="D985" s="7"/>
      <c r="E985" s="7"/>
      <c r="F985" s="7"/>
      <c r="G985" s="7"/>
      <c r="H985" s="7"/>
      <c r="I985" s="7"/>
      <c r="J985" s="7"/>
      <c r="K985" s="7"/>
      <c r="L985" s="7"/>
      <c r="M985" s="7"/>
      <c r="N985" s="7"/>
      <c r="O985" s="7"/>
      <c r="P985" s="7"/>
      <c r="Q985" s="7"/>
      <c r="R985" s="7"/>
      <c r="S985" s="7"/>
      <c r="T985" s="7"/>
      <c r="U985" s="7"/>
    </row>
    <row r="986" spans="1:21" x14ac:dyDescent="0.25">
      <c r="A986" s="7"/>
      <c r="B986" s="7"/>
      <c r="C986" s="7"/>
      <c r="D986" s="7"/>
      <c r="E986" s="7"/>
      <c r="F986" s="7"/>
      <c r="G986" s="7"/>
      <c r="H986" s="7"/>
      <c r="I986" s="7"/>
      <c r="J986" s="7"/>
      <c r="K986" s="7"/>
      <c r="L986" s="7"/>
      <c r="M986" s="7"/>
      <c r="N986" s="7"/>
      <c r="O986" s="7"/>
      <c r="P986" s="7"/>
      <c r="Q986" s="7"/>
      <c r="R986" s="7"/>
      <c r="S986" s="7"/>
      <c r="T986" s="7"/>
      <c r="U986" s="7"/>
    </row>
    <row r="987" spans="1:21" x14ac:dyDescent="0.25">
      <c r="A987" s="7"/>
      <c r="B987" s="7"/>
      <c r="C987" s="7"/>
      <c r="D987" s="7"/>
      <c r="E987" s="7"/>
      <c r="F987" s="7"/>
      <c r="G987" s="7"/>
      <c r="H987" s="7"/>
      <c r="I987" s="7"/>
      <c r="J987" s="7"/>
      <c r="K987" s="7"/>
      <c r="L987" s="7"/>
      <c r="M987" s="7"/>
      <c r="N987" s="7"/>
      <c r="O987" s="7"/>
      <c r="P987" s="7"/>
      <c r="Q987" s="7"/>
      <c r="R987" s="7"/>
      <c r="S987" s="7"/>
      <c r="T987" s="7"/>
      <c r="U987" s="7"/>
    </row>
    <row r="988" spans="1:21" x14ac:dyDescent="0.25">
      <c r="A988" s="7"/>
      <c r="B988" s="7"/>
      <c r="C988" s="7"/>
      <c r="D988" s="7"/>
      <c r="E988" s="7"/>
      <c r="F988" s="7"/>
      <c r="G988" s="7"/>
      <c r="H988" s="7"/>
      <c r="I988" s="7"/>
      <c r="J988" s="7"/>
      <c r="K988" s="7"/>
      <c r="L988" s="7"/>
      <c r="M988" s="7"/>
      <c r="N988" s="7"/>
      <c r="O988" s="7"/>
      <c r="P988" s="7"/>
      <c r="Q988" s="7"/>
      <c r="R988" s="7"/>
      <c r="S988" s="7"/>
      <c r="T988" s="7"/>
      <c r="U988" s="7"/>
    </row>
    <row r="989" spans="1:21" x14ac:dyDescent="0.25">
      <c r="A989" s="7"/>
      <c r="B989" s="7"/>
      <c r="C989" s="7"/>
      <c r="D989" s="7"/>
      <c r="E989" s="7"/>
      <c r="F989" s="7"/>
      <c r="G989" s="7"/>
      <c r="H989" s="7"/>
      <c r="I989" s="7"/>
      <c r="J989" s="7"/>
      <c r="K989" s="7"/>
      <c r="L989" s="7"/>
      <c r="M989" s="7"/>
      <c r="N989" s="7"/>
      <c r="O989" s="7"/>
      <c r="P989" s="7"/>
      <c r="Q989" s="7"/>
      <c r="R989" s="7"/>
      <c r="S989" s="7"/>
      <c r="T989" s="7"/>
      <c r="U989" s="7"/>
    </row>
    <row r="990" spans="1:21" x14ac:dyDescent="0.25">
      <c r="A990" s="7"/>
      <c r="B990" s="7"/>
      <c r="C990" s="7"/>
      <c r="D990" s="7"/>
      <c r="E990" s="7"/>
      <c r="F990" s="7"/>
      <c r="G990" s="7"/>
      <c r="H990" s="7"/>
      <c r="I990" s="7"/>
      <c r="J990" s="7"/>
      <c r="K990" s="7"/>
      <c r="L990" s="7"/>
      <c r="M990" s="7"/>
      <c r="N990" s="7"/>
      <c r="O990" s="7"/>
      <c r="P990" s="7"/>
      <c r="Q990" s="7"/>
      <c r="R990" s="7"/>
      <c r="S990" s="7"/>
      <c r="T990" s="7"/>
      <c r="U990" s="7"/>
    </row>
    <row r="991" spans="1:21" x14ac:dyDescent="0.25">
      <c r="A991" s="7"/>
      <c r="B991" s="7"/>
      <c r="C991" s="7"/>
      <c r="D991" s="7"/>
      <c r="E991" s="7"/>
      <c r="F991" s="7"/>
      <c r="G991" s="7"/>
      <c r="H991" s="7"/>
      <c r="I991" s="7"/>
      <c r="J991" s="7"/>
      <c r="K991" s="7"/>
      <c r="L991" s="7"/>
      <c r="M991" s="7"/>
      <c r="N991" s="7"/>
      <c r="O991" s="7"/>
      <c r="P991" s="7"/>
      <c r="Q991" s="7"/>
      <c r="R991" s="7"/>
      <c r="S991" s="7"/>
      <c r="T991" s="7"/>
      <c r="U991" s="7"/>
    </row>
    <row r="992" spans="1:21" x14ac:dyDescent="0.25">
      <c r="A992" s="7"/>
      <c r="B992" s="7"/>
      <c r="C992" s="7"/>
      <c r="D992" s="7"/>
      <c r="E992" s="7"/>
      <c r="F992" s="7"/>
      <c r="G992" s="7"/>
      <c r="H992" s="7"/>
      <c r="I992" s="7"/>
      <c r="J992" s="7"/>
      <c r="K992" s="7"/>
      <c r="L992" s="7"/>
      <c r="M992" s="7"/>
      <c r="N992" s="7"/>
      <c r="O992" s="7"/>
      <c r="P992" s="7"/>
      <c r="Q992" s="7"/>
      <c r="R992" s="7"/>
      <c r="S992" s="7"/>
      <c r="T992" s="7"/>
      <c r="U992" s="7"/>
    </row>
    <row r="993" spans="1:21" x14ac:dyDescent="0.25">
      <c r="A993" s="7"/>
      <c r="B993" s="7"/>
      <c r="C993" s="7"/>
      <c r="D993" s="7"/>
      <c r="E993" s="7"/>
      <c r="F993" s="7"/>
      <c r="G993" s="7"/>
      <c r="H993" s="7"/>
      <c r="I993" s="7"/>
      <c r="J993" s="7"/>
      <c r="K993" s="7"/>
      <c r="L993" s="7"/>
      <c r="M993" s="7"/>
      <c r="N993" s="7"/>
      <c r="O993" s="7"/>
      <c r="P993" s="7"/>
      <c r="Q993" s="7"/>
      <c r="R993" s="7"/>
      <c r="S993" s="7"/>
      <c r="T993" s="7"/>
      <c r="U993" s="7"/>
    </row>
    <row r="994" spans="1:21" x14ac:dyDescent="0.25">
      <c r="A994" s="7"/>
      <c r="B994" s="7"/>
      <c r="C994" s="7"/>
      <c r="D994" s="7"/>
      <c r="E994" s="7"/>
      <c r="F994" s="7"/>
      <c r="G994" s="7"/>
      <c r="H994" s="7"/>
      <c r="I994" s="7"/>
      <c r="J994" s="7"/>
      <c r="K994" s="7"/>
      <c r="L994" s="7"/>
      <c r="M994" s="7"/>
      <c r="N994" s="7"/>
      <c r="O994" s="7"/>
      <c r="P994" s="7"/>
      <c r="Q994" s="7"/>
      <c r="R994" s="7"/>
      <c r="S994" s="7"/>
      <c r="T994" s="7"/>
      <c r="U994" s="7"/>
    </row>
    <row r="995" spans="1:21" x14ac:dyDescent="0.25">
      <c r="A995" s="7"/>
      <c r="B995" s="7"/>
      <c r="C995" s="7"/>
      <c r="D995" s="7"/>
      <c r="E995" s="7"/>
      <c r="F995" s="7"/>
      <c r="G995" s="7"/>
      <c r="H995" s="7"/>
      <c r="I995" s="7"/>
      <c r="J995" s="7"/>
      <c r="K995" s="7"/>
      <c r="L995" s="7"/>
      <c r="M995" s="7"/>
      <c r="N995" s="7"/>
      <c r="O995" s="7"/>
      <c r="P995" s="7"/>
      <c r="Q995" s="7"/>
      <c r="R995" s="7"/>
      <c r="S995" s="7"/>
      <c r="T995" s="7"/>
      <c r="U995" s="7"/>
    </row>
    <row r="996" spans="1:21" x14ac:dyDescent="0.25">
      <c r="A996" s="7"/>
      <c r="B996" s="7"/>
      <c r="C996" s="7"/>
      <c r="D996" s="7"/>
      <c r="E996" s="7"/>
      <c r="F996" s="7"/>
      <c r="G996" s="7"/>
      <c r="H996" s="7"/>
      <c r="I996" s="7"/>
      <c r="J996" s="7"/>
      <c r="K996" s="7"/>
      <c r="L996" s="7"/>
      <c r="M996" s="7"/>
      <c r="N996" s="7"/>
      <c r="O996" s="7"/>
      <c r="P996" s="7"/>
      <c r="Q996" s="7"/>
      <c r="R996" s="7"/>
      <c r="S996" s="7"/>
      <c r="T996" s="7"/>
      <c r="U996" s="7"/>
    </row>
    <row r="997" spans="1:21" x14ac:dyDescent="0.25">
      <c r="A997" s="7"/>
      <c r="B997" s="7"/>
      <c r="C997" s="7"/>
      <c r="D997" s="7"/>
      <c r="E997" s="7"/>
      <c r="F997" s="7"/>
      <c r="G997" s="7"/>
      <c r="H997" s="7"/>
      <c r="I997" s="7"/>
      <c r="J997" s="7"/>
      <c r="K997" s="7"/>
      <c r="L997" s="7"/>
      <c r="M997" s="7"/>
      <c r="N997" s="7"/>
      <c r="O997" s="7"/>
      <c r="P997" s="7"/>
      <c r="Q997" s="7"/>
      <c r="R997" s="7"/>
      <c r="S997" s="7"/>
      <c r="T997" s="7"/>
      <c r="U997" s="7"/>
    </row>
    <row r="998" spans="1:21" x14ac:dyDescent="0.25">
      <c r="A998" s="7"/>
      <c r="B998" s="7"/>
      <c r="C998" s="7"/>
      <c r="D998" s="7"/>
      <c r="E998" s="7"/>
      <c r="F998" s="7"/>
      <c r="G998" s="7"/>
      <c r="H998" s="7"/>
      <c r="I998" s="7"/>
      <c r="J998" s="7"/>
      <c r="K998" s="7"/>
      <c r="L998" s="7"/>
      <c r="M998" s="7"/>
      <c r="N998" s="7"/>
      <c r="O998" s="7"/>
      <c r="P998" s="7"/>
      <c r="Q998" s="7"/>
      <c r="R998" s="7"/>
      <c r="S998" s="7"/>
      <c r="T998" s="7"/>
      <c r="U998" s="7"/>
    </row>
    <row r="999" spans="1:21" x14ac:dyDescent="0.25">
      <c r="A999" s="7"/>
      <c r="B999" s="7"/>
      <c r="C999" s="7"/>
      <c r="D999" s="7"/>
      <c r="E999" s="7"/>
      <c r="F999" s="7"/>
      <c r="G999" s="7"/>
      <c r="H999" s="7"/>
      <c r="I999" s="7"/>
      <c r="J999" s="7"/>
      <c r="K999" s="7"/>
      <c r="L999" s="7"/>
      <c r="M999" s="7"/>
      <c r="N999" s="7"/>
      <c r="O999" s="7"/>
      <c r="P999" s="7"/>
      <c r="Q999" s="7"/>
      <c r="R999" s="7"/>
      <c r="S999" s="7"/>
      <c r="T999" s="7"/>
      <c r="U999" s="7"/>
    </row>
    <row r="1000" spans="1:21" x14ac:dyDescent="0.25">
      <c r="A1000" s="7"/>
      <c r="B1000" s="7"/>
      <c r="C1000" s="7"/>
      <c r="D1000" s="7"/>
      <c r="E1000" s="7"/>
      <c r="F1000" s="7"/>
      <c r="G1000" s="7"/>
      <c r="H1000" s="7"/>
      <c r="I1000" s="7"/>
      <c r="J1000" s="7"/>
      <c r="K1000" s="7"/>
      <c r="L1000" s="7"/>
      <c r="M1000" s="7"/>
      <c r="N1000" s="7"/>
      <c r="O1000" s="7"/>
      <c r="P1000" s="7"/>
      <c r="Q1000" s="7"/>
      <c r="R1000" s="7"/>
      <c r="S1000" s="7"/>
      <c r="T1000" s="7"/>
      <c r="U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x14ac:dyDescent="0.25"/>
  <sheetData>
    <row r="1" spans="1:27" ht="39.6" x14ac:dyDescent="0.25">
      <c r="A1" s="13" t="s">
        <v>0</v>
      </c>
      <c r="B1" s="14" t="s">
        <v>34</v>
      </c>
      <c r="C1" s="13" t="s">
        <v>35</v>
      </c>
      <c r="D1" s="13" t="s">
        <v>36</v>
      </c>
      <c r="E1" s="13" t="s">
        <v>37</v>
      </c>
      <c r="F1" s="13" t="s">
        <v>38</v>
      </c>
      <c r="G1" s="14" t="s">
        <v>39</v>
      </c>
      <c r="H1" s="13" t="s">
        <v>40</v>
      </c>
      <c r="I1" s="13" t="s">
        <v>41</v>
      </c>
      <c r="J1" s="13" t="s">
        <v>42</v>
      </c>
      <c r="K1" s="13" t="s">
        <v>43</v>
      </c>
      <c r="L1" s="14" t="s">
        <v>44</v>
      </c>
      <c r="M1" s="13" t="s">
        <v>45</v>
      </c>
      <c r="N1" s="13" t="s">
        <v>46</v>
      </c>
      <c r="O1" s="13" t="s">
        <v>47</v>
      </c>
      <c r="P1" s="13" t="s">
        <v>48</v>
      </c>
      <c r="Q1" s="14" t="s">
        <v>49</v>
      </c>
      <c r="R1" s="13" t="s">
        <v>50</v>
      </c>
      <c r="S1" s="13" t="s">
        <v>51</v>
      </c>
      <c r="T1" s="13" t="s">
        <v>52</v>
      </c>
      <c r="U1" s="13" t="s">
        <v>53</v>
      </c>
      <c r="V1" s="14" t="s">
        <v>54</v>
      </c>
      <c r="W1" s="13" t="s">
        <v>55</v>
      </c>
      <c r="X1" s="13" t="s">
        <v>56</v>
      </c>
      <c r="Y1" s="13" t="s">
        <v>57</v>
      </c>
      <c r="Z1" s="13" t="s">
        <v>58</v>
      </c>
      <c r="AA1" s="15" t="s">
        <v>59</v>
      </c>
    </row>
    <row r="2" spans="1:27" ht="13.2" x14ac:dyDescent="0.25">
      <c r="A2" s="16">
        <v>44029</v>
      </c>
      <c r="B2" s="17">
        <v>5712</v>
      </c>
      <c r="F2" s="18">
        <v>5712</v>
      </c>
      <c r="G2" s="17">
        <v>78725</v>
      </c>
      <c r="I2" s="18">
        <v>5191</v>
      </c>
      <c r="K2" s="18">
        <v>73534</v>
      </c>
      <c r="L2" s="17">
        <v>1794</v>
      </c>
      <c r="N2" s="18">
        <v>41</v>
      </c>
      <c r="P2" s="18">
        <v>1753</v>
      </c>
      <c r="Q2" s="17">
        <v>42</v>
      </c>
      <c r="R2" s="18">
        <v>1</v>
      </c>
      <c r="T2" s="18">
        <v>4</v>
      </c>
      <c r="U2" s="18">
        <v>37</v>
      </c>
      <c r="V2" s="17">
        <v>51507</v>
      </c>
      <c r="W2" s="18">
        <v>981</v>
      </c>
      <c r="X2" s="18">
        <v>504</v>
      </c>
      <c r="Y2" s="18">
        <v>2194</v>
      </c>
      <c r="Z2" s="18">
        <v>47828</v>
      </c>
      <c r="AA2" s="19">
        <v>137780</v>
      </c>
    </row>
    <row r="3" spans="1:27" ht="13.2" x14ac:dyDescent="0.25">
      <c r="A3" s="16">
        <v>44030</v>
      </c>
      <c r="B3" s="17">
        <v>5713</v>
      </c>
      <c r="F3" s="18">
        <v>5713</v>
      </c>
      <c r="G3" s="17">
        <v>80382</v>
      </c>
      <c r="I3" s="18">
        <v>6531</v>
      </c>
      <c r="K3" s="18">
        <v>73851</v>
      </c>
      <c r="L3" s="17">
        <v>1803</v>
      </c>
      <c r="N3" s="18">
        <v>45</v>
      </c>
      <c r="P3" s="18">
        <v>1758</v>
      </c>
      <c r="Q3" s="17">
        <v>42</v>
      </c>
      <c r="T3" s="18">
        <v>4</v>
      </c>
      <c r="U3" s="18">
        <v>38</v>
      </c>
      <c r="V3" s="17">
        <v>52081</v>
      </c>
      <c r="W3" s="18">
        <v>780</v>
      </c>
      <c r="X3" s="18">
        <v>584</v>
      </c>
      <c r="Y3" s="18">
        <v>2194</v>
      </c>
      <c r="Z3" s="18">
        <v>48523</v>
      </c>
      <c r="AA3" s="19">
        <v>140021</v>
      </c>
    </row>
    <row r="4" spans="1:27" ht="13.2" x14ac:dyDescent="0.25">
      <c r="A4" s="16">
        <v>44031</v>
      </c>
      <c r="B4" s="17">
        <v>5713</v>
      </c>
      <c r="F4" s="18">
        <v>5713</v>
      </c>
      <c r="G4" s="17">
        <v>81327</v>
      </c>
      <c r="I4" s="18">
        <v>7372</v>
      </c>
      <c r="K4" s="18">
        <v>73955</v>
      </c>
      <c r="L4" s="17">
        <v>1803</v>
      </c>
      <c r="N4" s="18">
        <v>45</v>
      </c>
      <c r="P4" s="18">
        <v>1758</v>
      </c>
      <c r="Q4" s="17">
        <v>42</v>
      </c>
      <c r="T4" s="18">
        <v>4</v>
      </c>
      <c r="U4" s="18">
        <v>38</v>
      </c>
      <c r="V4" s="17">
        <v>52586</v>
      </c>
      <c r="W4" s="18">
        <v>1136</v>
      </c>
      <c r="X4" s="18">
        <v>610</v>
      </c>
      <c r="Y4" s="18">
        <v>2194</v>
      </c>
      <c r="Z4" s="18">
        <v>48646</v>
      </c>
      <c r="AA4" s="19">
        <v>141471</v>
      </c>
    </row>
    <row r="5" spans="1:27" ht="13.2" x14ac:dyDescent="0.25">
      <c r="A5" s="16">
        <v>44032</v>
      </c>
      <c r="B5" s="17">
        <v>5713</v>
      </c>
      <c r="F5" s="18">
        <v>5713</v>
      </c>
      <c r="G5" s="17">
        <v>81739</v>
      </c>
      <c r="I5" s="18">
        <v>5547</v>
      </c>
      <c r="K5" s="18">
        <v>76192</v>
      </c>
      <c r="L5" s="17">
        <v>1809</v>
      </c>
      <c r="N5" s="18">
        <v>36</v>
      </c>
      <c r="P5" s="18">
        <v>1773</v>
      </c>
      <c r="Q5" s="17">
        <v>42</v>
      </c>
      <c r="T5" s="18">
        <v>4</v>
      </c>
      <c r="U5" s="18">
        <v>38</v>
      </c>
      <c r="V5" s="17">
        <v>52714</v>
      </c>
      <c r="W5" s="18">
        <v>1067</v>
      </c>
      <c r="X5" s="18">
        <v>602</v>
      </c>
      <c r="Y5" s="18">
        <v>2194</v>
      </c>
      <c r="Z5" s="18">
        <v>48851</v>
      </c>
      <c r="AA5" s="19">
        <v>142017</v>
      </c>
    </row>
    <row r="6" spans="1:27" ht="13.2" x14ac:dyDescent="0.25">
      <c r="A6" s="16">
        <v>44033</v>
      </c>
      <c r="B6" s="17">
        <v>5643</v>
      </c>
      <c r="F6" s="18">
        <v>5643</v>
      </c>
      <c r="G6" s="17">
        <v>82860</v>
      </c>
      <c r="I6" s="18">
        <v>5934</v>
      </c>
      <c r="K6" s="18">
        <v>76926</v>
      </c>
      <c r="L6" s="17">
        <v>1824</v>
      </c>
      <c r="N6" s="18">
        <v>46</v>
      </c>
      <c r="P6" s="18">
        <v>1778</v>
      </c>
      <c r="Q6" s="17">
        <v>42</v>
      </c>
      <c r="T6" s="18">
        <v>4</v>
      </c>
      <c r="U6" s="18">
        <v>38</v>
      </c>
      <c r="V6" s="17">
        <v>52957</v>
      </c>
      <c r="W6" s="18">
        <v>1158</v>
      </c>
      <c r="X6" s="18">
        <v>725</v>
      </c>
      <c r="Y6" s="18">
        <v>2194</v>
      </c>
      <c r="Z6" s="18">
        <v>48880</v>
      </c>
      <c r="AA6" s="19">
        <v>143326</v>
      </c>
    </row>
    <row r="7" spans="1:27" ht="13.2" x14ac:dyDescent="0.25">
      <c r="A7" s="16">
        <v>44034</v>
      </c>
      <c r="B7" s="17">
        <v>5591</v>
      </c>
      <c r="F7" s="18">
        <v>5591</v>
      </c>
      <c r="G7" s="17">
        <v>84560</v>
      </c>
      <c r="I7" s="18">
        <v>7159</v>
      </c>
      <c r="K7" s="18">
        <v>77401</v>
      </c>
      <c r="L7" s="17">
        <v>1838</v>
      </c>
      <c r="N7" s="18">
        <v>57</v>
      </c>
      <c r="P7" s="18">
        <v>1781</v>
      </c>
      <c r="Q7" s="17">
        <v>42</v>
      </c>
      <c r="T7" s="18">
        <v>4</v>
      </c>
      <c r="U7" s="18">
        <v>38</v>
      </c>
      <c r="V7" s="17">
        <v>53317</v>
      </c>
      <c r="W7" s="18">
        <v>1379</v>
      </c>
      <c r="X7" s="18">
        <v>877</v>
      </c>
      <c r="Y7" s="18">
        <v>2194</v>
      </c>
      <c r="Z7" s="18">
        <v>48867</v>
      </c>
      <c r="AA7" s="19">
        <v>145348</v>
      </c>
    </row>
    <row r="8" spans="1:27" ht="13.2" x14ac:dyDescent="0.25">
      <c r="A8" s="16">
        <v>44035</v>
      </c>
      <c r="B8" s="17">
        <v>5591</v>
      </c>
      <c r="F8" s="18">
        <v>5591</v>
      </c>
      <c r="G8" s="17">
        <v>86226</v>
      </c>
      <c r="I8" s="18">
        <v>8411</v>
      </c>
      <c r="K8" s="18">
        <v>77815</v>
      </c>
      <c r="L8" s="17">
        <v>1870</v>
      </c>
      <c r="N8" s="18">
        <v>89</v>
      </c>
      <c r="P8" s="18">
        <v>1781</v>
      </c>
      <c r="Q8" s="17">
        <v>42</v>
      </c>
      <c r="T8" s="18">
        <v>4</v>
      </c>
      <c r="U8" s="18">
        <v>38</v>
      </c>
      <c r="V8" s="17">
        <v>53829</v>
      </c>
      <c r="W8" s="18">
        <v>1608</v>
      </c>
      <c r="X8" s="18">
        <v>1144</v>
      </c>
      <c r="Y8" s="18">
        <v>2194</v>
      </c>
      <c r="Z8" s="18">
        <v>48883</v>
      </c>
      <c r="AA8" s="19">
        <v>147558</v>
      </c>
    </row>
    <row r="9" spans="1:27" ht="13.2" x14ac:dyDescent="0.25">
      <c r="A9" s="16">
        <v>44036</v>
      </c>
      <c r="B9" s="17">
        <v>5591</v>
      </c>
      <c r="F9" s="18">
        <v>5591</v>
      </c>
      <c r="G9" s="17">
        <v>88164</v>
      </c>
      <c r="I9" s="18">
        <v>8757</v>
      </c>
      <c r="K9" s="18">
        <v>79407</v>
      </c>
      <c r="L9" s="17">
        <v>1898</v>
      </c>
      <c r="N9" s="18">
        <v>94</v>
      </c>
      <c r="P9" s="18">
        <v>1804</v>
      </c>
      <c r="Q9" s="17">
        <v>42</v>
      </c>
      <c r="T9" s="18">
        <v>4</v>
      </c>
      <c r="U9" s="18">
        <v>38</v>
      </c>
      <c r="V9" s="17">
        <v>54401</v>
      </c>
      <c r="W9" s="18">
        <v>1860</v>
      </c>
      <c r="X9" s="18">
        <v>1440</v>
      </c>
      <c r="Y9" s="18">
        <v>2194</v>
      </c>
      <c r="Z9" s="18">
        <v>48907</v>
      </c>
      <c r="AA9" s="19">
        <v>150096</v>
      </c>
    </row>
    <row r="10" spans="1:27" ht="13.2" x14ac:dyDescent="0.25">
      <c r="A10" s="16">
        <v>44037</v>
      </c>
      <c r="B10" s="17">
        <v>5591</v>
      </c>
      <c r="F10" s="18">
        <v>5591</v>
      </c>
      <c r="G10" s="17">
        <v>89710</v>
      </c>
      <c r="I10" s="18">
        <v>10002</v>
      </c>
      <c r="K10" s="18">
        <v>79708</v>
      </c>
      <c r="L10" s="17">
        <v>1923</v>
      </c>
      <c r="N10" s="18">
        <v>106</v>
      </c>
      <c r="P10" s="18">
        <v>1817</v>
      </c>
      <c r="Q10" s="17">
        <v>42</v>
      </c>
      <c r="T10" s="18">
        <v>4</v>
      </c>
      <c r="U10" s="18">
        <v>38</v>
      </c>
      <c r="V10" s="17">
        <v>55104</v>
      </c>
      <c r="W10" s="18">
        <v>2070</v>
      </c>
      <c r="X10" s="18">
        <v>1747</v>
      </c>
      <c r="Y10" s="18">
        <v>2194</v>
      </c>
      <c r="Z10" s="18">
        <v>49093</v>
      </c>
      <c r="AA10" s="19">
        <v>152370</v>
      </c>
    </row>
    <row r="11" spans="1:27" ht="13.2" x14ac:dyDescent="0.25">
      <c r="A11" s="16">
        <v>44038</v>
      </c>
      <c r="B11" s="17">
        <v>5818</v>
      </c>
      <c r="E11" s="18">
        <v>1</v>
      </c>
      <c r="F11" s="18">
        <v>5817</v>
      </c>
      <c r="G11" s="17">
        <v>89951</v>
      </c>
      <c r="I11" s="18">
        <v>9666</v>
      </c>
      <c r="K11" s="18">
        <v>80285</v>
      </c>
      <c r="L11" s="17">
        <v>1928</v>
      </c>
      <c r="N11" s="18">
        <v>106</v>
      </c>
      <c r="P11" s="18">
        <v>1822</v>
      </c>
      <c r="Q11" s="17">
        <v>313</v>
      </c>
      <c r="T11" s="18">
        <v>275</v>
      </c>
      <c r="U11" s="18">
        <v>38</v>
      </c>
      <c r="V11" s="17">
        <v>55366</v>
      </c>
      <c r="W11" s="18">
        <v>1557</v>
      </c>
      <c r="X11" s="18">
        <v>1434</v>
      </c>
      <c r="Y11" s="18">
        <v>2226</v>
      </c>
      <c r="Z11" s="18">
        <v>50149</v>
      </c>
      <c r="AA11" s="19">
        <v>153376</v>
      </c>
    </row>
    <row r="12" spans="1:27" ht="13.2" x14ac:dyDescent="0.25">
      <c r="A12" s="16">
        <v>44039</v>
      </c>
      <c r="B12" s="17">
        <v>5818</v>
      </c>
      <c r="E12" s="18">
        <v>1</v>
      </c>
      <c r="F12" s="18">
        <v>5817</v>
      </c>
      <c r="G12" s="17">
        <v>90652</v>
      </c>
      <c r="I12" s="18">
        <v>9452</v>
      </c>
      <c r="K12" s="18">
        <v>81200</v>
      </c>
      <c r="L12" s="17">
        <v>1931</v>
      </c>
      <c r="N12" s="18">
        <v>106</v>
      </c>
      <c r="P12" s="18">
        <v>1825</v>
      </c>
      <c r="Q12" s="17">
        <v>314</v>
      </c>
      <c r="T12" s="18">
        <v>276</v>
      </c>
      <c r="U12" s="18">
        <v>38</v>
      </c>
      <c r="V12" s="17">
        <v>55673</v>
      </c>
      <c r="W12" s="18">
        <v>1563</v>
      </c>
      <c r="X12" s="18">
        <v>1472</v>
      </c>
      <c r="Y12" s="18">
        <v>2226</v>
      </c>
      <c r="Z12" s="18">
        <v>50412</v>
      </c>
      <c r="AA12" s="19">
        <v>154388</v>
      </c>
    </row>
    <row r="13" spans="1:27" ht="13.2" x14ac:dyDescent="0.25">
      <c r="A13" s="16">
        <v>44040</v>
      </c>
      <c r="B13" s="17">
        <v>5818</v>
      </c>
      <c r="E13" s="18">
        <v>1</v>
      </c>
      <c r="F13" s="18">
        <v>5817</v>
      </c>
      <c r="G13" s="17">
        <v>92456</v>
      </c>
      <c r="I13" s="18">
        <v>9901</v>
      </c>
      <c r="K13" s="18">
        <v>82555</v>
      </c>
      <c r="L13" s="17">
        <v>1944</v>
      </c>
      <c r="N13" s="18">
        <v>113</v>
      </c>
      <c r="P13" s="18">
        <v>1831</v>
      </c>
      <c r="Q13" s="17">
        <v>314</v>
      </c>
      <c r="T13" s="18">
        <v>276</v>
      </c>
      <c r="U13" s="18">
        <v>38</v>
      </c>
      <c r="V13" s="17">
        <v>56476</v>
      </c>
      <c r="W13" s="18">
        <v>1546</v>
      </c>
      <c r="X13" s="18">
        <v>1805</v>
      </c>
      <c r="Y13" s="18">
        <v>2226</v>
      </c>
      <c r="Z13" s="18">
        <v>50899</v>
      </c>
      <c r="AA13" s="19">
        <v>157008</v>
      </c>
    </row>
    <row r="14" spans="1:27" ht="13.2" x14ac:dyDescent="0.25">
      <c r="A14" s="16">
        <v>44041</v>
      </c>
      <c r="B14" s="17">
        <v>5818</v>
      </c>
      <c r="E14" s="18">
        <v>1</v>
      </c>
      <c r="F14" s="18">
        <v>5817</v>
      </c>
      <c r="G14" s="17">
        <v>93944</v>
      </c>
      <c r="I14" s="18">
        <v>10371</v>
      </c>
      <c r="K14" s="18">
        <v>83573</v>
      </c>
      <c r="L14" s="17">
        <v>1968</v>
      </c>
      <c r="N14" s="18">
        <v>129</v>
      </c>
      <c r="P14" s="18">
        <v>1839</v>
      </c>
      <c r="Q14" s="17">
        <v>328</v>
      </c>
      <c r="T14" s="18">
        <v>290</v>
      </c>
      <c r="U14" s="18">
        <v>38</v>
      </c>
      <c r="V14" s="17">
        <v>57267</v>
      </c>
      <c r="W14" s="18">
        <v>1585</v>
      </c>
      <c r="X14" s="18">
        <v>2067</v>
      </c>
      <c r="Y14" s="18">
        <v>2226</v>
      </c>
      <c r="Z14" s="18">
        <v>51389</v>
      </c>
      <c r="AA14" s="19">
        <v>159325</v>
      </c>
    </row>
    <row r="15" spans="1:27" ht="13.2" x14ac:dyDescent="0.25">
      <c r="A15" s="16">
        <v>44042</v>
      </c>
      <c r="B15" s="17">
        <v>5818</v>
      </c>
      <c r="E15" s="18">
        <v>1</v>
      </c>
      <c r="F15" s="18">
        <v>5817</v>
      </c>
      <c r="G15" s="17">
        <v>95827</v>
      </c>
      <c r="I15" s="18">
        <v>10663</v>
      </c>
      <c r="K15" s="18">
        <v>85164</v>
      </c>
      <c r="L15" s="17">
        <v>1999</v>
      </c>
      <c r="N15" s="18">
        <v>143</v>
      </c>
      <c r="P15" s="18">
        <v>1856</v>
      </c>
      <c r="Q15" s="17">
        <v>600</v>
      </c>
      <c r="T15" s="18">
        <v>562</v>
      </c>
      <c r="U15" s="18">
        <v>38</v>
      </c>
      <c r="V15" s="17">
        <v>58164</v>
      </c>
      <c r="W15" s="18">
        <v>1585</v>
      </c>
      <c r="X15" s="18">
        <v>2322</v>
      </c>
      <c r="Y15" s="18">
        <v>2226</v>
      </c>
      <c r="Z15" s="18">
        <v>52031</v>
      </c>
      <c r="AA15" s="19">
        <v>162408</v>
      </c>
    </row>
    <row r="16" spans="1:27" ht="13.2" x14ac:dyDescent="0.25">
      <c r="A16" s="16">
        <v>44043</v>
      </c>
      <c r="B16" s="17">
        <v>5818</v>
      </c>
      <c r="E16" s="18">
        <v>1</v>
      </c>
      <c r="F16" s="18">
        <v>5817</v>
      </c>
      <c r="G16" s="17">
        <v>96920</v>
      </c>
      <c r="I16" s="18">
        <v>10389</v>
      </c>
      <c r="K16" s="18">
        <v>86531</v>
      </c>
      <c r="L16" s="17">
        <v>2004</v>
      </c>
      <c r="N16" s="18">
        <v>134</v>
      </c>
      <c r="P16" s="18">
        <v>1870</v>
      </c>
      <c r="Q16" s="17">
        <v>628</v>
      </c>
      <c r="T16" s="18">
        <v>590</v>
      </c>
      <c r="U16" s="18">
        <v>38</v>
      </c>
      <c r="V16" s="17">
        <v>58603</v>
      </c>
      <c r="W16" s="18">
        <v>1617</v>
      </c>
      <c r="X16" s="18">
        <v>2229</v>
      </c>
      <c r="Y16" s="18">
        <v>2226</v>
      </c>
      <c r="Z16" s="18">
        <v>52531</v>
      </c>
      <c r="AA16" s="19">
        <v>163973</v>
      </c>
    </row>
    <row r="17" spans="1:27" ht="13.2" x14ac:dyDescent="0.25">
      <c r="A17" s="16">
        <v>44044</v>
      </c>
      <c r="B17" s="17">
        <v>5871</v>
      </c>
      <c r="E17" s="18">
        <v>1</v>
      </c>
      <c r="F17" s="18">
        <v>5870</v>
      </c>
      <c r="G17" s="17">
        <v>97630</v>
      </c>
      <c r="I17" s="18">
        <v>10873</v>
      </c>
      <c r="K17" s="18">
        <v>86757</v>
      </c>
      <c r="L17" s="17">
        <v>2009</v>
      </c>
      <c r="N17" s="18">
        <v>137</v>
      </c>
      <c r="P17" s="18">
        <v>1872</v>
      </c>
      <c r="Q17" s="17">
        <v>628</v>
      </c>
      <c r="T17" s="18">
        <v>590</v>
      </c>
      <c r="U17" s="18">
        <v>38</v>
      </c>
      <c r="V17" s="17">
        <v>58891</v>
      </c>
      <c r="W17" s="18">
        <v>1656</v>
      </c>
      <c r="X17" s="18">
        <v>2342</v>
      </c>
      <c r="Y17" s="18">
        <v>2226</v>
      </c>
      <c r="Z17" s="18">
        <v>52667</v>
      </c>
      <c r="AA17" s="19">
        <v>165029</v>
      </c>
    </row>
    <row r="18" spans="1:27" ht="13.2" x14ac:dyDescent="0.25">
      <c r="A18" s="16">
        <v>44045</v>
      </c>
      <c r="B18" s="17">
        <v>6014</v>
      </c>
      <c r="E18" s="18">
        <v>1</v>
      </c>
      <c r="F18" s="18">
        <v>6013</v>
      </c>
      <c r="G18" s="17">
        <v>97755</v>
      </c>
      <c r="I18" s="18">
        <v>10747</v>
      </c>
      <c r="K18" s="18">
        <v>87008</v>
      </c>
      <c r="L18" s="17">
        <v>2009</v>
      </c>
      <c r="N18" s="18">
        <v>136</v>
      </c>
      <c r="P18" s="18">
        <v>1873</v>
      </c>
      <c r="Q18" s="17">
        <v>628</v>
      </c>
      <c r="T18" s="18">
        <v>590</v>
      </c>
      <c r="U18" s="18">
        <v>38</v>
      </c>
      <c r="V18" s="17">
        <v>59795</v>
      </c>
      <c r="W18" s="18">
        <v>1974</v>
      </c>
      <c r="X18" s="18">
        <v>2523</v>
      </c>
      <c r="Y18" s="18">
        <v>2226</v>
      </c>
      <c r="Z18" s="18">
        <v>53072</v>
      </c>
      <c r="AA18" s="19">
        <v>166201</v>
      </c>
    </row>
    <row r="19" spans="1:27" ht="13.2" x14ac:dyDescent="0.25">
      <c r="A19" s="16">
        <v>44046</v>
      </c>
      <c r="B19" s="17">
        <v>6014</v>
      </c>
      <c r="E19" s="18">
        <v>1</v>
      </c>
      <c r="F19" s="18">
        <v>6013</v>
      </c>
      <c r="G19" s="17">
        <v>97872</v>
      </c>
      <c r="I19" s="18">
        <v>9436</v>
      </c>
      <c r="K19" s="18">
        <v>88436</v>
      </c>
      <c r="L19" s="17">
        <v>2009</v>
      </c>
      <c r="N19" s="18">
        <v>123</v>
      </c>
      <c r="P19" s="18">
        <v>1886</v>
      </c>
      <c r="Q19" s="17">
        <v>644</v>
      </c>
      <c r="T19" s="18">
        <v>606</v>
      </c>
      <c r="U19" s="18">
        <v>38</v>
      </c>
      <c r="V19" s="17">
        <v>60656</v>
      </c>
      <c r="W19" s="18">
        <v>1841</v>
      </c>
      <c r="X19" s="18">
        <v>3070</v>
      </c>
      <c r="Y19" s="18">
        <v>2226</v>
      </c>
      <c r="Z19" s="18">
        <v>53519</v>
      </c>
      <c r="AA19" s="19">
        <v>167195</v>
      </c>
    </row>
    <row r="20" spans="1:27" ht="13.2" x14ac:dyDescent="0.25">
      <c r="A20" s="16">
        <v>44047</v>
      </c>
      <c r="B20" s="17">
        <v>6014</v>
      </c>
      <c r="E20" s="18">
        <v>1</v>
      </c>
      <c r="F20" s="18">
        <v>6013</v>
      </c>
      <c r="G20" s="17">
        <v>99037</v>
      </c>
      <c r="I20" s="18">
        <v>9278</v>
      </c>
      <c r="K20" s="18">
        <v>89759</v>
      </c>
      <c r="L20" s="17">
        <v>2024</v>
      </c>
      <c r="N20" s="18">
        <v>125</v>
      </c>
      <c r="P20" s="18">
        <v>1899</v>
      </c>
      <c r="Q20" s="17">
        <v>718</v>
      </c>
      <c r="T20" s="18">
        <v>680</v>
      </c>
      <c r="U20" s="18">
        <v>38</v>
      </c>
      <c r="V20" s="17">
        <v>61131</v>
      </c>
      <c r="W20" s="18">
        <v>1854</v>
      </c>
      <c r="X20" s="18">
        <v>3021</v>
      </c>
      <c r="Y20" s="18">
        <v>2258</v>
      </c>
      <c r="Z20" s="18">
        <v>53998</v>
      </c>
      <c r="AA20" s="19">
        <v>168924</v>
      </c>
    </row>
    <row r="21" spans="1:27" ht="13.2" x14ac:dyDescent="0.25">
      <c r="A21" s="16">
        <v>44048</v>
      </c>
      <c r="B21" s="17">
        <v>6014</v>
      </c>
      <c r="E21" s="18">
        <v>1</v>
      </c>
      <c r="F21" s="18">
        <v>6013</v>
      </c>
      <c r="G21" s="17">
        <v>100777</v>
      </c>
      <c r="I21" s="18">
        <v>9281</v>
      </c>
      <c r="K21" s="18">
        <v>91496</v>
      </c>
      <c r="L21" s="17">
        <v>2060</v>
      </c>
      <c r="N21" s="18">
        <v>120</v>
      </c>
      <c r="P21" s="18">
        <v>1940</v>
      </c>
      <c r="Q21" s="17">
        <v>746</v>
      </c>
      <c r="T21" s="18">
        <v>708</v>
      </c>
      <c r="U21" s="18">
        <v>38</v>
      </c>
      <c r="V21" s="17">
        <v>61794</v>
      </c>
      <c r="W21" s="18">
        <v>1941</v>
      </c>
      <c r="X21" s="18">
        <v>2989</v>
      </c>
      <c r="Y21" s="18">
        <v>2258</v>
      </c>
      <c r="Z21" s="18">
        <v>54606</v>
      </c>
      <c r="AA21" s="19">
        <v>171391</v>
      </c>
    </row>
    <row r="22" spans="1:27" ht="13.2" x14ac:dyDescent="0.25">
      <c r="A22" s="16">
        <v>44049</v>
      </c>
      <c r="B22" s="17">
        <v>6014</v>
      </c>
      <c r="E22" s="18">
        <v>1</v>
      </c>
      <c r="F22" s="18">
        <v>6013</v>
      </c>
      <c r="G22" s="17">
        <v>102537</v>
      </c>
      <c r="I22" s="18">
        <v>9517</v>
      </c>
      <c r="K22" s="18">
        <v>93020</v>
      </c>
      <c r="L22" s="17">
        <v>2082</v>
      </c>
      <c r="N22" s="18">
        <v>126</v>
      </c>
      <c r="P22" s="18">
        <v>1956</v>
      </c>
      <c r="Q22" s="17">
        <v>746</v>
      </c>
      <c r="T22" s="18">
        <v>708</v>
      </c>
      <c r="U22" s="18">
        <v>38</v>
      </c>
      <c r="V22" s="17">
        <v>62242</v>
      </c>
      <c r="W22" s="18">
        <v>1787</v>
      </c>
      <c r="X22" s="18">
        <v>2754</v>
      </c>
      <c r="Y22" s="18">
        <v>2258</v>
      </c>
      <c r="Z22" s="18">
        <v>55443</v>
      </c>
      <c r="AA22" s="19">
        <v>173621</v>
      </c>
    </row>
    <row r="23" spans="1:27" ht="13.2" x14ac:dyDescent="0.25">
      <c r="A23" s="16">
        <v>44050</v>
      </c>
      <c r="B23" s="17">
        <v>6014</v>
      </c>
      <c r="E23" s="18">
        <v>1</v>
      </c>
      <c r="F23" s="18">
        <v>6013</v>
      </c>
      <c r="G23" s="17">
        <v>104170</v>
      </c>
      <c r="I23" s="18">
        <v>9597</v>
      </c>
      <c r="K23" s="18">
        <v>94573</v>
      </c>
      <c r="L23" s="17">
        <v>2104</v>
      </c>
      <c r="N23" s="18">
        <v>108</v>
      </c>
      <c r="P23" s="18">
        <v>1996</v>
      </c>
      <c r="Q23" s="17">
        <v>760</v>
      </c>
      <c r="T23" s="18">
        <v>722</v>
      </c>
      <c r="U23" s="18">
        <v>38</v>
      </c>
      <c r="V23" s="17">
        <v>62717</v>
      </c>
      <c r="W23" s="18">
        <v>1573</v>
      </c>
      <c r="X23" s="18">
        <v>2541</v>
      </c>
      <c r="Y23" s="18">
        <v>2258</v>
      </c>
      <c r="Z23" s="18">
        <v>56345</v>
      </c>
      <c r="AA23" s="19">
        <v>175765</v>
      </c>
    </row>
    <row r="24" spans="1:27" ht="13.2" x14ac:dyDescent="0.25">
      <c r="A24" s="16">
        <v>44051</v>
      </c>
      <c r="B24" s="17">
        <v>6014</v>
      </c>
      <c r="E24" s="18">
        <v>1</v>
      </c>
      <c r="F24" s="18">
        <v>6013</v>
      </c>
      <c r="G24" s="17">
        <v>105713</v>
      </c>
      <c r="I24" s="18">
        <v>10770</v>
      </c>
      <c r="K24" s="18">
        <v>94943</v>
      </c>
      <c r="L24" s="17">
        <v>2120</v>
      </c>
      <c r="N24" s="18">
        <v>119</v>
      </c>
      <c r="P24" s="18">
        <v>2001</v>
      </c>
      <c r="Q24" s="17">
        <v>764</v>
      </c>
      <c r="T24" s="18">
        <v>726</v>
      </c>
      <c r="U24" s="18">
        <v>38</v>
      </c>
      <c r="V24" s="17">
        <v>63407</v>
      </c>
      <c r="W24" s="18">
        <v>1549</v>
      </c>
      <c r="X24" s="18">
        <v>2953</v>
      </c>
      <c r="Y24" s="18">
        <v>2258</v>
      </c>
      <c r="Z24" s="18">
        <v>56647</v>
      </c>
      <c r="AA24" s="19">
        <v>178018</v>
      </c>
    </row>
    <row r="25" spans="1:27" ht="13.2" x14ac:dyDescent="0.25">
      <c r="A25" s="16">
        <v>44052</v>
      </c>
      <c r="B25" s="17">
        <v>6014</v>
      </c>
      <c r="E25" s="18">
        <v>1</v>
      </c>
      <c r="F25" s="18">
        <v>6013</v>
      </c>
      <c r="G25" s="17">
        <v>105884</v>
      </c>
      <c r="I25" s="18">
        <v>10769</v>
      </c>
      <c r="K25" s="18">
        <v>95115</v>
      </c>
      <c r="L25" s="17">
        <v>2129</v>
      </c>
      <c r="N25" s="18">
        <v>128</v>
      </c>
      <c r="P25" s="18">
        <v>2001</v>
      </c>
      <c r="Q25" s="17">
        <v>769</v>
      </c>
      <c r="R25" s="18">
        <v>2</v>
      </c>
      <c r="T25" s="18">
        <v>729</v>
      </c>
      <c r="U25" s="18">
        <v>38</v>
      </c>
      <c r="V25" s="17">
        <v>64500</v>
      </c>
      <c r="W25" s="18">
        <v>1483</v>
      </c>
      <c r="X25" s="18">
        <v>3935</v>
      </c>
      <c r="Y25" s="18">
        <v>2258</v>
      </c>
      <c r="Z25" s="18">
        <v>56824</v>
      </c>
      <c r="AA25" s="19">
        <v>179296</v>
      </c>
    </row>
    <row r="26" spans="1:27" ht="13.2" x14ac:dyDescent="0.25">
      <c r="A26" s="16">
        <v>44053</v>
      </c>
      <c r="B26" s="17">
        <v>6014</v>
      </c>
      <c r="E26" s="18">
        <v>1</v>
      </c>
      <c r="F26" s="18">
        <v>6013</v>
      </c>
      <c r="G26" s="17">
        <v>106440</v>
      </c>
      <c r="I26" s="18">
        <v>9906</v>
      </c>
      <c r="K26" s="18">
        <v>96534</v>
      </c>
      <c r="L26" s="17">
        <v>2131</v>
      </c>
      <c r="N26" s="18">
        <v>117</v>
      </c>
      <c r="P26" s="18">
        <v>2014</v>
      </c>
      <c r="Q26" s="17">
        <v>770</v>
      </c>
      <c r="R26" s="18">
        <v>2</v>
      </c>
      <c r="T26" s="18">
        <v>730</v>
      </c>
      <c r="U26" s="18">
        <v>38</v>
      </c>
      <c r="V26" s="17">
        <v>64941</v>
      </c>
      <c r="W26" s="18">
        <v>1722</v>
      </c>
      <c r="X26" s="18">
        <v>3318</v>
      </c>
      <c r="Y26" s="18">
        <v>2258</v>
      </c>
      <c r="Z26" s="18">
        <v>57643</v>
      </c>
      <c r="AA26" s="19">
        <v>180296</v>
      </c>
    </row>
    <row r="27" spans="1:27" ht="13.2" x14ac:dyDescent="0.25">
      <c r="A27" s="16">
        <v>44054</v>
      </c>
      <c r="B27" s="17">
        <v>6014</v>
      </c>
      <c r="E27" s="18">
        <v>1</v>
      </c>
      <c r="F27" s="18">
        <v>6013</v>
      </c>
      <c r="G27" s="17">
        <v>108116</v>
      </c>
      <c r="I27" s="18">
        <v>9893</v>
      </c>
      <c r="K27" s="18">
        <v>98223</v>
      </c>
      <c r="L27" s="17">
        <v>2165</v>
      </c>
      <c r="N27" s="18">
        <v>108</v>
      </c>
      <c r="P27" s="18">
        <v>2057</v>
      </c>
      <c r="Q27" s="17">
        <v>854</v>
      </c>
      <c r="R27" s="18">
        <v>2</v>
      </c>
      <c r="T27" s="18">
        <v>814</v>
      </c>
      <c r="U27" s="18">
        <v>38</v>
      </c>
      <c r="V27" s="17">
        <v>65563</v>
      </c>
      <c r="W27" s="18">
        <v>1573</v>
      </c>
      <c r="X27" s="18">
        <v>3205</v>
      </c>
      <c r="Y27" s="18">
        <v>2258</v>
      </c>
      <c r="Z27" s="18">
        <v>58527</v>
      </c>
      <c r="AA27" s="19">
        <v>182712</v>
      </c>
    </row>
    <row r="28" spans="1:27" ht="13.2" x14ac:dyDescent="0.25">
      <c r="A28" s="16">
        <v>44055</v>
      </c>
      <c r="B28" s="17">
        <v>6014</v>
      </c>
      <c r="E28" s="18">
        <v>1</v>
      </c>
      <c r="F28" s="18">
        <v>6013</v>
      </c>
      <c r="G28" s="17">
        <v>109769</v>
      </c>
      <c r="I28" s="18">
        <v>9766</v>
      </c>
      <c r="K28" s="18">
        <v>100003</v>
      </c>
      <c r="L28" s="17">
        <v>2198</v>
      </c>
      <c r="N28" s="18">
        <v>118</v>
      </c>
      <c r="P28" s="18">
        <v>2080</v>
      </c>
      <c r="Q28" s="17">
        <v>875</v>
      </c>
      <c r="R28" s="18">
        <v>2</v>
      </c>
      <c r="T28" s="18">
        <v>835</v>
      </c>
      <c r="U28" s="18">
        <v>38</v>
      </c>
      <c r="V28" s="17">
        <v>66117</v>
      </c>
      <c r="W28" s="18">
        <v>1411</v>
      </c>
      <c r="X28" s="18">
        <v>2991</v>
      </c>
      <c r="Y28" s="18">
        <v>2258</v>
      </c>
      <c r="Z28" s="18">
        <v>59457</v>
      </c>
      <c r="AA28" s="19">
        <v>184973</v>
      </c>
    </row>
    <row r="29" spans="1:27" ht="13.2" x14ac:dyDescent="0.25">
      <c r="A29" s="16">
        <v>44056</v>
      </c>
      <c r="B29" s="17">
        <v>6014</v>
      </c>
      <c r="E29" s="18">
        <v>1</v>
      </c>
      <c r="F29" s="18">
        <v>6013</v>
      </c>
      <c r="G29" s="17">
        <v>111003</v>
      </c>
      <c r="I29" s="18">
        <v>9508</v>
      </c>
      <c r="K29" s="18">
        <v>101495</v>
      </c>
      <c r="L29" s="17">
        <v>2210</v>
      </c>
      <c r="N29" s="18">
        <v>115</v>
      </c>
      <c r="P29" s="18">
        <v>2095</v>
      </c>
      <c r="Q29" s="17">
        <v>895</v>
      </c>
      <c r="R29" s="18">
        <v>2</v>
      </c>
      <c r="T29" s="18">
        <v>855</v>
      </c>
      <c r="U29" s="18">
        <v>38</v>
      </c>
      <c r="V29" s="17">
        <v>66656</v>
      </c>
      <c r="W29" s="18">
        <v>1221</v>
      </c>
      <c r="X29" s="18">
        <v>2987</v>
      </c>
      <c r="Y29" s="18">
        <v>2258</v>
      </c>
      <c r="Z29" s="18">
        <v>60190</v>
      </c>
      <c r="AA29" s="19">
        <v>186778</v>
      </c>
    </row>
    <row r="30" spans="1:27" ht="13.2" x14ac:dyDescent="0.25">
      <c r="A30" s="16">
        <v>44057</v>
      </c>
      <c r="B30" s="17">
        <v>6014</v>
      </c>
      <c r="E30" s="18">
        <v>1</v>
      </c>
      <c r="F30" s="18">
        <v>6013</v>
      </c>
      <c r="G30" s="17">
        <v>112430</v>
      </c>
      <c r="I30" s="18">
        <v>10781</v>
      </c>
      <c r="K30" s="18">
        <v>101649</v>
      </c>
      <c r="L30" s="17">
        <v>2233</v>
      </c>
      <c r="N30" s="18">
        <v>134</v>
      </c>
      <c r="P30" s="18">
        <v>2099</v>
      </c>
      <c r="Q30" s="17">
        <v>913</v>
      </c>
      <c r="R30" s="18">
        <v>2</v>
      </c>
      <c r="T30" s="18">
        <v>873</v>
      </c>
      <c r="U30" s="18">
        <v>38</v>
      </c>
      <c r="V30" s="17">
        <v>67288</v>
      </c>
      <c r="W30" s="18">
        <v>1387</v>
      </c>
      <c r="X30" s="18">
        <v>3182</v>
      </c>
      <c r="Y30" s="18">
        <v>2266</v>
      </c>
      <c r="Z30" s="18">
        <v>60453</v>
      </c>
      <c r="AA30" s="19">
        <v>188878</v>
      </c>
    </row>
    <row r="31" spans="1:27" ht="13.2" x14ac:dyDescent="0.25">
      <c r="A31" s="16">
        <v>44058</v>
      </c>
      <c r="B31" s="17">
        <v>6014</v>
      </c>
      <c r="E31" s="18">
        <v>1</v>
      </c>
      <c r="F31" s="18">
        <v>6013</v>
      </c>
      <c r="G31" s="17">
        <v>113694</v>
      </c>
      <c r="I31" s="18">
        <v>11862</v>
      </c>
      <c r="K31" s="18">
        <v>101832</v>
      </c>
      <c r="L31" s="17">
        <v>2274</v>
      </c>
      <c r="N31" s="18">
        <v>174</v>
      </c>
      <c r="P31" s="18">
        <v>2100</v>
      </c>
      <c r="Q31" s="17">
        <v>913</v>
      </c>
      <c r="R31" s="18">
        <v>2</v>
      </c>
      <c r="T31" s="18">
        <v>873</v>
      </c>
      <c r="U31" s="18">
        <v>38</v>
      </c>
      <c r="V31" s="17">
        <v>67827</v>
      </c>
      <c r="W31" s="18">
        <v>1455</v>
      </c>
      <c r="X31" s="18">
        <v>3411</v>
      </c>
      <c r="Y31" s="18">
        <v>2266</v>
      </c>
      <c r="Z31" s="18">
        <v>60695</v>
      </c>
      <c r="AA31" s="19">
        <v>190722</v>
      </c>
    </row>
    <row r="32" spans="1:27" ht="13.2" x14ac:dyDescent="0.25">
      <c r="A32" s="16">
        <v>44059</v>
      </c>
      <c r="B32" s="17">
        <v>6014</v>
      </c>
      <c r="E32" s="18">
        <v>1</v>
      </c>
      <c r="F32" s="18">
        <v>6013</v>
      </c>
      <c r="G32" s="17">
        <v>114978</v>
      </c>
      <c r="I32" s="18">
        <v>12775</v>
      </c>
      <c r="K32" s="18">
        <v>102203</v>
      </c>
      <c r="L32" s="17">
        <v>2279</v>
      </c>
      <c r="N32" s="18">
        <v>177</v>
      </c>
      <c r="P32" s="18">
        <v>2102</v>
      </c>
      <c r="Q32" s="17">
        <v>914</v>
      </c>
      <c r="R32" s="18">
        <v>1</v>
      </c>
      <c r="S32" s="18">
        <v>1</v>
      </c>
      <c r="T32" s="18">
        <v>874</v>
      </c>
      <c r="U32" s="18">
        <v>38</v>
      </c>
      <c r="V32" s="17">
        <v>68741</v>
      </c>
      <c r="W32" s="18">
        <v>1987</v>
      </c>
      <c r="X32" s="18">
        <v>3431</v>
      </c>
      <c r="Y32" s="18">
        <v>2267</v>
      </c>
      <c r="Z32" s="18">
        <v>61056</v>
      </c>
      <c r="AA32" s="19">
        <v>192926</v>
      </c>
    </row>
    <row r="33" spans="1:27" ht="13.2" x14ac:dyDescent="0.25">
      <c r="A33" s="16">
        <v>44060</v>
      </c>
      <c r="B33" s="17">
        <v>6014</v>
      </c>
      <c r="E33" s="18">
        <v>1</v>
      </c>
      <c r="F33" s="18">
        <v>6013</v>
      </c>
      <c r="G33" s="17">
        <v>116142</v>
      </c>
      <c r="I33" s="18">
        <v>12393</v>
      </c>
      <c r="K33" s="18">
        <v>103749</v>
      </c>
      <c r="L33" s="17">
        <v>2281</v>
      </c>
      <c r="N33" s="18">
        <v>166</v>
      </c>
      <c r="P33" s="18">
        <v>2115</v>
      </c>
      <c r="Q33" s="17">
        <v>914</v>
      </c>
      <c r="R33" s="18">
        <v>1</v>
      </c>
      <c r="S33" s="18">
        <v>1</v>
      </c>
      <c r="T33" s="18">
        <v>874</v>
      </c>
      <c r="U33" s="18">
        <v>38</v>
      </c>
      <c r="V33" s="17">
        <v>69405</v>
      </c>
      <c r="W33" s="18">
        <v>2117</v>
      </c>
      <c r="X33" s="18">
        <v>3440</v>
      </c>
      <c r="Y33" s="18">
        <v>2267</v>
      </c>
      <c r="Z33" s="18">
        <v>61581</v>
      </c>
      <c r="AA33" s="19">
        <v>194756</v>
      </c>
    </row>
    <row r="34" spans="1:27" ht="13.2" x14ac:dyDescent="0.25">
      <c r="A34" s="16">
        <v>44061</v>
      </c>
      <c r="B34" s="17">
        <v>6014</v>
      </c>
      <c r="E34" s="18">
        <v>1</v>
      </c>
      <c r="F34" s="18">
        <v>6013</v>
      </c>
      <c r="G34" s="17">
        <v>118242</v>
      </c>
      <c r="I34" s="18">
        <v>13228</v>
      </c>
      <c r="K34" s="18">
        <v>105014</v>
      </c>
      <c r="L34" s="17">
        <v>2281</v>
      </c>
      <c r="N34" s="18">
        <v>143</v>
      </c>
      <c r="P34" s="18">
        <v>2138</v>
      </c>
      <c r="Q34" s="17">
        <v>915</v>
      </c>
      <c r="R34" s="18">
        <v>2</v>
      </c>
      <c r="T34" s="18">
        <v>875</v>
      </c>
      <c r="U34" s="18">
        <v>38</v>
      </c>
      <c r="V34" s="17">
        <v>70590</v>
      </c>
      <c r="W34" s="18">
        <v>2221</v>
      </c>
      <c r="X34" s="18">
        <v>4085</v>
      </c>
      <c r="Y34" s="18">
        <v>2267</v>
      </c>
      <c r="Z34" s="18">
        <v>62017</v>
      </c>
      <c r="AA34" s="19">
        <v>198042</v>
      </c>
    </row>
    <row r="35" spans="1:27" ht="13.2" x14ac:dyDescent="0.25">
      <c r="A35" s="16">
        <v>44062</v>
      </c>
      <c r="B35" s="17">
        <v>6014</v>
      </c>
      <c r="E35" s="18">
        <v>1</v>
      </c>
      <c r="F35" s="18">
        <v>6013</v>
      </c>
      <c r="G35" s="17">
        <v>119803</v>
      </c>
      <c r="I35" s="18">
        <v>13214</v>
      </c>
      <c r="K35" s="18">
        <v>106589</v>
      </c>
      <c r="L35" s="17">
        <v>2305</v>
      </c>
      <c r="N35" s="18">
        <v>146</v>
      </c>
      <c r="P35" s="18">
        <v>2159</v>
      </c>
      <c r="Q35" s="17">
        <v>997</v>
      </c>
      <c r="R35" s="18">
        <v>4</v>
      </c>
      <c r="T35" s="18">
        <v>949</v>
      </c>
      <c r="U35" s="18">
        <v>44</v>
      </c>
      <c r="V35" s="17">
        <v>71215</v>
      </c>
      <c r="W35" s="18">
        <v>2405</v>
      </c>
      <c r="X35" s="18">
        <v>3961</v>
      </c>
      <c r="Y35" s="18">
        <v>2251</v>
      </c>
      <c r="Z35" s="18">
        <v>62598</v>
      </c>
      <c r="AA35" s="19">
        <v>200334</v>
      </c>
    </row>
    <row r="36" spans="1:27" ht="13.2" x14ac:dyDescent="0.25">
      <c r="A36" s="16">
        <v>44063</v>
      </c>
      <c r="B36" s="17">
        <v>6065</v>
      </c>
      <c r="E36" s="18">
        <v>1</v>
      </c>
      <c r="F36" s="18">
        <v>6064</v>
      </c>
      <c r="G36" s="17">
        <v>120905</v>
      </c>
      <c r="I36" s="18">
        <v>12323</v>
      </c>
      <c r="K36" s="18">
        <v>108582</v>
      </c>
      <c r="L36" s="17">
        <v>2315</v>
      </c>
      <c r="N36" s="18">
        <v>128</v>
      </c>
      <c r="P36" s="18">
        <v>2187</v>
      </c>
      <c r="Q36" s="17">
        <v>1055</v>
      </c>
      <c r="R36" s="18">
        <v>8</v>
      </c>
      <c r="T36" s="18">
        <v>990</v>
      </c>
      <c r="U36" s="18">
        <v>57</v>
      </c>
      <c r="V36" s="17">
        <v>71807</v>
      </c>
      <c r="W36" s="18">
        <v>2419</v>
      </c>
      <c r="X36" s="18">
        <v>3723</v>
      </c>
      <c r="Y36" s="18">
        <v>2267</v>
      </c>
      <c r="Z36" s="18">
        <v>63398</v>
      </c>
      <c r="AA36" s="19">
        <v>202147</v>
      </c>
    </row>
    <row r="37" spans="1:27" ht="13.2" x14ac:dyDescent="0.25">
      <c r="A37" s="16">
        <v>44064</v>
      </c>
      <c r="B37" s="17">
        <v>6068</v>
      </c>
      <c r="E37" s="18">
        <v>1</v>
      </c>
      <c r="F37" s="18">
        <v>6067</v>
      </c>
      <c r="G37" s="17">
        <v>122832</v>
      </c>
      <c r="I37" s="18">
        <v>12706</v>
      </c>
      <c r="K37" s="18">
        <v>110126</v>
      </c>
      <c r="L37" s="17">
        <v>2316</v>
      </c>
      <c r="N37" s="18">
        <v>107</v>
      </c>
      <c r="P37" s="18">
        <v>2209</v>
      </c>
      <c r="Q37" s="17">
        <v>1057</v>
      </c>
      <c r="R37" s="18">
        <v>9</v>
      </c>
      <c r="T37" s="18">
        <v>990</v>
      </c>
      <c r="U37" s="18">
        <v>58</v>
      </c>
      <c r="V37" s="17">
        <v>73324</v>
      </c>
      <c r="W37" s="18">
        <v>2474</v>
      </c>
      <c r="X37" s="18">
        <v>4063</v>
      </c>
      <c r="Y37" s="18">
        <v>2267</v>
      </c>
      <c r="Z37" s="18">
        <v>64520</v>
      </c>
      <c r="AA37" s="19">
        <v>205597</v>
      </c>
    </row>
    <row r="38" spans="1:27" ht="13.2" x14ac:dyDescent="0.25">
      <c r="A38" s="16">
        <v>44065</v>
      </c>
      <c r="B38" s="17">
        <v>6118</v>
      </c>
      <c r="E38" s="18">
        <v>1</v>
      </c>
      <c r="F38" s="18">
        <v>6117</v>
      </c>
      <c r="G38" s="17">
        <v>124236</v>
      </c>
      <c r="I38" s="18">
        <v>14023</v>
      </c>
      <c r="K38" s="18">
        <v>110213</v>
      </c>
      <c r="L38" s="17">
        <v>2318</v>
      </c>
      <c r="N38" s="18">
        <v>107</v>
      </c>
      <c r="P38" s="18">
        <v>2211</v>
      </c>
      <c r="Q38" s="17">
        <v>1074</v>
      </c>
      <c r="R38" s="18">
        <v>15</v>
      </c>
      <c r="T38" s="18">
        <v>990</v>
      </c>
      <c r="U38" s="18">
        <v>69</v>
      </c>
      <c r="V38" s="17">
        <v>74511</v>
      </c>
      <c r="W38" s="18">
        <v>2092</v>
      </c>
      <c r="X38" s="18">
        <v>5213</v>
      </c>
      <c r="Y38" s="18">
        <v>2267</v>
      </c>
      <c r="Z38" s="18">
        <v>64939</v>
      </c>
      <c r="AA38" s="19">
        <v>208257</v>
      </c>
    </row>
    <row r="39" spans="1:27" ht="13.2" x14ac:dyDescent="0.25">
      <c r="A39" s="16">
        <v>44066</v>
      </c>
      <c r="B39" s="17">
        <v>6140</v>
      </c>
      <c r="E39" s="18">
        <v>1</v>
      </c>
      <c r="F39" s="18">
        <v>6139</v>
      </c>
      <c r="G39" s="17">
        <v>125760</v>
      </c>
      <c r="I39" s="18">
        <v>15452</v>
      </c>
      <c r="K39" s="18">
        <v>110308</v>
      </c>
      <c r="L39" s="17">
        <v>2322</v>
      </c>
      <c r="N39" s="18">
        <v>111</v>
      </c>
      <c r="P39" s="18">
        <v>2211</v>
      </c>
      <c r="Q39" s="17">
        <v>1079</v>
      </c>
      <c r="R39" s="18">
        <v>16</v>
      </c>
      <c r="S39" s="18">
        <v>2</v>
      </c>
      <c r="T39" s="18">
        <v>990</v>
      </c>
      <c r="U39" s="18">
        <v>71</v>
      </c>
      <c r="V39" s="17">
        <v>75321</v>
      </c>
      <c r="W39" s="18">
        <v>2272</v>
      </c>
      <c r="X39" s="18">
        <v>5749</v>
      </c>
      <c r="Y39" s="18">
        <v>2267</v>
      </c>
      <c r="Z39" s="18">
        <v>65033</v>
      </c>
      <c r="AA39" s="19">
        <v>210622</v>
      </c>
    </row>
    <row r="40" spans="1:27" ht="13.2" x14ac:dyDescent="0.25">
      <c r="A40" s="16">
        <v>44067</v>
      </c>
      <c r="B40" s="17">
        <v>6170</v>
      </c>
      <c r="E40" s="18">
        <v>1</v>
      </c>
      <c r="F40" s="18">
        <v>6169</v>
      </c>
      <c r="G40" s="17">
        <v>127308</v>
      </c>
      <c r="I40" s="18">
        <v>14315</v>
      </c>
      <c r="K40" s="18">
        <v>112993</v>
      </c>
      <c r="L40" s="17">
        <v>2322</v>
      </c>
      <c r="N40" s="18">
        <v>98</v>
      </c>
      <c r="P40" s="18">
        <v>2224</v>
      </c>
      <c r="Q40" s="17">
        <v>1134</v>
      </c>
      <c r="R40" s="18">
        <v>16</v>
      </c>
      <c r="S40" s="18">
        <v>2</v>
      </c>
      <c r="T40" s="18">
        <v>1045</v>
      </c>
      <c r="U40" s="18">
        <v>71</v>
      </c>
      <c r="V40" s="17">
        <v>76186</v>
      </c>
      <c r="W40" s="18">
        <v>2144</v>
      </c>
      <c r="X40" s="18">
        <v>5647</v>
      </c>
      <c r="Y40" s="18">
        <v>2294</v>
      </c>
      <c r="Z40" s="18">
        <v>66101</v>
      </c>
      <c r="AA40" s="19">
        <v>213120</v>
      </c>
    </row>
    <row r="41" spans="1:27" ht="13.2" x14ac:dyDescent="0.25">
      <c r="A41" s="16">
        <v>44068</v>
      </c>
      <c r="B41" s="17">
        <v>6221</v>
      </c>
      <c r="E41" s="18">
        <v>1</v>
      </c>
      <c r="F41" s="18">
        <v>6220</v>
      </c>
      <c r="G41" s="17">
        <v>128406</v>
      </c>
      <c r="I41" s="18">
        <v>13545</v>
      </c>
      <c r="K41" s="18">
        <v>114861</v>
      </c>
      <c r="L41" s="17">
        <v>2343</v>
      </c>
      <c r="N41" s="18">
        <v>111</v>
      </c>
      <c r="P41" s="18">
        <v>2232</v>
      </c>
      <c r="Q41" s="17">
        <v>1218</v>
      </c>
      <c r="R41" s="18">
        <v>18</v>
      </c>
      <c r="T41" s="18">
        <v>1129</v>
      </c>
      <c r="U41" s="18">
        <v>71</v>
      </c>
      <c r="V41" s="17">
        <v>76702</v>
      </c>
      <c r="W41" s="18">
        <v>2303</v>
      </c>
      <c r="X41" s="18">
        <v>5048</v>
      </c>
      <c r="Y41" s="18">
        <v>2294</v>
      </c>
      <c r="Z41" s="18">
        <v>67057</v>
      </c>
      <c r="AA41" s="19">
        <v>214890</v>
      </c>
    </row>
    <row r="42" spans="1:27" ht="13.2" x14ac:dyDescent="0.25">
      <c r="A42" s="16">
        <v>44069</v>
      </c>
      <c r="B42" s="17">
        <v>6281</v>
      </c>
      <c r="E42" s="18">
        <v>1</v>
      </c>
      <c r="F42" s="18">
        <v>6280</v>
      </c>
      <c r="G42" s="17">
        <v>129580</v>
      </c>
      <c r="I42" s="18">
        <v>11882</v>
      </c>
      <c r="K42" s="18">
        <v>117698</v>
      </c>
      <c r="L42" s="17">
        <v>2362</v>
      </c>
      <c r="N42" s="18">
        <v>81</v>
      </c>
      <c r="P42" s="18">
        <v>2281</v>
      </c>
      <c r="Q42" s="17">
        <v>1236</v>
      </c>
      <c r="R42" s="18">
        <v>31</v>
      </c>
      <c r="T42" s="18">
        <v>1129</v>
      </c>
      <c r="U42" s="18">
        <v>76</v>
      </c>
      <c r="V42" s="17">
        <v>77254</v>
      </c>
      <c r="W42" s="18">
        <v>2348</v>
      </c>
      <c r="X42" s="18">
        <v>4179</v>
      </c>
      <c r="Y42" s="18">
        <v>2294</v>
      </c>
      <c r="Z42" s="18">
        <v>68433</v>
      </c>
      <c r="AA42" s="19">
        <v>216713</v>
      </c>
    </row>
    <row r="43" spans="1:27" ht="13.2" x14ac:dyDescent="0.25">
      <c r="A43" s="16">
        <v>44070</v>
      </c>
      <c r="B43" s="17">
        <v>6368</v>
      </c>
      <c r="E43" s="18">
        <v>1</v>
      </c>
      <c r="F43" s="18">
        <v>6367</v>
      </c>
      <c r="G43" s="17">
        <v>130391</v>
      </c>
      <c r="I43" s="18">
        <v>10804</v>
      </c>
      <c r="K43" s="18">
        <v>119587</v>
      </c>
      <c r="L43" s="17">
        <v>2372</v>
      </c>
      <c r="N43" s="18">
        <v>88</v>
      </c>
      <c r="P43" s="18">
        <v>2284</v>
      </c>
      <c r="Q43" s="17">
        <v>1243</v>
      </c>
      <c r="R43" s="18">
        <v>31</v>
      </c>
      <c r="T43" s="18">
        <v>1129</v>
      </c>
      <c r="U43" s="18">
        <v>83</v>
      </c>
      <c r="V43" s="17">
        <v>77651</v>
      </c>
      <c r="W43" s="18">
        <v>1771</v>
      </c>
      <c r="X43" s="18">
        <v>4669</v>
      </c>
      <c r="Y43" s="18">
        <v>2294</v>
      </c>
      <c r="Z43" s="18">
        <v>68917</v>
      </c>
      <c r="AA43" s="19">
        <v>218025</v>
      </c>
    </row>
    <row r="44" spans="1:27" ht="13.2" x14ac:dyDescent="0.25">
      <c r="A44" s="16">
        <v>44071</v>
      </c>
      <c r="B44" s="17">
        <v>6415</v>
      </c>
      <c r="E44" s="18">
        <v>1</v>
      </c>
      <c r="F44" s="18">
        <v>6414</v>
      </c>
      <c r="G44" s="17">
        <v>131373</v>
      </c>
      <c r="I44" s="18">
        <v>9346</v>
      </c>
      <c r="K44" s="18">
        <v>122027</v>
      </c>
      <c r="L44" s="17">
        <v>2375</v>
      </c>
      <c r="N44" s="18">
        <v>61</v>
      </c>
      <c r="P44" s="18">
        <v>2314</v>
      </c>
      <c r="Q44" s="17">
        <v>1354</v>
      </c>
      <c r="R44" s="18">
        <v>42</v>
      </c>
      <c r="T44" s="18">
        <v>1228</v>
      </c>
      <c r="U44" s="18">
        <v>84</v>
      </c>
      <c r="V44" s="17">
        <v>78289</v>
      </c>
      <c r="W44" s="18">
        <v>1447</v>
      </c>
      <c r="X44" s="18">
        <v>3719</v>
      </c>
      <c r="Y44" s="18">
        <v>2302</v>
      </c>
      <c r="Z44" s="18">
        <v>70821</v>
      </c>
      <c r="AA44" s="19">
        <v>219806</v>
      </c>
    </row>
    <row r="45" spans="1:27" ht="13.2" x14ac:dyDescent="0.25">
      <c r="A45" s="16">
        <v>44072</v>
      </c>
      <c r="B45" s="17">
        <v>6478</v>
      </c>
      <c r="E45" s="18">
        <v>1</v>
      </c>
      <c r="F45" s="18">
        <v>6477</v>
      </c>
      <c r="G45" s="17">
        <v>132195</v>
      </c>
      <c r="I45" s="18">
        <v>10141</v>
      </c>
      <c r="K45" s="18">
        <v>122054</v>
      </c>
      <c r="L45" s="17">
        <v>2380</v>
      </c>
      <c r="N45" s="18">
        <v>66</v>
      </c>
      <c r="P45" s="18">
        <v>2314</v>
      </c>
      <c r="Q45" s="17">
        <v>1356</v>
      </c>
      <c r="R45" s="18">
        <v>46</v>
      </c>
      <c r="T45" s="18">
        <v>1216</v>
      </c>
      <c r="U45" s="18">
        <v>94</v>
      </c>
      <c r="V45" s="17">
        <v>78878</v>
      </c>
      <c r="W45" s="18">
        <v>1486</v>
      </c>
      <c r="X45" s="18">
        <v>3690</v>
      </c>
      <c r="Y45" s="18">
        <v>2302</v>
      </c>
      <c r="Z45" s="18">
        <v>71400</v>
      </c>
      <c r="AA45" s="19">
        <v>221287</v>
      </c>
    </row>
    <row r="46" spans="1:27" ht="13.2" x14ac:dyDescent="0.25">
      <c r="A46" s="16">
        <v>44073</v>
      </c>
      <c r="B46" s="17">
        <v>6488</v>
      </c>
      <c r="E46" s="18">
        <v>1</v>
      </c>
      <c r="F46" s="18">
        <v>6487</v>
      </c>
      <c r="G46" s="17">
        <v>133831</v>
      </c>
      <c r="I46" s="18">
        <v>11244</v>
      </c>
      <c r="K46" s="18">
        <v>122587</v>
      </c>
      <c r="L46" s="17">
        <v>2380</v>
      </c>
      <c r="N46" s="18">
        <v>65</v>
      </c>
      <c r="P46" s="18">
        <v>2315</v>
      </c>
      <c r="Q46" s="17">
        <v>1366</v>
      </c>
      <c r="R46" s="18">
        <v>53</v>
      </c>
      <c r="T46" s="18">
        <v>1216</v>
      </c>
      <c r="U46" s="18">
        <v>97</v>
      </c>
      <c r="V46" s="17">
        <v>79628</v>
      </c>
      <c r="W46" s="18">
        <v>1981</v>
      </c>
      <c r="X46" s="18">
        <v>3879</v>
      </c>
      <c r="Y46" s="18">
        <v>2302</v>
      </c>
      <c r="Z46" s="18">
        <v>71466</v>
      </c>
      <c r="AA46" s="19">
        <v>223693</v>
      </c>
    </row>
    <row r="47" spans="1:27" ht="13.2" x14ac:dyDescent="0.25">
      <c r="A47" s="16">
        <v>44074</v>
      </c>
      <c r="B47" s="17">
        <v>6526</v>
      </c>
      <c r="E47" s="18">
        <v>1</v>
      </c>
      <c r="F47" s="18">
        <v>6525</v>
      </c>
      <c r="G47" s="17">
        <v>136052</v>
      </c>
      <c r="I47" s="18">
        <v>10453</v>
      </c>
      <c r="K47" s="18">
        <v>125599</v>
      </c>
      <c r="L47" s="17">
        <v>2380</v>
      </c>
      <c r="N47" s="18">
        <v>59</v>
      </c>
      <c r="P47" s="18">
        <v>2321</v>
      </c>
      <c r="Q47" s="17">
        <v>1427</v>
      </c>
      <c r="R47" s="18">
        <v>51</v>
      </c>
      <c r="T47" s="18">
        <v>1276</v>
      </c>
      <c r="U47" s="18">
        <v>100</v>
      </c>
      <c r="V47" s="17">
        <v>81695</v>
      </c>
      <c r="W47" s="18">
        <v>1789</v>
      </c>
      <c r="X47" s="18">
        <v>4617</v>
      </c>
      <c r="Y47" s="18">
        <v>2302</v>
      </c>
      <c r="Z47" s="18">
        <v>72987</v>
      </c>
      <c r="AA47" s="19">
        <v>228080</v>
      </c>
    </row>
    <row r="48" spans="1:27" ht="13.2" x14ac:dyDescent="0.25">
      <c r="A48" s="16">
        <v>44075</v>
      </c>
      <c r="B48" s="17">
        <v>6628</v>
      </c>
      <c r="E48" s="18">
        <v>1</v>
      </c>
      <c r="F48" s="18">
        <v>6627</v>
      </c>
      <c r="G48" s="17">
        <v>136969</v>
      </c>
      <c r="I48" s="18">
        <v>11221</v>
      </c>
      <c r="K48" s="18">
        <v>125748</v>
      </c>
      <c r="L48" s="17">
        <v>2380</v>
      </c>
      <c r="N48" s="18">
        <v>59</v>
      </c>
      <c r="P48" s="18">
        <v>2321</v>
      </c>
      <c r="Q48" s="17">
        <v>1490</v>
      </c>
      <c r="R48" s="18">
        <v>59</v>
      </c>
      <c r="T48" s="18">
        <v>1326</v>
      </c>
      <c r="U48" s="18">
        <v>105</v>
      </c>
      <c r="V48" s="17">
        <v>82397</v>
      </c>
      <c r="W48" s="18">
        <v>1863</v>
      </c>
      <c r="X48" s="18">
        <v>5071</v>
      </c>
      <c r="Y48" s="18">
        <v>2302</v>
      </c>
      <c r="Z48" s="18">
        <v>73161</v>
      </c>
      <c r="AA48" s="19">
        <v>229864</v>
      </c>
    </row>
    <row r="49" spans="1:27" ht="13.2" x14ac:dyDescent="0.25">
      <c r="A49" s="16">
        <v>44076</v>
      </c>
      <c r="B49" s="17">
        <v>6684</v>
      </c>
      <c r="E49" s="18">
        <v>1</v>
      </c>
      <c r="F49" s="18">
        <v>6683</v>
      </c>
      <c r="G49" s="17">
        <v>141069</v>
      </c>
      <c r="I49" s="18">
        <v>11764</v>
      </c>
      <c r="K49" s="18">
        <v>129305</v>
      </c>
      <c r="L49" s="17">
        <v>2381</v>
      </c>
      <c r="N49" s="18">
        <v>43</v>
      </c>
      <c r="P49" s="18">
        <v>2338</v>
      </c>
      <c r="Q49" s="17">
        <v>1506</v>
      </c>
      <c r="R49" s="18">
        <v>43</v>
      </c>
      <c r="T49" s="18">
        <v>1326</v>
      </c>
      <c r="U49" s="18">
        <v>137</v>
      </c>
      <c r="V49" s="17">
        <v>84760</v>
      </c>
      <c r="W49" s="18">
        <v>2361</v>
      </c>
      <c r="X49" s="18">
        <v>5318</v>
      </c>
      <c r="Y49" s="18">
        <v>2302</v>
      </c>
      <c r="Z49" s="18">
        <v>74779</v>
      </c>
      <c r="AA49" s="19">
        <v>236400</v>
      </c>
    </row>
    <row r="50" spans="1:27" ht="13.2" x14ac:dyDescent="0.25">
      <c r="A50" s="16">
        <v>44077</v>
      </c>
      <c r="B50" s="17">
        <v>6743</v>
      </c>
      <c r="E50" s="18">
        <v>1</v>
      </c>
      <c r="F50" s="18">
        <v>6742</v>
      </c>
      <c r="G50" s="17">
        <v>142634</v>
      </c>
      <c r="I50" s="18">
        <v>12862</v>
      </c>
      <c r="K50" s="18">
        <v>129772</v>
      </c>
      <c r="L50" s="17">
        <v>2382</v>
      </c>
      <c r="N50" s="18">
        <v>43</v>
      </c>
      <c r="P50" s="18">
        <v>2339</v>
      </c>
      <c r="Q50" s="17">
        <v>1652</v>
      </c>
      <c r="R50" s="18">
        <v>39</v>
      </c>
      <c r="T50" s="18">
        <v>1461</v>
      </c>
      <c r="U50" s="18">
        <v>152</v>
      </c>
      <c r="V50" s="17">
        <v>85956</v>
      </c>
      <c r="W50" s="18">
        <v>2290</v>
      </c>
      <c r="X50" s="18">
        <v>6062</v>
      </c>
      <c r="Y50" s="18">
        <v>2302</v>
      </c>
      <c r="Z50" s="18">
        <v>75302</v>
      </c>
      <c r="AA50" s="19">
        <v>239367</v>
      </c>
    </row>
    <row r="51" spans="1:27" ht="13.2" x14ac:dyDescent="0.25">
      <c r="A51" s="16">
        <v>44078</v>
      </c>
      <c r="B51" s="17">
        <v>6826</v>
      </c>
      <c r="E51" s="18">
        <v>1</v>
      </c>
      <c r="F51" s="18">
        <v>6825</v>
      </c>
      <c r="G51" s="17">
        <v>145212</v>
      </c>
      <c r="I51" s="18">
        <v>14132</v>
      </c>
      <c r="K51" s="18">
        <v>131080</v>
      </c>
      <c r="L51" s="17">
        <v>2388</v>
      </c>
      <c r="N51" s="18">
        <v>44</v>
      </c>
      <c r="P51" s="18">
        <v>2344</v>
      </c>
      <c r="Q51" s="17">
        <v>1665</v>
      </c>
      <c r="R51" s="18">
        <v>36</v>
      </c>
      <c r="T51" s="18">
        <v>1461</v>
      </c>
      <c r="U51" s="18">
        <v>168</v>
      </c>
      <c r="V51" s="17">
        <v>87522</v>
      </c>
      <c r="W51" s="18">
        <v>2409</v>
      </c>
      <c r="X51" s="18">
        <v>6500</v>
      </c>
      <c r="Y51" s="18">
        <v>2302</v>
      </c>
      <c r="Z51" s="18">
        <v>76311</v>
      </c>
      <c r="AA51" s="19">
        <v>243613</v>
      </c>
    </row>
    <row r="52" spans="1:27" ht="13.2" x14ac:dyDescent="0.25">
      <c r="A52" s="16">
        <v>44079</v>
      </c>
      <c r="B52" s="17">
        <v>6954</v>
      </c>
      <c r="E52" s="18">
        <v>1</v>
      </c>
      <c r="F52" s="18">
        <v>6953</v>
      </c>
      <c r="G52" s="17">
        <v>147145</v>
      </c>
      <c r="I52" s="18">
        <v>15686</v>
      </c>
      <c r="K52" s="18">
        <v>131459</v>
      </c>
      <c r="L52" s="17">
        <v>2390</v>
      </c>
      <c r="N52" s="18">
        <v>46</v>
      </c>
      <c r="P52" s="18">
        <v>2344</v>
      </c>
      <c r="Q52" s="17">
        <v>1737</v>
      </c>
      <c r="R52" s="18">
        <v>42</v>
      </c>
      <c r="T52" s="18">
        <v>1518</v>
      </c>
      <c r="U52" s="18">
        <v>177</v>
      </c>
      <c r="V52" s="17">
        <v>88643</v>
      </c>
      <c r="W52" s="18">
        <v>2464</v>
      </c>
      <c r="X52" s="18">
        <v>7300</v>
      </c>
      <c r="Y52" s="18">
        <v>2302</v>
      </c>
      <c r="Z52" s="18">
        <v>76577</v>
      </c>
      <c r="AA52" s="19">
        <v>246869</v>
      </c>
    </row>
    <row r="53" spans="1:27" ht="13.2" x14ac:dyDescent="0.25">
      <c r="A53" s="16">
        <v>44080</v>
      </c>
      <c r="B53" s="17">
        <v>6954</v>
      </c>
      <c r="E53" s="18">
        <v>1</v>
      </c>
      <c r="F53" s="18">
        <v>6953</v>
      </c>
      <c r="G53" s="17">
        <v>147145</v>
      </c>
      <c r="I53" s="18">
        <v>15686</v>
      </c>
      <c r="K53" s="18">
        <v>131459</v>
      </c>
      <c r="L53" s="17">
        <v>2390</v>
      </c>
      <c r="N53" s="18">
        <v>46</v>
      </c>
      <c r="P53" s="18">
        <v>2344</v>
      </c>
      <c r="Q53" s="17">
        <v>1737</v>
      </c>
      <c r="R53" s="18">
        <v>41</v>
      </c>
      <c r="T53" s="18">
        <v>1518</v>
      </c>
      <c r="U53" s="18">
        <v>178</v>
      </c>
      <c r="V53" s="17">
        <v>88643</v>
      </c>
      <c r="W53" s="18">
        <v>2461</v>
      </c>
      <c r="X53" s="18">
        <v>7300</v>
      </c>
      <c r="Y53" s="18">
        <v>2302</v>
      </c>
      <c r="Z53" s="18">
        <v>76580</v>
      </c>
      <c r="AA53" s="19">
        <v>246869</v>
      </c>
    </row>
    <row r="54" spans="1:27" ht="13.2" x14ac:dyDescent="0.25">
      <c r="A54" s="16">
        <v>44081</v>
      </c>
      <c r="B54" s="17">
        <v>7003</v>
      </c>
      <c r="E54" s="18">
        <v>1</v>
      </c>
      <c r="F54" s="18">
        <v>7002</v>
      </c>
      <c r="G54" s="17">
        <v>150390</v>
      </c>
      <c r="I54" s="18">
        <v>15795</v>
      </c>
      <c r="K54" s="18">
        <v>134595</v>
      </c>
      <c r="L54" s="17">
        <v>2396</v>
      </c>
      <c r="N54" s="18">
        <v>30</v>
      </c>
      <c r="P54" s="18">
        <v>2366</v>
      </c>
      <c r="Q54" s="17">
        <v>1847</v>
      </c>
      <c r="R54" s="18">
        <v>42</v>
      </c>
      <c r="T54" s="18">
        <v>1618</v>
      </c>
      <c r="U54" s="18">
        <v>187</v>
      </c>
      <c r="V54" s="17">
        <v>90223</v>
      </c>
      <c r="W54" s="18">
        <v>2003</v>
      </c>
      <c r="X54" s="18">
        <v>7748</v>
      </c>
      <c r="Y54" s="18">
        <v>2302</v>
      </c>
      <c r="Z54" s="18">
        <v>78170</v>
      </c>
      <c r="AA54" s="19">
        <v>251859</v>
      </c>
    </row>
    <row r="55" spans="1:27" ht="13.2" x14ac:dyDescent="0.25">
      <c r="A55" s="16">
        <v>44082</v>
      </c>
      <c r="B55" s="17">
        <v>7098</v>
      </c>
      <c r="E55" s="18">
        <v>1</v>
      </c>
      <c r="F55" s="18">
        <v>7097</v>
      </c>
      <c r="G55" s="17">
        <v>151489</v>
      </c>
      <c r="I55" s="18">
        <v>15704</v>
      </c>
      <c r="K55" s="18">
        <v>135785</v>
      </c>
      <c r="L55" s="17">
        <v>2439</v>
      </c>
      <c r="N55" s="18">
        <v>66</v>
      </c>
      <c r="P55" s="18">
        <v>2373</v>
      </c>
      <c r="Q55" s="17">
        <v>1860</v>
      </c>
      <c r="R55" s="18">
        <v>42</v>
      </c>
      <c r="T55" s="18">
        <v>1618</v>
      </c>
      <c r="U55" s="18">
        <v>200</v>
      </c>
      <c r="V55" s="17">
        <v>90966</v>
      </c>
      <c r="W55" s="18">
        <v>1963</v>
      </c>
      <c r="X55" s="18">
        <v>7874</v>
      </c>
      <c r="Y55" s="18">
        <v>2302</v>
      </c>
      <c r="Z55" s="18">
        <v>78827</v>
      </c>
      <c r="AA55" s="19">
        <v>253852</v>
      </c>
    </row>
    <row r="56" spans="1:27" ht="13.2" x14ac:dyDescent="0.25">
      <c r="A56" s="16">
        <v>44083</v>
      </c>
      <c r="B56" s="17">
        <v>7171</v>
      </c>
      <c r="E56" s="18">
        <v>1</v>
      </c>
      <c r="F56" s="18">
        <v>7170</v>
      </c>
      <c r="G56" s="17">
        <v>154152</v>
      </c>
      <c r="I56" s="18">
        <v>16745</v>
      </c>
      <c r="K56" s="18">
        <v>137407</v>
      </c>
      <c r="L56" s="17">
        <v>2452</v>
      </c>
      <c r="N56" s="18">
        <v>72</v>
      </c>
      <c r="P56" s="18">
        <v>2380</v>
      </c>
      <c r="Q56" s="17">
        <v>2005</v>
      </c>
      <c r="R56" s="18">
        <v>43</v>
      </c>
      <c r="T56" s="18">
        <v>1734</v>
      </c>
      <c r="U56" s="18">
        <v>228</v>
      </c>
      <c r="V56" s="17">
        <v>92773</v>
      </c>
      <c r="W56" s="18">
        <v>2187</v>
      </c>
      <c r="X56" s="18">
        <v>8072</v>
      </c>
      <c r="Y56" s="18">
        <v>2302</v>
      </c>
      <c r="Z56" s="18">
        <v>80212</v>
      </c>
      <c r="AA56" s="19">
        <v>258553</v>
      </c>
    </row>
    <row r="57" spans="1:27" ht="13.2" x14ac:dyDescent="0.25">
      <c r="A57" s="16">
        <v>44084</v>
      </c>
      <c r="B57" s="17">
        <v>7171</v>
      </c>
      <c r="E57" s="18">
        <v>1</v>
      </c>
      <c r="F57" s="18">
        <v>7170</v>
      </c>
      <c r="G57" s="17">
        <v>155683</v>
      </c>
      <c r="I57" s="18">
        <v>16728</v>
      </c>
      <c r="K57" s="18">
        <v>138955</v>
      </c>
      <c r="L57" s="17">
        <v>2460</v>
      </c>
      <c r="N57" s="18">
        <v>77</v>
      </c>
      <c r="P57" s="18">
        <v>2383</v>
      </c>
      <c r="Q57" s="17">
        <v>2005</v>
      </c>
      <c r="R57" s="18">
        <v>38</v>
      </c>
      <c r="T57" s="18">
        <v>1734</v>
      </c>
      <c r="U57" s="18">
        <v>233</v>
      </c>
      <c r="V57" s="17">
        <v>93553</v>
      </c>
      <c r="W57" s="18">
        <v>2252</v>
      </c>
      <c r="X57" s="18">
        <v>7600</v>
      </c>
      <c r="Y57" s="18">
        <v>2302</v>
      </c>
      <c r="Z57" s="18">
        <v>81399</v>
      </c>
      <c r="AA57" s="19">
        <v>260872</v>
      </c>
    </row>
    <row r="58" spans="1:27" ht="13.2" x14ac:dyDescent="0.25">
      <c r="A58" s="16">
        <v>44085</v>
      </c>
      <c r="B58" s="17">
        <v>7196</v>
      </c>
      <c r="E58" s="18">
        <v>1</v>
      </c>
      <c r="F58" s="18">
        <v>7195</v>
      </c>
      <c r="G58" s="17">
        <v>156809</v>
      </c>
      <c r="I58" s="18">
        <v>15682</v>
      </c>
      <c r="K58" s="18">
        <v>141127</v>
      </c>
      <c r="L58" s="17">
        <v>2464</v>
      </c>
      <c r="N58" s="18">
        <v>77</v>
      </c>
      <c r="P58" s="18">
        <v>2387</v>
      </c>
      <c r="Q58" s="17">
        <v>2015</v>
      </c>
      <c r="R58" s="18">
        <v>40</v>
      </c>
      <c r="T58" s="18">
        <v>1734</v>
      </c>
      <c r="U58" s="18">
        <v>241</v>
      </c>
      <c r="V58" s="17">
        <v>94699</v>
      </c>
      <c r="W58" s="18">
        <v>2033</v>
      </c>
      <c r="X58" s="18">
        <v>7561</v>
      </c>
      <c r="Y58" s="18">
        <v>2302</v>
      </c>
      <c r="Z58" s="18">
        <v>82803</v>
      </c>
      <c r="AA58" s="19">
        <v>263183</v>
      </c>
    </row>
    <row r="59" spans="1:27" ht="13.2" x14ac:dyDescent="0.25">
      <c r="A59" s="16">
        <v>44086</v>
      </c>
      <c r="B59" s="17">
        <v>7196</v>
      </c>
      <c r="E59" s="18">
        <v>1</v>
      </c>
      <c r="F59" s="18">
        <v>7195</v>
      </c>
      <c r="G59" s="17">
        <v>159315</v>
      </c>
      <c r="I59" s="18">
        <v>17598</v>
      </c>
      <c r="K59" s="18">
        <v>141717</v>
      </c>
      <c r="L59" s="17">
        <v>2482</v>
      </c>
      <c r="M59" s="18">
        <v>1</v>
      </c>
      <c r="N59" s="18">
        <v>79</v>
      </c>
      <c r="P59" s="18">
        <v>2402</v>
      </c>
      <c r="Q59" s="17">
        <v>2015</v>
      </c>
      <c r="R59" s="18">
        <v>35</v>
      </c>
      <c r="T59" s="18">
        <v>1734</v>
      </c>
      <c r="U59" s="18">
        <v>246</v>
      </c>
      <c r="V59" s="17">
        <v>96210</v>
      </c>
      <c r="W59" s="18">
        <v>2403</v>
      </c>
      <c r="X59" s="18">
        <v>7614</v>
      </c>
      <c r="Y59" s="18">
        <v>2304</v>
      </c>
      <c r="Z59" s="18">
        <v>83889</v>
      </c>
      <c r="AA59" s="19">
        <v>267218</v>
      </c>
    </row>
    <row r="60" spans="1:27" ht="15.75" customHeight="1" x14ac:dyDescent="0.3">
      <c r="A60" s="16">
        <v>44087</v>
      </c>
      <c r="B60" s="20">
        <v>7196</v>
      </c>
      <c r="C60" s="21"/>
      <c r="D60" s="21"/>
      <c r="E60" s="22">
        <v>1</v>
      </c>
      <c r="F60" s="22">
        <v>7195</v>
      </c>
      <c r="G60" s="23">
        <v>160315</v>
      </c>
      <c r="H60" s="21"/>
      <c r="I60" s="22">
        <v>18415</v>
      </c>
      <c r="J60" s="21"/>
      <c r="K60" s="22">
        <v>141900</v>
      </c>
      <c r="L60" s="23">
        <v>2492</v>
      </c>
      <c r="M60" s="21"/>
      <c r="N60" s="22">
        <v>90</v>
      </c>
      <c r="O60" s="21"/>
      <c r="P60" s="22">
        <v>2402</v>
      </c>
      <c r="Q60" s="23">
        <v>2015</v>
      </c>
      <c r="R60" s="22">
        <v>30</v>
      </c>
      <c r="S60" s="21"/>
      <c r="T60" s="22">
        <v>1734</v>
      </c>
      <c r="U60" s="22">
        <v>251</v>
      </c>
      <c r="V60" s="23">
        <v>96820</v>
      </c>
      <c r="W60" s="22">
        <v>2258</v>
      </c>
      <c r="X60" s="22">
        <v>8007</v>
      </c>
      <c r="Y60" s="22">
        <v>2305</v>
      </c>
      <c r="Z60" s="22">
        <v>84250</v>
      </c>
      <c r="AA60" s="24">
        <v>268838</v>
      </c>
    </row>
    <row r="61" spans="1:27" ht="15.75" customHeight="1" x14ac:dyDescent="0.3">
      <c r="A61" s="16">
        <v>44088</v>
      </c>
      <c r="B61" s="20">
        <v>7352</v>
      </c>
      <c r="C61" s="21"/>
      <c r="D61" s="21"/>
      <c r="E61" s="22">
        <v>1</v>
      </c>
      <c r="F61" s="22">
        <v>7351</v>
      </c>
      <c r="G61" s="23">
        <v>162775</v>
      </c>
      <c r="H61" s="21"/>
      <c r="I61" s="22">
        <v>17947</v>
      </c>
      <c r="J61" s="21"/>
      <c r="K61" s="22">
        <v>144828</v>
      </c>
      <c r="L61" s="23">
        <v>2501</v>
      </c>
      <c r="M61" s="21"/>
      <c r="N61" s="22">
        <v>95</v>
      </c>
      <c r="O61" s="21"/>
      <c r="P61" s="22">
        <v>2406</v>
      </c>
      <c r="Q61" s="23">
        <v>2131</v>
      </c>
      <c r="R61" s="22">
        <v>40</v>
      </c>
      <c r="S61" s="21"/>
      <c r="T61" s="22">
        <v>1838</v>
      </c>
      <c r="U61" s="22">
        <v>253</v>
      </c>
      <c r="V61" s="23">
        <v>99116</v>
      </c>
      <c r="W61" s="22">
        <v>2205</v>
      </c>
      <c r="X61" s="22">
        <v>8190</v>
      </c>
      <c r="Y61" s="22">
        <v>2305</v>
      </c>
      <c r="Z61" s="22">
        <v>86416</v>
      </c>
      <c r="AA61" s="24">
        <v>273875</v>
      </c>
    </row>
    <row r="62" spans="1:27" ht="13.2" x14ac:dyDescent="0.25">
      <c r="A62" s="16">
        <v>44089</v>
      </c>
      <c r="B62" s="17">
        <v>7352</v>
      </c>
      <c r="E62" s="18">
        <v>1</v>
      </c>
      <c r="F62" s="18">
        <v>7351</v>
      </c>
      <c r="G62" s="17">
        <v>164503</v>
      </c>
      <c r="I62" s="18">
        <v>17057</v>
      </c>
      <c r="K62" s="18">
        <v>147446</v>
      </c>
      <c r="L62" s="17">
        <v>2517</v>
      </c>
      <c r="N62" s="18">
        <v>106</v>
      </c>
      <c r="P62" s="18">
        <v>2411</v>
      </c>
      <c r="Q62" s="17">
        <v>2131</v>
      </c>
      <c r="R62" s="18">
        <v>38</v>
      </c>
      <c r="T62" s="18">
        <v>1838</v>
      </c>
      <c r="U62" s="18">
        <v>255</v>
      </c>
      <c r="V62" s="17">
        <v>99802</v>
      </c>
      <c r="W62" s="18">
        <v>2251</v>
      </c>
      <c r="X62" s="18">
        <v>7479</v>
      </c>
      <c r="Y62" s="18">
        <v>2305</v>
      </c>
      <c r="Z62" s="18">
        <v>87767</v>
      </c>
      <c r="AA62" s="19">
        <v>276305</v>
      </c>
    </row>
    <row r="63" spans="1:27" ht="13.2" x14ac:dyDescent="0.25">
      <c r="A63" s="16">
        <v>44090</v>
      </c>
      <c r="B63" s="17">
        <v>7476</v>
      </c>
      <c r="E63" s="18">
        <v>1</v>
      </c>
      <c r="F63" s="18">
        <v>7475</v>
      </c>
      <c r="G63" s="17">
        <v>168612</v>
      </c>
      <c r="I63" s="18">
        <v>20502</v>
      </c>
      <c r="K63" s="18">
        <v>148110</v>
      </c>
      <c r="L63" s="17">
        <v>2536</v>
      </c>
      <c r="N63" s="18">
        <v>121</v>
      </c>
      <c r="P63" s="18">
        <v>2415</v>
      </c>
      <c r="Q63" s="17">
        <v>2214</v>
      </c>
      <c r="R63" s="18">
        <v>50</v>
      </c>
      <c r="T63" s="18">
        <v>1909</v>
      </c>
      <c r="U63" s="18">
        <v>255</v>
      </c>
      <c r="V63" s="17">
        <v>102330</v>
      </c>
      <c r="W63" s="18">
        <v>2244</v>
      </c>
      <c r="X63" s="18">
        <v>8988</v>
      </c>
      <c r="Y63" s="18">
        <v>2311</v>
      </c>
      <c r="Z63" s="18">
        <v>88787</v>
      </c>
      <c r="AA63" s="19">
        <v>283168</v>
      </c>
    </row>
    <row r="64" spans="1:27" ht="13.2" x14ac:dyDescent="0.25">
      <c r="A64" s="16">
        <v>44091</v>
      </c>
      <c r="B64" s="17">
        <v>7565</v>
      </c>
      <c r="E64" s="18">
        <v>1</v>
      </c>
      <c r="F64" s="18">
        <v>7564</v>
      </c>
      <c r="G64" s="17">
        <v>170098</v>
      </c>
      <c r="I64" s="18">
        <v>20077</v>
      </c>
      <c r="K64" s="18">
        <v>150021</v>
      </c>
      <c r="L64" s="17">
        <v>2554</v>
      </c>
      <c r="N64" s="18">
        <v>123</v>
      </c>
      <c r="P64" s="18">
        <v>2431</v>
      </c>
      <c r="Q64" s="17">
        <v>2234</v>
      </c>
      <c r="R64" s="18">
        <v>50</v>
      </c>
      <c r="T64" s="18">
        <v>1926</v>
      </c>
      <c r="U64" s="18">
        <v>258</v>
      </c>
      <c r="V64" s="17">
        <v>103480</v>
      </c>
      <c r="W64" s="18">
        <v>2322</v>
      </c>
      <c r="X64" s="18">
        <v>9059</v>
      </c>
      <c r="Y64" s="18">
        <v>2311</v>
      </c>
      <c r="Z64" s="18">
        <v>89788</v>
      </c>
      <c r="AA64" s="19">
        <v>285931</v>
      </c>
    </row>
    <row r="65" spans="1:27" ht="15.75" customHeight="1" x14ac:dyDescent="0.3">
      <c r="A65" s="16">
        <v>44092</v>
      </c>
      <c r="B65" s="20">
        <v>7602</v>
      </c>
      <c r="C65" s="21"/>
      <c r="D65" s="21"/>
      <c r="E65" s="22">
        <v>1</v>
      </c>
      <c r="F65" s="22">
        <v>7601</v>
      </c>
      <c r="G65" s="23">
        <v>176674</v>
      </c>
      <c r="H65" s="21"/>
      <c r="I65" s="22">
        <v>21621</v>
      </c>
      <c r="J65" s="21"/>
      <c r="K65" s="22">
        <v>155053</v>
      </c>
      <c r="L65" s="23">
        <v>2559</v>
      </c>
      <c r="M65" s="21"/>
      <c r="N65" s="22">
        <v>103</v>
      </c>
      <c r="O65" s="21"/>
      <c r="P65" s="22">
        <v>2456</v>
      </c>
      <c r="Q65" s="23">
        <v>2340</v>
      </c>
      <c r="R65" s="22">
        <v>49</v>
      </c>
      <c r="S65" s="21"/>
      <c r="T65" s="22">
        <v>2026</v>
      </c>
      <c r="U65" s="22">
        <v>265</v>
      </c>
      <c r="V65" s="23">
        <v>107307</v>
      </c>
      <c r="W65" s="22">
        <v>1774</v>
      </c>
      <c r="X65" s="22">
        <v>10118</v>
      </c>
      <c r="Y65" s="22">
        <v>2311</v>
      </c>
      <c r="Z65" s="22">
        <v>93104</v>
      </c>
      <c r="AA65" s="24">
        <v>296482</v>
      </c>
    </row>
    <row r="66" spans="1:27" ht="13.2" x14ac:dyDescent="0.25">
      <c r="A66" s="16">
        <v>44093</v>
      </c>
      <c r="B66" s="17">
        <v>7656</v>
      </c>
      <c r="E66" s="18">
        <v>1</v>
      </c>
      <c r="F66" s="18">
        <v>7655</v>
      </c>
      <c r="G66" s="17">
        <v>179750</v>
      </c>
      <c r="I66" s="18">
        <v>23061</v>
      </c>
      <c r="K66" s="18">
        <v>156689</v>
      </c>
      <c r="L66" s="17">
        <v>2568</v>
      </c>
      <c r="N66" s="18">
        <v>111</v>
      </c>
      <c r="P66" s="18">
        <v>2457</v>
      </c>
      <c r="Q66" s="17">
        <v>2346</v>
      </c>
      <c r="R66" s="18">
        <v>45</v>
      </c>
      <c r="T66" s="18">
        <v>2031</v>
      </c>
      <c r="U66" s="18">
        <v>270</v>
      </c>
      <c r="V66" s="17">
        <v>109423</v>
      </c>
      <c r="W66" s="18">
        <v>2143</v>
      </c>
      <c r="X66" s="18">
        <v>10597</v>
      </c>
      <c r="Y66" s="18">
        <v>2311</v>
      </c>
      <c r="Z66" s="18">
        <v>94372</v>
      </c>
      <c r="AA66" s="19">
        <v>301743</v>
      </c>
    </row>
    <row r="67" spans="1:27" ht="15.75" customHeight="1" x14ac:dyDescent="0.3">
      <c r="A67" s="16">
        <v>44094</v>
      </c>
      <c r="B67" s="20">
        <v>7722</v>
      </c>
      <c r="C67" s="21"/>
      <c r="D67" s="21"/>
      <c r="E67" s="25">
        <v>1</v>
      </c>
      <c r="F67" s="25">
        <v>7721</v>
      </c>
      <c r="G67" s="23">
        <v>181283</v>
      </c>
      <c r="H67" s="21"/>
      <c r="I67" s="25">
        <v>23831</v>
      </c>
      <c r="J67" s="21"/>
      <c r="K67" s="25">
        <v>157452</v>
      </c>
      <c r="L67" s="23">
        <v>2572</v>
      </c>
      <c r="M67" s="21"/>
      <c r="N67" s="25">
        <v>112</v>
      </c>
      <c r="O67" s="21"/>
      <c r="P67" s="25">
        <v>2460</v>
      </c>
      <c r="Q67" s="23">
        <v>2348</v>
      </c>
      <c r="R67" s="25">
        <v>40</v>
      </c>
      <c r="S67" s="21"/>
      <c r="T67" s="25">
        <v>2031</v>
      </c>
      <c r="U67" s="25">
        <v>277</v>
      </c>
      <c r="V67" s="23">
        <v>110659</v>
      </c>
      <c r="W67" s="25">
        <v>2168</v>
      </c>
      <c r="X67" s="25">
        <v>10979</v>
      </c>
      <c r="Y67" s="25">
        <v>2311</v>
      </c>
      <c r="Z67" s="25">
        <v>95201</v>
      </c>
      <c r="AA67" s="24">
        <v>304584</v>
      </c>
    </row>
    <row r="68" spans="1:27" ht="13.2" x14ac:dyDescent="0.25">
      <c r="A68" s="16">
        <v>44095</v>
      </c>
      <c r="B68" s="17">
        <v>7851</v>
      </c>
      <c r="E68" s="18">
        <v>1</v>
      </c>
      <c r="F68" s="18">
        <v>7850</v>
      </c>
      <c r="G68" s="17">
        <v>182603</v>
      </c>
      <c r="I68" s="18">
        <v>21903</v>
      </c>
      <c r="K68" s="18">
        <v>160700</v>
      </c>
      <c r="L68" s="17">
        <v>2572</v>
      </c>
      <c r="N68" s="18">
        <v>105</v>
      </c>
      <c r="P68" s="18">
        <v>2467</v>
      </c>
      <c r="Q68" s="17">
        <v>2462</v>
      </c>
      <c r="R68" s="18">
        <v>25</v>
      </c>
      <c r="T68" s="18">
        <v>2144</v>
      </c>
      <c r="U68" s="18">
        <v>293</v>
      </c>
      <c r="V68" s="17">
        <v>111163</v>
      </c>
      <c r="W68" s="18">
        <v>2056</v>
      </c>
      <c r="X68" s="18">
        <v>10339</v>
      </c>
      <c r="Y68" s="18">
        <v>2311</v>
      </c>
      <c r="Z68" s="18">
        <v>96457</v>
      </c>
      <c r="AA68" s="19">
        <v>306651</v>
      </c>
    </row>
    <row r="69" spans="1:27" ht="13.2" x14ac:dyDescent="0.25">
      <c r="A69" s="16">
        <v>44096</v>
      </c>
      <c r="B69" s="17">
        <v>7948</v>
      </c>
      <c r="E69" s="18">
        <v>1</v>
      </c>
      <c r="F69" s="18">
        <v>7947</v>
      </c>
      <c r="G69" s="17">
        <v>185846</v>
      </c>
      <c r="I69" s="18">
        <v>22114</v>
      </c>
      <c r="K69" s="18">
        <v>163732</v>
      </c>
      <c r="L69" s="17">
        <v>2573</v>
      </c>
      <c r="N69" s="18">
        <v>88</v>
      </c>
      <c r="P69" s="18">
        <v>2485</v>
      </c>
      <c r="Q69" s="17">
        <v>2596</v>
      </c>
      <c r="R69" s="18">
        <v>25</v>
      </c>
      <c r="T69" s="18">
        <v>2273</v>
      </c>
      <c r="U69" s="18">
        <v>298</v>
      </c>
      <c r="V69" s="17">
        <v>113190</v>
      </c>
      <c r="W69" s="18">
        <v>2131</v>
      </c>
      <c r="X69" s="18">
        <v>9885</v>
      </c>
      <c r="Y69" s="18">
        <v>2311</v>
      </c>
      <c r="Z69" s="18">
        <v>98863</v>
      </c>
      <c r="AA69" s="19">
        <v>312153</v>
      </c>
    </row>
    <row r="70" spans="1:27" ht="13.2" x14ac:dyDescent="0.25">
      <c r="A70" s="16">
        <v>44097</v>
      </c>
      <c r="B70" s="17">
        <v>7948</v>
      </c>
      <c r="E70" s="18">
        <v>1</v>
      </c>
      <c r="F70" s="18">
        <v>7947</v>
      </c>
      <c r="G70" s="17">
        <v>187836</v>
      </c>
      <c r="I70" s="18">
        <v>21220</v>
      </c>
      <c r="K70" s="18">
        <v>166616</v>
      </c>
      <c r="L70" s="17">
        <v>2586</v>
      </c>
      <c r="N70" s="18">
        <v>92</v>
      </c>
      <c r="P70" s="18">
        <v>2494</v>
      </c>
      <c r="Q70" s="17">
        <v>2657</v>
      </c>
      <c r="R70" s="18">
        <v>23</v>
      </c>
      <c r="T70" s="18">
        <v>2334</v>
      </c>
      <c r="U70" s="18">
        <v>300</v>
      </c>
      <c r="V70" s="17">
        <v>114165</v>
      </c>
      <c r="W70" s="18">
        <v>2542</v>
      </c>
      <c r="X70" s="18">
        <v>8922</v>
      </c>
      <c r="Y70" s="18">
        <v>2311</v>
      </c>
      <c r="Z70" s="18">
        <v>100390</v>
      </c>
      <c r="AA70" s="19">
        <v>315192</v>
      </c>
    </row>
    <row r="71" spans="1:27" ht="13.2" x14ac:dyDescent="0.25">
      <c r="A71" s="16">
        <v>44098</v>
      </c>
      <c r="B71" s="17">
        <v>7948</v>
      </c>
      <c r="E71" s="18">
        <v>1</v>
      </c>
      <c r="F71" s="18">
        <v>7947</v>
      </c>
      <c r="G71" s="17">
        <v>189533</v>
      </c>
      <c r="I71" s="18">
        <v>20398</v>
      </c>
      <c r="K71" s="18">
        <v>169135</v>
      </c>
      <c r="L71" s="17">
        <v>2593</v>
      </c>
      <c r="N71" s="18">
        <v>98</v>
      </c>
      <c r="P71" s="18">
        <v>2495</v>
      </c>
      <c r="Q71" s="17">
        <v>2735</v>
      </c>
      <c r="R71" s="18">
        <v>21</v>
      </c>
      <c r="T71" s="18">
        <v>2412</v>
      </c>
      <c r="U71" s="18">
        <v>302</v>
      </c>
      <c r="V71" s="17">
        <v>115390</v>
      </c>
      <c r="W71" s="18">
        <v>2092</v>
      </c>
      <c r="X71" s="18">
        <v>9176</v>
      </c>
      <c r="Y71" s="18">
        <v>2311</v>
      </c>
      <c r="Z71" s="18">
        <v>101811</v>
      </c>
      <c r="AA71" s="19">
        <v>318199</v>
      </c>
    </row>
    <row r="72" spans="1:27" ht="15.75" customHeight="1" x14ac:dyDescent="0.3">
      <c r="A72" s="16">
        <v>44099</v>
      </c>
      <c r="B72" s="20">
        <v>8081</v>
      </c>
      <c r="C72" s="21"/>
      <c r="D72" s="21"/>
      <c r="E72" s="25">
        <v>1</v>
      </c>
      <c r="F72" s="25">
        <v>8080</v>
      </c>
      <c r="G72" s="23">
        <v>192040</v>
      </c>
      <c r="H72" s="21"/>
      <c r="I72" s="25">
        <v>19728</v>
      </c>
      <c r="J72" s="21"/>
      <c r="K72" s="25">
        <v>172312</v>
      </c>
      <c r="L72" s="23">
        <v>2635</v>
      </c>
      <c r="M72" s="21"/>
      <c r="N72" s="25">
        <v>114</v>
      </c>
      <c r="O72" s="21"/>
      <c r="P72" s="25">
        <v>2521</v>
      </c>
      <c r="Q72" s="23">
        <v>2743</v>
      </c>
      <c r="R72" s="25">
        <v>26</v>
      </c>
      <c r="S72" s="21"/>
      <c r="T72" s="25">
        <v>2413</v>
      </c>
      <c r="U72" s="25">
        <v>304</v>
      </c>
      <c r="V72" s="23">
        <v>117400</v>
      </c>
      <c r="W72" s="25">
        <v>2092</v>
      </c>
      <c r="X72" s="25">
        <v>9193</v>
      </c>
      <c r="Y72" s="25">
        <v>2311</v>
      </c>
      <c r="Z72" s="25">
        <v>103804</v>
      </c>
      <c r="AA72" s="24">
        <v>322899</v>
      </c>
    </row>
    <row r="73" spans="1:27" ht="13.2" x14ac:dyDescent="0.25">
      <c r="A73" s="16">
        <v>44100</v>
      </c>
      <c r="B73" s="17">
        <v>8081</v>
      </c>
      <c r="E73" s="18">
        <v>1</v>
      </c>
      <c r="F73" s="18">
        <v>8080</v>
      </c>
      <c r="G73" s="17">
        <v>193870</v>
      </c>
      <c r="I73" s="18">
        <v>19586</v>
      </c>
      <c r="K73" s="18">
        <v>174284</v>
      </c>
      <c r="L73" s="17">
        <v>2638</v>
      </c>
      <c r="N73" s="18">
        <v>77</v>
      </c>
      <c r="P73" s="18">
        <v>2561</v>
      </c>
      <c r="Q73" s="17">
        <v>2783</v>
      </c>
      <c r="R73" s="18">
        <v>22</v>
      </c>
      <c r="T73" s="18">
        <v>2453</v>
      </c>
      <c r="U73" s="18">
        <v>308</v>
      </c>
      <c r="V73" s="17">
        <v>118396</v>
      </c>
      <c r="W73" s="18">
        <v>2272</v>
      </c>
      <c r="X73" s="18">
        <v>8627</v>
      </c>
      <c r="Y73" s="18">
        <v>2311</v>
      </c>
      <c r="Z73" s="18">
        <v>105186</v>
      </c>
      <c r="AA73" s="19">
        <v>325768</v>
      </c>
    </row>
    <row r="74" spans="1:27" ht="15.75" customHeight="1" x14ac:dyDescent="0.3">
      <c r="A74" s="16">
        <v>44101</v>
      </c>
      <c r="B74" s="20">
        <v>8138</v>
      </c>
      <c r="C74" s="21"/>
      <c r="D74" s="21"/>
      <c r="E74" s="25">
        <v>1</v>
      </c>
      <c r="F74" s="25">
        <v>8137</v>
      </c>
      <c r="G74" s="23">
        <v>195972</v>
      </c>
      <c r="H74" s="21"/>
      <c r="I74" s="25">
        <v>20616</v>
      </c>
      <c r="J74" s="21"/>
      <c r="K74" s="25">
        <v>175356</v>
      </c>
      <c r="L74" s="23">
        <v>2680</v>
      </c>
      <c r="M74" s="21"/>
      <c r="N74" s="25">
        <v>111</v>
      </c>
      <c r="O74" s="21"/>
      <c r="P74" s="25">
        <v>2569</v>
      </c>
      <c r="Q74" s="23">
        <v>2822</v>
      </c>
      <c r="R74" s="25">
        <v>30</v>
      </c>
      <c r="S74" s="21"/>
      <c r="T74" s="25">
        <v>2478</v>
      </c>
      <c r="U74" s="25">
        <v>314</v>
      </c>
      <c r="V74" s="23">
        <v>120426</v>
      </c>
      <c r="W74" s="25">
        <v>2365</v>
      </c>
      <c r="X74" s="25">
        <v>9753</v>
      </c>
      <c r="Y74" s="25">
        <v>2311</v>
      </c>
      <c r="Z74" s="25">
        <v>105997</v>
      </c>
      <c r="AA74" s="24">
        <v>330038</v>
      </c>
    </row>
    <row r="75" spans="1:27" ht="13.2" x14ac:dyDescent="0.25">
      <c r="A75" s="16">
        <v>44102</v>
      </c>
      <c r="B75" s="17">
        <v>8264</v>
      </c>
      <c r="E75" s="18">
        <v>1</v>
      </c>
      <c r="F75" s="18">
        <v>8263</v>
      </c>
      <c r="G75" s="17">
        <v>201687</v>
      </c>
      <c r="I75" s="18">
        <v>22709</v>
      </c>
      <c r="K75" s="18">
        <v>178978</v>
      </c>
      <c r="L75" s="17">
        <v>2680</v>
      </c>
      <c r="N75" s="18">
        <v>103</v>
      </c>
      <c r="P75" s="18">
        <v>2577</v>
      </c>
      <c r="Q75" s="17">
        <v>2864</v>
      </c>
      <c r="R75" s="18">
        <v>29</v>
      </c>
      <c r="T75" s="18">
        <v>2518</v>
      </c>
      <c r="U75" s="18">
        <v>317</v>
      </c>
      <c r="V75" s="17">
        <v>122732</v>
      </c>
      <c r="W75" s="18">
        <v>1971</v>
      </c>
      <c r="X75" s="18">
        <v>10447</v>
      </c>
      <c r="Y75" s="18">
        <v>2311</v>
      </c>
      <c r="Z75" s="18">
        <v>108003</v>
      </c>
      <c r="AA75" s="19">
        <v>338227</v>
      </c>
    </row>
    <row r="76" spans="1:27" ht="15.75" customHeight="1" x14ac:dyDescent="0.3">
      <c r="A76" s="16">
        <v>44103</v>
      </c>
      <c r="B76" s="20">
        <v>8264</v>
      </c>
      <c r="C76" s="21"/>
      <c r="D76" s="21"/>
      <c r="E76" s="25">
        <v>1</v>
      </c>
      <c r="F76" s="25">
        <v>8263</v>
      </c>
      <c r="G76" s="23">
        <v>204027</v>
      </c>
      <c r="H76" s="21"/>
      <c r="I76" s="25">
        <v>21943</v>
      </c>
      <c r="J76" s="21"/>
      <c r="K76" s="25">
        <v>182084</v>
      </c>
      <c r="L76" s="23">
        <v>2680</v>
      </c>
      <c r="M76" s="21"/>
      <c r="N76" s="25">
        <v>89</v>
      </c>
      <c r="O76" s="21"/>
      <c r="P76" s="25">
        <v>2591</v>
      </c>
      <c r="Q76" s="23">
        <v>2867</v>
      </c>
      <c r="R76" s="25">
        <v>26</v>
      </c>
      <c r="S76" s="21"/>
      <c r="T76" s="25">
        <v>2518</v>
      </c>
      <c r="U76" s="25">
        <v>323</v>
      </c>
      <c r="V76" s="23">
        <v>124081</v>
      </c>
      <c r="W76" s="25">
        <v>2069</v>
      </c>
      <c r="X76" s="25">
        <v>9937</v>
      </c>
      <c r="Y76" s="25">
        <v>2311</v>
      </c>
      <c r="Z76" s="25">
        <v>109764</v>
      </c>
      <c r="AA76" s="24">
        <v>341919</v>
      </c>
    </row>
    <row r="77" spans="1:27" ht="13.2" x14ac:dyDescent="0.25">
      <c r="A77" s="16">
        <v>44104</v>
      </c>
      <c r="B77" s="17">
        <v>8303</v>
      </c>
      <c r="E77" s="18">
        <v>1</v>
      </c>
      <c r="F77" s="18">
        <v>8302</v>
      </c>
      <c r="G77" s="17">
        <v>207964</v>
      </c>
      <c r="I77" s="18">
        <v>22973</v>
      </c>
      <c r="K77" s="18">
        <v>184991</v>
      </c>
      <c r="L77" s="17">
        <v>2691</v>
      </c>
      <c r="N77" s="18">
        <v>90</v>
      </c>
      <c r="P77" s="18">
        <v>2601</v>
      </c>
      <c r="Q77" s="17">
        <v>2999</v>
      </c>
      <c r="R77" s="18">
        <v>26</v>
      </c>
      <c r="T77" s="18">
        <v>2648</v>
      </c>
      <c r="U77" s="18">
        <v>325</v>
      </c>
      <c r="V77" s="17">
        <v>126169</v>
      </c>
      <c r="W77" s="18">
        <v>1714</v>
      </c>
      <c r="X77" s="18">
        <v>10485</v>
      </c>
      <c r="Y77" s="18">
        <v>2311</v>
      </c>
      <c r="Z77" s="18">
        <v>111659</v>
      </c>
      <c r="AA77" s="19">
        <v>348126</v>
      </c>
    </row>
    <row r="78" spans="1:27" ht="13.2" x14ac:dyDescent="0.25">
      <c r="A78" s="16">
        <v>44105</v>
      </c>
      <c r="B78" s="17">
        <v>8379</v>
      </c>
      <c r="E78" s="18">
        <v>1</v>
      </c>
      <c r="F78" s="18">
        <v>8378</v>
      </c>
      <c r="G78" s="17">
        <v>209994</v>
      </c>
      <c r="I78" s="18">
        <v>21881</v>
      </c>
      <c r="K78" s="18">
        <v>188113</v>
      </c>
      <c r="L78" s="17">
        <v>2705</v>
      </c>
      <c r="N78" s="18">
        <v>96</v>
      </c>
      <c r="P78" s="18">
        <v>2609</v>
      </c>
      <c r="Q78" s="17">
        <v>3044</v>
      </c>
      <c r="R78" s="18">
        <v>30</v>
      </c>
      <c r="T78" s="18">
        <v>2688</v>
      </c>
      <c r="U78" s="18">
        <v>326</v>
      </c>
      <c r="V78" s="17">
        <v>127949</v>
      </c>
      <c r="W78" s="18">
        <v>1451</v>
      </c>
      <c r="X78" s="18">
        <v>10902</v>
      </c>
      <c r="Y78" s="18">
        <v>2311</v>
      </c>
      <c r="Z78" s="18">
        <v>113285</v>
      </c>
      <c r="AA78" s="19">
        <v>352071</v>
      </c>
    </row>
    <row r="79" spans="1:27" ht="15.75" customHeight="1" x14ac:dyDescent="0.3">
      <c r="A79" s="16">
        <v>44106</v>
      </c>
      <c r="B79" s="20">
        <v>8379</v>
      </c>
      <c r="C79" s="21"/>
      <c r="D79" s="21"/>
      <c r="E79" s="25">
        <v>1</v>
      </c>
      <c r="F79" s="25">
        <v>8378</v>
      </c>
      <c r="G79" s="23">
        <v>215687</v>
      </c>
      <c r="H79" s="21"/>
      <c r="I79" s="25">
        <v>23648</v>
      </c>
      <c r="J79" s="21"/>
      <c r="K79" s="25">
        <v>192039</v>
      </c>
      <c r="L79" s="23">
        <v>2718</v>
      </c>
      <c r="M79" s="21"/>
      <c r="N79" s="25">
        <v>104</v>
      </c>
      <c r="O79" s="21"/>
      <c r="P79" s="25">
        <v>2614</v>
      </c>
      <c r="Q79" s="23">
        <v>3077</v>
      </c>
      <c r="R79" s="25">
        <v>28</v>
      </c>
      <c r="S79" s="21"/>
      <c r="T79" s="25">
        <v>2721</v>
      </c>
      <c r="U79" s="25">
        <v>328</v>
      </c>
      <c r="V79" s="23">
        <v>130383</v>
      </c>
      <c r="W79" s="25">
        <v>1460</v>
      </c>
      <c r="X79" s="25">
        <v>11454</v>
      </c>
      <c r="Y79" s="25">
        <v>2311</v>
      </c>
      <c r="Z79" s="25">
        <v>115158</v>
      </c>
      <c r="AA79" s="24">
        <v>360244</v>
      </c>
    </row>
    <row r="80" spans="1:27" ht="13.2" x14ac:dyDescent="0.25">
      <c r="A80" s="16">
        <v>44107</v>
      </c>
      <c r="B80" s="17">
        <v>8379</v>
      </c>
      <c r="E80" s="18">
        <v>1</v>
      </c>
      <c r="F80" s="18">
        <v>8378</v>
      </c>
      <c r="G80" s="17">
        <v>219356</v>
      </c>
      <c r="I80" s="18">
        <v>25468</v>
      </c>
      <c r="K80" s="18">
        <v>193888</v>
      </c>
      <c r="L80" s="17">
        <v>2718</v>
      </c>
      <c r="N80" s="18">
        <v>104</v>
      </c>
      <c r="P80" s="18">
        <v>2614</v>
      </c>
      <c r="Q80" s="17">
        <v>3114</v>
      </c>
      <c r="R80" s="18">
        <v>27</v>
      </c>
      <c r="T80" s="18">
        <v>2758</v>
      </c>
      <c r="U80" s="18">
        <v>329</v>
      </c>
      <c r="V80" s="17">
        <v>131975</v>
      </c>
      <c r="W80" s="18">
        <v>2047</v>
      </c>
      <c r="X80" s="18">
        <v>11541</v>
      </c>
      <c r="Y80" s="18">
        <v>2311</v>
      </c>
      <c r="Z80" s="18">
        <v>116076</v>
      </c>
      <c r="AA80" s="19">
        <v>365542</v>
      </c>
    </row>
    <row r="81" spans="1:27" ht="15.75" customHeight="1" x14ac:dyDescent="0.3">
      <c r="A81" s="16">
        <v>44108</v>
      </c>
      <c r="B81" s="20">
        <v>8379</v>
      </c>
      <c r="C81" s="21"/>
      <c r="D81" s="21"/>
      <c r="E81" s="25">
        <v>1</v>
      </c>
      <c r="F81" s="25">
        <v>8378</v>
      </c>
      <c r="G81" s="23">
        <v>222028</v>
      </c>
      <c r="H81" s="21"/>
      <c r="I81" s="25">
        <v>26986</v>
      </c>
      <c r="J81" s="21"/>
      <c r="K81" s="25">
        <v>195042</v>
      </c>
      <c r="L81" s="23">
        <v>2718</v>
      </c>
      <c r="M81" s="21"/>
      <c r="N81" s="25">
        <v>104</v>
      </c>
      <c r="O81" s="21"/>
      <c r="P81" s="25">
        <v>2614</v>
      </c>
      <c r="Q81" s="23">
        <v>3114</v>
      </c>
      <c r="R81" s="25">
        <v>25</v>
      </c>
      <c r="S81" s="21"/>
      <c r="T81" s="25">
        <v>2758</v>
      </c>
      <c r="U81" s="25">
        <v>331</v>
      </c>
      <c r="V81" s="23">
        <v>132842</v>
      </c>
      <c r="W81" s="25">
        <v>1995</v>
      </c>
      <c r="X81" s="25">
        <v>12262</v>
      </c>
      <c r="Y81" s="25">
        <v>2311</v>
      </c>
      <c r="Z81" s="25">
        <v>116274</v>
      </c>
      <c r="AA81" s="24">
        <v>369081</v>
      </c>
    </row>
    <row r="82" spans="1:27" ht="13.2" x14ac:dyDescent="0.25">
      <c r="A82" s="16">
        <v>44109</v>
      </c>
      <c r="B82" s="17">
        <v>8379</v>
      </c>
      <c r="E82" s="18">
        <v>1</v>
      </c>
      <c r="F82" s="18">
        <v>8378</v>
      </c>
      <c r="G82" s="17">
        <v>224298</v>
      </c>
      <c r="I82" s="18">
        <v>26129</v>
      </c>
      <c r="K82" s="18">
        <v>198169</v>
      </c>
      <c r="L82" s="17">
        <v>2718</v>
      </c>
      <c r="N82" s="18">
        <v>78</v>
      </c>
      <c r="P82" s="18">
        <v>2640</v>
      </c>
      <c r="Q82" s="17">
        <v>3169</v>
      </c>
      <c r="R82" s="18">
        <v>18</v>
      </c>
      <c r="T82" s="18">
        <v>2813</v>
      </c>
      <c r="U82" s="18">
        <v>338</v>
      </c>
      <c r="V82" s="17">
        <v>133530</v>
      </c>
      <c r="W82" s="18">
        <v>2170</v>
      </c>
      <c r="X82" s="18">
        <v>11262</v>
      </c>
      <c r="Y82" s="18">
        <v>2311</v>
      </c>
      <c r="Z82" s="18">
        <v>117787</v>
      </c>
      <c r="AA82" s="19">
        <v>372094</v>
      </c>
    </row>
    <row r="83" spans="1:27" ht="13.2" x14ac:dyDescent="0.25">
      <c r="A83" s="16">
        <v>44110</v>
      </c>
      <c r="B83" s="17">
        <v>8699</v>
      </c>
      <c r="E83" s="18">
        <v>1</v>
      </c>
      <c r="F83" s="18">
        <v>8698</v>
      </c>
      <c r="G83" s="17">
        <v>226605</v>
      </c>
      <c r="I83" s="18">
        <v>25612</v>
      </c>
      <c r="K83" s="18">
        <v>200993</v>
      </c>
      <c r="L83" s="17">
        <v>2746</v>
      </c>
      <c r="N83" s="18">
        <v>73</v>
      </c>
      <c r="P83" s="18">
        <v>2673</v>
      </c>
      <c r="Q83" s="17">
        <v>3242</v>
      </c>
      <c r="R83" s="18">
        <v>16</v>
      </c>
      <c r="T83" s="18">
        <v>2874</v>
      </c>
      <c r="U83" s="18">
        <v>352</v>
      </c>
      <c r="V83" s="17">
        <v>136106</v>
      </c>
      <c r="W83" s="18">
        <v>2270</v>
      </c>
      <c r="X83" s="18">
        <v>11811</v>
      </c>
      <c r="Y83" s="18">
        <v>2311</v>
      </c>
      <c r="Z83" s="18">
        <v>119714</v>
      </c>
      <c r="AA83" s="19">
        <v>377398</v>
      </c>
    </row>
    <row r="84" spans="1:27" ht="13.2" x14ac:dyDescent="0.25">
      <c r="A84" s="16">
        <v>44111</v>
      </c>
      <c r="B84" s="17">
        <v>8809</v>
      </c>
      <c r="E84" s="18">
        <v>1</v>
      </c>
      <c r="F84" s="18">
        <v>8808</v>
      </c>
      <c r="G84" s="17">
        <v>232428</v>
      </c>
      <c r="I84" s="18">
        <v>27880</v>
      </c>
      <c r="K84" s="18">
        <v>204548</v>
      </c>
      <c r="L84" s="17">
        <v>2754</v>
      </c>
      <c r="N84" s="18">
        <v>35</v>
      </c>
      <c r="P84" s="18">
        <v>2719</v>
      </c>
      <c r="Q84" s="17">
        <v>3286</v>
      </c>
      <c r="R84" s="18">
        <v>20</v>
      </c>
      <c r="T84" s="18">
        <v>2912</v>
      </c>
      <c r="U84" s="18">
        <v>354</v>
      </c>
      <c r="V84" s="17">
        <v>139002</v>
      </c>
      <c r="W84" s="18">
        <v>1897</v>
      </c>
      <c r="X84" s="18">
        <v>12970</v>
      </c>
      <c r="Y84" s="18">
        <v>2311</v>
      </c>
      <c r="Z84" s="18">
        <v>121824</v>
      </c>
      <c r="AA84" s="19">
        <v>386279</v>
      </c>
    </row>
    <row r="85" spans="1:27" ht="13.2" x14ac:dyDescent="0.25">
      <c r="A85" s="16">
        <v>44112</v>
      </c>
      <c r="B85" s="17">
        <v>8884</v>
      </c>
      <c r="E85" s="18">
        <v>1</v>
      </c>
      <c r="F85" s="18">
        <v>8883</v>
      </c>
      <c r="G85" s="17">
        <v>238019</v>
      </c>
      <c r="I85" s="18">
        <v>29786</v>
      </c>
      <c r="K85" s="18">
        <v>208233</v>
      </c>
      <c r="L85" s="17">
        <v>2768</v>
      </c>
      <c r="N85" s="18">
        <v>33</v>
      </c>
      <c r="P85" s="18">
        <v>2735</v>
      </c>
      <c r="Q85" s="17">
        <v>3346</v>
      </c>
      <c r="R85" s="18">
        <v>34</v>
      </c>
      <c r="T85" s="18">
        <v>2955</v>
      </c>
      <c r="U85" s="18">
        <v>357</v>
      </c>
      <c r="V85" s="17">
        <v>142333</v>
      </c>
      <c r="W85" s="18">
        <v>1964</v>
      </c>
      <c r="X85" s="18">
        <v>13920</v>
      </c>
      <c r="Y85" s="18">
        <v>2311</v>
      </c>
      <c r="Z85" s="18">
        <v>124138</v>
      </c>
      <c r="AA85" s="19">
        <v>395350</v>
      </c>
    </row>
    <row r="86" spans="1:27" ht="15.75" customHeight="1" x14ac:dyDescent="0.3">
      <c r="A86" s="16">
        <v>44113</v>
      </c>
      <c r="B86" s="20">
        <v>8884</v>
      </c>
      <c r="C86" s="21"/>
      <c r="D86" s="21"/>
      <c r="E86" s="25">
        <v>1</v>
      </c>
      <c r="F86" s="25">
        <v>8883</v>
      </c>
      <c r="G86" s="23">
        <v>240257</v>
      </c>
      <c r="H86" s="21"/>
      <c r="I86" s="25">
        <v>31485</v>
      </c>
      <c r="J86" s="21"/>
      <c r="K86" s="25">
        <v>208772</v>
      </c>
      <c r="L86" s="23">
        <v>2768</v>
      </c>
      <c r="M86" s="21"/>
      <c r="N86" s="25">
        <v>33</v>
      </c>
      <c r="O86" s="21"/>
      <c r="P86" s="25">
        <v>2735</v>
      </c>
      <c r="Q86" s="23">
        <v>3397</v>
      </c>
      <c r="R86" s="25">
        <v>34</v>
      </c>
      <c r="S86" s="21"/>
      <c r="T86" s="25">
        <v>3006</v>
      </c>
      <c r="U86" s="25">
        <v>357</v>
      </c>
      <c r="V86" s="23">
        <v>143804</v>
      </c>
      <c r="W86" s="25">
        <v>2047</v>
      </c>
      <c r="X86" s="25">
        <v>15186</v>
      </c>
      <c r="Y86" s="25">
        <v>2311</v>
      </c>
      <c r="Z86" s="25">
        <v>124260</v>
      </c>
      <c r="AA86" s="24">
        <v>399110</v>
      </c>
    </row>
    <row r="87" spans="1:27" ht="13.2" x14ac:dyDescent="0.25">
      <c r="A87" s="16">
        <v>44114</v>
      </c>
      <c r="B87" s="17">
        <v>8884</v>
      </c>
      <c r="E87" s="18">
        <v>1</v>
      </c>
      <c r="F87" s="18">
        <v>8883</v>
      </c>
      <c r="G87" s="17">
        <v>243775</v>
      </c>
      <c r="I87" s="18">
        <v>30800</v>
      </c>
      <c r="K87" s="18">
        <v>212975</v>
      </c>
      <c r="L87" s="17">
        <v>2768</v>
      </c>
      <c r="N87" s="18">
        <v>31</v>
      </c>
      <c r="P87" s="18">
        <v>2737</v>
      </c>
      <c r="Q87" s="17">
        <v>3397</v>
      </c>
      <c r="R87" s="18">
        <v>30</v>
      </c>
      <c r="T87" s="18">
        <v>3006</v>
      </c>
      <c r="U87" s="18">
        <v>361</v>
      </c>
      <c r="V87" s="17">
        <v>145808</v>
      </c>
      <c r="W87" s="18">
        <v>2256</v>
      </c>
      <c r="X87" s="18">
        <v>14918</v>
      </c>
      <c r="Y87" s="18">
        <v>2311</v>
      </c>
      <c r="Z87" s="18">
        <v>126323</v>
      </c>
      <c r="AA87" s="19">
        <v>404632</v>
      </c>
    </row>
    <row r="88" spans="1:27" ht="15.75" customHeight="1" x14ac:dyDescent="0.3">
      <c r="A88" s="16">
        <v>44115</v>
      </c>
      <c r="B88" s="20">
        <v>9014</v>
      </c>
      <c r="C88" s="21"/>
      <c r="D88" s="21"/>
      <c r="E88" s="25">
        <v>1</v>
      </c>
      <c r="F88" s="25">
        <v>9013</v>
      </c>
      <c r="G88" s="23">
        <v>246751</v>
      </c>
      <c r="H88" s="21"/>
      <c r="I88" s="25">
        <v>31676</v>
      </c>
      <c r="J88" s="21"/>
      <c r="K88" s="25">
        <v>215075</v>
      </c>
      <c r="L88" s="23">
        <v>2827</v>
      </c>
      <c r="M88" s="21"/>
      <c r="N88" s="25">
        <v>35</v>
      </c>
      <c r="O88" s="21"/>
      <c r="P88" s="25">
        <v>2792</v>
      </c>
      <c r="Q88" s="23">
        <v>3414</v>
      </c>
      <c r="R88" s="25">
        <v>38</v>
      </c>
      <c r="S88" s="21"/>
      <c r="T88" s="25">
        <v>3006</v>
      </c>
      <c r="U88" s="25">
        <v>370</v>
      </c>
      <c r="V88" s="23">
        <v>147916</v>
      </c>
      <c r="W88" s="25">
        <v>2375</v>
      </c>
      <c r="X88" s="25">
        <v>15614</v>
      </c>
      <c r="Y88" s="25">
        <v>2311</v>
      </c>
      <c r="Z88" s="25">
        <v>127616</v>
      </c>
      <c r="AA88" s="24">
        <v>409922</v>
      </c>
    </row>
    <row r="89" spans="1:27" ht="13.2" x14ac:dyDescent="0.25">
      <c r="A89" s="16">
        <v>44116</v>
      </c>
      <c r="B89" s="17">
        <v>9014</v>
      </c>
      <c r="E89" s="18">
        <v>1</v>
      </c>
      <c r="F89" s="18">
        <v>9013</v>
      </c>
      <c r="G89" s="17">
        <v>249828</v>
      </c>
      <c r="I89" s="18">
        <v>29407</v>
      </c>
      <c r="K89" s="18">
        <v>220421</v>
      </c>
      <c r="L89" s="17">
        <v>2827</v>
      </c>
      <c r="N89" s="18">
        <v>28</v>
      </c>
      <c r="P89" s="18">
        <v>2799</v>
      </c>
      <c r="Q89" s="17">
        <v>3486</v>
      </c>
      <c r="R89" s="18">
        <v>34</v>
      </c>
      <c r="T89" s="18">
        <v>3078</v>
      </c>
      <c r="U89" s="18">
        <v>374</v>
      </c>
      <c r="V89" s="17">
        <v>149319</v>
      </c>
      <c r="W89" s="18">
        <v>2299</v>
      </c>
      <c r="X89" s="18">
        <v>14261</v>
      </c>
      <c r="Y89" s="18">
        <v>2311</v>
      </c>
      <c r="Z89" s="18">
        <v>130448</v>
      </c>
      <c r="AA89" s="19">
        <v>414474</v>
      </c>
    </row>
    <row r="90" spans="1:27" ht="15.75" customHeight="1" x14ac:dyDescent="0.3">
      <c r="A90" s="16">
        <v>44117</v>
      </c>
      <c r="B90" s="20">
        <v>9014</v>
      </c>
      <c r="C90" s="21"/>
      <c r="D90" s="21"/>
      <c r="E90" s="25">
        <v>1</v>
      </c>
      <c r="F90" s="25">
        <v>9013</v>
      </c>
      <c r="G90" s="23">
        <v>252575</v>
      </c>
      <c r="H90" s="21"/>
      <c r="I90" s="25">
        <v>28133</v>
      </c>
      <c r="J90" s="21"/>
      <c r="K90" s="25">
        <v>224442</v>
      </c>
      <c r="L90" s="23">
        <v>2827</v>
      </c>
      <c r="M90" s="21"/>
      <c r="N90" s="25">
        <v>22</v>
      </c>
      <c r="O90" s="21"/>
      <c r="P90" s="25">
        <v>2805</v>
      </c>
      <c r="Q90" s="23">
        <v>3486</v>
      </c>
      <c r="R90" s="25">
        <v>33</v>
      </c>
      <c r="S90" s="21"/>
      <c r="T90" s="25">
        <v>3078</v>
      </c>
      <c r="U90" s="25">
        <v>375</v>
      </c>
      <c r="V90" s="23">
        <v>151453</v>
      </c>
      <c r="W90" s="25">
        <v>2468</v>
      </c>
      <c r="X90" s="25">
        <v>13605</v>
      </c>
      <c r="Y90" s="25">
        <v>2311</v>
      </c>
      <c r="Z90" s="25">
        <v>133069</v>
      </c>
      <c r="AA90" s="24">
        <v>419355</v>
      </c>
    </row>
    <row r="91" spans="1:27" ht="13.2" x14ac:dyDescent="0.25">
      <c r="A91" s="16">
        <v>44118</v>
      </c>
      <c r="B91" s="17">
        <v>9167</v>
      </c>
      <c r="E91" s="18">
        <v>1</v>
      </c>
      <c r="F91" s="18">
        <v>9166</v>
      </c>
      <c r="G91" s="17">
        <v>254730</v>
      </c>
      <c r="I91" s="18">
        <v>26020</v>
      </c>
      <c r="K91" s="18">
        <v>228710</v>
      </c>
      <c r="L91" s="17">
        <v>2865</v>
      </c>
      <c r="N91" s="18">
        <v>21</v>
      </c>
      <c r="P91" s="18">
        <v>2844</v>
      </c>
      <c r="Q91" s="17">
        <v>3493</v>
      </c>
      <c r="R91" s="18">
        <v>38</v>
      </c>
      <c r="T91" s="18">
        <v>3078</v>
      </c>
      <c r="U91" s="18">
        <v>377</v>
      </c>
      <c r="V91" s="17">
        <v>153437</v>
      </c>
      <c r="W91" s="18">
        <v>2578</v>
      </c>
      <c r="X91" s="18">
        <v>13153</v>
      </c>
      <c r="Y91" s="18">
        <v>2311</v>
      </c>
      <c r="Z91" s="18">
        <v>135395</v>
      </c>
      <c r="AA91" s="19">
        <v>423692</v>
      </c>
    </row>
    <row r="92" spans="1:27" ht="13.2" x14ac:dyDescent="0.25">
      <c r="A92" s="16">
        <v>44119</v>
      </c>
      <c r="B92" s="17">
        <v>9172</v>
      </c>
      <c r="E92" s="18">
        <v>1</v>
      </c>
      <c r="F92" s="18">
        <v>9171</v>
      </c>
      <c r="G92" s="17">
        <v>259093</v>
      </c>
      <c r="I92" s="18">
        <v>25835</v>
      </c>
      <c r="K92" s="18">
        <v>233258</v>
      </c>
      <c r="L92" s="17">
        <v>2889</v>
      </c>
      <c r="N92" s="18">
        <v>25</v>
      </c>
      <c r="P92" s="18">
        <v>2864</v>
      </c>
      <c r="Q92" s="17">
        <v>3644</v>
      </c>
      <c r="R92" s="18">
        <v>38</v>
      </c>
      <c r="T92" s="18">
        <v>3220</v>
      </c>
      <c r="U92" s="18">
        <v>386</v>
      </c>
      <c r="V92" s="17">
        <v>156858</v>
      </c>
      <c r="W92" s="18">
        <v>2119</v>
      </c>
      <c r="X92" s="18">
        <v>14340</v>
      </c>
      <c r="Y92" s="18">
        <v>2311</v>
      </c>
      <c r="Z92" s="18">
        <v>138088</v>
      </c>
      <c r="AA92" s="19">
        <v>431656</v>
      </c>
    </row>
    <row r="93" spans="1:27" ht="15.75" customHeight="1" x14ac:dyDescent="0.3">
      <c r="A93" s="16">
        <v>44120</v>
      </c>
      <c r="B93" s="20">
        <v>9172</v>
      </c>
      <c r="C93" s="21"/>
      <c r="D93" s="21"/>
      <c r="E93" s="25">
        <v>1</v>
      </c>
      <c r="F93" s="25">
        <v>9171</v>
      </c>
      <c r="G93" s="23">
        <v>262702</v>
      </c>
      <c r="H93" s="21"/>
      <c r="I93" s="25">
        <v>25129</v>
      </c>
      <c r="J93" s="21"/>
      <c r="K93" s="25">
        <v>237573</v>
      </c>
      <c r="L93" s="23">
        <v>2889</v>
      </c>
      <c r="M93" s="21"/>
      <c r="N93" s="25">
        <v>24</v>
      </c>
      <c r="O93" s="21"/>
      <c r="P93" s="25">
        <v>2865</v>
      </c>
      <c r="Q93" s="23">
        <v>3684</v>
      </c>
      <c r="R93" s="25">
        <v>35</v>
      </c>
      <c r="S93" s="21"/>
      <c r="T93" s="25">
        <v>3260</v>
      </c>
      <c r="U93" s="25">
        <v>389</v>
      </c>
      <c r="V93" s="23">
        <v>158874</v>
      </c>
      <c r="W93" s="25">
        <v>1998</v>
      </c>
      <c r="X93" s="25">
        <v>13865</v>
      </c>
      <c r="Y93" s="25">
        <v>2311</v>
      </c>
      <c r="Z93" s="25">
        <v>140700</v>
      </c>
      <c r="AA93" s="24">
        <v>437321</v>
      </c>
    </row>
    <row r="94" spans="1:27" ht="13.2" x14ac:dyDescent="0.25">
      <c r="A94" s="16">
        <v>44121</v>
      </c>
      <c r="B94" s="17">
        <v>9172</v>
      </c>
      <c r="E94" s="18">
        <v>1</v>
      </c>
      <c r="F94" s="18">
        <v>9171</v>
      </c>
      <c r="G94" s="17">
        <v>267580</v>
      </c>
      <c r="I94" s="18">
        <v>28303</v>
      </c>
      <c r="K94" s="18">
        <v>239277</v>
      </c>
      <c r="L94" s="17">
        <v>2898</v>
      </c>
      <c r="N94" s="18">
        <v>24</v>
      </c>
      <c r="P94" s="18">
        <v>2874</v>
      </c>
      <c r="Q94" s="17">
        <v>3690</v>
      </c>
      <c r="R94" s="18">
        <v>37</v>
      </c>
      <c r="T94" s="18">
        <v>3260</v>
      </c>
      <c r="U94" s="18">
        <v>393</v>
      </c>
      <c r="V94" s="17">
        <v>159679</v>
      </c>
      <c r="W94" s="18">
        <v>1714</v>
      </c>
      <c r="X94" s="18">
        <v>13866</v>
      </c>
      <c r="Y94" s="18">
        <v>2311</v>
      </c>
      <c r="Z94" s="18">
        <v>141788</v>
      </c>
      <c r="AA94" s="19">
        <v>443019</v>
      </c>
    </row>
    <row r="95" spans="1:27" ht="15.75" customHeight="1" x14ac:dyDescent="0.3">
      <c r="A95" s="26">
        <v>44122</v>
      </c>
      <c r="B95" s="20">
        <v>9172</v>
      </c>
      <c r="C95" s="21"/>
      <c r="D95" s="21"/>
      <c r="E95" s="25">
        <v>1</v>
      </c>
      <c r="F95" s="25">
        <v>9171</v>
      </c>
      <c r="G95" s="23">
        <v>271067</v>
      </c>
      <c r="H95" s="21"/>
      <c r="I95" s="25">
        <v>30374</v>
      </c>
      <c r="J95" s="21"/>
      <c r="K95" s="25">
        <v>240693</v>
      </c>
      <c r="L95" s="23">
        <v>2898</v>
      </c>
      <c r="M95" s="21"/>
      <c r="N95" s="25">
        <v>24</v>
      </c>
      <c r="O95" s="21"/>
      <c r="P95" s="25">
        <v>2874</v>
      </c>
      <c r="Q95" s="23">
        <v>3690</v>
      </c>
      <c r="R95" s="25">
        <v>36</v>
      </c>
      <c r="S95" s="21"/>
      <c r="T95" s="25">
        <v>3260</v>
      </c>
      <c r="U95" s="25">
        <v>394</v>
      </c>
      <c r="V95" s="23">
        <v>162501</v>
      </c>
      <c r="W95" s="25">
        <v>1857</v>
      </c>
      <c r="X95" s="25">
        <v>15490</v>
      </c>
      <c r="Y95" s="25">
        <v>2311</v>
      </c>
      <c r="Z95" s="25">
        <v>142843</v>
      </c>
      <c r="AA95" s="24">
        <v>449328</v>
      </c>
    </row>
    <row r="96" spans="1:27" ht="13.2" x14ac:dyDescent="0.25">
      <c r="A96" s="16">
        <v>44123</v>
      </c>
      <c r="B96" s="17">
        <v>9172</v>
      </c>
      <c r="E96" s="18">
        <v>1</v>
      </c>
      <c r="F96" s="18">
        <v>9171</v>
      </c>
      <c r="G96" s="17">
        <v>273009</v>
      </c>
      <c r="I96" s="18">
        <v>27847</v>
      </c>
      <c r="K96" s="18">
        <v>245162</v>
      </c>
      <c r="L96" s="17">
        <v>2898</v>
      </c>
      <c r="N96" s="18">
        <v>21</v>
      </c>
      <c r="P96" s="18">
        <v>2877</v>
      </c>
      <c r="Q96" s="17">
        <v>3690</v>
      </c>
      <c r="R96" s="18">
        <v>27</v>
      </c>
      <c r="T96" s="18">
        <v>3260</v>
      </c>
      <c r="U96" s="18">
        <v>403</v>
      </c>
      <c r="V96" s="17">
        <v>163356</v>
      </c>
      <c r="W96" s="18">
        <v>2181</v>
      </c>
      <c r="X96" s="18">
        <v>13136</v>
      </c>
      <c r="Y96" s="18">
        <v>2311</v>
      </c>
      <c r="Z96" s="18">
        <v>145728</v>
      </c>
      <c r="AA96" s="19">
        <v>452125</v>
      </c>
    </row>
    <row r="97" spans="1:27" ht="13.2" x14ac:dyDescent="0.25">
      <c r="A97" s="26">
        <v>44124</v>
      </c>
      <c r="B97" s="17">
        <v>9234</v>
      </c>
      <c r="E97" s="18">
        <v>1</v>
      </c>
      <c r="F97" s="18">
        <v>9233</v>
      </c>
      <c r="G97" s="17">
        <v>276749</v>
      </c>
      <c r="I97" s="18">
        <v>27954</v>
      </c>
      <c r="K97" s="18">
        <v>248795</v>
      </c>
      <c r="L97" s="17">
        <v>2910</v>
      </c>
      <c r="N97" s="18">
        <v>24</v>
      </c>
      <c r="P97" s="18">
        <v>2886</v>
      </c>
      <c r="Q97" s="17">
        <v>3691</v>
      </c>
      <c r="R97" s="18">
        <v>25</v>
      </c>
      <c r="T97" s="18">
        <v>3260</v>
      </c>
      <c r="U97" s="18">
        <v>406</v>
      </c>
      <c r="V97" s="17">
        <v>166320</v>
      </c>
      <c r="W97" s="18">
        <v>2197</v>
      </c>
      <c r="X97" s="18">
        <v>13255</v>
      </c>
      <c r="Y97" s="18">
        <v>2311</v>
      </c>
      <c r="Z97" s="18">
        <v>148557</v>
      </c>
      <c r="AA97" s="19">
        <v>458904</v>
      </c>
    </row>
    <row r="98" spans="1:27" ht="13.2" x14ac:dyDescent="0.25">
      <c r="A98" s="16">
        <v>44125</v>
      </c>
      <c r="B98" s="17">
        <v>9234</v>
      </c>
      <c r="E98" s="18">
        <v>1</v>
      </c>
      <c r="F98" s="18">
        <v>9233</v>
      </c>
      <c r="G98" s="17">
        <v>278637</v>
      </c>
      <c r="I98" s="18">
        <v>26293</v>
      </c>
      <c r="K98" s="18">
        <v>252344</v>
      </c>
      <c r="L98" s="17">
        <v>2933</v>
      </c>
      <c r="N98" s="18">
        <v>31</v>
      </c>
      <c r="P98" s="18">
        <v>2902</v>
      </c>
      <c r="Q98" s="17">
        <v>3700</v>
      </c>
      <c r="R98" s="18">
        <v>29</v>
      </c>
      <c r="T98" s="18">
        <v>3260</v>
      </c>
      <c r="U98" s="18">
        <v>411</v>
      </c>
      <c r="V98" s="17">
        <v>167829</v>
      </c>
      <c r="W98" s="18">
        <v>1949</v>
      </c>
      <c r="X98" s="18">
        <v>12304</v>
      </c>
      <c r="Y98" s="18">
        <v>2311</v>
      </c>
      <c r="Z98" s="18">
        <v>151265</v>
      </c>
      <c r="AA98" s="19">
        <v>462333</v>
      </c>
    </row>
    <row r="99" spans="1:27" ht="13.2" x14ac:dyDescent="0.25">
      <c r="A99" s="16">
        <v>44126</v>
      </c>
      <c r="B99" s="17">
        <v>9257</v>
      </c>
      <c r="E99" s="18">
        <v>1</v>
      </c>
      <c r="F99" s="18">
        <v>9256</v>
      </c>
      <c r="G99" s="17">
        <v>280838</v>
      </c>
      <c r="I99" s="18">
        <v>24196</v>
      </c>
      <c r="K99" s="18">
        <v>256642</v>
      </c>
      <c r="L99" s="17">
        <v>2946</v>
      </c>
      <c r="N99" s="18">
        <v>31</v>
      </c>
      <c r="P99" s="18">
        <v>2915</v>
      </c>
      <c r="Q99" s="17">
        <v>3744</v>
      </c>
      <c r="R99" s="18">
        <v>27</v>
      </c>
      <c r="T99" s="18">
        <v>3302</v>
      </c>
      <c r="U99" s="18">
        <v>415</v>
      </c>
      <c r="V99" s="17">
        <v>168692</v>
      </c>
      <c r="W99" s="18">
        <v>1676</v>
      </c>
      <c r="X99" s="18">
        <v>11528</v>
      </c>
      <c r="Y99" s="18">
        <v>2311</v>
      </c>
      <c r="Z99" s="18">
        <v>153177</v>
      </c>
      <c r="AA99" s="19">
        <v>465477</v>
      </c>
    </row>
    <row r="100" spans="1:27" ht="15.75" customHeight="1" x14ac:dyDescent="0.3">
      <c r="A100" s="26">
        <v>44127</v>
      </c>
      <c r="B100" s="20">
        <v>9383</v>
      </c>
      <c r="C100" s="21"/>
      <c r="D100" s="21"/>
      <c r="E100" s="25">
        <v>1</v>
      </c>
      <c r="F100" s="25">
        <v>9382</v>
      </c>
      <c r="G100" s="23">
        <v>283186</v>
      </c>
      <c r="H100" s="21"/>
      <c r="I100" s="25">
        <v>25571</v>
      </c>
      <c r="J100" s="21"/>
      <c r="K100" s="25">
        <v>257615</v>
      </c>
      <c r="L100" s="23">
        <v>2967</v>
      </c>
      <c r="M100" s="21"/>
      <c r="N100" s="25">
        <v>32</v>
      </c>
      <c r="O100" s="21"/>
      <c r="P100" s="25">
        <v>2935</v>
      </c>
      <c r="Q100" s="23">
        <v>3747</v>
      </c>
      <c r="R100" s="25">
        <v>29</v>
      </c>
      <c r="S100" s="21"/>
      <c r="T100" s="25">
        <v>3302</v>
      </c>
      <c r="U100" s="25">
        <v>416</v>
      </c>
      <c r="V100" s="23">
        <v>169684</v>
      </c>
      <c r="W100" s="25">
        <v>1739</v>
      </c>
      <c r="X100" s="25">
        <v>12232</v>
      </c>
      <c r="Y100" s="25">
        <v>2311</v>
      </c>
      <c r="Z100" s="25">
        <v>153402</v>
      </c>
      <c r="AA100" s="24">
        <v>468967</v>
      </c>
    </row>
    <row r="101" spans="1:27" ht="13.2" x14ac:dyDescent="0.25">
      <c r="A101" s="16">
        <v>44128</v>
      </c>
      <c r="B101" s="17">
        <v>9453</v>
      </c>
      <c r="E101" s="18">
        <v>1</v>
      </c>
      <c r="F101" s="18">
        <v>9452</v>
      </c>
      <c r="G101" s="17">
        <v>285576</v>
      </c>
      <c r="I101" s="18">
        <v>23034</v>
      </c>
      <c r="K101" s="18">
        <v>262542</v>
      </c>
      <c r="L101" s="17">
        <v>2985</v>
      </c>
      <c r="N101" s="18">
        <v>35</v>
      </c>
      <c r="P101" s="18">
        <v>2950</v>
      </c>
      <c r="Q101" s="17">
        <v>3749</v>
      </c>
      <c r="R101" s="18">
        <v>28</v>
      </c>
      <c r="T101" s="18">
        <v>3302</v>
      </c>
      <c r="U101" s="18">
        <v>419</v>
      </c>
      <c r="V101" s="17">
        <v>170801</v>
      </c>
      <c r="W101" s="18">
        <v>1550</v>
      </c>
      <c r="X101" s="18">
        <v>11758</v>
      </c>
      <c r="Y101" s="18">
        <v>2311</v>
      </c>
      <c r="Z101" s="18">
        <v>155182</v>
      </c>
      <c r="AA101" s="19">
        <v>472564</v>
      </c>
    </row>
    <row r="102" spans="1:27" ht="15.75" customHeight="1" x14ac:dyDescent="0.3">
      <c r="A102" s="26">
        <v>44129</v>
      </c>
      <c r="B102" s="20">
        <v>9600</v>
      </c>
      <c r="C102" s="21"/>
      <c r="D102" s="21"/>
      <c r="E102" s="25">
        <v>1</v>
      </c>
      <c r="F102" s="25">
        <v>9599</v>
      </c>
      <c r="G102" s="23">
        <v>288794</v>
      </c>
      <c r="H102" s="21"/>
      <c r="I102" s="25">
        <v>24006</v>
      </c>
      <c r="J102" s="21"/>
      <c r="K102" s="25">
        <v>264788</v>
      </c>
      <c r="L102" s="23">
        <v>2997</v>
      </c>
      <c r="M102" s="21"/>
      <c r="N102" s="25">
        <v>36</v>
      </c>
      <c r="O102" s="21"/>
      <c r="P102" s="25">
        <v>2961</v>
      </c>
      <c r="Q102" s="23">
        <v>3837</v>
      </c>
      <c r="R102" s="25">
        <v>29</v>
      </c>
      <c r="S102" s="21"/>
      <c r="T102" s="25">
        <v>3386</v>
      </c>
      <c r="U102" s="25">
        <v>422</v>
      </c>
      <c r="V102" s="23">
        <v>172634</v>
      </c>
      <c r="W102" s="25">
        <v>1826</v>
      </c>
      <c r="X102" s="25">
        <v>11851</v>
      </c>
      <c r="Y102" s="25">
        <v>2311</v>
      </c>
      <c r="Z102" s="25">
        <v>156646</v>
      </c>
      <c r="AA102" s="24">
        <v>477862</v>
      </c>
    </row>
    <row r="103" spans="1:27" ht="13.2" x14ac:dyDescent="0.25">
      <c r="A103" s="16">
        <v>44130</v>
      </c>
      <c r="B103" s="17">
        <v>9676</v>
      </c>
      <c r="E103" s="18">
        <v>1</v>
      </c>
      <c r="F103" s="18">
        <v>9675</v>
      </c>
      <c r="G103" s="17">
        <v>291363</v>
      </c>
      <c r="I103" s="18">
        <v>22298</v>
      </c>
      <c r="K103" s="18">
        <v>269065</v>
      </c>
      <c r="L103" s="17">
        <v>2997</v>
      </c>
      <c r="N103" s="18">
        <v>35</v>
      </c>
      <c r="P103" s="18">
        <v>2962</v>
      </c>
      <c r="Q103" s="17">
        <v>3908</v>
      </c>
      <c r="R103" s="18">
        <v>29</v>
      </c>
      <c r="T103" s="18">
        <v>3455</v>
      </c>
      <c r="U103" s="18">
        <v>424</v>
      </c>
      <c r="V103" s="17">
        <v>173667</v>
      </c>
      <c r="W103" s="18">
        <v>1652</v>
      </c>
      <c r="X103" s="18">
        <v>10592</v>
      </c>
      <c r="Y103" s="18">
        <v>2311</v>
      </c>
      <c r="Z103" s="18">
        <v>159112</v>
      </c>
      <c r="AA103" s="19">
        <v>481611</v>
      </c>
    </row>
    <row r="104" spans="1:27" ht="15.75" customHeight="1" x14ac:dyDescent="0.3">
      <c r="A104" s="26">
        <v>44131</v>
      </c>
      <c r="B104" s="20">
        <v>9747</v>
      </c>
      <c r="C104" s="21"/>
      <c r="D104" s="21"/>
      <c r="E104" s="25">
        <v>1</v>
      </c>
      <c r="F104" s="25">
        <v>9746</v>
      </c>
      <c r="G104" s="23">
        <v>295337</v>
      </c>
      <c r="H104" s="21"/>
      <c r="I104" s="25">
        <v>22896</v>
      </c>
      <c r="J104" s="21"/>
      <c r="K104" s="25">
        <v>272441</v>
      </c>
      <c r="L104" s="23">
        <v>3002</v>
      </c>
      <c r="M104" s="21"/>
      <c r="N104" s="25">
        <v>33</v>
      </c>
      <c r="O104" s="21"/>
      <c r="P104" s="25">
        <v>2969</v>
      </c>
      <c r="Q104" s="23">
        <v>3913</v>
      </c>
      <c r="R104" s="25">
        <v>33</v>
      </c>
      <c r="S104" s="21"/>
      <c r="T104" s="25">
        <v>3455</v>
      </c>
      <c r="U104" s="25">
        <v>425</v>
      </c>
      <c r="V104" s="23">
        <v>175710</v>
      </c>
      <c r="W104" s="25">
        <v>1717</v>
      </c>
      <c r="X104" s="25">
        <v>10486</v>
      </c>
      <c r="Y104" s="25">
        <v>2311</v>
      </c>
      <c r="Z104" s="25">
        <v>161196</v>
      </c>
      <c r="AA104" s="24">
        <v>487709</v>
      </c>
    </row>
    <row r="105" spans="1:27" ht="13.2" x14ac:dyDescent="0.25">
      <c r="A105" s="16">
        <v>44132</v>
      </c>
      <c r="B105" s="17">
        <v>9853</v>
      </c>
      <c r="E105" s="18">
        <v>1</v>
      </c>
      <c r="F105" s="18">
        <v>9852</v>
      </c>
      <c r="G105" s="17">
        <v>297240</v>
      </c>
      <c r="I105" s="18">
        <v>21014</v>
      </c>
      <c r="K105" s="18">
        <v>276226</v>
      </c>
      <c r="L105" s="17">
        <v>3007</v>
      </c>
      <c r="N105" s="18">
        <v>33</v>
      </c>
      <c r="P105" s="18">
        <v>2974</v>
      </c>
      <c r="Q105" s="17">
        <v>3921</v>
      </c>
      <c r="R105" s="18">
        <v>41</v>
      </c>
      <c r="T105" s="18">
        <v>3455</v>
      </c>
      <c r="U105" s="18">
        <v>425</v>
      </c>
      <c r="V105" s="17">
        <v>176589</v>
      </c>
      <c r="W105" s="18">
        <v>1745</v>
      </c>
      <c r="X105" s="18">
        <v>9912</v>
      </c>
      <c r="Y105" s="18">
        <v>2311</v>
      </c>
      <c r="Z105" s="18">
        <v>162621</v>
      </c>
      <c r="AA105" s="19">
        <v>490610</v>
      </c>
    </row>
    <row r="106" spans="1:27" ht="13.2" x14ac:dyDescent="0.25">
      <c r="A106" s="16">
        <v>44133</v>
      </c>
      <c r="B106" s="17">
        <v>9982</v>
      </c>
      <c r="D106" s="18">
        <v>60</v>
      </c>
      <c r="E106" s="18">
        <v>1</v>
      </c>
      <c r="F106" s="18">
        <v>9921</v>
      </c>
      <c r="G106" s="17">
        <v>301090</v>
      </c>
      <c r="I106" s="18">
        <v>18603</v>
      </c>
      <c r="K106" s="18">
        <v>282487</v>
      </c>
      <c r="L106" s="17">
        <v>3019</v>
      </c>
      <c r="N106" s="18">
        <v>40</v>
      </c>
      <c r="P106" s="18">
        <v>2979</v>
      </c>
      <c r="Q106" s="17">
        <v>3949</v>
      </c>
      <c r="R106" s="18">
        <v>40</v>
      </c>
      <c r="T106" s="18">
        <v>3478</v>
      </c>
      <c r="U106" s="18">
        <v>431</v>
      </c>
      <c r="V106" s="17">
        <v>178752</v>
      </c>
      <c r="W106" s="18">
        <v>1579</v>
      </c>
      <c r="X106" s="18">
        <v>10171</v>
      </c>
      <c r="Y106" s="18">
        <v>2311</v>
      </c>
      <c r="Z106" s="18">
        <v>164691</v>
      </c>
      <c r="AA106" s="19">
        <v>496792</v>
      </c>
    </row>
    <row r="107" spans="1:27" ht="15.75" customHeight="1" x14ac:dyDescent="0.3">
      <c r="A107" s="26">
        <v>44134</v>
      </c>
      <c r="B107" s="20">
        <v>10146</v>
      </c>
      <c r="C107" s="21"/>
      <c r="D107" s="22">
        <v>60</v>
      </c>
      <c r="E107" s="25">
        <v>1</v>
      </c>
      <c r="F107" s="25">
        <v>10085</v>
      </c>
      <c r="G107" s="23">
        <v>308922</v>
      </c>
      <c r="H107" s="21"/>
      <c r="I107" s="25">
        <v>23145</v>
      </c>
      <c r="J107" s="21"/>
      <c r="K107" s="25">
        <v>285777</v>
      </c>
      <c r="L107" s="23">
        <v>3019</v>
      </c>
      <c r="M107" s="21"/>
      <c r="N107" s="25">
        <v>36</v>
      </c>
      <c r="O107" s="21"/>
      <c r="P107" s="25">
        <v>2983</v>
      </c>
      <c r="Q107" s="23">
        <v>3956</v>
      </c>
      <c r="R107" s="25">
        <v>44</v>
      </c>
      <c r="S107" s="21"/>
      <c r="T107" s="25">
        <v>3478</v>
      </c>
      <c r="U107" s="25">
        <v>434</v>
      </c>
      <c r="V107" s="23">
        <v>181900</v>
      </c>
      <c r="W107" s="25">
        <v>1338</v>
      </c>
      <c r="X107" s="25">
        <v>11058</v>
      </c>
      <c r="Y107" s="25">
        <v>2311</v>
      </c>
      <c r="Z107" s="25">
        <v>167193</v>
      </c>
      <c r="AA107" s="24">
        <v>507943</v>
      </c>
    </row>
    <row r="108" spans="1:27" ht="13.2" x14ac:dyDescent="0.25">
      <c r="A108" s="16">
        <v>44135</v>
      </c>
      <c r="B108" s="17">
        <v>10327</v>
      </c>
      <c r="D108" s="18">
        <v>60</v>
      </c>
      <c r="E108" s="18">
        <v>1</v>
      </c>
      <c r="F108" s="18">
        <v>10266</v>
      </c>
      <c r="G108" s="17">
        <v>313621</v>
      </c>
      <c r="I108" s="18">
        <v>22870</v>
      </c>
      <c r="K108" s="18">
        <v>290751</v>
      </c>
      <c r="L108" s="17">
        <v>3022</v>
      </c>
      <c r="N108" s="18">
        <v>39</v>
      </c>
      <c r="P108" s="18">
        <v>2983</v>
      </c>
      <c r="Q108" s="17">
        <v>3959</v>
      </c>
      <c r="R108" s="18">
        <v>47</v>
      </c>
      <c r="T108" s="18">
        <v>3478</v>
      </c>
      <c r="U108" s="18">
        <v>434</v>
      </c>
      <c r="V108" s="17">
        <v>184070</v>
      </c>
      <c r="W108" s="18">
        <v>1735</v>
      </c>
      <c r="X108" s="18">
        <v>11912</v>
      </c>
      <c r="Y108" s="18">
        <v>2311</v>
      </c>
      <c r="Z108" s="18">
        <v>168112</v>
      </c>
      <c r="AA108" s="19">
        <v>514999</v>
      </c>
    </row>
    <row r="109" spans="1:27" ht="15.75" customHeight="1" x14ac:dyDescent="0.3">
      <c r="A109" s="16">
        <v>44136</v>
      </c>
      <c r="B109" s="20">
        <v>10390</v>
      </c>
      <c r="C109" s="21"/>
      <c r="D109" s="22">
        <v>30</v>
      </c>
      <c r="E109" s="25">
        <v>1</v>
      </c>
      <c r="F109" s="25">
        <v>10359</v>
      </c>
      <c r="G109" s="23">
        <v>317753</v>
      </c>
      <c r="H109" s="21"/>
      <c r="I109" s="25">
        <v>23320</v>
      </c>
      <c r="J109" s="21"/>
      <c r="K109" s="25">
        <v>294433</v>
      </c>
      <c r="L109" s="23">
        <v>3023</v>
      </c>
      <c r="M109" s="21"/>
      <c r="N109" s="25">
        <v>39</v>
      </c>
      <c r="O109" s="21"/>
      <c r="P109" s="25">
        <v>2984</v>
      </c>
      <c r="Q109" s="23">
        <v>3961</v>
      </c>
      <c r="R109" s="25">
        <v>47</v>
      </c>
      <c r="S109" s="21"/>
      <c r="T109" s="25">
        <v>3478</v>
      </c>
      <c r="U109" s="25">
        <v>436</v>
      </c>
      <c r="V109" s="23">
        <v>185855</v>
      </c>
      <c r="W109" s="25">
        <v>1811</v>
      </c>
      <c r="X109" s="25">
        <v>12663</v>
      </c>
      <c r="Y109" s="25">
        <v>2311</v>
      </c>
      <c r="Z109" s="25">
        <v>169070</v>
      </c>
      <c r="AA109" s="24">
        <v>520982</v>
      </c>
    </row>
    <row r="110" spans="1:27" ht="13.2" x14ac:dyDescent="0.25">
      <c r="A110" s="16">
        <v>44137</v>
      </c>
      <c r="B110" s="17">
        <v>10535</v>
      </c>
      <c r="E110" s="18">
        <v>1</v>
      </c>
      <c r="F110" s="18">
        <v>10534</v>
      </c>
      <c r="G110" s="17">
        <v>319994</v>
      </c>
      <c r="I110" s="18">
        <v>22170</v>
      </c>
      <c r="K110" s="18">
        <v>297824</v>
      </c>
      <c r="L110" s="17">
        <v>3023</v>
      </c>
      <c r="N110" s="18">
        <v>30</v>
      </c>
      <c r="P110" s="18">
        <v>2993</v>
      </c>
      <c r="Q110" s="17">
        <v>3962</v>
      </c>
      <c r="R110" s="18">
        <v>48</v>
      </c>
      <c r="T110" s="18">
        <v>3478</v>
      </c>
      <c r="U110" s="18">
        <v>436</v>
      </c>
      <c r="V110" s="17">
        <v>186632</v>
      </c>
      <c r="W110" s="18">
        <v>1960</v>
      </c>
      <c r="X110" s="18">
        <v>12092</v>
      </c>
      <c r="Y110" s="18">
        <v>2311</v>
      </c>
      <c r="Z110" s="18">
        <v>170269</v>
      </c>
      <c r="AA110" s="19">
        <v>524146</v>
      </c>
    </row>
    <row r="111" spans="1:27" ht="13.2" x14ac:dyDescent="0.25">
      <c r="A111" s="16">
        <v>44138</v>
      </c>
      <c r="B111" s="17">
        <v>10720</v>
      </c>
      <c r="E111" s="18">
        <v>1</v>
      </c>
      <c r="F111" s="18">
        <v>10719</v>
      </c>
      <c r="G111" s="17">
        <v>324175</v>
      </c>
      <c r="I111" s="18">
        <v>23400</v>
      </c>
      <c r="K111" s="18">
        <v>300775</v>
      </c>
      <c r="L111" s="17">
        <v>3025</v>
      </c>
      <c r="N111" s="18">
        <v>27</v>
      </c>
      <c r="P111" s="18">
        <v>2998</v>
      </c>
      <c r="Q111" s="17">
        <v>4167</v>
      </c>
      <c r="R111" s="18">
        <v>44</v>
      </c>
      <c r="T111" s="18">
        <v>3675</v>
      </c>
      <c r="U111" s="18">
        <v>448</v>
      </c>
      <c r="V111" s="17">
        <v>189118</v>
      </c>
      <c r="W111" s="18">
        <v>2273</v>
      </c>
      <c r="X111" s="18">
        <v>12526</v>
      </c>
      <c r="Y111" s="18">
        <v>2311</v>
      </c>
      <c r="Z111" s="18">
        <v>172008</v>
      </c>
      <c r="AA111" s="19">
        <v>531205</v>
      </c>
    </row>
    <row r="112" spans="1:27" ht="13.2" x14ac:dyDescent="0.25">
      <c r="A112" s="16">
        <v>44139</v>
      </c>
      <c r="B112" s="17">
        <v>10798</v>
      </c>
      <c r="E112" s="18">
        <v>1</v>
      </c>
      <c r="F112" s="18">
        <v>10797</v>
      </c>
      <c r="G112" s="17">
        <v>329301</v>
      </c>
      <c r="I112" s="18">
        <v>23802</v>
      </c>
      <c r="K112" s="18">
        <v>305499</v>
      </c>
      <c r="L112" s="17">
        <v>3030</v>
      </c>
      <c r="N112" s="18">
        <v>24</v>
      </c>
      <c r="P112" s="18">
        <v>3006</v>
      </c>
      <c r="Q112" s="17">
        <v>4210</v>
      </c>
      <c r="R112" s="18">
        <v>31</v>
      </c>
      <c r="T112" s="18">
        <v>3714</v>
      </c>
      <c r="U112" s="18">
        <v>465</v>
      </c>
      <c r="V112" s="17">
        <v>191453</v>
      </c>
      <c r="W112" s="18">
        <v>1915</v>
      </c>
      <c r="X112" s="18">
        <v>11753</v>
      </c>
      <c r="Y112" s="18">
        <v>2311</v>
      </c>
      <c r="Z112" s="18">
        <v>175474</v>
      </c>
      <c r="AA112" s="19">
        <v>538792</v>
      </c>
    </row>
    <row r="113" spans="1:27" ht="13.2" x14ac:dyDescent="0.25">
      <c r="A113" s="16">
        <v>44140</v>
      </c>
      <c r="B113" s="17">
        <v>10839</v>
      </c>
      <c r="E113" s="18">
        <v>1</v>
      </c>
      <c r="F113" s="18">
        <v>10838</v>
      </c>
      <c r="G113" s="17">
        <v>333716</v>
      </c>
      <c r="I113" s="18">
        <v>24083</v>
      </c>
      <c r="K113" s="18">
        <v>309633</v>
      </c>
      <c r="L113" s="17">
        <v>3040</v>
      </c>
      <c r="N113" s="18">
        <v>26</v>
      </c>
      <c r="P113" s="18">
        <v>3014</v>
      </c>
      <c r="Q113" s="17">
        <v>4220</v>
      </c>
      <c r="R113" s="18">
        <v>40</v>
      </c>
      <c r="T113" s="18">
        <v>3714</v>
      </c>
      <c r="U113" s="18">
        <v>466</v>
      </c>
      <c r="V113" s="17">
        <v>194393</v>
      </c>
      <c r="W113" s="18">
        <v>2082</v>
      </c>
      <c r="X113" s="18">
        <v>12419</v>
      </c>
      <c r="Y113" s="18">
        <v>2311</v>
      </c>
      <c r="Z113" s="18">
        <v>177581</v>
      </c>
      <c r="AA113" s="19">
        <v>546208</v>
      </c>
    </row>
    <row r="114" spans="1:27" ht="15.75" customHeight="1" x14ac:dyDescent="0.3">
      <c r="A114" s="16">
        <v>44141</v>
      </c>
      <c r="B114" s="20">
        <v>10934</v>
      </c>
      <c r="C114" s="21"/>
      <c r="D114" s="21"/>
      <c r="E114" s="25">
        <v>1</v>
      </c>
      <c r="F114" s="25">
        <v>10933</v>
      </c>
      <c r="G114" s="23">
        <v>335295</v>
      </c>
      <c r="H114" s="21"/>
      <c r="I114" s="25">
        <v>21281</v>
      </c>
      <c r="J114" s="21"/>
      <c r="K114" s="25">
        <v>314014</v>
      </c>
      <c r="L114" s="23">
        <v>3059</v>
      </c>
      <c r="M114" s="21"/>
      <c r="N114" s="25">
        <v>38</v>
      </c>
      <c r="O114" s="21"/>
      <c r="P114" s="25">
        <v>3021</v>
      </c>
      <c r="Q114" s="23">
        <v>4222</v>
      </c>
      <c r="R114" s="25">
        <v>40</v>
      </c>
      <c r="S114" s="21"/>
      <c r="T114" s="25">
        <v>3714</v>
      </c>
      <c r="U114" s="25">
        <v>468</v>
      </c>
      <c r="V114" s="23">
        <v>195399</v>
      </c>
      <c r="W114" s="25">
        <v>2100</v>
      </c>
      <c r="X114" s="25">
        <v>11335</v>
      </c>
      <c r="Y114" s="25">
        <v>2311</v>
      </c>
      <c r="Z114" s="25">
        <v>179653</v>
      </c>
      <c r="AA114" s="24">
        <v>548909</v>
      </c>
    </row>
    <row r="115" spans="1:27" ht="13.2" x14ac:dyDescent="0.25">
      <c r="A115" s="16">
        <v>44142</v>
      </c>
      <c r="B115" s="17">
        <v>11051</v>
      </c>
      <c r="E115" s="18">
        <v>1</v>
      </c>
      <c r="F115" s="18">
        <v>11050</v>
      </c>
      <c r="G115" s="17">
        <v>341191</v>
      </c>
      <c r="I115" s="18">
        <v>24008</v>
      </c>
      <c r="K115" s="18">
        <v>317183</v>
      </c>
      <c r="L115" s="17">
        <v>3075</v>
      </c>
      <c r="N115" s="18">
        <v>47</v>
      </c>
      <c r="P115" s="18">
        <v>3028</v>
      </c>
      <c r="Q115" s="17">
        <v>4233</v>
      </c>
      <c r="R115" s="18">
        <v>42</v>
      </c>
      <c r="T115" s="18">
        <v>3714</v>
      </c>
      <c r="U115" s="18">
        <v>477</v>
      </c>
      <c r="V115" s="17">
        <v>198518</v>
      </c>
      <c r="W115" s="18">
        <v>1907</v>
      </c>
      <c r="X115" s="18">
        <v>12470</v>
      </c>
      <c r="Y115" s="18">
        <v>2311</v>
      </c>
      <c r="Z115" s="18">
        <v>181830</v>
      </c>
      <c r="AA115" s="19">
        <v>558068</v>
      </c>
    </row>
    <row r="116" spans="1:27" ht="15.75" customHeight="1" x14ac:dyDescent="0.3">
      <c r="A116" s="16">
        <v>44143</v>
      </c>
      <c r="B116" s="20">
        <v>11185</v>
      </c>
      <c r="C116" s="21"/>
      <c r="D116" s="21"/>
      <c r="E116" s="25">
        <v>1</v>
      </c>
      <c r="F116" s="25">
        <v>11184</v>
      </c>
      <c r="G116" s="23">
        <v>344884</v>
      </c>
      <c r="H116" s="21"/>
      <c r="I116" s="25">
        <v>26148</v>
      </c>
      <c r="J116" s="21"/>
      <c r="K116" s="25">
        <v>318736</v>
      </c>
      <c r="L116" s="23">
        <v>3085</v>
      </c>
      <c r="M116" s="21"/>
      <c r="N116" s="25">
        <v>49</v>
      </c>
      <c r="O116" s="21"/>
      <c r="P116" s="25">
        <v>3036</v>
      </c>
      <c r="Q116" s="23">
        <v>4236</v>
      </c>
      <c r="R116" s="25">
        <v>42</v>
      </c>
      <c r="S116" s="21"/>
      <c r="T116" s="25">
        <v>3714</v>
      </c>
      <c r="U116" s="25">
        <v>480</v>
      </c>
      <c r="V116" s="23">
        <v>200694</v>
      </c>
      <c r="W116" s="25">
        <v>1909</v>
      </c>
      <c r="X116" s="25">
        <v>13612</v>
      </c>
      <c r="Y116" s="25">
        <v>2311</v>
      </c>
      <c r="Z116" s="25">
        <v>182862</v>
      </c>
      <c r="AA116" s="24">
        <v>564084</v>
      </c>
    </row>
    <row r="117" spans="1:27" ht="13.2" x14ac:dyDescent="0.25">
      <c r="A117" s="16">
        <v>44144</v>
      </c>
      <c r="B117" s="17">
        <v>11334</v>
      </c>
      <c r="E117" s="18">
        <v>1</v>
      </c>
      <c r="F117" s="18">
        <v>11333</v>
      </c>
      <c r="G117" s="17">
        <v>345171</v>
      </c>
      <c r="I117" s="18">
        <v>22232</v>
      </c>
      <c r="K117" s="18">
        <v>322939</v>
      </c>
      <c r="L117" s="17">
        <v>3085</v>
      </c>
      <c r="N117" s="18">
        <v>44</v>
      </c>
      <c r="P117" s="18">
        <v>3041</v>
      </c>
      <c r="Q117" s="17">
        <v>4241</v>
      </c>
      <c r="R117" s="18">
        <v>39</v>
      </c>
      <c r="T117" s="18">
        <v>3714</v>
      </c>
      <c r="U117" s="18">
        <v>488</v>
      </c>
      <c r="V117" s="17">
        <v>200822</v>
      </c>
      <c r="W117" s="18">
        <v>1649</v>
      </c>
      <c r="X117" s="18">
        <v>11855</v>
      </c>
      <c r="Y117" s="18">
        <v>2311</v>
      </c>
      <c r="Z117" s="18">
        <v>185007</v>
      </c>
      <c r="AA117" s="19">
        <v>564653</v>
      </c>
    </row>
    <row r="118" spans="1:27" ht="15.75" customHeight="1" x14ac:dyDescent="0.3">
      <c r="A118" s="26">
        <v>44145</v>
      </c>
      <c r="B118" s="20">
        <v>11392</v>
      </c>
      <c r="C118" s="21"/>
      <c r="D118" s="21"/>
      <c r="E118" s="25">
        <v>1</v>
      </c>
      <c r="F118" s="25">
        <v>11391</v>
      </c>
      <c r="G118" s="23">
        <v>348726</v>
      </c>
      <c r="H118" s="21"/>
      <c r="I118" s="25">
        <v>21204</v>
      </c>
      <c r="J118" s="21"/>
      <c r="K118" s="25">
        <v>327522</v>
      </c>
      <c r="L118" s="23">
        <v>3087</v>
      </c>
      <c r="M118" s="21"/>
      <c r="N118" s="25">
        <v>41</v>
      </c>
      <c r="O118" s="21"/>
      <c r="P118" s="25">
        <v>3046</v>
      </c>
      <c r="Q118" s="23">
        <v>4249</v>
      </c>
      <c r="R118" s="25">
        <v>43</v>
      </c>
      <c r="S118" s="21"/>
      <c r="T118" s="25">
        <v>3714</v>
      </c>
      <c r="U118" s="25">
        <v>492</v>
      </c>
      <c r="V118" s="23">
        <v>203100</v>
      </c>
      <c r="W118" s="25">
        <v>1532</v>
      </c>
      <c r="X118" s="25">
        <v>11739</v>
      </c>
      <c r="Y118" s="25">
        <v>2311</v>
      </c>
      <c r="Z118" s="25">
        <v>187518</v>
      </c>
      <c r="AA118" s="24">
        <v>570554</v>
      </c>
    </row>
    <row r="119" spans="1:27" ht="13.2" x14ac:dyDescent="0.25">
      <c r="A119" s="16">
        <v>44146</v>
      </c>
      <c r="B119" s="17">
        <v>11495</v>
      </c>
      <c r="E119" s="18">
        <v>1</v>
      </c>
      <c r="F119" s="18">
        <v>11494</v>
      </c>
      <c r="G119" s="17">
        <v>351836</v>
      </c>
      <c r="I119" s="18">
        <v>21713</v>
      </c>
      <c r="K119" s="18">
        <v>330123</v>
      </c>
      <c r="L119" s="17">
        <v>3092</v>
      </c>
      <c r="N119" s="18">
        <v>36</v>
      </c>
      <c r="P119" s="18">
        <v>3056</v>
      </c>
      <c r="Q119" s="17">
        <v>4252</v>
      </c>
      <c r="R119" s="18">
        <v>41</v>
      </c>
      <c r="T119" s="18">
        <v>3714</v>
      </c>
      <c r="U119" s="18">
        <v>497</v>
      </c>
      <c r="V119" s="17">
        <v>205925</v>
      </c>
      <c r="W119" s="18">
        <v>1404</v>
      </c>
      <c r="X119" s="18">
        <v>12908</v>
      </c>
      <c r="Y119" s="18">
        <v>2311</v>
      </c>
      <c r="Z119" s="18">
        <v>189302</v>
      </c>
      <c r="AA119" s="19">
        <v>576600</v>
      </c>
    </row>
    <row r="120" spans="1:27" ht="15.75" customHeight="1" x14ac:dyDescent="0.3">
      <c r="A120" s="26">
        <v>44147</v>
      </c>
      <c r="B120" s="20">
        <v>11678</v>
      </c>
      <c r="C120" s="21"/>
      <c r="D120" s="21"/>
      <c r="E120" s="25">
        <v>1</v>
      </c>
      <c r="F120" s="25">
        <v>11677</v>
      </c>
      <c r="G120" s="23">
        <v>356799</v>
      </c>
      <c r="H120" s="21"/>
      <c r="I120" s="25">
        <v>24385</v>
      </c>
      <c r="J120" s="21"/>
      <c r="K120" s="25">
        <v>332414</v>
      </c>
      <c r="L120" s="23">
        <v>3096</v>
      </c>
      <c r="M120" s="21"/>
      <c r="N120" s="25">
        <v>39</v>
      </c>
      <c r="O120" s="21"/>
      <c r="P120" s="25">
        <v>3057</v>
      </c>
      <c r="Q120" s="23">
        <v>4254</v>
      </c>
      <c r="R120" s="25">
        <v>41</v>
      </c>
      <c r="S120" s="21"/>
      <c r="T120" s="25">
        <v>3714</v>
      </c>
      <c r="U120" s="25">
        <v>499</v>
      </c>
      <c r="V120" s="23">
        <v>209565</v>
      </c>
      <c r="W120" s="25">
        <v>1535</v>
      </c>
      <c r="X120" s="25">
        <v>14587</v>
      </c>
      <c r="Y120" s="25">
        <v>2311</v>
      </c>
      <c r="Z120" s="25">
        <v>191132</v>
      </c>
      <c r="AA120" s="24">
        <v>585392</v>
      </c>
    </row>
    <row r="121" spans="1:27" ht="13.2" x14ac:dyDescent="0.25">
      <c r="A121" s="16">
        <v>44148</v>
      </c>
      <c r="B121" s="17">
        <v>11785</v>
      </c>
      <c r="E121" s="18">
        <v>1</v>
      </c>
      <c r="F121" s="18">
        <v>11784</v>
      </c>
      <c r="G121" s="17">
        <v>362473</v>
      </c>
      <c r="I121" s="18">
        <v>27757</v>
      </c>
      <c r="K121" s="18">
        <v>334716</v>
      </c>
      <c r="L121" s="17">
        <v>3107</v>
      </c>
      <c r="N121" s="18">
        <v>43</v>
      </c>
      <c r="P121" s="18">
        <v>3064</v>
      </c>
      <c r="Q121" s="17">
        <v>4315</v>
      </c>
      <c r="R121" s="18">
        <v>42</v>
      </c>
      <c r="T121" s="18">
        <v>3773</v>
      </c>
      <c r="U121" s="18">
        <v>500</v>
      </c>
      <c r="V121" s="17">
        <v>213362</v>
      </c>
      <c r="W121" s="18">
        <v>1478</v>
      </c>
      <c r="X121" s="18">
        <v>16161</v>
      </c>
      <c r="Y121" s="18">
        <v>2311</v>
      </c>
      <c r="Z121" s="18">
        <v>193412</v>
      </c>
      <c r="AA121" s="19">
        <v>595042</v>
      </c>
    </row>
    <row r="122" spans="1:27" ht="13.2" x14ac:dyDescent="0.25">
      <c r="A122" s="16">
        <v>44149</v>
      </c>
      <c r="B122" s="17">
        <v>11881</v>
      </c>
      <c r="E122" s="18">
        <v>1</v>
      </c>
      <c r="F122" s="18">
        <v>11880</v>
      </c>
      <c r="G122" s="17">
        <v>364313</v>
      </c>
      <c r="I122" s="18">
        <v>28848</v>
      </c>
      <c r="K122" s="18">
        <v>335465</v>
      </c>
      <c r="L122" s="17">
        <v>3111</v>
      </c>
      <c r="N122" s="18">
        <v>45</v>
      </c>
      <c r="P122" s="18">
        <v>3066</v>
      </c>
      <c r="Q122" s="17">
        <v>4318</v>
      </c>
      <c r="R122" s="18">
        <v>45</v>
      </c>
      <c r="T122" s="18">
        <v>3773</v>
      </c>
      <c r="U122" s="18">
        <v>500</v>
      </c>
      <c r="V122" s="17">
        <v>214350</v>
      </c>
      <c r="W122" s="18">
        <v>1514</v>
      </c>
      <c r="X122" s="18">
        <v>17023</v>
      </c>
      <c r="Y122" s="18">
        <v>2311</v>
      </c>
      <c r="Z122" s="18">
        <v>193502</v>
      </c>
      <c r="AA122" s="19">
        <v>597973</v>
      </c>
    </row>
    <row r="123" spans="1:27" ht="15.75" customHeight="1" x14ac:dyDescent="0.3">
      <c r="A123" s="26">
        <v>44150</v>
      </c>
      <c r="B123" s="20">
        <v>12006</v>
      </c>
      <c r="C123" s="21"/>
      <c r="D123" s="21"/>
      <c r="E123" s="25">
        <v>1</v>
      </c>
      <c r="F123" s="25">
        <v>12005</v>
      </c>
      <c r="G123" s="23">
        <v>367745</v>
      </c>
      <c r="H123" s="21"/>
      <c r="I123" s="25">
        <v>30555</v>
      </c>
      <c r="J123" s="21"/>
      <c r="K123" s="25">
        <v>337190</v>
      </c>
      <c r="L123" s="23">
        <v>3116</v>
      </c>
      <c r="M123" s="21"/>
      <c r="N123" s="25">
        <v>46</v>
      </c>
      <c r="O123" s="21"/>
      <c r="P123" s="25">
        <v>3070</v>
      </c>
      <c r="Q123" s="23">
        <v>4355</v>
      </c>
      <c r="R123" s="25">
        <v>45</v>
      </c>
      <c r="S123" s="21"/>
      <c r="T123" s="25">
        <v>3808</v>
      </c>
      <c r="U123" s="25">
        <v>502</v>
      </c>
      <c r="V123" s="23">
        <v>216502</v>
      </c>
      <c r="W123" s="25">
        <v>1354</v>
      </c>
      <c r="X123" s="25">
        <v>18114</v>
      </c>
      <c r="Y123" s="25">
        <v>2311</v>
      </c>
      <c r="Z123" s="25">
        <v>194723</v>
      </c>
      <c r="AA123" s="24">
        <v>603724</v>
      </c>
    </row>
    <row r="124" spans="1:27" ht="13.2" x14ac:dyDescent="0.25">
      <c r="A124" s="16">
        <v>44151</v>
      </c>
      <c r="B124" s="17">
        <v>12095</v>
      </c>
      <c r="E124" s="18">
        <v>1</v>
      </c>
      <c r="F124" s="18">
        <v>12094</v>
      </c>
      <c r="G124" s="17">
        <v>371581</v>
      </c>
      <c r="I124" s="18">
        <v>33448</v>
      </c>
      <c r="K124" s="18">
        <v>338133</v>
      </c>
      <c r="L124" s="17">
        <v>3116</v>
      </c>
      <c r="N124" s="18">
        <v>46</v>
      </c>
      <c r="P124" s="18">
        <v>3070</v>
      </c>
      <c r="Q124" s="17">
        <v>4461</v>
      </c>
      <c r="R124" s="18">
        <v>47</v>
      </c>
      <c r="T124" s="18">
        <v>3911</v>
      </c>
      <c r="U124" s="18">
        <v>503</v>
      </c>
      <c r="V124" s="17">
        <v>218309</v>
      </c>
      <c r="W124" s="18">
        <v>1474</v>
      </c>
      <c r="X124" s="18">
        <v>19133</v>
      </c>
      <c r="Y124" s="18">
        <v>2311</v>
      </c>
      <c r="Z124" s="18">
        <v>195391</v>
      </c>
      <c r="AA124" s="19">
        <v>609562</v>
      </c>
    </row>
    <row r="125" spans="1:27" ht="13.2" x14ac:dyDescent="0.25">
      <c r="A125" s="16">
        <v>44152</v>
      </c>
      <c r="B125" s="17">
        <v>12210</v>
      </c>
      <c r="E125" s="18">
        <v>1</v>
      </c>
      <c r="F125" s="18">
        <v>12209</v>
      </c>
      <c r="G125" s="17">
        <v>375215</v>
      </c>
      <c r="I125" s="18">
        <v>28584</v>
      </c>
      <c r="K125" s="18">
        <v>346631</v>
      </c>
      <c r="L125" s="17">
        <v>3125</v>
      </c>
      <c r="N125" s="18">
        <v>48</v>
      </c>
      <c r="P125" s="18">
        <v>3077</v>
      </c>
      <c r="Q125" s="17">
        <v>4507</v>
      </c>
      <c r="R125" s="18">
        <v>47</v>
      </c>
      <c r="T125" s="18">
        <v>3945</v>
      </c>
      <c r="U125" s="18">
        <v>515</v>
      </c>
      <c r="V125" s="17">
        <v>220956</v>
      </c>
      <c r="W125" s="18">
        <v>1315</v>
      </c>
      <c r="X125" s="18">
        <v>17684</v>
      </c>
      <c r="Y125" s="18">
        <v>2311</v>
      </c>
      <c r="Z125" s="18">
        <v>199646</v>
      </c>
      <c r="AA125" s="19">
        <v>616013</v>
      </c>
    </row>
    <row r="126" spans="1:27" ht="13.2" x14ac:dyDescent="0.25">
      <c r="A126" s="16">
        <v>44153</v>
      </c>
      <c r="B126" s="17">
        <v>12267</v>
      </c>
      <c r="E126" s="18">
        <v>1</v>
      </c>
      <c r="F126" s="18">
        <v>12266</v>
      </c>
      <c r="G126" s="17">
        <v>381621</v>
      </c>
      <c r="I126" s="18">
        <v>28143</v>
      </c>
      <c r="K126" s="18">
        <v>353478</v>
      </c>
      <c r="L126" s="17">
        <v>3143</v>
      </c>
      <c r="N126" s="18">
        <v>33</v>
      </c>
      <c r="P126" s="18">
        <v>3110</v>
      </c>
      <c r="Q126" s="17">
        <v>4566</v>
      </c>
      <c r="R126" s="18">
        <v>47</v>
      </c>
      <c r="T126" s="18">
        <v>3997</v>
      </c>
      <c r="U126" s="18">
        <v>522</v>
      </c>
      <c r="V126" s="17">
        <v>225294</v>
      </c>
      <c r="W126" s="18">
        <v>1477</v>
      </c>
      <c r="X126" s="18">
        <v>17218</v>
      </c>
      <c r="Y126" s="18">
        <v>2311</v>
      </c>
      <c r="Z126" s="18">
        <v>204288</v>
      </c>
      <c r="AA126" s="19">
        <v>626891</v>
      </c>
    </row>
    <row r="127" spans="1:27" ht="13.2" x14ac:dyDescent="0.25">
      <c r="A127" s="16">
        <v>44154</v>
      </c>
      <c r="B127" s="17">
        <v>12267</v>
      </c>
      <c r="E127" s="18">
        <v>1</v>
      </c>
      <c r="F127" s="18">
        <v>12266</v>
      </c>
      <c r="G127" s="17">
        <v>385965</v>
      </c>
      <c r="I127" s="18">
        <v>28530</v>
      </c>
      <c r="K127" s="18">
        <v>357435</v>
      </c>
      <c r="L127" s="17">
        <v>3143</v>
      </c>
      <c r="N127" s="18">
        <v>28</v>
      </c>
      <c r="P127" s="18">
        <v>3115</v>
      </c>
      <c r="Q127" s="17">
        <v>4661</v>
      </c>
      <c r="R127" s="18">
        <v>43</v>
      </c>
      <c r="T127" s="18">
        <v>4092</v>
      </c>
      <c r="U127" s="18">
        <v>526</v>
      </c>
      <c r="V127" s="17">
        <v>228041</v>
      </c>
      <c r="W127" s="18">
        <v>1588</v>
      </c>
      <c r="X127" s="18">
        <v>17078</v>
      </c>
      <c r="Y127" s="18">
        <v>2311</v>
      </c>
      <c r="Z127" s="18">
        <v>207064</v>
      </c>
      <c r="AA127" s="19">
        <v>634077</v>
      </c>
    </row>
    <row r="128" spans="1:27" ht="15.75" customHeight="1" x14ac:dyDescent="0.3">
      <c r="A128" s="26">
        <v>44155</v>
      </c>
      <c r="B128" s="20">
        <v>12364</v>
      </c>
      <c r="C128" s="21"/>
      <c r="D128" s="21"/>
      <c r="E128" s="25">
        <v>1</v>
      </c>
      <c r="F128" s="25">
        <v>12363</v>
      </c>
      <c r="G128" s="23">
        <v>391656</v>
      </c>
      <c r="H128" s="21"/>
      <c r="I128" s="25">
        <v>28922</v>
      </c>
      <c r="J128" s="21"/>
      <c r="K128" s="25">
        <v>362734</v>
      </c>
      <c r="L128" s="23">
        <v>3159</v>
      </c>
      <c r="M128" s="21"/>
      <c r="N128" s="25">
        <v>29</v>
      </c>
      <c r="O128" s="21"/>
      <c r="P128" s="25">
        <v>3130</v>
      </c>
      <c r="Q128" s="23">
        <v>4688</v>
      </c>
      <c r="R128" s="25">
        <v>41</v>
      </c>
      <c r="S128" s="21"/>
      <c r="T128" s="25">
        <v>4118</v>
      </c>
      <c r="U128" s="25">
        <v>529</v>
      </c>
      <c r="V128" s="23">
        <v>231910</v>
      </c>
      <c r="W128" s="25">
        <v>1584</v>
      </c>
      <c r="X128" s="25">
        <v>17490</v>
      </c>
      <c r="Y128" s="25">
        <v>2311</v>
      </c>
      <c r="Z128" s="25">
        <v>210525</v>
      </c>
      <c r="AA128" s="24">
        <v>643777</v>
      </c>
    </row>
    <row r="129" spans="1:27" ht="13.2" x14ac:dyDescent="0.25">
      <c r="A129" s="16">
        <v>44156</v>
      </c>
      <c r="B129" s="17">
        <v>12367</v>
      </c>
      <c r="E129" s="18">
        <v>1</v>
      </c>
      <c r="F129" s="18">
        <v>12366</v>
      </c>
      <c r="G129" s="17">
        <v>393530</v>
      </c>
      <c r="I129" s="18">
        <v>28624</v>
      </c>
      <c r="K129" s="18">
        <v>364906</v>
      </c>
      <c r="L129" s="17">
        <v>3176</v>
      </c>
      <c r="N129" s="18">
        <v>28</v>
      </c>
      <c r="P129" s="18">
        <v>3148</v>
      </c>
      <c r="Q129" s="17">
        <v>4694</v>
      </c>
      <c r="R129" s="18">
        <v>42</v>
      </c>
      <c r="T129" s="18">
        <v>4118</v>
      </c>
      <c r="U129" s="18">
        <v>534</v>
      </c>
      <c r="V129" s="17">
        <v>233185</v>
      </c>
      <c r="W129" s="18">
        <v>1517</v>
      </c>
      <c r="X129" s="18">
        <v>17474</v>
      </c>
      <c r="Y129" s="18">
        <v>2311</v>
      </c>
      <c r="Z129" s="18">
        <v>211883</v>
      </c>
      <c r="AA129" s="19">
        <v>646952</v>
      </c>
    </row>
    <row r="130" spans="1:27" ht="15.75" customHeight="1" x14ac:dyDescent="0.3">
      <c r="A130" s="26">
        <v>44157</v>
      </c>
      <c r="B130" s="20">
        <v>12423</v>
      </c>
      <c r="C130" s="21"/>
      <c r="D130" s="21"/>
      <c r="E130" s="25">
        <v>1</v>
      </c>
      <c r="F130" s="25">
        <v>12422</v>
      </c>
      <c r="G130" s="23">
        <v>399938</v>
      </c>
      <c r="H130" s="21"/>
      <c r="I130" s="25">
        <v>33028</v>
      </c>
      <c r="J130" s="21"/>
      <c r="K130" s="25">
        <v>366910</v>
      </c>
      <c r="L130" s="23">
        <v>3218</v>
      </c>
      <c r="M130" s="21"/>
      <c r="N130" s="25">
        <v>60</v>
      </c>
      <c r="O130" s="21"/>
      <c r="P130" s="25">
        <v>3158</v>
      </c>
      <c r="Q130" s="23">
        <v>4700</v>
      </c>
      <c r="R130" s="25">
        <v>44</v>
      </c>
      <c r="S130" s="21"/>
      <c r="T130" s="25">
        <v>4118</v>
      </c>
      <c r="U130" s="25">
        <v>538</v>
      </c>
      <c r="V130" s="23">
        <v>236561</v>
      </c>
      <c r="W130" s="25">
        <v>1682</v>
      </c>
      <c r="X130" s="25">
        <v>19341</v>
      </c>
      <c r="Y130" s="25">
        <v>2311</v>
      </c>
      <c r="Z130" s="25">
        <v>213227</v>
      </c>
      <c r="AA130" s="24">
        <v>656840</v>
      </c>
    </row>
    <row r="131" spans="1:27" ht="13.2" x14ac:dyDescent="0.25">
      <c r="A131" s="16">
        <v>44158</v>
      </c>
      <c r="B131" s="17">
        <v>12466</v>
      </c>
      <c r="E131" s="18">
        <v>1</v>
      </c>
      <c r="F131" s="18">
        <v>12465</v>
      </c>
      <c r="G131" s="17">
        <v>403540</v>
      </c>
      <c r="I131" s="18">
        <v>32034</v>
      </c>
      <c r="K131" s="18">
        <v>371506</v>
      </c>
      <c r="L131" s="17">
        <v>3229</v>
      </c>
      <c r="N131" s="18">
        <v>65</v>
      </c>
      <c r="P131" s="18">
        <v>3164</v>
      </c>
      <c r="Q131" s="17">
        <v>4706</v>
      </c>
      <c r="R131" s="18">
        <v>44</v>
      </c>
      <c r="T131" s="18">
        <v>4118</v>
      </c>
      <c r="U131" s="18">
        <v>544</v>
      </c>
      <c r="V131" s="17">
        <v>238175</v>
      </c>
      <c r="W131" s="18">
        <v>1613</v>
      </c>
      <c r="X131" s="18">
        <v>18061</v>
      </c>
      <c r="Y131" s="18">
        <v>2311</v>
      </c>
      <c r="Z131" s="18">
        <v>216190</v>
      </c>
      <c r="AA131" s="19">
        <v>662116</v>
      </c>
    </row>
    <row r="132" spans="1:27" ht="15.75" customHeight="1" x14ac:dyDescent="0.3">
      <c r="A132" s="26">
        <v>44159</v>
      </c>
      <c r="B132" s="20">
        <v>12571</v>
      </c>
      <c r="C132" s="21"/>
      <c r="D132" s="21"/>
      <c r="E132" s="25">
        <v>1</v>
      </c>
      <c r="F132" s="25">
        <v>12570</v>
      </c>
      <c r="G132" s="23">
        <v>407146</v>
      </c>
      <c r="H132" s="21"/>
      <c r="I132" s="25">
        <v>32187</v>
      </c>
      <c r="J132" s="21"/>
      <c r="K132" s="25">
        <v>374959</v>
      </c>
      <c r="L132" s="23">
        <v>3229</v>
      </c>
      <c r="M132" s="21"/>
      <c r="N132" s="25">
        <v>59</v>
      </c>
      <c r="O132" s="21"/>
      <c r="P132" s="25">
        <v>3170</v>
      </c>
      <c r="Q132" s="23">
        <v>4710</v>
      </c>
      <c r="R132" s="25">
        <v>42</v>
      </c>
      <c r="S132" s="21"/>
      <c r="T132" s="25">
        <v>4118</v>
      </c>
      <c r="U132" s="25">
        <v>550</v>
      </c>
      <c r="V132" s="23">
        <v>239739</v>
      </c>
      <c r="W132" s="25">
        <v>1577</v>
      </c>
      <c r="X132" s="25">
        <v>17468</v>
      </c>
      <c r="Y132" s="25">
        <v>2311</v>
      </c>
      <c r="Z132" s="25">
        <v>218383</v>
      </c>
      <c r="AA132" s="24">
        <v>667395</v>
      </c>
    </row>
    <row r="133" spans="1:27" ht="13.2" x14ac:dyDescent="0.25">
      <c r="A133" s="16">
        <v>44160</v>
      </c>
      <c r="B133" s="17">
        <v>12621</v>
      </c>
      <c r="E133" s="18">
        <v>1</v>
      </c>
      <c r="F133" s="18">
        <v>12620</v>
      </c>
      <c r="G133" s="17">
        <v>412758</v>
      </c>
      <c r="I133" s="18">
        <v>34347</v>
      </c>
      <c r="K133" s="18">
        <v>378411</v>
      </c>
      <c r="L133" s="17">
        <v>3257</v>
      </c>
      <c r="N133" s="18">
        <v>62</v>
      </c>
      <c r="P133" s="18">
        <v>3195</v>
      </c>
      <c r="Q133" s="17">
        <v>4744</v>
      </c>
      <c r="R133" s="18">
        <v>43</v>
      </c>
      <c r="T133" s="18">
        <v>4148</v>
      </c>
      <c r="U133" s="18">
        <v>553</v>
      </c>
      <c r="V133" s="17">
        <v>243217</v>
      </c>
      <c r="W133" s="18">
        <v>1583</v>
      </c>
      <c r="X133" s="18">
        <v>18202</v>
      </c>
      <c r="Y133" s="18">
        <v>2311</v>
      </c>
      <c r="Z133" s="18">
        <v>221121</v>
      </c>
      <c r="AA133" s="19">
        <v>676597</v>
      </c>
    </row>
    <row r="134" spans="1:27" ht="13.2" x14ac:dyDescent="0.25">
      <c r="A134" s="16">
        <v>44161</v>
      </c>
      <c r="B134" s="17">
        <v>12691</v>
      </c>
      <c r="E134" s="18">
        <v>1</v>
      </c>
      <c r="F134" s="18">
        <v>12690</v>
      </c>
      <c r="G134" s="17">
        <v>419682</v>
      </c>
      <c r="I134" s="18">
        <v>35307</v>
      </c>
      <c r="K134" s="18">
        <v>384375</v>
      </c>
      <c r="L134" s="17">
        <v>3266</v>
      </c>
      <c r="N134" s="18">
        <v>39</v>
      </c>
      <c r="P134" s="18">
        <v>3227</v>
      </c>
      <c r="Q134" s="17">
        <v>4751</v>
      </c>
      <c r="R134" s="18">
        <v>47</v>
      </c>
      <c r="T134" s="18">
        <v>4148</v>
      </c>
      <c r="U134" s="18">
        <v>556</v>
      </c>
      <c r="V134" s="17">
        <v>247299</v>
      </c>
      <c r="W134" s="18">
        <v>1486</v>
      </c>
      <c r="X134" s="18">
        <v>19121</v>
      </c>
      <c r="Y134" s="18">
        <v>2311</v>
      </c>
      <c r="Z134" s="18">
        <v>224381</v>
      </c>
      <c r="AA134" s="19">
        <v>687689</v>
      </c>
    </row>
    <row r="135" spans="1:27" ht="15.75" customHeight="1" x14ac:dyDescent="0.3">
      <c r="A135" s="26">
        <v>44162</v>
      </c>
      <c r="B135" s="20">
        <v>12756</v>
      </c>
      <c r="C135" s="21"/>
      <c r="D135" s="21"/>
      <c r="E135" s="25">
        <v>1</v>
      </c>
      <c r="F135" s="25">
        <v>12755</v>
      </c>
      <c r="G135" s="23">
        <v>426826</v>
      </c>
      <c r="H135" s="21"/>
      <c r="I135" s="25">
        <v>36226</v>
      </c>
      <c r="J135" s="21"/>
      <c r="K135" s="25">
        <v>390600</v>
      </c>
      <c r="L135" s="23">
        <v>3299</v>
      </c>
      <c r="M135" s="21"/>
      <c r="N135" s="25">
        <v>35</v>
      </c>
      <c r="O135" s="21"/>
      <c r="P135" s="25">
        <v>3264</v>
      </c>
      <c r="Q135" s="23">
        <v>4902</v>
      </c>
      <c r="R135" s="25">
        <v>49</v>
      </c>
      <c r="S135" s="21"/>
      <c r="T135" s="25">
        <v>4284</v>
      </c>
      <c r="U135" s="25">
        <v>569</v>
      </c>
      <c r="V135" s="23">
        <v>251571</v>
      </c>
      <c r="W135" s="25">
        <v>1415</v>
      </c>
      <c r="X135" s="25">
        <v>19750</v>
      </c>
      <c r="Y135" s="25">
        <v>2311</v>
      </c>
      <c r="Z135" s="25">
        <v>228095</v>
      </c>
      <c r="AA135" s="24">
        <v>699354</v>
      </c>
    </row>
    <row r="136" spans="1:27" ht="15.75" customHeight="1" x14ac:dyDescent="0.3">
      <c r="A136" s="26">
        <v>44163</v>
      </c>
      <c r="B136" s="20">
        <v>12805</v>
      </c>
      <c r="C136" s="21"/>
      <c r="D136" s="21"/>
      <c r="E136" s="25">
        <v>1</v>
      </c>
      <c r="F136" s="25">
        <v>12804</v>
      </c>
      <c r="G136" s="23">
        <v>433658</v>
      </c>
      <c r="H136" s="21"/>
      <c r="I136" s="25">
        <v>39551</v>
      </c>
      <c r="J136" s="21"/>
      <c r="K136" s="25">
        <v>394107</v>
      </c>
      <c r="L136" s="23">
        <v>3338</v>
      </c>
      <c r="M136" s="21"/>
      <c r="N136" s="25">
        <v>41</v>
      </c>
      <c r="O136" s="21"/>
      <c r="P136" s="25">
        <v>3297</v>
      </c>
      <c r="Q136" s="23">
        <v>4905</v>
      </c>
      <c r="R136" s="25">
        <v>50</v>
      </c>
      <c r="S136" s="21"/>
      <c r="T136" s="25">
        <v>4284</v>
      </c>
      <c r="U136" s="25">
        <v>571</v>
      </c>
      <c r="V136" s="23">
        <v>256114</v>
      </c>
      <c r="W136" s="25">
        <v>1359</v>
      </c>
      <c r="X136" s="25">
        <v>21025</v>
      </c>
      <c r="Y136" s="25">
        <v>2311</v>
      </c>
      <c r="Z136" s="25">
        <v>231419</v>
      </c>
      <c r="AA136" s="24">
        <v>710820</v>
      </c>
    </row>
    <row r="137" spans="1:27" ht="13.2" x14ac:dyDescent="0.25">
      <c r="A137" s="16">
        <v>44164</v>
      </c>
      <c r="B137" s="17">
        <v>12897</v>
      </c>
      <c r="E137" s="18">
        <v>1</v>
      </c>
      <c r="F137" s="18">
        <v>12896</v>
      </c>
      <c r="G137" s="17">
        <v>439261</v>
      </c>
      <c r="I137" s="18">
        <v>42654</v>
      </c>
      <c r="K137" s="18">
        <v>396607</v>
      </c>
      <c r="L137" s="17">
        <v>3355</v>
      </c>
      <c r="N137" s="18">
        <v>47</v>
      </c>
      <c r="P137" s="18">
        <v>3308</v>
      </c>
      <c r="Q137" s="17">
        <v>4909</v>
      </c>
      <c r="R137" s="18">
        <v>51</v>
      </c>
      <c r="T137" s="18">
        <v>4284</v>
      </c>
      <c r="U137" s="18">
        <v>574</v>
      </c>
      <c r="V137" s="17">
        <v>259412</v>
      </c>
      <c r="W137" s="18">
        <v>1410</v>
      </c>
      <c r="X137" s="18">
        <v>22825</v>
      </c>
      <c r="Y137" s="18">
        <v>2311</v>
      </c>
      <c r="Z137" s="18">
        <v>232866</v>
      </c>
      <c r="AA137" s="19">
        <v>719834</v>
      </c>
    </row>
    <row r="138" spans="1:27" ht="13.2" x14ac:dyDescent="0.25">
      <c r="A138" s="26">
        <v>44165</v>
      </c>
      <c r="B138" s="17">
        <v>12955</v>
      </c>
      <c r="E138" s="18">
        <v>1</v>
      </c>
      <c r="F138" s="18">
        <v>12954</v>
      </c>
      <c r="G138" s="17">
        <v>443495</v>
      </c>
      <c r="I138" s="18">
        <v>40338</v>
      </c>
      <c r="K138" s="18">
        <v>403157</v>
      </c>
      <c r="L138" s="17">
        <v>3369</v>
      </c>
      <c r="N138" s="18">
        <v>46</v>
      </c>
      <c r="P138" s="18">
        <v>3323</v>
      </c>
      <c r="Q138" s="17">
        <v>5080</v>
      </c>
      <c r="R138" s="18">
        <v>46</v>
      </c>
      <c r="T138" s="18">
        <v>4452</v>
      </c>
      <c r="U138" s="18">
        <v>582</v>
      </c>
      <c r="V138" s="17">
        <v>261610</v>
      </c>
      <c r="W138" s="18">
        <v>1328</v>
      </c>
      <c r="X138" s="18">
        <v>21201</v>
      </c>
      <c r="Y138" s="18">
        <v>2311</v>
      </c>
      <c r="Z138" s="18">
        <v>236770</v>
      </c>
      <c r="AA138" s="19">
        <v>726509</v>
      </c>
    </row>
    <row r="139" spans="1:27" ht="13.2" x14ac:dyDescent="0.25">
      <c r="A139" s="16">
        <v>44166</v>
      </c>
      <c r="B139" s="17">
        <v>13010</v>
      </c>
      <c r="E139" s="18">
        <v>1</v>
      </c>
      <c r="F139" s="18">
        <v>13009</v>
      </c>
      <c r="G139" s="17">
        <v>446437</v>
      </c>
      <c r="I139" s="18">
        <v>38666</v>
      </c>
      <c r="K139" s="18">
        <v>407771</v>
      </c>
      <c r="L139" s="17">
        <v>3379</v>
      </c>
      <c r="N139" s="18">
        <v>45</v>
      </c>
      <c r="P139" s="18">
        <v>3334</v>
      </c>
      <c r="Q139" s="17">
        <v>5081</v>
      </c>
      <c r="R139" s="18">
        <v>39</v>
      </c>
      <c r="T139" s="18">
        <v>4452</v>
      </c>
      <c r="U139" s="18">
        <v>590</v>
      </c>
      <c r="V139" s="17">
        <v>262895</v>
      </c>
      <c r="W139" s="18">
        <v>1305</v>
      </c>
      <c r="X139" s="18">
        <v>20201</v>
      </c>
      <c r="Y139" s="18">
        <v>2311</v>
      </c>
      <c r="Z139" s="18">
        <v>239078</v>
      </c>
      <c r="AA139" s="19">
        <v>730802</v>
      </c>
    </row>
    <row r="140" spans="1:27" ht="13.2" x14ac:dyDescent="0.25">
      <c r="A140" s="16">
        <v>44167</v>
      </c>
      <c r="B140" s="17">
        <v>13053</v>
      </c>
      <c r="E140" s="18">
        <v>1</v>
      </c>
      <c r="F140" s="18">
        <v>13052</v>
      </c>
      <c r="G140" s="17">
        <v>452536</v>
      </c>
      <c r="I140" s="18">
        <v>39532</v>
      </c>
      <c r="K140" s="18">
        <v>413004</v>
      </c>
      <c r="L140" s="17">
        <v>3393</v>
      </c>
      <c r="N140" s="18">
        <v>46</v>
      </c>
      <c r="P140" s="18">
        <v>3347</v>
      </c>
      <c r="Q140" s="17">
        <v>5085</v>
      </c>
      <c r="R140" s="18">
        <v>43</v>
      </c>
      <c r="T140" s="18">
        <v>4452</v>
      </c>
      <c r="U140" s="18">
        <v>590</v>
      </c>
      <c r="V140" s="17">
        <v>266413</v>
      </c>
      <c r="W140" s="18">
        <v>1376</v>
      </c>
      <c r="X140" s="18">
        <v>20318</v>
      </c>
      <c r="Y140" s="18">
        <v>2311</v>
      </c>
      <c r="Z140" s="18">
        <v>242408</v>
      </c>
      <c r="AA140" s="19">
        <v>740480</v>
      </c>
    </row>
    <row r="141" spans="1:27" ht="13.2" x14ac:dyDescent="0.25">
      <c r="A141" s="16">
        <v>44168</v>
      </c>
      <c r="B141" s="17">
        <v>13103</v>
      </c>
      <c r="E141" s="18">
        <v>1</v>
      </c>
      <c r="F141" s="18">
        <v>13102</v>
      </c>
      <c r="G141" s="17">
        <v>457750</v>
      </c>
      <c r="I141" s="18">
        <v>38423</v>
      </c>
      <c r="K141" s="18">
        <v>419327</v>
      </c>
      <c r="L141" s="17">
        <v>3419</v>
      </c>
      <c r="N141" s="18">
        <v>54</v>
      </c>
      <c r="P141" s="18">
        <v>3365</v>
      </c>
      <c r="Q141" s="17">
        <v>5281</v>
      </c>
      <c r="R141" s="18">
        <v>45</v>
      </c>
      <c r="T141" s="18">
        <v>4640</v>
      </c>
      <c r="U141" s="18">
        <v>596</v>
      </c>
      <c r="V141" s="17">
        <v>270662</v>
      </c>
      <c r="W141" s="18">
        <v>1388</v>
      </c>
      <c r="X141" s="18">
        <v>20674</v>
      </c>
      <c r="Y141" s="18">
        <v>2311</v>
      </c>
      <c r="Z141" s="18">
        <v>246289</v>
      </c>
      <c r="AA141" s="19">
        <v>750215</v>
      </c>
    </row>
    <row r="142" spans="1:27" ht="15.75" customHeight="1" x14ac:dyDescent="0.3">
      <c r="A142" s="16">
        <v>44169</v>
      </c>
      <c r="B142" s="20">
        <v>13164</v>
      </c>
      <c r="C142" s="21"/>
      <c r="D142" s="21"/>
      <c r="E142" s="25">
        <v>1</v>
      </c>
      <c r="F142" s="25">
        <v>13163</v>
      </c>
      <c r="G142" s="23">
        <v>462561</v>
      </c>
      <c r="H142" s="21"/>
      <c r="I142" s="25">
        <v>37159</v>
      </c>
      <c r="J142" s="21"/>
      <c r="K142" s="25">
        <v>425402</v>
      </c>
      <c r="L142" s="23">
        <v>3442</v>
      </c>
      <c r="M142" s="21"/>
      <c r="N142" s="25">
        <v>41</v>
      </c>
      <c r="O142" s="21"/>
      <c r="P142" s="25">
        <v>3401</v>
      </c>
      <c r="Q142" s="23">
        <v>5288</v>
      </c>
      <c r="R142" s="25">
        <v>48</v>
      </c>
      <c r="S142" s="21"/>
      <c r="T142" s="25">
        <v>4640</v>
      </c>
      <c r="U142" s="25">
        <v>600</v>
      </c>
      <c r="V142" s="23">
        <v>275103</v>
      </c>
      <c r="W142" s="25">
        <v>1268</v>
      </c>
      <c r="X142" s="25">
        <v>21281</v>
      </c>
      <c r="Y142" s="25">
        <v>2311</v>
      </c>
      <c r="Z142" s="25">
        <v>250243</v>
      </c>
      <c r="AA142" s="24">
        <v>759558</v>
      </c>
    </row>
    <row r="143" spans="1:27" ht="15.75" customHeight="1" x14ac:dyDescent="0.3">
      <c r="A143" s="16">
        <v>44170</v>
      </c>
      <c r="B143" s="20">
        <v>13189</v>
      </c>
      <c r="C143" s="21"/>
      <c r="D143" s="21"/>
      <c r="E143" s="25">
        <v>1</v>
      </c>
      <c r="F143" s="25">
        <v>13188</v>
      </c>
      <c r="G143" s="23">
        <v>464652</v>
      </c>
      <c r="H143" s="21"/>
      <c r="I143" s="25">
        <v>36311</v>
      </c>
      <c r="J143" s="21"/>
      <c r="K143" s="25">
        <v>428341</v>
      </c>
      <c r="L143" s="23">
        <v>3454</v>
      </c>
      <c r="M143" s="21"/>
      <c r="N143" s="25">
        <v>46</v>
      </c>
      <c r="O143" s="21"/>
      <c r="P143" s="25">
        <v>3408</v>
      </c>
      <c r="Q143" s="23">
        <v>5293</v>
      </c>
      <c r="R143" s="25">
        <v>50</v>
      </c>
      <c r="S143" s="21"/>
      <c r="T143" s="25">
        <v>4640</v>
      </c>
      <c r="U143" s="25">
        <v>603</v>
      </c>
      <c r="V143" s="23">
        <v>277276</v>
      </c>
      <c r="W143" s="25">
        <v>1223</v>
      </c>
      <c r="X143" s="25">
        <v>20929</v>
      </c>
      <c r="Y143" s="25">
        <v>2311</v>
      </c>
      <c r="Z143" s="25">
        <v>252813</v>
      </c>
      <c r="AA143" s="24">
        <v>763864</v>
      </c>
    </row>
    <row r="144" spans="1:27" ht="13.2" x14ac:dyDescent="0.25">
      <c r="A144" s="16">
        <v>44171</v>
      </c>
      <c r="B144" s="17">
        <v>13277</v>
      </c>
      <c r="E144" s="18">
        <v>1</v>
      </c>
      <c r="F144" s="18">
        <v>13276</v>
      </c>
      <c r="G144" s="17">
        <v>475888</v>
      </c>
      <c r="I144" s="18">
        <v>44978</v>
      </c>
      <c r="K144" s="18">
        <v>430910</v>
      </c>
      <c r="L144" s="17">
        <v>3465</v>
      </c>
      <c r="N144" s="18">
        <v>49</v>
      </c>
      <c r="P144" s="18">
        <v>3416</v>
      </c>
      <c r="Q144" s="17">
        <v>5298</v>
      </c>
      <c r="R144" s="18">
        <v>51</v>
      </c>
      <c r="T144" s="18">
        <v>4640</v>
      </c>
      <c r="U144" s="18">
        <v>607</v>
      </c>
      <c r="V144" s="17">
        <v>283820</v>
      </c>
      <c r="W144" s="18">
        <v>1469</v>
      </c>
      <c r="X144" s="18">
        <v>24827</v>
      </c>
      <c r="Y144" s="18">
        <v>2311</v>
      </c>
      <c r="Z144" s="18">
        <v>255213</v>
      </c>
      <c r="AA144" s="19">
        <v>781748</v>
      </c>
    </row>
    <row r="145" spans="1:27" ht="13.2" x14ac:dyDescent="0.25">
      <c r="A145" s="16">
        <v>44172</v>
      </c>
      <c r="B145" s="17">
        <v>13381</v>
      </c>
      <c r="E145" s="18">
        <v>1</v>
      </c>
      <c r="F145" s="18">
        <v>13380</v>
      </c>
      <c r="G145" s="17">
        <v>480248</v>
      </c>
      <c r="I145" s="18">
        <v>42342</v>
      </c>
      <c r="K145" s="18">
        <v>437906</v>
      </c>
      <c r="L145" s="17">
        <v>3466</v>
      </c>
      <c r="N145" s="18">
        <v>43</v>
      </c>
      <c r="P145" s="18">
        <v>3423</v>
      </c>
      <c r="Q145" s="17">
        <v>5302</v>
      </c>
      <c r="R145" s="18">
        <v>50</v>
      </c>
      <c r="T145" s="18">
        <v>4640</v>
      </c>
      <c r="U145" s="18">
        <v>612</v>
      </c>
      <c r="V145" s="17">
        <v>285701</v>
      </c>
      <c r="W145" s="18">
        <v>1515</v>
      </c>
      <c r="X145" s="18">
        <v>23064</v>
      </c>
      <c r="Y145" s="18">
        <v>2311</v>
      </c>
      <c r="Z145" s="18">
        <v>258811</v>
      </c>
      <c r="AA145" s="19">
        <v>788098</v>
      </c>
    </row>
    <row r="146" spans="1:27" ht="13.2" x14ac:dyDescent="0.25">
      <c r="A146" s="16">
        <v>44173</v>
      </c>
      <c r="B146" s="17">
        <v>13385</v>
      </c>
      <c r="E146" s="18">
        <v>1</v>
      </c>
      <c r="F146" s="18">
        <v>13384</v>
      </c>
      <c r="G146" s="17">
        <v>483143</v>
      </c>
      <c r="I146" s="18">
        <v>40129</v>
      </c>
      <c r="K146" s="18">
        <v>443014</v>
      </c>
      <c r="L146" s="17">
        <v>3483</v>
      </c>
      <c r="N146" s="18">
        <v>45</v>
      </c>
      <c r="P146" s="18">
        <v>3438</v>
      </c>
      <c r="Q146" s="17">
        <v>5304</v>
      </c>
      <c r="R146" s="18">
        <v>45</v>
      </c>
      <c r="T146" s="18">
        <v>4640</v>
      </c>
      <c r="U146" s="18">
        <v>619</v>
      </c>
      <c r="V146" s="17">
        <v>286988</v>
      </c>
      <c r="W146" s="18">
        <v>1403</v>
      </c>
      <c r="X146" s="18">
        <v>21175</v>
      </c>
      <c r="Y146" s="18">
        <v>2311</v>
      </c>
      <c r="Z146" s="18">
        <v>262099</v>
      </c>
      <c r="AA146" s="19">
        <v>792303</v>
      </c>
    </row>
    <row r="147" spans="1:27" ht="15.75" customHeight="1" x14ac:dyDescent="0.3">
      <c r="A147" s="16">
        <v>44174</v>
      </c>
      <c r="B147" s="20">
        <v>13487</v>
      </c>
      <c r="C147" s="21"/>
      <c r="D147" s="21"/>
      <c r="E147" s="25">
        <v>1</v>
      </c>
      <c r="F147" s="25">
        <v>13486</v>
      </c>
      <c r="G147" s="23">
        <v>488081</v>
      </c>
      <c r="H147" s="21"/>
      <c r="I147" s="25">
        <v>38001</v>
      </c>
      <c r="J147" s="21"/>
      <c r="K147" s="25">
        <v>450080</v>
      </c>
      <c r="L147" s="23">
        <v>3468</v>
      </c>
      <c r="M147" s="21"/>
      <c r="N147" s="25">
        <v>21</v>
      </c>
      <c r="O147" s="21"/>
      <c r="P147" s="25">
        <v>3447</v>
      </c>
      <c r="Q147" s="23">
        <v>5318</v>
      </c>
      <c r="R147" s="25">
        <v>19</v>
      </c>
      <c r="S147" s="21"/>
      <c r="T147" s="25">
        <v>4649</v>
      </c>
      <c r="U147" s="25">
        <v>650</v>
      </c>
      <c r="V147" s="23">
        <v>289439</v>
      </c>
      <c r="W147" s="25">
        <v>1206</v>
      </c>
      <c r="X147" s="25">
        <v>19374</v>
      </c>
      <c r="Y147" s="25">
        <v>2311</v>
      </c>
      <c r="Z147" s="25">
        <v>266548</v>
      </c>
      <c r="AA147" s="24">
        <v>799793</v>
      </c>
    </row>
    <row r="148" spans="1:27" ht="13.2" x14ac:dyDescent="0.25">
      <c r="A148" s="16">
        <v>44175</v>
      </c>
      <c r="B148" s="17">
        <v>13530</v>
      </c>
      <c r="E148" s="18">
        <v>1</v>
      </c>
      <c r="F148" s="18">
        <v>13529</v>
      </c>
      <c r="G148" s="17">
        <v>489757</v>
      </c>
      <c r="I148" s="18">
        <v>35167</v>
      </c>
      <c r="K148" s="18">
        <v>454590</v>
      </c>
      <c r="L148" s="17">
        <v>3481</v>
      </c>
      <c r="N148" s="18">
        <v>17</v>
      </c>
      <c r="P148" s="18">
        <v>3464</v>
      </c>
      <c r="Q148" s="17">
        <v>5313</v>
      </c>
      <c r="R148" s="18">
        <v>18</v>
      </c>
      <c r="T148" s="18">
        <v>4640</v>
      </c>
      <c r="U148" s="18">
        <v>655</v>
      </c>
      <c r="V148" s="17">
        <v>291337</v>
      </c>
      <c r="W148" s="18">
        <v>1053</v>
      </c>
      <c r="X148" s="18">
        <v>18680</v>
      </c>
      <c r="Y148" s="18">
        <v>2311</v>
      </c>
      <c r="Z148" s="18">
        <v>269293</v>
      </c>
      <c r="AA148" s="19">
        <v>803418</v>
      </c>
    </row>
    <row r="149" spans="1:27" ht="15.75" customHeight="1" x14ac:dyDescent="0.3">
      <c r="A149" s="26">
        <v>44176</v>
      </c>
      <c r="B149" s="20">
        <v>13621</v>
      </c>
      <c r="C149" s="21"/>
      <c r="D149" s="21"/>
      <c r="E149" s="25">
        <v>1</v>
      </c>
      <c r="F149" s="25">
        <v>13620</v>
      </c>
      <c r="G149" s="23">
        <v>494108</v>
      </c>
      <c r="H149" s="21"/>
      <c r="I149" s="25">
        <v>33724</v>
      </c>
      <c r="J149" s="21"/>
      <c r="K149" s="25">
        <v>460384</v>
      </c>
      <c r="L149" s="23">
        <v>3483</v>
      </c>
      <c r="M149" s="21"/>
      <c r="N149" s="25">
        <v>19</v>
      </c>
      <c r="O149" s="21"/>
      <c r="P149" s="25">
        <v>3464</v>
      </c>
      <c r="Q149" s="23">
        <v>5314</v>
      </c>
      <c r="R149" s="25">
        <v>19</v>
      </c>
      <c r="S149" s="21"/>
      <c r="T149" s="25">
        <v>4640</v>
      </c>
      <c r="U149" s="25">
        <v>655</v>
      </c>
      <c r="V149" s="23">
        <v>293204</v>
      </c>
      <c r="W149" s="25">
        <v>997</v>
      </c>
      <c r="X149" s="25">
        <v>17777</v>
      </c>
      <c r="Y149" s="25">
        <v>2311</v>
      </c>
      <c r="Z149" s="25">
        <v>272119</v>
      </c>
      <c r="AA149" s="24">
        <v>809730</v>
      </c>
    </row>
    <row r="150" spans="1:27" ht="13.2" x14ac:dyDescent="0.25">
      <c r="A150" s="16">
        <v>44177</v>
      </c>
      <c r="B150" s="17">
        <v>13734</v>
      </c>
      <c r="E150" s="18">
        <v>1</v>
      </c>
      <c r="F150" s="18">
        <v>13733</v>
      </c>
      <c r="G150" s="17">
        <v>496049</v>
      </c>
      <c r="I150" s="18">
        <v>33372</v>
      </c>
      <c r="K150" s="18">
        <v>462677</v>
      </c>
      <c r="L150" s="17">
        <v>3505</v>
      </c>
      <c r="N150" s="18">
        <v>19</v>
      </c>
      <c r="P150" s="18">
        <v>3486</v>
      </c>
      <c r="Q150" s="17">
        <v>5334</v>
      </c>
      <c r="R150" s="18">
        <v>38</v>
      </c>
      <c r="T150" s="18">
        <v>4640</v>
      </c>
      <c r="U150" s="18">
        <v>656</v>
      </c>
      <c r="V150" s="17">
        <v>294602</v>
      </c>
      <c r="W150" s="18">
        <v>919</v>
      </c>
      <c r="X150" s="18">
        <v>17873</v>
      </c>
      <c r="Y150" s="18">
        <v>2311</v>
      </c>
      <c r="Z150" s="18">
        <v>273499</v>
      </c>
      <c r="AA150" s="19">
        <v>813224</v>
      </c>
    </row>
    <row r="151" spans="1:27" ht="15.75" customHeight="1" x14ac:dyDescent="0.3">
      <c r="A151" s="26">
        <v>44178</v>
      </c>
      <c r="B151" s="20">
        <v>13871</v>
      </c>
      <c r="C151" s="21"/>
      <c r="D151" s="21"/>
      <c r="E151" s="25">
        <v>1</v>
      </c>
      <c r="F151" s="25">
        <v>13870</v>
      </c>
      <c r="G151" s="23">
        <v>497943</v>
      </c>
      <c r="H151" s="21"/>
      <c r="I151" s="25">
        <v>34190</v>
      </c>
      <c r="J151" s="21"/>
      <c r="K151" s="25">
        <v>463753</v>
      </c>
      <c r="L151" s="23">
        <v>3521</v>
      </c>
      <c r="M151" s="21"/>
      <c r="N151" s="25">
        <v>24</v>
      </c>
      <c r="O151" s="21"/>
      <c r="P151" s="25">
        <v>3497</v>
      </c>
      <c r="Q151" s="23">
        <v>5336</v>
      </c>
      <c r="R151" s="25">
        <v>39</v>
      </c>
      <c r="S151" s="21"/>
      <c r="T151" s="25">
        <v>4640</v>
      </c>
      <c r="U151" s="25">
        <v>657</v>
      </c>
      <c r="V151" s="23">
        <v>296265</v>
      </c>
      <c r="W151" s="25">
        <v>902</v>
      </c>
      <c r="X151" s="25">
        <v>18513</v>
      </c>
      <c r="Y151" s="25">
        <v>2311</v>
      </c>
      <c r="Z151" s="25">
        <v>274539</v>
      </c>
      <c r="AA151" s="24">
        <v>816936</v>
      </c>
    </row>
    <row r="152" spans="1:27" ht="13.2" x14ac:dyDescent="0.25">
      <c r="A152" s="16">
        <v>44179</v>
      </c>
      <c r="B152" s="17">
        <v>14081</v>
      </c>
      <c r="E152" s="18">
        <v>1</v>
      </c>
      <c r="F152" s="18">
        <v>14080</v>
      </c>
      <c r="G152" s="17">
        <v>501458</v>
      </c>
      <c r="I152" s="18">
        <v>32337</v>
      </c>
      <c r="K152" s="18">
        <v>469121</v>
      </c>
      <c r="L152" s="17">
        <v>3527</v>
      </c>
      <c r="N152" s="18">
        <v>28</v>
      </c>
      <c r="P152" s="18">
        <v>3499</v>
      </c>
      <c r="Q152" s="17">
        <v>5809</v>
      </c>
      <c r="R152" s="18">
        <v>37</v>
      </c>
      <c r="T152" s="18">
        <v>5109</v>
      </c>
      <c r="U152" s="18">
        <v>663</v>
      </c>
      <c r="V152" s="17">
        <v>298338</v>
      </c>
      <c r="W152" s="18">
        <v>891</v>
      </c>
      <c r="X152" s="18">
        <v>17164</v>
      </c>
      <c r="Y152" s="18">
        <v>2311</v>
      </c>
      <c r="Z152" s="18">
        <v>277972</v>
      </c>
      <c r="AA152" s="19">
        <v>823213</v>
      </c>
    </row>
    <row r="153" spans="1:27" ht="13.2" x14ac:dyDescent="0.25">
      <c r="A153" s="16">
        <v>44180</v>
      </c>
      <c r="B153" s="17">
        <v>14130</v>
      </c>
      <c r="E153" s="18">
        <v>1</v>
      </c>
      <c r="F153" s="18">
        <v>14129</v>
      </c>
      <c r="G153" s="17">
        <v>504695</v>
      </c>
      <c r="I153" s="18">
        <v>30182</v>
      </c>
      <c r="K153" s="18">
        <v>474513</v>
      </c>
      <c r="L153" s="17">
        <v>3529</v>
      </c>
      <c r="N153" s="18">
        <v>23</v>
      </c>
      <c r="P153" s="18">
        <v>3506</v>
      </c>
      <c r="Q153" s="17">
        <v>5813</v>
      </c>
      <c r="R153" s="18">
        <v>37</v>
      </c>
      <c r="T153" s="18">
        <v>5109</v>
      </c>
      <c r="U153" s="18">
        <v>667</v>
      </c>
      <c r="V153" s="17">
        <v>299705</v>
      </c>
      <c r="W153" s="18">
        <v>993</v>
      </c>
      <c r="X153" s="18">
        <v>15244</v>
      </c>
      <c r="Y153" s="18">
        <v>2311</v>
      </c>
      <c r="Z153" s="18">
        <v>281157</v>
      </c>
      <c r="AA153" s="19">
        <v>827872</v>
      </c>
    </row>
    <row r="154" spans="1:27" ht="13.2" x14ac:dyDescent="0.25">
      <c r="A154" s="16">
        <v>44181</v>
      </c>
      <c r="B154" s="17">
        <v>14189</v>
      </c>
      <c r="E154" s="18">
        <v>1</v>
      </c>
      <c r="F154" s="18">
        <v>14188</v>
      </c>
      <c r="G154" s="17">
        <v>510306</v>
      </c>
      <c r="I154" s="18">
        <v>29550</v>
      </c>
      <c r="K154" s="18">
        <v>480756</v>
      </c>
      <c r="L154" s="17">
        <v>3529</v>
      </c>
      <c r="N154" s="18">
        <v>22</v>
      </c>
      <c r="P154" s="18">
        <v>3507</v>
      </c>
      <c r="Q154" s="17">
        <v>5814</v>
      </c>
      <c r="R154" s="18">
        <v>36</v>
      </c>
      <c r="T154" s="18">
        <v>5109</v>
      </c>
      <c r="U154" s="18">
        <v>669</v>
      </c>
      <c r="V154" s="17">
        <v>302401</v>
      </c>
      <c r="W154" s="18">
        <v>1110</v>
      </c>
      <c r="X154" s="18">
        <v>14636</v>
      </c>
      <c r="Y154" s="18">
        <v>2311</v>
      </c>
      <c r="Z154" s="18">
        <v>284344</v>
      </c>
      <c r="AA154" s="19">
        <v>836239</v>
      </c>
    </row>
    <row r="155" spans="1:27" ht="13.2" x14ac:dyDescent="0.25">
      <c r="A155" s="26">
        <v>44182</v>
      </c>
      <c r="B155" s="17">
        <v>14231</v>
      </c>
      <c r="E155" s="18">
        <v>1</v>
      </c>
      <c r="F155" s="18">
        <v>14230</v>
      </c>
      <c r="G155" s="17">
        <v>516263</v>
      </c>
      <c r="I155" s="18">
        <v>29438</v>
      </c>
      <c r="K155" s="18">
        <v>486825</v>
      </c>
      <c r="L155" s="17">
        <v>3531</v>
      </c>
      <c r="N155" s="18">
        <v>23</v>
      </c>
      <c r="P155" s="18">
        <v>3508</v>
      </c>
      <c r="Q155" s="17">
        <v>6041</v>
      </c>
      <c r="R155" s="18">
        <v>39</v>
      </c>
      <c r="T155" s="18">
        <v>5332</v>
      </c>
      <c r="U155" s="18">
        <v>670</v>
      </c>
      <c r="V155" s="17">
        <v>306024</v>
      </c>
      <c r="W155" s="18">
        <v>1251</v>
      </c>
      <c r="X155" s="18">
        <v>15117</v>
      </c>
      <c r="Y155" s="18">
        <v>2311</v>
      </c>
      <c r="Z155" s="18">
        <v>287345</v>
      </c>
      <c r="AA155" s="19">
        <v>846090</v>
      </c>
    </row>
    <row r="156" spans="1:27" ht="13.2" x14ac:dyDescent="0.25">
      <c r="A156" s="26">
        <v>44183</v>
      </c>
      <c r="B156" s="17">
        <v>14252</v>
      </c>
      <c r="E156" s="18">
        <v>1</v>
      </c>
      <c r="F156" s="18">
        <v>14251</v>
      </c>
      <c r="G156" s="17">
        <v>522934</v>
      </c>
      <c r="I156" s="18">
        <v>30159</v>
      </c>
      <c r="K156" s="18">
        <v>492775</v>
      </c>
      <c r="L156" s="17">
        <v>3538</v>
      </c>
      <c r="N156" s="18">
        <v>23</v>
      </c>
      <c r="P156" s="18">
        <v>3515</v>
      </c>
      <c r="Q156" s="17">
        <v>6045</v>
      </c>
      <c r="R156" s="18">
        <v>37</v>
      </c>
      <c r="T156" s="18">
        <v>5332</v>
      </c>
      <c r="U156" s="18">
        <v>676</v>
      </c>
      <c r="V156" s="17">
        <v>309437</v>
      </c>
      <c r="W156" s="18">
        <v>1276</v>
      </c>
      <c r="X156" s="18">
        <v>15751</v>
      </c>
      <c r="Y156" s="18">
        <v>2311</v>
      </c>
      <c r="Z156" s="18">
        <v>290099</v>
      </c>
      <c r="AA156" s="19">
        <v>856206</v>
      </c>
    </row>
    <row r="157" spans="1:27" ht="13.2" x14ac:dyDescent="0.25">
      <c r="A157" s="16">
        <v>44184</v>
      </c>
      <c r="B157" s="17">
        <v>14388</v>
      </c>
      <c r="E157" s="18">
        <v>1</v>
      </c>
      <c r="F157" s="18">
        <v>14387</v>
      </c>
      <c r="G157" s="17">
        <v>527685</v>
      </c>
      <c r="I157" s="18">
        <v>31876</v>
      </c>
      <c r="K157" s="18">
        <v>495809</v>
      </c>
      <c r="L157" s="17">
        <v>3553</v>
      </c>
      <c r="N157" s="18">
        <v>27</v>
      </c>
      <c r="P157" s="18">
        <v>3526</v>
      </c>
      <c r="Q157" s="17">
        <v>6049</v>
      </c>
      <c r="R157" s="18">
        <v>41</v>
      </c>
      <c r="T157" s="18">
        <v>5332</v>
      </c>
      <c r="U157" s="18">
        <v>676</v>
      </c>
      <c r="V157" s="17">
        <v>312519</v>
      </c>
      <c r="W157" s="18">
        <v>1321</v>
      </c>
      <c r="X157" s="18">
        <v>17727</v>
      </c>
      <c r="Y157" s="18">
        <v>2311</v>
      </c>
      <c r="Z157" s="18">
        <v>291160</v>
      </c>
      <c r="AA157" s="19">
        <v>864194</v>
      </c>
    </row>
    <row r="158" spans="1:27" ht="13.2" x14ac:dyDescent="0.25">
      <c r="A158" s="16">
        <v>44185</v>
      </c>
      <c r="B158" s="17">
        <v>14506</v>
      </c>
      <c r="E158" s="18">
        <v>1</v>
      </c>
      <c r="F158" s="18">
        <v>14505</v>
      </c>
      <c r="G158" s="17">
        <v>533131</v>
      </c>
      <c r="I158" s="18">
        <v>35407</v>
      </c>
      <c r="K158" s="18">
        <v>497724</v>
      </c>
      <c r="L158" s="17">
        <v>3556</v>
      </c>
      <c r="N158" s="18">
        <v>30</v>
      </c>
      <c r="P158" s="18">
        <v>3526</v>
      </c>
      <c r="Q158" s="17">
        <v>6051</v>
      </c>
      <c r="R158" s="18">
        <v>42</v>
      </c>
      <c r="T158" s="18">
        <v>5332</v>
      </c>
      <c r="U158" s="18">
        <v>677</v>
      </c>
      <c r="V158" s="17">
        <v>315903</v>
      </c>
      <c r="W158" s="18">
        <v>1334</v>
      </c>
      <c r="X158" s="18">
        <v>20467</v>
      </c>
      <c r="Y158" s="18">
        <v>2311</v>
      </c>
      <c r="Z158" s="18">
        <v>291791</v>
      </c>
      <c r="AA158" s="19">
        <v>873147</v>
      </c>
    </row>
    <row r="159" spans="1:27" ht="13.2" x14ac:dyDescent="0.25">
      <c r="A159" s="16">
        <v>44186</v>
      </c>
      <c r="B159" s="17">
        <v>14652</v>
      </c>
      <c r="E159" s="18">
        <v>1</v>
      </c>
      <c r="F159" s="18">
        <v>14651</v>
      </c>
      <c r="G159" s="17">
        <v>537156</v>
      </c>
      <c r="I159" s="18">
        <v>39432</v>
      </c>
      <c r="K159" s="18">
        <v>497724</v>
      </c>
      <c r="L159" s="17">
        <v>3558</v>
      </c>
      <c r="N159" s="18">
        <v>32</v>
      </c>
      <c r="P159" s="18">
        <v>3526</v>
      </c>
      <c r="Q159" s="17">
        <v>6054</v>
      </c>
      <c r="R159" s="18">
        <v>45</v>
      </c>
      <c r="T159" s="18">
        <v>5332</v>
      </c>
      <c r="U159" s="18">
        <v>677</v>
      </c>
      <c r="V159" s="17">
        <v>317697</v>
      </c>
      <c r="W159" s="18">
        <v>1350</v>
      </c>
      <c r="X159" s="18">
        <v>21711</v>
      </c>
      <c r="Y159" s="18">
        <v>2311</v>
      </c>
      <c r="Z159" s="18">
        <v>292325</v>
      </c>
      <c r="AA159" s="19">
        <v>879117</v>
      </c>
    </row>
    <row r="160" spans="1:27" ht="13.2" x14ac:dyDescent="0.25">
      <c r="A160" s="16">
        <v>44187</v>
      </c>
      <c r="B160" s="17">
        <v>14681</v>
      </c>
      <c r="E160" s="18">
        <v>1</v>
      </c>
      <c r="F160" s="18">
        <v>14680</v>
      </c>
      <c r="G160" s="17">
        <v>540466</v>
      </c>
      <c r="I160" s="18">
        <v>34408</v>
      </c>
      <c r="K160" s="18">
        <v>506058</v>
      </c>
      <c r="L160" s="17">
        <v>3558</v>
      </c>
      <c r="N160" s="18">
        <v>25</v>
      </c>
      <c r="P160" s="18">
        <v>3533</v>
      </c>
      <c r="Q160" s="17">
        <v>6054</v>
      </c>
      <c r="R160" s="18">
        <v>38</v>
      </c>
      <c r="T160" s="18">
        <v>5332</v>
      </c>
      <c r="U160" s="18">
        <v>684</v>
      </c>
      <c r="V160" s="17">
        <v>319317</v>
      </c>
      <c r="W160" s="18">
        <v>1349</v>
      </c>
      <c r="X160" s="18">
        <v>18663</v>
      </c>
      <c r="Y160" s="18">
        <v>2311</v>
      </c>
      <c r="Z160" s="18">
        <v>296994</v>
      </c>
      <c r="AA160" s="19">
        <v>884076</v>
      </c>
    </row>
    <row r="161" spans="1:27" ht="13.2" x14ac:dyDescent="0.25">
      <c r="A161" s="16">
        <v>44188</v>
      </c>
      <c r="B161" s="17">
        <v>14856</v>
      </c>
      <c r="E161" s="18">
        <v>1</v>
      </c>
      <c r="F161" s="18">
        <v>14855</v>
      </c>
      <c r="G161" s="17">
        <v>542373</v>
      </c>
      <c r="I161" s="18">
        <v>35374</v>
      </c>
      <c r="K161" s="18">
        <v>506999</v>
      </c>
      <c r="L161" s="17">
        <v>3565</v>
      </c>
      <c r="N161" s="18">
        <v>30</v>
      </c>
      <c r="P161" s="18">
        <v>3535</v>
      </c>
      <c r="Q161" s="17">
        <v>6064</v>
      </c>
      <c r="R161" s="18">
        <v>44</v>
      </c>
      <c r="T161" s="18">
        <v>5332</v>
      </c>
      <c r="U161" s="18">
        <v>688</v>
      </c>
      <c r="V161" s="17">
        <v>320898</v>
      </c>
      <c r="W161" s="18">
        <v>1442</v>
      </c>
      <c r="X161" s="18">
        <v>19419</v>
      </c>
      <c r="Y161" s="18">
        <v>2311</v>
      </c>
      <c r="Z161" s="18">
        <v>297726</v>
      </c>
      <c r="AA161" s="19">
        <v>887756</v>
      </c>
    </row>
    <row r="162" spans="1:27" ht="13.2" x14ac:dyDescent="0.25">
      <c r="A162" s="16">
        <v>44189</v>
      </c>
      <c r="B162" s="17">
        <v>14943</v>
      </c>
      <c r="E162" s="18">
        <v>1</v>
      </c>
      <c r="F162" s="18">
        <v>14942</v>
      </c>
      <c r="G162" s="17">
        <v>544030</v>
      </c>
      <c r="I162" s="18">
        <v>32453</v>
      </c>
      <c r="K162" s="18">
        <v>511577</v>
      </c>
      <c r="L162" s="17">
        <v>3566</v>
      </c>
      <c r="N162" s="18">
        <v>30</v>
      </c>
      <c r="P162" s="18">
        <v>3536</v>
      </c>
      <c r="Q162" s="17">
        <v>6077</v>
      </c>
      <c r="R162" s="18">
        <v>38</v>
      </c>
      <c r="T162" s="18">
        <v>5332</v>
      </c>
      <c r="U162" s="18">
        <v>707</v>
      </c>
      <c r="V162" s="17">
        <v>322266</v>
      </c>
      <c r="W162" s="18">
        <v>1324</v>
      </c>
      <c r="X162" s="18">
        <v>18230</v>
      </c>
      <c r="Y162" s="18">
        <v>2311</v>
      </c>
      <c r="Z162" s="18">
        <v>300401</v>
      </c>
      <c r="AA162" s="19">
        <v>890822</v>
      </c>
    </row>
    <row r="163" spans="1:27" ht="13.2" x14ac:dyDescent="0.25">
      <c r="A163" s="16">
        <v>44190</v>
      </c>
      <c r="B163" s="17">
        <v>14946</v>
      </c>
      <c r="E163" s="18">
        <v>1</v>
      </c>
      <c r="F163" s="18">
        <v>14945</v>
      </c>
      <c r="G163" s="17">
        <v>550198</v>
      </c>
      <c r="I163" s="18">
        <v>32693</v>
      </c>
      <c r="K163" s="18">
        <v>517505</v>
      </c>
      <c r="L163" s="17">
        <v>3571</v>
      </c>
      <c r="N163" s="18">
        <v>30</v>
      </c>
      <c r="P163" s="18">
        <v>3541</v>
      </c>
      <c r="Q163" s="17">
        <v>6093</v>
      </c>
      <c r="R163" s="18">
        <v>38</v>
      </c>
      <c r="T163" s="18">
        <v>5333</v>
      </c>
      <c r="U163" s="18">
        <v>722</v>
      </c>
      <c r="V163" s="17">
        <v>325709</v>
      </c>
      <c r="W163" s="18">
        <v>1003</v>
      </c>
      <c r="X163" s="18">
        <v>19001</v>
      </c>
      <c r="Y163" s="18">
        <v>2311</v>
      </c>
      <c r="Z163" s="18">
        <v>303394</v>
      </c>
      <c r="AA163" s="27">
        <f>B163+G163+L163+Q163+V163</f>
        <v>900517</v>
      </c>
    </row>
    <row r="164" spans="1:27" ht="13.2" x14ac:dyDescent="0.25">
      <c r="A164" s="16">
        <v>44191</v>
      </c>
      <c r="B164" s="17">
        <v>15002</v>
      </c>
      <c r="E164" s="18">
        <v>1</v>
      </c>
      <c r="F164" s="18">
        <v>15001</v>
      </c>
      <c r="G164" s="17">
        <v>555803</v>
      </c>
      <c r="I164" s="18">
        <v>34927</v>
      </c>
      <c r="K164" s="18">
        <v>520876</v>
      </c>
      <c r="L164" s="17">
        <v>3574</v>
      </c>
      <c r="N164" s="18">
        <v>33</v>
      </c>
      <c r="P164" s="18">
        <v>3541</v>
      </c>
      <c r="Q164" s="17">
        <v>6104</v>
      </c>
      <c r="R164" s="18">
        <v>39</v>
      </c>
      <c r="T164" s="18">
        <v>5333</v>
      </c>
      <c r="U164" s="18">
        <v>732</v>
      </c>
      <c r="V164" s="17">
        <v>328991</v>
      </c>
      <c r="W164" s="18">
        <v>717</v>
      </c>
      <c r="X164" s="18">
        <v>20999</v>
      </c>
      <c r="Y164" s="18">
        <v>2311</v>
      </c>
      <c r="Z164" s="18">
        <v>304964</v>
      </c>
      <c r="AA164" s="19">
        <v>909474</v>
      </c>
    </row>
    <row r="165" spans="1:27" ht="13.2" x14ac:dyDescent="0.25">
      <c r="A165" s="16">
        <v>44192</v>
      </c>
      <c r="B165" s="17">
        <v>15021</v>
      </c>
      <c r="E165" s="18">
        <v>1</v>
      </c>
      <c r="F165" s="18">
        <v>15020</v>
      </c>
      <c r="G165" s="17">
        <v>559477</v>
      </c>
      <c r="I165" s="18">
        <v>37111</v>
      </c>
      <c r="K165" s="18">
        <v>522366</v>
      </c>
      <c r="L165" s="17">
        <v>3577</v>
      </c>
      <c r="N165" s="18">
        <v>36</v>
      </c>
      <c r="P165" s="18">
        <v>3541</v>
      </c>
      <c r="Q165" s="17">
        <v>6109</v>
      </c>
      <c r="R165" s="18">
        <v>37</v>
      </c>
      <c r="T165" s="18">
        <v>5333</v>
      </c>
      <c r="U165" s="18">
        <v>739</v>
      </c>
      <c r="V165" s="17">
        <v>330758</v>
      </c>
      <c r="W165" s="18">
        <v>635</v>
      </c>
      <c r="X165" s="18">
        <v>20333</v>
      </c>
      <c r="Y165" s="18">
        <v>2311</v>
      </c>
      <c r="Z165" s="18">
        <v>307479</v>
      </c>
      <c r="AA165" s="19">
        <v>914942</v>
      </c>
    </row>
    <row r="166" spans="1:27" ht="13.2" x14ac:dyDescent="0.25">
      <c r="A166" s="16">
        <v>44193</v>
      </c>
      <c r="B166" s="17">
        <v>15186</v>
      </c>
      <c r="E166" s="18">
        <v>1</v>
      </c>
      <c r="F166" s="18">
        <v>15185</v>
      </c>
      <c r="G166" s="17">
        <v>561956</v>
      </c>
      <c r="I166" s="18">
        <v>32883</v>
      </c>
      <c r="K166" s="18">
        <v>529073</v>
      </c>
      <c r="L166" s="17">
        <v>3583</v>
      </c>
      <c r="N166" s="18">
        <v>35</v>
      </c>
      <c r="P166" s="18">
        <v>3548</v>
      </c>
      <c r="Q166" s="17">
        <v>6116</v>
      </c>
      <c r="R166" s="18">
        <v>40</v>
      </c>
      <c r="T166" s="18">
        <v>5333</v>
      </c>
      <c r="U166" s="18">
        <v>743</v>
      </c>
      <c r="V166" s="17">
        <v>332280</v>
      </c>
      <c r="W166" s="18">
        <v>740</v>
      </c>
      <c r="X166" s="18">
        <v>18704</v>
      </c>
      <c r="Y166" s="18">
        <v>2311</v>
      </c>
      <c r="Z166" s="18">
        <v>310525</v>
      </c>
      <c r="AA166" s="19">
        <v>919121</v>
      </c>
    </row>
    <row r="167" spans="1:27" ht="13.2" x14ac:dyDescent="0.25">
      <c r="A167" s="16">
        <v>44194</v>
      </c>
      <c r="B167" s="17">
        <v>15199</v>
      </c>
      <c r="E167" s="18">
        <v>1</v>
      </c>
      <c r="F167" s="18">
        <v>15198</v>
      </c>
      <c r="G167" s="17">
        <v>565132</v>
      </c>
      <c r="I167" s="18">
        <v>31403</v>
      </c>
      <c r="K167" s="18">
        <v>533729</v>
      </c>
      <c r="L167" s="17">
        <v>3583</v>
      </c>
      <c r="N167" s="18">
        <v>34</v>
      </c>
      <c r="P167" s="18">
        <v>3549</v>
      </c>
      <c r="Q167" s="17">
        <v>6122</v>
      </c>
      <c r="R167" s="18">
        <v>36</v>
      </c>
      <c r="T167" s="18">
        <v>5333</v>
      </c>
      <c r="U167" s="18">
        <v>753</v>
      </c>
      <c r="V167" s="17">
        <v>333547</v>
      </c>
      <c r="W167" s="18">
        <v>1040</v>
      </c>
      <c r="X167" s="18">
        <v>16967</v>
      </c>
      <c r="Y167" s="18">
        <v>2311</v>
      </c>
      <c r="Z167" s="18">
        <v>313229</v>
      </c>
      <c r="AA167" s="19">
        <v>923583</v>
      </c>
    </row>
    <row r="168" spans="1:27" ht="13.2" x14ac:dyDescent="0.25">
      <c r="A168" s="16">
        <v>44195</v>
      </c>
      <c r="B168" s="17">
        <v>15286</v>
      </c>
      <c r="E168" s="18">
        <v>1</v>
      </c>
      <c r="F168" s="18">
        <v>15285</v>
      </c>
      <c r="G168" s="17">
        <v>570443</v>
      </c>
      <c r="I168" s="18">
        <v>31810</v>
      </c>
      <c r="K168" s="18">
        <v>538633</v>
      </c>
      <c r="L168" s="17">
        <v>3586</v>
      </c>
      <c r="N168" s="18">
        <v>29</v>
      </c>
      <c r="P168" s="18">
        <v>3557</v>
      </c>
      <c r="Q168" s="17">
        <v>6141</v>
      </c>
      <c r="R168" s="18">
        <v>44</v>
      </c>
      <c r="T168" s="18">
        <v>5333</v>
      </c>
      <c r="U168" s="18">
        <v>764</v>
      </c>
      <c r="V168" s="17">
        <v>336838</v>
      </c>
      <c r="W168" s="18">
        <v>1211</v>
      </c>
      <c r="X168" s="18">
        <v>16595</v>
      </c>
      <c r="Y168" s="18">
        <v>2311</v>
      </c>
      <c r="Z168" s="18">
        <v>316721</v>
      </c>
      <c r="AA168" s="19">
        <v>932294</v>
      </c>
    </row>
    <row r="169" spans="1:27" ht="13.2" x14ac:dyDescent="0.25">
      <c r="A169" s="16">
        <v>44196</v>
      </c>
      <c r="B169" s="17">
        <v>15428</v>
      </c>
      <c r="E169" s="18">
        <v>1</v>
      </c>
      <c r="F169" s="18">
        <v>15427</v>
      </c>
      <c r="G169" s="17">
        <v>572388</v>
      </c>
      <c r="I169" s="18">
        <v>30195</v>
      </c>
      <c r="K169" s="18">
        <v>542193</v>
      </c>
      <c r="L169" s="17">
        <v>3590</v>
      </c>
      <c r="N169" s="18">
        <v>30</v>
      </c>
      <c r="P169" s="18">
        <v>3560</v>
      </c>
      <c r="Q169" s="17">
        <v>6169</v>
      </c>
      <c r="R169" s="18">
        <v>48</v>
      </c>
      <c r="T169" s="18">
        <v>5333</v>
      </c>
      <c r="U169" s="18">
        <v>788</v>
      </c>
      <c r="V169" s="17">
        <v>338740</v>
      </c>
      <c r="W169" s="18">
        <v>1202</v>
      </c>
      <c r="X169" s="18">
        <v>16358</v>
      </c>
      <c r="Y169" s="18">
        <v>2311</v>
      </c>
      <c r="Z169" s="18">
        <v>318869</v>
      </c>
      <c r="AA169" s="19">
        <v>936315</v>
      </c>
    </row>
    <row r="170" spans="1:27" ht="13.2" x14ac:dyDescent="0.25">
      <c r="A170" s="16">
        <v>44197</v>
      </c>
      <c r="B170" s="17">
        <v>15498</v>
      </c>
      <c r="E170" s="18">
        <v>1</v>
      </c>
      <c r="F170" s="18">
        <v>15497</v>
      </c>
      <c r="G170" s="17">
        <v>578649</v>
      </c>
      <c r="I170" s="18">
        <v>32408</v>
      </c>
      <c r="K170" s="18">
        <v>546241</v>
      </c>
      <c r="L170" s="17">
        <v>3598</v>
      </c>
      <c r="N170" s="18">
        <v>31</v>
      </c>
      <c r="P170" s="18">
        <v>3567</v>
      </c>
      <c r="Q170" s="17">
        <v>6185</v>
      </c>
      <c r="R170" s="18">
        <v>48</v>
      </c>
      <c r="T170" s="18">
        <v>5333</v>
      </c>
      <c r="U170" s="18">
        <v>804</v>
      </c>
      <c r="V170" s="17">
        <v>342460</v>
      </c>
      <c r="W170" s="18">
        <v>1220</v>
      </c>
      <c r="X170" s="18">
        <v>17844</v>
      </c>
      <c r="Y170" s="18">
        <v>2311</v>
      </c>
      <c r="Z170" s="18">
        <v>321085</v>
      </c>
      <c r="AA170" s="19">
        <v>946390</v>
      </c>
    </row>
    <row r="171" spans="1:27" ht="13.2" x14ac:dyDescent="0.25">
      <c r="A171" s="16">
        <v>44198</v>
      </c>
      <c r="B171" s="17">
        <v>15526</v>
      </c>
      <c r="E171" s="18">
        <v>1</v>
      </c>
      <c r="F171" s="18">
        <v>15525</v>
      </c>
      <c r="G171" s="17">
        <v>582349</v>
      </c>
      <c r="I171" s="18">
        <v>33931</v>
      </c>
      <c r="K171" s="18">
        <v>548418</v>
      </c>
      <c r="L171" s="17">
        <v>3600</v>
      </c>
      <c r="N171" s="18">
        <v>32</v>
      </c>
      <c r="P171" s="18">
        <v>3568</v>
      </c>
      <c r="Q171" s="17">
        <v>6194</v>
      </c>
      <c r="R171" s="18">
        <v>51</v>
      </c>
      <c r="T171" s="18">
        <v>5333</v>
      </c>
      <c r="U171" s="18">
        <v>810</v>
      </c>
      <c r="V171" s="17">
        <v>345087</v>
      </c>
      <c r="W171" s="18">
        <v>1267</v>
      </c>
      <c r="X171" s="18">
        <v>19535</v>
      </c>
      <c r="Y171" s="18">
        <v>2311</v>
      </c>
      <c r="Z171" s="18">
        <v>321974</v>
      </c>
      <c r="AA171" s="19">
        <v>952756</v>
      </c>
    </row>
    <row r="172" spans="1:27" ht="13.2" x14ac:dyDescent="0.25">
      <c r="A172" s="16">
        <v>44199</v>
      </c>
      <c r="B172" s="17">
        <v>15580</v>
      </c>
      <c r="E172" s="18">
        <v>1</v>
      </c>
      <c r="F172" s="18">
        <v>15579</v>
      </c>
      <c r="G172" s="17">
        <v>584419</v>
      </c>
      <c r="I172" s="18">
        <v>35270</v>
      </c>
      <c r="K172" s="18">
        <v>549149</v>
      </c>
      <c r="L172" s="17">
        <v>3604</v>
      </c>
      <c r="N172" s="18">
        <v>32</v>
      </c>
      <c r="P172" s="18">
        <v>3572</v>
      </c>
      <c r="Q172" s="17">
        <v>6210</v>
      </c>
      <c r="R172" s="18">
        <v>55</v>
      </c>
      <c r="T172" s="18">
        <v>5333</v>
      </c>
      <c r="U172" s="18">
        <v>823</v>
      </c>
      <c r="V172" s="17">
        <v>346196</v>
      </c>
      <c r="W172" s="18">
        <v>1224</v>
      </c>
      <c r="X172" s="18">
        <v>20153</v>
      </c>
      <c r="Y172" s="18">
        <v>2311</v>
      </c>
      <c r="Z172" s="18">
        <v>322508</v>
      </c>
      <c r="AA172" s="19">
        <v>956009</v>
      </c>
    </row>
    <row r="173" spans="1:27" ht="13.2" x14ac:dyDescent="0.25">
      <c r="A173" s="16">
        <v>44200</v>
      </c>
      <c r="B173" s="17">
        <v>15651</v>
      </c>
      <c r="E173" s="18">
        <v>1</v>
      </c>
      <c r="F173" s="18">
        <v>15650</v>
      </c>
      <c r="G173" s="17">
        <v>585444</v>
      </c>
      <c r="I173" s="18">
        <v>32375</v>
      </c>
      <c r="K173" s="18">
        <v>553069</v>
      </c>
      <c r="L173" s="17">
        <v>3607</v>
      </c>
      <c r="N173" s="18">
        <v>28</v>
      </c>
      <c r="P173" s="18">
        <v>3579</v>
      </c>
      <c r="Q173" s="17">
        <v>6214</v>
      </c>
      <c r="R173" s="18">
        <v>53</v>
      </c>
      <c r="T173" s="18">
        <v>5333</v>
      </c>
      <c r="U173" s="18">
        <v>828</v>
      </c>
      <c r="V173" s="17">
        <v>346679</v>
      </c>
      <c r="W173" s="18">
        <v>1176</v>
      </c>
      <c r="X173" s="18">
        <v>18054</v>
      </c>
      <c r="Y173" s="18">
        <v>2311</v>
      </c>
      <c r="Z173" s="18">
        <v>325138</v>
      </c>
      <c r="AA173" s="19">
        <v>957595</v>
      </c>
    </row>
    <row r="174" spans="1:27" ht="13.2" x14ac:dyDescent="0.25">
      <c r="A174" s="16">
        <v>44201</v>
      </c>
      <c r="B174" s="17">
        <v>15651</v>
      </c>
      <c r="E174" s="18">
        <v>1</v>
      </c>
      <c r="F174" s="18">
        <v>15650</v>
      </c>
      <c r="G174" s="17">
        <v>588626</v>
      </c>
      <c r="I174" s="18">
        <v>30688</v>
      </c>
      <c r="K174" s="18">
        <v>557938</v>
      </c>
      <c r="L174" s="17">
        <v>3608</v>
      </c>
      <c r="N174" s="18">
        <v>24</v>
      </c>
      <c r="P174" s="18">
        <v>3584</v>
      </c>
      <c r="Q174" s="17">
        <v>6214</v>
      </c>
      <c r="R174" s="18">
        <v>51</v>
      </c>
      <c r="T174" s="18">
        <v>5333</v>
      </c>
      <c r="U174" s="18">
        <v>830</v>
      </c>
      <c r="V174" s="17">
        <v>348165</v>
      </c>
      <c r="W174" s="18">
        <v>1082</v>
      </c>
      <c r="X174" s="18">
        <v>16966</v>
      </c>
      <c r="Y174" s="18">
        <v>2311</v>
      </c>
      <c r="Z174" s="18">
        <v>327806</v>
      </c>
      <c r="AA174" s="19">
        <v>962264</v>
      </c>
    </row>
    <row r="175" spans="1:27" ht="13.2" x14ac:dyDescent="0.25">
      <c r="A175" s="16">
        <v>44202</v>
      </c>
      <c r="B175" s="17">
        <v>15704</v>
      </c>
      <c r="E175" s="18">
        <v>1</v>
      </c>
      <c r="F175" s="18">
        <v>15703</v>
      </c>
      <c r="G175" s="17">
        <v>591171</v>
      </c>
      <c r="I175" s="18">
        <v>28155</v>
      </c>
      <c r="K175" s="18">
        <v>563016</v>
      </c>
      <c r="L175" s="17">
        <v>3619</v>
      </c>
      <c r="N175" s="18">
        <v>25</v>
      </c>
      <c r="P175" s="18">
        <v>3594</v>
      </c>
      <c r="Q175" s="17">
        <v>6229</v>
      </c>
      <c r="R175" s="18">
        <v>53</v>
      </c>
      <c r="T175" s="18">
        <v>5333</v>
      </c>
      <c r="U175" s="18">
        <v>843</v>
      </c>
      <c r="V175" s="17">
        <v>349743</v>
      </c>
      <c r="W175" s="18">
        <v>899</v>
      </c>
      <c r="X175" s="18">
        <v>16233</v>
      </c>
      <c r="Y175" s="18">
        <v>2311</v>
      </c>
      <c r="Z175" s="18">
        <v>330300</v>
      </c>
      <c r="AA175" s="19">
        <v>966466</v>
      </c>
    </row>
    <row r="176" spans="1:27" ht="13.2" x14ac:dyDescent="0.25">
      <c r="A176" s="16">
        <v>44203</v>
      </c>
      <c r="B176" s="17">
        <v>15706</v>
      </c>
      <c r="E176" s="18">
        <v>1</v>
      </c>
      <c r="F176" s="18">
        <v>15705</v>
      </c>
      <c r="G176" s="17">
        <v>593604</v>
      </c>
      <c r="I176" s="18">
        <v>27635</v>
      </c>
      <c r="K176" s="18">
        <v>565969</v>
      </c>
      <c r="L176" s="17">
        <v>3633</v>
      </c>
      <c r="N176" s="18">
        <v>30</v>
      </c>
      <c r="P176" s="18">
        <v>3603</v>
      </c>
      <c r="Q176" s="17">
        <v>6252</v>
      </c>
      <c r="R176" s="18">
        <v>56</v>
      </c>
      <c r="T176" s="18">
        <v>5333</v>
      </c>
      <c r="U176" s="18">
        <v>863</v>
      </c>
      <c r="V176" s="17">
        <v>351166</v>
      </c>
      <c r="W176" s="18">
        <v>758</v>
      </c>
      <c r="X176" s="18">
        <v>16009</v>
      </c>
      <c r="Y176" s="18">
        <v>2311</v>
      </c>
      <c r="Z176" s="18">
        <v>332088</v>
      </c>
      <c r="AA176" s="27">
        <f>V176+Q176+L176+G176+B176</f>
        <v>970361</v>
      </c>
    </row>
    <row r="177" spans="1:27" ht="13.2" x14ac:dyDescent="0.25">
      <c r="A177" s="16">
        <v>44204</v>
      </c>
      <c r="B177" s="17">
        <v>15722</v>
      </c>
      <c r="E177" s="18">
        <v>1</v>
      </c>
      <c r="F177" s="18">
        <v>15721</v>
      </c>
      <c r="G177" s="17">
        <v>595805</v>
      </c>
      <c r="I177" s="18">
        <v>28557</v>
      </c>
      <c r="K177" s="18">
        <v>567248</v>
      </c>
      <c r="L177" s="17">
        <v>3651</v>
      </c>
      <c r="N177" s="18">
        <v>35</v>
      </c>
      <c r="P177" s="18">
        <v>3616</v>
      </c>
      <c r="Q177" s="17">
        <v>6318</v>
      </c>
      <c r="R177" s="18">
        <v>69</v>
      </c>
      <c r="T177" s="18">
        <v>5333</v>
      </c>
      <c r="U177" s="18">
        <v>916</v>
      </c>
      <c r="V177" s="17">
        <v>352651</v>
      </c>
      <c r="W177" s="18">
        <v>688</v>
      </c>
      <c r="X177" s="18">
        <v>16727</v>
      </c>
      <c r="Y177" s="18">
        <v>2311</v>
      </c>
      <c r="Z177" s="18">
        <v>332925</v>
      </c>
      <c r="AA177" s="19">
        <v>974147</v>
      </c>
    </row>
    <row r="178" spans="1:27" ht="13.2" x14ac:dyDescent="0.25">
      <c r="A178" s="16">
        <v>44205</v>
      </c>
      <c r="B178" s="17">
        <v>15741</v>
      </c>
      <c r="E178" s="18">
        <v>1</v>
      </c>
      <c r="F178" s="18">
        <v>15740</v>
      </c>
      <c r="G178" s="17">
        <v>597337</v>
      </c>
      <c r="I178" s="18">
        <v>27496</v>
      </c>
      <c r="K178" s="18">
        <v>569841</v>
      </c>
      <c r="L178" s="17">
        <v>3663</v>
      </c>
      <c r="N178" s="18">
        <v>38</v>
      </c>
      <c r="P178" s="18">
        <v>3625</v>
      </c>
      <c r="Q178" s="17">
        <v>6354</v>
      </c>
      <c r="R178" s="18">
        <v>101</v>
      </c>
      <c r="T178" s="18">
        <v>5333</v>
      </c>
      <c r="U178" s="18">
        <v>920</v>
      </c>
      <c r="V178" s="17">
        <v>353971</v>
      </c>
      <c r="W178" s="18">
        <v>1749</v>
      </c>
      <c r="X178" s="18">
        <v>15688</v>
      </c>
      <c r="Y178" s="18">
        <v>2311</v>
      </c>
      <c r="Z178" s="18">
        <v>334223</v>
      </c>
      <c r="AA178" s="19">
        <v>977066</v>
      </c>
    </row>
    <row r="179" spans="1:27" ht="13.2" x14ac:dyDescent="0.25">
      <c r="A179" s="16">
        <v>44206</v>
      </c>
      <c r="B179" s="17">
        <v>15750</v>
      </c>
      <c r="E179" s="18">
        <v>1</v>
      </c>
      <c r="F179" s="18">
        <v>15749</v>
      </c>
      <c r="G179" s="17">
        <v>599404</v>
      </c>
      <c r="I179" s="18">
        <v>28027</v>
      </c>
      <c r="K179" s="18">
        <v>571377</v>
      </c>
      <c r="L179" s="17">
        <v>3676</v>
      </c>
      <c r="N179" s="18">
        <v>42</v>
      </c>
      <c r="P179" s="18">
        <v>3634</v>
      </c>
      <c r="Q179" s="17">
        <v>6362</v>
      </c>
      <c r="R179" s="18">
        <v>63</v>
      </c>
      <c r="T179" s="18">
        <v>5333</v>
      </c>
      <c r="U179" s="18">
        <v>966</v>
      </c>
      <c r="V179" s="17">
        <v>355197</v>
      </c>
      <c r="W179" s="18">
        <v>1696</v>
      </c>
      <c r="X179" s="18">
        <v>14293</v>
      </c>
      <c r="Y179" s="18">
        <v>2311</v>
      </c>
      <c r="Z179" s="18">
        <v>336897</v>
      </c>
      <c r="AA179" s="19">
        <v>980389</v>
      </c>
    </row>
    <row r="180" spans="1:27" ht="13.2" x14ac:dyDescent="0.25">
      <c r="A180" s="16">
        <v>44207</v>
      </c>
      <c r="B180" s="17">
        <v>15840</v>
      </c>
      <c r="E180" s="18">
        <v>1</v>
      </c>
      <c r="F180" s="18">
        <v>15839</v>
      </c>
      <c r="G180" s="17">
        <v>602881</v>
      </c>
      <c r="I180" s="18">
        <v>3477</v>
      </c>
      <c r="K180" s="18">
        <v>599404</v>
      </c>
      <c r="L180" s="17">
        <v>3688</v>
      </c>
      <c r="N180" s="18">
        <v>12</v>
      </c>
      <c r="P180" s="18">
        <v>3676</v>
      </c>
      <c r="Q180" s="17">
        <v>6368</v>
      </c>
      <c r="R180" s="18">
        <v>6</v>
      </c>
      <c r="T180" s="18">
        <v>5333</v>
      </c>
      <c r="U180" s="18">
        <v>1029</v>
      </c>
      <c r="V180" s="17">
        <v>357486</v>
      </c>
      <c r="W180" s="18">
        <v>37</v>
      </c>
      <c r="X180" s="18">
        <v>2252</v>
      </c>
      <c r="Y180" s="18">
        <v>2311</v>
      </c>
      <c r="Z180" s="18">
        <v>352886</v>
      </c>
      <c r="AA180" s="19">
        <v>986263</v>
      </c>
    </row>
    <row r="181" spans="1:27" ht="13.2" x14ac:dyDescent="0.25">
      <c r="A181" s="16">
        <v>44208</v>
      </c>
      <c r="B181" s="17">
        <v>15849</v>
      </c>
      <c r="E181" s="18">
        <v>1</v>
      </c>
      <c r="F181" s="18">
        <v>15488</v>
      </c>
      <c r="G181" s="17">
        <v>603216</v>
      </c>
      <c r="I181" s="18">
        <v>3037</v>
      </c>
      <c r="K181" s="18">
        <v>600179</v>
      </c>
      <c r="L181" s="17">
        <v>3691</v>
      </c>
      <c r="N181" s="18">
        <v>6</v>
      </c>
      <c r="P181" s="18">
        <v>3685</v>
      </c>
      <c r="Q181" s="17">
        <v>6395</v>
      </c>
      <c r="R181" s="18">
        <v>5</v>
      </c>
      <c r="T181" s="18">
        <v>5333</v>
      </c>
      <c r="U181" s="18">
        <v>1057</v>
      </c>
      <c r="V181" s="17">
        <v>519522</v>
      </c>
      <c r="W181" s="18">
        <v>33</v>
      </c>
      <c r="X181" s="18">
        <v>5665</v>
      </c>
      <c r="Y181" s="18">
        <v>2311</v>
      </c>
      <c r="Z181" s="18">
        <v>511513</v>
      </c>
      <c r="AA181" s="27">
        <f>SUM(V181,Q181,L181,G181,B181)</f>
        <v>1148673</v>
      </c>
    </row>
    <row r="182" spans="1:27" ht="13.2" x14ac:dyDescent="0.25">
      <c r="A182" s="16">
        <v>44209</v>
      </c>
      <c r="B182" s="17">
        <v>15929</v>
      </c>
      <c r="E182" s="18">
        <v>1</v>
      </c>
      <c r="F182" s="18">
        <v>15928</v>
      </c>
      <c r="G182" s="17">
        <v>611485</v>
      </c>
      <c r="I182" s="18">
        <v>9742</v>
      </c>
      <c r="K182" s="18">
        <v>601743</v>
      </c>
      <c r="L182" s="17">
        <v>3705</v>
      </c>
      <c r="N182" s="18">
        <v>8</v>
      </c>
      <c r="P182" s="18">
        <v>3697</v>
      </c>
      <c r="Q182" s="17">
        <v>6408</v>
      </c>
      <c r="R182" s="18">
        <v>8</v>
      </c>
      <c r="T182" s="18">
        <v>5333</v>
      </c>
      <c r="U182" s="18">
        <v>1067</v>
      </c>
      <c r="V182" s="17">
        <v>525155</v>
      </c>
      <c r="W182" s="18">
        <v>61</v>
      </c>
      <c r="X182" s="18">
        <v>10262</v>
      </c>
      <c r="Y182" s="18">
        <v>2311</v>
      </c>
      <c r="Z182" s="18">
        <v>512521</v>
      </c>
      <c r="AA182" s="19">
        <v>1162682</v>
      </c>
    </row>
    <row r="183" spans="1:27" ht="13.2" x14ac:dyDescent="0.25">
      <c r="A183" s="16">
        <v>44210</v>
      </c>
      <c r="B183" s="17">
        <v>16038</v>
      </c>
      <c r="E183" s="18">
        <v>1</v>
      </c>
      <c r="F183" s="18">
        <v>16037</v>
      </c>
      <c r="G183" s="17">
        <v>613834</v>
      </c>
      <c r="I183" s="18">
        <v>11957</v>
      </c>
      <c r="K183" s="18">
        <v>601877</v>
      </c>
      <c r="L183" s="17">
        <v>3719</v>
      </c>
      <c r="N183" s="18">
        <v>20</v>
      </c>
      <c r="P183" s="18">
        <v>3699</v>
      </c>
      <c r="Q183" s="17">
        <v>6439</v>
      </c>
      <c r="R183" s="18">
        <v>10</v>
      </c>
      <c r="T183" s="18">
        <v>5333</v>
      </c>
      <c r="U183" s="18">
        <v>1096</v>
      </c>
      <c r="V183" s="17">
        <v>527982</v>
      </c>
      <c r="W183" s="18">
        <v>139</v>
      </c>
      <c r="X183" s="18">
        <v>11849</v>
      </c>
      <c r="Y183" s="18">
        <v>2311</v>
      </c>
      <c r="Z183" s="18">
        <v>513683</v>
      </c>
      <c r="AA183" s="27">
        <f>B183+G183+L183+Q183+V183</f>
        <v>1168012</v>
      </c>
    </row>
    <row r="184" spans="1:27" ht="13.2" x14ac:dyDescent="0.25">
      <c r="A184" s="16">
        <v>44211</v>
      </c>
      <c r="B184" s="17">
        <v>16069</v>
      </c>
      <c r="E184" s="18">
        <v>1</v>
      </c>
      <c r="F184" s="18">
        <v>16068</v>
      </c>
      <c r="G184" s="17">
        <v>615648</v>
      </c>
      <c r="I184" s="18">
        <v>13521</v>
      </c>
      <c r="K184" s="18">
        <v>602127</v>
      </c>
      <c r="L184" s="17">
        <v>3737</v>
      </c>
      <c r="N184" s="18">
        <v>37</v>
      </c>
      <c r="P184" s="18">
        <v>3700</v>
      </c>
      <c r="Q184" s="17">
        <v>6499</v>
      </c>
      <c r="R184" s="18">
        <v>12</v>
      </c>
      <c r="T184" s="18">
        <v>5333</v>
      </c>
      <c r="U184" s="18">
        <v>1108</v>
      </c>
      <c r="V184" s="17">
        <v>530417</v>
      </c>
      <c r="W184" s="18">
        <v>177</v>
      </c>
      <c r="X184" s="18">
        <v>13638</v>
      </c>
      <c r="Y184" s="18">
        <v>2311</v>
      </c>
      <c r="Z184" s="18">
        <v>514291</v>
      </c>
      <c r="AA184" s="27"/>
    </row>
    <row r="185" spans="1:27" ht="13.2" x14ac:dyDescent="0.25">
      <c r="A185" s="16">
        <v>44212</v>
      </c>
      <c r="B185" s="17">
        <v>16153</v>
      </c>
      <c r="E185" s="18">
        <v>1</v>
      </c>
      <c r="F185" s="18">
        <v>16152</v>
      </c>
      <c r="G185" s="17">
        <v>622851</v>
      </c>
      <c r="I185" s="18">
        <v>18735</v>
      </c>
      <c r="K185" s="18">
        <v>604116</v>
      </c>
      <c r="L185" s="17">
        <v>3758</v>
      </c>
      <c r="N185" s="18">
        <v>18</v>
      </c>
      <c r="P185" s="18">
        <v>3740</v>
      </c>
      <c r="Q185" s="17">
        <v>6521</v>
      </c>
      <c r="R185" s="18">
        <v>13</v>
      </c>
      <c r="T185" s="18">
        <v>5333</v>
      </c>
      <c r="U185" s="18">
        <v>1175</v>
      </c>
      <c r="V185" s="17">
        <v>536128</v>
      </c>
      <c r="W185" s="18">
        <v>194</v>
      </c>
      <c r="X185" s="18">
        <v>17108</v>
      </c>
      <c r="Y185" s="18">
        <v>2311</v>
      </c>
      <c r="Z185" s="18">
        <v>516515</v>
      </c>
      <c r="AA185" s="28">
        <v>1185411</v>
      </c>
    </row>
    <row r="186" spans="1:27" ht="13.2" x14ac:dyDescent="0.25">
      <c r="A186" s="16">
        <v>44213</v>
      </c>
      <c r="B186" s="17">
        <v>16208</v>
      </c>
      <c r="E186" s="18">
        <v>1</v>
      </c>
      <c r="F186" s="18">
        <v>16207</v>
      </c>
      <c r="G186" s="17">
        <v>630849</v>
      </c>
      <c r="I186" s="18">
        <v>25283</v>
      </c>
      <c r="K186" s="18">
        <v>605566</v>
      </c>
      <c r="L186" s="17">
        <v>3776</v>
      </c>
      <c r="N186" s="18">
        <v>23</v>
      </c>
      <c r="P186" s="18">
        <v>3753</v>
      </c>
      <c r="Q186" s="17">
        <v>6548</v>
      </c>
      <c r="R186" s="18">
        <v>15</v>
      </c>
      <c r="T186" s="18">
        <v>5333</v>
      </c>
      <c r="U186" s="18">
        <v>1200</v>
      </c>
      <c r="V186" s="17">
        <v>541875</v>
      </c>
      <c r="W186" s="18">
        <v>238</v>
      </c>
      <c r="X186" s="18">
        <v>21802</v>
      </c>
      <c r="Y186" s="18">
        <v>2311</v>
      </c>
      <c r="Z186" s="18">
        <v>517524</v>
      </c>
      <c r="AA186" s="19">
        <v>1199256</v>
      </c>
    </row>
    <row r="187" spans="1:27" ht="13.2" x14ac:dyDescent="0.25">
      <c r="A187" s="29">
        <v>44214</v>
      </c>
      <c r="B187" s="17">
        <v>16258</v>
      </c>
      <c r="E187" s="18">
        <v>1</v>
      </c>
      <c r="F187" s="18">
        <v>16257</v>
      </c>
      <c r="G187" s="17">
        <v>631104</v>
      </c>
      <c r="I187" s="18">
        <v>24788</v>
      </c>
      <c r="K187" s="18">
        <v>606316</v>
      </c>
      <c r="L187" s="17">
        <v>3792</v>
      </c>
      <c r="N187" s="18">
        <v>23</v>
      </c>
      <c r="P187" s="18">
        <v>3769</v>
      </c>
      <c r="Q187" s="17">
        <v>6554</v>
      </c>
      <c r="R187" s="18">
        <v>16</v>
      </c>
      <c r="T187" s="18">
        <v>5333</v>
      </c>
      <c r="U187" s="18">
        <v>1205</v>
      </c>
      <c r="V187" s="17">
        <v>542724</v>
      </c>
      <c r="W187" s="18">
        <v>262</v>
      </c>
      <c r="X187" s="18">
        <v>21411</v>
      </c>
      <c r="Y187" s="18">
        <v>2311</v>
      </c>
      <c r="Z187" s="18">
        <v>518740</v>
      </c>
      <c r="AA187" s="19">
        <v>1200432</v>
      </c>
    </row>
    <row r="188" spans="1:27" ht="13.2" x14ac:dyDescent="0.25">
      <c r="A188" s="16">
        <v>44215</v>
      </c>
      <c r="B188" s="17">
        <v>16313</v>
      </c>
      <c r="D188" s="18">
        <v>2</v>
      </c>
      <c r="E188" s="18">
        <v>1</v>
      </c>
      <c r="F188" s="18">
        <v>16310</v>
      </c>
      <c r="G188" s="17">
        <v>634594</v>
      </c>
      <c r="H188" s="18">
        <v>1</v>
      </c>
      <c r="I188" s="18">
        <v>27277</v>
      </c>
      <c r="K188" s="18">
        <v>607316</v>
      </c>
      <c r="L188" s="17">
        <v>3792</v>
      </c>
      <c r="N188" s="18">
        <v>21</v>
      </c>
      <c r="P188" s="18">
        <v>3771</v>
      </c>
      <c r="Q188" s="17">
        <v>6566</v>
      </c>
      <c r="R188" s="18">
        <v>16</v>
      </c>
      <c r="S188" s="18">
        <v>11</v>
      </c>
      <c r="T188" s="18">
        <v>5333</v>
      </c>
      <c r="U188" s="18">
        <v>1206</v>
      </c>
      <c r="V188" s="17">
        <v>545376</v>
      </c>
      <c r="W188" s="18">
        <v>252</v>
      </c>
      <c r="X188" s="18">
        <v>22828</v>
      </c>
      <c r="Y188" s="18">
        <v>2311</v>
      </c>
      <c r="Z188" s="18">
        <v>519985</v>
      </c>
      <c r="AA188" s="19">
        <v>1206641</v>
      </c>
    </row>
    <row r="189" spans="1:27" ht="13.2" x14ac:dyDescent="0.25">
      <c r="A189" s="16">
        <v>44216</v>
      </c>
      <c r="B189" s="17">
        <v>16316</v>
      </c>
      <c r="D189" s="18">
        <v>4</v>
      </c>
      <c r="E189" s="18">
        <v>1</v>
      </c>
      <c r="F189" s="18">
        <v>16311</v>
      </c>
      <c r="G189" s="17">
        <v>636432</v>
      </c>
      <c r="H189" s="18">
        <v>2</v>
      </c>
      <c r="I189" s="18">
        <v>27454</v>
      </c>
      <c r="K189" s="18">
        <v>608976</v>
      </c>
      <c r="L189" s="17">
        <v>3801</v>
      </c>
      <c r="M189" s="18">
        <v>1</v>
      </c>
      <c r="N189" s="18">
        <v>24</v>
      </c>
      <c r="P189" s="18">
        <v>3776</v>
      </c>
      <c r="Q189" s="17">
        <v>6578</v>
      </c>
      <c r="R189" s="18">
        <v>20</v>
      </c>
      <c r="S189" s="18">
        <v>15</v>
      </c>
      <c r="T189" s="18">
        <v>5333</v>
      </c>
      <c r="U189" s="18">
        <v>1210</v>
      </c>
      <c r="V189" s="17">
        <v>547648</v>
      </c>
      <c r="W189" s="18">
        <v>317</v>
      </c>
      <c r="X189" s="18">
        <v>23256</v>
      </c>
      <c r="Y189" s="18">
        <v>2311</v>
      </c>
      <c r="Z189" s="18">
        <v>521764</v>
      </c>
      <c r="AA189" s="19">
        <v>1210775</v>
      </c>
    </row>
    <row r="190" spans="1:27" ht="13.2" x14ac:dyDescent="0.25">
      <c r="A190" s="16">
        <v>44217</v>
      </c>
      <c r="B190" s="17">
        <v>16404</v>
      </c>
      <c r="E190" s="18">
        <v>1</v>
      </c>
      <c r="F190" s="18">
        <v>16403</v>
      </c>
      <c r="G190" s="17">
        <v>638439</v>
      </c>
      <c r="I190" s="18">
        <v>27455</v>
      </c>
      <c r="K190" s="18">
        <v>610984</v>
      </c>
      <c r="L190" s="17">
        <v>3827</v>
      </c>
      <c r="N190" s="18">
        <v>25</v>
      </c>
      <c r="P190" s="18">
        <v>3802</v>
      </c>
      <c r="Q190" s="17">
        <v>6599</v>
      </c>
      <c r="R190" s="18">
        <v>23</v>
      </c>
      <c r="T190" s="18">
        <v>5333</v>
      </c>
      <c r="U190" s="18">
        <v>1243</v>
      </c>
      <c r="V190" s="17">
        <v>550483</v>
      </c>
      <c r="W190" s="18">
        <v>379</v>
      </c>
      <c r="X190" s="18">
        <v>23475</v>
      </c>
      <c r="Y190" s="18">
        <v>2311</v>
      </c>
      <c r="Z190" s="18">
        <v>524318</v>
      </c>
      <c r="AA190" s="19">
        <v>1215752</v>
      </c>
    </row>
    <row r="191" spans="1:27" ht="13.2" x14ac:dyDescent="0.25">
      <c r="A191" s="16">
        <v>44218</v>
      </c>
      <c r="B191" s="17">
        <v>16479</v>
      </c>
      <c r="E191" s="18">
        <v>1</v>
      </c>
      <c r="F191" s="18">
        <v>16478</v>
      </c>
      <c r="G191" s="17">
        <v>640185</v>
      </c>
      <c r="I191" s="18">
        <v>28967</v>
      </c>
      <c r="K191" s="18">
        <v>611218</v>
      </c>
      <c r="L191" s="17">
        <v>3836</v>
      </c>
      <c r="N191" s="18">
        <v>27</v>
      </c>
      <c r="P191" s="18">
        <v>3809</v>
      </c>
      <c r="Q191" s="17">
        <v>6627</v>
      </c>
      <c r="R191" s="18">
        <v>70</v>
      </c>
      <c r="T191" s="18">
        <v>5333</v>
      </c>
      <c r="U191" s="18">
        <v>1224</v>
      </c>
      <c r="V191" s="17">
        <v>553545</v>
      </c>
      <c r="W191" s="18">
        <v>450</v>
      </c>
      <c r="X191" s="18">
        <v>25987</v>
      </c>
      <c r="Y191" s="18">
        <v>2311</v>
      </c>
      <c r="Z191" s="18">
        <v>524797</v>
      </c>
      <c r="AA191" s="19">
        <v>1220672</v>
      </c>
    </row>
    <row r="192" spans="1:27" ht="13.2" x14ac:dyDescent="0.25">
      <c r="A192" s="16">
        <v>44219</v>
      </c>
      <c r="B192" s="17">
        <v>16498</v>
      </c>
      <c r="E192" s="18">
        <v>1</v>
      </c>
      <c r="F192" s="18">
        <v>16497</v>
      </c>
      <c r="G192" s="17">
        <v>641595</v>
      </c>
      <c r="I192" s="18">
        <v>25808</v>
      </c>
      <c r="K192" s="18">
        <v>615787</v>
      </c>
      <c r="L192" s="17">
        <v>3845</v>
      </c>
      <c r="N192" s="18">
        <v>27</v>
      </c>
      <c r="P192" s="18">
        <v>3818</v>
      </c>
      <c r="Q192" s="17">
        <v>6645</v>
      </c>
      <c r="R192" s="18">
        <v>80</v>
      </c>
      <c r="T192" s="18">
        <v>5333</v>
      </c>
      <c r="U192" s="18">
        <v>1232</v>
      </c>
      <c r="V192" s="17">
        <v>555467</v>
      </c>
      <c r="W192" s="18">
        <v>412</v>
      </c>
      <c r="X192" s="18">
        <v>23154</v>
      </c>
      <c r="Y192" s="18">
        <v>2311</v>
      </c>
      <c r="Z192" s="18">
        <v>529590</v>
      </c>
      <c r="AA192" s="19">
        <v>1224050</v>
      </c>
    </row>
    <row r="193" spans="1:27" ht="13.2" x14ac:dyDescent="0.25">
      <c r="A193" s="16">
        <v>44220</v>
      </c>
      <c r="B193" s="17">
        <v>16588</v>
      </c>
      <c r="E193" s="18">
        <v>1</v>
      </c>
      <c r="F193" s="18">
        <v>16587</v>
      </c>
      <c r="G193" s="17">
        <v>646819</v>
      </c>
      <c r="I193" s="18">
        <v>29521</v>
      </c>
      <c r="K193" s="18">
        <v>617298</v>
      </c>
      <c r="L193" s="17">
        <v>3869</v>
      </c>
      <c r="N193" s="18">
        <v>40</v>
      </c>
      <c r="P193" s="18">
        <v>3829</v>
      </c>
      <c r="Q193" s="17">
        <v>6673</v>
      </c>
      <c r="R193" s="18">
        <v>99</v>
      </c>
      <c r="T193" s="18">
        <v>5333</v>
      </c>
      <c r="U193" s="18">
        <v>1241</v>
      </c>
      <c r="V193" s="17">
        <v>564496</v>
      </c>
      <c r="W193" s="18">
        <v>453</v>
      </c>
      <c r="X193" s="18">
        <v>28632</v>
      </c>
      <c r="Y193" s="18">
        <v>2311</v>
      </c>
      <c r="Z193" s="18">
        <v>533100</v>
      </c>
      <c r="AA193" s="19">
        <v>1238445</v>
      </c>
    </row>
    <row r="194" spans="1:27" ht="13.2" x14ac:dyDescent="0.25">
      <c r="A194" s="16">
        <v>44221</v>
      </c>
      <c r="B194" s="17">
        <v>16588</v>
      </c>
      <c r="E194" s="18">
        <v>1</v>
      </c>
      <c r="F194" s="18">
        <v>16587</v>
      </c>
      <c r="G194" s="17">
        <v>647125</v>
      </c>
      <c r="I194" s="18">
        <v>25693</v>
      </c>
      <c r="K194" s="18">
        <v>621432</v>
      </c>
      <c r="L194" s="17">
        <v>3869</v>
      </c>
      <c r="N194" s="18">
        <v>38</v>
      </c>
      <c r="P194" s="18">
        <v>3831</v>
      </c>
      <c r="Q194" s="17">
        <v>6677</v>
      </c>
      <c r="R194" s="18">
        <v>102</v>
      </c>
      <c r="T194" s="18">
        <v>5333</v>
      </c>
      <c r="U194" s="18">
        <v>1242</v>
      </c>
      <c r="V194" s="17">
        <v>564855</v>
      </c>
      <c r="W194" s="18">
        <v>418</v>
      </c>
      <c r="X194" s="18">
        <v>25727</v>
      </c>
      <c r="Y194" s="18">
        <v>2311</v>
      </c>
      <c r="Z194" s="18">
        <v>536399</v>
      </c>
      <c r="AA194" s="19">
        <v>1239114</v>
      </c>
    </row>
    <row r="195" spans="1:27" ht="13.2" x14ac:dyDescent="0.25">
      <c r="A195" s="16">
        <v>44222</v>
      </c>
      <c r="B195" s="17">
        <v>16589</v>
      </c>
      <c r="E195" s="18">
        <v>1</v>
      </c>
      <c r="F195" s="18">
        <v>16588</v>
      </c>
      <c r="G195" s="17">
        <v>652852</v>
      </c>
      <c r="I195" s="18">
        <v>26124</v>
      </c>
      <c r="K195" s="18">
        <v>626728</v>
      </c>
      <c r="L195" s="17">
        <v>3872</v>
      </c>
      <c r="N195" s="18">
        <v>36</v>
      </c>
      <c r="P195" s="18">
        <v>3836</v>
      </c>
      <c r="Q195" s="17">
        <v>6681</v>
      </c>
      <c r="R195" s="18">
        <v>83</v>
      </c>
      <c r="T195" s="18">
        <v>5333</v>
      </c>
      <c r="U195" s="18">
        <v>1265</v>
      </c>
      <c r="V195" s="17">
        <v>567566</v>
      </c>
      <c r="W195" s="18">
        <v>371</v>
      </c>
      <c r="X195" s="18">
        <v>24660</v>
      </c>
      <c r="Y195" s="18">
        <v>2311</v>
      </c>
      <c r="Z195" s="18">
        <v>540224</v>
      </c>
      <c r="AA195" s="19">
        <v>1247560</v>
      </c>
    </row>
    <row r="196" spans="1:27" ht="13.2" x14ac:dyDescent="0.25">
      <c r="A196" s="16">
        <v>44223</v>
      </c>
      <c r="B196" s="17">
        <v>16646</v>
      </c>
      <c r="E196" s="18">
        <v>1</v>
      </c>
      <c r="F196" s="18">
        <v>16645</v>
      </c>
      <c r="G196" s="17">
        <v>659174</v>
      </c>
      <c r="I196" s="18">
        <v>25909</v>
      </c>
      <c r="K196" s="18">
        <v>633265</v>
      </c>
      <c r="L196" s="17">
        <v>3896</v>
      </c>
      <c r="N196" s="18">
        <v>32</v>
      </c>
      <c r="P196" s="18">
        <v>3864</v>
      </c>
      <c r="Q196" s="17">
        <v>6707</v>
      </c>
      <c r="R196" s="18">
        <v>103</v>
      </c>
      <c r="T196" s="18">
        <v>5333</v>
      </c>
      <c r="U196" s="18">
        <v>1271</v>
      </c>
      <c r="V196" s="17">
        <v>572681</v>
      </c>
      <c r="W196" s="18">
        <v>395</v>
      </c>
      <c r="X196" s="18">
        <v>25126</v>
      </c>
      <c r="Y196" s="18">
        <v>2311</v>
      </c>
      <c r="Z196" s="18">
        <v>544849</v>
      </c>
      <c r="AA196" s="19">
        <v>1259104</v>
      </c>
    </row>
    <row r="197" spans="1:27" ht="13.2" x14ac:dyDescent="0.25">
      <c r="A197" s="16">
        <v>44224</v>
      </c>
      <c r="B197" s="17">
        <v>16694</v>
      </c>
      <c r="E197" s="18">
        <v>1</v>
      </c>
      <c r="F197" s="18">
        <v>16693</v>
      </c>
      <c r="G197" s="17">
        <v>661365</v>
      </c>
      <c r="I197" s="18">
        <v>22303</v>
      </c>
      <c r="K197" s="18">
        <v>639062</v>
      </c>
      <c r="L197" s="17">
        <v>3912</v>
      </c>
      <c r="N197" s="18">
        <v>22</v>
      </c>
      <c r="P197" s="18">
        <v>3890</v>
      </c>
      <c r="Q197" s="17">
        <v>6724</v>
      </c>
      <c r="R197" s="18">
        <v>104</v>
      </c>
      <c r="T197" s="18">
        <v>5333</v>
      </c>
      <c r="U197" s="18">
        <v>1287</v>
      </c>
      <c r="V197" s="17">
        <v>578738</v>
      </c>
      <c r="W197" s="18">
        <v>357</v>
      </c>
      <c r="X197" s="18">
        <v>23972</v>
      </c>
      <c r="Y197" s="18">
        <v>2311</v>
      </c>
      <c r="Z197" s="18">
        <v>552098</v>
      </c>
      <c r="AA197" s="19">
        <v>1267433</v>
      </c>
    </row>
    <row r="198" spans="1:27" ht="13.2" x14ac:dyDescent="0.25">
      <c r="A198" s="16">
        <v>44225</v>
      </c>
      <c r="B198" s="17">
        <v>16735</v>
      </c>
      <c r="E198" s="18">
        <v>1</v>
      </c>
      <c r="F198" s="18">
        <v>16734</v>
      </c>
      <c r="G198" s="17">
        <v>677646</v>
      </c>
      <c r="I198" s="18">
        <v>16509</v>
      </c>
      <c r="K198" s="18">
        <v>661137</v>
      </c>
      <c r="L198" s="17">
        <v>3932</v>
      </c>
      <c r="N198" s="18">
        <v>18</v>
      </c>
      <c r="P198" s="18">
        <v>3914</v>
      </c>
      <c r="Q198" s="17">
        <v>6737</v>
      </c>
      <c r="R198" s="18">
        <v>92</v>
      </c>
      <c r="T198" s="18">
        <v>5333</v>
      </c>
      <c r="U198" s="18">
        <v>1312</v>
      </c>
      <c r="V198" s="17">
        <v>587777</v>
      </c>
      <c r="W198" s="18">
        <v>292</v>
      </c>
      <c r="X198" s="18">
        <v>17877</v>
      </c>
      <c r="Y198" s="18">
        <v>2311</v>
      </c>
      <c r="Z198" s="18">
        <v>567297</v>
      </c>
      <c r="AA198" s="19">
        <v>1292827</v>
      </c>
    </row>
    <row r="199" spans="1:27" ht="13.2" x14ac:dyDescent="0.25">
      <c r="A199" s="16">
        <v>44226</v>
      </c>
      <c r="B199" s="17">
        <v>16740</v>
      </c>
      <c r="E199" s="18">
        <v>1</v>
      </c>
      <c r="F199" s="18">
        <v>16739</v>
      </c>
      <c r="G199" s="17">
        <v>687547</v>
      </c>
      <c r="I199" s="18">
        <v>15608</v>
      </c>
      <c r="K199" s="18">
        <v>671939</v>
      </c>
      <c r="L199" s="17">
        <v>3976</v>
      </c>
      <c r="N199" s="18">
        <v>18</v>
      </c>
      <c r="P199" s="18">
        <v>3958</v>
      </c>
      <c r="Q199" s="17">
        <v>6762</v>
      </c>
      <c r="R199" s="18">
        <v>79</v>
      </c>
      <c r="T199" s="18">
        <v>5333</v>
      </c>
      <c r="U199" s="18">
        <v>1350</v>
      </c>
      <c r="V199" s="17">
        <v>593699</v>
      </c>
      <c r="W199" s="18">
        <v>245</v>
      </c>
      <c r="X199" s="18">
        <v>16800</v>
      </c>
      <c r="Y199" s="18">
        <v>2311</v>
      </c>
      <c r="Z199" s="18">
        <v>574343</v>
      </c>
      <c r="AA199" s="19">
        <v>1308724</v>
      </c>
    </row>
    <row r="200" spans="1:27" ht="13.2" x14ac:dyDescent="0.25">
      <c r="A200" s="16">
        <v>44227</v>
      </c>
      <c r="B200" s="17">
        <v>16789</v>
      </c>
      <c r="E200" s="18">
        <v>1</v>
      </c>
      <c r="F200" s="18">
        <v>16788</v>
      </c>
      <c r="G200" s="17">
        <v>696559</v>
      </c>
      <c r="I200" s="18">
        <v>21391</v>
      </c>
      <c r="K200" s="18">
        <v>675168</v>
      </c>
      <c r="L200" s="17">
        <v>3998</v>
      </c>
      <c r="N200" s="18">
        <v>18</v>
      </c>
      <c r="P200" s="18">
        <v>3980</v>
      </c>
      <c r="Q200" s="17">
        <v>6777</v>
      </c>
      <c r="R200" s="18">
        <v>85</v>
      </c>
      <c r="T200" s="18">
        <v>5333</v>
      </c>
      <c r="U200" s="18">
        <v>1359</v>
      </c>
      <c r="V200" s="17">
        <v>599684</v>
      </c>
      <c r="W200" s="18">
        <v>255</v>
      </c>
      <c r="X200" s="18">
        <v>20446</v>
      </c>
      <c r="Y200" s="18">
        <v>2311</v>
      </c>
      <c r="Z200" s="18">
        <v>576672</v>
      </c>
      <c r="AA200" s="19">
        <v>1323807</v>
      </c>
    </row>
    <row r="201" spans="1:27" ht="13.2" x14ac:dyDescent="0.25">
      <c r="A201" s="16">
        <v>44228</v>
      </c>
      <c r="B201" s="17">
        <v>16840</v>
      </c>
      <c r="E201" s="18">
        <v>1</v>
      </c>
      <c r="F201" s="18">
        <v>16839</v>
      </c>
      <c r="G201" s="17">
        <v>703657</v>
      </c>
      <c r="I201" s="18">
        <v>23615</v>
      </c>
      <c r="K201" s="18">
        <v>680042</v>
      </c>
      <c r="L201" s="17">
        <v>4032</v>
      </c>
      <c r="N201" s="18">
        <v>14</v>
      </c>
      <c r="P201" s="18">
        <v>4018</v>
      </c>
      <c r="Q201" s="17">
        <v>6786</v>
      </c>
      <c r="R201" s="18">
        <v>78</v>
      </c>
      <c r="T201" s="18">
        <v>5333</v>
      </c>
      <c r="U201" s="18">
        <v>1375</v>
      </c>
      <c r="V201" s="17">
        <v>603199</v>
      </c>
      <c r="W201" s="18">
        <v>238</v>
      </c>
      <c r="X201" s="18">
        <v>19928</v>
      </c>
      <c r="Y201" s="18">
        <v>2311</v>
      </c>
      <c r="Z201" s="18">
        <v>580722</v>
      </c>
      <c r="AA201" s="19">
        <v>1334514</v>
      </c>
    </row>
    <row r="202" spans="1:27" ht="13.2" x14ac:dyDescent="0.25">
      <c r="A202" s="16">
        <v>44229</v>
      </c>
      <c r="B202" s="17">
        <v>16841</v>
      </c>
      <c r="E202" s="18">
        <v>1</v>
      </c>
      <c r="F202" s="18">
        <v>16840</v>
      </c>
      <c r="G202" s="17">
        <v>707801</v>
      </c>
      <c r="I202" s="18">
        <v>26705</v>
      </c>
      <c r="K202" s="18">
        <v>681096</v>
      </c>
      <c r="L202" s="17">
        <v>4032</v>
      </c>
      <c r="N202" s="18">
        <v>14</v>
      </c>
      <c r="P202" s="18">
        <v>4018</v>
      </c>
      <c r="Q202" s="17">
        <v>6802</v>
      </c>
      <c r="R202" s="18">
        <v>94</v>
      </c>
      <c r="T202" s="18">
        <v>5333</v>
      </c>
      <c r="U202" s="18">
        <v>1375</v>
      </c>
      <c r="V202" s="17">
        <v>605168</v>
      </c>
      <c r="W202" s="18">
        <v>247</v>
      </c>
      <c r="X202" s="18">
        <v>21411</v>
      </c>
      <c r="Y202" s="18">
        <v>2311</v>
      </c>
      <c r="Z202" s="18">
        <v>581199</v>
      </c>
      <c r="AA202" s="19">
        <v>1340644</v>
      </c>
    </row>
    <row r="203" spans="1:27" ht="13.2" x14ac:dyDescent="0.25">
      <c r="A203" s="16">
        <v>44230</v>
      </c>
      <c r="B203" s="17">
        <v>16892</v>
      </c>
      <c r="E203" s="18">
        <v>1</v>
      </c>
      <c r="F203" s="18">
        <v>16891</v>
      </c>
      <c r="G203" s="17">
        <v>710128</v>
      </c>
      <c r="I203" s="18">
        <v>25162</v>
      </c>
      <c r="K203" s="18">
        <v>684966</v>
      </c>
      <c r="L203" s="17">
        <v>4036</v>
      </c>
      <c r="N203" s="18">
        <v>13</v>
      </c>
      <c r="P203" s="18">
        <v>4023</v>
      </c>
      <c r="Q203" s="17">
        <v>6818</v>
      </c>
      <c r="R203" s="18">
        <v>95</v>
      </c>
      <c r="T203" s="18">
        <v>5333</v>
      </c>
      <c r="U203" s="18">
        <v>1390</v>
      </c>
      <c r="V203" s="17">
        <v>607178</v>
      </c>
      <c r="W203" s="18">
        <v>261</v>
      </c>
      <c r="X203" s="18">
        <v>19139</v>
      </c>
      <c r="Y203" s="18">
        <v>2311</v>
      </c>
      <c r="Z203" s="18">
        <v>585467</v>
      </c>
      <c r="AA203" s="19">
        <v>1345052</v>
      </c>
    </row>
    <row r="204" spans="1:27" ht="13.2" x14ac:dyDescent="0.25">
      <c r="A204" s="16">
        <v>44231</v>
      </c>
      <c r="B204" s="17">
        <v>17014</v>
      </c>
      <c r="E204" s="18">
        <v>1</v>
      </c>
      <c r="F204" s="18">
        <v>17013</v>
      </c>
      <c r="G204" s="17">
        <v>725175</v>
      </c>
      <c r="I204" s="18">
        <v>31716</v>
      </c>
      <c r="K204" s="18">
        <v>693459</v>
      </c>
      <c r="L204" s="17">
        <v>4056</v>
      </c>
      <c r="N204" s="18">
        <v>6</v>
      </c>
      <c r="P204" s="18">
        <v>4050</v>
      </c>
      <c r="Q204" s="17">
        <v>6844</v>
      </c>
      <c r="R204" s="18">
        <v>93</v>
      </c>
      <c r="T204" s="18">
        <v>5333</v>
      </c>
      <c r="U204" s="18">
        <v>1418</v>
      </c>
      <c r="V204" s="17">
        <v>615688</v>
      </c>
      <c r="W204" s="18">
        <v>272</v>
      </c>
      <c r="X204" s="18">
        <v>22619</v>
      </c>
      <c r="Y204" s="18">
        <v>2311</v>
      </c>
      <c r="Z204" s="18">
        <v>590486</v>
      </c>
      <c r="AA204" s="19">
        <v>1368777</v>
      </c>
    </row>
    <row r="205" spans="1:27" ht="13.2" x14ac:dyDescent="0.25">
      <c r="A205" s="16">
        <v>44232</v>
      </c>
      <c r="B205" s="17">
        <v>17015</v>
      </c>
      <c r="E205" s="18">
        <v>1</v>
      </c>
      <c r="F205" s="18">
        <v>17014</v>
      </c>
      <c r="G205" s="17">
        <v>732637</v>
      </c>
      <c r="I205" s="18">
        <v>27690</v>
      </c>
      <c r="K205" s="18">
        <v>704947</v>
      </c>
      <c r="L205" s="17">
        <v>4062</v>
      </c>
      <c r="N205" s="18">
        <v>4</v>
      </c>
      <c r="P205" s="18">
        <v>4058</v>
      </c>
      <c r="Q205" s="17">
        <v>6878</v>
      </c>
      <c r="R205" s="18">
        <v>75</v>
      </c>
      <c r="T205" s="18">
        <v>5333</v>
      </c>
      <c r="U205" s="18">
        <v>1470</v>
      </c>
      <c r="V205" s="17">
        <v>620627</v>
      </c>
      <c r="W205" s="18">
        <v>248</v>
      </c>
      <c r="X205" s="18">
        <v>19548</v>
      </c>
      <c r="Y205" s="18">
        <v>2311</v>
      </c>
      <c r="Z205" s="18">
        <v>598520</v>
      </c>
      <c r="AA205" s="19">
        <v>1381219</v>
      </c>
    </row>
    <row r="206" spans="1:27" ht="13.2" x14ac:dyDescent="0.25">
      <c r="A206" s="16">
        <v>44233</v>
      </c>
      <c r="B206" s="17">
        <v>17077</v>
      </c>
      <c r="E206" s="18">
        <v>1</v>
      </c>
      <c r="F206" s="18">
        <v>17076</v>
      </c>
      <c r="G206" s="17">
        <v>734059</v>
      </c>
      <c r="I206" s="18">
        <v>28958</v>
      </c>
      <c r="K206" s="18">
        <v>705101</v>
      </c>
      <c r="L206" s="17">
        <v>4067</v>
      </c>
      <c r="N206" s="18">
        <v>7</v>
      </c>
      <c r="P206" s="18">
        <v>4060</v>
      </c>
      <c r="Q206" s="17">
        <v>6890</v>
      </c>
      <c r="R206" s="18">
        <v>84</v>
      </c>
      <c r="T206" s="18">
        <v>5333</v>
      </c>
      <c r="U206" s="18">
        <v>1473</v>
      </c>
      <c r="V206" s="17">
        <v>622686</v>
      </c>
      <c r="W206" s="18">
        <v>324</v>
      </c>
      <c r="X206" s="18">
        <v>21207</v>
      </c>
      <c r="Y206" s="18">
        <v>2311</v>
      </c>
      <c r="Z206" s="18">
        <v>598844</v>
      </c>
      <c r="AA206" s="19">
        <v>1384779</v>
      </c>
    </row>
    <row r="207" spans="1:27" ht="13.2" x14ac:dyDescent="0.25">
      <c r="A207" s="16">
        <v>44234</v>
      </c>
      <c r="B207" s="17">
        <v>17132</v>
      </c>
      <c r="E207" s="18">
        <v>1</v>
      </c>
      <c r="F207" s="18">
        <v>17131</v>
      </c>
      <c r="G207" s="17">
        <v>749947</v>
      </c>
      <c r="I207" s="18">
        <v>34706</v>
      </c>
      <c r="K207" s="18">
        <v>715241</v>
      </c>
      <c r="L207" s="17">
        <v>4077</v>
      </c>
      <c r="N207" s="18">
        <v>7</v>
      </c>
      <c r="P207" s="18">
        <v>4070</v>
      </c>
      <c r="Q207" s="17">
        <v>6943</v>
      </c>
      <c r="R207" s="18">
        <v>75</v>
      </c>
      <c r="T207" s="18">
        <v>5333</v>
      </c>
      <c r="U207" s="18">
        <v>1535</v>
      </c>
      <c r="V207" s="17">
        <v>631934</v>
      </c>
      <c r="W207" s="18">
        <v>301</v>
      </c>
      <c r="X207" s="18">
        <v>23323</v>
      </c>
      <c r="Y207" s="18">
        <v>2311</v>
      </c>
      <c r="Z207" s="18">
        <v>605999</v>
      </c>
      <c r="AA207" s="19">
        <v>1410033</v>
      </c>
    </row>
    <row r="208" spans="1:27" ht="13.2" x14ac:dyDescent="0.25">
      <c r="A208" s="16">
        <v>44235</v>
      </c>
      <c r="B208" s="17">
        <v>17132</v>
      </c>
      <c r="E208" s="18">
        <v>1</v>
      </c>
      <c r="F208" s="18">
        <v>17131</v>
      </c>
      <c r="G208" s="17">
        <v>755591</v>
      </c>
      <c r="I208" s="18">
        <v>35516</v>
      </c>
      <c r="K208" s="18">
        <v>720075</v>
      </c>
      <c r="L208" s="17">
        <v>4077</v>
      </c>
      <c r="N208" s="18">
        <v>6</v>
      </c>
      <c r="P208" s="18">
        <v>4071</v>
      </c>
      <c r="Q208" s="17">
        <v>6943</v>
      </c>
      <c r="R208" s="18">
        <v>59</v>
      </c>
      <c r="T208" s="18">
        <v>5333</v>
      </c>
      <c r="U208" s="18">
        <v>1551</v>
      </c>
      <c r="V208" s="17">
        <v>634751</v>
      </c>
      <c r="W208" s="18">
        <v>262</v>
      </c>
      <c r="X208" s="18">
        <v>22964</v>
      </c>
      <c r="Y208" s="18">
        <v>2311</v>
      </c>
      <c r="Z208" s="18">
        <v>609214</v>
      </c>
      <c r="AA208" s="19">
        <v>1418494</v>
      </c>
    </row>
    <row r="209" spans="1:27" ht="13.2" x14ac:dyDescent="0.25">
      <c r="A209" s="16">
        <v>44236</v>
      </c>
      <c r="B209" s="17">
        <v>17181</v>
      </c>
      <c r="E209" s="18">
        <v>1</v>
      </c>
      <c r="F209" s="18">
        <v>17180</v>
      </c>
      <c r="G209" s="17">
        <v>758670</v>
      </c>
      <c r="I209" s="18">
        <v>35782</v>
      </c>
      <c r="K209" s="18">
        <v>722888</v>
      </c>
      <c r="L209" s="17">
        <v>4098</v>
      </c>
      <c r="N209" s="18">
        <v>6</v>
      </c>
      <c r="P209" s="18">
        <v>4092</v>
      </c>
      <c r="Q209" s="17">
        <v>6990</v>
      </c>
      <c r="R209" s="18">
        <v>72</v>
      </c>
      <c r="T209" s="18">
        <v>5333</v>
      </c>
      <c r="U209" s="18">
        <v>1558</v>
      </c>
      <c r="V209" s="17">
        <v>637597</v>
      </c>
      <c r="W209" s="18">
        <v>254</v>
      </c>
      <c r="X209" s="18">
        <v>23564</v>
      </c>
      <c r="Y209" s="18">
        <v>2311</v>
      </c>
      <c r="Z209" s="18">
        <v>611468</v>
      </c>
      <c r="AA209" s="19">
        <v>1424536</v>
      </c>
    </row>
    <row r="210" spans="1:27" ht="13.2" x14ac:dyDescent="0.25">
      <c r="A210" s="16">
        <v>44237</v>
      </c>
      <c r="B210" s="17">
        <v>17184</v>
      </c>
      <c r="E210" s="18">
        <v>1</v>
      </c>
      <c r="F210" s="18">
        <v>17183</v>
      </c>
      <c r="G210" s="17">
        <v>759606</v>
      </c>
      <c r="I210" s="18">
        <v>33485</v>
      </c>
      <c r="K210" s="18">
        <v>726121</v>
      </c>
      <c r="L210" s="17">
        <v>4106</v>
      </c>
      <c r="N210" s="18">
        <v>9</v>
      </c>
      <c r="P210" s="18">
        <v>4097</v>
      </c>
      <c r="Q210" s="17">
        <v>7026</v>
      </c>
      <c r="R210" s="18">
        <v>92</v>
      </c>
      <c r="T210" s="18">
        <v>5333</v>
      </c>
      <c r="U210" s="18">
        <v>1601</v>
      </c>
      <c r="V210" s="17">
        <v>638802</v>
      </c>
      <c r="W210" s="18">
        <v>275</v>
      </c>
      <c r="X210" s="18">
        <v>22594</v>
      </c>
      <c r="Y210" s="18">
        <v>2311</v>
      </c>
      <c r="Z210" s="18">
        <v>613622</v>
      </c>
      <c r="AA210" s="19">
        <v>1426724</v>
      </c>
    </row>
    <row r="211" spans="1:27" ht="13.2" x14ac:dyDescent="0.25">
      <c r="A211" s="16">
        <v>44238</v>
      </c>
      <c r="B211" s="17">
        <v>17303</v>
      </c>
      <c r="E211" s="18">
        <v>1</v>
      </c>
      <c r="F211" s="18">
        <v>17302</v>
      </c>
      <c r="G211" s="17">
        <v>763234</v>
      </c>
      <c r="I211" s="18">
        <v>31005</v>
      </c>
      <c r="K211" s="18">
        <v>732229</v>
      </c>
      <c r="L211" s="17">
        <v>4142</v>
      </c>
      <c r="N211" s="18">
        <v>15</v>
      </c>
      <c r="P211" s="18">
        <v>4127</v>
      </c>
      <c r="Q211" s="17">
        <v>7101</v>
      </c>
      <c r="R211" s="18">
        <v>82</v>
      </c>
      <c r="T211" s="18">
        <v>5333</v>
      </c>
      <c r="U211" s="18">
        <v>1686</v>
      </c>
      <c r="V211" s="17">
        <v>641295</v>
      </c>
      <c r="W211" s="18">
        <v>309</v>
      </c>
      <c r="X211" s="18">
        <v>21800</v>
      </c>
      <c r="Y211" s="18">
        <v>2311</v>
      </c>
      <c r="Z211" s="18">
        <v>616875</v>
      </c>
      <c r="AA211" s="19">
        <v>1433075</v>
      </c>
    </row>
    <row r="212" spans="1:27" ht="13.2" x14ac:dyDescent="0.25">
      <c r="A212" s="16">
        <v>44239</v>
      </c>
      <c r="B212" s="17">
        <v>17395</v>
      </c>
      <c r="E212" s="18">
        <v>1</v>
      </c>
      <c r="F212" s="18">
        <v>17394</v>
      </c>
      <c r="G212" s="17">
        <v>780436</v>
      </c>
      <c r="I212" s="18">
        <v>33193</v>
      </c>
      <c r="K212" s="18">
        <v>747243</v>
      </c>
      <c r="L212" s="17">
        <v>4161</v>
      </c>
      <c r="N212" s="18">
        <v>14</v>
      </c>
      <c r="P212" s="18">
        <v>4147</v>
      </c>
      <c r="Q212" s="17">
        <v>7157</v>
      </c>
      <c r="R212" s="18">
        <v>96</v>
      </c>
      <c r="T212" s="18">
        <v>5333</v>
      </c>
      <c r="U212" s="18">
        <v>1728</v>
      </c>
      <c r="V212" s="17">
        <v>650431</v>
      </c>
      <c r="W212" s="18">
        <v>295</v>
      </c>
      <c r="X212" s="18">
        <v>24917</v>
      </c>
      <c r="Y212" s="18">
        <v>2311</v>
      </c>
      <c r="Z212" s="18">
        <v>622908</v>
      </c>
      <c r="AA212" s="19">
        <v>1459580</v>
      </c>
    </row>
    <row r="213" spans="1:27" ht="13.2" x14ac:dyDescent="0.25">
      <c r="A213" s="16">
        <v>44240</v>
      </c>
      <c r="B213" s="17">
        <v>17404</v>
      </c>
      <c r="E213" s="18">
        <v>1</v>
      </c>
      <c r="F213" s="18">
        <v>17403</v>
      </c>
      <c r="G213" s="17">
        <v>795979</v>
      </c>
      <c r="I213" s="18">
        <v>44171</v>
      </c>
      <c r="K213" s="18">
        <v>751808</v>
      </c>
      <c r="L213" s="17">
        <v>4183</v>
      </c>
      <c r="N213" s="18">
        <v>16</v>
      </c>
      <c r="P213" s="18">
        <v>4167</v>
      </c>
      <c r="Q213" s="17">
        <v>7199</v>
      </c>
      <c r="R213" s="18">
        <v>112</v>
      </c>
      <c r="T213" s="18">
        <v>5333</v>
      </c>
      <c r="U213" s="18">
        <v>1754</v>
      </c>
      <c r="V213" s="17">
        <v>659577</v>
      </c>
      <c r="W213" s="18">
        <v>325</v>
      </c>
      <c r="X213" s="18">
        <v>31765</v>
      </c>
      <c r="Y213" s="18">
        <v>2311</v>
      </c>
      <c r="Z213" s="18">
        <v>625176</v>
      </c>
      <c r="AA213" s="19">
        <v>1484342</v>
      </c>
    </row>
    <row r="214" spans="1:27" ht="13.2" x14ac:dyDescent="0.25">
      <c r="A214" s="16">
        <v>44241</v>
      </c>
      <c r="B214" s="17">
        <v>17406</v>
      </c>
      <c r="E214" s="18">
        <v>1</v>
      </c>
      <c r="F214" s="18">
        <v>17405</v>
      </c>
      <c r="G214" s="17">
        <v>803017</v>
      </c>
      <c r="I214" s="18">
        <v>48810</v>
      </c>
      <c r="K214" s="18">
        <v>754207</v>
      </c>
      <c r="L214" s="17">
        <v>4185</v>
      </c>
      <c r="N214" s="18">
        <v>16</v>
      </c>
      <c r="P214" s="18">
        <v>4169</v>
      </c>
      <c r="Q214" s="17">
        <v>7200</v>
      </c>
      <c r="R214" s="18">
        <v>112</v>
      </c>
      <c r="T214" s="18">
        <v>5333</v>
      </c>
      <c r="U214" s="18">
        <v>1755</v>
      </c>
      <c r="V214" s="17">
        <v>663417</v>
      </c>
      <c r="W214" s="18">
        <v>322</v>
      </c>
      <c r="X214" s="18">
        <v>34482</v>
      </c>
      <c r="Y214" s="18">
        <v>2311</v>
      </c>
      <c r="Z214" s="18">
        <v>626302</v>
      </c>
      <c r="AA214" s="19">
        <v>1495225</v>
      </c>
    </row>
    <row r="215" spans="1:27" ht="13.2" x14ac:dyDescent="0.25">
      <c r="A215" s="16">
        <v>44242</v>
      </c>
      <c r="B215" s="17">
        <v>17423</v>
      </c>
      <c r="E215" s="18">
        <v>1</v>
      </c>
      <c r="F215" s="18">
        <v>17422</v>
      </c>
      <c r="G215" s="17">
        <v>807116</v>
      </c>
      <c r="I215" s="18">
        <v>46155</v>
      </c>
      <c r="K215" s="18">
        <v>760961</v>
      </c>
      <c r="L215" s="17">
        <v>4203</v>
      </c>
      <c r="N215" s="18">
        <v>16</v>
      </c>
      <c r="P215" s="18">
        <v>4187</v>
      </c>
      <c r="Q215" s="17">
        <v>7208</v>
      </c>
      <c r="R215" s="18">
        <v>101</v>
      </c>
      <c r="T215" s="18">
        <v>5333</v>
      </c>
      <c r="U215" s="18">
        <v>1774</v>
      </c>
      <c r="V215" s="17">
        <v>666550</v>
      </c>
      <c r="W215" s="18">
        <v>285</v>
      </c>
      <c r="X215" s="18">
        <v>32956</v>
      </c>
      <c r="Y215" s="18">
        <v>2311</v>
      </c>
      <c r="Z215" s="18">
        <v>630998</v>
      </c>
      <c r="AA215" s="19">
        <v>1502500</v>
      </c>
    </row>
    <row r="216" spans="1:27" ht="13.2" x14ac:dyDescent="0.25">
      <c r="A216" s="16">
        <v>44243</v>
      </c>
      <c r="B216" s="17">
        <v>17423</v>
      </c>
      <c r="E216" s="18">
        <v>1</v>
      </c>
      <c r="F216" s="18">
        <v>17422</v>
      </c>
      <c r="G216" s="17">
        <v>810884</v>
      </c>
      <c r="I216" s="18">
        <v>41789</v>
      </c>
      <c r="K216" s="18">
        <v>769095</v>
      </c>
      <c r="L216" s="17">
        <v>4221</v>
      </c>
      <c r="N216" s="18">
        <v>13</v>
      </c>
      <c r="P216" s="18">
        <v>4208</v>
      </c>
      <c r="Q216" s="17">
        <v>7211</v>
      </c>
      <c r="R216" s="18">
        <v>97</v>
      </c>
      <c r="T216" s="18">
        <v>5333</v>
      </c>
      <c r="U216" s="18">
        <v>1781</v>
      </c>
      <c r="V216" s="17">
        <v>669133</v>
      </c>
      <c r="W216" s="18">
        <v>269</v>
      </c>
      <c r="X216" s="18">
        <v>29871</v>
      </c>
      <c r="Y216" s="18">
        <v>2311</v>
      </c>
      <c r="Z216" s="18">
        <v>636682</v>
      </c>
      <c r="AA216" s="19">
        <v>1508872</v>
      </c>
    </row>
    <row r="217" spans="1:27" ht="13.2" x14ac:dyDescent="0.25">
      <c r="A217" s="16">
        <v>44244</v>
      </c>
      <c r="B217" s="17">
        <v>17424</v>
      </c>
      <c r="E217" s="18">
        <v>1</v>
      </c>
      <c r="F217" s="18">
        <v>17423</v>
      </c>
      <c r="G217" s="17">
        <v>815975</v>
      </c>
      <c r="I217" s="18">
        <v>39454</v>
      </c>
      <c r="K217" s="18">
        <v>776521</v>
      </c>
      <c r="L217" s="17">
        <v>4235</v>
      </c>
      <c r="N217" s="18">
        <v>9</v>
      </c>
      <c r="P217" s="18">
        <v>4226</v>
      </c>
      <c r="Q217" s="17">
        <v>7256</v>
      </c>
      <c r="R217" s="18">
        <v>93</v>
      </c>
      <c r="T217" s="18">
        <v>5333</v>
      </c>
      <c r="U217" s="18">
        <v>1830</v>
      </c>
      <c r="V217" s="17">
        <v>672830</v>
      </c>
      <c r="W217" s="18">
        <v>266</v>
      </c>
      <c r="X217" s="18">
        <v>28436</v>
      </c>
      <c r="Y217" s="18">
        <v>2311</v>
      </c>
      <c r="Z217" s="18">
        <v>641817</v>
      </c>
      <c r="AA217" s="19">
        <v>1517720</v>
      </c>
    </row>
    <row r="218" spans="1:27" ht="13.2" x14ac:dyDescent="0.25">
      <c r="A218" s="16">
        <v>44245</v>
      </c>
      <c r="B218" s="17">
        <v>17424</v>
      </c>
      <c r="E218" s="18">
        <v>1</v>
      </c>
      <c r="F218" s="18">
        <v>17423</v>
      </c>
      <c r="G218" s="17">
        <v>818296</v>
      </c>
      <c r="I218" s="18">
        <v>34898</v>
      </c>
      <c r="K218" s="18">
        <v>783398</v>
      </c>
      <c r="L218" s="17">
        <v>4259</v>
      </c>
      <c r="N218" s="18">
        <v>9</v>
      </c>
      <c r="P218" s="18">
        <v>4250</v>
      </c>
      <c r="Q218" s="17">
        <v>7289</v>
      </c>
      <c r="R218" s="18">
        <v>99</v>
      </c>
      <c r="T218" s="18">
        <v>5333</v>
      </c>
      <c r="U218" s="18">
        <v>1857</v>
      </c>
      <c r="V218" s="17">
        <v>675949</v>
      </c>
      <c r="W218" s="18">
        <v>293</v>
      </c>
      <c r="X218" s="18">
        <v>26560</v>
      </c>
      <c r="Y218" s="18">
        <v>2311</v>
      </c>
      <c r="Z218" s="18">
        <v>646785</v>
      </c>
      <c r="AA218" s="19">
        <v>1523217</v>
      </c>
    </row>
    <row r="219" spans="1:27" ht="13.2" x14ac:dyDescent="0.25">
      <c r="A219" s="16">
        <v>44246</v>
      </c>
      <c r="B219" s="17">
        <v>17424</v>
      </c>
      <c r="E219" s="18">
        <v>1</v>
      </c>
      <c r="F219" s="18">
        <v>17423</v>
      </c>
      <c r="G219" s="17">
        <v>822499</v>
      </c>
      <c r="I219" s="18">
        <v>31026</v>
      </c>
      <c r="K219" s="18">
        <v>791473</v>
      </c>
      <c r="L219" s="17">
        <v>4283</v>
      </c>
      <c r="N219" s="18">
        <v>9</v>
      </c>
      <c r="P219" s="18">
        <v>4274</v>
      </c>
      <c r="Q219" s="17">
        <v>7326</v>
      </c>
      <c r="R219" s="18">
        <v>102</v>
      </c>
      <c r="T219" s="18">
        <v>5333</v>
      </c>
      <c r="U219" s="18">
        <v>1891</v>
      </c>
      <c r="V219" s="17">
        <v>679414</v>
      </c>
      <c r="W219" s="18">
        <v>299</v>
      </c>
      <c r="X219" s="18">
        <v>24728</v>
      </c>
      <c r="Y219" s="18">
        <v>2311</v>
      </c>
      <c r="Z219" s="18">
        <v>652076</v>
      </c>
      <c r="AA219" s="19">
        <v>1530946</v>
      </c>
    </row>
    <row r="220" spans="1:27" ht="13.2" x14ac:dyDescent="0.25">
      <c r="A220" s="16">
        <v>44247</v>
      </c>
      <c r="B220" s="17">
        <v>17424</v>
      </c>
      <c r="E220" s="18">
        <v>1</v>
      </c>
      <c r="F220" s="18">
        <v>17423</v>
      </c>
      <c r="G220" s="17">
        <v>823882</v>
      </c>
      <c r="I220" s="18">
        <v>27460</v>
      </c>
      <c r="K220" s="18">
        <v>796422</v>
      </c>
      <c r="L220" s="17">
        <v>4312</v>
      </c>
      <c r="N220" s="18">
        <v>9</v>
      </c>
      <c r="P220" s="18">
        <v>4303</v>
      </c>
      <c r="Q220" s="17">
        <v>7346</v>
      </c>
      <c r="R220" s="18">
        <v>107</v>
      </c>
      <c r="T220" s="18">
        <v>5333</v>
      </c>
      <c r="U220" s="18">
        <v>1906</v>
      </c>
      <c r="V220" s="17">
        <v>682091</v>
      </c>
      <c r="W220" s="18">
        <v>293</v>
      </c>
      <c r="X220" s="18">
        <v>22479</v>
      </c>
      <c r="Y220" s="18">
        <v>2311</v>
      </c>
      <c r="Z220" s="18">
        <v>657008</v>
      </c>
      <c r="AA220" s="19">
        <v>1535055</v>
      </c>
    </row>
    <row r="221" spans="1:27" ht="13.2" x14ac:dyDescent="0.25">
      <c r="A221" s="16">
        <v>44248</v>
      </c>
      <c r="B221" s="17">
        <v>17424</v>
      </c>
      <c r="E221" s="18">
        <v>1</v>
      </c>
      <c r="F221" s="18">
        <v>17423</v>
      </c>
      <c r="G221" s="17">
        <v>838656</v>
      </c>
      <c r="I221" s="18">
        <v>35838</v>
      </c>
      <c r="K221" s="18">
        <v>802818</v>
      </c>
      <c r="L221" s="17">
        <v>4320</v>
      </c>
      <c r="N221" s="18">
        <v>9</v>
      </c>
      <c r="P221" s="18">
        <v>4311</v>
      </c>
      <c r="Q221" s="17">
        <v>7359</v>
      </c>
      <c r="R221" s="18">
        <v>105</v>
      </c>
      <c r="T221" s="18">
        <v>5333</v>
      </c>
      <c r="U221" s="18">
        <v>1921</v>
      </c>
      <c r="V221" s="17">
        <v>690193</v>
      </c>
      <c r="W221" s="18">
        <v>288</v>
      </c>
      <c r="X221" s="18">
        <v>26677</v>
      </c>
      <c r="Y221" s="18">
        <v>2311</v>
      </c>
      <c r="Z221" s="18">
        <v>660917</v>
      </c>
      <c r="AA221" s="19">
        <v>1557952</v>
      </c>
    </row>
    <row r="222" spans="1:27" ht="13.2" x14ac:dyDescent="0.25">
      <c r="A222" s="16">
        <v>44249</v>
      </c>
      <c r="B222" s="17">
        <v>17424</v>
      </c>
      <c r="E222" s="18">
        <v>1</v>
      </c>
      <c r="F222" s="18">
        <v>17423</v>
      </c>
      <c r="G222" s="17">
        <v>844335</v>
      </c>
      <c r="I222" s="18">
        <v>32968</v>
      </c>
      <c r="K222" s="18">
        <v>811367</v>
      </c>
      <c r="L222" s="17">
        <v>4342</v>
      </c>
      <c r="N222" s="18">
        <v>8</v>
      </c>
      <c r="P222" s="18">
        <v>4334</v>
      </c>
      <c r="Q222" s="17">
        <v>7373</v>
      </c>
      <c r="R222" s="18">
        <v>98</v>
      </c>
      <c r="T222" s="18">
        <v>5333</v>
      </c>
      <c r="U222" s="18">
        <v>1942</v>
      </c>
      <c r="V222" s="17">
        <v>693445</v>
      </c>
      <c r="W222" s="18">
        <v>267</v>
      </c>
      <c r="X222" s="18">
        <v>25160</v>
      </c>
      <c r="Y222" s="18">
        <v>2311</v>
      </c>
      <c r="Z222" s="18">
        <v>665707</v>
      </c>
      <c r="AA222" s="19">
        <v>1566919</v>
      </c>
    </row>
    <row r="223" spans="1:27" ht="13.2" x14ac:dyDescent="0.25">
      <c r="A223" s="16">
        <v>44250</v>
      </c>
      <c r="B223" s="17">
        <v>17424</v>
      </c>
      <c r="E223" s="18">
        <v>1</v>
      </c>
      <c r="F223" s="18">
        <v>17423</v>
      </c>
      <c r="G223" s="17">
        <v>847546</v>
      </c>
      <c r="I223" s="18">
        <v>30697</v>
      </c>
      <c r="K223" s="18">
        <v>816849</v>
      </c>
      <c r="L223" s="17">
        <v>4342</v>
      </c>
      <c r="N223" s="18">
        <v>3</v>
      </c>
      <c r="P223" s="18">
        <v>4339</v>
      </c>
      <c r="Q223" s="17">
        <v>7375</v>
      </c>
      <c r="R223" s="18">
        <v>87</v>
      </c>
      <c r="T223" s="18">
        <v>5333</v>
      </c>
      <c r="U223" s="18">
        <v>1955</v>
      </c>
      <c r="V223" s="17">
        <v>695717</v>
      </c>
      <c r="W223" s="18">
        <v>244</v>
      </c>
      <c r="X223" s="18">
        <v>23316</v>
      </c>
      <c r="Y223" s="18">
        <v>2311</v>
      </c>
      <c r="Z223" s="18">
        <v>669846</v>
      </c>
      <c r="AA223" s="19">
        <v>1572404</v>
      </c>
    </row>
    <row r="224" spans="1:27" ht="13.2" x14ac:dyDescent="0.25">
      <c r="A224" s="16">
        <v>44251</v>
      </c>
      <c r="B224" s="17">
        <v>17427</v>
      </c>
      <c r="E224" s="18">
        <v>1</v>
      </c>
      <c r="F224" s="18">
        <v>17426</v>
      </c>
      <c r="G224" s="17">
        <v>853526</v>
      </c>
      <c r="I224" s="18">
        <v>30058</v>
      </c>
      <c r="K224" s="18">
        <v>823468</v>
      </c>
      <c r="L224" s="17">
        <v>4367</v>
      </c>
      <c r="N224" s="18">
        <v>3</v>
      </c>
      <c r="P224" s="18">
        <v>4364</v>
      </c>
      <c r="Q224" s="17">
        <v>7392</v>
      </c>
      <c r="R224" s="18">
        <v>80</v>
      </c>
      <c r="T224" s="18">
        <v>5333</v>
      </c>
      <c r="U224" s="18">
        <v>1979</v>
      </c>
      <c r="V224" s="17">
        <v>700314</v>
      </c>
      <c r="W224" s="18">
        <v>219</v>
      </c>
      <c r="X224" s="18">
        <v>23354</v>
      </c>
      <c r="Y224" s="18">
        <v>2311</v>
      </c>
      <c r="Z224" s="18">
        <v>674430</v>
      </c>
      <c r="AA224" s="19">
        <v>1583026</v>
      </c>
    </row>
    <row r="225" spans="1:27" ht="13.2" x14ac:dyDescent="0.25">
      <c r="A225" s="16">
        <v>44252</v>
      </c>
      <c r="B225" s="17">
        <v>17431</v>
      </c>
      <c r="E225" s="18">
        <v>1</v>
      </c>
      <c r="F225" s="18">
        <v>17430</v>
      </c>
      <c r="G225" s="17">
        <v>855359</v>
      </c>
      <c r="I225" s="18">
        <v>27501</v>
      </c>
      <c r="K225" s="18">
        <v>827858</v>
      </c>
      <c r="L225" s="17">
        <v>4378</v>
      </c>
      <c r="N225" s="18">
        <v>2</v>
      </c>
      <c r="P225" s="18">
        <v>4376</v>
      </c>
      <c r="Q225" s="17">
        <v>7415</v>
      </c>
      <c r="R225" s="18">
        <v>80</v>
      </c>
      <c r="T225" s="18">
        <v>5333</v>
      </c>
      <c r="U225" s="18">
        <v>2002</v>
      </c>
      <c r="V225" s="17">
        <v>702398</v>
      </c>
      <c r="W225" s="18">
        <v>202</v>
      </c>
      <c r="X225" s="18">
        <v>21526</v>
      </c>
      <c r="Y225" s="18">
        <v>2311</v>
      </c>
      <c r="Z225" s="18">
        <v>678359</v>
      </c>
      <c r="AA225" s="19">
        <v>1586981</v>
      </c>
    </row>
    <row r="226" spans="1:27" ht="13.2" x14ac:dyDescent="0.25">
      <c r="A226" s="16">
        <v>44253</v>
      </c>
      <c r="B226" s="17">
        <v>17451</v>
      </c>
      <c r="E226" s="18">
        <v>1</v>
      </c>
      <c r="F226" s="18">
        <v>17450</v>
      </c>
      <c r="G226" s="17">
        <v>870125</v>
      </c>
      <c r="I226" s="18">
        <v>36176</v>
      </c>
      <c r="K226" s="18">
        <v>833949</v>
      </c>
      <c r="L226" s="17">
        <v>4416</v>
      </c>
      <c r="N226" s="18">
        <v>2</v>
      </c>
      <c r="P226" s="18">
        <v>4414</v>
      </c>
      <c r="Q226" s="17">
        <v>7440</v>
      </c>
      <c r="R226" s="18">
        <v>87</v>
      </c>
      <c r="T226" s="18">
        <v>5333</v>
      </c>
      <c r="U226" s="18">
        <v>2020</v>
      </c>
      <c r="V226" s="17">
        <v>711023</v>
      </c>
      <c r="W226" s="18">
        <v>201</v>
      </c>
      <c r="X226" s="18">
        <v>26375</v>
      </c>
      <c r="Y226" s="18">
        <v>2311</v>
      </c>
      <c r="Z226" s="18">
        <v>682136</v>
      </c>
      <c r="AA226" s="19">
        <v>1610455</v>
      </c>
    </row>
    <row r="227" spans="1:27" ht="13.2" x14ac:dyDescent="0.25">
      <c r="A227" s="16">
        <v>44254</v>
      </c>
      <c r="B227" s="17">
        <v>17454</v>
      </c>
      <c r="E227" s="18">
        <v>1</v>
      </c>
      <c r="F227" s="18">
        <v>17453</v>
      </c>
      <c r="G227" s="17">
        <v>878966</v>
      </c>
      <c r="I227" s="18">
        <v>40016</v>
      </c>
      <c r="K227" s="18">
        <v>838950</v>
      </c>
      <c r="L227" s="17">
        <v>4439</v>
      </c>
      <c r="N227" s="18">
        <v>3</v>
      </c>
      <c r="P227" s="18">
        <v>4436</v>
      </c>
      <c r="Q227" s="17">
        <v>7464</v>
      </c>
      <c r="R227" s="18">
        <v>95</v>
      </c>
      <c r="T227" s="18">
        <v>5333</v>
      </c>
      <c r="U227" s="18">
        <v>2036</v>
      </c>
      <c r="V227" s="17">
        <v>714770</v>
      </c>
      <c r="W227" s="18">
        <v>216</v>
      </c>
      <c r="X227" s="18">
        <v>27044</v>
      </c>
      <c r="Y227" s="18">
        <v>2311</v>
      </c>
      <c r="Z227" s="18">
        <v>685199</v>
      </c>
      <c r="AA227" s="19">
        <v>1623093</v>
      </c>
    </row>
    <row r="228" spans="1:27" ht="13.2" x14ac:dyDescent="0.25">
      <c r="A228" s="16">
        <v>44255</v>
      </c>
      <c r="B228" s="17">
        <v>17463</v>
      </c>
      <c r="E228" s="18">
        <v>1</v>
      </c>
      <c r="F228" s="18">
        <v>17462</v>
      </c>
      <c r="G228" s="17">
        <v>886591</v>
      </c>
      <c r="I228" s="18">
        <v>44028</v>
      </c>
      <c r="K228" s="18">
        <v>842563</v>
      </c>
      <c r="L228" s="17">
        <v>4452</v>
      </c>
      <c r="N228" s="18">
        <v>3</v>
      </c>
      <c r="P228" s="18">
        <v>4449</v>
      </c>
      <c r="Q228" s="17">
        <v>7476</v>
      </c>
      <c r="R228" s="18">
        <v>95</v>
      </c>
      <c r="T228" s="18">
        <v>5333</v>
      </c>
      <c r="U228" s="18">
        <v>2048</v>
      </c>
      <c r="V228" s="17">
        <v>717950</v>
      </c>
      <c r="W228" s="18">
        <v>197</v>
      </c>
      <c r="X228" s="18">
        <v>28717</v>
      </c>
      <c r="Y228" s="18">
        <v>2311</v>
      </c>
      <c r="Z228" s="18">
        <v>686725</v>
      </c>
      <c r="AA228" s="19">
        <v>1633932</v>
      </c>
    </row>
    <row r="229" spans="1:27" ht="13.2" x14ac:dyDescent="0.25">
      <c r="A229" s="16">
        <v>44256</v>
      </c>
      <c r="B229" s="17">
        <v>17465</v>
      </c>
      <c r="E229" s="18">
        <v>1</v>
      </c>
      <c r="F229" s="18">
        <v>17464</v>
      </c>
      <c r="G229" s="17">
        <v>892380</v>
      </c>
      <c r="I229" s="18">
        <v>43016</v>
      </c>
      <c r="K229" s="18">
        <v>849364</v>
      </c>
      <c r="L229" s="17">
        <v>4486</v>
      </c>
      <c r="N229" s="18">
        <v>3</v>
      </c>
      <c r="P229" s="18">
        <v>4483</v>
      </c>
      <c r="Q229" s="17">
        <v>7489</v>
      </c>
      <c r="R229" s="18">
        <v>86</v>
      </c>
      <c r="T229" s="18">
        <v>5333</v>
      </c>
      <c r="U229" s="18">
        <v>2070</v>
      </c>
      <c r="V229" s="17">
        <v>719998</v>
      </c>
      <c r="W229" s="18">
        <v>175</v>
      </c>
      <c r="X229" s="18">
        <v>27536</v>
      </c>
      <c r="Y229" s="18">
        <v>2311</v>
      </c>
      <c r="Z229" s="18">
        <v>689976</v>
      </c>
      <c r="AA229" s="19">
        <v>1641818</v>
      </c>
    </row>
    <row r="230" spans="1:27" ht="13.2" x14ac:dyDescent="0.25">
      <c r="A230" s="16">
        <v>44257</v>
      </c>
      <c r="B230" s="17">
        <v>17469</v>
      </c>
      <c r="E230" s="18">
        <v>1</v>
      </c>
      <c r="F230" s="18">
        <v>17468</v>
      </c>
      <c r="G230" s="17">
        <v>893201</v>
      </c>
      <c r="I230" s="18">
        <v>39762</v>
      </c>
      <c r="K230" s="18">
        <v>853439</v>
      </c>
      <c r="L230" s="17">
        <v>4486</v>
      </c>
      <c r="N230" s="18">
        <v>2</v>
      </c>
      <c r="P230" s="18">
        <v>4484</v>
      </c>
      <c r="Q230" s="17">
        <v>7492</v>
      </c>
      <c r="R230" s="18">
        <v>74</v>
      </c>
      <c r="T230" s="18">
        <v>5333</v>
      </c>
      <c r="U230" s="18">
        <v>2085</v>
      </c>
      <c r="V230" s="17">
        <v>721613</v>
      </c>
      <c r="W230" s="18">
        <v>165</v>
      </c>
      <c r="X230" s="18">
        <v>25068</v>
      </c>
      <c r="Y230" s="18">
        <v>2311</v>
      </c>
      <c r="Z230" s="18">
        <v>694069</v>
      </c>
      <c r="AA230" s="19">
        <v>1644261</v>
      </c>
    </row>
    <row r="231" spans="1:27" ht="13.2" x14ac:dyDescent="0.25">
      <c r="A231" s="16">
        <v>44258</v>
      </c>
      <c r="B231" s="17">
        <v>17469</v>
      </c>
      <c r="E231" s="18">
        <v>1</v>
      </c>
      <c r="F231" s="18">
        <v>17468</v>
      </c>
      <c r="G231" s="17">
        <v>895034</v>
      </c>
      <c r="I231" s="18">
        <v>36067</v>
      </c>
      <c r="K231" s="18">
        <v>858967</v>
      </c>
      <c r="L231" s="17">
        <v>4505</v>
      </c>
      <c r="N231" s="18">
        <v>2</v>
      </c>
      <c r="P231" s="18">
        <v>4503</v>
      </c>
      <c r="Q231" s="17">
        <v>7505</v>
      </c>
      <c r="R231" s="18">
        <v>72</v>
      </c>
      <c r="T231" s="18">
        <v>5333</v>
      </c>
      <c r="U231" s="18">
        <v>2100</v>
      </c>
      <c r="V231" s="17">
        <v>723389</v>
      </c>
      <c r="W231" s="18">
        <v>160</v>
      </c>
      <c r="X231" s="18">
        <v>22614</v>
      </c>
      <c r="Y231" s="18">
        <v>2311</v>
      </c>
      <c r="Z231" s="18">
        <v>698304</v>
      </c>
      <c r="AA231" s="19">
        <v>1647902</v>
      </c>
    </row>
    <row r="232" spans="1:27" ht="13.2" x14ac:dyDescent="0.25">
      <c r="A232" s="16">
        <v>44259</v>
      </c>
      <c r="B232" s="17">
        <v>17476</v>
      </c>
      <c r="E232" s="18">
        <v>1</v>
      </c>
      <c r="F232" s="18">
        <v>17475</v>
      </c>
      <c r="G232" s="17">
        <v>903633</v>
      </c>
      <c r="I232" s="18">
        <v>36710</v>
      </c>
      <c r="K232" s="18">
        <v>866923</v>
      </c>
      <c r="L232" s="17">
        <v>4546</v>
      </c>
      <c r="N232" s="18">
        <v>1</v>
      </c>
      <c r="P232" s="18">
        <v>4545</v>
      </c>
      <c r="Q232" s="17">
        <v>7537</v>
      </c>
      <c r="R232" s="18">
        <v>75</v>
      </c>
      <c r="T232" s="18">
        <v>5333</v>
      </c>
      <c r="U232" s="18">
        <v>2129</v>
      </c>
      <c r="V232" s="17">
        <v>727084</v>
      </c>
      <c r="W232" s="18">
        <v>172</v>
      </c>
      <c r="X232" s="18">
        <v>21702</v>
      </c>
      <c r="Y232" s="18">
        <v>2311</v>
      </c>
      <c r="Z232" s="18">
        <v>702899</v>
      </c>
      <c r="AA232" s="19">
        <v>1660276</v>
      </c>
    </row>
    <row r="233" spans="1:27" ht="13.2" x14ac:dyDescent="0.25">
      <c r="A233" s="16">
        <v>44260</v>
      </c>
      <c r="B233" s="17">
        <v>17476</v>
      </c>
      <c r="E233" s="18">
        <v>1</v>
      </c>
      <c r="F233" s="18">
        <v>17475</v>
      </c>
      <c r="G233" s="17">
        <v>917412</v>
      </c>
      <c r="I233" s="18">
        <v>40960</v>
      </c>
      <c r="K233" s="18">
        <v>876452</v>
      </c>
      <c r="L233" s="17">
        <v>4578</v>
      </c>
      <c r="N233" s="18">
        <v>7</v>
      </c>
      <c r="P233" s="18">
        <v>4571</v>
      </c>
      <c r="Q233" s="17">
        <v>7553</v>
      </c>
      <c r="R233" s="18">
        <v>74</v>
      </c>
      <c r="T233" s="18">
        <v>5333</v>
      </c>
      <c r="U233" s="18">
        <v>2146</v>
      </c>
      <c r="V233" s="17">
        <v>732002</v>
      </c>
      <c r="W233" s="18">
        <v>165</v>
      </c>
      <c r="X233" s="18">
        <v>21808</v>
      </c>
      <c r="Y233" s="18">
        <v>2311</v>
      </c>
      <c r="Z233" s="18">
        <v>707718</v>
      </c>
      <c r="AA233" s="19">
        <v>1679021</v>
      </c>
    </row>
    <row r="234" spans="1:27" ht="13.2" x14ac:dyDescent="0.25">
      <c r="A234" s="16">
        <v>44261</v>
      </c>
      <c r="B234" s="17">
        <v>17476</v>
      </c>
      <c r="E234" s="18">
        <v>1</v>
      </c>
      <c r="F234" s="18">
        <v>17475</v>
      </c>
      <c r="G234" s="17">
        <v>927216</v>
      </c>
      <c r="I234" s="18">
        <v>45316</v>
      </c>
      <c r="K234" s="18">
        <v>881900</v>
      </c>
      <c r="L234" s="17">
        <v>4641</v>
      </c>
      <c r="N234" s="18">
        <v>11</v>
      </c>
      <c r="P234" s="18">
        <v>4630</v>
      </c>
      <c r="Q234" s="17">
        <v>7575</v>
      </c>
      <c r="R234" s="18">
        <v>76</v>
      </c>
      <c r="T234" s="18">
        <v>5333</v>
      </c>
      <c r="U234" s="18">
        <v>2166</v>
      </c>
      <c r="V234" s="17">
        <v>736043</v>
      </c>
      <c r="W234" s="18">
        <v>165</v>
      </c>
      <c r="X234" s="18">
        <v>22876</v>
      </c>
      <c r="Y234" s="18">
        <v>2311</v>
      </c>
      <c r="Z234" s="18">
        <v>710691</v>
      </c>
      <c r="AA234" s="19">
        <v>1692951</v>
      </c>
    </row>
    <row r="235" spans="1:27" ht="13.2" x14ac:dyDescent="0.25">
      <c r="A235" s="16">
        <v>44262</v>
      </c>
      <c r="B235" s="17">
        <v>17479</v>
      </c>
      <c r="E235" s="18">
        <v>1</v>
      </c>
      <c r="F235" s="18">
        <v>17478</v>
      </c>
      <c r="G235" s="17">
        <v>935157</v>
      </c>
      <c r="I235" s="18">
        <v>42752</v>
      </c>
      <c r="K235" s="18">
        <v>892405</v>
      </c>
      <c r="L235" s="17">
        <v>4695</v>
      </c>
      <c r="N235" s="18">
        <v>12</v>
      </c>
      <c r="P235" s="18">
        <v>4683</v>
      </c>
      <c r="Q235" s="17">
        <v>7596</v>
      </c>
      <c r="R235" s="18">
        <v>68</v>
      </c>
      <c r="T235" s="18">
        <v>5333</v>
      </c>
      <c r="U235" s="18">
        <v>2195</v>
      </c>
      <c r="V235" s="17">
        <v>739274</v>
      </c>
      <c r="W235" s="18">
        <v>170</v>
      </c>
      <c r="X235" s="18">
        <v>20169</v>
      </c>
      <c r="Y235" s="18">
        <v>2311</v>
      </c>
      <c r="Z235" s="18">
        <v>716624</v>
      </c>
      <c r="AA235" s="19">
        <v>1704201</v>
      </c>
    </row>
    <row r="236" spans="1:27" ht="13.2" x14ac:dyDescent="0.25">
      <c r="A236" s="16">
        <v>44263</v>
      </c>
      <c r="B236" s="17">
        <v>17481</v>
      </c>
      <c r="E236" s="18">
        <v>1</v>
      </c>
      <c r="F236" s="18">
        <v>17480</v>
      </c>
      <c r="G236" s="17">
        <v>943553</v>
      </c>
      <c r="I236" s="18">
        <v>49087</v>
      </c>
      <c r="K236" s="18">
        <v>894466</v>
      </c>
      <c r="L236" s="17">
        <v>4743</v>
      </c>
      <c r="N236" s="18">
        <v>12</v>
      </c>
      <c r="P236" s="18">
        <v>4731</v>
      </c>
      <c r="Q236" s="17">
        <v>7611</v>
      </c>
      <c r="R236" s="18">
        <v>76</v>
      </c>
      <c r="T236" s="18">
        <v>5333</v>
      </c>
      <c r="U236" s="18">
        <v>2202</v>
      </c>
      <c r="V236" s="17">
        <v>741605</v>
      </c>
      <c r="W236" s="18">
        <v>208</v>
      </c>
      <c r="X236" s="18">
        <v>21991</v>
      </c>
      <c r="Y236" s="18">
        <v>2311</v>
      </c>
      <c r="Z236" s="18">
        <v>717095</v>
      </c>
      <c r="AA236" s="19">
        <v>1714993</v>
      </c>
    </row>
    <row r="237" spans="1:27" ht="13.2" x14ac:dyDescent="0.25">
      <c r="A237" s="16">
        <v>44264</v>
      </c>
      <c r="B237" s="17">
        <v>17481</v>
      </c>
      <c r="E237" s="18">
        <v>1</v>
      </c>
      <c r="F237" s="18">
        <v>17480</v>
      </c>
      <c r="G237" s="17">
        <v>945905</v>
      </c>
      <c r="I237" s="18">
        <v>45606</v>
      </c>
      <c r="K237" s="18">
        <v>900299</v>
      </c>
      <c r="L237" s="17">
        <v>4743</v>
      </c>
      <c r="N237" s="18">
        <v>12</v>
      </c>
      <c r="P237" s="18">
        <v>4731</v>
      </c>
      <c r="Q237" s="17">
        <v>7613</v>
      </c>
      <c r="R237" s="18">
        <v>60</v>
      </c>
      <c r="T237" s="18">
        <v>5333</v>
      </c>
      <c r="U237" s="18">
        <v>2220</v>
      </c>
      <c r="V237" s="17">
        <v>742400</v>
      </c>
      <c r="W237" s="18">
        <v>192</v>
      </c>
      <c r="X237" s="18">
        <v>19539</v>
      </c>
      <c r="Y237" s="18">
        <v>2311</v>
      </c>
      <c r="Z237" s="18">
        <v>720358</v>
      </c>
      <c r="AA237" s="19">
        <v>1718142</v>
      </c>
    </row>
    <row r="238" spans="1:27" ht="13.2" x14ac:dyDescent="0.25">
      <c r="A238" s="16">
        <v>44265</v>
      </c>
      <c r="B238" s="17">
        <v>17485</v>
      </c>
      <c r="E238" s="18">
        <v>1</v>
      </c>
      <c r="F238" s="18">
        <v>17484</v>
      </c>
      <c r="G238" s="17">
        <v>947565</v>
      </c>
      <c r="I238" s="18">
        <v>41371</v>
      </c>
      <c r="K238" s="18">
        <v>906194</v>
      </c>
      <c r="L238" s="17">
        <v>4757</v>
      </c>
      <c r="N238" s="18">
        <v>12</v>
      </c>
      <c r="P238" s="18">
        <v>4745</v>
      </c>
      <c r="Q238" s="17">
        <v>7628</v>
      </c>
      <c r="R238" s="18">
        <v>55</v>
      </c>
      <c r="T238" s="18">
        <v>5333</v>
      </c>
      <c r="U238" s="18">
        <v>2240</v>
      </c>
      <c r="V238" s="17">
        <v>743890</v>
      </c>
      <c r="W238" s="18">
        <v>191</v>
      </c>
      <c r="X238" s="18">
        <v>17864</v>
      </c>
      <c r="Y238" s="18">
        <v>2311</v>
      </c>
      <c r="Z238" s="18">
        <v>723524</v>
      </c>
      <c r="AA238" s="19">
        <v>1721325</v>
      </c>
    </row>
    <row r="239" spans="1:27" ht="13.2" x14ac:dyDescent="0.25">
      <c r="A239" s="16">
        <v>44266</v>
      </c>
      <c r="B239" s="17">
        <v>17487</v>
      </c>
      <c r="E239" s="18">
        <v>1</v>
      </c>
      <c r="F239" s="18">
        <v>17486</v>
      </c>
      <c r="G239" s="17">
        <v>960815</v>
      </c>
      <c r="I239" s="18">
        <v>44639</v>
      </c>
      <c r="K239" s="18">
        <v>916176</v>
      </c>
      <c r="L239" s="17">
        <v>4776</v>
      </c>
      <c r="N239" s="18">
        <v>14</v>
      </c>
      <c r="P239" s="18">
        <v>4762</v>
      </c>
      <c r="Q239" s="17">
        <v>7645</v>
      </c>
      <c r="R239" s="18">
        <v>55</v>
      </c>
      <c r="T239" s="18">
        <v>5333</v>
      </c>
      <c r="U239" s="18">
        <v>2257</v>
      </c>
      <c r="V239" s="17">
        <v>748586</v>
      </c>
      <c r="W239" s="18">
        <v>206</v>
      </c>
      <c r="X239" s="18">
        <v>19379</v>
      </c>
      <c r="Y239" s="18">
        <v>2311</v>
      </c>
      <c r="Z239" s="18">
        <v>726690</v>
      </c>
      <c r="AA239" s="19">
        <v>1739309</v>
      </c>
    </row>
    <row r="240" spans="1:27" ht="13.2" x14ac:dyDescent="0.25">
      <c r="A240" s="16">
        <v>44267</v>
      </c>
      <c r="B240" s="17">
        <v>17504</v>
      </c>
      <c r="E240" s="18">
        <v>1</v>
      </c>
      <c r="F240" s="18">
        <v>17503</v>
      </c>
      <c r="G240" s="17">
        <v>962666</v>
      </c>
      <c r="I240" s="18">
        <v>40560</v>
      </c>
      <c r="K240" s="18">
        <v>922106</v>
      </c>
      <c r="L240" s="17">
        <v>4803</v>
      </c>
      <c r="N240" s="18">
        <v>19</v>
      </c>
      <c r="P240" s="18">
        <v>4784</v>
      </c>
      <c r="Q240" s="17">
        <v>7695</v>
      </c>
      <c r="R240" s="18">
        <v>72</v>
      </c>
      <c r="T240" s="18">
        <v>5333</v>
      </c>
      <c r="U240" s="18">
        <v>2290</v>
      </c>
      <c r="V240" s="17">
        <v>750353</v>
      </c>
      <c r="W240" s="18">
        <v>208</v>
      </c>
      <c r="X240" s="18">
        <v>17904</v>
      </c>
      <c r="Y240" s="18">
        <v>2311</v>
      </c>
      <c r="Z240" s="18">
        <v>729930</v>
      </c>
      <c r="AA240" s="19">
        <v>1743021</v>
      </c>
    </row>
    <row r="241" spans="1:27" ht="13.2" x14ac:dyDescent="0.25">
      <c r="A241" s="16">
        <v>44268</v>
      </c>
      <c r="B241" s="17">
        <v>17504</v>
      </c>
      <c r="E241" s="18">
        <v>1</v>
      </c>
      <c r="F241" s="18">
        <v>17503</v>
      </c>
      <c r="G241" s="17">
        <v>972395</v>
      </c>
      <c r="I241" s="18">
        <v>44581</v>
      </c>
      <c r="K241" s="18">
        <v>927814</v>
      </c>
      <c r="L241" s="17">
        <v>4803</v>
      </c>
      <c r="N241" s="18">
        <v>19</v>
      </c>
      <c r="P241" s="18">
        <v>4784</v>
      </c>
      <c r="Q241" s="17">
        <v>7698</v>
      </c>
      <c r="R241" s="18">
        <v>69</v>
      </c>
      <c r="T241" s="18">
        <v>5333</v>
      </c>
      <c r="U241" s="18">
        <v>2296</v>
      </c>
      <c r="V241" s="17">
        <v>753779</v>
      </c>
      <c r="W241" s="18">
        <v>195</v>
      </c>
      <c r="X241" s="18">
        <v>19258</v>
      </c>
      <c r="Y241" s="18">
        <v>2311</v>
      </c>
      <c r="Z241" s="18">
        <v>732015</v>
      </c>
      <c r="AA241" s="19">
        <v>1756179</v>
      </c>
    </row>
    <row r="242" spans="1:27" ht="13.2" x14ac:dyDescent="0.25">
      <c r="A242" s="16">
        <v>44269</v>
      </c>
      <c r="B242" s="17">
        <v>17504</v>
      </c>
      <c r="E242" s="18">
        <v>1</v>
      </c>
      <c r="F242" s="18">
        <v>17503</v>
      </c>
      <c r="G242" s="17">
        <v>979360</v>
      </c>
      <c r="I242" s="18">
        <v>47868</v>
      </c>
      <c r="K242" s="18">
        <v>931492</v>
      </c>
      <c r="L242" s="17">
        <v>4852</v>
      </c>
      <c r="N242" s="18">
        <v>20</v>
      </c>
      <c r="P242" s="18">
        <v>4832</v>
      </c>
      <c r="Q242" s="17">
        <v>7720</v>
      </c>
      <c r="R242" s="18">
        <v>84</v>
      </c>
      <c r="T242" s="18">
        <v>5333</v>
      </c>
      <c r="U242" s="18">
        <v>2303</v>
      </c>
      <c r="V242" s="17">
        <v>756544</v>
      </c>
      <c r="W242" s="18">
        <v>219</v>
      </c>
      <c r="X242" s="18">
        <v>20805</v>
      </c>
      <c r="Y242" s="18">
        <v>2311</v>
      </c>
      <c r="Z242" s="18">
        <v>733209</v>
      </c>
      <c r="AA242" s="19">
        <v>1765980</v>
      </c>
    </row>
    <row r="243" spans="1:27" ht="13.2" x14ac:dyDescent="0.25">
      <c r="A243" s="16">
        <v>44270</v>
      </c>
      <c r="B243" s="17">
        <v>17504</v>
      </c>
      <c r="E243" s="18">
        <v>1</v>
      </c>
      <c r="F243" s="18">
        <v>17503</v>
      </c>
      <c r="G243" s="17">
        <v>979825</v>
      </c>
      <c r="I243" s="18">
        <v>41020</v>
      </c>
      <c r="K243" s="18">
        <v>938805</v>
      </c>
      <c r="L243" s="17">
        <v>4880</v>
      </c>
      <c r="N243" s="18">
        <v>16</v>
      </c>
      <c r="P243" s="18">
        <v>4864</v>
      </c>
      <c r="Q243" s="17">
        <v>7740</v>
      </c>
      <c r="R243" s="18">
        <v>84</v>
      </c>
      <c r="T243" s="18">
        <v>5333</v>
      </c>
      <c r="U243" s="18">
        <v>2323</v>
      </c>
      <c r="V243" s="17">
        <v>757385</v>
      </c>
      <c r="W243" s="18">
        <v>254</v>
      </c>
      <c r="X243" s="18">
        <v>18240</v>
      </c>
      <c r="Y243" s="18">
        <v>2311</v>
      </c>
      <c r="Z243" s="18">
        <v>736580</v>
      </c>
      <c r="AA243" s="19">
        <v>1767334</v>
      </c>
    </row>
    <row r="244" spans="1:27" ht="13.2" x14ac:dyDescent="0.25">
      <c r="A244" s="16">
        <v>44271</v>
      </c>
      <c r="B244" s="17">
        <v>17504</v>
      </c>
      <c r="E244" s="18">
        <v>1</v>
      </c>
      <c r="F244" s="18">
        <v>17503</v>
      </c>
      <c r="G244" s="17">
        <v>987745</v>
      </c>
      <c r="I244" s="18">
        <v>41419</v>
      </c>
      <c r="K244" s="18">
        <v>946326</v>
      </c>
      <c r="L244" s="17">
        <v>4887</v>
      </c>
      <c r="N244" s="18">
        <v>16</v>
      </c>
      <c r="P244" s="18">
        <v>4871</v>
      </c>
      <c r="Q244" s="17">
        <v>7796</v>
      </c>
      <c r="R244" s="18">
        <v>75</v>
      </c>
      <c r="T244" s="18">
        <v>5384</v>
      </c>
      <c r="U244" s="18">
        <v>2337</v>
      </c>
      <c r="V244" s="17">
        <v>759394</v>
      </c>
      <c r="W244" s="18">
        <v>238</v>
      </c>
      <c r="X244" s="18">
        <v>17365</v>
      </c>
      <c r="Y244" s="18">
        <v>2311</v>
      </c>
      <c r="Z244" s="18">
        <v>739480</v>
      </c>
      <c r="AA244" s="19">
        <v>1777326</v>
      </c>
    </row>
    <row r="245" spans="1:27" ht="13.2" x14ac:dyDescent="0.25">
      <c r="A245" s="16">
        <v>44272</v>
      </c>
      <c r="B245" s="17">
        <v>17507</v>
      </c>
      <c r="E245" s="18">
        <v>1</v>
      </c>
      <c r="F245" s="18">
        <v>17506</v>
      </c>
      <c r="G245" s="17">
        <v>995035</v>
      </c>
      <c r="I245" s="18">
        <v>39830</v>
      </c>
      <c r="K245" s="18">
        <v>955205</v>
      </c>
      <c r="L245" s="17">
        <v>4943</v>
      </c>
      <c r="N245" s="18">
        <v>8</v>
      </c>
      <c r="P245" s="18">
        <v>4935</v>
      </c>
      <c r="Q245" s="17">
        <v>7829</v>
      </c>
      <c r="R245" s="18">
        <v>70</v>
      </c>
      <c r="T245" s="18">
        <v>5403</v>
      </c>
      <c r="U245" s="18">
        <v>2356</v>
      </c>
      <c r="V245" s="17">
        <v>762619</v>
      </c>
      <c r="W245" s="18">
        <v>230</v>
      </c>
      <c r="X245" s="18">
        <v>17072</v>
      </c>
      <c r="Y245" s="18">
        <v>2311</v>
      </c>
      <c r="Z245" s="18">
        <v>743006</v>
      </c>
      <c r="AA245" s="19">
        <v>1787933</v>
      </c>
    </row>
    <row r="246" spans="1:27" ht="13.2" x14ac:dyDescent="0.25">
      <c r="A246" s="16">
        <v>44273</v>
      </c>
      <c r="B246" s="17">
        <v>17512</v>
      </c>
      <c r="E246" s="18">
        <v>1</v>
      </c>
      <c r="F246" s="18">
        <v>17511</v>
      </c>
      <c r="G246" s="17">
        <v>1002426</v>
      </c>
      <c r="I246" s="18">
        <v>39394</v>
      </c>
      <c r="K246" s="18">
        <v>963032</v>
      </c>
      <c r="L246" s="17">
        <v>5012</v>
      </c>
      <c r="N246" s="18">
        <v>8</v>
      </c>
      <c r="P246" s="18">
        <v>5004</v>
      </c>
      <c r="Q246" s="17">
        <v>7888</v>
      </c>
      <c r="R246" s="18">
        <v>83</v>
      </c>
      <c r="T246" s="18">
        <v>5436</v>
      </c>
      <c r="U246" s="18">
        <v>2369</v>
      </c>
      <c r="V246" s="17">
        <v>766140</v>
      </c>
      <c r="W246" s="18">
        <v>241</v>
      </c>
      <c r="X246" s="18">
        <v>17178</v>
      </c>
      <c r="Y246" s="18">
        <v>2311</v>
      </c>
      <c r="Z246" s="18">
        <v>746410</v>
      </c>
      <c r="AA246" s="19">
        <v>1798978</v>
      </c>
    </row>
    <row r="247" spans="1:27" ht="13.2" x14ac:dyDescent="0.25">
      <c r="A247" s="16">
        <v>44274</v>
      </c>
      <c r="B247" s="17">
        <v>17527</v>
      </c>
      <c r="E247" s="18">
        <v>1</v>
      </c>
      <c r="F247" s="18">
        <v>17526</v>
      </c>
      <c r="G247" s="17">
        <v>1003713</v>
      </c>
      <c r="I247" s="18">
        <v>34021</v>
      </c>
      <c r="K247" s="18">
        <v>969692</v>
      </c>
      <c r="L247" s="17">
        <v>5058</v>
      </c>
      <c r="N247" s="18">
        <v>7</v>
      </c>
      <c r="P247" s="18">
        <v>5051</v>
      </c>
      <c r="Q247" s="17">
        <v>7903</v>
      </c>
      <c r="R247" s="18">
        <v>84</v>
      </c>
      <c r="T247" s="18">
        <v>5436</v>
      </c>
      <c r="U247" s="18">
        <v>2383</v>
      </c>
      <c r="V247" s="17">
        <v>768009</v>
      </c>
      <c r="W247" s="18">
        <v>200</v>
      </c>
      <c r="X247" s="18">
        <v>16389</v>
      </c>
      <c r="Y247" s="18">
        <v>2311</v>
      </c>
      <c r="Z247" s="18">
        <v>749109</v>
      </c>
      <c r="AA247" s="19">
        <v>1802210</v>
      </c>
    </row>
    <row r="248" spans="1:27" ht="13.2" x14ac:dyDescent="0.25">
      <c r="A248" s="16">
        <v>44275</v>
      </c>
      <c r="B248" s="17">
        <v>17527</v>
      </c>
      <c r="E248" s="18">
        <v>1</v>
      </c>
      <c r="F248" s="18">
        <v>17526</v>
      </c>
      <c r="G248" s="17">
        <v>1017886</v>
      </c>
      <c r="I248" s="18">
        <v>40476</v>
      </c>
      <c r="K248" s="18">
        <v>977410</v>
      </c>
      <c r="L248" s="17">
        <v>5097</v>
      </c>
      <c r="N248" s="18">
        <v>7</v>
      </c>
      <c r="P248" s="18">
        <v>5090</v>
      </c>
      <c r="Q248" s="17">
        <v>7917</v>
      </c>
      <c r="R248" s="18">
        <v>81</v>
      </c>
      <c r="T248" s="18">
        <v>5436</v>
      </c>
      <c r="U248" s="18">
        <v>2400</v>
      </c>
      <c r="V248" s="17">
        <v>772766</v>
      </c>
      <c r="W248" s="18">
        <v>205</v>
      </c>
      <c r="X248" s="18">
        <v>18291</v>
      </c>
      <c r="Y248" s="18">
        <v>2311</v>
      </c>
      <c r="Z248" s="18">
        <v>751959</v>
      </c>
      <c r="AA248" s="19">
        <v>1821193</v>
      </c>
    </row>
    <row r="249" spans="1:27" ht="13.2" x14ac:dyDescent="0.25">
      <c r="A249" s="16">
        <v>44276</v>
      </c>
      <c r="B249" s="17">
        <v>17527</v>
      </c>
      <c r="E249" s="18">
        <v>1</v>
      </c>
      <c r="F249" s="18">
        <f t="shared" ref="F249:F411" si="0">B249-E249</f>
        <v>17526</v>
      </c>
      <c r="G249" s="17">
        <v>1019291</v>
      </c>
      <c r="I249" s="18">
        <v>759</v>
      </c>
      <c r="K249" s="7">
        <f t="shared" ref="K249:K411" si="1">G249-I249</f>
        <v>1018532</v>
      </c>
      <c r="L249" s="17">
        <v>5117</v>
      </c>
      <c r="N249" s="18">
        <v>1</v>
      </c>
      <c r="P249" s="7">
        <f t="shared" ref="P249:P411" si="2">L249-N249</f>
        <v>5116</v>
      </c>
      <c r="Q249" s="17">
        <v>7930</v>
      </c>
      <c r="R249" s="18">
        <v>3</v>
      </c>
      <c r="T249" s="18">
        <v>5436</v>
      </c>
      <c r="U249" s="7">
        <f t="shared" ref="U249:U411" si="3">Q249-R249-T249</f>
        <v>2491</v>
      </c>
      <c r="V249" s="17">
        <v>774152</v>
      </c>
      <c r="W249" s="18">
        <v>22</v>
      </c>
      <c r="X249" s="18">
        <v>724</v>
      </c>
      <c r="Y249" s="18">
        <v>2311</v>
      </c>
      <c r="Z249" s="7">
        <f t="shared" ref="Z249:Z411" si="4">V249-W249-X249-Y249</f>
        <v>771095</v>
      </c>
      <c r="AA249" s="27">
        <f t="shared" ref="AA249:AA411" si="5">B249+G249+L249+Q249+V249</f>
        <v>1824017</v>
      </c>
    </row>
    <row r="250" spans="1:27" ht="13.2" x14ac:dyDescent="0.25">
      <c r="A250" s="16">
        <v>44277</v>
      </c>
      <c r="B250" s="17">
        <v>17527</v>
      </c>
      <c r="E250" s="18">
        <v>1</v>
      </c>
      <c r="F250" s="18">
        <f t="shared" si="0"/>
        <v>17526</v>
      </c>
      <c r="G250" s="17">
        <v>1034025</v>
      </c>
      <c r="I250" s="18">
        <v>10377</v>
      </c>
      <c r="K250" s="7">
        <f t="shared" si="1"/>
        <v>1023648</v>
      </c>
      <c r="L250" s="17">
        <v>5141</v>
      </c>
      <c r="N250" s="18">
        <v>1</v>
      </c>
      <c r="P250" s="7">
        <f t="shared" si="2"/>
        <v>5140</v>
      </c>
      <c r="Q250" s="17">
        <v>7996</v>
      </c>
      <c r="R250" s="18">
        <v>14</v>
      </c>
      <c r="T250" s="18">
        <v>5480</v>
      </c>
      <c r="U250" s="7">
        <f t="shared" si="3"/>
        <v>2502</v>
      </c>
      <c r="V250" s="17">
        <v>778309</v>
      </c>
      <c r="W250" s="18">
        <v>38</v>
      </c>
      <c r="X250" s="18">
        <v>3831</v>
      </c>
      <c r="Y250" s="18">
        <v>2311</v>
      </c>
      <c r="Z250" s="7">
        <f t="shared" si="4"/>
        <v>772129</v>
      </c>
      <c r="AA250" s="27">
        <f t="shared" si="5"/>
        <v>1842998</v>
      </c>
    </row>
    <row r="251" spans="1:27" ht="13.2" x14ac:dyDescent="0.25">
      <c r="A251" s="16">
        <v>44278</v>
      </c>
      <c r="B251" s="17">
        <v>17529</v>
      </c>
      <c r="E251" s="18">
        <v>1</v>
      </c>
      <c r="F251" s="18">
        <f t="shared" si="0"/>
        <v>17528</v>
      </c>
      <c r="G251" s="17">
        <v>1039836</v>
      </c>
      <c r="I251" s="18">
        <v>13526</v>
      </c>
      <c r="K251" s="7">
        <f t="shared" si="1"/>
        <v>1026310</v>
      </c>
      <c r="L251" s="17">
        <v>5141</v>
      </c>
      <c r="N251" s="18">
        <v>1</v>
      </c>
      <c r="P251" s="7">
        <f t="shared" si="2"/>
        <v>5140</v>
      </c>
      <c r="Q251" s="17">
        <v>7997</v>
      </c>
      <c r="R251" s="18">
        <v>14</v>
      </c>
      <c r="T251" s="18">
        <v>5480</v>
      </c>
      <c r="U251" s="7">
        <f t="shared" si="3"/>
        <v>2503</v>
      </c>
      <c r="V251" s="17">
        <v>780142</v>
      </c>
      <c r="W251" s="18">
        <v>38</v>
      </c>
      <c r="X251" s="18">
        <v>5280</v>
      </c>
      <c r="Y251" s="18">
        <v>2311</v>
      </c>
      <c r="Z251" s="7">
        <f t="shared" si="4"/>
        <v>772513</v>
      </c>
      <c r="AA251" s="27">
        <f t="shared" si="5"/>
        <v>1850645</v>
      </c>
    </row>
    <row r="252" spans="1:27" ht="13.2" x14ac:dyDescent="0.25">
      <c r="A252" s="16">
        <v>44279</v>
      </c>
      <c r="B252" s="17">
        <v>17529</v>
      </c>
      <c r="E252" s="18">
        <v>1</v>
      </c>
      <c r="F252" s="18">
        <f t="shared" si="0"/>
        <v>17528</v>
      </c>
      <c r="G252" s="17">
        <v>1047994</v>
      </c>
      <c r="I252" s="18">
        <v>18546</v>
      </c>
      <c r="K252" s="7">
        <f t="shared" si="1"/>
        <v>1029448</v>
      </c>
      <c r="L252" s="17">
        <v>5182</v>
      </c>
      <c r="N252" s="18">
        <v>2</v>
      </c>
      <c r="P252" s="7">
        <f t="shared" si="2"/>
        <v>5180</v>
      </c>
      <c r="Q252" s="17">
        <v>8054</v>
      </c>
      <c r="R252" s="18">
        <v>16</v>
      </c>
      <c r="T252" s="18">
        <v>5517</v>
      </c>
      <c r="U252" s="7">
        <f t="shared" si="3"/>
        <v>2521</v>
      </c>
      <c r="V252" s="17">
        <v>783708</v>
      </c>
      <c r="W252" s="18">
        <v>56</v>
      </c>
      <c r="X252" s="18">
        <v>7462</v>
      </c>
      <c r="Y252" s="18">
        <v>2311</v>
      </c>
      <c r="Z252" s="7">
        <f t="shared" si="4"/>
        <v>773879</v>
      </c>
      <c r="AA252" s="27">
        <f t="shared" si="5"/>
        <v>1862467</v>
      </c>
    </row>
    <row r="253" spans="1:27" ht="13.2" x14ac:dyDescent="0.25">
      <c r="A253" s="16">
        <v>44280</v>
      </c>
      <c r="B253" s="17">
        <v>17533</v>
      </c>
      <c r="E253" s="18">
        <v>1</v>
      </c>
      <c r="F253" s="18">
        <f t="shared" si="0"/>
        <v>17532</v>
      </c>
      <c r="G253" s="17">
        <v>1056685</v>
      </c>
      <c r="I253" s="18">
        <v>24597</v>
      </c>
      <c r="K253" s="7">
        <f t="shared" si="1"/>
        <v>1032088</v>
      </c>
      <c r="L253" s="17">
        <v>5249</v>
      </c>
      <c r="N253" s="18">
        <v>2</v>
      </c>
      <c r="P253" s="7">
        <f t="shared" si="2"/>
        <v>5247</v>
      </c>
      <c r="Q253" s="17">
        <v>8094</v>
      </c>
      <c r="R253" s="18">
        <v>21</v>
      </c>
      <c r="T253" s="18">
        <v>5543</v>
      </c>
      <c r="U253" s="7">
        <f t="shared" si="3"/>
        <v>2530</v>
      </c>
      <c r="V253" s="17">
        <v>787924</v>
      </c>
      <c r="W253" s="18">
        <v>91</v>
      </c>
      <c r="X253" s="18">
        <v>10327</v>
      </c>
      <c r="Y253" s="18">
        <v>2311</v>
      </c>
      <c r="Z253" s="7">
        <f t="shared" si="4"/>
        <v>775195</v>
      </c>
      <c r="AA253" s="27">
        <f t="shared" si="5"/>
        <v>1875485</v>
      </c>
    </row>
    <row r="254" spans="1:27" ht="13.2" x14ac:dyDescent="0.25">
      <c r="A254" s="16">
        <v>44281</v>
      </c>
      <c r="B254" s="17">
        <v>17537</v>
      </c>
      <c r="E254" s="18">
        <v>1</v>
      </c>
      <c r="F254" s="18">
        <f t="shared" si="0"/>
        <v>17536</v>
      </c>
      <c r="G254" s="17">
        <v>1065846</v>
      </c>
      <c r="I254" s="18">
        <v>30943</v>
      </c>
      <c r="K254" s="7">
        <f t="shared" si="1"/>
        <v>1034903</v>
      </c>
      <c r="L254" s="17">
        <v>5278</v>
      </c>
      <c r="N254" s="18">
        <v>2</v>
      </c>
      <c r="P254" s="7">
        <f t="shared" si="2"/>
        <v>5276</v>
      </c>
      <c r="Q254" s="17">
        <v>8110</v>
      </c>
      <c r="R254" s="18">
        <v>30</v>
      </c>
      <c r="T254" s="18">
        <v>5543</v>
      </c>
      <c r="U254" s="7">
        <f t="shared" si="3"/>
        <v>2537</v>
      </c>
      <c r="V254" s="17">
        <v>791467</v>
      </c>
      <c r="W254" s="18">
        <v>102</v>
      </c>
      <c r="X254" s="18">
        <v>12542</v>
      </c>
      <c r="Y254" s="18">
        <v>2311</v>
      </c>
      <c r="Z254" s="7">
        <f t="shared" si="4"/>
        <v>776512</v>
      </c>
      <c r="AA254" s="27">
        <f t="shared" si="5"/>
        <v>1888238</v>
      </c>
    </row>
    <row r="255" spans="1:27" ht="13.2" x14ac:dyDescent="0.25">
      <c r="A255" s="16">
        <v>44282</v>
      </c>
      <c r="B255" s="17">
        <v>17540</v>
      </c>
      <c r="E255" s="18">
        <v>1</v>
      </c>
      <c r="F255" s="18">
        <f t="shared" si="0"/>
        <v>17539</v>
      </c>
      <c r="G255" s="17">
        <v>1075628</v>
      </c>
      <c r="I255" s="18">
        <v>37354</v>
      </c>
      <c r="K255" s="7">
        <f t="shared" si="1"/>
        <v>1038274</v>
      </c>
      <c r="L255" s="17">
        <v>5309</v>
      </c>
      <c r="N255" s="18">
        <v>3</v>
      </c>
      <c r="P255" s="7">
        <f t="shared" si="2"/>
        <v>5306</v>
      </c>
      <c r="Q255" s="17">
        <v>8182</v>
      </c>
      <c r="R255" s="18">
        <v>36</v>
      </c>
      <c r="T255" s="18">
        <v>5587</v>
      </c>
      <c r="U255" s="7">
        <f t="shared" si="3"/>
        <v>2559</v>
      </c>
      <c r="V255" s="17">
        <v>795425</v>
      </c>
      <c r="W255" s="18">
        <v>119</v>
      </c>
      <c r="X255" s="18">
        <v>15131</v>
      </c>
      <c r="Y255" s="18">
        <v>2311</v>
      </c>
      <c r="Z255" s="7">
        <f t="shared" si="4"/>
        <v>777864</v>
      </c>
      <c r="AA255" s="27">
        <f t="shared" si="5"/>
        <v>1902084</v>
      </c>
    </row>
    <row r="256" spans="1:27" ht="13.2" x14ac:dyDescent="0.25">
      <c r="A256" s="16">
        <v>44283</v>
      </c>
      <c r="B256" s="17">
        <v>17540</v>
      </c>
      <c r="E256" s="18">
        <v>1</v>
      </c>
      <c r="F256" s="18">
        <f t="shared" si="0"/>
        <v>17539</v>
      </c>
      <c r="G256" s="17">
        <v>1085207</v>
      </c>
      <c r="I256" s="18">
        <v>42399</v>
      </c>
      <c r="K256" s="7">
        <f t="shared" si="1"/>
        <v>1042808</v>
      </c>
      <c r="L256" s="17">
        <v>5349</v>
      </c>
      <c r="N256" s="18">
        <v>4</v>
      </c>
      <c r="P256" s="7">
        <f t="shared" si="2"/>
        <v>5345</v>
      </c>
      <c r="Q256" s="17">
        <v>8231</v>
      </c>
      <c r="R256" s="18">
        <v>44</v>
      </c>
      <c r="T256" s="18">
        <v>5620</v>
      </c>
      <c r="U256" s="7">
        <f t="shared" si="3"/>
        <v>2567</v>
      </c>
      <c r="V256" s="17">
        <v>799308</v>
      </c>
      <c r="W256" s="18">
        <v>116</v>
      </c>
      <c r="X256" s="18">
        <v>17039</v>
      </c>
      <c r="Y256" s="18">
        <v>2311</v>
      </c>
      <c r="Z256" s="7">
        <f t="shared" si="4"/>
        <v>779842</v>
      </c>
      <c r="AA256" s="27">
        <f t="shared" si="5"/>
        <v>1915635</v>
      </c>
    </row>
    <row r="257" spans="1:27" ht="13.2" x14ac:dyDescent="0.25">
      <c r="A257" s="16">
        <v>44284</v>
      </c>
      <c r="B257" s="17">
        <v>17540</v>
      </c>
      <c r="E257" s="18">
        <v>1</v>
      </c>
      <c r="F257" s="18">
        <f t="shared" si="0"/>
        <v>17539</v>
      </c>
      <c r="G257" s="17">
        <v>1093878</v>
      </c>
      <c r="I257" s="18">
        <v>46834</v>
      </c>
      <c r="K257" s="7">
        <f t="shared" si="1"/>
        <v>1047044</v>
      </c>
      <c r="L257" s="17">
        <v>5365</v>
      </c>
      <c r="N257" s="18">
        <v>4</v>
      </c>
      <c r="P257" s="7">
        <f t="shared" si="2"/>
        <v>5361</v>
      </c>
      <c r="Q257" s="17">
        <v>8270</v>
      </c>
      <c r="R257" s="18">
        <v>52</v>
      </c>
      <c r="T257" s="18">
        <v>5648</v>
      </c>
      <c r="U257" s="7">
        <f t="shared" si="3"/>
        <v>2570</v>
      </c>
      <c r="V257" s="17">
        <v>801759</v>
      </c>
      <c r="W257" s="18">
        <v>138</v>
      </c>
      <c r="X257" s="18">
        <v>18363</v>
      </c>
      <c r="Y257" s="18">
        <v>2311</v>
      </c>
      <c r="Z257" s="7">
        <f t="shared" si="4"/>
        <v>780947</v>
      </c>
      <c r="AA257" s="27">
        <f t="shared" si="5"/>
        <v>1926812</v>
      </c>
    </row>
    <row r="258" spans="1:27" ht="13.2" x14ac:dyDescent="0.25">
      <c r="A258" s="16">
        <v>44285</v>
      </c>
      <c r="B258" s="17">
        <v>17540</v>
      </c>
      <c r="E258" s="18">
        <v>1</v>
      </c>
      <c r="F258" s="18">
        <f t="shared" si="0"/>
        <v>17539</v>
      </c>
      <c r="G258" s="17">
        <v>1101140</v>
      </c>
      <c r="I258" s="18">
        <v>51032</v>
      </c>
      <c r="K258" s="7">
        <f t="shared" si="1"/>
        <v>1050108</v>
      </c>
      <c r="L258" s="17">
        <v>5365</v>
      </c>
      <c r="N258" s="18">
        <v>4</v>
      </c>
      <c r="P258" s="7">
        <f t="shared" si="2"/>
        <v>5361</v>
      </c>
      <c r="Q258" s="17">
        <v>8320</v>
      </c>
      <c r="R258" s="18">
        <v>52</v>
      </c>
      <c r="T258" s="18">
        <v>5690</v>
      </c>
      <c r="U258" s="7">
        <f t="shared" si="3"/>
        <v>2578</v>
      </c>
      <c r="V258" s="17">
        <v>803856</v>
      </c>
      <c r="W258" s="18">
        <v>144</v>
      </c>
      <c r="X258" s="18">
        <v>19550</v>
      </c>
      <c r="Y258" s="18">
        <v>2311</v>
      </c>
      <c r="Z258" s="7">
        <f t="shared" si="4"/>
        <v>781851</v>
      </c>
      <c r="AA258" s="27">
        <f t="shared" si="5"/>
        <v>1936221</v>
      </c>
    </row>
    <row r="259" spans="1:27" ht="13.2" x14ac:dyDescent="0.25">
      <c r="A259" s="16">
        <v>44286</v>
      </c>
      <c r="B259" s="17">
        <v>17544</v>
      </c>
      <c r="E259" s="18">
        <v>1</v>
      </c>
      <c r="F259" s="18">
        <f t="shared" si="0"/>
        <v>17543</v>
      </c>
      <c r="G259" s="17">
        <v>1105780</v>
      </c>
      <c r="I259" s="18">
        <v>51942</v>
      </c>
      <c r="K259" s="7">
        <f t="shared" si="1"/>
        <v>1053838</v>
      </c>
      <c r="L259" s="17">
        <v>5393</v>
      </c>
      <c r="N259" s="18">
        <v>4</v>
      </c>
      <c r="P259" s="7">
        <f t="shared" si="2"/>
        <v>5389</v>
      </c>
      <c r="Q259" s="17">
        <v>8375</v>
      </c>
      <c r="R259" s="18">
        <v>65</v>
      </c>
      <c r="T259" s="18">
        <v>5728</v>
      </c>
      <c r="U259" s="7">
        <f t="shared" si="3"/>
        <v>2582</v>
      </c>
      <c r="V259" s="17">
        <v>806067</v>
      </c>
      <c r="W259" s="18">
        <v>146</v>
      </c>
      <c r="X259" s="18">
        <v>20005</v>
      </c>
      <c r="Y259" s="18">
        <v>2311</v>
      </c>
      <c r="Z259" s="7">
        <f t="shared" si="4"/>
        <v>783605</v>
      </c>
      <c r="AA259" s="27">
        <f t="shared" si="5"/>
        <v>1943159</v>
      </c>
    </row>
    <row r="260" spans="1:27" ht="13.2" x14ac:dyDescent="0.25">
      <c r="A260" s="16">
        <v>44287</v>
      </c>
      <c r="B260" s="17">
        <v>17545</v>
      </c>
      <c r="E260" s="18">
        <v>1</v>
      </c>
      <c r="F260" s="18">
        <f t="shared" si="0"/>
        <v>17544</v>
      </c>
      <c r="G260" s="17">
        <v>1114093</v>
      </c>
      <c r="I260" s="18">
        <v>53456</v>
      </c>
      <c r="K260" s="7">
        <f t="shared" si="1"/>
        <v>1060637</v>
      </c>
      <c r="L260" s="17">
        <v>5423</v>
      </c>
      <c r="N260" s="18">
        <v>5</v>
      </c>
      <c r="P260" s="7">
        <f t="shared" si="2"/>
        <v>5418</v>
      </c>
      <c r="Q260" s="17">
        <v>8437</v>
      </c>
      <c r="R260" s="18">
        <v>69</v>
      </c>
      <c r="T260" s="18">
        <v>5753</v>
      </c>
      <c r="U260" s="7">
        <f t="shared" si="3"/>
        <v>2615</v>
      </c>
      <c r="V260" s="17">
        <v>809506</v>
      </c>
      <c r="W260" s="18">
        <v>142</v>
      </c>
      <c r="X260" s="18">
        <v>20541</v>
      </c>
      <c r="Y260" s="18">
        <v>2311</v>
      </c>
      <c r="Z260" s="7">
        <f t="shared" si="4"/>
        <v>786512</v>
      </c>
      <c r="AA260" s="27">
        <f t="shared" si="5"/>
        <v>1955004</v>
      </c>
    </row>
    <row r="261" spans="1:27" ht="13.2" x14ac:dyDescent="0.25">
      <c r="A261" s="16">
        <v>44288</v>
      </c>
      <c r="B261" s="17">
        <v>17546</v>
      </c>
      <c r="E261" s="18">
        <v>1</v>
      </c>
      <c r="F261" s="18">
        <f t="shared" si="0"/>
        <v>17545</v>
      </c>
      <c r="G261" s="17">
        <v>1122661</v>
      </c>
      <c r="I261" s="18">
        <v>52397</v>
      </c>
      <c r="K261" s="7">
        <f t="shared" si="1"/>
        <v>1070264</v>
      </c>
      <c r="L261" s="17">
        <v>5434</v>
      </c>
      <c r="N261" s="18">
        <v>4</v>
      </c>
      <c r="P261" s="7">
        <f t="shared" si="2"/>
        <v>5430</v>
      </c>
      <c r="Q261" s="17">
        <v>8478</v>
      </c>
      <c r="R261" s="18">
        <v>61</v>
      </c>
      <c r="T261" s="18">
        <v>5791</v>
      </c>
      <c r="U261" s="7">
        <f t="shared" si="3"/>
        <v>2626</v>
      </c>
      <c r="V261" s="17">
        <v>812358</v>
      </c>
      <c r="W261" s="18">
        <v>152</v>
      </c>
      <c r="X261" s="18">
        <v>19955</v>
      </c>
      <c r="Y261" s="18">
        <v>2311</v>
      </c>
      <c r="Z261" s="7">
        <f t="shared" si="4"/>
        <v>789940</v>
      </c>
      <c r="AA261" s="27">
        <f t="shared" si="5"/>
        <v>1966477</v>
      </c>
    </row>
    <row r="262" spans="1:27" ht="13.2" x14ac:dyDescent="0.25">
      <c r="A262" s="16">
        <v>44289</v>
      </c>
      <c r="B262" s="17">
        <v>17546</v>
      </c>
      <c r="E262" s="18">
        <v>1</v>
      </c>
      <c r="F262" s="18">
        <f t="shared" si="0"/>
        <v>17545</v>
      </c>
      <c r="G262" s="17">
        <v>1129975</v>
      </c>
      <c r="I262" s="18">
        <v>53980</v>
      </c>
      <c r="K262" s="7">
        <f t="shared" si="1"/>
        <v>1075995</v>
      </c>
      <c r="L262" s="17">
        <v>5460</v>
      </c>
      <c r="N262" s="18">
        <v>4</v>
      </c>
      <c r="P262" s="7">
        <f t="shared" si="2"/>
        <v>5456</v>
      </c>
      <c r="Q262" s="17">
        <v>8539</v>
      </c>
      <c r="R262" s="18">
        <v>62</v>
      </c>
      <c r="T262" s="18">
        <v>5832</v>
      </c>
      <c r="U262" s="7">
        <f t="shared" si="3"/>
        <v>2645</v>
      </c>
      <c r="V262" s="17">
        <v>814703</v>
      </c>
      <c r="W262" s="18">
        <v>141</v>
      </c>
      <c r="X262" s="18">
        <v>20203</v>
      </c>
      <c r="Y262" s="18">
        <v>2311</v>
      </c>
      <c r="Z262" s="7">
        <f t="shared" si="4"/>
        <v>792048</v>
      </c>
      <c r="AA262" s="27">
        <f t="shared" si="5"/>
        <v>1976223</v>
      </c>
    </row>
    <row r="263" spans="1:27" ht="13.2" x14ac:dyDescent="0.25">
      <c r="A263" s="16">
        <v>44290</v>
      </c>
      <c r="B263" s="17">
        <v>17548</v>
      </c>
      <c r="E263" s="18">
        <v>1</v>
      </c>
      <c r="F263" s="18">
        <f t="shared" si="0"/>
        <v>17547</v>
      </c>
      <c r="G263" s="17">
        <v>1130134</v>
      </c>
      <c r="I263" s="18">
        <v>50709</v>
      </c>
      <c r="K263" s="7">
        <f t="shared" si="1"/>
        <v>1079425</v>
      </c>
      <c r="L263" s="17">
        <v>5460</v>
      </c>
      <c r="N263" s="18">
        <v>4</v>
      </c>
      <c r="P263" s="7">
        <f t="shared" si="2"/>
        <v>5456</v>
      </c>
      <c r="Q263" s="17">
        <v>8582</v>
      </c>
      <c r="R263" s="18">
        <v>64</v>
      </c>
      <c r="T263" s="18">
        <v>5874</v>
      </c>
      <c r="U263" s="7">
        <f t="shared" si="3"/>
        <v>2644</v>
      </c>
      <c r="V263" s="17">
        <v>814718</v>
      </c>
      <c r="W263" s="18">
        <v>124</v>
      </c>
      <c r="X263" s="18">
        <v>18958</v>
      </c>
      <c r="Y263" s="18">
        <v>2311</v>
      </c>
      <c r="Z263" s="7">
        <f t="shared" si="4"/>
        <v>793325</v>
      </c>
      <c r="AA263" s="27">
        <f t="shared" si="5"/>
        <v>1976442</v>
      </c>
    </row>
    <row r="264" spans="1:27" ht="13.2" x14ac:dyDescent="0.25">
      <c r="A264" s="16">
        <v>44291</v>
      </c>
      <c r="B264" s="17">
        <v>17548</v>
      </c>
      <c r="E264" s="18">
        <v>1</v>
      </c>
      <c r="F264" s="18">
        <f t="shared" si="0"/>
        <v>17547</v>
      </c>
      <c r="G264" s="17">
        <v>1137731</v>
      </c>
      <c r="I264" s="18">
        <v>48987</v>
      </c>
      <c r="K264" s="7">
        <f t="shared" si="1"/>
        <v>1088744</v>
      </c>
      <c r="L264" s="17">
        <v>5483</v>
      </c>
      <c r="N264" s="18">
        <v>3</v>
      </c>
      <c r="P264" s="7">
        <f t="shared" si="2"/>
        <v>5480</v>
      </c>
      <c r="Q264" s="17">
        <v>8638</v>
      </c>
      <c r="R264" s="18">
        <v>69</v>
      </c>
      <c r="T264" s="18">
        <v>5908</v>
      </c>
      <c r="U264" s="7">
        <f t="shared" si="3"/>
        <v>2661</v>
      </c>
      <c r="V264" s="17">
        <v>817254</v>
      </c>
      <c r="W264" s="18">
        <v>113</v>
      </c>
      <c r="X264" s="18">
        <v>18788</v>
      </c>
      <c r="Y264" s="18">
        <v>2311</v>
      </c>
      <c r="Z264" s="7">
        <f t="shared" si="4"/>
        <v>796042</v>
      </c>
      <c r="AA264" s="27">
        <f t="shared" si="5"/>
        <v>1986654</v>
      </c>
    </row>
    <row r="265" spans="1:27" ht="13.2" x14ac:dyDescent="0.25">
      <c r="A265" s="16">
        <v>44292</v>
      </c>
      <c r="B265" s="17">
        <v>17548</v>
      </c>
      <c r="E265" s="18">
        <v>1</v>
      </c>
      <c r="F265" s="18">
        <f t="shared" si="0"/>
        <v>17547</v>
      </c>
      <c r="G265" s="17">
        <v>1140065</v>
      </c>
      <c r="I265" s="18">
        <v>43974</v>
      </c>
      <c r="K265" s="7">
        <f t="shared" si="1"/>
        <v>1096091</v>
      </c>
      <c r="L265" s="17">
        <v>5486</v>
      </c>
      <c r="N265" s="18">
        <v>3</v>
      </c>
      <c r="P265" s="7">
        <f t="shared" si="2"/>
        <v>5483</v>
      </c>
      <c r="Q265" s="17">
        <v>8688</v>
      </c>
      <c r="R265" s="18">
        <v>59</v>
      </c>
      <c r="T265" s="18">
        <v>5956</v>
      </c>
      <c r="U265" s="7">
        <f t="shared" si="3"/>
        <v>2673</v>
      </c>
      <c r="V265" s="17">
        <v>818267</v>
      </c>
      <c r="W265" s="18">
        <v>96</v>
      </c>
      <c r="X265" s="18">
        <v>17420</v>
      </c>
      <c r="Y265" s="18">
        <v>2311</v>
      </c>
      <c r="Z265" s="7">
        <f t="shared" si="4"/>
        <v>798440</v>
      </c>
      <c r="AA265" s="27">
        <f t="shared" si="5"/>
        <v>1990054</v>
      </c>
    </row>
    <row r="266" spans="1:27" ht="13.2" x14ac:dyDescent="0.25">
      <c r="A266" s="16">
        <v>44293</v>
      </c>
      <c r="B266" s="17">
        <v>17549</v>
      </c>
      <c r="E266" s="18">
        <v>1</v>
      </c>
      <c r="F266" s="18">
        <f t="shared" si="0"/>
        <v>17548</v>
      </c>
      <c r="G266" s="17">
        <v>1140492</v>
      </c>
      <c r="I266" s="18">
        <v>37967</v>
      </c>
      <c r="K266" s="7">
        <f t="shared" si="1"/>
        <v>1102525</v>
      </c>
      <c r="L266" s="17">
        <v>5507</v>
      </c>
      <c r="N266" s="18">
        <v>3</v>
      </c>
      <c r="P266" s="7">
        <f t="shared" si="2"/>
        <v>5504</v>
      </c>
      <c r="Q266" s="17">
        <v>8736</v>
      </c>
      <c r="R266" s="18">
        <v>57</v>
      </c>
      <c r="T266" s="18">
        <v>5995</v>
      </c>
      <c r="U266" s="7">
        <f t="shared" si="3"/>
        <v>2684</v>
      </c>
      <c r="V266" s="17">
        <v>819343</v>
      </c>
      <c r="W266" s="18">
        <v>135</v>
      </c>
      <c r="X266" s="18">
        <v>15858</v>
      </c>
      <c r="Y266" s="18">
        <v>2311</v>
      </c>
      <c r="Z266" s="7">
        <f t="shared" si="4"/>
        <v>801039</v>
      </c>
      <c r="AA266" s="27">
        <f t="shared" si="5"/>
        <v>1991627</v>
      </c>
    </row>
    <row r="267" spans="1:27" ht="13.2" x14ac:dyDescent="0.25">
      <c r="A267" s="16">
        <v>44294</v>
      </c>
      <c r="B267" s="17">
        <v>17549</v>
      </c>
      <c r="E267" s="18">
        <v>1</v>
      </c>
      <c r="F267" s="18">
        <f t="shared" si="0"/>
        <v>17548</v>
      </c>
      <c r="G267" s="17">
        <v>1154318</v>
      </c>
      <c r="I267" s="18">
        <v>41851</v>
      </c>
      <c r="K267" s="7">
        <f t="shared" si="1"/>
        <v>1112467</v>
      </c>
      <c r="L267" s="17">
        <v>5515</v>
      </c>
      <c r="N267" s="18">
        <v>2</v>
      </c>
      <c r="P267" s="7">
        <f t="shared" si="2"/>
        <v>5513</v>
      </c>
      <c r="Q267" s="17">
        <v>8796</v>
      </c>
      <c r="R267" s="18">
        <v>57</v>
      </c>
      <c r="T267" s="18">
        <v>6035</v>
      </c>
      <c r="U267" s="7">
        <f t="shared" si="3"/>
        <v>2704</v>
      </c>
      <c r="V267" s="17">
        <v>824298</v>
      </c>
      <c r="W267" s="18">
        <v>112</v>
      </c>
      <c r="X267" s="18">
        <v>17007</v>
      </c>
      <c r="Y267" s="18">
        <v>2311</v>
      </c>
      <c r="Z267" s="7">
        <f t="shared" si="4"/>
        <v>804868</v>
      </c>
      <c r="AA267" s="27">
        <f t="shared" si="5"/>
        <v>2010476</v>
      </c>
    </row>
    <row r="268" spans="1:27" ht="13.2" x14ac:dyDescent="0.25">
      <c r="A268" s="16">
        <v>44295</v>
      </c>
      <c r="B268" s="17">
        <v>17549</v>
      </c>
      <c r="E268" s="18">
        <v>1</v>
      </c>
      <c r="F268" s="18">
        <f t="shared" si="0"/>
        <v>17548</v>
      </c>
      <c r="G268" s="17">
        <v>1161526</v>
      </c>
      <c r="I268" s="18">
        <v>40789</v>
      </c>
      <c r="K268" s="7">
        <f t="shared" si="1"/>
        <v>1120737</v>
      </c>
      <c r="L268" s="17">
        <v>5536</v>
      </c>
      <c r="N268" s="18">
        <v>2</v>
      </c>
      <c r="P268" s="7">
        <f t="shared" si="2"/>
        <v>5534</v>
      </c>
      <c r="Q268" s="17">
        <v>8861</v>
      </c>
      <c r="R268" s="18">
        <v>50</v>
      </c>
      <c r="T268" s="18">
        <v>6082</v>
      </c>
      <c r="U268" s="7">
        <f t="shared" si="3"/>
        <v>2729</v>
      </c>
      <c r="V268" s="17">
        <v>826943</v>
      </c>
      <c r="W268" s="18">
        <v>129</v>
      </c>
      <c r="X268" s="18">
        <v>17181</v>
      </c>
      <c r="Y268" s="18">
        <v>2311</v>
      </c>
      <c r="Z268" s="7">
        <f t="shared" si="4"/>
        <v>807322</v>
      </c>
      <c r="AA268" s="27">
        <f t="shared" si="5"/>
        <v>2020415</v>
      </c>
    </row>
    <row r="269" spans="1:27" ht="13.2" x14ac:dyDescent="0.25">
      <c r="A269" s="16">
        <v>44296</v>
      </c>
      <c r="B269" s="17">
        <v>17549</v>
      </c>
      <c r="E269" s="18">
        <v>1</v>
      </c>
      <c r="F269" s="18">
        <f t="shared" si="0"/>
        <v>17548</v>
      </c>
      <c r="G269" s="17">
        <v>1169200</v>
      </c>
      <c r="I269" s="18">
        <v>41025</v>
      </c>
      <c r="K269" s="7">
        <f t="shared" si="1"/>
        <v>1128175</v>
      </c>
      <c r="L269" s="17">
        <v>5573</v>
      </c>
      <c r="N269" s="18">
        <v>2</v>
      </c>
      <c r="P269" s="7">
        <f t="shared" si="2"/>
        <v>5571</v>
      </c>
      <c r="Q269" s="17">
        <v>8911</v>
      </c>
      <c r="R269" s="18">
        <v>50</v>
      </c>
      <c r="T269" s="18">
        <v>6121</v>
      </c>
      <c r="U269" s="7">
        <f t="shared" si="3"/>
        <v>2740</v>
      </c>
      <c r="V269" s="17">
        <v>829579</v>
      </c>
      <c r="W269" s="18">
        <v>128</v>
      </c>
      <c r="X269" s="18">
        <v>17649</v>
      </c>
      <c r="Y269" s="18">
        <v>2311</v>
      </c>
      <c r="Z269" s="7">
        <f t="shared" si="4"/>
        <v>809491</v>
      </c>
      <c r="AA269" s="27">
        <f t="shared" si="5"/>
        <v>2030812</v>
      </c>
    </row>
    <row r="270" spans="1:27" ht="13.2" x14ac:dyDescent="0.25">
      <c r="A270" s="16">
        <v>44297</v>
      </c>
      <c r="B270" s="17">
        <v>17549</v>
      </c>
      <c r="E270" s="18">
        <v>1</v>
      </c>
      <c r="F270" s="18">
        <f t="shared" si="0"/>
        <v>17548</v>
      </c>
      <c r="G270" s="17">
        <v>1176504</v>
      </c>
      <c r="I270" s="18">
        <v>44270</v>
      </c>
      <c r="K270" s="7">
        <f t="shared" si="1"/>
        <v>1132234</v>
      </c>
      <c r="L270" s="17">
        <v>5581</v>
      </c>
      <c r="N270" s="18">
        <v>3</v>
      </c>
      <c r="P270" s="7">
        <f t="shared" si="2"/>
        <v>5578</v>
      </c>
      <c r="Q270" s="17">
        <v>8969</v>
      </c>
      <c r="R270" s="18">
        <v>54</v>
      </c>
      <c r="T270" s="18">
        <v>6173</v>
      </c>
      <c r="U270" s="7">
        <f t="shared" si="3"/>
        <v>2742</v>
      </c>
      <c r="V270" s="17">
        <v>832647</v>
      </c>
      <c r="W270" s="18">
        <v>114</v>
      </c>
      <c r="X270" s="18">
        <v>19033</v>
      </c>
      <c r="Y270" s="18">
        <v>2311</v>
      </c>
      <c r="Z270" s="7">
        <f t="shared" si="4"/>
        <v>811189</v>
      </c>
      <c r="AA270" s="27">
        <f t="shared" si="5"/>
        <v>2041250</v>
      </c>
    </row>
    <row r="271" spans="1:27" ht="13.2" x14ac:dyDescent="0.25">
      <c r="A271" s="16">
        <v>44298</v>
      </c>
      <c r="B271" s="17">
        <v>17549</v>
      </c>
      <c r="E271" s="18">
        <v>1</v>
      </c>
      <c r="F271" s="18">
        <f t="shared" si="0"/>
        <v>17548</v>
      </c>
      <c r="G271" s="17">
        <v>1181979</v>
      </c>
      <c r="I271" s="18">
        <v>41793</v>
      </c>
      <c r="K271" s="7">
        <f t="shared" si="1"/>
        <v>1140186</v>
      </c>
      <c r="L271" s="17">
        <v>5594</v>
      </c>
      <c r="N271" s="18">
        <v>2</v>
      </c>
      <c r="P271" s="7">
        <f t="shared" si="2"/>
        <v>5592</v>
      </c>
      <c r="Q271" s="17">
        <v>9007</v>
      </c>
      <c r="R271" s="18">
        <v>43</v>
      </c>
      <c r="T271" s="18">
        <v>6208</v>
      </c>
      <c r="U271" s="7">
        <f t="shared" si="3"/>
        <v>2756</v>
      </c>
      <c r="V271" s="17">
        <v>834744</v>
      </c>
      <c r="W271" s="18">
        <v>102</v>
      </c>
      <c r="X271" s="18">
        <v>18223</v>
      </c>
      <c r="Y271" s="18">
        <v>2311</v>
      </c>
      <c r="Z271" s="7">
        <f t="shared" si="4"/>
        <v>814108</v>
      </c>
      <c r="AA271" s="27">
        <f t="shared" si="5"/>
        <v>2048873</v>
      </c>
    </row>
    <row r="272" spans="1:27" ht="13.2" x14ac:dyDescent="0.25">
      <c r="A272" s="16">
        <v>44299</v>
      </c>
      <c r="B272" s="17">
        <v>17549</v>
      </c>
      <c r="E272" s="18">
        <v>1</v>
      </c>
      <c r="F272" s="18">
        <f t="shared" si="0"/>
        <v>17548</v>
      </c>
      <c r="G272" s="17">
        <v>1184497</v>
      </c>
      <c r="I272" s="18">
        <v>39139</v>
      </c>
      <c r="K272" s="7">
        <f t="shared" si="1"/>
        <v>1145358</v>
      </c>
      <c r="L272" s="17">
        <v>5594</v>
      </c>
      <c r="N272" s="18">
        <v>1</v>
      </c>
      <c r="P272" s="7">
        <f t="shared" si="2"/>
        <v>5593</v>
      </c>
      <c r="Q272" s="17">
        <v>9041</v>
      </c>
      <c r="R272" s="18">
        <v>43</v>
      </c>
      <c r="T272" s="18">
        <v>6237</v>
      </c>
      <c r="U272" s="7">
        <f t="shared" si="3"/>
        <v>2761</v>
      </c>
      <c r="V272" s="17">
        <v>835973</v>
      </c>
      <c r="W272" s="18">
        <v>101</v>
      </c>
      <c r="X272" s="18">
        <v>17535</v>
      </c>
      <c r="Y272" s="18">
        <v>2311</v>
      </c>
      <c r="Z272" s="7">
        <f t="shared" si="4"/>
        <v>816026</v>
      </c>
      <c r="AA272" s="27">
        <f t="shared" si="5"/>
        <v>2052654</v>
      </c>
    </row>
    <row r="273" spans="1:27" ht="13.2" x14ac:dyDescent="0.25">
      <c r="A273" s="16">
        <v>44300</v>
      </c>
      <c r="B273" s="17">
        <v>17549</v>
      </c>
      <c r="E273" s="18">
        <v>1</v>
      </c>
      <c r="F273" s="18">
        <f t="shared" si="0"/>
        <v>17548</v>
      </c>
      <c r="G273" s="17">
        <v>1189635</v>
      </c>
      <c r="I273" s="18">
        <v>38124</v>
      </c>
      <c r="K273" s="7">
        <f t="shared" si="1"/>
        <v>1151511</v>
      </c>
      <c r="L273" s="17">
        <v>5628</v>
      </c>
      <c r="N273" s="18">
        <v>1</v>
      </c>
      <c r="P273" s="7">
        <f t="shared" si="2"/>
        <v>5627</v>
      </c>
      <c r="Q273" s="17">
        <v>9095</v>
      </c>
      <c r="R273" s="18">
        <v>42</v>
      </c>
      <c r="T273" s="18">
        <v>6281</v>
      </c>
      <c r="U273" s="7">
        <f t="shared" si="3"/>
        <v>2772</v>
      </c>
      <c r="V273" s="17">
        <v>838821</v>
      </c>
      <c r="W273" s="18">
        <v>122</v>
      </c>
      <c r="X273" s="18">
        <v>16908</v>
      </c>
      <c r="Y273" s="18">
        <v>2311</v>
      </c>
      <c r="Z273" s="7">
        <f t="shared" si="4"/>
        <v>819480</v>
      </c>
      <c r="AA273" s="27">
        <f t="shared" si="5"/>
        <v>2060728</v>
      </c>
    </row>
    <row r="274" spans="1:27" ht="13.2" x14ac:dyDescent="0.25">
      <c r="A274" s="16">
        <v>44301</v>
      </c>
      <c r="B274" s="17">
        <v>17549</v>
      </c>
      <c r="E274" s="18">
        <v>1</v>
      </c>
      <c r="F274" s="18">
        <f t="shared" si="0"/>
        <v>17548</v>
      </c>
      <c r="G274" s="17">
        <v>1196970</v>
      </c>
      <c r="I274" s="18">
        <v>39447</v>
      </c>
      <c r="K274" s="7">
        <f t="shared" si="1"/>
        <v>1157523</v>
      </c>
      <c r="L274" s="17">
        <v>5675</v>
      </c>
      <c r="N274" s="18">
        <v>0</v>
      </c>
      <c r="P274" s="7">
        <f t="shared" si="2"/>
        <v>5675</v>
      </c>
      <c r="Q274" s="17">
        <v>9167</v>
      </c>
      <c r="R274" s="18">
        <v>43</v>
      </c>
      <c r="T274" s="18">
        <v>6329</v>
      </c>
      <c r="U274" s="7">
        <f t="shared" si="3"/>
        <v>2795</v>
      </c>
      <c r="V274" s="17">
        <v>842596</v>
      </c>
      <c r="W274" s="18">
        <v>106</v>
      </c>
      <c r="X274" s="18">
        <v>17401</v>
      </c>
      <c r="Y274" s="18">
        <v>2311</v>
      </c>
      <c r="Z274" s="7">
        <f t="shared" si="4"/>
        <v>822778</v>
      </c>
      <c r="AA274" s="27">
        <f t="shared" si="5"/>
        <v>2071957</v>
      </c>
    </row>
    <row r="275" spans="1:27" ht="13.2" x14ac:dyDescent="0.25">
      <c r="A275" s="16">
        <v>44302</v>
      </c>
      <c r="B275" s="17">
        <v>17549</v>
      </c>
      <c r="E275" s="18">
        <v>1</v>
      </c>
      <c r="F275" s="18">
        <f t="shared" si="0"/>
        <v>17548</v>
      </c>
      <c r="G275" s="17">
        <v>1203820</v>
      </c>
      <c r="I275" s="18">
        <v>41477</v>
      </c>
      <c r="K275" s="7">
        <f t="shared" si="1"/>
        <v>1162343</v>
      </c>
      <c r="L275" s="17">
        <v>5712</v>
      </c>
      <c r="N275" s="18">
        <v>1</v>
      </c>
      <c r="P275" s="7">
        <f t="shared" si="2"/>
        <v>5711</v>
      </c>
      <c r="Q275" s="17">
        <v>9220</v>
      </c>
      <c r="R275" s="18">
        <v>44</v>
      </c>
      <c r="T275" s="18">
        <v>6369</v>
      </c>
      <c r="U275" s="7">
        <f t="shared" si="3"/>
        <v>2807</v>
      </c>
      <c r="V275" s="17">
        <v>846269</v>
      </c>
      <c r="W275" s="18">
        <v>130</v>
      </c>
      <c r="X275" s="18">
        <v>18733</v>
      </c>
      <c r="Y275" s="18">
        <v>2311</v>
      </c>
      <c r="Z275" s="7">
        <f t="shared" si="4"/>
        <v>825095</v>
      </c>
      <c r="AA275" s="27">
        <f t="shared" si="5"/>
        <v>2082570</v>
      </c>
    </row>
    <row r="276" spans="1:27" ht="13.2" x14ac:dyDescent="0.25">
      <c r="A276" s="16">
        <v>44303</v>
      </c>
      <c r="B276" s="17">
        <v>17550</v>
      </c>
      <c r="E276" s="18">
        <v>1</v>
      </c>
      <c r="F276" s="18">
        <f t="shared" si="0"/>
        <v>17549</v>
      </c>
      <c r="G276" s="17">
        <v>1209819</v>
      </c>
      <c r="I276" s="18">
        <v>42240</v>
      </c>
      <c r="K276" s="7">
        <f t="shared" si="1"/>
        <v>1167579</v>
      </c>
      <c r="L276" s="17">
        <v>5729</v>
      </c>
      <c r="N276" s="18">
        <v>1</v>
      </c>
      <c r="P276" s="7">
        <f t="shared" si="2"/>
        <v>5728</v>
      </c>
      <c r="Q276" s="17">
        <v>9270</v>
      </c>
      <c r="R276" s="18">
        <v>48</v>
      </c>
      <c r="T276" s="18">
        <v>6411</v>
      </c>
      <c r="U276" s="7">
        <f t="shared" si="3"/>
        <v>2811</v>
      </c>
      <c r="V276" s="17">
        <v>850186</v>
      </c>
      <c r="W276" s="18">
        <v>120</v>
      </c>
      <c r="X276" s="18">
        <v>19794</v>
      </c>
      <c r="Y276" s="18">
        <v>2311</v>
      </c>
      <c r="Z276" s="7">
        <f t="shared" si="4"/>
        <v>827961</v>
      </c>
      <c r="AA276" s="27">
        <f t="shared" si="5"/>
        <v>2092554</v>
      </c>
    </row>
    <row r="277" spans="1:27" ht="13.2" x14ac:dyDescent="0.25">
      <c r="A277" s="16">
        <v>44304</v>
      </c>
      <c r="B277" s="17">
        <v>17550</v>
      </c>
      <c r="E277" s="18">
        <v>1</v>
      </c>
      <c r="F277" s="18">
        <f t="shared" si="0"/>
        <v>17549</v>
      </c>
      <c r="G277" s="17">
        <v>1216116</v>
      </c>
      <c r="I277" s="18">
        <v>44306</v>
      </c>
      <c r="K277" s="7">
        <f t="shared" si="1"/>
        <v>1171810</v>
      </c>
      <c r="L277" s="17">
        <v>5750</v>
      </c>
      <c r="N277" s="18">
        <v>1</v>
      </c>
      <c r="P277" s="7">
        <f t="shared" si="2"/>
        <v>5749</v>
      </c>
      <c r="Q277" s="17">
        <v>9334</v>
      </c>
      <c r="R277" s="18">
        <v>62</v>
      </c>
      <c r="T277" s="18">
        <v>6446</v>
      </c>
      <c r="U277" s="7">
        <f t="shared" si="3"/>
        <v>2826</v>
      </c>
      <c r="V277" s="17">
        <v>853243</v>
      </c>
      <c r="W277" s="18">
        <v>148</v>
      </c>
      <c r="X277" s="18">
        <v>21007</v>
      </c>
      <c r="Y277" s="18">
        <v>2311</v>
      </c>
      <c r="Z277" s="7">
        <f t="shared" si="4"/>
        <v>829777</v>
      </c>
      <c r="AA277" s="27">
        <f t="shared" si="5"/>
        <v>2101993</v>
      </c>
    </row>
    <row r="278" spans="1:27" ht="13.2" x14ac:dyDescent="0.25">
      <c r="A278" s="16">
        <v>44305</v>
      </c>
      <c r="B278" s="17">
        <v>17550</v>
      </c>
      <c r="E278" s="18">
        <v>1</v>
      </c>
      <c r="F278" s="18">
        <f t="shared" si="0"/>
        <v>17549</v>
      </c>
      <c r="G278" s="17">
        <v>1219315</v>
      </c>
      <c r="I278" s="18">
        <v>40625</v>
      </c>
      <c r="K278" s="7">
        <f t="shared" si="1"/>
        <v>1178690</v>
      </c>
      <c r="L278" s="17">
        <v>7065</v>
      </c>
      <c r="N278" s="18">
        <v>528</v>
      </c>
      <c r="P278" s="7">
        <f t="shared" si="2"/>
        <v>6537</v>
      </c>
      <c r="Q278" s="17">
        <v>9473</v>
      </c>
      <c r="R278" s="18">
        <v>93</v>
      </c>
      <c r="T278" s="18">
        <v>6485</v>
      </c>
      <c r="U278" s="7">
        <f t="shared" si="3"/>
        <v>2895</v>
      </c>
      <c r="V278" s="17">
        <v>855347</v>
      </c>
      <c r="W278" s="18">
        <v>123</v>
      </c>
      <c r="X278" s="18">
        <v>20793</v>
      </c>
      <c r="Y278" s="18">
        <v>2311</v>
      </c>
      <c r="Z278" s="7">
        <f t="shared" si="4"/>
        <v>832120</v>
      </c>
      <c r="AA278" s="27">
        <f t="shared" si="5"/>
        <v>2108750</v>
      </c>
    </row>
    <row r="279" spans="1:27" ht="13.2" x14ac:dyDescent="0.25">
      <c r="A279" s="16">
        <v>44306</v>
      </c>
      <c r="B279" s="17">
        <v>17550</v>
      </c>
      <c r="E279" s="18">
        <v>1</v>
      </c>
      <c r="F279" s="18">
        <f t="shared" si="0"/>
        <v>17549</v>
      </c>
      <c r="G279" s="17">
        <v>1220915</v>
      </c>
      <c r="I279" s="18">
        <v>37341</v>
      </c>
      <c r="K279" s="7">
        <f t="shared" si="1"/>
        <v>1183574</v>
      </c>
      <c r="L279" s="17">
        <v>8501</v>
      </c>
      <c r="N279" s="18">
        <v>1521</v>
      </c>
      <c r="P279" s="7">
        <f t="shared" si="2"/>
        <v>6980</v>
      </c>
      <c r="Q279" s="17">
        <v>9561</v>
      </c>
      <c r="R279" s="18">
        <v>125</v>
      </c>
      <c r="T279" s="18">
        <v>6526</v>
      </c>
      <c r="U279" s="7">
        <f t="shared" si="3"/>
        <v>2910</v>
      </c>
      <c r="V279" s="17">
        <v>856439</v>
      </c>
      <c r="W279" s="18">
        <v>113</v>
      </c>
      <c r="X279" s="18">
        <v>18959</v>
      </c>
      <c r="Y279" s="18">
        <v>2311</v>
      </c>
      <c r="Z279" s="7">
        <f t="shared" si="4"/>
        <v>835056</v>
      </c>
      <c r="AA279" s="27">
        <f t="shared" si="5"/>
        <v>2112966</v>
      </c>
    </row>
    <row r="280" spans="1:27" ht="13.2" x14ac:dyDescent="0.25">
      <c r="A280" s="16">
        <v>44307</v>
      </c>
      <c r="B280" s="17">
        <v>17552</v>
      </c>
      <c r="E280" s="18">
        <v>1</v>
      </c>
      <c r="F280" s="18">
        <f t="shared" si="0"/>
        <v>17551</v>
      </c>
      <c r="G280" s="17">
        <v>1224929</v>
      </c>
      <c r="I280" s="18">
        <v>36034</v>
      </c>
      <c r="K280" s="7">
        <f t="shared" si="1"/>
        <v>1188895</v>
      </c>
      <c r="L280" s="17">
        <v>9879</v>
      </c>
      <c r="N280" s="18">
        <v>2334</v>
      </c>
      <c r="P280" s="7">
        <f t="shared" si="2"/>
        <v>7545</v>
      </c>
      <c r="Q280" s="17">
        <v>9651</v>
      </c>
      <c r="R280" s="18">
        <v>145</v>
      </c>
      <c r="T280" s="18">
        <v>6576</v>
      </c>
      <c r="U280" s="7">
        <f t="shared" si="3"/>
        <v>2930</v>
      </c>
      <c r="V280" s="17">
        <v>859418</v>
      </c>
      <c r="W280" s="18">
        <v>160</v>
      </c>
      <c r="X280" s="18">
        <v>19418</v>
      </c>
      <c r="Y280" s="18">
        <v>2311</v>
      </c>
      <c r="Z280" s="7">
        <f t="shared" si="4"/>
        <v>837529</v>
      </c>
      <c r="AA280" s="27">
        <f t="shared" si="5"/>
        <v>2121429</v>
      </c>
    </row>
    <row r="281" spans="1:27" ht="13.2" x14ac:dyDescent="0.25">
      <c r="A281" s="16">
        <v>44308</v>
      </c>
      <c r="B281" s="17">
        <v>17552</v>
      </c>
      <c r="E281" s="18">
        <v>1</v>
      </c>
      <c r="F281" s="18">
        <f t="shared" si="0"/>
        <v>17551</v>
      </c>
      <c r="G281" s="17">
        <v>1229256</v>
      </c>
      <c r="I281" s="18">
        <v>33817</v>
      </c>
      <c r="K281" s="7">
        <f t="shared" si="1"/>
        <v>1195439</v>
      </c>
      <c r="L281" s="17">
        <v>10851</v>
      </c>
      <c r="N281" s="18">
        <v>2789</v>
      </c>
      <c r="P281" s="7">
        <f t="shared" si="2"/>
        <v>8062</v>
      </c>
      <c r="Q281" s="17">
        <v>9809</v>
      </c>
      <c r="R281" s="18">
        <v>249</v>
      </c>
      <c r="T281" s="18">
        <v>6616</v>
      </c>
      <c r="U281" s="7">
        <f t="shared" si="3"/>
        <v>2944</v>
      </c>
      <c r="V281" s="17">
        <v>863196</v>
      </c>
      <c r="W281" s="18">
        <v>215</v>
      </c>
      <c r="X281" s="18">
        <v>21032</v>
      </c>
      <c r="Y281" s="18">
        <v>2311</v>
      </c>
      <c r="Z281" s="7">
        <f t="shared" si="4"/>
        <v>839638</v>
      </c>
      <c r="AA281" s="27">
        <f t="shared" si="5"/>
        <v>2130664</v>
      </c>
    </row>
    <row r="282" spans="1:27" ht="13.2" x14ac:dyDescent="0.25">
      <c r="A282" s="16">
        <v>44309</v>
      </c>
      <c r="B282" s="17">
        <v>17552</v>
      </c>
      <c r="E282" s="18">
        <v>1</v>
      </c>
      <c r="F282" s="18">
        <f t="shared" si="0"/>
        <v>17551</v>
      </c>
      <c r="G282" s="17">
        <v>1234161</v>
      </c>
      <c r="I282" s="18">
        <v>33295</v>
      </c>
      <c r="K282" s="7">
        <f t="shared" si="1"/>
        <v>1200866</v>
      </c>
      <c r="L282" s="17">
        <v>12388</v>
      </c>
      <c r="N282" s="18">
        <v>2987</v>
      </c>
      <c r="P282" s="7">
        <f t="shared" si="2"/>
        <v>9401</v>
      </c>
      <c r="Q282" s="17">
        <v>9903</v>
      </c>
      <c r="R282" s="18">
        <v>291</v>
      </c>
      <c r="T282" s="18">
        <v>6661</v>
      </c>
      <c r="U282" s="7">
        <f t="shared" si="3"/>
        <v>2951</v>
      </c>
      <c r="V282" s="17">
        <v>866565</v>
      </c>
      <c r="W282" s="18">
        <v>219</v>
      </c>
      <c r="X282" s="18">
        <v>21069</v>
      </c>
      <c r="Y282" s="18">
        <v>2311</v>
      </c>
      <c r="Z282" s="7">
        <f t="shared" si="4"/>
        <v>842966</v>
      </c>
      <c r="AA282" s="27">
        <f t="shared" si="5"/>
        <v>2140569</v>
      </c>
    </row>
    <row r="283" spans="1:27" ht="13.2" x14ac:dyDescent="0.25">
      <c r="A283" s="16">
        <v>44310</v>
      </c>
      <c r="B283" s="17">
        <v>17553</v>
      </c>
      <c r="E283" s="18">
        <v>1</v>
      </c>
      <c r="F283" s="18">
        <f t="shared" si="0"/>
        <v>17552</v>
      </c>
      <c r="G283" s="17">
        <v>1238342</v>
      </c>
      <c r="I283" s="18">
        <v>33814</v>
      </c>
      <c r="K283" s="7">
        <f t="shared" si="1"/>
        <v>1204528</v>
      </c>
      <c r="L283" s="17">
        <v>14976</v>
      </c>
      <c r="N283" s="18">
        <v>3413</v>
      </c>
      <c r="P283" s="7">
        <f t="shared" si="2"/>
        <v>11563</v>
      </c>
      <c r="Q283" s="17">
        <v>10058</v>
      </c>
      <c r="R283" s="18">
        <v>380</v>
      </c>
      <c r="T283" s="18">
        <v>6711</v>
      </c>
      <c r="U283" s="7">
        <f t="shared" si="3"/>
        <v>2967</v>
      </c>
      <c r="V283" s="17">
        <v>869792</v>
      </c>
      <c r="W283" s="18">
        <v>217</v>
      </c>
      <c r="X283" s="18">
        <v>22082</v>
      </c>
      <c r="Y283" s="18">
        <v>2311</v>
      </c>
      <c r="Z283" s="7">
        <f t="shared" si="4"/>
        <v>845182</v>
      </c>
      <c r="AA283" s="27">
        <f t="shared" si="5"/>
        <v>2150721</v>
      </c>
    </row>
    <row r="284" spans="1:27" ht="13.2" x14ac:dyDescent="0.25">
      <c r="A284" s="16">
        <v>44311</v>
      </c>
      <c r="B284" s="17">
        <v>17553</v>
      </c>
      <c r="E284" s="18">
        <v>1</v>
      </c>
      <c r="F284" s="18">
        <f t="shared" si="0"/>
        <v>17552</v>
      </c>
      <c r="G284" s="17">
        <v>1242294</v>
      </c>
      <c r="I284" s="18">
        <v>34884</v>
      </c>
      <c r="K284" s="7">
        <f t="shared" si="1"/>
        <v>1207410</v>
      </c>
      <c r="L284" s="17">
        <v>16112</v>
      </c>
      <c r="N284" s="18">
        <v>3743</v>
      </c>
      <c r="P284" s="7">
        <f t="shared" si="2"/>
        <v>12369</v>
      </c>
      <c r="Q284" s="17">
        <v>10287</v>
      </c>
      <c r="R284" s="18">
        <v>457</v>
      </c>
      <c r="T284" s="18">
        <v>6750</v>
      </c>
      <c r="U284" s="7">
        <f t="shared" si="3"/>
        <v>3080</v>
      </c>
      <c r="V284" s="17">
        <v>872333</v>
      </c>
      <c r="W284" s="18">
        <v>217</v>
      </c>
      <c r="X284" s="18">
        <v>22899</v>
      </c>
      <c r="Y284" s="18">
        <v>2311</v>
      </c>
      <c r="Z284" s="7">
        <f t="shared" si="4"/>
        <v>846906</v>
      </c>
      <c r="AA284" s="27">
        <f t="shared" si="5"/>
        <v>2158579</v>
      </c>
    </row>
    <row r="285" spans="1:27" ht="13.2" x14ac:dyDescent="0.25">
      <c r="A285" s="16">
        <v>44312</v>
      </c>
      <c r="B285" s="17">
        <v>17553</v>
      </c>
      <c r="E285" s="18">
        <v>1</v>
      </c>
      <c r="F285" s="18">
        <f t="shared" si="0"/>
        <v>17552</v>
      </c>
      <c r="G285" s="17">
        <v>1244590</v>
      </c>
      <c r="I285" s="18">
        <v>32194</v>
      </c>
      <c r="K285" s="7">
        <f t="shared" si="1"/>
        <v>1212396</v>
      </c>
      <c r="L285" s="17">
        <v>17124</v>
      </c>
      <c r="N285" s="18">
        <v>4014</v>
      </c>
      <c r="P285" s="7">
        <f t="shared" si="2"/>
        <v>13110</v>
      </c>
      <c r="Q285" s="17">
        <v>10379</v>
      </c>
      <c r="R285" s="18">
        <v>504</v>
      </c>
      <c r="T285" s="18">
        <v>6781</v>
      </c>
      <c r="U285" s="7">
        <f t="shared" si="3"/>
        <v>3094</v>
      </c>
      <c r="V285" s="17">
        <v>874269</v>
      </c>
      <c r="W285" s="18">
        <v>209</v>
      </c>
      <c r="X285" s="18">
        <v>20923</v>
      </c>
      <c r="Y285" s="18">
        <v>2311</v>
      </c>
      <c r="Z285" s="7">
        <f t="shared" si="4"/>
        <v>850826</v>
      </c>
      <c r="AA285" s="27">
        <f t="shared" si="5"/>
        <v>2163915</v>
      </c>
    </row>
    <row r="286" spans="1:27" ht="13.2" x14ac:dyDescent="0.25">
      <c r="A286" s="16">
        <v>44313</v>
      </c>
      <c r="B286" s="17">
        <v>17553</v>
      </c>
      <c r="E286" s="18">
        <v>1</v>
      </c>
      <c r="F286" s="18">
        <f t="shared" si="0"/>
        <v>17552</v>
      </c>
      <c r="G286" s="17">
        <v>1246417</v>
      </c>
      <c r="I286" s="18">
        <v>30487</v>
      </c>
      <c r="K286" s="7">
        <f t="shared" si="1"/>
        <v>1215930</v>
      </c>
      <c r="L286" s="17">
        <v>18052</v>
      </c>
      <c r="N286" s="18">
        <v>4505</v>
      </c>
      <c r="P286" s="7">
        <f t="shared" si="2"/>
        <v>13547</v>
      </c>
      <c r="Q286" s="17">
        <v>10427</v>
      </c>
      <c r="R286" s="18">
        <v>505</v>
      </c>
      <c r="T286" s="18">
        <v>6819</v>
      </c>
      <c r="U286" s="7">
        <f t="shared" si="3"/>
        <v>3103</v>
      </c>
      <c r="V286" s="17">
        <v>875817</v>
      </c>
      <c r="W286" s="18">
        <v>190</v>
      </c>
      <c r="X286" s="18">
        <v>20399</v>
      </c>
      <c r="Y286" s="18">
        <v>2311</v>
      </c>
      <c r="Z286" s="7">
        <f t="shared" si="4"/>
        <v>852917</v>
      </c>
      <c r="AA286" s="27">
        <f t="shared" si="5"/>
        <v>2168266</v>
      </c>
    </row>
    <row r="287" spans="1:27" ht="13.2" x14ac:dyDescent="0.25">
      <c r="A287" s="16">
        <v>44314</v>
      </c>
      <c r="B287" s="17">
        <v>17553</v>
      </c>
      <c r="E287" s="18">
        <v>1</v>
      </c>
      <c r="F287" s="18">
        <f t="shared" si="0"/>
        <v>17552</v>
      </c>
      <c r="G287" s="17">
        <v>1249417</v>
      </c>
      <c r="I287" s="18">
        <v>28762</v>
      </c>
      <c r="K287" s="7">
        <f t="shared" si="1"/>
        <v>1220655</v>
      </c>
      <c r="L287" s="17">
        <v>19375</v>
      </c>
      <c r="N287" s="18">
        <v>4700</v>
      </c>
      <c r="P287" s="7">
        <f t="shared" si="2"/>
        <v>14675</v>
      </c>
      <c r="Q287" s="17">
        <v>10503</v>
      </c>
      <c r="R287" s="18">
        <v>506</v>
      </c>
      <c r="T287" s="18">
        <v>6858</v>
      </c>
      <c r="U287" s="7">
        <f t="shared" si="3"/>
        <v>3139</v>
      </c>
      <c r="V287" s="17">
        <v>879203</v>
      </c>
      <c r="W287" s="18">
        <v>208</v>
      </c>
      <c r="X287" s="18">
        <v>20949</v>
      </c>
      <c r="Y287" s="18">
        <v>2311</v>
      </c>
      <c r="Z287" s="7">
        <f t="shared" si="4"/>
        <v>855735</v>
      </c>
      <c r="AA287" s="27">
        <f t="shared" si="5"/>
        <v>2176051</v>
      </c>
    </row>
    <row r="288" spans="1:27" ht="13.2" x14ac:dyDescent="0.25">
      <c r="A288" s="16">
        <v>44315</v>
      </c>
      <c r="B288" s="17">
        <v>17553</v>
      </c>
      <c r="E288" s="18">
        <v>1</v>
      </c>
      <c r="F288" s="18">
        <f t="shared" si="0"/>
        <v>17552</v>
      </c>
      <c r="G288" s="17">
        <v>1253302</v>
      </c>
      <c r="I288" s="18">
        <v>28473</v>
      </c>
      <c r="K288" s="7">
        <f t="shared" si="1"/>
        <v>1224829</v>
      </c>
      <c r="L288" s="17">
        <v>20993</v>
      </c>
      <c r="N288" s="18">
        <v>5733</v>
      </c>
      <c r="P288" s="7">
        <f t="shared" si="2"/>
        <v>15260</v>
      </c>
      <c r="Q288" s="17">
        <v>10660</v>
      </c>
      <c r="R288" s="18">
        <v>570</v>
      </c>
      <c r="T288" s="18">
        <v>6909</v>
      </c>
      <c r="U288" s="7">
        <f t="shared" si="3"/>
        <v>3181</v>
      </c>
      <c r="V288" s="17">
        <v>882265</v>
      </c>
      <c r="W288" s="18">
        <v>208</v>
      </c>
      <c r="X288" s="18">
        <v>21073</v>
      </c>
      <c r="Y288" s="18">
        <v>2311</v>
      </c>
      <c r="Z288" s="7">
        <f t="shared" si="4"/>
        <v>858673</v>
      </c>
      <c r="AA288" s="27">
        <f t="shared" si="5"/>
        <v>2184773</v>
      </c>
    </row>
    <row r="289" spans="1:27" ht="13.2" x14ac:dyDescent="0.25">
      <c r="A289" s="16">
        <v>44316</v>
      </c>
      <c r="B289" s="17">
        <v>17553</v>
      </c>
      <c r="E289" s="18">
        <v>1</v>
      </c>
      <c r="F289" s="18">
        <f t="shared" si="0"/>
        <v>17552</v>
      </c>
      <c r="G289" s="17">
        <v>1258215</v>
      </c>
      <c r="I289" s="18">
        <v>29442</v>
      </c>
      <c r="K289" s="7">
        <f t="shared" si="1"/>
        <v>1228773</v>
      </c>
      <c r="L289" s="17">
        <v>22555</v>
      </c>
      <c r="N289" s="18">
        <v>5636</v>
      </c>
      <c r="P289" s="7">
        <f t="shared" si="2"/>
        <v>16919</v>
      </c>
      <c r="Q289" s="17">
        <v>10790</v>
      </c>
      <c r="R289" s="18">
        <v>571</v>
      </c>
      <c r="T289" s="18">
        <v>6948</v>
      </c>
      <c r="U289" s="7">
        <f t="shared" si="3"/>
        <v>3271</v>
      </c>
      <c r="V289" s="17">
        <v>887079</v>
      </c>
      <c r="W289" s="18">
        <v>189</v>
      </c>
      <c r="X289" s="18">
        <v>23042</v>
      </c>
      <c r="Y289" s="18">
        <v>2311</v>
      </c>
      <c r="Z289" s="7">
        <f t="shared" si="4"/>
        <v>861537</v>
      </c>
      <c r="AA289" s="27">
        <f t="shared" si="5"/>
        <v>2196192</v>
      </c>
    </row>
    <row r="290" spans="1:27" ht="13.2" x14ac:dyDescent="0.25">
      <c r="A290" s="16">
        <v>44317</v>
      </c>
      <c r="B290" s="17">
        <v>17565</v>
      </c>
      <c r="E290" s="18">
        <v>1</v>
      </c>
      <c r="F290" s="18">
        <f t="shared" si="0"/>
        <v>17564</v>
      </c>
      <c r="G290" s="17">
        <v>1262727</v>
      </c>
      <c r="I290" s="18">
        <v>30515</v>
      </c>
      <c r="K290" s="7">
        <f t="shared" si="1"/>
        <v>1232212</v>
      </c>
      <c r="L290" s="17">
        <v>24235</v>
      </c>
      <c r="N290" s="18">
        <v>4847</v>
      </c>
      <c r="P290" s="7">
        <f t="shared" si="2"/>
        <v>19388</v>
      </c>
      <c r="Q290" s="17">
        <v>10882</v>
      </c>
      <c r="R290" s="18">
        <v>574</v>
      </c>
      <c r="T290" s="18">
        <v>6984</v>
      </c>
      <c r="U290" s="7">
        <f t="shared" si="3"/>
        <v>3324</v>
      </c>
      <c r="V290" s="17">
        <v>892776</v>
      </c>
      <c r="W290" s="18">
        <v>182</v>
      </c>
      <c r="X290" s="18">
        <v>26234</v>
      </c>
      <c r="Y290" s="18">
        <v>2311</v>
      </c>
      <c r="Z290" s="7">
        <f t="shared" si="4"/>
        <v>864049</v>
      </c>
      <c r="AA290" s="27">
        <f t="shared" si="5"/>
        <v>2208185</v>
      </c>
    </row>
    <row r="291" spans="1:27" ht="13.2" x14ac:dyDescent="0.25">
      <c r="A291" s="16">
        <v>44318</v>
      </c>
      <c r="B291" s="17">
        <v>17587</v>
      </c>
      <c r="E291" s="18">
        <v>1</v>
      </c>
      <c r="F291" s="18">
        <f t="shared" si="0"/>
        <v>17586</v>
      </c>
      <c r="G291" s="17">
        <v>1267976</v>
      </c>
      <c r="I291" s="18">
        <v>33103</v>
      </c>
      <c r="K291" s="7">
        <f t="shared" si="1"/>
        <v>1234873</v>
      </c>
      <c r="L291" s="17">
        <v>26703</v>
      </c>
      <c r="N291" s="18">
        <v>5033</v>
      </c>
      <c r="P291" s="7">
        <f t="shared" si="2"/>
        <v>21670</v>
      </c>
      <c r="Q291" s="17">
        <v>10997</v>
      </c>
      <c r="R291" s="18">
        <v>615</v>
      </c>
      <c r="T291" s="18">
        <v>7030</v>
      </c>
      <c r="U291" s="7">
        <f t="shared" si="3"/>
        <v>3352</v>
      </c>
      <c r="V291" s="17">
        <v>898113</v>
      </c>
      <c r="W291" s="18">
        <v>183</v>
      </c>
      <c r="X291" s="18">
        <v>28494</v>
      </c>
      <c r="Y291" s="18">
        <v>2311</v>
      </c>
      <c r="Z291" s="7">
        <f t="shared" si="4"/>
        <v>867125</v>
      </c>
      <c r="AA291" s="27">
        <f t="shared" si="5"/>
        <v>2221376</v>
      </c>
    </row>
    <row r="292" spans="1:27" ht="13.2" x14ac:dyDescent="0.25">
      <c r="A292" s="16">
        <v>44319</v>
      </c>
      <c r="B292" s="17">
        <v>17637</v>
      </c>
      <c r="E292" s="18">
        <v>1</v>
      </c>
      <c r="F292" s="18">
        <f t="shared" si="0"/>
        <v>17636</v>
      </c>
      <c r="G292" s="17">
        <v>1271002</v>
      </c>
      <c r="I292" s="18">
        <v>34980</v>
      </c>
      <c r="K292" s="7">
        <f t="shared" si="1"/>
        <v>1236022</v>
      </c>
      <c r="L292" s="17">
        <v>27369</v>
      </c>
      <c r="N292" s="18">
        <v>5364</v>
      </c>
      <c r="P292" s="7">
        <f t="shared" si="2"/>
        <v>22005</v>
      </c>
      <c r="Q292" s="17">
        <v>11162</v>
      </c>
      <c r="R292" s="18">
        <v>649</v>
      </c>
      <c r="T292" s="18">
        <v>7061</v>
      </c>
      <c r="U292" s="7">
        <f t="shared" si="3"/>
        <v>3452</v>
      </c>
      <c r="V292" s="17">
        <v>901763</v>
      </c>
      <c r="W292" s="18">
        <v>191</v>
      </c>
      <c r="X292" s="18">
        <v>30319</v>
      </c>
      <c r="Y292" s="18">
        <v>2311</v>
      </c>
      <c r="Z292" s="7">
        <f t="shared" si="4"/>
        <v>868942</v>
      </c>
      <c r="AA292" s="27">
        <f t="shared" si="5"/>
        <v>2228933</v>
      </c>
    </row>
    <row r="293" spans="1:27" ht="13.2" x14ac:dyDescent="0.25">
      <c r="A293" s="16">
        <v>44320</v>
      </c>
      <c r="B293" s="17">
        <v>17637</v>
      </c>
      <c r="E293" s="18">
        <v>1</v>
      </c>
      <c r="F293" s="18">
        <f t="shared" si="0"/>
        <v>17636</v>
      </c>
      <c r="G293" s="17">
        <v>1271828</v>
      </c>
      <c r="I293" s="18">
        <v>27406</v>
      </c>
      <c r="K293" s="7">
        <f t="shared" si="1"/>
        <v>1244422</v>
      </c>
      <c r="L293" s="17">
        <v>27857</v>
      </c>
      <c r="N293" s="18">
        <v>4097</v>
      </c>
      <c r="P293" s="7">
        <f t="shared" si="2"/>
        <v>23760</v>
      </c>
      <c r="Q293" s="17">
        <v>11235</v>
      </c>
      <c r="R293" s="18">
        <v>504</v>
      </c>
      <c r="T293" s="18">
        <v>7096</v>
      </c>
      <c r="U293" s="7">
        <f t="shared" si="3"/>
        <v>3635</v>
      </c>
      <c r="V293" s="17">
        <v>907008</v>
      </c>
      <c r="W293" s="18">
        <v>132</v>
      </c>
      <c r="X293" s="18">
        <v>29008</v>
      </c>
      <c r="Y293" s="18">
        <v>2311</v>
      </c>
      <c r="Z293" s="7">
        <f t="shared" si="4"/>
        <v>875557</v>
      </c>
      <c r="AA293" s="27">
        <f t="shared" si="5"/>
        <v>2235565</v>
      </c>
    </row>
    <row r="294" spans="1:27" ht="13.2" x14ac:dyDescent="0.25">
      <c r="A294" s="16">
        <v>44321</v>
      </c>
      <c r="B294" s="17">
        <v>17734</v>
      </c>
      <c r="E294" s="18">
        <v>1</v>
      </c>
      <c r="F294" s="18">
        <f t="shared" si="0"/>
        <v>17733</v>
      </c>
      <c r="G294" s="17">
        <v>1276941</v>
      </c>
      <c r="I294" s="18">
        <v>27541</v>
      </c>
      <c r="K294" s="7">
        <f t="shared" si="1"/>
        <v>1249400</v>
      </c>
      <c r="L294" s="17">
        <v>29038</v>
      </c>
      <c r="N294" s="18">
        <v>4498</v>
      </c>
      <c r="P294" s="7">
        <f t="shared" si="2"/>
        <v>24540</v>
      </c>
      <c r="Q294" s="17">
        <v>11309</v>
      </c>
      <c r="R294" s="18">
        <v>463</v>
      </c>
      <c r="T294" s="18">
        <v>7121</v>
      </c>
      <c r="U294" s="7">
        <f t="shared" si="3"/>
        <v>3725</v>
      </c>
      <c r="V294" s="17">
        <v>910749</v>
      </c>
      <c r="W294" s="18">
        <v>126</v>
      </c>
      <c r="X294" s="18">
        <v>29604</v>
      </c>
      <c r="Y294" s="18">
        <v>2311</v>
      </c>
      <c r="Z294" s="7">
        <f t="shared" si="4"/>
        <v>878708</v>
      </c>
      <c r="AA294" s="27">
        <f t="shared" si="5"/>
        <v>2245771</v>
      </c>
    </row>
    <row r="295" spans="1:27" ht="13.2" x14ac:dyDescent="0.25">
      <c r="A295" s="16">
        <v>44322</v>
      </c>
      <c r="B295" s="17">
        <v>17841</v>
      </c>
      <c r="E295" s="18">
        <v>1</v>
      </c>
      <c r="F295" s="18">
        <f t="shared" si="0"/>
        <v>17840</v>
      </c>
      <c r="G295" s="17">
        <v>1282187</v>
      </c>
      <c r="I295" s="18">
        <v>28353</v>
      </c>
      <c r="K295" s="7">
        <f t="shared" si="1"/>
        <v>1253834</v>
      </c>
      <c r="L295" s="17">
        <v>30354</v>
      </c>
      <c r="N295" s="18">
        <v>4678</v>
      </c>
      <c r="P295" s="7">
        <f t="shared" si="2"/>
        <v>25676</v>
      </c>
      <c r="Q295" s="17">
        <v>11507</v>
      </c>
      <c r="R295" s="18">
        <v>517</v>
      </c>
      <c r="T295" s="18">
        <v>7171</v>
      </c>
      <c r="U295" s="7">
        <f t="shared" si="3"/>
        <v>3819</v>
      </c>
      <c r="V295" s="17">
        <v>919509</v>
      </c>
      <c r="W295" s="18">
        <v>137</v>
      </c>
      <c r="X295" s="18">
        <v>35932</v>
      </c>
      <c r="Y295" s="18">
        <v>2311</v>
      </c>
      <c r="Z295" s="7">
        <f t="shared" si="4"/>
        <v>881129</v>
      </c>
      <c r="AA295" s="27">
        <f t="shared" si="5"/>
        <v>2261398</v>
      </c>
    </row>
    <row r="296" spans="1:27" ht="13.2" x14ac:dyDescent="0.25">
      <c r="A296" s="16">
        <v>44323</v>
      </c>
      <c r="B296" s="17">
        <v>17953</v>
      </c>
      <c r="E296" s="18">
        <v>1</v>
      </c>
      <c r="F296" s="18">
        <f t="shared" si="0"/>
        <v>17952</v>
      </c>
      <c r="G296" s="17">
        <v>1287163</v>
      </c>
      <c r="I296" s="18">
        <v>29051</v>
      </c>
      <c r="K296" s="7">
        <f t="shared" si="1"/>
        <v>1258112</v>
      </c>
      <c r="L296" s="17">
        <v>31991</v>
      </c>
      <c r="N296" s="18">
        <v>4565</v>
      </c>
      <c r="P296" s="7">
        <f t="shared" si="2"/>
        <v>27426</v>
      </c>
      <c r="Q296" s="17">
        <v>11617</v>
      </c>
      <c r="R296" s="18">
        <v>512</v>
      </c>
      <c r="T296" s="18">
        <v>7204</v>
      </c>
      <c r="U296" s="7">
        <f t="shared" si="3"/>
        <v>3901</v>
      </c>
      <c r="V296" s="17">
        <v>924960</v>
      </c>
      <c r="W296" s="18">
        <v>139</v>
      </c>
      <c r="X296" s="18">
        <v>38322</v>
      </c>
      <c r="Y296" s="18">
        <v>2311</v>
      </c>
      <c r="Z296" s="7">
        <f t="shared" si="4"/>
        <v>884188</v>
      </c>
      <c r="AA296" s="27">
        <f t="shared" si="5"/>
        <v>2273684</v>
      </c>
    </row>
    <row r="297" spans="1:27" ht="13.2" x14ac:dyDescent="0.25">
      <c r="A297" s="16">
        <v>44324</v>
      </c>
      <c r="B297" s="17">
        <v>18018</v>
      </c>
      <c r="E297" s="18">
        <v>1</v>
      </c>
      <c r="F297" s="18">
        <f t="shared" si="0"/>
        <v>18017</v>
      </c>
      <c r="G297" s="17">
        <v>1292845</v>
      </c>
      <c r="I297" s="18">
        <v>30735</v>
      </c>
      <c r="K297" s="7">
        <f t="shared" si="1"/>
        <v>1262110</v>
      </c>
      <c r="L297" s="17">
        <v>33559</v>
      </c>
      <c r="N297" s="18">
        <v>5284</v>
      </c>
      <c r="P297" s="7">
        <f t="shared" si="2"/>
        <v>28275</v>
      </c>
      <c r="Q297" s="17">
        <v>11738</v>
      </c>
      <c r="R297" s="18">
        <v>546</v>
      </c>
      <c r="T297" s="18">
        <v>7236</v>
      </c>
      <c r="U297" s="7">
        <f t="shared" si="3"/>
        <v>3956</v>
      </c>
      <c r="V297" s="17">
        <v>930386</v>
      </c>
      <c r="W297" s="18">
        <v>129</v>
      </c>
      <c r="X297" s="18">
        <v>39625</v>
      </c>
      <c r="Y297" s="18">
        <v>2311</v>
      </c>
      <c r="Z297" s="7">
        <f t="shared" si="4"/>
        <v>888321</v>
      </c>
      <c r="AA297" s="27">
        <f t="shared" si="5"/>
        <v>2286546</v>
      </c>
    </row>
    <row r="298" spans="1:27" ht="13.2" x14ac:dyDescent="0.25">
      <c r="A298" s="16">
        <v>44325</v>
      </c>
      <c r="B298" s="17">
        <v>18185</v>
      </c>
      <c r="E298" s="18">
        <v>1</v>
      </c>
      <c r="F298" s="18">
        <f t="shared" si="0"/>
        <v>18184</v>
      </c>
      <c r="G298" s="17">
        <v>1297552</v>
      </c>
      <c r="I298" s="18">
        <v>32624</v>
      </c>
      <c r="K298" s="7">
        <f t="shared" si="1"/>
        <v>1264928</v>
      </c>
      <c r="L298" s="17">
        <v>35387</v>
      </c>
      <c r="N298" s="18">
        <v>6294</v>
      </c>
      <c r="P298" s="7">
        <f t="shared" si="2"/>
        <v>29093</v>
      </c>
      <c r="Q298" s="17">
        <v>11881</v>
      </c>
      <c r="R298" s="18">
        <v>635</v>
      </c>
      <c r="T298" s="18">
        <v>7271</v>
      </c>
      <c r="U298" s="7">
        <f t="shared" si="3"/>
        <v>3975</v>
      </c>
      <c r="V298" s="17">
        <v>935992</v>
      </c>
      <c r="W298" s="18">
        <v>132</v>
      </c>
      <c r="X298" s="18">
        <v>42240</v>
      </c>
      <c r="Y298" s="18">
        <v>2311</v>
      </c>
      <c r="Z298" s="7">
        <f t="shared" si="4"/>
        <v>891309</v>
      </c>
      <c r="AA298" s="27">
        <f t="shared" si="5"/>
        <v>2298997</v>
      </c>
    </row>
    <row r="299" spans="1:27" ht="13.2" x14ac:dyDescent="0.25">
      <c r="A299" s="16">
        <v>44326</v>
      </c>
      <c r="B299" s="17">
        <v>18342</v>
      </c>
      <c r="E299" s="18">
        <v>1</v>
      </c>
      <c r="F299" s="18">
        <f t="shared" si="0"/>
        <v>18341</v>
      </c>
      <c r="G299" s="17">
        <v>1300786</v>
      </c>
      <c r="I299" s="18">
        <v>31040</v>
      </c>
      <c r="K299" s="7">
        <f t="shared" si="1"/>
        <v>1269746</v>
      </c>
      <c r="L299" s="17">
        <v>37598</v>
      </c>
      <c r="N299" s="18">
        <v>6379</v>
      </c>
      <c r="P299" s="7">
        <f t="shared" si="2"/>
        <v>31219</v>
      </c>
      <c r="Q299" s="17">
        <v>11995</v>
      </c>
      <c r="R299" s="18">
        <v>598</v>
      </c>
      <c r="T299" s="18">
        <v>7300</v>
      </c>
      <c r="U299" s="7">
        <f t="shared" si="3"/>
        <v>4097</v>
      </c>
      <c r="V299" s="17">
        <v>939454</v>
      </c>
      <c r="W299" s="18">
        <v>120</v>
      </c>
      <c r="X299" s="18">
        <v>41603</v>
      </c>
      <c r="Y299" s="18">
        <v>2311</v>
      </c>
      <c r="Z299" s="7">
        <f t="shared" si="4"/>
        <v>895420</v>
      </c>
      <c r="AA299" s="27">
        <f t="shared" si="5"/>
        <v>2308175</v>
      </c>
    </row>
    <row r="300" spans="1:27" ht="13.2" x14ac:dyDescent="0.25">
      <c r="A300" s="16">
        <v>44327</v>
      </c>
      <c r="B300" s="17">
        <v>18342</v>
      </c>
      <c r="E300" s="18">
        <v>1</v>
      </c>
      <c r="F300" s="18">
        <f t="shared" si="0"/>
        <v>18341</v>
      </c>
      <c r="G300" s="17">
        <v>1302465</v>
      </c>
      <c r="I300" s="18">
        <v>28806</v>
      </c>
      <c r="K300" s="7">
        <f t="shared" si="1"/>
        <v>1273659</v>
      </c>
      <c r="L300" s="17">
        <v>38231</v>
      </c>
      <c r="N300" s="18">
        <v>6763</v>
      </c>
      <c r="P300" s="7">
        <f t="shared" si="2"/>
        <v>31468</v>
      </c>
      <c r="Q300" s="17">
        <v>12037</v>
      </c>
      <c r="R300" s="18">
        <v>538</v>
      </c>
      <c r="T300" s="18">
        <v>7326</v>
      </c>
      <c r="U300" s="7">
        <f t="shared" si="3"/>
        <v>4173</v>
      </c>
      <c r="V300" s="17">
        <v>942438</v>
      </c>
      <c r="W300" s="18">
        <v>104</v>
      </c>
      <c r="X300" s="18">
        <v>40450</v>
      </c>
      <c r="Y300" s="18">
        <v>2311</v>
      </c>
      <c r="Z300" s="7">
        <f t="shared" si="4"/>
        <v>899573</v>
      </c>
      <c r="AA300" s="27">
        <f t="shared" si="5"/>
        <v>2313513</v>
      </c>
    </row>
    <row r="301" spans="1:27" ht="13.2" x14ac:dyDescent="0.25">
      <c r="A301" s="16">
        <v>44328</v>
      </c>
      <c r="B301" s="17">
        <v>18448</v>
      </c>
      <c r="E301" s="18">
        <v>1</v>
      </c>
      <c r="F301" s="18">
        <f t="shared" si="0"/>
        <v>18447</v>
      </c>
      <c r="G301" s="17">
        <v>1306356</v>
      </c>
      <c r="I301" s="18">
        <v>27642</v>
      </c>
      <c r="K301" s="7">
        <f t="shared" si="1"/>
        <v>1278714</v>
      </c>
      <c r="L301" s="17">
        <v>38766</v>
      </c>
      <c r="N301" s="18">
        <v>6619</v>
      </c>
      <c r="P301" s="7">
        <f t="shared" si="2"/>
        <v>32147</v>
      </c>
      <c r="Q301" s="17">
        <v>12156</v>
      </c>
      <c r="R301" s="18">
        <v>522</v>
      </c>
      <c r="T301" s="18">
        <v>7376</v>
      </c>
      <c r="U301" s="7">
        <f t="shared" si="3"/>
        <v>4258</v>
      </c>
      <c r="V301" s="17">
        <v>947854</v>
      </c>
      <c r="W301" s="18">
        <v>114</v>
      </c>
      <c r="X301" s="18">
        <v>41721</v>
      </c>
      <c r="Y301" s="18">
        <v>2311</v>
      </c>
      <c r="Z301" s="7">
        <f t="shared" si="4"/>
        <v>903708</v>
      </c>
      <c r="AA301" s="27">
        <f t="shared" si="5"/>
        <v>2323580</v>
      </c>
    </row>
    <row r="302" spans="1:27" ht="13.2" x14ac:dyDescent="0.25">
      <c r="A302" s="16">
        <v>44329</v>
      </c>
      <c r="B302" s="17">
        <v>18590</v>
      </c>
      <c r="E302" s="18">
        <v>1</v>
      </c>
      <c r="F302" s="18">
        <f t="shared" si="0"/>
        <v>18589</v>
      </c>
      <c r="G302" s="17">
        <v>1311304</v>
      </c>
      <c r="I302" s="18">
        <v>27882</v>
      </c>
      <c r="K302" s="7">
        <f t="shared" si="1"/>
        <v>1283422</v>
      </c>
      <c r="L302" s="17">
        <v>39551</v>
      </c>
      <c r="N302" s="18">
        <v>6849</v>
      </c>
      <c r="P302" s="7">
        <f t="shared" si="2"/>
        <v>32702</v>
      </c>
      <c r="Q302" s="17">
        <v>12265</v>
      </c>
      <c r="R302" s="18">
        <v>506</v>
      </c>
      <c r="T302" s="18">
        <v>7411</v>
      </c>
      <c r="U302" s="7">
        <f t="shared" si="3"/>
        <v>4348</v>
      </c>
      <c r="V302" s="17">
        <v>952480</v>
      </c>
      <c r="W302" s="18">
        <v>122</v>
      </c>
      <c r="X302" s="18">
        <v>40433</v>
      </c>
      <c r="Y302" s="18">
        <v>2311</v>
      </c>
      <c r="Z302" s="7">
        <f t="shared" si="4"/>
        <v>909614</v>
      </c>
      <c r="AA302" s="27">
        <f t="shared" si="5"/>
        <v>2334190</v>
      </c>
    </row>
    <row r="303" spans="1:27" ht="13.2" x14ac:dyDescent="0.25">
      <c r="A303" s="16">
        <v>44330</v>
      </c>
      <c r="B303" s="17">
        <v>18644</v>
      </c>
      <c r="E303" s="18">
        <v>1</v>
      </c>
      <c r="F303" s="18">
        <f t="shared" si="0"/>
        <v>18643</v>
      </c>
      <c r="G303" s="17">
        <v>1314478</v>
      </c>
      <c r="I303" s="18">
        <v>26295</v>
      </c>
      <c r="K303" s="7">
        <f t="shared" si="1"/>
        <v>1288183</v>
      </c>
      <c r="L303" s="17">
        <v>40243</v>
      </c>
      <c r="N303" s="18">
        <v>7053</v>
      </c>
      <c r="P303" s="7">
        <f t="shared" si="2"/>
        <v>33190</v>
      </c>
      <c r="Q303" s="17">
        <v>12396</v>
      </c>
      <c r="R303" s="18">
        <v>489</v>
      </c>
      <c r="T303" s="18">
        <v>7456</v>
      </c>
      <c r="U303" s="7">
        <f t="shared" si="3"/>
        <v>4451</v>
      </c>
      <c r="V303" s="17">
        <v>955698</v>
      </c>
      <c r="W303" s="18">
        <v>119</v>
      </c>
      <c r="X303" s="18">
        <v>37120</v>
      </c>
      <c r="Y303" s="18">
        <v>2311</v>
      </c>
      <c r="Z303" s="7">
        <f t="shared" si="4"/>
        <v>916148</v>
      </c>
      <c r="AA303" s="27">
        <f t="shared" si="5"/>
        <v>2341459</v>
      </c>
    </row>
    <row r="304" spans="1:27" ht="13.2" x14ac:dyDescent="0.25">
      <c r="A304" s="16">
        <v>44331</v>
      </c>
      <c r="B304" s="17">
        <v>18684</v>
      </c>
      <c r="E304" s="18">
        <v>1</v>
      </c>
      <c r="F304" s="18">
        <f t="shared" si="0"/>
        <v>18683</v>
      </c>
      <c r="G304" s="17">
        <v>1315050</v>
      </c>
      <c r="I304" s="18">
        <v>25200</v>
      </c>
      <c r="K304" s="7">
        <f t="shared" si="1"/>
        <v>1289850</v>
      </c>
      <c r="L304" s="17">
        <v>40715</v>
      </c>
      <c r="N304" s="18">
        <v>7116</v>
      </c>
      <c r="P304" s="7">
        <f t="shared" si="2"/>
        <v>33599</v>
      </c>
      <c r="Q304" s="17">
        <v>12466</v>
      </c>
      <c r="R304" s="18">
        <v>488</v>
      </c>
      <c r="T304" s="18">
        <v>7501</v>
      </c>
      <c r="U304" s="7">
        <f t="shared" si="3"/>
        <v>4477</v>
      </c>
      <c r="V304" s="17">
        <v>956528</v>
      </c>
      <c r="W304" s="18">
        <v>113</v>
      </c>
      <c r="X304" s="18">
        <v>35438</v>
      </c>
      <c r="Y304" s="18">
        <v>2311</v>
      </c>
      <c r="Z304" s="7">
        <f t="shared" si="4"/>
        <v>918666</v>
      </c>
      <c r="AA304" s="27">
        <f t="shared" si="5"/>
        <v>2343443</v>
      </c>
    </row>
    <row r="305" spans="1:27" ht="13.2" x14ac:dyDescent="0.25">
      <c r="A305" s="16">
        <v>44332</v>
      </c>
      <c r="B305" s="17">
        <v>18716</v>
      </c>
      <c r="E305" s="18">
        <v>1</v>
      </c>
      <c r="F305" s="18">
        <f t="shared" si="0"/>
        <v>18715</v>
      </c>
      <c r="G305" s="17">
        <v>1315714</v>
      </c>
      <c r="I305" s="18">
        <v>24253</v>
      </c>
      <c r="K305" s="7">
        <f t="shared" si="1"/>
        <v>1291461</v>
      </c>
      <c r="L305" s="17">
        <v>41314</v>
      </c>
      <c r="N305" s="18">
        <v>6328</v>
      </c>
      <c r="P305" s="7">
        <f t="shared" si="2"/>
        <v>34986</v>
      </c>
      <c r="Q305" s="17">
        <v>12515</v>
      </c>
      <c r="R305" s="18">
        <v>482</v>
      </c>
      <c r="T305" s="18">
        <v>7538</v>
      </c>
      <c r="U305" s="7">
        <f t="shared" si="3"/>
        <v>4495</v>
      </c>
      <c r="V305" s="17">
        <v>957983</v>
      </c>
      <c r="W305" s="18">
        <v>104</v>
      </c>
      <c r="X305" s="18">
        <v>33489</v>
      </c>
      <c r="Y305" s="18">
        <v>2311</v>
      </c>
      <c r="Z305" s="7">
        <f t="shared" si="4"/>
        <v>922079</v>
      </c>
      <c r="AA305" s="27">
        <f t="shared" si="5"/>
        <v>2346242</v>
      </c>
    </row>
    <row r="306" spans="1:27" ht="13.2" x14ac:dyDescent="0.25">
      <c r="A306" s="16">
        <v>44333</v>
      </c>
      <c r="B306" s="17">
        <v>18819</v>
      </c>
      <c r="E306" s="18">
        <v>1</v>
      </c>
      <c r="F306" s="18">
        <f t="shared" si="0"/>
        <v>18818</v>
      </c>
      <c r="G306" s="17">
        <v>1317795</v>
      </c>
      <c r="I306" s="18">
        <v>21762</v>
      </c>
      <c r="K306" s="7">
        <f t="shared" si="1"/>
        <v>1296033</v>
      </c>
      <c r="L306" s="17">
        <v>41893</v>
      </c>
      <c r="N306" s="18">
        <v>5954</v>
      </c>
      <c r="P306" s="7">
        <f t="shared" si="2"/>
        <v>35939</v>
      </c>
      <c r="Q306" s="17">
        <v>12580</v>
      </c>
      <c r="R306" s="18">
        <v>428</v>
      </c>
      <c r="T306" s="18">
        <v>7569</v>
      </c>
      <c r="U306" s="7">
        <f t="shared" si="3"/>
        <v>4583</v>
      </c>
      <c r="V306" s="17">
        <v>960591</v>
      </c>
      <c r="W306" s="18">
        <v>101</v>
      </c>
      <c r="X306" s="18">
        <v>30332</v>
      </c>
      <c r="Y306" s="18">
        <v>2311</v>
      </c>
      <c r="Z306" s="7">
        <f t="shared" si="4"/>
        <v>927847</v>
      </c>
      <c r="AA306" s="27">
        <f t="shared" si="5"/>
        <v>2351678</v>
      </c>
    </row>
    <row r="307" spans="1:27" ht="13.2" x14ac:dyDescent="0.25">
      <c r="A307" s="16">
        <v>44334</v>
      </c>
      <c r="B307" s="17">
        <v>18820</v>
      </c>
      <c r="E307" s="18">
        <v>1</v>
      </c>
      <c r="F307" s="18">
        <f t="shared" si="0"/>
        <v>18819</v>
      </c>
      <c r="G307" s="17">
        <v>1319558</v>
      </c>
      <c r="I307" s="18">
        <v>19159</v>
      </c>
      <c r="K307" s="7">
        <f t="shared" si="1"/>
        <v>1300399</v>
      </c>
      <c r="L307" s="17">
        <v>42376</v>
      </c>
      <c r="N307" s="18">
        <v>5274</v>
      </c>
      <c r="P307" s="7">
        <f t="shared" si="2"/>
        <v>37102</v>
      </c>
      <c r="Q307" s="17">
        <v>12632</v>
      </c>
      <c r="R307" s="18">
        <v>374</v>
      </c>
      <c r="T307" s="18">
        <v>7601</v>
      </c>
      <c r="U307" s="7">
        <f t="shared" si="3"/>
        <v>4657</v>
      </c>
      <c r="V307" s="17">
        <v>962684</v>
      </c>
      <c r="W307" s="18">
        <v>97</v>
      </c>
      <c r="X307" s="18">
        <v>26894</v>
      </c>
      <c r="Y307" s="18">
        <v>2311</v>
      </c>
      <c r="Z307" s="7">
        <f t="shared" si="4"/>
        <v>933382</v>
      </c>
      <c r="AA307" s="27">
        <f t="shared" si="5"/>
        <v>2356070</v>
      </c>
    </row>
    <row r="308" spans="1:27" ht="13.2" x14ac:dyDescent="0.25">
      <c r="A308" s="16">
        <v>44335</v>
      </c>
      <c r="B308" s="17">
        <v>18926</v>
      </c>
      <c r="E308" s="18">
        <v>1</v>
      </c>
      <c r="F308" s="18">
        <f t="shared" si="0"/>
        <v>18925</v>
      </c>
      <c r="G308" s="17">
        <v>1323540</v>
      </c>
      <c r="I308" s="18">
        <v>18894</v>
      </c>
      <c r="K308" s="7">
        <f t="shared" si="1"/>
        <v>1304646</v>
      </c>
      <c r="L308" s="17">
        <v>42970</v>
      </c>
      <c r="N308" s="18">
        <v>4788</v>
      </c>
      <c r="P308" s="7">
        <f t="shared" si="2"/>
        <v>38182</v>
      </c>
      <c r="Q308" s="17">
        <v>12689</v>
      </c>
      <c r="R308" s="18">
        <v>300</v>
      </c>
      <c r="T308" s="18">
        <v>7635</v>
      </c>
      <c r="U308" s="7">
        <f t="shared" si="3"/>
        <v>4754</v>
      </c>
      <c r="V308" s="17">
        <v>969716</v>
      </c>
      <c r="W308" s="18">
        <v>134</v>
      </c>
      <c r="X308" s="18">
        <v>27811</v>
      </c>
      <c r="Y308" s="18">
        <v>2311</v>
      </c>
      <c r="Z308" s="7">
        <f t="shared" si="4"/>
        <v>939460</v>
      </c>
      <c r="AA308" s="27">
        <f t="shared" si="5"/>
        <v>2367841</v>
      </c>
    </row>
    <row r="309" spans="1:27" ht="13.2" x14ac:dyDescent="0.25">
      <c r="A309" s="16">
        <v>44336</v>
      </c>
      <c r="B309" s="17">
        <v>19044</v>
      </c>
      <c r="E309" s="18">
        <v>1</v>
      </c>
      <c r="F309" s="18">
        <f t="shared" si="0"/>
        <v>19043</v>
      </c>
      <c r="G309" s="17">
        <v>1328590</v>
      </c>
      <c r="I309" s="18">
        <v>20005</v>
      </c>
      <c r="K309" s="7">
        <f t="shared" si="1"/>
        <v>1308585</v>
      </c>
      <c r="L309" s="17">
        <v>44024</v>
      </c>
      <c r="N309" s="18">
        <v>5313</v>
      </c>
      <c r="P309" s="7">
        <f t="shared" si="2"/>
        <v>38711</v>
      </c>
      <c r="Q309" s="17">
        <v>12796</v>
      </c>
      <c r="R309" s="18">
        <v>292</v>
      </c>
      <c r="T309" s="18">
        <v>7677</v>
      </c>
      <c r="U309" s="7">
        <f t="shared" si="3"/>
        <v>4827</v>
      </c>
      <c r="V309" s="17">
        <v>976755</v>
      </c>
      <c r="W309" s="18">
        <v>131</v>
      </c>
      <c r="X309" s="18">
        <v>30257</v>
      </c>
      <c r="Y309" s="18">
        <v>2311</v>
      </c>
      <c r="Z309" s="7">
        <f t="shared" si="4"/>
        <v>944056</v>
      </c>
      <c r="AA309" s="27">
        <f t="shared" si="5"/>
        <v>2381209</v>
      </c>
    </row>
    <row r="310" spans="1:27" ht="13.2" x14ac:dyDescent="0.25">
      <c r="A310" s="16">
        <v>44337</v>
      </c>
      <c r="B310" s="17">
        <v>19103</v>
      </c>
      <c r="E310" s="18">
        <v>1</v>
      </c>
      <c r="F310" s="18">
        <f t="shared" si="0"/>
        <v>19102</v>
      </c>
      <c r="G310" s="17">
        <v>1333824</v>
      </c>
      <c r="I310" s="18">
        <v>21275</v>
      </c>
      <c r="K310" s="7">
        <f t="shared" si="1"/>
        <v>1312549</v>
      </c>
      <c r="L310" s="17">
        <v>45000</v>
      </c>
      <c r="N310" s="18">
        <v>4528</v>
      </c>
      <c r="P310" s="7">
        <f t="shared" si="2"/>
        <v>40472</v>
      </c>
      <c r="Q310" s="17">
        <v>12964</v>
      </c>
      <c r="R310" s="18">
        <v>333</v>
      </c>
      <c r="T310" s="18">
        <v>7725</v>
      </c>
      <c r="U310" s="7">
        <f t="shared" si="3"/>
        <v>4906</v>
      </c>
      <c r="V310" s="17">
        <v>983749</v>
      </c>
      <c r="W310" s="18">
        <v>138</v>
      </c>
      <c r="X310" s="18">
        <v>33023</v>
      </c>
      <c r="Y310" s="18">
        <v>2311</v>
      </c>
      <c r="Z310" s="7">
        <f t="shared" si="4"/>
        <v>948277</v>
      </c>
      <c r="AA310" s="27">
        <f t="shared" si="5"/>
        <v>2394640</v>
      </c>
    </row>
    <row r="311" spans="1:27" ht="13.2" x14ac:dyDescent="0.25">
      <c r="A311" s="16">
        <v>44338</v>
      </c>
      <c r="B311" s="17">
        <v>19103</v>
      </c>
      <c r="E311" s="18">
        <v>1</v>
      </c>
      <c r="F311" s="18">
        <f t="shared" si="0"/>
        <v>19102</v>
      </c>
      <c r="G311" s="17">
        <v>1340210</v>
      </c>
      <c r="I311" s="18">
        <v>24631</v>
      </c>
      <c r="K311" s="7">
        <f t="shared" si="1"/>
        <v>1315579</v>
      </c>
      <c r="L311" s="17">
        <v>46478</v>
      </c>
      <c r="N311" s="18">
        <v>4702</v>
      </c>
      <c r="P311" s="7">
        <f t="shared" si="2"/>
        <v>41776</v>
      </c>
      <c r="Q311" s="17">
        <v>13100</v>
      </c>
      <c r="R311" s="18">
        <v>395</v>
      </c>
      <c r="T311" s="18">
        <v>7774</v>
      </c>
      <c r="U311" s="7">
        <f t="shared" si="3"/>
        <v>4931</v>
      </c>
      <c r="V311" s="17">
        <v>991840</v>
      </c>
      <c r="W311" s="18">
        <v>139</v>
      </c>
      <c r="X311" s="18">
        <v>38363</v>
      </c>
      <c r="Y311" s="18">
        <v>2311</v>
      </c>
      <c r="Z311" s="7">
        <f t="shared" si="4"/>
        <v>951027</v>
      </c>
      <c r="AA311" s="27">
        <f t="shared" si="5"/>
        <v>2410731</v>
      </c>
    </row>
    <row r="312" spans="1:27" ht="13.2" x14ac:dyDescent="0.25">
      <c r="A312" s="16">
        <v>44339</v>
      </c>
      <c r="B312" s="17">
        <v>19103</v>
      </c>
      <c r="E312" s="18">
        <v>1</v>
      </c>
      <c r="F312" s="18">
        <f t="shared" si="0"/>
        <v>19102</v>
      </c>
      <c r="G312" s="17">
        <v>1346243</v>
      </c>
      <c r="I312" s="18">
        <v>28689</v>
      </c>
      <c r="K312" s="7">
        <f t="shared" si="1"/>
        <v>1317554</v>
      </c>
      <c r="L312" s="17">
        <v>48611</v>
      </c>
      <c r="N312" s="18">
        <v>5419</v>
      </c>
      <c r="P312" s="7">
        <f t="shared" si="2"/>
        <v>43192</v>
      </c>
      <c r="Q312" s="17">
        <v>13240</v>
      </c>
      <c r="R312" s="18">
        <v>478</v>
      </c>
      <c r="T312" s="18">
        <v>7818</v>
      </c>
      <c r="U312" s="7">
        <f t="shared" si="3"/>
        <v>4944</v>
      </c>
      <c r="V312" s="17">
        <v>1000574</v>
      </c>
      <c r="W312" s="18">
        <v>166</v>
      </c>
      <c r="X312" s="18">
        <v>44695</v>
      </c>
      <c r="Y312" s="18">
        <v>2311</v>
      </c>
      <c r="Z312" s="7">
        <f t="shared" si="4"/>
        <v>953402</v>
      </c>
      <c r="AA312" s="27">
        <f t="shared" si="5"/>
        <v>2427771</v>
      </c>
    </row>
    <row r="313" spans="1:27" ht="13.2" x14ac:dyDescent="0.25">
      <c r="A313" s="16">
        <v>44340</v>
      </c>
      <c r="B313" s="17">
        <v>19146</v>
      </c>
      <c r="E313" s="18">
        <v>1</v>
      </c>
      <c r="F313" s="18">
        <f t="shared" si="0"/>
        <v>19145</v>
      </c>
      <c r="G313" s="17">
        <v>1351496</v>
      </c>
      <c r="I313" s="18">
        <v>30213</v>
      </c>
      <c r="K313" s="7">
        <f t="shared" si="1"/>
        <v>1321283</v>
      </c>
      <c r="L313" s="17">
        <v>49644</v>
      </c>
      <c r="N313" s="18">
        <v>5808</v>
      </c>
      <c r="P313" s="7">
        <f t="shared" si="2"/>
        <v>43836</v>
      </c>
      <c r="Q313" s="17">
        <v>13315</v>
      </c>
      <c r="R313" s="18">
        <v>472</v>
      </c>
      <c r="T313" s="18">
        <v>7860</v>
      </c>
      <c r="U313" s="7">
        <f t="shared" si="3"/>
        <v>4983</v>
      </c>
      <c r="V313" s="17">
        <v>1004907</v>
      </c>
      <c r="W313" s="18">
        <v>165</v>
      </c>
      <c r="X313" s="18">
        <v>42854</v>
      </c>
      <c r="Y313" s="18">
        <v>2311</v>
      </c>
      <c r="Z313" s="7">
        <f t="shared" si="4"/>
        <v>959577</v>
      </c>
      <c r="AA313" s="27">
        <f t="shared" si="5"/>
        <v>2438508</v>
      </c>
    </row>
    <row r="314" spans="1:27" ht="13.2" x14ac:dyDescent="0.25">
      <c r="A314" s="16">
        <v>44341</v>
      </c>
      <c r="B314" s="17">
        <v>19154</v>
      </c>
      <c r="E314" s="18">
        <v>1</v>
      </c>
      <c r="F314" s="18">
        <f t="shared" si="0"/>
        <v>19153</v>
      </c>
      <c r="G314" s="17">
        <v>1354306</v>
      </c>
      <c r="I314" s="18">
        <v>29821</v>
      </c>
      <c r="K314" s="7">
        <f t="shared" si="1"/>
        <v>1324485</v>
      </c>
      <c r="L314" s="17">
        <v>51040</v>
      </c>
      <c r="N314" s="18">
        <v>6432</v>
      </c>
      <c r="P314" s="7">
        <f t="shared" si="2"/>
        <v>44608</v>
      </c>
      <c r="Q314" s="17">
        <v>13376</v>
      </c>
      <c r="R314" s="18">
        <v>454</v>
      </c>
      <c r="T314" s="18">
        <v>7898</v>
      </c>
      <c r="U314" s="7">
        <f t="shared" si="3"/>
        <v>5024</v>
      </c>
      <c r="V314" s="17">
        <v>1008244</v>
      </c>
      <c r="W314" s="18">
        <v>150</v>
      </c>
      <c r="X314" s="18">
        <v>43148</v>
      </c>
      <c r="Y314" s="18">
        <v>2311</v>
      </c>
      <c r="Z314" s="7">
        <f t="shared" si="4"/>
        <v>962635</v>
      </c>
      <c r="AA314" s="27">
        <f t="shared" si="5"/>
        <v>2446120</v>
      </c>
    </row>
    <row r="315" spans="1:27" ht="13.2" x14ac:dyDescent="0.25">
      <c r="A315" s="16">
        <v>44342</v>
      </c>
      <c r="B315" s="17">
        <v>19161</v>
      </c>
      <c r="E315" s="18">
        <v>1</v>
      </c>
      <c r="F315" s="18">
        <f t="shared" si="0"/>
        <v>19160</v>
      </c>
      <c r="G315" s="17">
        <v>1359653</v>
      </c>
      <c r="I315" s="18">
        <v>33236</v>
      </c>
      <c r="K315" s="7">
        <f t="shared" si="1"/>
        <v>1326417</v>
      </c>
      <c r="L315" s="17">
        <v>52023</v>
      </c>
      <c r="N315" s="18">
        <v>6265</v>
      </c>
      <c r="P315" s="7">
        <f t="shared" si="2"/>
        <v>45758</v>
      </c>
      <c r="Q315" s="17">
        <v>13455</v>
      </c>
      <c r="R315" s="18">
        <v>445</v>
      </c>
      <c r="T315" s="18">
        <v>7939</v>
      </c>
      <c r="U315" s="7">
        <f t="shared" si="3"/>
        <v>5071</v>
      </c>
      <c r="V315" s="17">
        <v>1016385</v>
      </c>
      <c r="W315" s="18">
        <v>172</v>
      </c>
      <c r="X315" s="18">
        <v>49553</v>
      </c>
      <c r="Y315" s="18">
        <v>2311</v>
      </c>
      <c r="Z315" s="7">
        <f t="shared" si="4"/>
        <v>964349</v>
      </c>
      <c r="AA315" s="27">
        <f t="shared" si="5"/>
        <v>2460677</v>
      </c>
    </row>
    <row r="316" spans="1:27" ht="13.2" x14ac:dyDescent="0.25">
      <c r="A316" s="16">
        <v>44343</v>
      </c>
      <c r="B316" s="17">
        <v>19163</v>
      </c>
      <c r="E316" s="18">
        <v>1</v>
      </c>
      <c r="F316" s="18">
        <f t="shared" si="0"/>
        <v>19162</v>
      </c>
      <c r="G316" s="17">
        <v>1365259</v>
      </c>
      <c r="I316" s="18">
        <v>37845</v>
      </c>
      <c r="K316" s="7">
        <f t="shared" si="1"/>
        <v>1327414</v>
      </c>
      <c r="L316" s="17">
        <v>53245</v>
      </c>
      <c r="N316" s="18">
        <v>7070</v>
      </c>
      <c r="P316" s="7">
        <f t="shared" si="2"/>
        <v>46175</v>
      </c>
      <c r="Q316" s="17">
        <v>13583</v>
      </c>
      <c r="R316" s="18">
        <v>497</v>
      </c>
      <c r="T316" s="18">
        <v>7978</v>
      </c>
      <c r="U316" s="7">
        <f t="shared" si="3"/>
        <v>5108</v>
      </c>
      <c r="V316" s="17">
        <v>1023312</v>
      </c>
      <c r="W316" s="18">
        <v>180</v>
      </c>
      <c r="X316" s="18">
        <v>55196</v>
      </c>
      <c r="Y316" s="18">
        <v>2311</v>
      </c>
      <c r="Z316" s="7">
        <f t="shared" si="4"/>
        <v>965625</v>
      </c>
      <c r="AA316" s="27">
        <f t="shared" si="5"/>
        <v>2474562</v>
      </c>
    </row>
    <row r="317" spans="1:27" ht="13.2" x14ac:dyDescent="0.25">
      <c r="A317" s="16">
        <v>44344</v>
      </c>
      <c r="B317" s="17">
        <v>19187</v>
      </c>
      <c r="E317" s="18">
        <v>1</v>
      </c>
      <c r="F317" s="18">
        <f t="shared" si="0"/>
        <v>19186</v>
      </c>
      <c r="G317" s="17">
        <v>1369163</v>
      </c>
      <c r="I317" s="18">
        <v>40493</v>
      </c>
      <c r="K317" s="7">
        <f t="shared" si="1"/>
        <v>1328670</v>
      </c>
      <c r="L317" s="17">
        <v>54008</v>
      </c>
      <c r="N317" s="18">
        <v>7393</v>
      </c>
      <c r="P317" s="7">
        <f t="shared" si="2"/>
        <v>46615</v>
      </c>
      <c r="Q317" s="17">
        <v>13666</v>
      </c>
      <c r="R317" s="18">
        <v>521</v>
      </c>
      <c r="T317" s="18">
        <v>8015</v>
      </c>
      <c r="U317" s="7">
        <f t="shared" si="3"/>
        <v>5130</v>
      </c>
      <c r="V317" s="17">
        <v>1025573</v>
      </c>
      <c r="W317" s="18">
        <v>180</v>
      </c>
      <c r="X317" s="18">
        <v>56158</v>
      </c>
      <c r="Y317" s="18">
        <v>2311</v>
      </c>
      <c r="Z317" s="7">
        <f t="shared" si="4"/>
        <v>966924</v>
      </c>
      <c r="AA317" s="27">
        <f t="shared" si="5"/>
        <v>2481597</v>
      </c>
    </row>
    <row r="318" spans="1:27" ht="13.2" x14ac:dyDescent="0.25">
      <c r="A318" s="16">
        <v>44345</v>
      </c>
      <c r="B318" s="17">
        <v>19251</v>
      </c>
      <c r="E318" s="18">
        <v>1</v>
      </c>
      <c r="F318" s="18">
        <f t="shared" si="0"/>
        <v>19250</v>
      </c>
      <c r="G318" s="17">
        <v>1374781</v>
      </c>
      <c r="I318" s="18">
        <v>43063</v>
      </c>
      <c r="K318" s="7">
        <f t="shared" si="1"/>
        <v>1331718</v>
      </c>
      <c r="L318" s="17">
        <v>55011</v>
      </c>
      <c r="N318" s="18">
        <v>7716</v>
      </c>
      <c r="P318" s="7">
        <f t="shared" si="2"/>
        <v>47295</v>
      </c>
      <c r="Q318" s="17">
        <v>13784</v>
      </c>
      <c r="R318" s="18">
        <v>545</v>
      </c>
      <c r="T318" s="18">
        <v>8058</v>
      </c>
      <c r="U318" s="7">
        <f t="shared" si="3"/>
        <v>5181</v>
      </c>
      <c r="V318" s="17">
        <v>1033609</v>
      </c>
      <c r="W318" s="18">
        <v>185</v>
      </c>
      <c r="X318" s="18">
        <v>61440</v>
      </c>
      <c r="Y318" s="18">
        <v>2311</v>
      </c>
      <c r="Z318" s="7">
        <f t="shared" si="4"/>
        <v>969673</v>
      </c>
      <c r="AA318" s="27">
        <f t="shared" si="5"/>
        <v>2496436</v>
      </c>
    </row>
    <row r="319" spans="1:27" ht="13.2" x14ac:dyDescent="0.25">
      <c r="A319" s="16">
        <v>44346</v>
      </c>
      <c r="B319" s="17">
        <v>19280</v>
      </c>
      <c r="E319" s="18">
        <v>1</v>
      </c>
      <c r="F319" s="18">
        <f t="shared" si="0"/>
        <v>19279</v>
      </c>
      <c r="G319" s="17">
        <v>1381155</v>
      </c>
      <c r="I319" s="18">
        <v>5289</v>
      </c>
      <c r="K319" s="7">
        <f t="shared" si="1"/>
        <v>1375866</v>
      </c>
      <c r="L319" s="17">
        <v>56933</v>
      </c>
      <c r="N319" s="18">
        <v>1658</v>
      </c>
      <c r="P319" s="7">
        <f t="shared" si="2"/>
        <v>55275</v>
      </c>
      <c r="Q319" s="17">
        <v>13894</v>
      </c>
      <c r="R319" s="18">
        <v>53</v>
      </c>
      <c r="T319" s="18">
        <v>8099</v>
      </c>
      <c r="U319" s="7">
        <f t="shared" si="3"/>
        <v>5742</v>
      </c>
      <c r="V319" s="17">
        <v>1040764</v>
      </c>
      <c r="W319" s="18">
        <v>17</v>
      </c>
      <c r="X319" s="18">
        <v>6473</v>
      </c>
      <c r="Y319" s="18">
        <v>2311</v>
      </c>
      <c r="Z319" s="7">
        <f t="shared" si="4"/>
        <v>1031963</v>
      </c>
      <c r="AA319" s="27">
        <f t="shared" si="5"/>
        <v>2512026</v>
      </c>
    </row>
    <row r="320" spans="1:27" ht="13.2" x14ac:dyDescent="0.25">
      <c r="A320" s="16">
        <v>44347</v>
      </c>
      <c r="B320" s="17">
        <v>19283</v>
      </c>
      <c r="E320" s="18">
        <v>1</v>
      </c>
      <c r="F320" s="18">
        <f t="shared" si="0"/>
        <v>19282</v>
      </c>
      <c r="G320" s="17">
        <v>1388562</v>
      </c>
      <c r="I320" s="18">
        <v>10891</v>
      </c>
      <c r="K320" s="7">
        <f t="shared" si="1"/>
        <v>1377671</v>
      </c>
      <c r="L320" s="17">
        <v>58242</v>
      </c>
      <c r="N320" s="18">
        <v>2720</v>
      </c>
      <c r="P320" s="7">
        <f t="shared" si="2"/>
        <v>55522</v>
      </c>
      <c r="Q320" s="17">
        <v>14020</v>
      </c>
      <c r="R320" s="18">
        <v>127</v>
      </c>
      <c r="T320" s="18">
        <v>8137</v>
      </c>
      <c r="U320" s="7">
        <f t="shared" si="3"/>
        <v>5756</v>
      </c>
      <c r="V320" s="17">
        <v>1046118</v>
      </c>
      <c r="W320" s="18">
        <v>29</v>
      </c>
      <c r="X320" s="18">
        <v>11232</v>
      </c>
      <c r="Y320" s="18">
        <v>2311</v>
      </c>
      <c r="Z320" s="7">
        <f t="shared" si="4"/>
        <v>1032546</v>
      </c>
      <c r="AA320" s="27">
        <f t="shared" si="5"/>
        <v>2526225</v>
      </c>
    </row>
    <row r="321" spans="1:27" ht="13.2" x14ac:dyDescent="0.25">
      <c r="A321" s="16">
        <v>44348</v>
      </c>
      <c r="B321" s="17">
        <v>19312</v>
      </c>
      <c r="E321" s="18">
        <v>1</v>
      </c>
      <c r="F321" s="18">
        <f t="shared" si="0"/>
        <v>19311</v>
      </c>
      <c r="G321" s="17">
        <v>1392600</v>
      </c>
      <c r="I321" s="18">
        <v>13669</v>
      </c>
      <c r="K321" s="7">
        <f t="shared" si="1"/>
        <v>1378931</v>
      </c>
      <c r="L321" s="17">
        <v>59115</v>
      </c>
      <c r="N321" s="18">
        <v>3141</v>
      </c>
      <c r="P321" s="7">
        <f t="shared" si="2"/>
        <v>55974</v>
      </c>
      <c r="Q321" s="17">
        <v>14086</v>
      </c>
      <c r="R321" s="18">
        <v>153</v>
      </c>
      <c r="T321" s="18">
        <v>8173</v>
      </c>
      <c r="U321" s="7">
        <f t="shared" si="3"/>
        <v>5760</v>
      </c>
      <c r="V321" s="17">
        <v>1049554</v>
      </c>
      <c r="W321" s="18">
        <v>34</v>
      </c>
      <c r="X321" s="18">
        <v>14278</v>
      </c>
      <c r="Y321" s="18">
        <v>2311</v>
      </c>
      <c r="Z321" s="7">
        <f t="shared" si="4"/>
        <v>1032931</v>
      </c>
      <c r="AA321" s="27">
        <f t="shared" si="5"/>
        <v>2534667</v>
      </c>
    </row>
    <row r="322" spans="1:27" ht="13.2" x14ac:dyDescent="0.25">
      <c r="A322" s="16">
        <v>44349</v>
      </c>
      <c r="B322" s="17">
        <v>19322</v>
      </c>
      <c r="E322" s="18">
        <v>1</v>
      </c>
      <c r="F322" s="18">
        <f t="shared" si="0"/>
        <v>19321</v>
      </c>
      <c r="G322" s="17">
        <v>1398550</v>
      </c>
      <c r="I322" s="18">
        <v>18442</v>
      </c>
      <c r="K322" s="7">
        <f t="shared" si="1"/>
        <v>1380108</v>
      </c>
      <c r="L322" s="17">
        <v>60001</v>
      </c>
      <c r="N322" s="18">
        <v>3901</v>
      </c>
      <c r="P322" s="7">
        <f t="shared" si="2"/>
        <v>56100</v>
      </c>
      <c r="Q322" s="17">
        <v>14178</v>
      </c>
      <c r="R322" s="18">
        <v>173</v>
      </c>
      <c r="T322" s="18">
        <v>8214</v>
      </c>
      <c r="U322" s="7">
        <f t="shared" si="3"/>
        <v>5791</v>
      </c>
      <c r="V322" s="17">
        <v>1056184</v>
      </c>
      <c r="W322" s="18">
        <v>47</v>
      </c>
      <c r="X322" s="18">
        <v>20385</v>
      </c>
      <c r="Y322" s="18">
        <v>2311</v>
      </c>
      <c r="Z322" s="7">
        <f t="shared" si="4"/>
        <v>1033441</v>
      </c>
      <c r="AA322" s="27">
        <f t="shared" si="5"/>
        <v>2548235</v>
      </c>
    </row>
    <row r="323" spans="1:27" ht="13.2" x14ac:dyDescent="0.25">
      <c r="A323" s="16">
        <v>44350</v>
      </c>
      <c r="B323" s="17">
        <v>19334</v>
      </c>
      <c r="E323" s="18">
        <v>1</v>
      </c>
      <c r="F323" s="18">
        <f t="shared" si="0"/>
        <v>19333</v>
      </c>
      <c r="G323" s="17">
        <v>1402176</v>
      </c>
      <c r="I323" s="18">
        <v>21337</v>
      </c>
      <c r="K323" s="7">
        <f t="shared" si="1"/>
        <v>1380839</v>
      </c>
      <c r="L323" s="17">
        <v>60878</v>
      </c>
      <c r="N323" s="18">
        <v>4668</v>
      </c>
      <c r="P323" s="7">
        <f t="shared" si="2"/>
        <v>56210</v>
      </c>
      <c r="Q323" s="17">
        <v>14262</v>
      </c>
      <c r="R323" s="18">
        <v>215</v>
      </c>
      <c r="T323" s="18">
        <v>8246</v>
      </c>
      <c r="U323" s="7">
        <f t="shared" si="3"/>
        <v>5801</v>
      </c>
      <c r="V323" s="17">
        <v>1060223</v>
      </c>
      <c r="W323" s="18">
        <v>49</v>
      </c>
      <c r="X323" s="18">
        <v>24026</v>
      </c>
      <c r="Y323" s="18">
        <v>2311</v>
      </c>
      <c r="Z323" s="7">
        <f t="shared" si="4"/>
        <v>1033837</v>
      </c>
      <c r="AA323" s="27">
        <f t="shared" si="5"/>
        <v>2556873</v>
      </c>
    </row>
    <row r="324" spans="1:27" ht="13.2" x14ac:dyDescent="0.25">
      <c r="A324" s="16">
        <v>44351</v>
      </c>
      <c r="B324" s="17">
        <v>19383</v>
      </c>
      <c r="E324" s="18">
        <v>1</v>
      </c>
      <c r="F324" s="18">
        <f t="shared" si="0"/>
        <v>19382</v>
      </c>
      <c r="G324" s="17">
        <v>1408224</v>
      </c>
      <c r="I324" s="18">
        <v>26795</v>
      </c>
      <c r="K324" s="7">
        <f t="shared" si="1"/>
        <v>1381429</v>
      </c>
      <c r="L324" s="17">
        <v>61631</v>
      </c>
      <c r="N324" s="18">
        <v>5078</v>
      </c>
      <c r="P324" s="7">
        <f t="shared" si="2"/>
        <v>56553</v>
      </c>
      <c r="Q324" s="17">
        <v>14343</v>
      </c>
      <c r="R324" s="18">
        <v>258</v>
      </c>
      <c r="T324" s="18">
        <v>8283</v>
      </c>
      <c r="U324" s="7">
        <f t="shared" si="3"/>
        <v>5802</v>
      </c>
      <c r="V324" s="17">
        <v>1067664</v>
      </c>
      <c r="W324" s="18">
        <v>69</v>
      </c>
      <c r="X324" s="18">
        <v>30628</v>
      </c>
      <c r="Y324" s="18">
        <v>2311</v>
      </c>
      <c r="Z324" s="7">
        <f t="shared" si="4"/>
        <v>1034656</v>
      </c>
      <c r="AA324" s="27">
        <f t="shared" si="5"/>
        <v>2571245</v>
      </c>
    </row>
    <row r="325" spans="1:27" ht="13.2" x14ac:dyDescent="0.25">
      <c r="A325" s="16">
        <v>44352</v>
      </c>
      <c r="B325" s="17">
        <v>19435</v>
      </c>
      <c r="E325" s="18">
        <v>1</v>
      </c>
      <c r="F325" s="18">
        <f t="shared" si="0"/>
        <v>19434</v>
      </c>
      <c r="G325" s="17">
        <v>1417507</v>
      </c>
      <c r="I325" s="18">
        <v>35272</v>
      </c>
      <c r="K325" s="7">
        <f t="shared" si="1"/>
        <v>1382235</v>
      </c>
      <c r="L325" s="17">
        <v>62341</v>
      </c>
      <c r="N325" s="18">
        <v>5645</v>
      </c>
      <c r="P325" s="7">
        <f t="shared" si="2"/>
        <v>56696</v>
      </c>
      <c r="Q325" s="17">
        <v>14509</v>
      </c>
      <c r="R325" s="18">
        <v>384</v>
      </c>
      <c r="T325" s="18">
        <v>8322</v>
      </c>
      <c r="U325" s="7">
        <f t="shared" si="3"/>
        <v>5803</v>
      </c>
      <c r="V325" s="17">
        <v>1073132</v>
      </c>
      <c r="W325" s="18">
        <v>92</v>
      </c>
      <c r="X325" s="18">
        <v>35252</v>
      </c>
      <c r="Y325" s="18">
        <v>2311</v>
      </c>
      <c r="Z325" s="7">
        <f t="shared" si="4"/>
        <v>1035477</v>
      </c>
      <c r="AA325" s="27">
        <f t="shared" si="5"/>
        <v>2586924</v>
      </c>
    </row>
    <row r="326" spans="1:27" ht="13.2" x14ac:dyDescent="0.25">
      <c r="A326" s="16">
        <v>44353</v>
      </c>
      <c r="B326" s="17">
        <v>19447</v>
      </c>
      <c r="E326" s="18">
        <v>1</v>
      </c>
      <c r="F326" s="18">
        <f t="shared" si="0"/>
        <v>19446</v>
      </c>
      <c r="G326" s="17">
        <v>1423505</v>
      </c>
      <c r="I326" s="18">
        <v>40417</v>
      </c>
      <c r="K326" s="7">
        <f t="shared" si="1"/>
        <v>1383088</v>
      </c>
      <c r="L326" s="17">
        <v>63677</v>
      </c>
      <c r="N326" s="18">
        <v>6872</v>
      </c>
      <c r="P326" s="7">
        <f t="shared" si="2"/>
        <v>56805</v>
      </c>
      <c r="Q326" s="17">
        <v>14629</v>
      </c>
      <c r="R326" s="18">
        <v>448</v>
      </c>
      <c r="T326" s="18">
        <v>8363</v>
      </c>
      <c r="U326" s="7">
        <f t="shared" si="3"/>
        <v>5818</v>
      </c>
      <c r="V326" s="17">
        <v>1079610</v>
      </c>
      <c r="W326" s="18">
        <v>103</v>
      </c>
      <c r="X326" s="18">
        <v>40665</v>
      </c>
      <c r="Y326" s="18">
        <v>2311</v>
      </c>
      <c r="Z326" s="7">
        <f t="shared" si="4"/>
        <v>1036531</v>
      </c>
      <c r="AA326" s="27">
        <f t="shared" si="5"/>
        <v>2600868</v>
      </c>
    </row>
    <row r="327" spans="1:27" ht="13.2" x14ac:dyDescent="0.25">
      <c r="A327" s="16">
        <v>44354</v>
      </c>
      <c r="B327" s="17">
        <v>19461</v>
      </c>
      <c r="E327" s="18">
        <v>1</v>
      </c>
      <c r="F327" s="18">
        <f t="shared" si="0"/>
        <v>19460</v>
      </c>
      <c r="G327" s="17">
        <v>1428099</v>
      </c>
      <c r="I327" s="18">
        <v>43584</v>
      </c>
      <c r="K327" s="7">
        <f t="shared" si="1"/>
        <v>1384515</v>
      </c>
      <c r="L327" s="17">
        <v>64435</v>
      </c>
      <c r="N327" s="18">
        <v>7551</v>
      </c>
      <c r="P327" s="7">
        <f t="shared" si="2"/>
        <v>56884</v>
      </c>
      <c r="Q327" s="17">
        <v>14726</v>
      </c>
      <c r="R327" s="18">
        <v>508</v>
      </c>
      <c r="T327" s="18">
        <v>8398</v>
      </c>
      <c r="U327" s="7">
        <f t="shared" si="3"/>
        <v>5820</v>
      </c>
      <c r="V327" s="17">
        <v>1083622</v>
      </c>
      <c r="W327" s="18">
        <v>105</v>
      </c>
      <c r="X327" s="18">
        <v>43929</v>
      </c>
      <c r="Y327" s="18">
        <v>2311</v>
      </c>
      <c r="Z327" s="7">
        <f t="shared" si="4"/>
        <v>1037277</v>
      </c>
      <c r="AA327" s="27">
        <f t="shared" si="5"/>
        <v>2610343</v>
      </c>
    </row>
    <row r="328" spans="1:27" ht="13.2" x14ac:dyDescent="0.25">
      <c r="A328" s="16">
        <v>44355</v>
      </c>
      <c r="B328" s="17">
        <v>19469</v>
      </c>
      <c r="E328" s="18">
        <v>1</v>
      </c>
      <c r="F328" s="18">
        <f t="shared" si="0"/>
        <v>19468</v>
      </c>
      <c r="G328" s="17">
        <v>1431713</v>
      </c>
      <c r="I328" s="18">
        <v>46016</v>
      </c>
      <c r="K328" s="7">
        <f t="shared" si="1"/>
        <v>1385697</v>
      </c>
      <c r="L328" s="17">
        <v>64973</v>
      </c>
      <c r="N328" s="18">
        <v>7913</v>
      </c>
      <c r="P328" s="7">
        <f t="shared" si="2"/>
        <v>57060</v>
      </c>
      <c r="Q328" s="17">
        <v>14829</v>
      </c>
      <c r="R328" s="18">
        <v>556</v>
      </c>
      <c r="T328" s="18">
        <v>8439</v>
      </c>
      <c r="U328" s="7">
        <f t="shared" si="3"/>
        <v>5834</v>
      </c>
      <c r="V328" s="17">
        <v>1086930</v>
      </c>
      <c r="W328" s="18">
        <v>106</v>
      </c>
      <c r="X328" s="18">
        <v>46068</v>
      </c>
      <c r="Y328" s="18">
        <v>2311</v>
      </c>
      <c r="Z328" s="7">
        <f t="shared" si="4"/>
        <v>1038445</v>
      </c>
      <c r="AA328" s="27">
        <f t="shared" si="5"/>
        <v>2617914</v>
      </c>
    </row>
    <row r="329" spans="1:27" ht="13.2" x14ac:dyDescent="0.25">
      <c r="A329" s="16">
        <v>44356</v>
      </c>
      <c r="B329" s="17">
        <v>19501</v>
      </c>
      <c r="E329" s="18">
        <v>1</v>
      </c>
      <c r="F329" s="18">
        <f t="shared" si="0"/>
        <v>19500</v>
      </c>
      <c r="G329" s="17">
        <v>1436923</v>
      </c>
      <c r="I329" s="18">
        <v>49463</v>
      </c>
      <c r="K329" s="7">
        <f t="shared" si="1"/>
        <v>1387460</v>
      </c>
      <c r="L329" s="17">
        <v>65371</v>
      </c>
      <c r="N329" s="18">
        <v>7937</v>
      </c>
      <c r="P329" s="7">
        <f t="shared" si="2"/>
        <v>57434</v>
      </c>
      <c r="Q329" s="17">
        <v>14888</v>
      </c>
      <c r="R329" s="18">
        <v>568</v>
      </c>
      <c r="T329" s="18">
        <v>8477</v>
      </c>
      <c r="U329" s="7">
        <f t="shared" si="3"/>
        <v>5843</v>
      </c>
      <c r="V329" s="17">
        <v>1092282</v>
      </c>
      <c r="W329" s="18">
        <v>117</v>
      </c>
      <c r="X329" s="18">
        <v>50406</v>
      </c>
      <c r="Y329" s="18">
        <v>2311</v>
      </c>
      <c r="Z329" s="7">
        <f t="shared" si="4"/>
        <v>1039448</v>
      </c>
      <c r="AA329" s="27">
        <f t="shared" si="5"/>
        <v>2628965</v>
      </c>
    </row>
    <row r="330" spans="1:27" ht="13.2" x14ac:dyDescent="0.25">
      <c r="A330" s="16">
        <v>44357</v>
      </c>
      <c r="B330" s="17">
        <v>19552</v>
      </c>
      <c r="E330" s="18">
        <v>1</v>
      </c>
      <c r="F330" s="18">
        <f t="shared" si="0"/>
        <v>19551</v>
      </c>
      <c r="G330" s="17">
        <v>1443755</v>
      </c>
      <c r="I330" s="18">
        <v>50893</v>
      </c>
      <c r="K330" s="7">
        <f t="shared" si="1"/>
        <v>1392862</v>
      </c>
      <c r="L330" s="17">
        <v>65873</v>
      </c>
      <c r="N330" s="18">
        <v>6833</v>
      </c>
      <c r="P330" s="7">
        <f t="shared" si="2"/>
        <v>59040</v>
      </c>
      <c r="Q330" s="17">
        <v>15027</v>
      </c>
      <c r="R330" s="18">
        <v>607</v>
      </c>
      <c r="T330" s="18">
        <v>8516</v>
      </c>
      <c r="U330" s="7">
        <f t="shared" si="3"/>
        <v>5904</v>
      </c>
      <c r="V330" s="17">
        <v>1098226</v>
      </c>
      <c r="W330" s="18">
        <v>121</v>
      </c>
      <c r="X330" s="18">
        <v>53410</v>
      </c>
      <c r="Y330" s="18">
        <v>2311</v>
      </c>
      <c r="Z330" s="7">
        <f t="shared" si="4"/>
        <v>1042384</v>
      </c>
      <c r="AA330" s="27">
        <f t="shared" si="5"/>
        <v>2642433</v>
      </c>
    </row>
    <row r="331" spans="1:27" ht="13.2" x14ac:dyDescent="0.25">
      <c r="A331" s="16">
        <v>44358</v>
      </c>
      <c r="B331" s="17">
        <v>19595</v>
      </c>
      <c r="E331" s="18">
        <v>1</v>
      </c>
      <c r="F331" s="18">
        <f t="shared" si="0"/>
        <v>19594</v>
      </c>
      <c r="G331" s="17">
        <v>1451548</v>
      </c>
      <c r="I331" s="18">
        <v>52315</v>
      </c>
      <c r="K331" s="7">
        <f t="shared" si="1"/>
        <v>1399233</v>
      </c>
      <c r="L331" s="17">
        <v>67299</v>
      </c>
      <c r="N331" s="18">
        <v>7154</v>
      </c>
      <c r="P331" s="7">
        <f t="shared" si="2"/>
        <v>60145</v>
      </c>
      <c r="Q331" s="17">
        <v>15181</v>
      </c>
      <c r="R331" s="18">
        <v>625</v>
      </c>
      <c r="T331" s="18">
        <v>8558</v>
      </c>
      <c r="U331" s="7">
        <f t="shared" si="3"/>
        <v>5998</v>
      </c>
      <c r="V331" s="17">
        <v>1105177</v>
      </c>
      <c r="W331" s="18">
        <v>114</v>
      </c>
      <c r="X331" s="18">
        <v>53624</v>
      </c>
      <c r="Y331" s="18">
        <v>2311</v>
      </c>
      <c r="Z331" s="7">
        <f t="shared" si="4"/>
        <v>1049128</v>
      </c>
      <c r="AA331" s="27">
        <f t="shared" si="5"/>
        <v>2658800</v>
      </c>
    </row>
    <row r="332" spans="1:27" ht="13.2" x14ac:dyDescent="0.25">
      <c r="A332" s="16">
        <v>44359</v>
      </c>
      <c r="B332" s="17">
        <v>19645</v>
      </c>
      <c r="E332" s="18">
        <v>1</v>
      </c>
      <c r="F332" s="18">
        <f t="shared" si="0"/>
        <v>19644</v>
      </c>
      <c r="G332" s="17">
        <v>1458933</v>
      </c>
      <c r="I332" s="18">
        <v>54713</v>
      </c>
      <c r="K332" s="7">
        <f t="shared" si="1"/>
        <v>1404220</v>
      </c>
      <c r="L332" s="17">
        <v>68515</v>
      </c>
      <c r="N332" s="18">
        <v>7818</v>
      </c>
      <c r="P332" s="7">
        <f t="shared" si="2"/>
        <v>60697</v>
      </c>
      <c r="Q332" s="17">
        <v>15319</v>
      </c>
      <c r="R332" s="18">
        <v>660</v>
      </c>
      <c r="T332" s="18">
        <v>8602</v>
      </c>
      <c r="U332" s="7">
        <f t="shared" si="3"/>
        <v>6057</v>
      </c>
      <c r="V332" s="17">
        <v>1111539</v>
      </c>
      <c r="W332" s="18">
        <v>119</v>
      </c>
      <c r="X332" s="18">
        <v>55662</v>
      </c>
      <c r="Y332" s="18">
        <v>2311</v>
      </c>
      <c r="Z332" s="7">
        <f t="shared" si="4"/>
        <v>1053447</v>
      </c>
      <c r="AA332" s="27">
        <f t="shared" si="5"/>
        <v>2673951</v>
      </c>
    </row>
    <row r="333" spans="1:27" ht="13.2" x14ac:dyDescent="0.25">
      <c r="A333" s="16">
        <v>44360</v>
      </c>
      <c r="B333" s="17">
        <v>19681</v>
      </c>
      <c r="E333" s="18">
        <v>1</v>
      </c>
      <c r="F333" s="18">
        <f t="shared" si="0"/>
        <v>19680</v>
      </c>
      <c r="G333" s="17">
        <v>1466125</v>
      </c>
      <c r="I333" s="18">
        <v>59313</v>
      </c>
      <c r="K333" s="7">
        <f t="shared" si="1"/>
        <v>1406812</v>
      </c>
      <c r="L333" s="17">
        <v>68997</v>
      </c>
      <c r="N333" s="18">
        <v>7732</v>
      </c>
      <c r="P333" s="7">
        <f t="shared" si="2"/>
        <v>61265</v>
      </c>
      <c r="Q333" s="17">
        <v>15491</v>
      </c>
      <c r="R333" s="18">
        <v>779</v>
      </c>
      <c r="T333" s="18">
        <v>8647</v>
      </c>
      <c r="U333" s="7">
        <f t="shared" si="3"/>
        <v>6065</v>
      </c>
      <c r="V333" s="17">
        <v>1117151</v>
      </c>
      <c r="W333" s="18">
        <v>134</v>
      </c>
      <c r="X333" s="18">
        <v>57374</v>
      </c>
      <c r="Y333" s="18">
        <v>2311</v>
      </c>
      <c r="Z333" s="7">
        <f t="shared" si="4"/>
        <v>1057332</v>
      </c>
      <c r="AA333" s="27">
        <f t="shared" si="5"/>
        <v>2687445</v>
      </c>
    </row>
    <row r="334" spans="1:27" ht="13.2" x14ac:dyDescent="0.25">
      <c r="A334" s="16">
        <v>44361</v>
      </c>
      <c r="B334" s="17">
        <v>19708</v>
      </c>
      <c r="E334" s="18">
        <v>1</v>
      </c>
      <c r="F334" s="18">
        <f t="shared" si="0"/>
        <v>19707</v>
      </c>
      <c r="G334" s="17">
        <v>1472671</v>
      </c>
      <c r="I334" s="18">
        <v>58514</v>
      </c>
      <c r="K334" s="7">
        <f t="shared" si="1"/>
        <v>1414157</v>
      </c>
      <c r="L334" s="17">
        <v>69645</v>
      </c>
      <c r="N334" s="18">
        <v>7682</v>
      </c>
      <c r="P334" s="7">
        <f t="shared" si="2"/>
        <v>61963</v>
      </c>
      <c r="Q334" s="17">
        <v>15608</v>
      </c>
      <c r="R334" s="18">
        <v>792</v>
      </c>
      <c r="T334" s="18">
        <v>8687</v>
      </c>
      <c r="U334" s="7">
        <f t="shared" si="3"/>
        <v>6129</v>
      </c>
      <c r="V334" s="17">
        <v>1120869</v>
      </c>
      <c r="W334" s="18">
        <v>131</v>
      </c>
      <c r="X334" s="18">
        <v>54310</v>
      </c>
      <c r="Y334" s="18">
        <v>2311</v>
      </c>
      <c r="Z334" s="7">
        <f t="shared" si="4"/>
        <v>1064117</v>
      </c>
      <c r="AA334" s="27">
        <f t="shared" si="5"/>
        <v>2698501</v>
      </c>
    </row>
    <row r="335" spans="1:27" ht="13.2" x14ac:dyDescent="0.25">
      <c r="A335" s="16">
        <v>44362</v>
      </c>
      <c r="B335" s="17">
        <v>19717</v>
      </c>
      <c r="E335" s="18">
        <v>1</v>
      </c>
      <c r="F335" s="18">
        <f t="shared" si="0"/>
        <v>19716</v>
      </c>
      <c r="G335" s="17">
        <v>1475758</v>
      </c>
      <c r="I335" s="18">
        <v>58259</v>
      </c>
      <c r="K335" s="7">
        <f t="shared" si="1"/>
        <v>1417499</v>
      </c>
      <c r="L335" s="17">
        <v>69932</v>
      </c>
      <c r="N335" s="18">
        <v>7575</v>
      </c>
      <c r="P335" s="7">
        <f t="shared" si="2"/>
        <v>62357</v>
      </c>
      <c r="Q335" s="17">
        <v>15675</v>
      </c>
      <c r="R335" s="18">
        <v>789</v>
      </c>
      <c r="T335" s="18">
        <v>8724</v>
      </c>
      <c r="U335" s="7">
        <f t="shared" si="3"/>
        <v>6162</v>
      </c>
      <c r="V335" s="17">
        <v>1123960</v>
      </c>
      <c r="W335" s="18">
        <v>124</v>
      </c>
      <c r="X335" s="18">
        <v>54842</v>
      </c>
      <c r="Y335" s="18">
        <v>2311</v>
      </c>
      <c r="Z335" s="7">
        <f t="shared" si="4"/>
        <v>1066683</v>
      </c>
      <c r="AA335" s="27">
        <f t="shared" si="5"/>
        <v>2705042</v>
      </c>
    </row>
    <row r="336" spans="1:27" ht="13.2" x14ac:dyDescent="0.25">
      <c r="A336" s="16">
        <v>44363</v>
      </c>
      <c r="B336" s="17">
        <v>19745</v>
      </c>
      <c r="E336" s="18">
        <v>1</v>
      </c>
      <c r="F336" s="18">
        <f t="shared" si="0"/>
        <v>19744</v>
      </c>
      <c r="G336" s="17">
        <v>1480368</v>
      </c>
      <c r="I336" s="18">
        <v>55456</v>
      </c>
      <c r="K336" s="7">
        <f t="shared" si="1"/>
        <v>1424912</v>
      </c>
      <c r="L336" s="17">
        <v>70755</v>
      </c>
      <c r="N336" s="18">
        <v>7300</v>
      </c>
      <c r="P336" s="7">
        <f t="shared" si="2"/>
        <v>63455</v>
      </c>
      <c r="Q336" s="17">
        <v>15812</v>
      </c>
      <c r="R336" s="18">
        <v>769</v>
      </c>
      <c r="T336" s="18">
        <v>8775</v>
      </c>
      <c r="U336" s="7">
        <f t="shared" si="3"/>
        <v>6268</v>
      </c>
      <c r="V336" s="17">
        <v>1128672</v>
      </c>
      <c r="W336" s="18">
        <v>129</v>
      </c>
      <c r="X336" s="18">
        <v>53930</v>
      </c>
      <c r="Y336" s="18">
        <v>2311</v>
      </c>
      <c r="Z336" s="7">
        <f t="shared" si="4"/>
        <v>1072302</v>
      </c>
      <c r="AA336" s="27">
        <f t="shared" si="5"/>
        <v>2715352</v>
      </c>
    </row>
    <row r="337" spans="1:27" ht="13.2" x14ac:dyDescent="0.25">
      <c r="A337" s="16">
        <v>44364</v>
      </c>
      <c r="B337" s="17">
        <v>19796</v>
      </c>
      <c r="E337" s="18">
        <v>1</v>
      </c>
      <c r="F337" s="18">
        <f t="shared" si="0"/>
        <v>19795</v>
      </c>
      <c r="G337" s="17">
        <v>1487515</v>
      </c>
      <c r="I337" s="18">
        <v>56368</v>
      </c>
      <c r="K337" s="7">
        <f t="shared" si="1"/>
        <v>1431147</v>
      </c>
      <c r="L337" s="17">
        <v>71208</v>
      </c>
      <c r="N337" s="18">
        <v>6830</v>
      </c>
      <c r="P337" s="7">
        <f t="shared" si="2"/>
        <v>64378</v>
      </c>
      <c r="Q337" s="17">
        <v>15996</v>
      </c>
      <c r="R337" s="18">
        <v>769</v>
      </c>
      <c r="T337" s="18">
        <v>8839</v>
      </c>
      <c r="U337" s="7">
        <f t="shared" si="3"/>
        <v>6388</v>
      </c>
      <c r="V337" s="17">
        <v>1134662</v>
      </c>
      <c r="W337" s="18">
        <v>134</v>
      </c>
      <c r="X337" s="18">
        <v>54108</v>
      </c>
      <c r="Y337" s="18">
        <v>2311</v>
      </c>
      <c r="Z337" s="7">
        <f t="shared" si="4"/>
        <v>1078109</v>
      </c>
      <c r="AA337" s="27">
        <f t="shared" si="5"/>
        <v>2729177</v>
      </c>
    </row>
    <row r="338" spans="1:27" ht="13.2" x14ac:dyDescent="0.25">
      <c r="A338" s="16">
        <v>44365</v>
      </c>
      <c r="B338" s="17">
        <v>19822</v>
      </c>
      <c r="E338" s="18">
        <v>1</v>
      </c>
      <c r="F338" s="18">
        <f t="shared" si="0"/>
        <v>19821</v>
      </c>
      <c r="G338" s="17">
        <v>1491069</v>
      </c>
      <c r="I338" s="18">
        <v>54720</v>
      </c>
      <c r="K338" s="7">
        <f t="shared" si="1"/>
        <v>1436349</v>
      </c>
      <c r="L338" s="17">
        <v>71692</v>
      </c>
      <c r="N338" s="18">
        <v>6447</v>
      </c>
      <c r="P338" s="7">
        <f t="shared" si="2"/>
        <v>65245</v>
      </c>
      <c r="Q338" s="17">
        <v>16224</v>
      </c>
      <c r="R338" s="18">
        <v>798</v>
      </c>
      <c r="T338" s="18">
        <v>8945</v>
      </c>
      <c r="U338" s="7">
        <f t="shared" si="3"/>
        <v>6481</v>
      </c>
      <c r="V338" s="17">
        <v>1146535</v>
      </c>
      <c r="W338" s="18">
        <v>130</v>
      </c>
      <c r="X338" s="18">
        <v>60255</v>
      </c>
      <c r="Y338" s="18">
        <v>2311</v>
      </c>
      <c r="Z338" s="7">
        <f t="shared" si="4"/>
        <v>1083839</v>
      </c>
      <c r="AA338" s="27">
        <f t="shared" si="5"/>
        <v>2745342</v>
      </c>
    </row>
    <row r="339" spans="1:27" ht="13.2" x14ac:dyDescent="0.25">
      <c r="A339" s="16">
        <v>44366</v>
      </c>
      <c r="B339" s="17">
        <v>19883</v>
      </c>
      <c r="E339" s="18">
        <v>1</v>
      </c>
      <c r="F339" s="18">
        <f t="shared" si="0"/>
        <v>19882</v>
      </c>
      <c r="G339" s="17">
        <v>1499013</v>
      </c>
      <c r="I339" s="18">
        <v>58119</v>
      </c>
      <c r="K339" s="7">
        <f t="shared" si="1"/>
        <v>1440894</v>
      </c>
      <c r="L339" s="17">
        <v>72830</v>
      </c>
      <c r="N339" s="18">
        <v>6786</v>
      </c>
      <c r="P339" s="7">
        <f t="shared" si="2"/>
        <v>66044</v>
      </c>
      <c r="Q339" s="17">
        <v>16515</v>
      </c>
      <c r="R339" s="18">
        <v>928</v>
      </c>
      <c r="T339" s="18">
        <v>9063</v>
      </c>
      <c r="U339" s="7">
        <f t="shared" si="3"/>
        <v>6524</v>
      </c>
      <c r="V339" s="17">
        <v>1153512</v>
      </c>
      <c r="W339" s="18">
        <v>134</v>
      </c>
      <c r="X339" s="18">
        <v>62969</v>
      </c>
      <c r="Y339" s="18">
        <v>2311</v>
      </c>
      <c r="Z339" s="7">
        <f t="shared" si="4"/>
        <v>1088098</v>
      </c>
      <c r="AA339" s="27">
        <f t="shared" si="5"/>
        <v>2761753</v>
      </c>
    </row>
    <row r="340" spans="1:27" ht="13.2" x14ac:dyDescent="0.25">
      <c r="A340" s="16">
        <v>44367</v>
      </c>
      <c r="B340" s="17">
        <v>19942</v>
      </c>
      <c r="E340" s="18">
        <v>1</v>
      </c>
      <c r="F340" s="18">
        <f t="shared" si="0"/>
        <v>19941</v>
      </c>
      <c r="G340" s="17">
        <v>1507557</v>
      </c>
      <c r="I340" s="18">
        <v>64070</v>
      </c>
      <c r="K340" s="7">
        <f t="shared" si="1"/>
        <v>1443487</v>
      </c>
      <c r="L340" s="17">
        <v>73234</v>
      </c>
      <c r="N340" s="18">
        <v>6950</v>
      </c>
      <c r="P340" s="7">
        <f t="shared" si="2"/>
        <v>66284</v>
      </c>
      <c r="Q340" s="17">
        <v>16770</v>
      </c>
      <c r="R340" s="18">
        <v>1013</v>
      </c>
      <c r="T340" s="18">
        <v>9187</v>
      </c>
      <c r="U340" s="7">
        <f t="shared" si="3"/>
        <v>6570</v>
      </c>
      <c r="V340" s="17">
        <v>1160691</v>
      </c>
      <c r="W340" s="18">
        <v>134</v>
      </c>
      <c r="X340" s="18">
        <v>65788</v>
      </c>
      <c r="Y340" s="18">
        <v>2311</v>
      </c>
      <c r="Z340" s="7">
        <f t="shared" si="4"/>
        <v>1092458</v>
      </c>
      <c r="AA340" s="27">
        <f t="shared" si="5"/>
        <v>2778194</v>
      </c>
    </row>
    <row r="341" spans="1:27" ht="13.2" x14ac:dyDescent="0.25">
      <c r="A341" s="16">
        <v>44368</v>
      </c>
      <c r="B341" s="17">
        <v>19982</v>
      </c>
      <c r="E341" s="18">
        <v>1</v>
      </c>
      <c r="F341" s="18">
        <f t="shared" si="0"/>
        <v>19981</v>
      </c>
      <c r="G341" s="17">
        <v>1514935</v>
      </c>
      <c r="I341" s="18">
        <v>64023</v>
      </c>
      <c r="K341" s="7">
        <f t="shared" si="1"/>
        <v>1450912</v>
      </c>
      <c r="L341" s="17">
        <v>73686</v>
      </c>
      <c r="N341" s="18">
        <v>6909</v>
      </c>
      <c r="P341" s="7">
        <f t="shared" si="2"/>
        <v>66777</v>
      </c>
      <c r="Q341" s="17">
        <v>17012</v>
      </c>
      <c r="R341" s="18">
        <v>1024</v>
      </c>
      <c r="T341" s="18">
        <v>9324</v>
      </c>
      <c r="U341" s="7">
        <f t="shared" si="3"/>
        <v>6664</v>
      </c>
      <c r="V341" s="17">
        <v>1166521</v>
      </c>
      <c r="W341" s="18">
        <v>128</v>
      </c>
      <c r="X341" s="18">
        <v>65416</v>
      </c>
      <c r="Y341" s="18">
        <v>2311</v>
      </c>
      <c r="Z341" s="7">
        <f t="shared" si="4"/>
        <v>1098666</v>
      </c>
      <c r="AA341" s="27">
        <f t="shared" si="5"/>
        <v>2792136</v>
      </c>
    </row>
    <row r="342" spans="1:27" ht="13.2" x14ac:dyDescent="0.25">
      <c r="A342" s="16">
        <v>44369</v>
      </c>
      <c r="B342" s="17">
        <v>19989</v>
      </c>
      <c r="E342" s="18">
        <v>1</v>
      </c>
      <c r="F342" s="18">
        <f t="shared" si="0"/>
        <v>19988</v>
      </c>
      <c r="G342" s="17">
        <v>1520601</v>
      </c>
      <c r="I342" s="18">
        <v>63015</v>
      </c>
      <c r="K342" s="7">
        <f t="shared" si="1"/>
        <v>1457586</v>
      </c>
      <c r="L342" s="17">
        <v>74780</v>
      </c>
      <c r="N342" s="18">
        <v>7221</v>
      </c>
      <c r="P342" s="7">
        <f t="shared" si="2"/>
        <v>67559</v>
      </c>
      <c r="Q342" s="17">
        <v>17297</v>
      </c>
      <c r="R342" s="18">
        <v>1081</v>
      </c>
      <c r="T342" s="18">
        <v>9473</v>
      </c>
      <c r="U342" s="7">
        <f t="shared" si="3"/>
        <v>6743</v>
      </c>
      <c r="V342" s="17">
        <v>1169800</v>
      </c>
      <c r="W342" s="18">
        <v>111</v>
      </c>
      <c r="X342" s="18">
        <v>63025</v>
      </c>
      <c r="Y342" s="18">
        <v>2311</v>
      </c>
      <c r="Z342" s="7">
        <f t="shared" si="4"/>
        <v>1104353</v>
      </c>
      <c r="AA342" s="27">
        <f t="shared" si="5"/>
        <v>2802467</v>
      </c>
    </row>
    <row r="343" spans="1:27" ht="13.2" x14ac:dyDescent="0.25">
      <c r="A343" s="16">
        <v>44370</v>
      </c>
      <c r="B343" s="17">
        <v>20024</v>
      </c>
      <c r="E343" s="18">
        <v>1</v>
      </c>
      <c r="F343" s="18">
        <f t="shared" si="0"/>
        <v>20023</v>
      </c>
      <c r="G343" s="17">
        <v>1526400</v>
      </c>
      <c r="I343" s="18">
        <v>62010</v>
      </c>
      <c r="K343" s="7">
        <f t="shared" si="1"/>
        <v>1464390</v>
      </c>
      <c r="L343" s="17">
        <v>75075</v>
      </c>
      <c r="N343" s="18">
        <v>6336</v>
      </c>
      <c r="P343" s="7">
        <f t="shared" si="2"/>
        <v>68739</v>
      </c>
      <c r="Q343" s="17">
        <v>17565</v>
      </c>
      <c r="R343" s="18">
        <v>1108</v>
      </c>
      <c r="T343" s="18">
        <v>9626</v>
      </c>
      <c r="U343" s="7">
        <f t="shared" si="3"/>
        <v>6831</v>
      </c>
      <c r="V343" s="17">
        <v>1176070</v>
      </c>
      <c r="W343" s="18">
        <v>113</v>
      </c>
      <c r="X343" s="18">
        <v>63917</v>
      </c>
      <c r="Y343" s="18">
        <v>2311</v>
      </c>
      <c r="Z343" s="7">
        <f t="shared" si="4"/>
        <v>1109729</v>
      </c>
      <c r="AA343" s="27">
        <f t="shared" si="5"/>
        <v>2815134</v>
      </c>
    </row>
    <row r="344" spans="1:27" ht="13.2" x14ac:dyDescent="0.25">
      <c r="A344" s="16">
        <v>44371</v>
      </c>
      <c r="B344" s="17">
        <v>20087</v>
      </c>
      <c r="E344" s="18">
        <v>1</v>
      </c>
      <c r="F344" s="18">
        <f t="shared" si="0"/>
        <v>20086</v>
      </c>
      <c r="G344" s="17">
        <v>1534799</v>
      </c>
      <c r="I344" s="18">
        <v>64101</v>
      </c>
      <c r="K344" s="7">
        <f t="shared" si="1"/>
        <v>1470698</v>
      </c>
      <c r="L344" s="17">
        <v>75527</v>
      </c>
      <c r="N344" s="18">
        <v>6220</v>
      </c>
      <c r="P344" s="7">
        <f t="shared" si="2"/>
        <v>69307</v>
      </c>
      <c r="Q344" s="17">
        <v>17875</v>
      </c>
      <c r="R344" s="18">
        <v>1170</v>
      </c>
      <c r="T344" s="18">
        <v>9782</v>
      </c>
      <c r="U344" s="7">
        <f t="shared" si="3"/>
        <v>6923</v>
      </c>
      <c r="V344" s="17">
        <v>1182092</v>
      </c>
      <c r="W344" s="18">
        <v>112</v>
      </c>
      <c r="X344" s="18">
        <v>63502</v>
      </c>
      <c r="Y344" s="18">
        <v>2311</v>
      </c>
      <c r="Z344" s="7">
        <f t="shared" si="4"/>
        <v>1116167</v>
      </c>
      <c r="AA344" s="27">
        <f t="shared" si="5"/>
        <v>2830380</v>
      </c>
    </row>
    <row r="345" spans="1:27" ht="13.2" x14ac:dyDescent="0.25">
      <c r="A345" s="16">
        <v>44372</v>
      </c>
      <c r="B345" s="17">
        <v>20139</v>
      </c>
      <c r="E345" s="18">
        <v>1</v>
      </c>
      <c r="F345" s="18">
        <f t="shared" si="0"/>
        <v>20138</v>
      </c>
      <c r="G345" s="17">
        <v>1542366</v>
      </c>
      <c r="I345" s="18">
        <v>64803</v>
      </c>
      <c r="K345" s="7">
        <f t="shared" si="1"/>
        <v>1477563</v>
      </c>
      <c r="L345" s="17">
        <v>75402</v>
      </c>
      <c r="N345" s="18">
        <v>5522</v>
      </c>
      <c r="P345" s="7">
        <f t="shared" si="2"/>
        <v>69880</v>
      </c>
      <c r="Q345" s="17">
        <v>18204</v>
      </c>
      <c r="R345" s="18">
        <v>1203</v>
      </c>
      <c r="T345" s="18">
        <v>9948</v>
      </c>
      <c r="U345" s="7">
        <f t="shared" si="3"/>
        <v>7053</v>
      </c>
      <c r="V345" s="17">
        <v>1188110</v>
      </c>
      <c r="W345" s="18">
        <v>89</v>
      </c>
      <c r="X345" s="18">
        <v>63047</v>
      </c>
      <c r="Y345" s="18">
        <v>2311</v>
      </c>
      <c r="Z345" s="7">
        <f t="shared" si="4"/>
        <v>1122663</v>
      </c>
      <c r="AA345" s="27">
        <f t="shared" si="5"/>
        <v>2844221</v>
      </c>
    </row>
    <row r="346" spans="1:27" ht="13.2" x14ac:dyDescent="0.25">
      <c r="A346" s="16">
        <v>44373</v>
      </c>
      <c r="B346" s="17">
        <v>20225</v>
      </c>
      <c r="E346" s="18">
        <v>1</v>
      </c>
      <c r="F346" s="18">
        <f t="shared" si="0"/>
        <v>20224</v>
      </c>
      <c r="G346" s="17">
        <v>1550959</v>
      </c>
      <c r="I346" s="18">
        <v>69054</v>
      </c>
      <c r="K346" s="7">
        <f t="shared" si="1"/>
        <v>1481905</v>
      </c>
      <c r="L346" s="17">
        <v>76136</v>
      </c>
      <c r="N346" s="18">
        <v>5724</v>
      </c>
      <c r="P346" s="7">
        <f t="shared" si="2"/>
        <v>70412</v>
      </c>
      <c r="Q346" s="17">
        <v>18557</v>
      </c>
      <c r="R346" s="18">
        <v>1317</v>
      </c>
      <c r="T346" s="18">
        <v>10121</v>
      </c>
      <c r="U346" s="7">
        <f t="shared" si="3"/>
        <v>7119</v>
      </c>
      <c r="V346" s="17">
        <v>1193895</v>
      </c>
      <c r="W346" s="18">
        <v>92</v>
      </c>
      <c r="X346" s="18">
        <v>64924</v>
      </c>
      <c r="Y346" s="18">
        <v>2311</v>
      </c>
      <c r="Z346" s="7">
        <f t="shared" si="4"/>
        <v>1126568</v>
      </c>
      <c r="AA346" s="27">
        <f t="shared" si="5"/>
        <v>2859772</v>
      </c>
    </row>
    <row r="347" spans="1:27" ht="13.2" x14ac:dyDescent="0.25">
      <c r="A347" s="16">
        <v>44374</v>
      </c>
      <c r="B347" s="17">
        <v>20274</v>
      </c>
      <c r="E347" s="18">
        <v>1</v>
      </c>
      <c r="F347" s="18">
        <f t="shared" si="0"/>
        <v>20273</v>
      </c>
      <c r="G347" s="17">
        <v>1558687</v>
      </c>
      <c r="I347" s="18">
        <v>74079</v>
      </c>
      <c r="K347" s="7">
        <f t="shared" si="1"/>
        <v>1484608</v>
      </c>
      <c r="L347" s="17">
        <v>76838</v>
      </c>
      <c r="N347" s="18">
        <v>5747</v>
      </c>
      <c r="P347" s="7">
        <f t="shared" si="2"/>
        <v>71091</v>
      </c>
      <c r="Q347" s="17">
        <v>18940</v>
      </c>
      <c r="R347" s="18">
        <v>1508</v>
      </c>
      <c r="T347" s="18">
        <v>10279</v>
      </c>
      <c r="U347" s="7">
        <f t="shared" si="3"/>
        <v>7153</v>
      </c>
      <c r="V347" s="17">
        <v>1200183</v>
      </c>
      <c r="W347" s="18">
        <v>101</v>
      </c>
      <c r="X347" s="18">
        <v>66967</v>
      </c>
      <c r="Y347" s="18">
        <v>2311</v>
      </c>
      <c r="Z347" s="7">
        <f t="shared" si="4"/>
        <v>1130804</v>
      </c>
      <c r="AA347" s="27">
        <f t="shared" si="5"/>
        <v>2874922</v>
      </c>
    </row>
    <row r="348" spans="1:27" ht="13.2" x14ac:dyDescent="0.25">
      <c r="A348" s="16">
        <v>44375</v>
      </c>
      <c r="B348" s="17">
        <v>20316</v>
      </c>
      <c r="E348" s="18">
        <v>1</v>
      </c>
      <c r="F348" s="18">
        <f t="shared" si="0"/>
        <v>20315</v>
      </c>
      <c r="G348" s="17">
        <v>1566239</v>
      </c>
      <c r="I348" s="18">
        <v>73645</v>
      </c>
      <c r="K348" s="7">
        <f t="shared" si="1"/>
        <v>1492594</v>
      </c>
      <c r="L348" s="17">
        <v>77259</v>
      </c>
      <c r="N348" s="18">
        <v>5624</v>
      </c>
      <c r="P348" s="7">
        <f t="shared" si="2"/>
        <v>71635</v>
      </c>
      <c r="Q348" s="17">
        <v>19171</v>
      </c>
      <c r="R348" s="18">
        <v>1496</v>
      </c>
      <c r="T348" s="18">
        <v>10413</v>
      </c>
      <c r="U348" s="7">
        <f t="shared" si="3"/>
        <v>7262</v>
      </c>
      <c r="V348" s="17">
        <v>1205217</v>
      </c>
      <c r="W348" s="18">
        <v>77</v>
      </c>
      <c r="X348" s="18">
        <v>65511</v>
      </c>
      <c r="Y348" s="18">
        <v>2311</v>
      </c>
      <c r="Z348" s="7">
        <f t="shared" si="4"/>
        <v>1137318</v>
      </c>
      <c r="AA348" s="27">
        <f t="shared" si="5"/>
        <v>2888202</v>
      </c>
    </row>
    <row r="349" spans="1:27" ht="13.2" x14ac:dyDescent="0.25">
      <c r="A349" s="16">
        <v>44376</v>
      </c>
      <c r="B349" s="17">
        <v>20342</v>
      </c>
      <c r="E349" s="18">
        <v>1</v>
      </c>
      <c r="F349" s="18">
        <f t="shared" si="0"/>
        <v>20341</v>
      </c>
      <c r="G349" s="17">
        <v>1571314</v>
      </c>
      <c r="I349" s="18">
        <v>73560</v>
      </c>
      <c r="K349" s="7">
        <f t="shared" si="1"/>
        <v>1497754</v>
      </c>
      <c r="L349" s="17">
        <v>77759</v>
      </c>
      <c r="N349" s="18">
        <v>5754</v>
      </c>
      <c r="P349" s="7">
        <f t="shared" si="2"/>
        <v>72005</v>
      </c>
      <c r="Q349" s="17">
        <v>19361</v>
      </c>
      <c r="R349" s="18">
        <v>1470</v>
      </c>
      <c r="T349" s="18">
        <v>10538</v>
      </c>
      <c r="U349" s="7">
        <f t="shared" si="3"/>
        <v>7353</v>
      </c>
      <c r="V349" s="17">
        <v>1208719</v>
      </c>
      <c r="W349" s="18">
        <v>76</v>
      </c>
      <c r="X349" s="18">
        <v>61994</v>
      </c>
      <c r="Y349" s="18">
        <v>2311</v>
      </c>
      <c r="Z349" s="7">
        <f t="shared" si="4"/>
        <v>1144338</v>
      </c>
      <c r="AA349" s="27">
        <f t="shared" si="5"/>
        <v>2897495</v>
      </c>
    </row>
    <row r="350" spans="1:27" ht="13.2" x14ac:dyDescent="0.25">
      <c r="A350" s="16">
        <v>44377</v>
      </c>
      <c r="B350" s="17">
        <v>20362</v>
      </c>
      <c r="E350" s="18">
        <v>1</v>
      </c>
      <c r="F350" s="18">
        <f t="shared" si="0"/>
        <v>20361</v>
      </c>
      <c r="G350" s="17">
        <v>1579706</v>
      </c>
      <c r="I350" s="18">
        <v>73427</v>
      </c>
      <c r="K350" s="7">
        <f t="shared" si="1"/>
        <v>1506279</v>
      </c>
      <c r="L350" s="17">
        <v>78174</v>
      </c>
      <c r="N350" s="18">
        <v>5648</v>
      </c>
      <c r="P350" s="7">
        <f t="shared" si="2"/>
        <v>72526</v>
      </c>
      <c r="Q350" s="17">
        <v>19640</v>
      </c>
      <c r="R350" s="18">
        <v>1461</v>
      </c>
      <c r="T350" s="18">
        <v>10664</v>
      </c>
      <c r="U350" s="7">
        <f t="shared" si="3"/>
        <v>7515</v>
      </c>
      <c r="V350" s="17">
        <v>1216217</v>
      </c>
      <c r="W350" s="18">
        <v>70</v>
      </c>
      <c r="X350" s="18">
        <v>61650</v>
      </c>
      <c r="Y350" s="18">
        <v>2311</v>
      </c>
      <c r="Z350" s="7">
        <f t="shared" si="4"/>
        <v>1152186</v>
      </c>
      <c r="AA350" s="27">
        <f t="shared" si="5"/>
        <v>2914099</v>
      </c>
    </row>
    <row r="351" spans="1:27" ht="13.2" x14ac:dyDescent="0.25">
      <c r="A351" s="16">
        <v>44378</v>
      </c>
      <c r="B351" s="17">
        <v>20425</v>
      </c>
      <c r="E351" s="18">
        <v>1</v>
      </c>
      <c r="F351" s="18">
        <f t="shared" si="0"/>
        <v>20424</v>
      </c>
      <c r="G351" s="17">
        <v>1586375</v>
      </c>
      <c r="I351" s="18">
        <v>71253</v>
      </c>
      <c r="K351" s="7">
        <f t="shared" si="1"/>
        <v>1515122</v>
      </c>
      <c r="L351" s="17">
        <v>78575</v>
      </c>
      <c r="N351" s="18">
        <v>5561</v>
      </c>
      <c r="P351" s="7">
        <f t="shared" si="2"/>
        <v>73014</v>
      </c>
      <c r="Q351" s="17">
        <v>20120</v>
      </c>
      <c r="R351" s="18">
        <v>1665</v>
      </c>
      <c r="T351" s="18">
        <v>10795</v>
      </c>
      <c r="U351" s="7">
        <f t="shared" si="3"/>
        <v>7660</v>
      </c>
      <c r="V351" s="17">
        <v>1222273</v>
      </c>
      <c r="W351" s="18">
        <v>64</v>
      </c>
      <c r="X351" s="18">
        <v>60943</v>
      </c>
      <c r="Y351" s="18">
        <v>2311</v>
      </c>
      <c r="Z351" s="7">
        <f t="shared" si="4"/>
        <v>1158955</v>
      </c>
      <c r="AA351" s="27">
        <f t="shared" si="5"/>
        <v>2927768</v>
      </c>
    </row>
    <row r="352" spans="1:27" ht="13.2" x14ac:dyDescent="0.25">
      <c r="A352" s="16">
        <v>44379</v>
      </c>
      <c r="B352" s="17">
        <v>20448</v>
      </c>
      <c r="E352" s="18">
        <v>1</v>
      </c>
      <c r="F352" s="18">
        <f t="shared" si="0"/>
        <v>20447</v>
      </c>
      <c r="G352" s="17">
        <v>1593945</v>
      </c>
      <c r="I352" s="18">
        <v>69337</v>
      </c>
      <c r="K352" s="7">
        <f t="shared" si="1"/>
        <v>1524608</v>
      </c>
      <c r="L352" s="17">
        <v>78906</v>
      </c>
      <c r="N352" s="18">
        <v>5517</v>
      </c>
      <c r="P352" s="7">
        <f t="shared" si="2"/>
        <v>73389</v>
      </c>
      <c r="Q352" s="17">
        <v>20365</v>
      </c>
      <c r="R352" s="18">
        <v>1592</v>
      </c>
      <c r="T352" s="18">
        <v>10932</v>
      </c>
      <c r="U352" s="7">
        <f t="shared" si="3"/>
        <v>7841</v>
      </c>
      <c r="V352" s="17">
        <v>1228545</v>
      </c>
      <c r="W352" s="18">
        <v>58</v>
      </c>
      <c r="X352" s="18">
        <v>60188</v>
      </c>
      <c r="Y352" s="18">
        <v>2311</v>
      </c>
      <c r="Z352" s="7">
        <f t="shared" si="4"/>
        <v>1165988</v>
      </c>
      <c r="AA352" s="27">
        <f t="shared" si="5"/>
        <v>2942209</v>
      </c>
    </row>
    <row r="353" spans="1:27" ht="13.2" x14ac:dyDescent="0.25">
      <c r="A353" s="16">
        <v>44380</v>
      </c>
      <c r="B353" s="17">
        <v>20486</v>
      </c>
      <c r="E353" s="18">
        <v>1</v>
      </c>
      <c r="F353" s="18">
        <f t="shared" si="0"/>
        <v>20485</v>
      </c>
      <c r="G353" s="17">
        <v>1600570</v>
      </c>
      <c r="I353" s="18">
        <v>71477</v>
      </c>
      <c r="K353" s="7">
        <f t="shared" si="1"/>
        <v>1529093</v>
      </c>
      <c r="L353" s="17">
        <v>79531</v>
      </c>
      <c r="N353" s="18">
        <v>5014</v>
      </c>
      <c r="P353" s="7">
        <f t="shared" si="2"/>
        <v>74517</v>
      </c>
      <c r="Q353" s="17">
        <v>20671</v>
      </c>
      <c r="R353" s="18">
        <v>1644</v>
      </c>
      <c r="T353" s="18">
        <v>11069</v>
      </c>
      <c r="U353" s="7">
        <f t="shared" si="3"/>
        <v>7958</v>
      </c>
      <c r="V353" s="17">
        <v>1233587</v>
      </c>
      <c r="W353" s="18">
        <v>48</v>
      </c>
      <c r="X353" s="18">
        <v>61254</v>
      </c>
      <c r="Y353" s="18">
        <v>2311</v>
      </c>
      <c r="Z353" s="7">
        <f t="shared" si="4"/>
        <v>1169974</v>
      </c>
      <c r="AA353" s="27">
        <f t="shared" si="5"/>
        <v>2954845</v>
      </c>
    </row>
    <row r="354" spans="1:27" ht="13.2" x14ac:dyDescent="0.25">
      <c r="A354" s="16">
        <v>44381</v>
      </c>
      <c r="B354" s="17">
        <v>20600</v>
      </c>
      <c r="E354" s="18">
        <v>1</v>
      </c>
      <c r="F354" s="18">
        <f t="shared" si="0"/>
        <v>20599</v>
      </c>
      <c r="G354" s="17">
        <v>1608824</v>
      </c>
      <c r="I354" s="18">
        <v>7861</v>
      </c>
      <c r="K354" s="7">
        <f t="shared" si="1"/>
        <v>1600963</v>
      </c>
      <c r="L354" s="17">
        <v>79795</v>
      </c>
      <c r="N354" s="18">
        <v>251</v>
      </c>
      <c r="P354" s="7">
        <f t="shared" si="2"/>
        <v>79544</v>
      </c>
      <c r="Q354" s="17">
        <v>20959</v>
      </c>
      <c r="R354" s="18">
        <v>109</v>
      </c>
      <c r="T354" s="18">
        <v>11212</v>
      </c>
      <c r="U354" s="7">
        <f t="shared" si="3"/>
        <v>9638</v>
      </c>
      <c r="V354" s="17">
        <v>1239583</v>
      </c>
      <c r="W354" s="18">
        <v>26</v>
      </c>
      <c r="X354" s="18">
        <v>5545</v>
      </c>
      <c r="Y354" s="18">
        <v>2311</v>
      </c>
      <c r="Z354" s="7">
        <f t="shared" si="4"/>
        <v>1231701</v>
      </c>
      <c r="AA354" s="27">
        <f t="shared" si="5"/>
        <v>2969761</v>
      </c>
    </row>
    <row r="355" spans="1:27" ht="13.2" x14ac:dyDescent="0.25">
      <c r="A355" s="16">
        <v>44382</v>
      </c>
      <c r="B355" s="17">
        <v>20605</v>
      </c>
      <c r="E355" s="18">
        <v>1</v>
      </c>
      <c r="F355" s="18">
        <f t="shared" si="0"/>
        <v>20604</v>
      </c>
      <c r="G355" s="17">
        <v>1618403</v>
      </c>
      <c r="I355" s="18">
        <v>17063</v>
      </c>
      <c r="K355" s="7">
        <f t="shared" si="1"/>
        <v>1601340</v>
      </c>
      <c r="L355" s="17">
        <v>80807</v>
      </c>
      <c r="N355" s="18">
        <v>1218</v>
      </c>
      <c r="P355" s="7">
        <f t="shared" si="2"/>
        <v>79589</v>
      </c>
      <c r="Q355" s="17">
        <v>21223</v>
      </c>
      <c r="R355" s="18">
        <v>243</v>
      </c>
      <c r="T355" s="18">
        <v>11340</v>
      </c>
      <c r="U355" s="7">
        <f t="shared" si="3"/>
        <v>9640</v>
      </c>
      <c r="V355" s="17">
        <v>1245713</v>
      </c>
      <c r="W355" s="18">
        <v>33</v>
      </c>
      <c r="X355" s="18">
        <v>11004</v>
      </c>
      <c r="Y355" s="18">
        <v>2311</v>
      </c>
      <c r="Z355" s="7">
        <f t="shared" si="4"/>
        <v>1232365</v>
      </c>
      <c r="AA355" s="27">
        <f t="shared" si="5"/>
        <v>2986751</v>
      </c>
    </row>
    <row r="356" spans="1:27" ht="13.2" x14ac:dyDescent="0.25">
      <c r="A356" s="16">
        <v>44383</v>
      </c>
      <c r="B356" s="17">
        <v>20606</v>
      </c>
      <c r="E356" s="18">
        <v>1</v>
      </c>
      <c r="F356" s="18">
        <f t="shared" si="0"/>
        <v>20605</v>
      </c>
      <c r="G356" s="17">
        <v>1625205</v>
      </c>
      <c r="I356" s="18">
        <v>22966</v>
      </c>
      <c r="K356" s="7">
        <f t="shared" si="1"/>
        <v>1602239</v>
      </c>
      <c r="L356" s="17">
        <v>82091</v>
      </c>
      <c r="N356" s="18">
        <v>2503</v>
      </c>
      <c r="P356" s="7">
        <f t="shared" si="2"/>
        <v>79588</v>
      </c>
      <c r="Q356" s="17">
        <v>21437</v>
      </c>
      <c r="R356" s="18">
        <v>326</v>
      </c>
      <c r="T356" s="18">
        <v>11470</v>
      </c>
      <c r="U356" s="7">
        <f t="shared" si="3"/>
        <v>9641</v>
      </c>
      <c r="V356" s="17">
        <v>1251034</v>
      </c>
      <c r="W356" s="18">
        <v>33</v>
      </c>
      <c r="X356" s="18">
        <v>16000</v>
      </c>
      <c r="Y356" s="18">
        <v>2311</v>
      </c>
      <c r="Z356" s="7">
        <f t="shared" si="4"/>
        <v>1232690</v>
      </c>
      <c r="AA356" s="27">
        <f t="shared" si="5"/>
        <v>3000373</v>
      </c>
    </row>
    <row r="357" spans="1:27" ht="13.2" x14ac:dyDescent="0.25">
      <c r="A357" s="16">
        <v>44384</v>
      </c>
      <c r="B357" s="17">
        <v>20690</v>
      </c>
      <c r="E357" s="18">
        <v>1</v>
      </c>
      <c r="F357" s="18">
        <f t="shared" si="0"/>
        <v>20689</v>
      </c>
      <c r="G357" s="17">
        <v>1637968</v>
      </c>
      <c r="I357" s="18">
        <v>33455</v>
      </c>
      <c r="K357" s="7">
        <f t="shared" si="1"/>
        <v>1604513</v>
      </c>
      <c r="L357" s="17">
        <v>84009</v>
      </c>
      <c r="N357" s="18">
        <v>4338</v>
      </c>
      <c r="P357" s="7">
        <f t="shared" si="2"/>
        <v>79671</v>
      </c>
      <c r="Q357" s="17">
        <v>21652</v>
      </c>
      <c r="R357" s="18">
        <v>388</v>
      </c>
      <c r="T357" s="18">
        <v>11600</v>
      </c>
      <c r="U357" s="7">
        <f t="shared" si="3"/>
        <v>9664</v>
      </c>
      <c r="V357" s="17">
        <v>1258538</v>
      </c>
      <c r="W357" s="18">
        <v>45</v>
      </c>
      <c r="X357" s="18">
        <v>22353</v>
      </c>
      <c r="Y357" s="18">
        <v>2311</v>
      </c>
      <c r="Z357" s="7">
        <f t="shared" si="4"/>
        <v>1233829</v>
      </c>
      <c r="AA357" s="27">
        <f t="shared" si="5"/>
        <v>3022857</v>
      </c>
    </row>
    <row r="358" spans="1:27" ht="13.2" x14ac:dyDescent="0.25">
      <c r="A358" s="16">
        <v>44385</v>
      </c>
      <c r="B358" s="17">
        <v>20806</v>
      </c>
      <c r="E358" s="18">
        <v>1</v>
      </c>
      <c r="F358" s="18">
        <f t="shared" si="0"/>
        <v>20805</v>
      </c>
      <c r="G358" s="17">
        <v>1641507</v>
      </c>
      <c r="I358" s="18">
        <v>35693</v>
      </c>
      <c r="K358" s="7">
        <f t="shared" si="1"/>
        <v>1605814</v>
      </c>
      <c r="L358" s="17">
        <v>87100</v>
      </c>
      <c r="N358" s="18">
        <v>7025</v>
      </c>
      <c r="P358" s="7">
        <f t="shared" si="2"/>
        <v>80075</v>
      </c>
      <c r="Q358" s="17">
        <v>21839</v>
      </c>
      <c r="R358" s="18">
        <v>420</v>
      </c>
      <c r="T358" s="18">
        <v>11741</v>
      </c>
      <c r="U358" s="7">
        <f t="shared" si="3"/>
        <v>9678</v>
      </c>
      <c r="V358" s="17">
        <v>1276628</v>
      </c>
      <c r="W358" s="18">
        <v>57</v>
      </c>
      <c r="X358" s="18">
        <v>37915</v>
      </c>
      <c r="Y358" s="18">
        <v>2311</v>
      </c>
      <c r="Z358" s="7">
        <f t="shared" si="4"/>
        <v>1236345</v>
      </c>
      <c r="AA358" s="27">
        <f t="shared" si="5"/>
        <v>3047880</v>
      </c>
    </row>
    <row r="359" spans="1:27" ht="13.2" x14ac:dyDescent="0.25">
      <c r="A359" s="16">
        <v>44386</v>
      </c>
      <c r="B359" s="17">
        <v>20846</v>
      </c>
      <c r="E359" s="18">
        <v>1</v>
      </c>
      <c r="F359" s="18">
        <f t="shared" si="0"/>
        <v>20845</v>
      </c>
      <c r="G359" s="17">
        <v>1645215</v>
      </c>
      <c r="I359" s="18">
        <v>38165</v>
      </c>
      <c r="K359" s="7">
        <f t="shared" si="1"/>
        <v>1607050</v>
      </c>
      <c r="L359" s="17">
        <v>90235</v>
      </c>
      <c r="N359" s="18">
        <v>10000</v>
      </c>
      <c r="P359" s="7">
        <f t="shared" si="2"/>
        <v>80235</v>
      </c>
      <c r="Q359" s="17">
        <v>21997</v>
      </c>
      <c r="R359" s="18">
        <v>432</v>
      </c>
      <c r="T359" s="18">
        <v>11884</v>
      </c>
      <c r="U359" s="7">
        <f t="shared" si="3"/>
        <v>9681</v>
      </c>
      <c r="V359" s="17">
        <v>1295048</v>
      </c>
      <c r="W359" s="18">
        <v>54</v>
      </c>
      <c r="X359" s="18">
        <v>53581</v>
      </c>
      <c r="Y359" s="18">
        <v>2311</v>
      </c>
      <c r="Z359" s="7">
        <f t="shared" si="4"/>
        <v>1239102</v>
      </c>
      <c r="AA359" s="27">
        <f t="shared" si="5"/>
        <v>3073341</v>
      </c>
    </row>
    <row r="360" spans="1:27" ht="13.2" x14ac:dyDescent="0.25">
      <c r="A360" s="16">
        <v>44387</v>
      </c>
      <c r="B360" s="17">
        <v>20930</v>
      </c>
      <c r="E360" s="18">
        <v>1</v>
      </c>
      <c r="F360" s="18">
        <f t="shared" si="0"/>
        <v>20929</v>
      </c>
      <c r="G360" s="17">
        <v>1649483</v>
      </c>
      <c r="I360" s="18">
        <v>41325</v>
      </c>
      <c r="K360" s="7">
        <f t="shared" si="1"/>
        <v>1608158</v>
      </c>
      <c r="L360" s="17">
        <v>93030</v>
      </c>
      <c r="N360" s="18">
        <v>12691</v>
      </c>
      <c r="P360" s="7">
        <f t="shared" si="2"/>
        <v>80339</v>
      </c>
      <c r="Q360" s="17">
        <v>22166</v>
      </c>
      <c r="R360" s="18">
        <v>435</v>
      </c>
      <c r="T360" s="18">
        <v>12041</v>
      </c>
      <c r="U360" s="7">
        <f t="shared" si="3"/>
        <v>9690</v>
      </c>
      <c r="V360" s="17">
        <v>1314453</v>
      </c>
      <c r="W360" s="18">
        <v>47</v>
      </c>
      <c r="X360" s="18">
        <v>69516</v>
      </c>
      <c r="Y360" s="18">
        <v>2311</v>
      </c>
      <c r="Z360" s="7">
        <f t="shared" si="4"/>
        <v>1242579</v>
      </c>
      <c r="AA360" s="27">
        <f t="shared" si="5"/>
        <v>3100062</v>
      </c>
    </row>
    <row r="361" spans="1:27" ht="13.2" x14ac:dyDescent="0.25">
      <c r="A361" s="16">
        <v>44388</v>
      </c>
      <c r="B361" s="17">
        <v>20975</v>
      </c>
      <c r="E361" s="18">
        <v>1</v>
      </c>
      <c r="F361" s="18">
        <f t="shared" si="0"/>
        <v>20974</v>
      </c>
      <c r="G361" s="17">
        <v>1653606</v>
      </c>
      <c r="I361" s="18">
        <v>44503</v>
      </c>
      <c r="K361" s="7">
        <f t="shared" si="1"/>
        <v>1609103</v>
      </c>
      <c r="L361" s="17">
        <v>96959</v>
      </c>
      <c r="N361" s="18">
        <v>16207</v>
      </c>
      <c r="P361" s="7">
        <f t="shared" si="2"/>
        <v>80752</v>
      </c>
      <c r="Q361" s="17">
        <v>22328</v>
      </c>
      <c r="R361" s="18">
        <v>439</v>
      </c>
      <c r="T361" s="18">
        <v>12197</v>
      </c>
      <c r="U361" s="7">
        <f t="shared" si="3"/>
        <v>9692</v>
      </c>
      <c r="V361" s="17">
        <v>1334996</v>
      </c>
      <c r="W361" s="18">
        <v>48</v>
      </c>
      <c r="X361" s="18">
        <v>87236</v>
      </c>
      <c r="Y361" s="18">
        <v>2311</v>
      </c>
      <c r="Z361" s="7">
        <f t="shared" si="4"/>
        <v>1245401</v>
      </c>
      <c r="AA361" s="27">
        <f t="shared" si="5"/>
        <v>3128864</v>
      </c>
    </row>
    <row r="362" spans="1:27" ht="13.2" x14ac:dyDescent="0.25">
      <c r="A362" s="16">
        <v>44389</v>
      </c>
      <c r="B362" s="17">
        <v>21039</v>
      </c>
      <c r="E362" s="18">
        <v>1</v>
      </c>
      <c r="F362" s="18">
        <f t="shared" si="0"/>
        <v>21038</v>
      </c>
      <c r="G362" s="17">
        <v>1657184</v>
      </c>
      <c r="I362" s="18">
        <v>45777</v>
      </c>
      <c r="K362" s="7">
        <f t="shared" si="1"/>
        <v>1611407</v>
      </c>
      <c r="L362" s="17">
        <v>100451</v>
      </c>
      <c r="N362" s="18">
        <v>19166</v>
      </c>
      <c r="P362" s="7">
        <f t="shared" si="2"/>
        <v>81285</v>
      </c>
      <c r="Q362" s="17">
        <v>22497</v>
      </c>
      <c r="R362" s="18">
        <v>444</v>
      </c>
      <c r="T362" s="18">
        <v>12349</v>
      </c>
      <c r="U362" s="7">
        <f t="shared" si="3"/>
        <v>9704</v>
      </c>
      <c r="V362" s="17">
        <v>1351128</v>
      </c>
      <c r="W362" s="18">
        <v>49</v>
      </c>
      <c r="X362" s="18">
        <v>98349</v>
      </c>
      <c r="Y362" s="18">
        <v>2311</v>
      </c>
      <c r="Z362" s="7">
        <f t="shared" si="4"/>
        <v>1250419</v>
      </c>
      <c r="AA362" s="27">
        <f t="shared" si="5"/>
        <v>3152299</v>
      </c>
    </row>
    <row r="363" spans="1:27" ht="13.2" x14ac:dyDescent="0.25">
      <c r="A363" s="16">
        <v>44390</v>
      </c>
      <c r="B363" s="17">
        <v>21076</v>
      </c>
      <c r="E363" s="18">
        <v>1</v>
      </c>
      <c r="F363" s="18">
        <f t="shared" si="0"/>
        <v>21075</v>
      </c>
      <c r="G363" s="17">
        <v>1659466</v>
      </c>
      <c r="I363" s="18">
        <v>44458</v>
      </c>
      <c r="K363" s="7">
        <f t="shared" si="1"/>
        <v>1615008</v>
      </c>
      <c r="L363" s="17">
        <v>103499</v>
      </c>
      <c r="N363" s="18">
        <v>21396</v>
      </c>
      <c r="P363" s="7">
        <f t="shared" si="2"/>
        <v>82103</v>
      </c>
      <c r="Q363" s="17">
        <v>22660</v>
      </c>
      <c r="R363" s="18">
        <v>415</v>
      </c>
      <c r="T363" s="18">
        <v>12502</v>
      </c>
      <c r="U363" s="7">
        <f t="shared" si="3"/>
        <v>9743</v>
      </c>
      <c r="V363" s="17">
        <v>1365557</v>
      </c>
      <c r="W363" s="18">
        <v>49</v>
      </c>
      <c r="X363" s="18">
        <v>107592</v>
      </c>
      <c r="Y363" s="18">
        <v>2311</v>
      </c>
      <c r="Z363" s="7">
        <f t="shared" si="4"/>
        <v>1255605</v>
      </c>
      <c r="AA363" s="27">
        <f t="shared" si="5"/>
        <v>3172258</v>
      </c>
    </row>
    <row r="364" spans="1:27" ht="13.2" x14ac:dyDescent="0.25">
      <c r="A364" s="16">
        <v>44391</v>
      </c>
      <c r="B364" s="17">
        <v>21089</v>
      </c>
      <c r="E364" s="18">
        <v>1</v>
      </c>
      <c r="F364" s="18">
        <f t="shared" si="0"/>
        <v>21088</v>
      </c>
      <c r="G364" s="17">
        <v>1661088</v>
      </c>
      <c r="I364" s="18">
        <v>41023</v>
      </c>
      <c r="K364" s="7">
        <f t="shared" si="1"/>
        <v>1620065</v>
      </c>
      <c r="L364" s="17">
        <v>106530</v>
      </c>
      <c r="N364" s="18">
        <v>23472</v>
      </c>
      <c r="P364" s="7">
        <f t="shared" si="2"/>
        <v>83058</v>
      </c>
      <c r="Q364" s="17">
        <v>22834</v>
      </c>
      <c r="R364" s="18">
        <v>383</v>
      </c>
      <c r="T364" s="18">
        <v>12656</v>
      </c>
      <c r="U364" s="7">
        <f t="shared" si="3"/>
        <v>9795</v>
      </c>
      <c r="V364" s="17">
        <v>1387780</v>
      </c>
      <c r="W364" s="18">
        <v>48</v>
      </c>
      <c r="X364" s="18">
        <v>123662</v>
      </c>
      <c r="Y364" s="18">
        <v>2311</v>
      </c>
      <c r="Z364" s="7">
        <f t="shared" si="4"/>
        <v>1261759</v>
      </c>
      <c r="AA364" s="27">
        <f t="shared" si="5"/>
        <v>3199321</v>
      </c>
    </row>
    <row r="365" spans="1:27" ht="13.2" x14ac:dyDescent="0.25">
      <c r="A365" s="16">
        <v>44392</v>
      </c>
      <c r="B365" s="17">
        <v>21176</v>
      </c>
      <c r="E365" s="18">
        <v>1</v>
      </c>
      <c r="F365" s="18">
        <f t="shared" si="0"/>
        <v>21175</v>
      </c>
      <c r="G365" s="17">
        <v>1664853</v>
      </c>
      <c r="I365" s="18">
        <v>37159</v>
      </c>
      <c r="K365" s="7">
        <f t="shared" si="1"/>
        <v>1627694</v>
      </c>
      <c r="L365" s="17">
        <v>111246</v>
      </c>
      <c r="N365" s="18">
        <v>27318</v>
      </c>
      <c r="P365" s="7">
        <f t="shared" si="2"/>
        <v>83928</v>
      </c>
      <c r="Q365" s="17">
        <v>23016</v>
      </c>
      <c r="R365" s="18">
        <v>294</v>
      </c>
      <c r="T365" s="18">
        <v>12812</v>
      </c>
      <c r="U365" s="7">
        <f t="shared" si="3"/>
        <v>9910</v>
      </c>
      <c r="V365" s="17">
        <v>1414376</v>
      </c>
      <c r="W365" s="18">
        <v>53</v>
      </c>
      <c r="X365" s="18">
        <v>140982</v>
      </c>
      <c r="Y365" s="18">
        <v>2311</v>
      </c>
      <c r="Z365" s="7">
        <f t="shared" si="4"/>
        <v>1271030</v>
      </c>
      <c r="AA365" s="27">
        <f t="shared" si="5"/>
        <v>3234667</v>
      </c>
    </row>
    <row r="366" spans="1:27" ht="13.2" x14ac:dyDescent="0.25">
      <c r="A366" s="16">
        <v>44393</v>
      </c>
      <c r="B366" s="17">
        <v>21255</v>
      </c>
      <c r="E366" s="18">
        <v>1</v>
      </c>
      <c r="F366" s="18">
        <f t="shared" si="0"/>
        <v>21254</v>
      </c>
      <c r="G366" s="17">
        <v>1668802</v>
      </c>
      <c r="I366" s="18">
        <v>31431</v>
      </c>
      <c r="K366" s="7">
        <f t="shared" si="1"/>
        <v>1637371</v>
      </c>
      <c r="L366" s="17">
        <v>114914</v>
      </c>
      <c r="N366" s="18">
        <v>29173</v>
      </c>
      <c r="P366" s="7">
        <f t="shared" si="2"/>
        <v>85741</v>
      </c>
      <c r="Q366" s="17">
        <v>23188</v>
      </c>
      <c r="R366" s="18">
        <v>198</v>
      </c>
      <c r="T366" s="18">
        <v>12973</v>
      </c>
      <c r="U366" s="7">
        <f t="shared" si="3"/>
        <v>10017</v>
      </c>
      <c r="V366" s="17">
        <v>1438226</v>
      </c>
      <c r="W366" s="18">
        <v>45</v>
      </c>
      <c r="X366" s="18">
        <v>152640</v>
      </c>
      <c r="Y366" s="18">
        <v>2311</v>
      </c>
      <c r="Z366" s="7">
        <f t="shared" si="4"/>
        <v>1283230</v>
      </c>
      <c r="AA366" s="27">
        <f t="shared" si="5"/>
        <v>3266385</v>
      </c>
    </row>
    <row r="367" spans="1:27" ht="13.2" x14ac:dyDescent="0.25">
      <c r="A367" s="16">
        <v>44394</v>
      </c>
      <c r="B367" s="17">
        <v>21289</v>
      </c>
      <c r="E367" s="18">
        <v>1</v>
      </c>
      <c r="F367" s="18">
        <f t="shared" si="0"/>
        <v>21288</v>
      </c>
      <c r="G367" s="17">
        <v>1672508</v>
      </c>
      <c r="I367" s="18">
        <v>28905</v>
      </c>
      <c r="K367" s="7">
        <f t="shared" si="1"/>
        <v>1643603</v>
      </c>
      <c r="L367" s="17">
        <v>118652</v>
      </c>
      <c r="N367" s="18">
        <v>30759</v>
      </c>
      <c r="P367" s="7">
        <f t="shared" si="2"/>
        <v>87893</v>
      </c>
      <c r="Q367" s="17">
        <v>23354</v>
      </c>
      <c r="R367" s="18">
        <v>100</v>
      </c>
      <c r="T367" s="18">
        <v>13131</v>
      </c>
      <c r="U367" s="7">
        <f t="shared" si="3"/>
        <v>10123</v>
      </c>
      <c r="V367" s="17">
        <v>1463324</v>
      </c>
      <c r="W367" s="18">
        <v>48</v>
      </c>
      <c r="X367" s="18">
        <v>167129</v>
      </c>
      <c r="Y367" s="18">
        <v>2311</v>
      </c>
      <c r="Z367" s="7">
        <f t="shared" si="4"/>
        <v>1293836</v>
      </c>
      <c r="AA367" s="27">
        <f t="shared" si="5"/>
        <v>3299127</v>
      </c>
    </row>
    <row r="368" spans="1:27" ht="13.2" x14ac:dyDescent="0.25">
      <c r="A368" s="16">
        <v>44395</v>
      </c>
      <c r="B368" s="17">
        <v>21377</v>
      </c>
      <c r="E368" s="18">
        <v>1</v>
      </c>
      <c r="F368" s="18">
        <f t="shared" si="0"/>
        <v>21376</v>
      </c>
      <c r="G368" s="17">
        <v>1675829</v>
      </c>
      <c r="I368" s="18">
        <v>27427</v>
      </c>
      <c r="K368" s="7">
        <f t="shared" si="1"/>
        <v>1648402</v>
      </c>
      <c r="L368" s="17">
        <v>122513</v>
      </c>
      <c r="N368" s="18">
        <v>32813</v>
      </c>
      <c r="P368" s="7">
        <f t="shared" si="2"/>
        <v>89700</v>
      </c>
      <c r="Q368" s="17">
        <v>23522</v>
      </c>
      <c r="R368" s="18">
        <v>57</v>
      </c>
      <c r="T368" s="18">
        <v>13291</v>
      </c>
      <c r="U368" s="7">
        <f t="shared" si="3"/>
        <v>10174</v>
      </c>
      <c r="V368" s="17">
        <v>1486998</v>
      </c>
      <c r="W368" s="18">
        <v>34</v>
      </c>
      <c r="X368" s="18">
        <v>182547</v>
      </c>
      <c r="Y368" s="18">
        <v>2311</v>
      </c>
      <c r="Z368" s="7">
        <f t="shared" si="4"/>
        <v>1302106</v>
      </c>
      <c r="AA368" s="27">
        <f t="shared" si="5"/>
        <v>3330239</v>
      </c>
    </row>
    <row r="369" spans="1:27" ht="13.2" x14ac:dyDescent="0.25">
      <c r="A369" s="16">
        <v>44396</v>
      </c>
      <c r="B369" s="17">
        <v>21433</v>
      </c>
      <c r="E369" s="18">
        <v>1</v>
      </c>
      <c r="F369" s="18">
        <f t="shared" si="0"/>
        <v>21432</v>
      </c>
      <c r="G369" s="17">
        <v>1676724</v>
      </c>
      <c r="I369" s="18">
        <v>23500</v>
      </c>
      <c r="K369" s="7">
        <f t="shared" si="1"/>
        <v>1653224</v>
      </c>
      <c r="L369" s="17">
        <v>122517</v>
      </c>
      <c r="N369" s="18">
        <v>29889</v>
      </c>
      <c r="P369" s="7">
        <f t="shared" si="2"/>
        <v>92628</v>
      </c>
      <c r="Q369" s="17">
        <v>23684</v>
      </c>
      <c r="R369" s="18">
        <v>55</v>
      </c>
      <c r="T369" s="18">
        <v>13446</v>
      </c>
      <c r="U369" s="7">
        <f t="shared" si="3"/>
        <v>10183</v>
      </c>
      <c r="V369" s="17">
        <v>1504193</v>
      </c>
      <c r="W369" s="18">
        <v>30</v>
      </c>
      <c r="X369" s="18">
        <v>181859</v>
      </c>
      <c r="Y369" s="18">
        <v>2311</v>
      </c>
      <c r="Z369" s="7">
        <f t="shared" si="4"/>
        <v>1319993</v>
      </c>
      <c r="AA369" s="27">
        <f t="shared" si="5"/>
        <v>3348551</v>
      </c>
    </row>
    <row r="370" spans="1:27" ht="13.2" x14ac:dyDescent="0.25">
      <c r="A370" s="16">
        <v>44397</v>
      </c>
      <c r="B370" s="17">
        <v>21452</v>
      </c>
      <c r="E370" s="18">
        <v>1</v>
      </c>
      <c r="F370" s="18">
        <f t="shared" si="0"/>
        <v>21451</v>
      </c>
      <c r="G370" s="17">
        <v>1679194</v>
      </c>
      <c r="I370" s="18">
        <v>23079</v>
      </c>
      <c r="K370" s="7">
        <f t="shared" si="1"/>
        <v>1656115</v>
      </c>
      <c r="L370" s="17">
        <v>123564</v>
      </c>
      <c r="N370" s="18">
        <v>27921</v>
      </c>
      <c r="P370" s="7">
        <f t="shared" si="2"/>
        <v>95643</v>
      </c>
      <c r="Q370" s="17">
        <v>23843</v>
      </c>
      <c r="R370" s="18">
        <v>53</v>
      </c>
      <c r="T370" s="18">
        <v>13603</v>
      </c>
      <c r="U370" s="7">
        <f t="shared" si="3"/>
        <v>10187</v>
      </c>
      <c r="V370" s="17">
        <v>1525644</v>
      </c>
      <c r="W370" s="18">
        <v>31</v>
      </c>
      <c r="X370" s="18">
        <v>185273</v>
      </c>
      <c r="Y370" s="18">
        <v>2311</v>
      </c>
      <c r="Z370" s="7">
        <f t="shared" si="4"/>
        <v>1338029</v>
      </c>
      <c r="AA370" s="27">
        <f t="shared" si="5"/>
        <v>3373697</v>
      </c>
    </row>
    <row r="371" spans="1:27" ht="13.2" x14ac:dyDescent="0.25">
      <c r="A371" s="16">
        <v>44398</v>
      </c>
      <c r="B371" s="17">
        <v>21474</v>
      </c>
      <c r="E371" s="18">
        <v>1</v>
      </c>
      <c r="F371" s="18">
        <f t="shared" si="0"/>
        <v>21473</v>
      </c>
      <c r="G371" s="17">
        <v>1681161</v>
      </c>
      <c r="I371" s="18">
        <v>21677</v>
      </c>
      <c r="K371" s="7">
        <f t="shared" si="1"/>
        <v>1659484</v>
      </c>
      <c r="L371" s="17">
        <v>124854</v>
      </c>
      <c r="N371" s="18">
        <v>26017</v>
      </c>
      <c r="P371" s="7">
        <f t="shared" si="2"/>
        <v>98837</v>
      </c>
      <c r="Q371" s="17">
        <v>24018</v>
      </c>
      <c r="R371" s="18">
        <v>49</v>
      </c>
      <c r="T371" s="18">
        <v>13754</v>
      </c>
      <c r="U371" s="7">
        <f t="shared" si="3"/>
        <v>10215</v>
      </c>
      <c r="V371" s="17">
        <v>1544062</v>
      </c>
      <c r="W371" s="18">
        <v>27</v>
      </c>
      <c r="X371" s="18">
        <v>186014</v>
      </c>
      <c r="Y371" s="18">
        <v>2311</v>
      </c>
      <c r="Z371" s="7">
        <f t="shared" si="4"/>
        <v>1355710</v>
      </c>
      <c r="AA371" s="27">
        <f t="shared" si="5"/>
        <v>3395569</v>
      </c>
    </row>
    <row r="372" spans="1:27" ht="13.2" x14ac:dyDescent="0.25">
      <c r="A372" s="16">
        <v>44399</v>
      </c>
      <c r="B372" s="17">
        <v>21516</v>
      </c>
      <c r="E372" s="18">
        <v>1</v>
      </c>
      <c r="F372" s="18">
        <f t="shared" si="0"/>
        <v>21515</v>
      </c>
      <c r="G372" s="17">
        <v>1681579</v>
      </c>
      <c r="I372" s="18">
        <v>19406</v>
      </c>
      <c r="K372" s="7">
        <f t="shared" si="1"/>
        <v>1662173</v>
      </c>
      <c r="L372" s="17">
        <v>126024</v>
      </c>
      <c r="N372" s="18">
        <v>24122</v>
      </c>
      <c r="P372" s="7">
        <f t="shared" si="2"/>
        <v>101902</v>
      </c>
      <c r="Q372" s="17">
        <v>24169</v>
      </c>
      <c r="R372" s="18">
        <v>46</v>
      </c>
      <c r="T372" s="18">
        <v>13902</v>
      </c>
      <c r="U372" s="7">
        <f t="shared" si="3"/>
        <v>10221</v>
      </c>
      <c r="V372" s="17">
        <v>1556634</v>
      </c>
      <c r="W372" s="18">
        <v>22</v>
      </c>
      <c r="X372" s="18">
        <v>180003</v>
      </c>
      <c r="Y372" s="18">
        <v>2311</v>
      </c>
      <c r="Z372" s="7">
        <f t="shared" si="4"/>
        <v>1374298</v>
      </c>
      <c r="AA372" s="27">
        <f t="shared" si="5"/>
        <v>3409922</v>
      </c>
    </row>
    <row r="373" spans="1:27" ht="13.2" x14ac:dyDescent="0.25">
      <c r="A373" s="16">
        <v>44400</v>
      </c>
      <c r="B373" s="17">
        <v>21558</v>
      </c>
      <c r="E373" s="18">
        <v>1</v>
      </c>
      <c r="F373" s="18">
        <f t="shared" si="0"/>
        <v>21557</v>
      </c>
      <c r="G373" s="17">
        <v>1683456</v>
      </c>
      <c r="I373" s="18">
        <v>18007</v>
      </c>
      <c r="K373" s="7">
        <f t="shared" si="1"/>
        <v>1665449</v>
      </c>
      <c r="L373" s="17">
        <v>126650</v>
      </c>
      <c r="N373" s="18">
        <v>21297</v>
      </c>
      <c r="P373" s="7">
        <f t="shared" si="2"/>
        <v>105353</v>
      </c>
      <c r="Q373" s="17">
        <v>24338</v>
      </c>
      <c r="R373" s="18">
        <v>48</v>
      </c>
      <c r="T373" s="18">
        <v>14052</v>
      </c>
      <c r="U373" s="7">
        <f t="shared" si="3"/>
        <v>10238</v>
      </c>
      <c r="V373" s="17">
        <v>1574195</v>
      </c>
      <c r="W373" s="18">
        <v>39</v>
      </c>
      <c r="X373" s="18">
        <v>176515</v>
      </c>
      <c r="Y373" s="18">
        <v>2311</v>
      </c>
      <c r="Z373" s="7">
        <f t="shared" si="4"/>
        <v>1395330</v>
      </c>
      <c r="AA373" s="27">
        <f t="shared" si="5"/>
        <v>3430197</v>
      </c>
    </row>
    <row r="374" spans="1:27" ht="13.2" x14ac:dyDescent="0.25">
      <c r="A374" s="16">
        <v>44401</v>
      </c>
      <c r="B374" s="17">
        <v>21578</v>
      </c>
      <c r="E374" s="18">
        <v>1</v>
      </c>
      <c r="F374" s="18">
        <f t="shared" si="0"/>
        <v>21577</v>
      </c>
      <c r="G374" s="17">
        <v>1685788</v>
      </c>
      <c r="I374" s="18">
        <v>19254</v>
      </c>
      <c r="K374" s="7">
        <f t="shared" si="1"/>
        <v>1666534</v>
      </c>
      <c r="L374" s="17">
        <v>128279</v>
      </c>
      <c r="N374" s="18">
        <v>20281</v>
      </c>
      <c r="P374" s="7">
        <f t="shared" si="2"/>
        <v>107998</v>
      </c>
      <c r="Q374" s="17">
        <v>24521</v>
      </c>
      <c r="R374" s="18">
        <v>46</v>
      </c>
      <c r="T374" s="18">
        <v>14205</v>
      </c>
      <c r="U374" s="7">
        <f t="shared" si="3"/>
        <v>10270</v>
      </c>
      <c r="V374" s="17">
        <v>1601717</v>
      </c>
      <c r="W374" s="18">
        <v>42</v>
      </c>
      <c r="X374" s="18">
        <v>185947</v>
      </c>
      <c r="Y374" s="18">
        <v>2311</v>
      </c>
      <c r="Z374" s="7">
        <f t="shared" si="4"/>
        <v>1413417</v>
      </c>
      <c r="AA374" s="27">
        <f t="shared" si="5"/>
        <v>3461883</v>
      </c>
    </row>
    <row r="375" spans="1:27" ht="13.2" x14ac:dyDescent="0.25">
      <c r="A375" s="16">
        <v>44402</v>
      </c>
      <c r="B375" s="17">
        <v>21619</v>
      </c>
      <c r="E375" s="18">
        <v>1</v>
      </c>
      <c r="F375" s="18">
        <f t="shared" si="0"/>
        <v>21618</v>
      </c>
      <c r="G375" s="17">
        <v>1691844</v>
      </c>
      <c r="I375" s="18">
        <v>24688</v>
      </c>
      <c r="K375" s="7">
        <f t="shared" si="1"/>
        <v>1667156</v>
      </c>
      <c r="L375" s="17">
        <v>130007</v>
      </c>
      <c r="N375" s="18">
        <v>20299</v>
      </c>
      <c r="P375" s="7">
        <f t="shared" si="2"/>
        <v>109708</v>
      </c>
      <c r="Q375" s="17">
        <v>24701</v>
      </c>
      <c r="R375" s="18">
        <v>56</v>
      </c>
      <c r="T375" s="18">
        <v>14367</v>
      </c>
      <c r="U375" s="7">
        <f t="shared" si="3"/>
        <v>10278</v>
      </c>
      <c r="V375" s="17">
        <v>1624966</v>
      </c>
      <c r="W375" s="18">
        <v>73</v>
      </c>
      <c r="X375" s="18">
        <v>199598</v>
      </c>
      <c r="Y375" s="18">
        <v>2311</v>
      </c>
      <c r="Z375" s="7">
        <f t="shared" si="4"/>
        <v>1422984</v>
      </c>
      <c r="AA375" s="27">
        <f t="shared" si="5"/>
        <v>3493137</v>
      </c>
    </row>
    <row r="376" spans="1:27" ht="13.2" x14ac:dyDescent="0.25">
      <c r="A376" s="16">
        <v>44403</v>
      </c>
      <c r="B376" s="17">
        <v>21711</v>
      </c>
      <c r="E376" s="18">
        <v>1</v>
      </c>
      <c r="F376" s="18">
        <f t="shared" si="0"/>
        <v>21710</v>
      </c>
      <c r="G376" s="17">
        <v>1706114</v>
      </c>
      <c r="I376" s="18">
        <v>34597</v>
      </c>
      <c r="K376" s="7">
        <f t="shared" si="1"/>
        <v>1671517</v>
      </c>
      <c r="L376" s="17">
        <v>131750</v>
      </c>
      <c r="N376" s="18">
        <v>18538</v>
      </c>
      <c r="P376" s="7">
        <f t="shared" si="2"/>
        <v>113212</v>
      </c>
      <c r="Q376" s="17">
        <v>24880</v>
      </c>
      <c r="R376" s="18">
        <v>59</v>
      </c>
      <c r="T376" s="18">
        <v>14534</v>
      </c>
      <c r="U376" s="7">
        <f t="shared" si="3"/>
        <v>10287</v>
      </c>
      <c r="V376" s="17">
        <v>1643700</v>
      </c>
      <c r="W376" s="18">
        <v>68</v>
      </c>
      <c r="X376" s="18">
        <v>194691</v>
      </c>
      <c r="Y376" s="18">
        <v>2311</v>
      </c>
      <c r="Z376" s="7">
        <f t="shared" si="4"/>
        <v>1446630</v>
      </c>
      <c r="AA376" s="27">
        <f t="shared" si="5"/>
        <v>3528155</v>
      </c>
    </row>
    <row r="377" spans="1:27" ht="13.2" x14ac:dyDescent="0.25">
      <c r="A377" s="16">
        <v>44404</v>
      </c>
      <c r="B377" s="17">
        <v>21727</v>
      </c>
      <c r="E377" s="18">
        <v>1</v>
      </c>
      <c r="F377" s="18">
        <f t="shared" si="0"/>
        <v>21726</v>
      </c>
      <c r="G377" s="17">
        <v>1706627</v>
      </c>
      <c r="I377" s="18">
        <v>32136</v>
      </c>
      <c r="K377" s="7">
        <f t="shared" si="1"/>
        <v>1674491</v>
      </c>
      <c r="L377" s="17">
        <v>132067</v>
      </c>
      <c r="N377" s="18">
        <v>16047</v>
      </c>
      <c r="P377" s="7">
        <f t="shared" si="2"/>
        <v>116020</v>
      </c>
      <c r="Q377" s="17">
        <v>25044</v>
      </c>
      <c r="R377" s="18">
        <v>56</v>
      </c>
      <c r="T377" s="18">
        <v>14697</v>
      </c>
      <c r="U377" s="7">
        <f t="shared" si="3"/>
        <v>10291</v>
      </c>
      <c r="V377" s="17">
        <v>1651544</v>
      </c>
      <c r="W377" s="18">
        <v>52</v>
      </c>
      <c r="X377" s="18">
        <v>181341</v>
      </c>
      <c r="Y377" s="18">
        <v>2311</v>
      </c>
      <c r="Z377" s="7">
        <f t="shared" si="4"/>
        <v>1467840</v>
      </c>
      <c r="AA377" s="27">
        <f t="shared" si="5"/>
        <v>3537009</v>
      </c>
    </row>
    <row r="378" spans="1:27" ht="13.2" x14ac:dyDescent="0.25">
      <c r="A378" s="16">
        <v>44405</v>
      </c>
      <c r="B378" s="17">
        <v>21755</v>
      </c>
      <c r="E378" s="18">
        <v>1</v>
      </c>
      <c r="F378" s="18">
        <f t="shared" si="0"/>
        <v>21754</v>
      </c>
      <c r="G378" s="17">
        <v>1707748</v>
      </c>
      <c r="I378" s="18">
        <v>30345</v>
      </c>
      <c r="K378" s="7">
        <f t="shared" si="1"/>
        <v>1677403</v>
      </c>
      <c r="L378" s="17">
        <v>133611</v>
      </c>
      <c r="N378" s="18">
        <v>14267</v>
      </c>
      <c r="P378" s="7">
        <f t="shared" si="2"/>
        <v>119344</v>
      </c>
      <c r="Q378" s="17">
        <v>25215</v>
      </c>
      <c r="R378" s="18">
        <v>57</v>
      </c>
      <c r="T378" s="18">
        <v>14863</v>
      </c>
      <c r="U378" s="7">
        <f t="shared" si="3"/>
        <v>10295</v>
      </c>
      <c r="V378" s="17">
        <v>1674505</v>
      </c>
      <c r="W378" s="18">
        <v>56</v>
      </c>
      <c r="X378" s="18">
        <v>183636</v>
      </c>
      <c r="Y378" s="18">
        <v>2311</v>
      </c>
      <c r="Z378" s="7">
        <f t="shared" si="4"/>
        <v>1488502</v>
      </c>
      <c r="AA378" s="27">
        <f t="shared" si="5"/>
        <v>3562834</v>
      </c>
    </row>
    <row r="379" spans="1:27" ht="13.2" x14ac:dyDescent="0.25">
      <c r="A379" s="16">
        <v>44406</v>
      </c>
      <c r="B379" s="17">
        <v>21789</v>
      </c>
      <c r="E379" s="18">
        <v>1</v>
      </c>
      <c r="F379" s="18">
        <f t="shared" si="0"/>
        <v>21788</v>
      </c>
      <c r="G379" s="17">
        <v>1710781</v>
      </c>
      <c r="I379" s="18">
        <v>30307</v>
      </c>
      <c r="K379" s="7">
        <f t="shared" si="1"/>
        <v>1680474</v>
      </c>
      <c r="L379" s="17">
        <v>135471</v>
      </c>
      <c r="N379" s="18">
        <v>12762</v>
      </c>
      <c r="P379" s="7">
        <f t="shared" si="2"/>
        <v>122709</v>
      </c>
      <c r="Q379" s="17">
        <v>25402</v>
      </c>
      <c r="R379" s="18">
        <v>66</v>
      </c>
      <c r="T379" s="18">
        <v>15035</v>
      </c>
      <c r="U379" s="7">
        <f t="shared" si="3"/>
        <v>10301</v>
      </c>
      <c r="V379" s="17">
        <v>1700046</v>
      </c>
      <c r="W379" s="18">
        <v>71</v>
      </c>
      <c r="X379" s="18">
        <v>187797</v>
      </c>
      <c r="Y379" s="18">
        <v>2311</v>
      </c>
      <c r="Z379" s="7">
        <f t="shared" si="4"/>
        <v>1509867</v>
      </c>
      <c r="AA379" s="27">
        <f t="shared" si="5"/>
        <v>3593489</v>
      </c>
    </row>
    <row r="380" spans="1:27" ht="13.2" x14ac:dyDescent="0.25">
      <c r="A380" s="16">
        <v>44407</v>
      </c>
      <c r="B380" s="17">
        <v>21815</v>
      </c>
      <c r="E380" s="18">
        <v>1</v>
      </c>
      <c r="F380" s="18">
        <f t="shared" si="0"/>
        <v>21814</v>
      </c>
      <c r="G380" s="17">
        <v>1712326</v>
      </c>
      <c r="I380" s="18">
        <v>28934</v>
      </c>
      <c r="K380" s="7">
        <f t="shared" si="1"/>
        <v>1683392</v>
      </c>
      <c r="L380" s="17">
        <v>137592</v>
      </c>
      <c r="N380" s="18">
        <v>13382</v>
      </c>
      <c r="P380" s="7">
        <f t="shared" si="2"/>
        <v>124210</v>
      </c>
      <c r="Q380" s="17">
        <v>25594</v>
      </c>
      <c r="R380" s="18">
        <v>64</v>
      </c>
      <c r="T380" s="18">
        <v>15215</v>
      </c>
      <c r="U380" s="7">
        <f t="shared" si="3"/>
        <v>10315</v>
      </c>
      <c r="V380" s="17">
        <v>1721686</v>
      </c>
      <c r="W380" s="18">
        <v>65</v>
      </c>
      <c r="X380" s="18">
        <v>186999</v>
      </c>
      <c r="Y380" s="18">
        <v>2311</v>
      </c>
      <c r="Z380" s="7">
        <f t="shared" si="4"/>
        <v>1532311</v>
      </c>
      <c r="AA380" s="27">
        <f t="shared" si="5"/>
        <v>3619013</v>
      </c>
    </row>
    <row r="381" spans="1:27" ht="13.2" x14ac:dyDescent="0.25">
      <c r="A381" s="16">
        <v>44408</v>
      </c>
      <c r="B381" s="17">
        <v>21844</v>
      </c>
      <c r="E381" s="18">
        <v>1</v>
      </c>
      <c r="F381" s="18">
        <f t="shared" si="0"/>
        <v>21843</v>
      </c>
      <c r="G381" s="17">
        <v>1713501</v>
      </c>
      <c r="I381" s="18">
        <v>29368</v>
      </c>
      <c r="K381" s="7">
        <f t="shared" si="1"/>
        <v>1684133</v>
      </c>
      <c r="L381" s="17">
        <v>139684</v>
      </c>
      <c r="N381" s="18">
        <v>15160</v>
      </c>
      <c r="P381" s="7">
        <f t="shared" si="2"/>
        <v>124524</v>
      </c>
      <c r="Q381" s="17">
        <v>25783</v>
      </c>
      <c r="R381" s="18">
        <v>61</v>
      </c>
      <c r="T381" s="18">
        <v>15401</v>
      </c>
      <c r="U381" s="7">
        <f t="shared" si="3"/>
        <v>10321</v>
      </c>
      <c r="V381" s="17">
        <v>1742161</v>
      </c>
      <c r="W381" s="18">
        <v>71</v>
      </c>
      <c r="X381" s="18">
        <v>189585</v>
      </c>
      <c r="Y381" s="18">
        <v>2311</v>
      </c>
      <c r="Z381" s="7">
        <f t="shared" si="4"/>
        <v>1550194</v>
      </c>
      <c r="AA381" s="27">
        <f t="shared" si="5"/>
        <v>3642973</v>
      </c>
    </row>
    <row r="382" spans="1:27" ht="13.2" x14ac:dyDescent="0.25">
      <c r="A382" s="16">
        <v>44409</v>
      </c>
      <c r="B382" s="17">
        <v>21888</v>
      </c>
      <c r="E382" s="18">
        <v>1</v>
      </c>
      <c r="F382" s="18">
        <f t="shared" si="0"/>
        <v>21887</v>
      </c>
      <c r="G382" s="17">
        <v>1715136</v>
      </c>
      <c r="I382" s="18">
        <v>1328</v>
      </c>
      <c r="K382" s="7">
        <f t="shared" si="1"/>
        <v>1713808</v>
      </c>
      <c r="L382" s="17">
        <v>141524</v>
      </c>
      <c r="N382" s="18">
        <v>1740</v>
      </c>
      <c r="P382" s="7">
        <f t="shared" si="2"/>
        <v>139784</v>
      </c>
      <c r="Q382" s="17">
        <v>25972</v>
      </c>
      <c r="R382" s="18">
        <v>3</v>
      </c>
      <c r="T382" s="18">
        <v>15584</v>
      </c>
      <c r="U382" s="7">
        <f t="shared" si="3"/>
        <v>10385</v>
      </c>
      <c r="V382" s="17">
        <v>1762639</v>
      </c>
      <c r="W382" s="18">
        <v>0</v>
      </c>
      <c r="X382" s="18">
        <v>18525</v>
      </c>
      <c r="Y382" s="18">
        <v>2311</v>
      </c>
      <c r="Z382" s="7">
        <f t="shared" si="4"/>
        <v>1741803</v>
      </c>
      <c r="AA382" s="27">
        <f t="shared" si="5"/>
        <v>3667159</v>
      </c>
    </row>
    <row r="383" spans="1:27" ht="13.2" x14ac:dyDescent="0.25">
      <c r="A383" s="16">
        <v>44410</v>
      </c>
      <c r="B383" s="17">
        <v>21904</v>
      </c>
      <c r="E383" s="18">
        <v>1</v>
      </c>
      <c r="F383" s="18">
        <f t="shared" si="0"/>
        <v>21903</v>
      </c>
      <c r="G383" s="17">
        <v>1716172</v>
      </c>
      <c r="I383" s="18">
        <v>2217</v>
      </c>
      <c r="K383" s="7">
        <f t="shared" si="1"/>
        <v>1713955</v>
      </c>
      <c r="L383" s="17">
        <v>143473</v>
      </c>
      <c r="N383" s="18">
        <v>3318</v>
      </c>
      <c r="P383" s="7">
        <f t="shared" si="2"/>
        <v>140155</v>
      </c>
      <c r="Q383" s="17">
        <v>26164</v>
      </c>
      <c r="R383" s="18">
        <v>8</v>
      </c>
      <c r="T383" s="18">
        <v>15769</v>
      </c>
      <c r="U383" s="7">
        <f t="shared" si="3"/>
        <v>10387</v>
      </c>
      <c r="V383" s="17">
        <v>1786577</v>
      </c>
      <c r="W383" s="18">
        <v>8</v>
      </c>
      <c r="X383" s="18">
        <v>40891</v>
      </c>
      <c r="Y383" s="18">
        <v>2311</v>
      </c>
      <c r="Z383" s="7">
        <f t="shared" si="4"/>
        <v>1743367</v>
      </c>
      <c r="AA383" s="27">
        <f t="shared" si="5"/>
        <v>3694290</v>
      </c>
    </row>
    <row r="384" spans="1:27" ht="13.2" x14ac:dyDescent="0.25">
      <c r="A384" s="16">
        <v>44411</v>
      </c>
      <c r="B384" s="17">
        <v>21913</v>
      </c>
      <c r="E384" s="18">
        <v>1</v>
      </c>
      <c r="F384" s="18">
        <f t="shared" si="0"/>
        <v>21912</v>
      </c>
      <c r="G384" s="17">
        <v>1716465</v>
      </c>
      <c r="I384" s="18">
        <v>2476</v>
      </c>
      <c r="K384" s="7">
        <f t="shared" si="1"/>
        <v>1713989</v>
      </c>
      <c r="L384" s="17">
        <v>145908</v>
      </c>
      <c r="N384" s="18">
        <v>5436</v>
      </c>
      <c r="P384" s="7">
        <f t="shared" si="2"/>
        <v>140472</v>
      </c>
      <c r="Q384" s="17">
        <v>26351</v>
      </c>
      <c r="R384" s="18">
        <v>15</v>
      </c>
      <c r="T384" s="18">
        <v>15949</v>
      </c>
      <c r="U384" s="7">
        <f t="shared" si="3"/>
        <v>10387</v>
      </c>
      <c r="V384" s="17">
        <v>1801312</v>
      </c>
      <c r="W384" s="18">
        <v>8</v>
      </c>
      <c r="X384" s="18">
        <v>55146</v>
      </c>
      <c r="Y384" s="18">
        <v>2311</v>
      </c>
      <c r="Z384" s="7">
        <f t="shared" si="4"/>
        <v>1743847</v>
      </c>
      <c r="AA384" s="27">
        <f t="shared" si="5"/>
        <v>3711949</v>
      </c>
    </row>
    <row r="385" spans="1:27" ht="13.2" x14ac:dyDescent="0.25">
      <c r="A385" s="16">
        <v>44412</v>
      </c>
      <c r="B385" s="17">
        <v>21955</v>
      </c>
      <c r="E385" s="18">
        <v>1</v>
      </c>
      <c r="F385" s="18">
        <f t="shared" si="0"/>
        <v>21954</v>
      </c>
      <c r="G385" s="17">
        <v>1720895</v>
      </c>
      <c r="I385" s="18">
        <v>6336</v>
      </c>
      <c r="K385" s="7">
        <f t="shared" si="1"/>
        <v>1714559</v>
      </c>
      <c r="L385" s="17">
        <v>148513</v>
      </c>
      <c r="N385" s="18">
        <v>7761</v>
      </c>
      <c r="P385" s="7">
        <f t="shared" si="2"/>
        <v>140752</v>
      </c>
      <c r="Q385" s="17">
        <v>26551</v>
      </c>
      <c r="R385" s="18">
        <v>18</v>
      </c>
      <c r="T385" s="18">
        <v>16138</v>
      </c>
      <c r="U385" s="7">
        <f t="shared" si="3"/>
        <v>10395</v>
      </c>
      <c r="V385" s="17">
        <v>1825677</v>
      </c>
      <c r="W385" s="18">
        <v>25</v>
      </c>
      <c r="X385" s="18">
        <v>77750</v>
      </c>
      <c r="Y385" s="18">
        <v>2311</v>
      </c>
      <c r="Z385" s="7">
        <f t="shared" si="4"/>
        <v>1745591</v>
      </c>
      <c r="AA385" s="27">
        <f t="shared" si="5"/>
        <v>3743591</v>
      </c>
    </row>
    <row r="386" spans="1:27" ht="13.2" x14ac:dyDescent="0.25">
      <c r="A386" s="16">
        <v>44413</v>
      </c>
      <c r="B386" s="17">
        <v>22027</v>
      </c>
      <c r="E386" s="18">
        <v>1</v>
      </c>
      <c r="F386" s="18">
        <f t="shared" si="0"/>
        <v>22026</v>
      </c>
      <c r="G386" s="17">
        <v>1727729</v>
      </c>
      <c r="I386" s="18">
        <v>12159</v>
      </c>
      <c r="K386" s="7">
        <f t="shared" si="1"/>
        <v>1715570</v>
      </c>
      <c r="L386" s="17">
        <v>151629</v>
      </c>
      <c r="N386" s="18">
        <v>10578</v>
      </c>
      <c r="P386" s="7">
        <f t="shared" si="2"/>
        <v>141051</v>
      </c>
      <c r="Q386" s="17">
        <v>26750</v>
      </c>
      <c r="R386" s="18">
        <v>24</v>
      </c>
      <c r="T386" s="18">
        <v>16325</v>
      </c>
      <c r="U386" s="7">
        <f t="shared" si="3"/>
        <v>10401</v>
      </c>
      <c r="V386" s="17">
        <v>1853145</v>
      </c>
      <c r="W386" s="18">
        <v>40</v>
      </c>
      <c r="X386" s="18">
        <v>102455</v>
      </c>
      <c r="Y386" s="18">
        <v>2311</v>
      </c>
      <c r="Z386" s="7">
        <f t="shared" si="4"/>
        <v>1748339</v>
      </c>
      <c r="AA386" s="27">
        <f t="shared" si="5"/>
        <v>3781280</v>
      </c>
    </row>
    <row r="387" spans="1:27" ht="13.2" x14ac:dyDescent="0.25">
      <c r="A387" s="16">
        <v>44414</v>
      </c>
      <c r="B387" s="17">
        <v>22078</v>
      </c>
      <c r="E387" s="18">
        <v>1</v>
      </c>
      <c r="F387" s="18">
        <f t="shared" si="0"/>
        <v>22077</v>
      </c>
      <c r="G387" s="17">
        <v>1733311</v>
      </c>
      <c r="I387" s="18">
        <v>16750</v>
      </c>
      <c r="K387" s="7">
        <f t="shared" si="1"/>
        <v>1716561</v>
      </c>
      <c r="L387" s="17">
        <v>154869</v>
      </c>
      <c r="N387" s="18">
        <v>13363</v>
      </c>
      <c r="P387" s="7">
        <f t="shared" si="2"/>
        <v>141506</v>
      </c>
      <c r="Q387" s="17">
        <v>26950</v>
      </c>
      <c r="R387" s="18">
        <v>38</v>
      </c>
      <c r="T387" s="18">
        <v>16508</v>
      </c>
      <c r="U387" s="7">
        <f t="shared" si="3"/>
        <v>10404</v>
      </c>
      <c r="V387" s="17">
        <v>1876981</v>
      </c>
      <c r="W387" s="18">
        <v>50</v>
      </c>
      <c r="X387" s="18">
        <v>123818</v>
      </c>
      <c r="Y387" s="18">
        <v>2311</v>
      </c>
      <c r="Z387" s="7">
        <f t="shared" si="4"/>
        <v>1750802</v>
      </c>
      <c r="AA387" s="27">
        <f t="shared" si="5"/>
        <v>3814189</v>
      </c>
    </row>
    <row r="388" spans="1:27" ht="13.2" x14ac:dyDescent="0.25">
      <c r="A388" s="16">
        <v>44415</v>
      </c>
      <c r="B388" s="17">
        <v>22091</v>
      </c>
      <c r="E388" s="18">
        <v>1</v>
      </c>
      <c r="F388" s="18">
        <f t="shared" si="0"/>
        <v>22090</v>
      </c>
      <c r="G388" s="17">
        <v>1736566</v>
      </c>
      <c r="I388" s="18">
        <v>19026</v>
      </c>
      <c r="K388" s="7">
        <f t="shared" si="1"/>
        <v>1717540</v>
      </c>
      <c r="L388" s="17">
        <v>157632</v>
      </c>
      <c r="N388" s="18">
        <v>15796</v>
      </c>
      <c r="P388" s="7">
        <f t="shared" si="2"/>
        <v>141836</v>
      </c>
      <c r="Q388" s="17">
        <v>27132</v>
      </c>
      <c r="R388" s="18">
        <v>42</v>
      </c>
      <c r="T388" s="18">
        <v>16685</v>
      </c>
      <c r="U388" s="7">
        <f t="shared" si="3"/>
        <v>10405</v>
      </c>
      <c r="V388" s="17">
        <v>1899426</v>
      </c>
      <c r="W388" s="18">
        <v>54</v>
      </c>
      <c r="X388" s="18">
        <v>143452</v>
      </c>
      <c r="Y388" s="18">
        <v>2311</v>
      </c>
      <c r="Z388" s="7">
        <f t="shared" si="4"/>
        <v>1753609</v>
      </c>
      <c r="AA388" s="27">
        <f t="shared" si="5"/>
        <v>3842847</v>
      </c>
    </row>
    <row r="389" spans="1:27" ht="13.2" x14ac:dyDescent="0.25">
      <c r="A389" s="16">
        <v>44416</v>
      </c>
      <c r="B389" s="17">
        <v>22150</v>
      </c>
      <c r="E389" s="18">
        <v>1</v>
      </c>
      <c r="F389" s="18">
        <f t="shared" si="0"/>
        <v>22149</v>
      </c>
      <c r="G389" s="17">
        <v>1738328</v>
      </c>
      <c r="I389" s="18">
        <v>20256</v>
      </c>
      <c r="K389" s="7">
        <f t="shared" si="1"/>
        <v>1718072</v>
      </c>
      <c r="L389" s="17">
        <v>161246</v>
      </c>
      <c r="N389" s="18">
        <v>19014</v>
      </c>
      <c r="P389" s="7">
        <f t="shared" si="2"/>
        <v>142232</v>
      </c>
      <c r="Q389" s="17">
        <v>27312</v>
      </c>
      <c r="R389" s="18">
        <v>47</v>
      </c>
      <c r="T389" s="18">
        <v>16858</v>
      </c>
      <c r="U389" s="7">
        <f t="shared" si="3"/>
        <v>10407</v>
      </c>
      <c r="V389" s="17">
        <v>1922541</v>
      </c>
      <c r="W389" s="18">
        <v>62</v>
      </c>
      <c r="X389" s="18">
        <v>163965</v>
      </c>
      <c r="Y389" s="18">
        <v>2311</v>
      </c>
      <c r="Z389" s="7">
        <f t="shared" si="4"/>
        <v>1756203</v>
      </c>
      <c r="AA389" s="27">
        <f t="shared" si="5"/>
        <v>3871577</v>
      </c>
    </row>
    <row r="390" spans="1:27" ht="13.2" x14ac:dyDescent="0.25">
      <c r="A390" s="16">
        <v>44417</v>
      </c>
      <c r="B390" s="17">
        <v>22173</v>
      </c>
      <c r="E390" s="18">
        <v>1</v>
      </c>
      <c r="F390" s="18">
        <f t="shared" si="0"/>
        <v>22172</v>
      </c>
      <c r="G390" s="17">
        <v>1739520</v>
      </c>
      <c r="I390" s="18">
        <v>21244</v>
      </c>
      <c r="K390" s="7">
        <f t="shared" si="1"/>
        <v>1718276</v>
      </c>
      <c r="L390" s="17">
        <v>163960</v>
      </c>
      <c r="N390" s="18">
        <v>21647</v>
      </c>
      <c r="P390" s="7">
        <f t="shared" si="2"/>
        <v>142313</v>
      </c>
      <c r="Q390" s="17">
        <v>27487</v>
      </c>
      <c r="R390" s="18">
        <v>49</v>
      </c>
      <c r="T390" s="18">
        <v>17028</v>
      </c>
      <c r="U390" s="7">
        <f t="shared" si="3"/>
        <v>10410</v>
      </c>
      <c r="V390" s="17">
        <v>1941085</v>
      </c>
      <c r="W390" s="18">
        <v>61</v>
      </c>
      <c r="X390" s="18">
        <v>180767</v>
      </c>
      <c r="Y390" s="18">
        <v>2311</v>
      </c>
      <c r="Z390" s="7">
        <f t="shared" si="4"/>
        <v>1757946</v>
      </c>
      <c r="AA390" s="27">
        <f t="shared" si="5"/>
        <v>3894225</v>
      </c>
    </row>
    <row r="391" spans="1:27" ht="13.2" x14ac:dyDescent="0.25">
      <c r="A391" s="16">
        <v>44418</v>
      </c>
      <c r="B391" s="17">
        <v>22178</v>
      </c>
      <c r="E391" s="18">
        <v>1</v>
      </c>
      <c r="F391" s="18">
        <f t="shared" si="0"/>
        <v>22177</v>
      </c>
      <c r="G391" s="17">
        <v>1739728</v>
      </c>
      <c r="I391" s="18">
        <v>21196</v>
      </c>
      <c r="K391" s="7">
        <f t="shared" si="1"/>
        <v>1718532</v>
      </c>
      <c r="L391" s="17">
        <v>165370</v>
      </c>
      <c r="N391" s="18">
        <v>22975</v>
      </c>
      <c r="P391" s="7">
        <f t="shared" si="2"/>
        <v>142395</v>
      </c>
      <c r="Q391" s="17">
        <v>27655</v>
      </c>
      <c r="R391" s="18">
        <v>47</v>
      </c>
      <c r="T391" s="18">
        <v>17196</v>
      </c>
      <c r="U391" s="7">
        <f t="shared" si="3"/>
        <v>10412</v>
      </c>
      <c r="V391" s="17">
        <v>1954028</v>
      </c>
      <c r="W391" s="18">
        <v>61</v>
      </c>
      <c r="X391" s="18">
        <v>192941</v>
      </c>
      <c r="Y391" s="18">
        <v>2311</v>
      </c>
      <c r="Z391" s="7">
        <f t="shared" si="4"/>
        <v>1758715</v>
      </c>
      <c r="AA391" s="27">
        <f t="shared" si="5"/>
        <v>3908959</v>
      </c>
    </row>
    <row r="392" spans="1:27" ht="13.2" x14ac:dyDescent="0.25">
      <c r="A392" s="16">
        <v>44419</v>
      </c>
      <c r="B392" s="17">
        <v>22199</v>
      </c>
      <c r="E392" s="18">
        <v>1</v>
      </c>
      <c r="F392" s="18">
        <f t="shared" si="0"/>
        <v>22198</v>
      </c>
      <c r="G392" s="17">
        <v>1740571</v>
      </c>
      <c r="I392" s="18">
        <v>21167</v>
      </c>
      <c r="K392" s="7">
        <f t="shared" si="1"/>
        <v>1719404</v>
      </c>
      <c r="L392" s="17">
        <v>168050</v>
      </c>
      <c r="N392" s="18">
        <v>24961</v>
      </c>
      <c r="P392" s="7">
        <f t="shared" si="2"/>
        <v>143089</v>
      </c>
      <c r="Q392" s="17">
        <v>27831</v>
      </c>
      <c r="R392" s="18">
        <v>53</v>
      </c>
      <c r="T392" s="18">
        <v>17361</v>
      </c>
      <c r="U392" s="7">
        <f t="shared" si="3"/>
        <v>10417</v>
      </c>
      <c r="V392" s="17">
        <v>1974282</v>
      </c>
      <c r="W392" s="18">
        <v>68</v>
      </c>
      <c r="X392" s="18">
        <v>208680</v>
      </c>
      <c r="Y392" s="18">
        <v>2311</v>
      </c>
      <c r="Z392" s="7">
        <f t="shared" si="4"/>
        <v>1763223</v>
      </c>
      <c r="AA392" s="27">
        <f t="shared" si="5"/>
        <v>3932933</v>
      </c>
    </row>
    <row r="393" spans="1:27" ht="13.2" x14ac:dyDescent="0.25">
      <c r="A393" s="16">
        <v>44420</v>
      </c>
      <c r="B393" s="17">
        <v>22248</v>
      </c>
      <c r="E393" s="18">
        <v>1</v>
      </c>
      <c r="F393" s="18">
        <f t="shared" si="0"/>
        <v>22247</v>
      </c>
      <c r="G393" s="17">
        <v>1742443</v>
      </c>
      <c r="I393" s="18">
        <v>21675</v>
      </c>
      <c r="K393" s="7">
        <f t="shared" si="1"/>
        <v>1720768</v>
      </c>
      <c r="L393" s="17">
        <v>171322</v>
      </c>
      <c r="N393" s="18">
        <v>26941</v>
      </c>
      <c r="P393" s="7">
        <f t="shared" si="2"/>
        <v>144381</v>
      </c>
      <c r="Q393" s="17">
        <v>27994</v>
      </c>
      <c r="R393" s="18">
        <v>51</v>
      </c>
      <c r="T393" s="18">
        <v>17520</v>
      </c>
      <c r="U393" s="7">
        <f t="shared" si="3"/>
        <v>10423</v>
      </c>
      <c r="V393" s="17">
        <v>1995530</v>
      </c>
      <c r="W393" s="18">
        <v>66</v>
      </c>
      <c r="X393" s="18">
        <v>216788</v>
      </c>
      <c r="Y393" s="18">
        <v>2311</v>
      </c>
      <c r="Z393" s="7">
        <f t="shared" si="4"/>
        <v>1776365</v>
      </c>
      <c r="AA393" s="27">
        <f t="shared" si="5"/>
        <v>3959537</v>
      </c>
    </row>
    <row r="394" spans="1:27" ht="13.2" x14ac:dyDescent="0.25">
      <c r="A394" s="16">
        <v>44421</v>
      </c>
      <c r="B394" s="17">
        <v>22252</v>
      </c>
      <c r="E394" s="18">
        <v>1</v>
      </c>
      <c r="F394" s="18">
        <f t="shared" si="0"/>
        <v>22251</v>
      </c>
      <c r="G394" s="17">
        <v>1742959</v>
      </c>
      <c r="I394" s="18">
        <v>20284</v>
      </c>
      <c r="K394" s="7">
        <f t="shared" si="1"/>
        <v>1722675</v>
      </c>
      <c r="L394" s="17">
        <v>173224</v>
      </c>
      <c r="N394" s="18">
        <v>27036</v>
      </c>
      <c r="P394" s="7">
        <f t="shared" si="2"/>
        <v>146188</v>
      </c>
      <c r="Q394" s="17">
        <v>28155</v>
      </c>
      <c r="R394" s="18">
        <v>52</v>
      </c>
      <c r="T394" s="18">
        <v>17674</v>
      </c>
      <c r="U394" s="7">
        <f t="shared" si="3"/>
        <v>10429</v>
      </c>
      <c r="V394" s="17">
        <v>2012104</v>
      </c>
      <c r="W394" s="18">
        <v>66</v>
      </c>
      <c r="X394" s="18">
        <v>210081</v>
      </c>
      <c r="Y394" s="18">
        <v>2311</v>
      </c>
      <c r="Z394" s="7">
        <f t="shared" si="4"/>
        <v>1799646</v>
      </c>
      <c r="AA394" s="27">
        <f t="shared" si="5"/>
        <v>3978694</v>
      </c>
    </row>
    <row r="395" spans="1:27" ht="13.2" x14ac:dyDescent="0.25">
      <c r="A395" s="16">
        <v>44422</v>
      </c>
      <c r="B395" s="17">
        <v>22274</v>
      </c>
      <c r="E395" s="18">
        <v>1</v>
      </c>
      <c r="F395" s="18">
        <f t="shared" si="0"/>
        <v>22273</v>
      </c>
      <c r="G395" s="17">
        <v>1744353</v>
      </c>
      <c r="I395" s="18">
        <v>19875</v>
      </c>
      <c r="K395" s="7">
        <f t="shared" si="1"/>
        <v>1724478</v>
      </c>
      <c r="L395" s="17">
        <v>175984</v>
      </c>
      <c r="N395" s="18">
        <v>27216</v>
      </c>
      <c r="P395" s="7">
        <f t="shared" si="2"/>
        <v>148768</v>
      </c>
      <c r="Q395" s="17">
        <v>28312</v>
      </c>
      <c r="R395" s="18">
        <v>46</v>
      </c>
      <c r="T395" s="18">
        <v>17825</v>
      </c>
      <c r="U395" s="7">
        <f t="shared" si="3"/>
        <v>10441</v>
      </c>
      <c r="V395" s="17">
        <v>2032498</v>
      </c>
      <c r="W395" s="18">
        <v>78</v>
      </c>
      <c r="X395" s="18">
        <v>209117</v>
      </c>
      <c r="Y395" s="18">
        <v>2311</v>
      </c>
      <c r="Z395" s="7">
        <f t="shared" si="4"/>
        <v>1820992</v>
      </c>
      <c r="AA395" s="27">
        <f t="shared" si="5"/>
        <v>4003421</v>
      </c>
    </row>
    <row r="396" spans="1:27" ht="13.2" x14ac:dyDescent="0.25">
      <c r="A396" s="16">
        <v>44423</v>
      </c>
      <c r="B396" s="17">
        <v>22282</v>
      </c>
      <c r="E396" s="18">
        <v>1</v>
      </c>
      <c r="F396" s="18">
        <f t="shared" si="0"/>
        <v>22281</v>
      </c>
      <c r="G396" s="17">
        <v>1746031</v>
      </c>
      <c r="I396" s="18">
        <v>18957</v>
      </c>
      <c r="K396" s="7">
        <f t="shared" si="1"/>
        <v>1727074</v>
      </c>
      <c r="L396" s="17">
        <v>178736</v>
      </c>
      <c r="N396" s="18">
        <v>27598</v>
      </c>
      <c r="P396" s="7">
        <f t="shared" si="2"/>
        <v>151138</v>
      </c>
      <c r="Q396" s="17">
        <v>28485</v>
      </c>
      <c r="R396" s="18">
        <v>48</v>
      </c>
      <c r="T396" s="18">
        <v>17974</v>
      </c>
      <c r="U396" s="7">
        <f t="shared" si="3"/>
        <v>10463</v>
      </c>
      <c r="V396" s="17">
        <v>2053498</v>
      </c>
      <c r="W396" s="18">
        <v>82</v>
      </c>
      <c r="X396" s="18">
        <v>215703</v>
      </c>
      <c r="Y396" s="18">
        <v>2311</v>
      </c>
      <c r="Z396" s="7">
        <f t="shared" si="4"/>
        <v>1835402</v>
      </c>
      <c r="AA396" s="27">
        <f t="shared" si="5"/>
        <v>4029032</v>
      </c>
    </row>
    <row r="397" spans="1:27" ht="13.2" x14ac:dyDescent="0.25">
      <c r="A397" s="16">
        <v>44424</v>
      </c>
      <c r="B397" s="17">
        <v>22297</v>
      </c>
      <c r="E397" s="18">
        <v>1</v>
      </c>
      <c r="F397" s="18">
        <f t="shared" si="0"/>
        <v>22296</v>
      </c>
      <c r="G397" s="17">
        <v>1746987</v>
      </c>
      <c r="I397" s="18">
        <v>13903</v>
      </c>
      <c r="K397" s="7">
        <f t="shared" si="1"/>
        <v>1733084</v>
      </c>
      <c r="L397" s="17">
        <v>181540</v>
      </c>
      <c r="N397" s="18">
        <v>28371</v>
      </c>
      <c r="P397" s="7">
        <f t="shared" si="2"/>
        <v>153169</v>
      </c>
      <c r="Q397" s="17">
        <v>28636</v>
      </c>
      <c r="R397" s="18">
        <v>52</v>
      </c>
      <c r="T397" s="18">
        <v>18118</v>
      </c>
      <c r="U397" s="7">
        <f t="shared" si="3"/>
        <v>10466</v>
      </c>
      <c r="V397" s="17">
        <v>2070432</v>
      </c>
      <c r="W397" s="18">
        <v>73</v>
      </c>
      <c r="X397" s="18">
        <v>203809</v>
      </c>
      <c r="Y397" s="18">
        <v>2311</v>
      </c>
      <c r="Z397" s="7">
        <f t="shared" si="4"/>
        <v>1864239</v>
      </c>
      <c r="AA397" s="27">
        <f t="shared" si="5"/>
        <v>4049892</v>
      </c>
    </row>
    <row r="398" spans="1:27" ht="13.2" x14ac:dyDescent="0.25">
      <c r="A398" s="16">
        <v>44425</v>
      </c>
      <c r="B398" s="17">
        <v>22297</v>
      </c>
      <c r="E398" s="18">
        <v>1</v>
      </c>
      <c r="F398" s="18">
        <f t="shared" si="0"/>
        <v>22296</v>
      </c>
      <c r="G398" s="17">
        <v>1747221</v>
      </c>
      <c r="I398" s="18">
        <v>9717</v>
      </c>
      <c r="K398" s="7">
        <f t="shared" si="1"/>
        <v>1737504</v>
      </c>
      <c r="L398" s="17">
        <v>183171</v>
      </c>
      <c r="N398" s="18">
        <v>27457</v>
      </c>
      <c r="P398" s="7">
        <f t="shared" si="2"/>
        <v>155714</v>
      </c>
      <c r="Q398" s="17">
        <v>28776</v>
      </c>
      <c r="R398" s="18">
        <v>45</v>
      </c>
      <c r="T398" s="18">
        <v>18258</v>
      </c>
      <c r="U398" s="7">
        <f t="shared" si="3"/>
        <v>10473</v>
      </c>
      <c r="V398" s="17">
        <v>2081732</v>
      </c>
      <c r="W398" s="18">
        <v>62</v>
      </c>
      <c r="X398" s="18">
        <v>193387</v>
      </c>
      <c r="Y398" s="18">
        <v>2311</v>
      </c>
      <c r="Z398" s="7">
        <f t="shared" si="4"/>
        <v>1885972</v>
      </c>
      <c r="AA398" s="27">
        <f t="shared" si="5"/>
        <v>4063197</v>
      </c>
    </row>
    <row r="399" spans="1:27" ht="13.2" x14ac:dyDescent="0.25">
      <c r="A399" s="16">
        <v>44426</v>
      </c>
      <c r="B399" s="17">
        <v>22321</v>
      </c>
      <c r="E399" s="18">
        <v>1</v>
      </c>
      <c r="F399" s="18">
        <f t="shared" si="0"/>
        <v>22320</v>
      </c>
      <c r="G399" s="17">
        <v>1747782</v>
      </c>
      <c r="I399" s="18">
        <v>7616</v>
      </c>
      <c r="K399" s="7">
        <f t="shared" si="1"/>
        <v>1740166</v>
      </c>
      <c r="L399" s="17">
        <v>186005</v>
      </c>
      <c r="N399" s="18">
        <v>27563</v>
      </c>
      <c r="P399" s="7">
        <f t="shared" si="2"/>
        <v>158442</v>
      </c>
      <c r="Q399" s="17">
        <v>28925</v>
      </c>
      <c r="R399" s="18">
        <v>46</v>
      </c>
      <c r="T399" s="18">
        <v>18397</v>
      </c>
      <c r="U399" s="7">
        <f t="shared" si="3"/>
        <v>10482</v>
      </c>
      <c r="V399" s="17">
        <v>2098152</v>
      </c>
      <c r="W399" s="18">
        <v>82</v>
      </c>
      <c r="X399" s="18">
        <v>186950</v>
      </c>
      <c r="Y399" s="18">
        <v>2311</v>
      </c>
      <c r="Z399" s="7">
        <f t="shared" si="4"/>
        <v>1908809</v>
      </c>
      <c r="AA399" s="27">
        <f t="shared" si="5"/>
        <v>4083185</v>
      </c>
    </row>
    <row r="400" spans="1:27" ht="13.2" x14ac:dyDescent="0.25">
      <c r="A400" s="16">
        <v>44427</v>
      </c>
      <c r="B400" s="17">
        <v>22326</v>
      </c>
      <c r="E400" s="18">
        <v>1</v>
      </c>
      <c r="F400" s="18">
        <f t="shared" si="0"/>
        <v>22325</v>
      </c>
      <c r="G400" s="17">
        <v>1748866</v>
      </c>
      <c r="I400" s="18">
        <v>7537</v>
      </c>
      <c r="K400" s="7">
        <f t="shared" si="1"/>
        <v>1741329</v>
      </c>
      <c r="L400" s="17">
        <v>188841</v>
      </c>
      <c r="N400" s="18">
        <v>27732</v>
      </c>
      <c r="P400" s="7">
        <f t="shared" si="2"/>
        <v>161109</v>
      </c>
      <c r="Q400" s="17">
        <v>29063</v>
      </c>
      <c r="R400" s="18">
        <v>42</v>
      </c>
      <c r="T400" s="18">
        <v>18534</v>
      </c>
      <c r="U400" s="7">
        <f t="shared" si="3"/>
        <v>10487</v>
      </c>
      <c r="V400" s="17">
        <v>2110822</v>
      </c>
      <c r="W400" s="18">
        <v>94</v>
      </c>
      <c r="X400" s="18">
        <v>179445</v>
      </c>
      <c r="Y400" s="18">
        <v>2311</v>
      </c>
      <c r="Z400" s="7">
        <f t="shared" si="4"/>
        <v>1928972</v>
      </c>
      <c r="AA400" s="27">
        <f t="shared" si="5"/>
        <v>4099918</v>
      </c>
    </row>
    <row r="401" spans="1:27" ht="13.2" x14ac:dyDescent="0.25">
      <c r="A401" s="16">
        <v>44428</v>
      </c>
      <c r="B401" s="17">
        <v>22339</v>
      </c>
      <c r="E401" s="18">
        <v>1</v>
      </c>
      <c r="F401" s="18">
        <f t="shared" si="0"/>
        <v>22338</v>
      </c>
      <c r="G401" s="17">
        <v>1749662</v>
      </c>
      <c r="I401" s="18">
        <v>6782</v>
      </c>
      <c r="K401" s="7">
        <f t="shared" si="1"/>
        <v>1742880</v>
      </c>
      <c r="L401" s="17">
        <v>192662</v>
      </c>
      <c r="N401" s="18">
        <v>28140</v>
      </c>
      <c r="P401" s="7">
        <f t="shared" si="2"/>
        <v>164522</v>
      </c>
      <c r="Q401" s="17">
        <v>29200</v>
      </c>
      <c r="R401" s="18">
        <v>41</v>
      </c>
      <c r="T401" s="18">
        <v>18666</v>
      </c>
      <c r="U401" s="7">
        <f t="shared" si="3"/>
        <v>10493</v>
      </c>
      <c r="V401" s="17">
        <v>2131525</v>
      </c>
      <c r="W401" s="18">
        <v>101</v>
      </c>
      <c r="X401" s="18">
        <v>176853</v>
      </c>
      <c r="Y401" s="18">
        <v>2311</v>
      </c>
      <c r="Z401" s="7">
        <f t="shared" si="4"/>
        <v>1952260</v>
      </c>
      <c r="AA401" s="27">
        <f t="shared" si="5"/>
        <v>4125388</v>
      </c>
    </row>
    <row r="402" spans="1:27" ht="13.2" x14ac:dyDescent="0.25">
      <c r="A402" s="16">
        <v>44429</v>
      </c>
      <c r="B402" s="17">
        <v>22361</v>
      </c>
      <c r="E402" s="18">
        <v>1</v>
      </c>
      <c r="F402" s="18">
        <f t="shared" si="0"/>
        <v>22360</v>
      </c>
      <c r="G402" s="17">
        <v>1751770</v>
      </c>
      <c r="I402" s="18">
        <v>8013</v>
      </c>
      <c r="K402" s="7">
        <f t="shared" si="1"/>
        <v>1743757</v>
      </c>
      <c r="L402" s="17">
        <v>194384</v>
      </c>
      <c r="N402" s="18">
        <v>27895</v>
      </c>
      <c r="P402" s="7">
        <f t="shared" si="2"/>
        <v>166489</v>
      </c>
      <c r="Q402" s="17">
        <v>29345</v>
      </c>
      <c r="R402" s="18">
        <v>41</v>
      </c>
      <c r="T402" s="18">
        <v>18801</v>
      </c>
      <c r="U402" s="7">
        <f t="shared" si="3"/>
        <v>10503</v>
      </c>
      <c r="V402" s="17">
        <v>2144114</v>
      </c>
      <c r="W402" s="18">
        <v>114</v>
      </c>
      <c r="X402" s="18">
        <v>173788</v>
      </c>
      <c r="Y402" s="18">
        <v>2311</v>
      </c>
      <c r="Z402" s="7">
        <f t="shared" si="4"/>
        <v>1967901</v>
      </c>
      <c r="AA402" s="27">
        <f t="shared" si="5"/>
        <v>4141974</v>
      </c>
    </row>
    <row r="403" spans="1:27" ht="13.2" x14ac:dyDescent="0.25">
      <c r="A403" s="16">
        <v>44430</v>
      </c>
      <c r="B403" s="17">
        <v>22362</v>
      </c>
      <c r="E403" s="18">
        <v>1</v>
      </c>
      <c r="F403" s="18">
        <f t="shared" si="0"/>
        <v>22361</v>
      </c>
      <c r="G403" s="17">
        <v>1753156</v>
      </c>
      <c r="I403" s="18">
        <v>8939</v>
      </c>
      <c r="K403" s="7">
        <f t="shared" si="1"/>
        <v>1744217</v>
      </c>
      <c r="L403" s="17">
        <v>196664</v>
      </c>
      <c r="N403" s="18">
        <v>28152</v>
      </c>
      <c r="P403" s="7">
        <f t="shared" si="2"/>
        <v>168512</v>
      </c>
      <c r="Q403" s="17">
        <v>29479</v>
      </c>
      <c r="R403" s="18">
        <v>40</v>
      </c>
      <c r="T403" s="18">
        <v>18934</v>
      </c>
      <c r="U403" s="7">
        <f t="shared" si="3"/>
        <v>10505</v>
      </c>
      <c r="V403" s="17">
        <v>2161050</v>
      </c>
      <c r="W403" s="18">
        <v>118</v>
      </c>
      <c r="X403" s="18">
        <v>177984</v>
      </c>
      <c r="Y403" s="18">
        <v>2311</v>
      </c>
      <c r="Z403" s="7">
        <f t="shared" si="4"/>
        <v>1980637</v>
      </c>
      <c r="AA403" s="27">
        <f t="shared" si="5"/>
        <v>4162711</v>
      </c>
    </row>
    <row r="404" spans="1:27" ht="13.2" x14ac:dyDescent="0.25">
      <c r="A404" s="16">
        <v>44431</v>
      </c>
      <c r="B404" s="17">
        <v>22362</v>
      </c>
      <c r="E404" s="18">
        <v>1</v>
      </c>
      <c r="F404" s="18">
        <f t="shared" si="0"/>
        <v>22361</v>
      </c>
      <c r="G404" s="17">
        <v>1753903</v>
      </c>
      <c r="I404" s="18">
        <v>8023</v>
      </c>
      <c r="K404" s="7">
        <f t="shared" si="1"/>
        <v>1745880</v>
      </c>
      <c r="L404" s="17">
        <v>199630</v>
      </c>
      <c r="N404" s="18">
        <v>28946</v>
      </c>
      <c r="P404" s="7">
        <f t="shared" si="2"/>
        <v>170684</v>
      </c>
      <c r="Q404" s="17">
        <v>29618</v>
      </c>
      <c r="R404" s="18">
        <v>39</v>
      </c>
      <c r="T404" s="18">
        <v>19068</v>
      </c>
      <c r="U404" s="7">
        <f t="shared" si="3"/>
        <v>10511</v>
      </c>
      <c r="V404" s="17">
        <v>2172551</v>
      </c>
      <c r="W404" s="18">
        <v>119</v>
      </c>
      <c r="X404" s="18">
        <v>167695</v>
      </c>
      <c r="Y404" s="18">
        <v>2311</v>
      </c>
      <c r="Z404" s="7">
        <f t="shared" si="4"/>
        <v>2002426</v>
      </c>
      <c r="AA404" s="27">
        <f t="shared" si="5"/>
        <v>4178064</v>
      </c>
    </row>
    <row r="405" spans="1:27" ht="13.2" x14ac:dyDescent="0.25">
      <c r="A405" s="16">
        <v>44432</v>
      </c>
      <c r="B405" s="17">
        <v>22362</v>
      </c>
      <c r="E405" s="18">
        <v>1</v>
      </c>
      <c r="F405" s="18">
        <f t="shared" si="0"/>
        <v>22361</v>
      </c>
      <c r="G405" s="17">
        <v>1754704</v>
      </c>
      <c r="I405" s="18">
        <v>7684</v>
      </c>
      <c r="K405" s="7">
        <f t="shared" si="1"/>
        <v>1747020</v>
      </c>
      <c r="L405" s="17">
        <v>201676</v>
      </c>
      <c r="N405" s="18">
        <v>28466</v>
      </c>
      <c r="P405" s="7">
        <f t="shared" si="2"/>
        <v>173210</v>
      </c>
      <c r="Q405" s="17">
        <v>29747</v>
      </c>
      <c r="R405" s="18">
        <v>37</v>
      </c>
      <c r="T405" s="18">
        <v>19197</v>
      </c>
      <c r="U405" s="7">
        <f t="shared" si="3"/>
        <v>10513</v>
      </c>
      <c r="V405" s="17">
        <v>2182830</v>
      </c>
      <c r="W405" s="18">
        <v>104</v>
      </c>
      <c r="X405" s="18">
        <v>160382</v>
      </c>
      <c r="Y405" s="18">
        <v>2311</v>
      </c>
      <c r="Z405" s="7">
        <f t="shared" si="4"/>
        <v>2020033</v>
      </c>
      <c r="AA405" s="27">
        <f t="shared" si="5"/>
        <v>4191319</v>
      </c>
    </row>
    <row r="406" spans="1:27" ht="13.2" x14ac:dyDescent="0.25">
      <c r="A406" s="16">
        <v>44433</v>
      </c>
      <c r="B406" s="17">
        <v>22363</v>
      </c>
      <c r="E406" s="18">
        <v>1</v>
      </c>
      <c r="F406" s="18">
        <f t="shared" si="0"/>
        <v>22362</v>
      </c>
      <c r="G406" s="17">
        <v>1756054</v>
      </c>
      <c r="I406" s="18">
        <v>8672</v>
      </c>
      <c r="K406" s="7">
        <f t="shared" si="1"/>
        <v>1747382</v>
      </c>
      <c r="L406" s="17">
        <v>204553</v>
      </c>
      <c r="N406" s="18">
        <v>28793</v>
      </c>
      <c r="P406" s="7">
        <f t="shared" si="2"/>
        <v>175760</v>
      </c>
      <c r="Q406" s="17">
        <v>29885</v>
      </c>
      <c r="R406" s="18">
        <v>34</v>
      </c>
      <c r="T406" s="18">
        <v>19328</v>
      </c>
      <c r="U406" s="7">
        <f t="shared" si="3"/>
        <v>10523</v>
      </c>
      <c r="V406" s="17">
        <v>2197825</v>
      </c>
      <c r="W406" s="18">
        <v>106</v>
      </c>
      <c r="X406" s="18">
        <v>163140</v>
      </c>
      <c r="Y406" s="18">
        <v>2311</v>
      </c>
      <c r="Z406" s="7">
        <f t="shared" si="4"/>
        <v>2032268</v>
      </c>
      <c r="AA406" s="27">
        <f t="shared" si="5"/>
        <v>4210680</v>
      </c>
    </row>
    <row r="407" spans="1:27" ht="13.2" x14ac:dyDescent="0.25">
      <c r="A407" s="16">
        <v>44434</v>
      </c>
      <c r="B407" s="17">
        <v>22365</v>
      </c>
      <c r="E407" s="18">
        <v>1</v>
      </c>
      <c r="F407" s="18">
        <f t="shared" si="0"/>
        <v>22364</v>
      </c>
      <c r="G407" s="17">
        <v>1759155</v>
      </c>
      <c r="I407" s="18">
        <v>10253</v>
      </c>
      <c r="K407" s="7">
        <f t="shared" si="1"/>
        <v>1748902</v>
      </c>
      <c r="L407" s="17">
        <v>207437</v>
      </c>
      <c r="N407" s="18">
        <v>29091</v>
      </c>
      <c r="P407" s="7">
        <f t="shared" si="2"/>
        <v>178346</v>
      </c>
      <c r="Q407" s="17">
        <v>30022</v>
      </c>
      <c r="R407" s="18">
        <v>32</v>
      </c>
      <c r="T407" s="18">
        <v>19458</v>
      </c>
      <c r="U407" s="7">
        <f t="shared" si="3"/>
        <v>10532</v>
      </c>
      <c r="V407" s="17">
        <v>2215139</v>
      </c>
      <c r="W407" s="18">
        <v>93</v>
      </c>
      <c r="X407" s="18">
        <v>158723</v>
      </c>
      <c r="Y407" s="18">
        <v>2311</v>
      </c>
      <c r="Z407" s="7">
        <f t="shared" si="4"/>
        <v>2054012</v>
      </c>
      <c r="AA407" s="27">
        <f t="shared" si="5"/>
        <v>4234118</v>
      </c>
    </row>
    <row r="408" spans="1:27" ht="13.2" x14ac:dyDescent="0.25">
      <c r="A408" s="16">
        <v>44435</v>
      </c>
      <c r="B408" s="17">
        <v>22365</v>
      </c>
      <c r="E408" s="18">
        <v>1</v>
      </c>
      <c r="F408" s="18">
        <f t="shared" si="0"/>
        <v>22364</v>
      </c>
      <c r="G408" s="17">
        <v>1761271</v>
      </c>
      <c r="I408" s="18">
        <v>10704</v>
      </c>
      <c r="K408" s="7">
        <f t="shared" si="1"/>
        <v>1750567</v>
      </c>
      <c r="L408" s="17">
        <v>209815</v>
      </c>
      <c r="N408" s="18">
        <v>28356</v>
      </c>
      <c r="P408" s="7">
        <f t="shared" si="2"/>
        <v>181459</v>
      </c>
      <c r="Q408" s="17">
        <v>30154</v>
      </c>
      <c r="R408" s="18">
        <v>33</v>
      </c>
      <c r="T408" s="18">
        <v>19586</v>
      </c>
      <c r="U408" s="7">
        <f t="shared" si="3"/>
        <v>10535</v>
      </c>
      <c r="V408" s="17">
        <v>2231855</v>
      </c>
      <c r="W408" s="18">
        <v>88</v>
      </c>
      <c r="X408" s="18">
        <v>157290</v>
      </c>
      <c r="Y408" s="18">
        <v>2311</v>
      </c>
      <c r="Z408" s="7">
        <f t="shared" si="4"/>
        <v>2072166</v>
      </c>
      <c r="AA408" s="27">
        <f t="shared" si="5"/>
        <v>4255460</v>
      </c>
    </row>
    <row r="409" spans="1:27" ht="13.2" x14ac:dyDescent="0.25">
      <c r="A409" s="16">
        <v>44436</v>
      </c>
      <c r="B409" s="17">
        <v>22365</v>
      </c>
      <c r="E409" s="18">
        <v>1</v>
      </c>
      <c r="F409" s="18">
        <f t="shared" si="0"/>
        <v>22364</v>
      </c>
      <c r="G409" s="17">
        <v>1763451</v>
      </c>
      <c r="I409" s="18">
        <v>12455</v>
      </c>
      <c r="K409" s="7">
        <f t="shared" si="1"/>
        <v>1750996</v>
      </c>
      <c r="L409" s="17">
        <v>212964</v>
      </c>
      <c r="N409" s="18">
        <v>29292</v>
      </c>
      <c r="P409" s="7">
        <f t="shared" si="2"/>
        <v>183672</v>
      </c>
      <c r="Q409" s="17">
        <v>30291</v>
      </c>
      <c r="R409" s="18">
        <v>26</v>
      </c>
      <c r="T409" s="18">
        <v>19721</v>
      </c>
      <c r="U409" s="7">
        <f t="shared" si="3"/>
        <v>10544</v>
      </c>
      <c r="V409" s="17">
        <v>2248913</v>
      </c>
      <c r="W409" s="18">
        <v>93</v>
      </c>
      <c r="X409" s="18">
        <v>160048</v>
      </c>
      <c r="Y409" s="18">
        <v>2311</v>
      </c>
      <c r="Z409" s="7">
        <f t="shared" si="4"/>
        <v>2086461</v>
      </c>
      <c r="AA409" s="27">
        <f t="shared" si="5"/>
        <v>4277984</v>
      </c>
    </row>
    <row r="410" spans="1:27" ht="13.2" x14ac:dyDescent="0.25">
      <c r="A410" s="16">
        <v>44437</v>
      </c>
      <c r="B410" s="17">
        <v>22366</v>
      </c>
      <c r="E410" s="18">
        <v>1</v>
      </c>
      <c r="F410" s="18">
        <f t="shared" si="0"/>
        <v>22365</v>
      </c>
      <c r="G410" s="17">
        <v>1765305</v>
      </c>
      <c r="I410" s="18">
        <v>13914</v>
      </c>
      <c r="K410" s="7">
        <f t="shared" si="1"/>
        <v>1751391</v>
      </c>
      <c r="L410" s="17">
        <v>216107</v>
      </c>
      <c r="N410" s="18">
        <v>30070</v>
      </c>
      <c r="P410" s="7">
        <f t="shared" si="2"/>
        <v>186037</v>
      </c>
      <c r="Q410" s="17">
        <v>30417</v>
      </c>
      <c r="R410" s="18">
        <v>26</v>
      </c>
      <c r="T410" s="18">
        <v>19846</v>
      </c>
      <c r="U410" s="7">
        <f t="shared" si="3"/>
        <v>10545</v>
      </c>
      <c r="V410" s="17">
        <v>2264579</v>
      </c>
      <c r="W410" s="18">
        <v>86</v>
      </c>
      <c r="X410" s="18">
        <v>165294</v>
      </c>
      <c r="Y410" s="18">
        <v>2311</v>
      </c>
      <c r="Z410" s="7">
        <f t="shared" si="4"/>
        <v>2096888</v>
      </c>
      <c r="AA410" s="27">
        <f t="shared" si="5"/>
        <v>4298774</v>
      </c>
    </row>
    <row r="411" spans="1:27" ht="13.2" x14ac:dyDescent="0.25">
      <c r="A411" s="16">
        <v>44438</v>
      </c>
      <c r="B411" s="17">
        <v>22366</v>
      </c>
      <c r="E411" s="18">
        <v>1</v>
      </c>
      <c r="F411" s="18">
        <f t="shared" si="0"/>
        <v>22365</v>
      </c>
      <c r="G411" s="17">
        <v>1766653</v>
      </c>
      <c r="I411" s="18">
        <v>14030</v>
      </c>
      <c r="K411" s="7">
        <f t="shared" si="1"/>
        <v>1752623</v>
      </c>
      <c r="L411" s="17">
        <v>219396</v>
      </c>
      <c r="N411" s="18">
        <v>30359</v>
      </c>
      <c r="P411" s="7">
        <f t="shared" si="2"/>
        <v>189037</v>
      </c>
      <c r="Q411" s="17">
        <v>30551</v>
      </c>
      <c r="R411" s="18">
        <v>28</v>
      </c>
      <c r="T411" s="18">
        <v>19975</v>
      </c>
      <c r="U411" s="7">
        <f t="shared" si="3"/>
        <v>10548</v>
      </c>
      <c r="V411" s="17">
        <v>2277858</v>
      </c>
      <c r="W411" s="18">
        <v>72</v>
      </c>
      <c r="X411" s="18">
        <v>162280</v>
      </c>
      <c r="Y411" s="18">
        <v>2311</v>
      </c>
      <c r="Z411" s="7">
        <f t="shared" si="4"/>
        <v>2113195</v>
      </c>
      <c r="AA411" s="27">
        <f t="shared" si="5"/>
        <v>4316824</v>
      </c>
    </row>
    <row r="412" spans="1:27" ht="13.2" x14ac:dyDescent="0.25">
      <c r="B412" s="30"/>
      <c r="G412" s="30"/>
      <c r="L412" s="30"/>
      <c r="Q412" s="30"/>
      <c r="V412" s="30"/>
      <c r="AA412" s="27"/>
    </row>
    <row r="413" spans="1:27" ht="13.2" x14ac:dyDescent="0.25">
      <c r="B413" s="30"/>
      <c r="G413" s="30"/>
      <c r="L413" s="30"/>
      <c r="Q413" s="30"/>
      <c r="V413" s="30"/>
      <c r="AA413" s="27"/>
    </row>
    <row r="414" spans="1:27" ht="13.2" x14ac:dyDescent="0.25">
      <c r="B414" s="30"/>
      <c r="G414" s="30"/>
      <c r="L414" s="30"/>
      <c r="Q414" s="30"/>
      <c r="V414" s="30"/>
      <c r="AA414" s="27"/>
    </row>
    <row r="415" spans="1:27" ht="13.2" x14ac:dyDescent="0.25">
      <c r="B415" s="30"/>
      <c r="G415" s="30"/>
      <c r="L415" s="30"/>
      <c r="Q415" s="30"/>
      <c r="V415" s="30"/>
      <c r="AA415" s="27"/>
    </row>
    <row r="416" spans="1:27" ht="13.2" x14ac:dyDescent="0.25">
      <c r="B416" s="30"/>
      <c r="G416" s="30"/>
      <c r="L416" s="30"/>
      <c r="Q416" s="30"/>
      <c r="V416" s="30"/>
      <c r="AA416" s="27"/>
    </row>
    <row r="417" spans="2:27" ht="13.2" x14ac:dyDescent="0.25">
      <c r="B417" s="30"/>
      <c r="G417" s="30"/>
      <c r="L417" s="30"/>
      <c r="Q417" s="30"/>
      <c r="V417" s="30"/>
      <c r="AA417" s="27"/>
    </row>
    <row r="418" spans="2:27" ht="13.2" x14ac:dyDescent="0.25">
      <c r="B418" s="30"/>
      <c r="G418" s="30"/>
      <c r="L418" s="30"/>
      <c r="Q418" s="30"/>
      <c r="V418" s="30"/>
      <c r="AA418" s="27"/>
    </row>
    <row r="419" spans="2:27" ht="13.2" x14ac:dyDescent="0.25">
      <c r="B419" s="30"/>
      <c r="G419" s="30"/>
      <c r="L419" s="30"/>
      <c r="Q419" s="30"/>
      <c r="V419" s="30"/>
      <c r="AA419" s="27"/>
    </row>
    <row r="420" spans="2:27" ht="13.2" x14ac:dyDescent="0.25">
      <c r="B420" s="30"/>
      <c r="G420" s="30"/>
      <c r="L420" s="30"/>
      <c r="Q420" s="30"/>
      <c r="V420" s="30"/>
      <c r="AA420" s="27"/>
    </row>
    <row r="421" spans="2:27" ht="13.2" x14ac:dyDescent="0.25">
      <c r="B421" s="30"/>
      <c r="G421" s="30"/>
      <c r="L421" s="30"/>
      <c r="Q421" s="30"/>
      <c r="V421" s="30"/>
      <c r="AA421" s="27"/>
    </row>
    <row r="422" spans="2:27" ht="13.2" x14ac:dyDescent="0.25">
      <c r="B422" s="30"/>
      <c r="G422" s="30"/>
      <c r="L422" s="30"/>
      <c r="Q422" s="30"/>
      <c r="V422" s="30"/>
      <c r="AA422" s="27"/>
    </row>
    <row r="423" spans="2:27" ht="13.2" x14ac:dyDescent="0.25">
      <c r="B423" s="30"/>
      <c r="G423" s="30"/>
      <c r="L423" s="30"/>
      <c r="Q423" s="30"/>
      <c r="V423" s="30"/>
      <c r="AA423" s="27"/>
    </row>
    <row r="424" spans="2:27" ht="13.2" x14ac:dyDescent="0.25">
      <c r="B424" s="30"/>
      <c r="G424" s="30"/>
      <c r="L424" s="30"/>
      <c r="Q424" s="30"/>
      <c r="V424" s="30"/>
      <c r="AA424" s="27"/>
    </row>
    <row r="425" spans="2:27" ht="13.2" x14ac:dyDescent="0.25">
      <c r="B425" s="30"/>
      <c r="G425" s="30"/>
      <c r="L425" s="30"/>
      <c r="Q425" s="30"/>
      <c r="V425" s="30"/>
      <c r="AA425" s="27"/>
    </row>
    <row r="426" spans="2:27" ht="13.2" x14ac:dyDescent="0.25">
      <c r="B426" s="30"/>
      <c r="G426" s="30"/>
      <c r="L426" s="30"/>
      <c r="Q426" s="30"/>
      <c r="V426" s="30"/>
      <c r="AA426" s="27"/>
    </row>
    <row r="427" spans="2:27" ht="13.2" x14ac:dyDescent="0.25">
      <c r="B427" s="30"/>
      <c r="G427" s="30"/>
      <c r="L427" s="30"/>
      <c r="Q427" s="30"/>
      <c r="V427" s="30"/>
      <c r="AA427" s="27"/>
    </row>
    <row r="428" spans="2:27" ht="13.2" x14ac:dyDescent="0.25">
      <c r="B428" s="30"/>
      <c r="G428" s="30"/>
      <c r="L428" s="30"/>
      <c r="Q428" s="30"/>
      <c r="V428" s="30"/>
      <c r="AA428" s="27"/>
    </row>
    <row r="429" spans="2:27" ht="13.2" x14ac:dyDescent="0.25">
      <c r="B429" s="30"/>
      <c r="G429" s="30"/>
      <c r="L429" s="30"/>
      <c r="Q429" s="30"/>
      <c r="V429" s="30"/>
      <c r="AA429" s="27"/>
    </row>
    <row r="430" spans="2:27" ht="13.2" x14ac:dyDescent="0.25">
      <c r="B430" s="30"/>
      <c r="G430" s="30"/>
      <c r="L430" s="30"/>
      <c r="Q430" s="30"/>
      <c r="V430" s="30"/>
      <c r="AA430" s="27"/>
    </row>
    <row r="431" spans="2:27" ht="13.2" x14ac:dyDescent="0.25">
      <c r="B431" s="30"/>
      <c r="G431" s="30"/>
      <c r="L431" s="30"/>
      <c r="Q431" s="30"/>
      <c r="V431" s="30"/>
      <c r="AA431" s="27"/>
    </row>
    <row r="432" spans="2:27" ht="13.2" x14ac:dyDescent="0.25">
      <c r="B432" s="30"/>
      <c r="G432" s="30"/>
      <c r="L432" s="30"/>
      <c r="Q432" s="30"/>
      <c r="V432" s="30"/>
      <c r="AA432" s="27"/>
    </row>
    <row r="433" spans="2:27" ht="13.2" x14ac:dyDescent="0.25">
      <c r="B433" s="30"/>
      <c r="G433" s="30"/>
      <c r="L433" s="30"/>
      <c r="Q433" s="30"/>
      <c r="V433" s="30"/>
      <c r="AA433" s="27"/>
    </row>
    <row r="434" spans="2:27" ht="13.2" x14ac:dyDescent="0.25">
      <c r="B434" s="30"/>
      <c r="G434" s="30"/>
      <c r="L434" s="30"/>
      <c r="Q434" s="30"/>
      <c r="V434" s="30"/>
      <c r="AA434" s="27"/>
    </row>
    <row r="435" spans="2:27" ht="13.2" x14ac:dyDescent="0.25">
      <c r="B435" s="30"/>
      <c r="G435" s="30"/>
      <c r="L435" s="30"/>
      <c r="Q435" s="30"/>
      <c r="V435" s="30"/>
      <c r="AA435" s="27"/>
    </row>
    <row r="436" spans="2:27" ht="13.2" x14ac:dyDescent="0.25">
      <c r="B436" s="30"/>
      <c r="G436" s="30"/>
      <c r="L436" s="30"/>
      <c r="Q436" s="30"/>
      <c r="V436" s="30"/>
      <c r="AA436" s="27"/>
    </row>
    <row r="437" spans="2:27" ht="13.2" x14ac:dyDescent="0.25">
      <c r="B437" s="30"/>
      <c r="G437" s="30"/>
      <c r="L437" s="30"/>
      <c r="Q437" s="30"/>
      <c r="V437" s="30"/>
      <c r="AA437" s="27"/>
    </row>
    <row r="438" spans="2:27" ht="13.2" x14ac:dyDescent="0.25">
      <c r="B438" s="30"/>
      <c r="G438" s="30"/>
      <c r="L438" s="30"/>
      <c r="Q438" s="30"/>
      <c r="V438" s="30"/>
      <c r="AA438" s="27"/>
    </row>
    <row r="439" spans="2:27" ht="13.2" x14ac:dyDescent="0.25">
      <c r="B439" s="30"/>
      <c r="G439" s="30"/>
      <c r="L439" s="30"/>
      <c r="Q439" s="30"/>
      <c r="V439" s="30"/>
      <c r="AA439" s="27"/>
    </row>
    <row r="440" spans="2:27" ht="13.2" x14ac:dyDescent="0.25">
      <c r="B440" s="30"/>
      <c r="G440" s="30"/>
      <c r="L440" s="30"/>
      <c r="Q440" s="30"/>
      <c r="V440" s="30"/>
      <c r="AA440" s="27"/>
    </row>
    <row r="441" spans="2:27" ht="13.2" x14ac:dyDescent="0.25">
      <c r="B441" s="30"/>
      <c r="G441" s="30"/>
      <c r="L441" s="30"/>
      <c r="Q441" s="30"/>
      <c r="V441" s="30"/>
      <c r="AA441" s="27"/>
    </row>
    <row r="442" spans="2:27" ht="13.2" x14ac:dyDescent="0.25">
      <c r="B442" s="30"/>
      <c r="G442" s="30"/>
      <c r="L442" s="30"/>
      <c r="Q442" s="30"/>
      <c r="V442" s="30"/>
      <c r="AA442" s="27"/>
    </row>
    <row r="443" spans="2:27" ht="13.2" x14ac:dyDescent="0.25">
      <c r="B443" s="30"/>
      <c r="G443" s="30"/>
      <c r="L443" s="30"/>
      <c r="Q443" s="30"/>
      <c r="V443" s="30"/>
      <c r="AA443" s="27"/>
    </row>
    <row r="444" spans="2:27" ht="13.2" x14ac:dyDescent="0.25">
      <c r="B444" s="30"/>
      <c r="G444" s="30"/>
      <c r="L444" s="30"/>
      <c r="Q444" s="30"/>
      <c r="V444" s="30"/>
      <c r="AA444" s="27"/>
    </row>
    <row r="445" spans="2:27" ht="13.2" x14ac:dyDescent="0.25">
      <c r="B445" s="30"/>
      <c r="G445" s="30"/>
      <c r="L445" s="30"/>
      <c r="Q445" s="30"/>
      <c r="V445" s="30"/>
      <c r="AA445" s="27"/>
    </row>
    <row r="446" spans="2:27" ht="13.2" x14ac:dyDescent="0.25">
      <c r="B446" s="30"/>
      <c r="G446" s="30"/>
      <c r="L446" s="30"/>
      <c r="Q446" s="30"/>
      <c r="V446" s="30"/>
      <c r="AA446" s="27"/>
    </row>
    <row r="447" spans="2:27" ht="13.2" x14ac:dyDescent="0.25">
      <c r="B447" s="30"/>
      <c r="G447" s="30"/>
      <c r="L447" s="30"/>
      <c r="Q447" s="30"/>
      <c r="V447" s="30"/>
      <c r="AA447" s="27"/>
    </row>
    <row r="448" spans="2:27" ht="13.2" x14ac:dyDescent="0.25">
      <c r="B448" s="30"/>
      <c r="G448" s="30"/>
      <c r="L448" s="30"/>
      <c r="Q448" s="30"/>
      <c r="V448" s="30"/>
      <c r="AA448" s="27"/>
    </row>
    <row r="449" spans="2:27" ht="13.2" x14ac:dyDescent="0.25">
      <c r="B449" s="30"/>
      <c r="G449" s="30"/>
      <c r="L449" s="30"/>
      <c r="Q449" s="30"/>
      <c r="V449" s="30"/>
      <c r="AA449" s="27"/>
    </row>
    <row r="450" spans="2:27" ht="13.2" x14ac:dyDescent="0.25">
      <c r="B450" s="30"/>
      <c r="G450" s="30"/>
      <c r="L450" s="30"/>
      <c r="Q450" s="30"/>
      <c r="V450" s="30"/>
      <c r="AA450" s="27"/>
    </row>
    <row r="451" spans="2:27" ht="13.2" x14ac:dyDescent="0.25">
      <c r="B451" s="30"/>
      <c r="G451" s="30"/>
      <c r="L451" s="30"/>
      <c r="Q451" s="30"/>
      <c r="V451" s="30"/>
      <c r="AA451" s="27"/>
    </row>
    <row r="452" spans="2:27" ht="13.2" x14ac:dyDescent="0.25">
      <c r="B452" s="30"/>
      <c r="G452" s="30"/>
      <c r="L452" s="30"/>
      <c r="Q452" s="30"/>
      <c r="V452" s="30"/>
      <c r="AA452" s="27"/>
    </row>
    <row r="453" spans="2:27" ht="13.2" x14ac:dyDescent="0.25">
      <c r="B453" s="30"/>
      <c r="G453" s="30"/>
      <c r="L453" s="30"/>
      <c r="Q453" s="30"/>
      <c r="V453" s="30"/>
      <c r="AA453" s="27"/>
    </row>
    <row r="454" spans="2:27" ht="13.2" x14ac:dyDescent="0.25">
      <c r="B454" s="30"/>
      <c r="G454" s="30"/>
      <c r="L454" s="30"/>
      <c r="Q454" s="30"/>
      <c r="V454" s="30"/>
      <c r="AA454" s="27"/>
    </row>
    <row r="455" spans="2:27" ht="13.2" x14ac:dyDescent="0.25">
      <c r="B455" s="30"/>
      <c r="G455" s="30"/>
      <c r="L455" s="30"/>
      <c r="Q455" s="30"/>
      <c r="V455" s="30"/>
      <c r="AA455" s="27"/>
    </row>
    <row r="456" spans="2:27" ht="13.2" x14ac:dyDescent="0.25">
      <c r="B456" s="30"/>
      <c r="G456" s="30"/>
      <c r="L456" s="30"/>
      <c r="Q456" s="30"/>
      <c r="V456" s="30"/>
      <c r="AA456" s="27"/>
    </row>
    <row r="457" spans="2:27" ht="13.2" x14ac:dyDescent="0.25">
      <c r="B457" s="30"/>
      <c r="G457" s="30"/>
      <c r="L457" s="30"/>
      <c r="Q457" s="30"/>
      <c r="V457" s="30"/>
      <c r="AA457" s="27"/>
    </row>
    <row r="458" spans="2:27" ht="13.2" x14ac:dyDescent="0.25">
      <c r="B458" s="30"/>
      <c r="G458" s="30"/>
      <c r="L458" s="30"/>
      <c r="Q458" s="30"/>
      <c r="V458" s="30"/>
      <c r="AA458" s="27"/>
    </row>
    <row r="459" spans="2:27" ht="13.2" x14ac:dyDescent="0.25">
      <c r="B459" s="30"/>
      <c r="G459" s="30"/>
      <c r="L459" s="30"/>
      <c r="Q459" s="30"/>
      <c r="V459" s="30"/>
      <c r="AA459" s="27"/>
    </row>
    <row r="460" spans="2:27" ht="13.2" x14ac:dyDescent="0.25">
      <c r="B460" s="30"/>
      <c r="G460" s="30"/>
      <c r="L460" s="30"/>
      <c r="Q460" s="30"/>
      <c r="V460" s="30"/>
      <c r="AA460" s="27"/>
    </row>
    <row r="461" spans="2:27" ht="13.2" x14ac:dyDescent="0.25">
      <c r="B461" s="30"/>
      <c r="G461" s="30"/>
      <c r="L461" s="30"/>
      <c r="Q461" s="30"/>
      <c r="V461" s="30"/>
      <c r="AA461" s="27"/>
    </row>
    <row r="462" spans="2:27" ht="13.2" x14ac:dyDescent="0.25">
      <c r="B462" s="30"/>
      <c r="G462" s="30"/>
      <c r="L462" s="30"/>
      <c r="Q462" s="30"/>
      <c r="V462" s="30"/>
      <c r="AA462" s="27"/>
    </row>
    <row r="463" spans="2:27" ht="13.2" x14ac:dyDescent="0.25">
      <c r="B463" s="30"/>
      <c r="G463" s="30"/>
      <c r="L463" s="30"/>
      <c r="Q463" s="30"/>
      <c r="V463" s="30"/>
      <c r="AA463" s="27"/>
    </row>
    <row r="464" spans="2:27" ht="13.2" x14ac:dyDescent="0.25">
      <c r="B464" s="30"/>
      <c r="G464" s="30"/>
      <c r="L464" s="30"/>
      <c r="Q464" s="30"/>
      <c r="V464" s="30"/>
      <c r="AA464" s="27"/>
    </row>
    <row r="465" spans="2:27" ht="13.2" x14ac:dyDescent="0.25">
      <c r="B465" s="30"/>
      <c r="G465" s="30"/>
      <c r="L465" s="30"/>
      <c r="Q465" s="30"/>
      <c r="V465" s="30"/>
      <c r="AA465" s="27"/>
    </row>
    <row r="466" spans="2:27" ht="13.2" x14ac:dyDescent="0.25">
      <c r="B466" s="30"/>
      <c r="G466" s="30"/>
      <c r="L466" s="30"/>
      <c r="Q466" s="30"/>
      <c r="V466" s="30"/>
      <c r="AA466" s="27"/>
    </row>
    <row r="467" spans="2:27" ht="13.2" x14ac:dyDescent="0.25">
      <c r="B467" s="30"/>
      <c r="G467" s="30"/>
      <c r="L467" s="30"/>
      <c r="Q467" s="30"/>
      <c r="V467" s="30"/>
      <c r="AA467" s="27"/>
    </row>
    <row r="468" spans="2:27" ht="13.2" x14ac:dyDescent="0.25">
      <c r="B468" s="30"/>
      <c r="G468" s="30"/>
      <c r="L468" s="30"/>
      <c r="Q468" s="30"/>
      <c r="V468" s="30"/>
      <c r="AA468" s="27"/>
    </row>
    <row r="469" spans="2:27" ht="13.2" x14ac:dyDescent="0.25">
      <c r="B469" s="30"/>
      <c r="G469" s="30"/>
      <c r="L469" s="30"/>
      <c r="Q469" s="30"/>
      <c r="V469" s="30"/>
      <c r="AA469" s="27"/>
    </row>
    <row r="470" spans="2:27" ht="13.2" x14ac:dyDescent="0.25">
      <c r="B470" s="30"/>
      <c r="G470" s="30"/>
      <c r="L470" s="30"/>
      <c r="Q470" s="30"/>
      <c r="V470" s="30"/>
      <c r="AA470" s="27"/>
    </row>
    <row r="471" spans="2:27" ht="13.2" x14ac:dyDescent="0.25">
      <c r="B471" s="30"/>
      <c r="G471" s="30"/>
      <c r="L471" s="30"/>
      <c r="Q471" s="30"/>
      <c r="V471" s="30"/>
      <c r="AA471" s="27"/>
    </row>
    <row r="472" spans="2:27" ht="13.2" x14ac:dyDescent="0.25">
      <c r="B472" s="30"/>
      <c r="G472" s="30"/>
      <c r="L472" s="30"/>
      <c r="Q472" s="30"/>
      <c r="V472" s="30"/>
      <c r="AA472" s="27"/>
    </row>
    <row r="473" spans="2:27" ht="13.2" x14ac:dyDescent="0.25">
      <c r="B473" s="30"/>
      <c r="G473" s="30"/>
      <c r="L473" s="30"/>
      <c r="Q473" s="30"/>
      <c r="V473" s="30"/>
      <c r="AA473" s="27"/>
    </row>
    <row r="474" spans="2:27" ht="13.2" x14ac:dyDescent="0.25">
      <c r="B474" s="30"/>
      <c r="G474" s="30"/>
      <c r="L474" s="30"/>
      <c r="Q474" s="30"/>
      <c r="V474" s="30"/>
      <c r="AA474" s="27"/>
    </row>
    <row r="475" spans="2:27" ht="13.2" x14ac:dyDescent="0.25">
      <c r="B475" s="30"/>
      <c r="G475" s="30"/>
      <c r="L475" s="30"/>
      <c r="Q475" s="30"/>
      <c r="V475" s="30"/>
      <c r="AA475" s="27"/>
    </row>
    <row r="476" spans="2:27" ht="13.2" x14ac:dyDescent="0.25">
      <c r="B476" s="30"/>
      <c r="G476" s="30"/>
      <c r="L476" s="30"/>
      <c r="Q476" s="30"/>
      <c r="V476" s="30"/>
      <c r="AA476" s="27"/>
    </row>
    <row r="477" spans="2:27" ht="13.2" x14ac:dyDescent="0.25">
      <c r="B477" s="30"/>
      <c r="G477" s="30"/>
      <c r="L477" s="30"/>
      <c r="Q477" s="30"/>
      <c r="V477" s="30"/>
      <c r="AA477" s="27"/>
    </row>
    <row r="478" spans="2:27" ht="13.2" x14ac:dyDescent="0.25">
      <c r="B478" s="30"/>
      <c r="G478" s="30"/>
      <c r="L478" s="30"/>
      <c r="Q478" s="30"/>
      <c r="V478" s="30"/>
      <c r="AA478" s="27"/>
    </row>
    <row r="479" spans="2:27" ht="13.2" x14ac:dyDescent="0.25">
      <c r="B479" s="30"/>
      <c r="G479" s="30"/>
      <c r="L479" s="30"/>
      <c r="Q479" s="30"/>
      <c r="V479" s="30"/>
      <c r="AA479" s="27"/>
    </row>
    <row r="480" spans="2:27" ht="13.2" x14ac:dyDescent="0.25">
      <c r="B480" s="30"/>
      <c r="G480" s="30"/>
      <c r="L480" s="30"/>
      <c r="Q480" s="30"/>
      <c r="V480" s="30"/>
      <c r="AA480" s="27"/>
    </row>
    <row r="481" spans="2:27" ht="13.2" x14ac:dyDescent="0.25">
      <c r="B481" s="30"/>
      <c r="G481" s="30"/>
      <c r="L481" s="30"/>
      <c r="Q481" s="30"/>
      <c r="V481" s="30"/>
      <c r="AA481" s="27"/>
    </row>
    <row r="482" spans="2:27" ht="13.2" x14ac:dyDescent="0.25">
      <c r="B482" s="30"/>
      <c r="G482" s="30"/>
      <c r="L482" s="30"/>
      <c r="Q482" s="30"/>
      <c r="V482" s="30"/>
      <c r="AA482" s="27"/>
    </row>
    <row r="483" spans="2:27" ht="13.2" x14ac:dyDescent="0.25">
      <c r="B483" s="30"/>
      <c r="G483" s="30"/>
      <c r="L483" s="30"/>
      <c r="Q483" s="30"/>
      <c r="V483" s="30"/>
      <c r="AA483" s="27"/>
    </row>
    <row r="484" spans="2:27" ht="13.2" x14ac:dyDescent="0.25">
      <c r="B484" s="30"/>
      <c r="G484" s="30"/>
      <c r="L484" s="30"/>
      <c r="Q484" s="30"/>
      <c r="V484" s="30"/>
      <c r="AA484" s="27"/>
    </row>
    <row r="485" spans="2:27" ht="13.2" x14ac:dyDescent="0.25">
      <c r="B485" s="30"/>
      <c r="G485" s="30"/>
      <c r="L485" s="30"/>
      <c r="Q485" s="30"/>
      <c r="V485" s="30"/>
      <c r="AA485" s="27"/>
    </row>
    <row r="486" spans="2:27" ht="13.2" x14ac:dyDescent="0.25">
      <c r="B486" s="30"/>
      <c r="G486" s="30"/>
      <c r="L486" s="30"/>
      <c r="Q486" s="30"/>
      <c r="V486" s="30"/>
      <c r="AA486" s="27"/>
    </row>
    <row r="487" spans="2:27" ht="13.2" x14ac:dyDescent="0.25">
      <c r="B487" s="30"/>
      <c r="G487" s="30"/>
      <c r="L487" s="30"/>
      <c r="Q487" s="30"/>
      <c r="V487" s="30"/>
      <c r="AA487" s="27"/>
    </row>
    <row r="488" spans="2:27" ht="13.2" x14ac:dyDescent="0.25">
      <c r="B488" s="30"/>
      <c r="G488" s="30"/>
      <c r="L488" s="30"/>
      <c r="Q488" s="30"/>
      <c r="V488" s="30"/>
      <c r="AA488" s="27"/>
    </row>
    <row r="489" spans="2:27" ht="13.2" x14ac:dyDescent="0.25">
      <c r="B489" s="30"/>
      <c r="G489" s="30"/>
      <c r="L489" s="30"/>
      <c r="Q489" s="30"/>
      <c r="V489" s="30"/>
      <c r="AA489" s="27"/>
    </row>
    <row r="490" spans="2:27" ht="13.2" x14ac:dyDescent="0.25">
      <c r="B490" s="30"/>
      <c r="G490" s="30"/>
      <c r="L490" s="30"/>
      <c r="Q490" s="30"/>
      <c r="V490" s="30"/>
      <c r="AA490" s="27"/>
    </row>
    <row r="491" spans="2:27" ht="13.2" x14ac:dyDescent="0.25">
      <c r="B491" s="30"/>
      <c r="G491" s="30"/>
      <c r="L491" s="30"/>
      <c r="Q491" s="30"/>
      <c r="V491" s="30"/>
      <c r="AA491" s="27"/>
    </row>
    <row r="492" spans="2:27" ht="13.2" x14ac:dyDescent="0.25">
      <c r="B492" s="30"/>
      <c r="G492" s="30"/>
      <c r="L492" s="30"/>
      <c r="Q492" s="30"/>
      <c r="V492" s="30"/>
      <c r="AA492" s="27"/>
    </row>
    <row r="493" spans="2:27" ht="13.2" x14ac:dyDescent="0.25">
      <c r="B493" s="30"/>
      <c r="G493" s="30"/>
      <c r="L493" s="30"/>
      <c r="Q493" s="30"/>
      <c r="V493" s="30"/>
      <c r="AA493" s="27"/>
    </row>
    <row r="494" spans="2:27" ht="13.2" x14ac:dyDescent="0.25">
      <c r="B494" s="30"/>
      <c r="G494" s="30"/>
      <c r="L494" s="30"/>
      <c r="Q494" s="30"/>
      <c r="V494" s="30"/>
      <c r="AA494" s="27"/>
    </row>
    <row r="495" spans="2:27" ht="13.2" x14ac:dyDescent="0.25">
      <c r="B495" s="30"/>
      <c r="G495" s="30"/>
      <c r="L495" s="30"/>
      <c r="Q495" s="30"/>
      <c r="V495" s="30"/>
      <c r="AA495" s="27"/>
    </row>
    <row r="496" spans="2:27" ht="13.2" x14ac:dyDescent="0.25">
      <c r="B496" s="30"/>
      <c r="G496" s="30"/>
      <c r="L496" s="30"/>
      <c r="Q496" s="30"/>
      <c r="V496" s="30"/>
      <c r="AA496" s="27"/>
    </row>
    <row r="497" spans="2:27" ht="13.2" x14ac:dyDescent="0.25">
      <c r="B497" s="30"/>
      <c r="G497" s="30"/>
      <c r="L497" s="30"/>
      <c r="Q497" s="30"/>
      <c r="V497" s="30"/>
      <c r="AA497" s="27"/>
    </row>
    <row r="498" spans="2:27" ht="13.2" x14ac:dyDescent="0.25">
      <c r="B498" s="30"/>
      <c r="G498" s="30"/>
      <c r="L498" s="30"/>
      <c r="Q498" s="30"/>
      <c r="V498" s="30"/>
      <c r="AA498" s="27"/>
    </row>
    <row r="499" spans="2:27" ht="13.2" x14ac:dyDescent="0.25">
      <c r="B499" s="30"/>
      <c r="G499" s="30"/>
      <c r="L499" s="30"/>
      <c r="Q499" s="30"/>
      <c r="V499" s="30"/>
      <c r="AA499" s="27"/>
    </row>
    <row r="500" spans="2:27" ht="13.2" x14ac:dyDescent="0.25">
      <c r="B500" s="30"/>
      <c r="G500" s="30"/>
      <c r="L500" s="30"/>
      <c r="Q500" s="30"/>
      <c r="V500" s="30"/>
      <c r="AA500" s="27"/>
    </row>
    <row r="501" spans="2:27" ht="13.2" x14ac:dyDescent="0.25">
      <c r="B501" s="30"/>
      <c r="G501" s="30"/>
      <c r="L501" s="30"/>
      <c r="Q501" s="30"/>
      <c r="V501" s="30"/>
      <c r="AA501" s="27"/>
    </row>
    <row r="502" spans="2:27" ht="13.2" x14ac:dyDescent="0.25">
      <c r="B502" s="30"/>
      <c r="G502" s="30"/>
      <c r="L502" s="30"/>
      <c r="Q502" s="30"/>
      <c r="V502" s="30"/>
      <c r="AA502" s="27"/>
    </row>
    <row r="503" spans="2:27" ht="13.2" x14ac:dyDescent="0.25">
      <c r="B503" s="30"/>
      <c r="G503" s="30"/>
      <c r="L503" s="30"/>
      <c r="Q503" s="30"/>
      <c r="V503" s="30"/>
      <c r="AA503" s="27"/>
    </row>
    <row r="504" spans="2:27" ht="13.2" x14ac:dyDescent="0.25">
      <c r="B504" s="30"/>
      <c r="G504" s="30"/>
      <c r="L504" s="30"/>
      <c r="Q504" s="30"/>
      <c r="V504" s="30"/>
      <c r="AA504" s="27"/>
    </row>
    <row r="505" spans="2:27" ht="13.2" x14ac:dyDescent="0.25">
      <c r="B505" s="30"/>
      <c r="G505" s="30"/>
      <c r="L505" s="30"/>
      <c r="Q505" s="30"/>
      <c r="V505" s="30"/>
      <c r="AA505" s="27"/>
    </row>
    <row r="506" spans="2:27" ht="13.2" x14ac:dyDescent="0.25">
      <c r="B506" s="30"/>
      <c r="G506" s="30"/>
      <c r="L506" s="30"/>
      <c r="Q506" s="30"/>
      <c r="V506" s="30"/>
      <c r="AA506" s="27"/>
    </row>
    <row r="507" spans="2:27" ht="13.2" x14ac:dyDescent="0.25">
      <c r="B507" s="30"/>
      <c r="G507" s="30"/>
      <c r="L507" s="30"/>
      <c r="Q507" s="30"/>
      <c r="V507" s="30"/>
      <c r="AA507" s="27"/>
    </row>
    <row r="508" spans="2:27" ht="13.2" x14ac:dyDescent="0.25">
      <c r="B508" s="30"/>
      <c r="G508" s="30"/>
      <c r="L508" s="30"/>
      <c r="Q508" s="30"/>
      <c r="V508" s="30"/>
      <c r="AA508" s="27"/>
    </row>
    <row r="509" spans="2:27" ht="13.2" x14ac:dyDescent="0.25">
      <c r="B509" s="30"/>
      <c r="G509" s="30"/>
      <c r="L509" s="30"/>
      <c r="Q509" s="30"/>
      <c r="V509" s="30"/>
      <c r="AA509" s="27"/>
    </row>
    <row r="510" spans="2:27" ht="13.2" x14ac:dyDescent="0.25">
      <c r="B510" s="30"/>
      <c r="G510" s="30"/>
      <c r="L510" s="30"/>
      <c r="Q510" s="30"/>
      <c r="V510" s="30"/>
      <c r="AA510" s="27"/>
    </row>
    <row r="511" spans="2:27" ht="13.2" x14ac:dyDescent="0.25">
      <c r="B511" s="30"/>
      <c r="G511" s="30"/>
      <c r="L511" s="30"/>
      <c r="Q511" s="30"/>
      <c r="V511" s="30"/>
      <c r="AA511" s="27"/>
    </row>
    <row r="512" spans="2:27" ht="13.2" x14ac:dyDescent="0.25">
      <c r="B512" s="30"/>
      <c r="G512" s="30"/>
      <c r="L512" s="30"/>
      <c r="Q512" s="30"/>
      <c r="V512" s="30"/>
      <c r="AA512" s="27"/>
    </row>
    <row r="513" spans="2:27" ht="13.2" x14ac:dyDescent="0.25">
      <c r="B513" s="30"/>
      <c r="G513" s="30"/>
      <c r="L513" s="30"/>
      <c r="Q513" s="30"/>
      <c r="V513" s="30"/>
      <c r="AA513" s="27"/>
    </row>
    <row r="514" spans="2:27" ht="13.2" x14ac:dyDescent="0.25">
      <c r="B514" s="30"/>
      <c r="G514" s="30"/>
      <c r="L514" s="30"/>
      <c r="Q514" s="30"/>
      <c r="V514" s="30"/>
      <c r="AA514" s="27"/>
    </row>
    <row r="515" spans="2:27" ht="13.2" x14ac:dyDescent="0.25">
      <c r="B515" s="30"/>
      <c r="G515" s="30"/>
      <c r="L515" s="30"/>
      <c r="Q515" s="30"/>
      <c r="V515" s="30"/>
      <c r="AA515" s="27"/>
    </row>
    <row r="516" spans="2:27" ht="13.2" x14ac:dyDescent="0.25">
      <c r="B516" s="30"/>
      <c r="G516" s="30"/>
      <c r="L516" s="30"/>
      <c r="Q516" s="30"/>
      <c r="V516" s="30"/>
      <c r="AA516" s="27"/>
    </row>
    <row r="517" spans="2:27" ht="13.2" x14ac:dyDescent="0.25">
      <c r="B517" s="30"/>
      <c r="G517" s="30"/>
      <c r="L517" s="30"/>
      <c r="Q517" s="30"/>
      <c r="V517" s="30"/>
      <c r="AA517" s="27"/>
    </row>
    <row r="518" spans="2:27" ht="13.2" x14ac:dyDescent="0.25">
      <c r="B518" s="30"/>
      <c r="G518" s="30"/>
      <c r="L518" s="30"/>
      <c r="Q518" s="30"/>
      <c r="V518" s="30"/>
      <c r="AA518" s="27"/>
    </row>
    <row r="519" spans="2:27" ht="13.2" x14ac:dyDescent="0.25">
      <c r="B519" s="30"/>
      <c r="G519" s="30"/>
      <c r="L519" s="30"/>
      <c r="Q519" s="30"/>
      <c r="V519" s="30"/>
      <c r="AA519" s="27"/>
    </row>
    <row r="520" spans="2:27" ht="13.2" x14ac:dyDescent="0.25">
      <c r="B520" s="30"/>
      <c r="G520" s="30"/>
      <c r="L520" s="30"/>
      <c r="Q520" s="30"/>
      <c r="V520" s="30"/>
      <c r="AA520" s="27"/>
    </row>
    <row r="521" spans="2:27" ht="13.2" x14ac:dyDescent="0.25">
      <c r="B521" s="30"/>
      <c r="G521" s="30"/>
      <c r="L521" s="30"/>
      <c r="Q521" s="30"/>
      <c r="V521" s="30"/>
      <c r="AA521" s="27"/>
    </row>
    <row r="522" spans="2:27" ht="13.2" x14ac:dyDescent="0.25">
      <c r="B522" s="30"/>
      <c r="G522" s="30"/>
      <c r="L522" s="30"/>
      <c r="Q522" s="30"/>
      <c r="V522" s="30"/>
      <c r="AA522" s="27"/>
    </row>
    <row r="523" spans="2:27" ht="13.2" x14ac:dyDescent="0.25">
      <c r="B523" s="30"/>
      <c r="G523" s="30"/>
      <c r="L523" s="30"/>
      <c r="Q523" s="30"/>
      <c r="V523" s="30"/>
      <c r="AA523" s="27"/>
    </row>
    <row r="524" spans="2:27" ht="13.2" x14ac:dyDescent="0.25">
      <c r="B524" s="30"/>
      <c r="G524" s="30"/>
      <c r="L524" s="30"/>
      <c r="Q524" s="30"/>
      <c r="V524" s="30"/>
      <c r="AA524" s="27"/>
    </row>
    <row r="525" spans="2:27" ht="13.2" x14ac:dyDescent="0.25">
      <c r="B525" s="30"/>
      <c r="G525" s="30"/>
      <c r="L525" s="30"/>
      <c r="Q525" s="30"/>
      <c r="V525" s="30"/>
      <c r="AA525" s="27"/>
    </row>
    <row r="526" spans="2:27" ht="13.2" x14ac:dyDescent="0.25">
      <c r="B526" s="30"/>
      <c r="G526" s="30"/>
      <c r="L526" s="30"/>
      <c r="Q526" s="30"/>
      <c r="V526" s="30"/>
      <c r="AA526" s="27"/>
    </row>
    <row r="527" spans="2:27" ht="13.2" x14ac:dyDescent="0.25">
      <c r="B527" s="30"/>
      <c r="G527" s="30"/>
      <c r="L527" s="30"/>
      <c r="Q527" s="30"/>
      <c r="V527" s="30"/>
      <c r="AA527" s="27"/>
    </row>
    <row r="528" spans="2:27" ht="13.2" x14ac:dyDescent="0.25">
      <c r="B528" s="30"/>
      <c r="G528" s="30"/>
      <c r="L528" s="30"/>
      <c r="Q528" s="30"/>
      <c r="V528" s="30"/>
      <c r="AA528" s="27"/>
    </row>
    <row r="529" spans="2:27" ht="13.2" x14ac:dyDescent="0.25">
      <c r="B529" s="30"/>
      <c r="G529" s="30"/>
      <c r="L529" s="30"/>
      <c r="Q529" s="30"/>
      <c r="V529" s="30"/>
      <c r="AA529" s="27"/>
    </row>
    <row r="530" spans="2:27" ht="13.2" x14ac:dyDescent="0.25">
      <c r="B530" s="30"/>
      <c r="G530" s="30"/>
      <c r="L530" s="30"/>
      <c r="Q530" s="30"/>
      <c r="V530" s="30"/>
      <c r="AA530" s="27"/>
    </row>
    <row r="531" spans="2:27" ht="13.2" x14ac:dyDescent="0.25">
      <c r="B531" s="30"/>
      <c r="G531" s="30"/>
      <c r="L531" s="30"/>
      <c r="Q531" s="30"/>
      <c r="V531" s="30"/>
      <c r="AA531" s="27"/>
    </row>
    <row r="532" spans="2:27" ht="13.2" x14ac:dyDescent="0.25">
      <c r="B532" s="30"/>
      <c r="G532" s="30"/>
      <c r="L532" s="30"/>
      <c r="Q532" s="30"/>
      <c r="V532" s="30"/>
      <c r="AA532" s="27"/>
    </row>
    <row r="533" spans="2:27" ht="13.2" x14ac:dyDescent="0.25">
      <c r="B533" s="30"/>
      <c r="G533" s="30"/>
      <c r="L533" s="30"/>
      <c r="Q533" s="30"/>
      <c r="V533" s="30"/>
      <c r="AA533" s="27"/>
    </row>
    <row r="534" spans="2:27" ht="13.2" x14ac:dyDescent="0.25">
      <c r="B534" s="30"/>
      <c r="G534" s="30"/>
      <c r="L534" s="30"/>
      <c r="Q534" s="30"/>
      <c r="V534" s="30"/>
      <c r="AA534" s="27"/>
    </row>
    <row r="535" spans="2:27" ht="13.2" x14ac:dyDescent="0.25">
      <c r="B535" s="30"/>
      <c r="G535" s="30"/>
      <c r="L535" s="30"/>
      <c r="Q535" s="30"/>
      <c r="V535" s="30"/>
      <c r="AA535" s="27"/>
    </row>
    <row r="536" spans="2:27" ht="13.2" x14ac:dyDescent="0.25">
      <c r="B536" s="30"/>
      <c r="G536" s="30"/>
      <c r="L536" s="30"/>
      <c r="Q536" s="30"/>
      <c r="V536" s="30"/>
      <c r="AA536" s="27"/>
    </row>
    <row r="537" spans="2:27" ht="13.2" x14ac:dyDescent="0.25">
      <c r="B537" s="30"/>
      <c r="G537" s="30"/>
      <c r="L537" s="30"/>
      <c r="Q537" s="30"/>
      <c r="V537" s="30"/>
      <c r="AA537" s="27"/>
    </row>
    <row r="538" spans="2:27" ht="13.2" x14ac:dyDescent="0.25">
      <c r="B538" s="30"/>
      <c r="G538" s="30"/>
      <c r="L538" s="30"/>
      <c r="Q538" s="30"/>
      <c r="V538" s="30"/>
      <c r="AA538" s="27"/>
    </row>
    <row r="539" spans="2:27" ht="13.2" x14ac:dyDescent="0.25">
      <c r="B539" s="30"/>
      <c r="G539" s="30"/>
      <c r="L539" s="30"/>
      <c r="Q539" s="30"/>
      <c r="V539" s="30"/>
      <c r="AA539" s="27"/>
    </row>
    <row r="540" spans="2:27" ht="13.2" x14ac:dyDescent="0.25">
      <c r="B540" s="30"/>
      <c r="G540" s="30"/>
      <c r="L540" s="30"/>
      <c r="Q540" s="30"/>
      <c r="V540" s="30"/>
      <c r="AA540" s="27"/>
    </row>
    <row r="541" spans="2:27" ht="13.2" x14ac:dyDescent="0.25">
      <c r="B541" s="30"/>
      <c r="G541" s="30"/>
      <c r="L541" s="30"/>
      <c r="Q541" s="30"/>
      <c r="V541" s="30"/>
      <c r="AA541" s="27"/>
    </row>
    <row r="542" spans="2:27" ht="13.2" x14ac:dyDescent="0.25">
      <c r="B542" s="30"/>
      <c r="G542" s="30"/>
      <c r="L542" s="30"/>
      <c r="Q542" s="30"/>
      <c r="V542" s="30"/>
      <c r="AA542" s="27"/>
    </row>
    <row r="543" spans="2:27" ht="13.2" x14ac:dyDescent="0.25">
      <c r="B543" s="30"/>
      <c r="G543" s="30"/>
      <c r="L543" s="30"/>
      <c r="Q543" s="30"/>
      <c r="V543" s="30"/>
      <c r="AA543" s="27"/>
    </row>
    <row r="544" spans="2:27" ht="13.2" x14ac:dyDescent="0.25">
      <c r="B544" s="30"/>
      <c r="G544" s="30"/>
      <c r="L544" s="30"/>
      <c r="Q544" s="30"/>
      <c r="V544" s="30"/>
      <c r="AA544" s="27"/>
    </row>
    <row r="545" spans="2:27" ht="13.2" x14ac:dyDescent="0.25">
      <c r="B545" s="30"/>
      <c r="G545" s="30"/>
      <c r="L545" s="30"/>
      <c r="Q545" s="30"/>
      <c r="V545" s="30"/>
      <c r="AA545" s="27"/>
    </row>
    <row r="546" spans="2:27" ht="13.2" x14ac:dyDescent="0.25">
      <c r="B546" s="30"/>
      <c r="G546" s="30"/>
      <c r="L546" s="30"/>
      <c r="Q546" s="30"/>
      <c r="V546" s="30"/>
      <c r="AA546" s="27"/>
    </row>
    <row r="547" spans="2:27" ht="13.2" x14ac:dyDescent="0.25">
      <c r="B547" s="30"/>
      <c r="G547" s="30"/>
      <c r="L547" s="30"/>
      <c r="Q547" s="30"/>
      <c r="V547" s="30"/>
      <c r="AA547" s="27"/>
    </row>
    <row r="548" spans="2:27" ht="13.2" x14ac:dyDescent="0.25">
      <c r="B548" s="30"/>
      <c r="G548" s="30"/>
      <c r="L548" s="30"/>
      <c r="Q548" s="30"/>
      <c r="V548" s="30"/>
      <c r="AA548" s="27"/>
    </row>
    <row r="549" spans="2:27" ht="13.2" x14ac:dyDescent="0.25">
      <c r="B549" s="30"/>
      <c r="G549" s="30"/>
      <c r="L549" s="30"/>
      <c r="Q549" s="30"/>
      <c r="V549" s="30"/>
      <c r="AA549" s="27"/>
    </row>
    <row r="550" spans="2:27" ht="13.2" x14ac:dyDescent="0.25">
      <c r="B550" s="30"/>
      <c r="G550" s="30"/>
      <c r="L550" s="30"/>
      <c r="Q550" s="30"/>
      <c r="V550" s="30"/>
      <c r="AA550" s="27"/>
    </row>
    <row r="551" spans="2:27" ht="13.2" x14ac:dyDescent="0.25">
      <c r="B551" s="30"/>
      <c r="G551" s="30"/>
      <c r="L551" s="30"/>
      <c r="Q551" s="30"/>
      <c r="V551" s="30"/>
      <c r="AA551" s="27"/>
    </row>
    <row r="552" spans="2:27" ht="13.2" x14ac:dyDescent="0.25">
      <c r="B552" s="30"/>
      <c r="G552" s="30"/>
      <c r="L552" s="30"/>
      <c r="Q552" s="30"/>
      <c r="V552" s="30"/>
      <c r="AA552" s="27"/>
    </row>
    <row r="553" spans="2:27" ht="13.2" x14ac:dyDescent="0.25">
      <c r="B553" s="30"/>
      <c r="G553" s="30"/>
      <c r="L553" s="30"/>
      <c r="Q553" s="30"/>
      <c r="V553" s="30"/>
      <c r="AA553" s="27"/>
    </row>
    <row r="554" spans="2:27" ht="13.2" x14ac:dyDescent="0.25">
      <c r="B554" s="30"/>
      <c r="G554" s="30"/>
      <c r="L554" s="30"/>
      <c r="Q554" s="30"/>
      <c r="V554" s="30"/>
      <c r="AA554" s="27"/>
    </row>
    <row r="555" spans="2:27" ht="13.2" x14ac:dyDescent="0.25">
      <c r="B555" s="30"/>
      <c r="G555" s="30"/>
      <c r="L555" s="30"/>
      <c r="Q555" s="30"/>
      <c r="V555" s="30"/>
      <c r="AA555" s="27"/>
    </row>
    <row r="556" spans="2:27" ht="13.2" x14ac:dyDescent="0.25">
      <c r="B556" s="30"/>
      <c r="G556" s="30"/>
      <c r="L556" s="30"/>
      <c r="Q556" s="30"/>
      <c r="V556" s="30"/>
      <c r="AA556" s="27"/>
    </row>
    <row r="557" spans="2:27" ht="13.2" x14ac:dyDescent="0.25">
      <c r="B557" s="30"/>
      <c r="G557" s="30"/>
      <c r="L557" s="30"/>
      <c r="Q557" s="30"/>
      <c r="V557" s="30"/>
      <c r="AA557" s="27"/>
    </row>
    <row r="558" spans="2:27" ht="13.2" x14ac:dyDescent="0.25">
      <c r="B558" s="30"/>
      <c r="G558" s="30"/>
      <c r="L558" s="30"/>
      <c r="Q558" s="30"/>
      <c r="V558" s="30"/>
      <c r="AA558" s="27"/>
    </row>
    <row r="559" spans="2:27" ht="13.2" x14ac:dyDescent="0.25">
      <c r="B559" s="30"/>
      <c r="G559" s="30"/>
      <c r="L559" s="30"/>
      <c r="Q559" s="30"/>
      <c r="V559" s="30"/>
      <c r="AA559" s="27"/>
    </row>
    <row r="560" spans="2:27" ht="13.2" x14ac:dyDescent="0.25">
      <c r="B560" s="30"/>
      <c r="G560" s="30"/>
      <c r="L560" s="30"/>
      <c r="Q560" s="30"/>
      <c r="V560" s="30"/>
      <c r="AA560" s="27"/>
    </row>
    <row r="561" spans="2:27" ht="13.2" x14ac:dyDescent="0.25">
      <c r="B561" s="30"/>
      <c r="G561" s="30"/>
      <c r="L561" s="30"/>
      <c r="Q561" s="30"/>
      <c r="V561" s="30"/>
      <c r="AA561" s="27"/>
    </row>
    <row r="562" spans="2:27" ht="13.2" x14ac:dyDescent="0.25">
      <c r="B562" s="30"/>
      <c r="G562" s="30"/>
      <c r="L562" s="30"/>
      <c r="Q562" s="30"/>
      <c r="V562" s="30"/>
      <c r="AA562" s="27"/>
    </row>
    <row r="563" spans="2:27" ht="13.2" x14ac:dyDescent="0.25">
      <c r="B563" s="30"/>
      <c r="G563" s="30"/>
      <c r="L563" s="30"/>
      <c r="Q563" s="30"/>
      <c r="V563" s="30"/>
      <c r="AA563" s="27"/>
    </row>
    <row r="564" spans="2:27" ht="13.2" x14ac:dyDescent="0.25">
      <c r="B564" s="30"/>
      <c r="G564" s="30"/>
      <c r="L564" s="30"/>
      <c r="Q564" s="30"/>
      <c r="V564" s="30"/>
      <c r="AA564" s="27"/>
    </row>
    <row r="565" spans="2:27" ht="13.2" x14ac:dyDescent="0.25">
      <c r="B565" s="30"/>
      <c r="G565" s="30"/>
      <c r="L565" s="30"/>
      <c r="Q565" s="30"/>
      <c r="V565" s="30"/>
      <c r="AA565" s="27"/>
    </row>
    <row r="566" spans="2:27" ht="13.2" x14ac:dyDescent="0.25">
      <c r="B566" s="30"/>
      <c r="G566" s="30"/>
      <c r="L566" s="30"/>
      <c r="Q566" s="30"/>
      <c r="V566" s="30"/>
      <c r="AA566" s="27"/>
    </row>
    <row r="567" spans="2:27" ht="13.2" x14ac:dyDescent="0.25">
      <c r="B567" s="30"/>
      <c r="G567" s="30"/>
      <c r="L567" s="30"/>
      <c r="Q567" s="30"/>
      <c r="V567" s="30"/>
      <c r="AA567" s="27"/>
    </row>
    <row r="568" spans="2:27" ht="13.2" x14ac:dyDescent="0.25">
      <c r="B568" s="30"/>
      <c r="G568" s="30"/>
      <c r="L568" s="30"/>
      <c r="Q568" s="30"/>
      <c r="V568" s="30"/>
      <c r="AA568" s="27"/>
    </row>
    <row r="569" spans="2:27" ht="13.2" x14ac:dyDescent="0.25">
      <c r="B569" s="30"/>
      <c r="G569" s="30"/>
      <c r="L569" s="30"/>
      <c r="Q569" s="30"/>
      <c r="V569" s="30"/>
      <c r="AA569" s="27"/>
    </row>
    <row r="570" spans="2:27" ht="13.2" x14ac:dyDescent="0.25">
      <c r="B570" s="30"/>
      <c r="G570" s="30"/>
      <c r="L570" s="30"/>
      <c r="Q570" s="30"/>
      <c r="V570" s="30"/>
      <c r="AA570" s="27"/>
    </row>
    <row r="571" spans="2:27" ht="13.2" x14ac:dyDescent="0.25">
      <c r="B571" s="30"/>
      <c r="G571" s="30"/>
      <c r="L571" s="30"/>
      <c r="Q571" s="30"/>
      <c r="V571" s="30"/>
      <c r="AA571" s="27"/>
    </row>
    <row r="572" spans="2:27" ht="13.2" x14ac:dyDescent="0.25">
      <c r="B572" s="30"/>
      <c r="G572" s="30"/>
      <c r="L572" s="30"/>
      <c r="Q572" s="30"/>
      <c r="V572" s="30"/>
      <c r="AA572" s="27"/>
    </row>
    <row r="573" spans="2:27" ht="13.2" x14ac:dyDescent="0.25">
      <c r="B573" s="30"/>
      <c r="G573" s="30"/>
      <c r="L573" s="30"/>
      <c r="Q573" s="30"/>
      <c r="V573" s="30"/>
      <c r="AA573" s="27"/>
    </row>
    <row r="574" spans="2:27" ht="13.2" x14ac:dyDescent="0.25">
      <c r="B574" s="30"/>
      <c r="G574" s="30"/>
      <c r="L574" s="30"/>
      <c r="Q574" s="30"/>
      <c r="V574" s="30"/>
      <c r="AA574" s="27"/>
    </row>
    <row r="575" spans="2:27" ht="13.2" x14ac:dyDescent="0.25">
      <c r="B575" s="30"/>
      <c r="G575" s="30"/>
      <c r="L575" s="30"/>
      <c r="Q575" s="30"/>
      <c r="V575" s="30"/>
      <c r="AA575" s="27"/>
    </row>
    <row r="576" spans="2:27" ht="13.2" x14ac:dyDescent="0.25">
      <c r="B576" s="30"/>
      <c r="G576" s="30"/>
      <c r="L576" s="30"/>
      <c r="Q576" s="30"/>
      <c r="V576" s="30"/>
      <c r="AA576" s="27"/>
    </row>
    <row r="577" spans="2:27" ht="13.2" x14ac:dyDescent="0.25">
      <c r="B577" s="30"/>
      <c r="G577" s="30"/>
      <c r="L577" s="30"/>
      <c r="Q577" s="30"/>
      <c r="V577" s="30"/>
      <c r="AA577" s="27"/>
    </row>
    <row r="578" spans="2:27" ht="13.2" x14ac:dyDescent="0.25">
      <c r="B578" s="30"/>
      <c r="G578" s="30"/>
      <c r="L578" s="30"/>
      <c r="Q578" s="30"/>
      <c r="V578" s="30"/>
      <c r="AA578" s="27"/>
    </row>
    <row r="579" spans="2:27" ht="13.2" x14ac:dyDescent="0.25">
      <c r="B579" s="30"/>
      <c r="G579" s="30"/>
      <c r="L579" s="30"/>
      <c r="Q579" s="30"/>
      <c r="V579" s="30"/>
      <c r="AA579" s="27"/>
    </row>
    <row r="580" spans="2:27" ht="13.2" x14ac:dyDescent="0.25">
      <c r="B580" s="30"/>
      <c r="G580" s="30"/>
      <c r="L580" s="30"/>
      <c r="Q580" s="30"/>
      <c r="V580" s="30"/>
      <c r="AA580" s="27"/>
    </row>
    <row r="581" spans="2:27" ht="13.2" x14ac:dyDescent="0.25">
      <c r="B581" s="30"/>
      <c r="G581" s="30"/>
      <c r="L581" s="30"/>
      <c r="Q581" s="30"/>
      <c r="V581" s="30"/>
      <c r="AA581" s="27"/>
    </row>
    <row r="582" spans="2:27" ht="13.2" x14ac:dyDescent="0.25">
      <c r="B582" s="30"/>
      <c r="G582" s="30"/>
      <c r="L582" s="30"/>
      <c r="Q582" s="30"/>
      <c r="V582" s="30"/>
      <c r="AA582" s="27"/>
    </row>
    <row r="583" spans="2:27" ht="13.2" x14ac:dyDescent="0.25">
      <c r="B583" s="30"/>
      <c r="G583" s="30"/>
      <c r="L583" s="30"/>
      <c r="Q583" s="30"/>
      <c r="V583" s="30"/>
      <c r="AA583" s="27"/>
    </row>
    <row r="584" spans="2:27" ht="13.2" x14ac:dyDescent="0.25">
      <c r="B584" s="30"/>
      <c r="G584" s="30"/>
      <c r="L584" s="30"/>
      <c r="Q584" s="30"/>
      <c r="V584" s="30"/>
      <c r="AA584" s="27"/>
    </row>
    <row r="585" spans="2:27" ht="13.2" x14ac:dyDescent="0.25">
      <c r="B585" s="30"/>
      <c r="G585" s="30"/>
      <c r="L585" s="30"/>
      <c r="Q585" s="30"/>
      <c r="V585" s="30"/>
      <c r="AA585" s="27"/>
    </row>
    <row r="586" spans="2:27" ht="13.2" x14ac:dyDescent="0.25">
      <c r="B586" s="30"/>
      <c r="G586" s="30"/>
      <c r="L586" s="30"/>
      <c r="Q586" s="30"/>
      <c r="V586" s="30"/>
      <c r="AA586" s="27"/>
    </row>
    <row r="587" spans="2:27" ht="13.2" x14ac:dyDescent="0.25">
      <c r="B587" s="30"/>
      <c r="G587" s="30"/>
      <c r="L587" s="30"/>
      <c r="Q587" s="30"/>
      <c r="V587" s="30"/>
      <c r="AA587" s="27"/>
    </row>
    <row r="588" spans="2:27" ht="13.2" x14ac:dyDescent="0.25">
      <c r="B588" s="30"/>
      <c r="G588" s="30"/>
      <c r="L588" s="30"/>
      <c r="Q588" s="30"/>
      <c r="V588" s="30"/>
      <c r="AA588" s="27"/>
    </row>
    <row r="589" spans="2:27" ht="13.2" x14ac:dyDescent="0.25">
      <c r="B589" s="30"/>
      <c r="G589" s="30"/>
      <c r="L589" s="30"/>
      <c r="Q589" s="30"/>
      <c r="V589" s="30"/>
      <c r="AA589" s="27"/>
    </row>
    <row r="590" spans="2:27" ht="13.2" x14ac:dyDescent="0.25">
      <c r="B590" s="30"/>
      <c r="G590" s="30"/>
      <c r="L590" s="30"/>
      <c r="Q590" s="30"/>
      <c r="V590" s="30"/>
      <c r="AA590" s="27"/>
    </row>
    <row r="591" spans="2:27" ht="13.2" x14ac:dyDescent="0.25">
      <c r="B591" s="30"/>
      <c r="G591" s="30"/>
      <c r="L591" s="30"/>
      <c r="Q591" s="30"/>
      <c r="V591" s="30"/>
      <c r="AA591" s="27"/>
    </row>
    <row r="592" spans="2:27" ht="13.2" x14ac:dyDescent="0.25">
      <c r="B592" s="30"/>
      <c r="G592" s="30"/>
      <c r="L592" s="30"/>
      <c r="Q592" s="30"/>
      <c r="V592" s="30"/>
      <c r="AA592" s="27"/>
    </row>
    <row r="593" spans="2:27" ht="13.2" x14ac:dyDescent="0.25">
      <c r="B593" s="30"/>
      <c r="G593" s="30"/>
      <c r="L593" s="30"/>
      <c r="Q593" s="30"/>
      <c r="V593" s="30"/>
      <c r="AA593" s="27"/>
    </row>
    <row r="594" spans="2:27" ht="13.2" x14ac:dyDescent="0.25">
      <c r="B594" s="30"/>
      <c r="G594" s="30"/>
      <c r="L594" s="30"/>
      <c r="Q594" s="30"/>
      <c r="V594" s="30"/>
      <c r="AA594" s="27"/>
    </row>
    <row r="595" spans="2:27" ht="13.2" x14ac:dyDescent="0.25">
      <c r="B595" s="30"/>
      <c r="G595" s="30"/>
      <c r="L595" s="30"/>
      <c r="Q595" s="30"/>
      <c r="V595" s="30"/>
      <c r="AA595" s="27"/>
    </row>
    <row r="596" spans="2:27" ht="13.2" x14ac:dyDescent="0.25">
      <c r="B596" s="30"/>
      <c r="G596" s="30"/>
      <c r="L596" s="30"/>
      <c r="Q596" s="30"/>
      <c r="V596" s="30"/>
      <c r="AA596" s="27"/>
    </row>
    <row r="597" spans="2:27" ht="13.2" x14ac:dyDescent="0.25">
      <c r="B597" s="30"/>
      <c r="G597" s="30"/>
      <c r="L597" s="30"/>
      <c r="Q597" s="30"/>
      <c r="V597" s="30"/>
      <c r="AA597" s="27"/>
    </row>
    <row r="598" spans="2:27" ht="13.2" x14ac:dyDescent="0.25">
      <c r="B598" s="30"/>
      <c r="G598" s="30"/>
      <c r="L598" s="30"/>
      <c r="Q598" s="30"/>
      <c r="V598" s="30"/>
      <c r="AA598" s="27"/>
    </row>
    <row r="599" spans="2:27" ht="13.2" x14ac:dyDescent="0.25">
      <c r="B599" s="30"/>
      <c r="G599" s="30"/>
      <c r="L599" s="30"/>
      <c r="Q599" s="30"/>
      <c r="V599" s="30"/>
      <c r="AA599" s="27"/>
    </row>
    <row r="600" spans="2:27" ht="13.2" x14ac:dyDescent="0.25">
      <c r="B600" s="30"/>
      <c r="G600" s="30"/>
      <c r="L600" s="30"/>
      <c r="Q600" s="30"/>
      <c r="V600" s="30"/>
      <c r="AA600" s="27"/>
    </row>
    <row r="601" spans="2:27" ht="13.2" x14ac:dyDescent="0.25">
      <c r="B601" s="30"/>
      <c r="G601" s="30"/>
      <c r="L601" s="30"/>
      <c r="Q601" s="30"/>
      <c r="V601" s="30"/>
      <c r="AA601" s="27"/>
    </row>
    <row r="602" spans="2:27" ht="13.2" x14ac:dyDescent="0.25">
      <c r="B602" s="30"/>
      <c r="G602" s="30"/>
      <c r="L602" s="30"/>
      <c r="Q602" s="30"/>
      <c r="V602" s="30"/>
      <c r="AA602" s="27"/>
    </row>
    <row r="603" spans="2:27" ht="13.2" x14ac:dyDescent="0.25">
      <c r="B603" s="30"/>
      <c r="G603" s="30"/>
      <c r="L603" s="30"/>
      <c r="Q603" s="30"/>
      <c r="V603" s="30"/>
      <c r="AA603" s="27"/>
    </row>
    <row r="604" spans="2:27" ht="13.2" x14ac:dyDescent="0.25">
      <c r="B604" s="30"/>
      <c r="G604" s="30"/>
      <c r="L604" s="30"/>
      <c r="Q604" s="30"/>
      <c r="V604" s="30"/>
      <c r="AA604" s="27"/>
    </row>
    <row r="605" spans="2:27" ht="13.2" x14ac:dyDescent="0.25">
      <c r="B605" s="30"/>
      <c r="G605" s="30"/>
      <c r="L605" s="30"/>
      <c r="Q605" s="30"/>
      <c r="V605" s="30"/>
      <c r="AA605" s="27"/>
    </row>
    <row r="606" spans="2:27" ht="13.2" x14ac:dyDescent="0.25">
      <c r="B606" s="30"/>
      <c r="G606" s="30"/>
      <c r="L606" s="30"/>
      <c r="Q606" s="30"/>
      <c r="V606" s="30"/>
      <c r="AA606" s="27"/>
    </row>
    <row r="607" spans="2:27" ht="13.2" x14ac:dyDescent="0.25">
      <c r="B607" s="30"/>
      <c r="G607" s="30"/>
      <c r="L607" s="30"/>
      <c r="Q607" s="30"/>
      <c r="V607" s="30"/>
      <c r="AA607" s="27"/>
    </row>
    <row r="608" spans="2:27" ht="13.2" x14ac:dyDescent="0.25">
      <c r="B608" s="30"/>
      <c r="G608" s="30"/>
      <c r="L608" s="30"/>
      <c r="Q608" s="30"/>
      <c r="V608" s="30"/>
      <c r="AA608" s="27"/>
    </row>
    <row r="609" spans="2:27" ht="13.2" x14ac:dyDescent="0.25">
      <c r="B609" s="30"/>
      <c r="G609" s="30"/>
      <c r="L609" s="30"/>
      <c r="Q609" s="30"/>
      <c r="V609" s="30"/>
      <c r="AA609" s="27"/>
    </row>
    <row r="610" spans="2:27" ht="13.2" x14ac:dyDescent="0.25">
      <c r="B610" s="30"/>
      <c r="G610" s="30"/>
      <c r="L610" s="30"/>
      <c r="Q610" s="30"/>
      <c r="V610" s="30"/>
      <c r="AA610" s="27"/>
    </row>
    <row r="611" spans="2:27" ht="13.2" x14ac:dyDescent="0.25">
      <c r="B611" s="30"/>
      <c r="G611" s="30"/>
      <c r="L611" s="30"/>
      <c r="Q611" s="30"/>
      <c r="V611" s="30"/>
      <c r="AA611" s="27"/>
    </row>
    <row r="612" spans="2:27" ht="13.2" x14ac:dyDescent="0.25">
      <c r="B612" s="30"/>
      <c r="G612" s="30"/>
      <c r="L612" s="30"/>
      <c r="Q612" s="30"/>
      <c r="V612" s="30"/>
      <c r="AA612" s="27"/>
    </row>
    <row r="613" spans="2:27" ht="13.2" x14ac:dyDescent="0.25">
      <c r="B613" s="30"/>
      <c r="G613" s="30"/>
      <c r="L613" s="30"/>
      <c r="Q613" s="30"/>
      <c r="V613" s="30"/>
      <c r="AA613" s="27"/>
    </row>
    <row r="614" spans="2:27" ht="13.2" x14ac:dyDescent="0.25">
      <c r="B614" s="30"/>
      <c r="G614" s="30"/>
      <c r="L614" s="30"/>
      <c r="Q614" s="30"/>
      <c r="V614" s="30"/>
      <c r="AA614" s="27"/>
    </row>
    <row r="615" spans="2:27" ht="13.2" x14ac:dyDescent="0.25">
      <c r="B615" s="30"/>
      <c r="G615" s="30"/>
      <c r="L615" s="30"/>
      <c r="Q615" s="30"/>
      <c r="V615" s="30"/>
      <c r="AA615" s="27"/>
    </row>
    <row r="616" spans="2:27" ht="13.2" x14ac:dyDescent="0.25">
      <c r="B616" s="30"/>
      <c r="G616" s="30"/>
      <c r="L616" s="30"/>
      <c r="Q616" s="30"/>
      <c r="V616" s="30"/>
      <c r="AA616" s="27"/>
    </row>
    <row r="617" spans="2:27" ht="13.2" x14ac:dyDescent="0.25">
      <c r="B617" s="30"/>
      <c r="G617" s="30"/>
      <c r="L617" s="30"/>
      <c r="Q617" s="30"/>
      <c r="V617" s="30"/>
      <c r="AA617" s="27"/>
    </row>
    <row r="618" spans="2:27" ht="13.2" x14ac:dyDescent="0.25">
      <c r="B618" s="30"/>
      <c r="G618" s="30"/>
      <c r="L618" s="30"/>
      <c r="Q618" s="30"/>
      <c r="V618" s="30"/>
      <c r="AA618" s="27"/>
    </row>
    <row r="619" spans="2:27" ht="13.2" x14ac:dyDescent="0.25">
      <c r="B619" s="30"/>
      <c r="G619" s="30"/>
      <c r="L619" s="30"/>
      <c r="Q619" s="30"/>
      <c r="V619" s="30"/>
      <c r="AA619" s="27"/>
    </row>
    <row r="620" spans="2:27" ht="13.2" x14ac:dyDescent="0.25">
      <c r="B620" s="30"/>
      <c r="G620" s="30"/>
      <c r="L620" s="30"/>
      <c r="Q620" s="30"/>
      <c r="V620" s="30"/>
      <c r="AA620" s="27"/>
    </row>
    <row r="621" spans="2:27" ht="13.2" x14ac:dyDescent="0.25">
      <c r="B621" s="30"/>
      <c r="G621" s="30"/>
      <c r="L621" s="30"/>
      <c r="Q621" s="30"/>
      <c r="V621" s="30"/>
      <c r="AA621" s="27"/>
    </row>
    <row r="622" spans="2:27" ht="13.2" x14ac:dyDescent="0.25">
      <c r="B622" s="30"/>
      <c r="G622" s="30"/>
      <c r="L622" s="30"/>
      <c r="Q622" s="30"/>
      <c r="V622" s="30"/>
      <c r="AA622" s="27"/>
    </row>
    <row r="623" spans="2:27" ht="13.2" x14ac:dyDescent="0.25">
      <c r="B623" s="30"/>
      <c r="G623" s="30"/>
      <c r="L623" s="30"/>
      <c r="Q623" s="30"/>
      <c r="V623" s="30"/>
      <c r="AA623" s="27"/>
    </row>
    <row r="624" spans="2:27" ht="13.2" x14ac:dyDescent="0.25">
      <c r="B624" s="30"/>
      <c r="G624" s="30"/>
      <c r="L624" s="30"/>
      <c r="Q624" s="30"/>
      <c r="V624" s="30"/>
      <c r="AA624" s="27"/>
    </row>
    <row r="625" spans="2:27" ht="13.2" x14ac:dyDescent="0.25">
      <c r="B625" s="30"/>
      <c r="G625" s="30"/>
      <c r="L625" s="30"/>
      <c r="Q625" s="30"/>
      <c r="V625" s="30"/>
      <c r="AA625" s="27"/>
    </row>
    <row r="626" spans="2:27" ht="13.2" x14ac:dyDescent="0.25">
      <c r="B626" s="30"/>
      <c r="G626" s="30"/>
      <c r="L626" s="30"/>
      <c r="Q626" s="30"/>
      <c r="V626" s="30"/>
      <c r="AA626" s="27"/>
    </row>
    <row r="627" spans="2:27" ht="13.2" x14ac:dyDescent="0.25">
      <c r="B627" s="30"/>
      <c r="G627" s="30"/>
      <c r="L627" s="30"/>
      <c r="Q627" s="30"/>
      <c r="V627" s="30"/>
      <c r="AA627" s="27"/>
    </row>
    <row r="628" spans="2:27" ht="13.2" x14ac:dyDescent="0.25">
      <c r="B628" s="30"/>
      <c r="G628" s="30"/>
      <c r="L628" s="30"/>
      <c r="Q628" s="30"/>
      <c r="V628" s="30"/>
      <c r="AA628" s="27"/>
    </row>
    <row r="629" spans="2:27" ht="13.2" x14ac:dyDescent="0.25">
      <c r="B629" s="30"/>
      <c r="G629" s="30"/>
      <c r="L629" s="30"/>
      <c r="Q629" s="30"/>
      <c r="V629" s="30"/>
      <c r="AA629" s="27"/>
    </row>
    <row r="630" spans="2:27" ht="13.2" x14ac:dyDescent="0.25">
      <c r="B630" s="30"/>
      <c r="G630" s="30"/>
      <c r="L630" s="30"/>
      <c r="Q630" s="30"/>
      <c r="V630" s="30"/>
      <c r="AA630" s="27"/>
    </row>
    <row r="631" spans="2:27" ht="13.2" x14ac:dyDescent="0.25">
      <c r="B631" s="30"/>
      <c r="G631" s="30"/>
      <c r="L631" s="30"/>
      <c r="Q631" s="30"/>
      <c r="V631" s="30"/>
      <c r="AA631" s="27"/>
    </row>
    <row r="632" spans="2:27" ht="13.2" x14ac:dyDescent="0.25">
      <c r="B632" s="30"/>
      <c r="G632" s="30"/>
      <c r="L632" s="30"/>
      <c r="Q632" s="30"/>
      <c r="V632" s="30"/>
      <c r="AA632" s="27"/>
    </row>
    <row r="633" spans="2:27" ht="13.2" x14ac:dyDescent="0.25">
      <c r="B633" s="30"/>
      <c r="G633" s="30"/>
      <c r="L633" s="30"/>
      <c r="Q633" s="30"/>
      <c r="V633" s="30"/>
      <c r="AA633" s="27"/>
    </row>
    <row r="634" spans="2:27" ht="13.2" x14ac:dyDescent="0.25">
      <c r="B634" s="30"/>
      <c r="G634" s="30"/>
      <c r="L634" s="30"/>
      <c r="Q634" s="30"/>
      <c r="V634" s="30"/>
      <c r="AA634" s="27"/>
    </row>
    <row r="635" spans="2:27" ht="13.2" x14ac:dyDescent="0.25">
      <c r="B635" s="30"/>
      <c r="G635" s="30"/>
      <c r="L635" s="30"/>
      <c r="Q635" s="30"/>
      <c r="V635" s="30"/>
      <c r="AA635" s="27"/>
    </row>
    <row r="636" spans="2:27" ht="13.2" x14ac:dyDescent="0.25">
      <c r="B636" s="30"/>
      <c r="G636" s="30"/>
      <c r="L636" s="30"/>
      <c r="Q636" s="30"/>
      <c r="V636" s="30"/>
      <c r="AA636" s="27"/>
    </row>
    <row r="637" spans="2:27" ht="13.2" x14ac:dyDescent="0.25">
      <c r="B637" s="30"/>
      <c r="G637" s="30"/>
      <c r="L637" s="30"/>
      <c r="Q637" s="30"/>
      <c r="V637" s="30"/>
      <c r="AA637" s="27"/>
    </row>
    <row r="638" spans="2:27" ht="13.2" x14ac:dyDescent="0.25">
      <c r="B638" s="30"/>
      <c r="G638" s="30"/>
      <c r="L638" s="30"/>
      <c r="Q638" s="30"/>
      <c r="V638" s="30"/>
      <c r="AA638" s="27"/>
    </row>
    <row r="639" spans="2:27" ht="13.2" x14ac:dyDescent="0.25">
      <c r="B639" s="30"/>
      <c r="G639" s="30"/>
      <c r="L639" s="30"/>
      <c r="Q639" s="30"/>
      <c r="V639" s="30"/>
      <c r="AA639" s="27"/>
    </row>
    <row r="640" spans="2:27" ht="13.2" x14ac:dyDescent="0.25">
      <c r="B640" s="30"/>
      <c r="G640" s="30"/>
      <c r="L640" s="30"/>
      <c r="Q640" s="30"/>
      <c r="V640" s="30"/>
      <c r="AA640" s="27"/>
    </row>
    <row r="641" spans="2:27" ht="13.2" x14ac:dyDescent="0.25">
      <c r="B641" s="30"/>
      <c r="G641" s="30"/>
      <c r="L641" s="30"/>
      <c r="Q641" s="30"/>
      <c r="V641" s="30"/>
      <c r="AA641" s="27"/>
    </row>
    <row r="642" spans="2:27" ht="13.2" x14ac:dyDescent="0.25">
      <c r="B642" s="30"/>
      <c r="G642" s="30"/>
      <c r="L642" s="30"/>
      <c r="Q642" s="30"/>
      <c r="V642" s="30"/>
      <c r="AA642" s="27"/>
    </row>
    <row r="643" spans="2:27" ht="13.2" x14ac:dyDescent="0.25">
      <c r="B643" s="30"/>
      <c r="G643" s="30"/>
      <c r="L643" s="30"/>
      <c r="Q643" s="30"/>
      <c r="V643" s="30"/>
      <c r="AA643" s="27"/>
    </row>
    <row r="644" spans="2:27" ht="13.2" x14ac:dyDescent="0.25">
      <c r="B644" s="30"/>
      <c r="G644" s="30"/>
      <c r="L644" s="30"/>
      <c r="Q644" s="30"/>
      <c r="V644" s="30"/>
      <c r="AA644" s="27"/>
    </row>
    <row r="645" spans="2:27" ht="13.2" x14ac:dyDescent="0.25">
      <c r="B645" s="30"/>
      <c r="G645" s="30"/>
      <c r="L645" s="30"/>
      <c r="Q645" s="30"/>
      <c r="V645" s="30"/>
      <c r="AA645" s="27"/>
    </row>
    <row r="646" spans="2:27" ht="13.2" x14ac:dyDescent="0.25">
      <c r="B646" s="30"/>
      <c r="G646" s="30"/>
      <c r="L646" s="30"/>
      <c r="Q646" s="30"/>
      <c r="V646" s="30"/>
      <c r="AA646" s="27"/>
    </row>
    <row r="647" spans="2:27" ht="13.2" x14ac:dyDescent="0.25">
      <c r="B647" s="30"/>
      <c r="G647" s="30"/>
      <c r="L647" s="30"/>
      <c r="Q647" s="30"/>
      <c r="V647" s="30"/>
      <c r="AA647" s="27"/>
    </row>
    <row r="648" spans="2:27" ht="13.2" x14ac:dyDescent="0.25">
      <c r="B648" s="30"/>
      <c r="G648" s="30"/>
      <c r="L648" s="30"/>
      <c r="Q648" s="30"/>
      <c r="V648" s="30"/>
      <c r="AA648" s="27"/>
    </row>
    <row r="649" spans="2:27" ht="13.2" x14ac:dyDescent="0.25">
      <c r="B649" s="30"/>
      <c r="G649" s="30"/>
      <c r="L649" s="30"/>
      <c r="Q649" s="30"/>
      <c r="V649" s="30"/>
      <c r="AA649" s="27"/>
    </row>
    <row r="650" spans="2:27" ht="13.2" x14ac:dyDescent="0.25">
      <c r="B650" s="30"/>
      <c r="G650" s="30"/>
      <c r="L650" s="30"/>
      <c r="Q650" s="30"/>
      <c r="V650" s="30"/>
      <c r="AA650" s="27"/>
    </row>
    <row r="651" spans="2:27" ht="13.2" x14ac:dyDescent="0.25">
      <c r="B651" s="30"/>
      <c r="G651" s="30"/>
      <c r="L651" s="30"/>
      <c r="Q651" s="30"/>
      <c r="V651" s="30"/>
      <c r="AA651" s="27"/>
    </row>
    <row r="652" spans="2:27" ht="13.2" x14ac:dyDescent="0.25">
      <c r="B652" s="30"/>
      <c r="G652" s="30"/>
      <c r="L652" s="30"/>
      <c r="Q652" s="30"/>
      <c r="V652" s="30"/>
      <c r="AA652" s="27"/>
    </row>
    <row r="653" spans="2:27" ht="13.2" x14ac:dyDescent="0.25">
      <c r="B653" s="30"/>
      <c r="G653" s="30"/>
      <c r="L653" s="30"/>
      <c r="Q653" s="30"/>
      <c r="V653" s="30"/>
      <c r="AA653" s="27"/>
    </row>
    <row r="654" spans="2:27" ht="13.2" x14ac:dyDescent="0.25">
      <c r="B654" s="30"/>
      <c r="G654" s="30"/>
      <c r="L654" s="30"/>
      <c r="Q654" s="30"/>
      <c r="V654" s="30"/>
      <c r="AA654" s="27"/>
    </row>
    <row r="655" spans="2:27" ht="13.2" x14ac:dyDescent="0.25">
      <c r="B655" s="30"/>
      <c r="G655" s="30"/>
      <c r="L655" s="30"/>
      <c r="Q655" s="30"/>
      <c r="V655" s="30"/>
      <c r="AA655" s="27"/>
    </row>
    <row r="656" spans="2:27" ht="13.2" x14ac:dyDescent="0.25">
      <c r="B656" s="30"/>
      <c r="G656" s="30"/>
      <c r="L656" s="30"/>
      <c r="Q656" s="30"/>
      <c r="V656" s="30"/>
      <c r="AA656" s="27"/>
    </row>
    <row r="657" spans="2:27" ht="13.2" x14ac:dyDescent="0.25">
      <c r="B657" s="30"/>
      <c r="G657" s="30"/>
      <c r="L657" s="30"/>
      <c r="Q657" s="30"/>
      <c r="V657" s="30"/>
      <c r="AA657" s="27"/>
    </row>
    <row r="658" spans="2:27" ht="13.2" x14ac:dyDescent="0.25">
      <c r="B658" s="30"/>
      <c r="G658" s="30"/>
      <c r="L658" s="30"/>
      <c r="Q658" s="30"/>
      <c r="V658" s="30"/>
      <c r="AA658" s="27"/>
    </row>
    <row r="659" spans="2:27" ht="13.2" x14ac:dyDescent="0.25">
      <c r="B659" s="30"/>
      <c r="G659" s="30"/>
      <c r="L659" s="30"/>
      <c r="Q659" s="30"/>
      <c r="V659" s="30"/>
      <c r="AA659" s="27"/>
    </row>
    <row r="660" spans="2:27" ht="13.2" x14ac:dyDescent="0.25">
      <c r="B660" s="30"/>
      <c r="G660" s="30"/>
      <c r="L660" s="30"/>
      <c r="Q660" s="30"/>
      <c r="V660" s="30"/>
      <c r="AA660" s="27"/>
    </row>
    <row r="661" spans="2:27" ht="13.2" x14ac:dyDescent="0.25">
      <c r="B661" s="30"/>
      <c r="G661" s="30"/>
      <c r="L661" s="30"/>
      <c r="Q661" s="30"/>
      <c r="V661" s="30"/>
      <c r="AA661" s="27"/>
    </row>
    <row r="662" spans="2:27" ht="13.2" x14ac:dyDescent="0.25">
      <c r="B662" s="30"/>
      <c r="G662" s="30"/>
      <c r="L662" s="30"/>
      <c r="Q662" s="30"/>
      <c r="V662" s="30"/>
      <c r="AA662" s="27"/>
    </row>
    <row r="663" spans="2:27" ht="13.2" x14ac:dyDescent="0.25">
      <c r="B663" s="30"/>
      <c r="G663" s="30"/>
      <c r="L663" s="30"/>
      <c r="Q663" s="30"/>
      <c r="V663" s="30"/>
      <c r="AA663" s="27"/>
    </row>
    <row r="664" spans="2:27" ht="13.2" x14ac:dyDescent="0.25">
      <c r="B664" s="30"/>
      <c r="G664" s="30"/>
      <c r="L664" s="30"/>
      <c r="Q664" s="30"/>
      <c r="V664" s="30"/>
      <c r="AA664" s="27"/>
    </row>
    <row r="665" spans="2:27" ht="13.2" x14ac:dyDescent="0.25">
      <c r="B665" s="30"/>
      <c r="G665" s="30"/>
      <c r="L665" s="30"/>
      <c r="Q665" s="30"/>
      <c r="V665" s="30"/>
      <c r="AA665" s="27"/>
    </row>
    <row r="666" spans="2:27" ht="13.2" x14ac:dyDescent="0.25">
      <c r="B666" s="30"/>
      <c r="G666" s="30"/>
      <c r="L666" s="30"/>
      <c r="Q666" s="30"/>
      <c r="V666" s="30"/>
      <c r="AA666" s="27"/>
    </row>
    <row r="667" spans="2:27" ht="13.2" x14ac:dyDescent="0.25">
      <c r="B667" s="30"/>
      <c r="G667" s="30"/>
      <c r="L667" s="30"/>
      <c r="Q667" s="30"/>
      <c r="V667" s="30"/>
      <c r="AA667" s="27"/>
    </row>
    <row r="668" spans="2:27" ht="13.2" x14ac:dyDescent="0.25">
      <c r="B668" s="30"/>
      <c r="G668" s="30"/>
      <c r="L668" s="30"/>
      <c r="Q668" s="30"/>
      <c r="V668" s="30"/>
      <c r="AA668" s="27"/>
    </row>
    <row r="669" spans="2:27" ht="13.2" x14ac:dyDescent="0.25">
      <c r="B669" s="30"/>
      <c r="G669" s="30"/>
      <c r="L669" s="30"/>
      <c r="Q669" s="30"/>
      <c r="V669" s="30"/>
      <c r="AA669" s="27"/>
    </row>
    <row r="670" spans="2:27" ht="13.2" x14ac:dyDescent="0.25">
      <c r="B670" s="30"/>
      <c r="G670" s="30"/>
      <c r="L670" s="30"/>
      <c r="Q670" s="30"/>
      <c r="V670" s="30"/>
      <c r="AA670" s="27"/>
    </row>
    <row r="671" spans="2:27" ht="13.2" x14ac:dyDescent="0.25">
      <c r="B671" s="30"/>
      <c r="G671" s="30"/>
      <c r="L671" s="30"/>
      <c r="Q671" s="30"/>
      <c r="V671" s="30"/>
      <c r="AA671" s="27"/>
    </row>
    <row r="672" spans="2:27" ht="13.2" x14ac:dyDescent="0.25">
      <c r="B672" s="30"/>
      <c r="G672" s="30"/>
      <c r="L672" s="30"/>
      <c r="Q672" s="30"/>
      <c r="V672" s="30"/>
      <c r="AA672" s="27"/>
    </row>
    <row r="673" spans="2:27" ht="13.2" x14ac:dyDescent="0.25">
      <c r="B673" s="30"/>
      <c r="G673" s="30"/>
      <c r="L673" s="30"/>
      <c r="Q673" s="30"/>
      <c r="V673" s="30"/>
      <c r="AA673" s="27"/>
    </row>
    <row r="674" spans="2:27" ht="13.2" x14ac:dyDescent="0.25">
      <c r="B674" s="30"/>
      <c r="G674" s="30"/>
      <c r="L674" s="30"/>
      <c r="Q674" s="30"/>
      <c r="V674" s="30"/>
      <c r="AA674" s="27"/>
    </row>
    <row r="675" spans="2:27" ht="13.2" x14ac:dyDescent="0.25">
      <c r="B675" s="30"/>
      <c r="G675" s="30"/>
      <c r="L675" s="30"/>
      <c r="Q675" s="30"/>
      <c r="V675" s="30"/>
      <c r="AA675" s="27"/>
    </row>
    <row r="676" spans="2:27" ht="13.2" x14ac:dyDescent="0.25">
      <c r="B676" s="30"/>
      <c r="G676" s="30"/>
      <c r="L676" s="30"/>
      <c r="Q676" s="30"/>
      <c r="V676" s="30"/>
      <c r="AA676" s="27"/>
    </row>
    <row r="677" spans="2:27" ht="13.2" x14ac:dyDescent="0.25">
      <c r="B677" s="30"/>
      <c r="G677" s="30"/>
      <c r="L677" s="30"/>
      <c r="Q677" s="30"/>
      <c r="V677" s="30"/>
      <c r="AA677" s="27"/>
    </row>
    <row r="678" spans="2:27" ht="13.2" x14ac:dyDescent="0.25">
      <c r="B678" s="30"/>
      <c r="G678" s="30"/>
      <c r="L678" s="30"/>
      <c r="Q678" s="30"/>
      <c r="V678" s="30"/>
      <c r="AA678" s="27"/>
    </row>
    <row r="679" spans="2:27" ht="13.2" x14ac:dyDescent="0.25">
      <c r="B679" s="30"/>
      <c r="G679" s="30"/>
      <c r="L679" s="30"/>
      <c r="Q679" s="30"/>
      <c r="V679" s="30"/>
      <c r="AA679" s="27"/>
    </row>
    <row r="680" spans="2:27" ht="13.2" x14ac:dyDescent="0.25">
      <c r="B680" s="30"/>
      <c r="G680" s="30"/>
      <c r="L680" s="30"/>
      <c r="Q680" s="30"/>
      <c r="V680" s="30"/>
      <c r="AA680" s="27"/>
    </row>
    <row r="681" spans="2:27" ht="13.2" x14ac:dyDescent="0.25">
      <c r="B681" s="30"/>
      <c r="G681" s="30"/>
      <c r="L681" s="30"/>
      <c r="Q681" s="30"/>
      <c r="V681" s="30"/>
      <c r="AA681" s="27"/>
    </row>
    <row r="682" spans="2:27" ht="13.2" x14ac:dyDescent="0.25">
      <c r="B682" s="30"/>
      <c r="G682" s="30"/>
      <c r="L682" s="30"/>
      <c r="Q682" s="30"/>
      <c r="V682" s="30"/>
      <c r="AA682" s="27"/>
    </row>
    <row r="683" spans="2:27" ht="13.2" x14ac:dyDescent="0.25">
      <c r="B683" s="30"/>
      <c r="G683" s="30"/>
      <c r="L683" s="30"/>
      <c r="Q683" s="30"/>
      <c r="V683" s="30"/>
      <c r="AA683" s="27"/>
    </row>
    <row r="684" spans="2:27" ht="13.2" x14ac:dyDescent="0.25">
      <c r="B684" s="30"/>
      <c r="G684" s="30"/>
      <c r="L684" s="30"/>
      <c r="Q684" s="30"/>
      <c r="V684" s="30"/>
      <c r="AA684" s="27"/>
    </row>
    <row r="685" spans="2:27" ht="13.2" x14ac:dyDescent="0.25">
      <c r="B685" s="30"/>
      <c r="G685" s="30"/>
      <c r="L685" s="30"/>
      <c r="Q685" s="30"/>
      <c r="V685" s="30"/>
      <c r="AA685" s="27"/>
    </row>
    <row r="686" spans="2:27" ht="13.2" x14ac:dyDescent="0.25">
      <c r="B686" s="30"/>
      <c r="G686" s="30"/>
      <c r="L686" s="30"/>
      <c r="Q686" s="30"/>
      <c r="V686" s="30"/>
      <c r="AA686" s="27"/>
    </row>
    <row r="687" spans="2:27" ht="13.2" x14ac:dyDescent="0.25">
      <c r="B687" s="30"/>
      <c r="G687" s="30"/>
      <c r="L687" s="30"/>
      <c r="Q687" s="30"/>
      <c r="V687" s="30"/>
      <c r="AA687" s="27"/>
    </row>
    <row r="688" spans="2:27" ht="13.2" x14ac:dyDescent="0.25">
      <c r="B688" s="30"/>
      <c r="G688" s="30"/>
      <c r="L688" s="30"/>
      <c r="Q688" s="30"/>
      <c r="V688" s="30"/>
      <c r="AA688" s="27"/>
    </row>
    <row r="689" spans="2:27" ht="13.2" x14ac:dyDescent="0.25">
      <c r="B689" s="30"/>
      <c r="G689" s="30"/>
      <c r="L689" s="30"/>
      <c r="Q689" s="30"/>
      <c r="V689" s="30"/>
      <c r="AA689" s="27"/>
    </row>
    <row r="690" spans="2:27" ht="13.2" x14ac:dyDescent="0.25">
      <c r="B690" s="30"/>
      <c r="G690" s="30"/>
      <c r="L690" s="30"/>
      <c r="Q690" s="30"/>
      <c r="V690" s="30"/>
      <c r="AA690" s="27"/>
    </row>
    <row r="691" spans="2:27" ht="13.2" x14ac:dyDescent="0.25">
      <c r="B691" s="30"/>
      <c r="G691" s="30"/>
      <c r="L691" s="30"/>
      <c r="Q691" s="30"/>
      <c r="V691" s="30"/>
      <c r="AA691" s="27"/>
    </row>
    <row r="692" spans="2:27" ht="13.2" x14ac:dyDescent="0.25">
      <c r="B692" s="30"/>
      <c r="G692" s="30"/>
      <c r="L692" s="30"/>
      <c r="Q692" s="30"/>
      <c r="V692" s="30"/>
      <c r="AA692" s="27"/>
    </row>
    <row r="693" spans="2:27" ht="13.2" x14ac:dyDescent="0.25">
      <c r="B693" s="30"/>
      <c r="G693" s="30"/>
      <c r="L693" s="30"/>
      <c r="Q693" s="30"/>
      <c r="V693" s="30"/>
      <c r="AA693" s="27"/>
    </row>
    <row r="694" spans="2:27" ht="13.2" x14ac:dyDescent="0.25">
      <c r="B694" s="30"/>
      <c r="G694" s="30"/>
      <c r="L694" s="30"/>
      <c r="Q694" s="30"/>
      <c r="V694" s="30"/>
      <c r="AA694" s="27"/>
    </row>
    <row r="695" spans="2:27" ht="13.2" x14ac:dyDescent="0.25">
      <c r="B695" s="30"/>
      <c r="G695" s="30"/>
      <c r="L695" s="30"/>
      <c r="Q695" s="30"/>
      <c r="V695" s="30"/>
      <c r="AA695" s="27"/>
    </row>
    <row r="696" spans="2:27" ht="13.2" x14ac:dyDescent="0.25">
      <c r="B696" s="30"/>
      <c r="G696" s="30"/>
      <c r="L696" s="30"/>
      <c r="Q696" s="30"/>
      <c r="V696" s="30"/>
      <c r="AA696" s="27"/>
    </row>
    <row r="697" spans="2:27" ht="13.2" x14ac:dyDescent="0.25">
      <c r="B697" s="30"/>
      <c r="G697" s="30"/>
      <c r="L697" s="30"/>
      <c r="Q697" s="30"/>
      <c r="V697" s="30"/>
      <c r="AA697" s="27"/>
    </row>
    <row r="698" spans="2:27" ht="13.2" x14ac:dyDescent="0.25">
      <c r="B698" s="30"/>
      <c r="G698" s="30"/>
      <c r="L698" s="30"/>
      <c r="Q698" s="30"/>
      <c r="V698" s="30"/>
      <c r="AA698" s="27"/>
    </row>
    <row r="699" spans="2:27" ht="13.2" x14ac:dyDescent="0.25">
      <c r="B699" s="30"/>
      <c r="G699" s="30"/>
      <c r="L699" s="30"/>
      <c r="Q699" s="30"/>
      <c r="V699" s="30"/>
      <c r="AA699" s="27"/>
    </row>
    <row r="700" spans="2:27" ht="13.2" x14ac:dyDescent="0.25">
      <c r="B700" s="30"/>
      <c r="G700" s="30"/>
      <c r="L700" s="30"/>
      <c r="Q700" s="30"/>
      <c r="V700" s="30"/>
      <c r="AA700" s="27"/>
    </row>
    <row r="701" spans="2:27" ht="13.2" x14ac:dyDescent="0.25">
      <c r="B701" s="30"/>
      <c r="G701" s="30"/>
      <c r="L701" s="30"/>
      <c r="Q701" s="30"/>
      <c r="V701" s="30"/>
      <c r="AA701" s="27"/>
    </row>
    <row r="702" spans="2:27" ht="13.2" x14ac:dyDescent="0.25">
      <c r="B702" s="30"/>
      <c r="G702" s="30"/>
      <c r="L702" s="30"/>
      <c r="Q702" s="30"/>
      <c r="V702" s="30"/>
      <c r="AA702" s="27"/>
    </row>
    <row r="703" spans="2:27" ht="13.2" x14ac:dyDescent="0.25">
      <c r="B703" s="30"/>
      <c r="G703" s="30"/>
      <c r="L703" s="30"/>
      <c r="Q703" s="30"/>
      <c r="V703" s="30"/>
      <c r="AA703" s="27"/>
    </row>
    <row r="704" spans="2:27" ht="13.2" x14ac:dyDescent="0.25">
      <c r="B704" s="30"/>
      <c r="G704" s="30"/>
      <c r="L704" s="30"/>
      <c r="Q704" s="30"/>
      <c r="V704" s="30"/>
      <c r="AA704" s="27"/>
    </row>
    <row r="705" spans="2:27" ht="13.2" x14ac:dyDescent="0.25">
      <c r="B705" s="30"/>
      <c r="G705" s="30"/>
      <c r="L705" s="30"/>
      <c r="Q705" s="30"/>
      <c r="V705" s="30"/>
      <c r="AA705" s="27"/>
    </row>
    <row r="706" spans="2:27" ht="13.2" x14ac:dyDescent="0.25">
      <c r="B706" s="30"/>
      <c r="G706" s="30"/>
      <c r="L706" s="30"/>
      <c r="Q706" s="30"/>
      <c r="V706" s="30"/>
      <c r="AA706" s="27"/>
    </row>
    <row r="707" spans="2:27" ht="13.2" x14ac:dyDescent="0.25">
      <c r="B707" s="30"/>
      <c r="G707" s="30"/>
      <c r="L707" s="30"/>
      <c r="Q707" s="30"/>
      <c r="V707" s="30"/>
      <c r="AA707" s="27"/>
    </row>
    <row r="708" spans="2:27" ht="13.2" x14ac:dyDescent="0.25">
      <c r="B708" s="30"/>
      <c r="G708" s="30"/>
      <c r="L708" s="30"/>
      <c r="Q708" s="30"/>
      <c r="V708" s="30"/>
      <c r="AA708" s="27"/>
    </row>
    <row r="709" spans="2:27" ht="13.2" x14ac:dyDescent="0.25">
      <c r="B709" s="30"/>
      <c r="G709" s="30"/>
      <c r="L709" s="30"/>
      <c r="Q709" s="30"/>
      <c r="V709" s="30"/>
      <c r="AA709" s="27"/>
    </row>
    <row r="710" spans="2:27" ht="13.2" x14ac:dyDescent="0.25">
      <c r="B710" s="30"/>
      <c r="G710" s="30"/>
      <c r="L710" s="30"/>
      <c r="Q710" s="30"/>
      <c r="V710" s="30"/>
      <c r="AA710" s="27"/>
    </row>
    <row r="711" spans="2:27" ht="13.2" x14ac:dyDescent="0.25">
      <c r="B711" s="30"/>
      <c r="G711" s="30"/>
      <c r="L711" s="30"/>
      <c r="Q711" s="30"/>
      <c r="V711" s="30"/>
      <c r="AA711" s="27"/>
    </row>
    <row r="712" spans="2:27" ht="13.2" x14ac:dyDescent="0.25">
      <c r="B712" s="30"/>
      <c r="G712" s="30"/>
      <c r="L712" s="30"/>
      <c r="Q712" s="30"/>
      <c r="V712" s="30"/>
      <c r="AA712" s="27"/>
    </row>
    <row r="713" spans="2:27" ht="13.2" x14ac:dyDescent="0.25">
      <c r="B713" s="30"/>
      <c r="G713" s="30"/>
      <c r="L713" s="30"/>
      <c r="Q713" s="30"/>
      <c r="V713" s="30"/>
      <c r="AA713" s="27"/>
    </row>
    <row r="714" spans="2:27" ht="13.2" x14ac:dyDescent="0.25">
      <c r="B714" s="30"/>
      <c r="G714" s="30"/>
      <c r="L714" s="30"/>
      <c r="Q714" s="30"/>
      <c r="V714" s="30"/>
      <c r="AA714" s="27"/>
    </row>
    <row r="715" spans="2:27" ht="13.2" x14ac:dyDescent="0.25">
      <c r="B715" s="30"/>
      <c r="G715" s="30"/>
      <c r="L715" s="30"/>
      <c r="Q715" s="30"/>
      <c r="V715" s="30"/>
      <c r="AA715" s="27"/>
    </row>
    <row r="716" spans="2:27" ht="13.2" x14ac:dyDescent="0.25">
      <c r="B716" s="30"/>
      <c r="G716" s="30"/>
      <c r="L716" s="30"/>
      <c r="Q716" s="30"/>
      <c r="V716" s="30"/>
      <c r="AA716" s="27"/>
    </row>
    <row r="717" spans="2:27" ht="13.2" x14ac:dyDescent="0.25">
      <c r="B717" s="30"/>
      <c r="G717" s="30"/>
      <c r="L717" s="30"/>
      <c r="Q717" s="30"/>
      <c r="V717" s="30"/>
      <c r="AA717" s="27"/>
    </row>
    <row r="718" spans="2:27" ht="13.2" x14ac:dyDescent="0.25">
      <c r="B718" s="30"/>
      <c r="G718" s="30"/>
      <c r="L718" s="30"/>
      <c r="Q718" s="30"/>
      <c r="V718" s="30"/>
      <c r="AA718" s="27"/>
    </row>
    <row r="719" spans="2:27" ht="13.2" x14ac:dyDescent="0.25">
      <c r="B719" s="30"/>
      <c r="G719" s="30"/>
      <c r="L719" s="30"/>
      <c r="Q719" s="30"/>
      <c r="V719" s="30"/>
      <c r="AA719" s="27"/>
    </row>
    <row r="720" spans="2:27" ht="13.2" x14ac:dyDescent="0.25">
      <c r="B720" s="30"/>
      <c r="G720" s="30"/>
      <c r="L720" s="30"/>
      <c r="Q720" s="30"/>
      <c r="V720" s="30"/>
      <c r="AA720" s="27"/>
    </row>
    <row r="721" spans="2:27" ht="13.2" x14ac:dyDescent="0.25">
      <c r="B721" s="30"/>
      <c r="G721" s="30"/>
      <c r="L721" s="30"/>
      <c r="Q721" s="30"/>
      <c r="V721" s="30"/>
      <c r="AA721" s="27"/>
    </row>
    <row r="722" spans="2:27" ht="13.2" x14ac:dyDescent="0.25">
      <c r="B722" s="30"/>
      <c r="G722" s="30"/>
      <c r="L722" s="30"/>
      <c r="Q722" s="30"/>
      <c r="V722" s="30"/>
      <c r="AA722" s="27"/>
    </row>
    <row r="723" spans="2:27" ht="13.2" x14ac:dyDescent="0.25">
      <c r="B723" s="30"/>
      <c r="G723" s="30"/>
      <c r="L723" s="30"/>
      <c r="Q723" s="30"/>
      <c r="V723" s="30"/>
      <c r="AA723" s="27"/>
    </row>
    <row r="724" spans="2:27" ht="13.2" x14ac:dyDescent="0.25">
      <c r="B724" s="30"/>
      <c r="G724" s="30"/>
      <c r="L724" s="30"/>
      <c r="Q724" s="30"/>
      <c r="V724" s="30"/>
      <c r="AA724" s="27"/>
    </row>
    <row r="725" spans="2:27" ht="13.2" x14ac:dyDescent="0.25">
      <c r="B725" s="30"/>
      <c r="G725" s="30"/>
      <c r="L725" s="30"/>
      <c r="Q725" s="30"/>
      <c r="V725" s="30"/>
      <c r="AA725" s="27"/>
    </row>
    <row r="726" spans="2:27" ht="13.2" x14ac:dyDescent="0.25">
      <c r="B726" s="30"/>
      <c r="G726" s="30"/>
      <c r="L726" s="30"/>
      <c r="Q726" s="30"/>
      <c r="V726" s="30"/>
      <c r="AA726" s="27"/>
    </row>
    <row r="727" spans="2:27" ht="13.2" x14ac:dyDescent="0.25">
      <c r="B727" s="30"/>
      <c r="G727" s="30"/>
      <c r="L727" s="30"/>
      <c r="Q727" s="30"/>
      <c r="V727" s="30"/>
      <c r="AA727" s="27"/>
    </row>
    <row r="728" spans="2:27" ht="13.2" x14ac:dyDescent="0.25">
      <c r="B728" s="30"/>
      <c r="G728" s="30"/>
      <c r="L728" s="30"/>
      <c r="Q728" s="30"/>
      <c r="V728" s="30"/>
      <c r="AA728" s="27"/>
    </row>
    <row r="729" spans="2:27" ht="13.2" x14ac:dyDescent="0.25">
      <c r="B729" s="30"/>
      <c r="G729" s="30"/>
      <c r="L729" s="30"/>
      <c r="Q729" s="30"/>
      <c r="V729" s="30"/>
      <c r="AA729" s="27"/>
    </row>
    <row r="730" spans="2:27" ht="13.2" x14ac:dyDescent="0.25">
      <c r="B730" s="30"/>
      <c r="G730" s="30"/>
      <c r="L730" s="30"/>
      <c r="Q730" s="30"/>
      <c r="V730" s="30"/>
      <c r="AA730" s="27"/>
    </row>
    <row r="731" spans="2:27" ht="13.2" x14ac:dyDescent="0.25">
      <c r="B731" s="30"/>
      <c r="G731" s="30"/>
      <c r="L731" s="30"/>
      <c r="Q731" s="30"/>
      <c r="V731" s="30"/>
      <c r="AA731" s="27"/>
    </row>
    <row r="732" spans="2:27" ht="13.2" x14ac:dyDescent="0.25">
      <c r="B732" s="30"/>
      <c r="G732" s="30"/>
      <c r="L732" s="30"/>
      <c r="Q732" s="30"/>
      <c r="V732" s="30"/>
      <c r="AA732" s="27"/>
    </row>
    <row r="733" spans="2:27" ht="13.2" x14ac:dyDescent="0.25">
      <c r="B733" s="30"/>
      <c r="G733" s="30"/>
      <c r="L733" s="30"/>
      <c r="Q733" s="30"/>
      <c r="V733" s="30"/>
      <c r="AA733" s="27"/>
    </row>
    <row r="734" spans="2:27" ht="13.2" x14ac:dyDescent="0.25">
      <c r="B734" s="30"/>
      <c r="G734" s="30"/>
      <c r="L734" s="30"/>
      <c r="Q734" s="30"/>
      <c r="V734" s="30"/>
      <c r="AA734" s="27"/>
    </row>
    <row r="735" spans="2:27" ht="13.2" x14ac:dyDescent="0.25">
      <c r="B735" s="30"/>
      <c r="G735" s="30"/>
      <c r="L735" s="30"/>
      <c r="Q735" s="30"/>
      <c r="V735" s="30"/>
      <c r="AA735" s="27"/>
    </row>
    <row r="736" spans="2:27" ht="13.2" x14ac:dyDescent="0.25">
      <c r="B736" s="30"/>
      <c r="G736" s="30"/>
      <c r="L736" s="30"/>
      <c r="Q736" s="30"/>
      <c r="V736" s="30"/>
      <c r="AA736" s="27"/>
    </row>
    <row r="737" spans="2:27" ht="13.2" x14ac:dyDescent="0.25">
      <c r="B737" s="30"/>
      <c r="G737" s="30"/>
      <c r="L737" s="30"/>
      <c r="Q737" s="30"/>
      <c r="V737" s="30"/>
      <c r="AA737" s="27"/>
    </row>
    <row r="738" spans="2:27" ht="13.2" x14ac:dyDescent="0.25">
      <c r="B738" s="30"/>
      <c r="G738" s="30"/>
      <c r="L738" s="30"/>
      <c r="Q738" s="30"/>
      <c r="V738" s="30"/>
      <c r="AA738" s="27"/>
    </row>
    <row r="739" spans="2:27" ht="13.2" x14ac:dyDescent="0.25">
      <c r="B739" s="30"/>
      <c r="G739" s="30"/>
      <c r="L739" s="30"/>
      <c r="Q739" s="30"/>
      <c r="V739" s="30"/>
      <c r="AA739" s="27"/>
    </row>
    <row r="740" spans="2:27" ht="13.2" x14ac:dyDescent="0.25">
      <c r="B740" s="30"/>
      <c r="G740" s="30"/>
      <c r="L740" s="30"/>
      <c r="Q740" s="30"/>
      <c r="V740" s="30"/>
      <c r="AA740" s="27"/>
    </row>
    <row r="741" spans="2:27" ht="13.2" x14ac:dyDescent="0.25">
      <c r="B741" s="30"/>
      <c r="G741" s="30"/>
      <c r="L741" s="30"/>
      <c r="Q741" s="30"/>
      <c r="V741" s="30"/>
      <c r="AA741" s="27"/>
    </row>
    <row r="742" spans="2:27" ht="13.2" x14ac:dyDescent="0.25">
      <c r="B742" s="30"/>
      <c r="G742" s="30"/>
      <c r="L742" s="30"/>
      <c r="Q742" s="30"/>
      <c r="V742" s="30"/>
      <c r="AA742" s="27"/>
    </row>
    <row r="743" spans="2:27" ht="13.2" x14ac:dyDescent="0.25">
      <c r="B743" s="30"/>
      <c r="G743" s="30"/>
      <c r="L743" s="30"/>
      <c r="Q743" s="30"/>
      <c r="V743" s="30"/>
      <c r="AA743" s="27"/>
    </row>
    <row r="744" spans="2:27" ht="13.2" x14ac:dyDescent="0.25">
      <c r="B744" s="30"/>
      <c r="G744" s="30"/>
      <c r="L744" s="30"/>
      <c r="Q744" s="30"/>
      <c r="V744" s="30"/>
      <c r="AA744" s="27"/>
    </row>
    <row r="745" spans="2:27" ht="13.2" x14ac:dyDescent="0.25">
      <c r="B745" s="30"/>
      <c r="G745" s="30"/>
      <c r="L745" s="30"/>
      <c r="Q745" s="30"/>
      <c r="V745" s="30"/>
      <c r="AA745" s="27"/>
    </row>
    <row r="746" spans="2:27" ht="13.2" x14ac:dyDescent="0.25">
      <c r="B746" s="30"/>
      <c r="G746" s="30"/>
      <c r="L746" s="30"/>
      <c r="Q746" s="30"/>
      <c r="V746" s="30"/>
      <c r="AA746" s="27"/>
    </row>
    <row r="747" spans="2:27" ht="13.2" x14ac:dyDescent="0.25">
      <c r="B747" s="30"/>
      <c r="G747" s="30"/>
      <c r="L747" s="30"/>
      <c r="Q747" s="30"/>
      <c r="V747" s="30"/>
      <c r="AA747" s="27"/>
    </row>
    <row r="748" spans="2:27" ht="13.2" x14ac:dyDescent="0.25">
      <c r="B748" s="30"/>
      <c r="G748" s="30"/>
      <c r="L748" s="30"/>
      <c r="Q748" s="30"/>
      <c r="V748" s="30"/>
      <c r="AA748" s="27"/>
    </row>
    <row r="749" spans="2:27" ht="13.2" x14ac:dyDescent="0.25">
      <c r="B749" s="30"/>
      <c r="G749" s="30"/>
      <c r="L749" s="30"/>
      <c r="Q749" s="30"/>
      <c r="V749" s="30"/>
      <c r="AA749" s="27"/>
    </row>
    <row r="750" spans="2:27" ht="13.2" x14ac:dyDescent="0.25">
      <c r="B750" s="30"/>
      <c r="G750" s="30"/>
      <c r="L750" s="30"/>
      <c r="Q750" s="30"/>
      <c r="V750" s="30"/>
      <c r="AA750" s="27"/>
    </row>
    <row r="751" spans="2:27" ht="13.2" x14ac:dyDescent="0.25">
      <c r="B751" s="30"/>
      <c r="G751" s="30"/>
      <c r="L751" s="30"/>
      <c r="Q751" s="30"/>
      <c r="V751" s="30"/>
      <c r="AA751" s="27"/>
    </row>
    <row r="752" spans="2:27" ht="13.2" x14ac:dyDescent="0.25">
      <c r="B752" s="30"/>
      <c r="G752" s="30"/>
      <c r="L752" s="30"/>
      <c r="Q752" s="30"/>
      <c r="V752" s="30"/>
      <c r="AA752" s="27"/>
    </row>
    <row r="753" spans="2:27" ht="13.2" x14ac:dyDescent="0.25">
      <c r="B753" s="30"/>
      <c r="G753" s="30"/>
      <c r="L753" s="30"/>
      <c r="Q753" s="30"/>
      <c r="V753" s="30"/>
      <c r="AA753" s="27"/>
    </row>
    <row r="754" spans="2:27" ht="13.2" x14ac:dyDescent="0.25">
      <c r="B754" s="30"/>
      <c r="G754" s="30"/>
      <c r="L754" s="30"/>
      <c r="Q754" s="30"/>
      <c r="V754" s="30"/>
      <c r="AA754" s="27"/>
    </row>
    <row r="755" spans="2:27" ht="13.2" x14ac:dyDescent="0.25">
      <c r="B755" s="30"/>
      <c r="G755" s="30"/>
      <c r="L755" s="30"/>
      <c r="Q755" s="30"/>
      <c r="V755" s="30"/>
      <c r="AA755" s="27"/>
    </row>
    <row r="756" spans="2:27" ht="13.2" x14ac:dyDescent="0.25">
      <c r="B756" s="30"/>
      <c r="G756" s="30"/>
      <c r="L756" s="30"/>
      <c r="Q756" s="30"/>
      <c r="V756" s="30"/>
      <c r="AA756" s="27"/>
    </row>
    <row r="757" spans="2:27" ht="13.2" x14ac:dyDescent="0.25">
      <c r="B757" s="30"/>
      <c r="G757" s="30"/>
      <c r="L757" s="30"/>
      <c r="Q757" s="30"/>
      <c r="V757" s="30"/>
      <c r="AA757" s="27"/>
    </row>
    <row r="758" spans="2:27" ht="13.2" x14ac:dyDescent="0.25">
      <c r="B758" s="30"/>
      <c r="G758" s="30"/>
      <c r="L758" s="30"/>
      <c r="Q758" s="30"/>
      <c r="V758" s="30"/>
      <c r="AA758" s="27"/>
    </row>
    <row r="759" spans="2:27" ht="13.2" x14ac:dyDescent="0.25">
      <c r="B759" s="30"/>
      <c r="G759" s="30"/>
      <c r="L759" s="30"/>
      <c r="Q759" s="30"/>
      <c r="V759" s="30"/>
      <c r="AA759" s="27"/>
    </row>
    <row r="760" spans="2:27" ht="13.2" x14ac:dyDescent="0.25">
      <c r="B760" s="30"/>
      <c r="G760" s="30"/>
      <c r="L760" s="30"/>
      <c r="Q760" s="30"/>
      <c r="V760" s="30"/>
      <c r="AA760" s="27"/>
    </row>
    <row r="761" spans="2:27" ht="13.2" x14ac:dyDescent="0.25">
      <c r="B761" s="30"/>
      <c r="G761" s="30"/>
      <c r="L761" s="30"/>
      <c r="Q761" s="30"/>
      <c r="V761" s="30"/>
      <c r="AA761" s="27"/>
    </row>
    <row r="762" spans="2:27" ht="13.2" x14ac:dyDescent="0.25">
      <c r="B762" s="30"/>
      <c r="G762" s="30"/>
      <c r="L762" s="30"/>
      <c r="Q762" s="30"/>
      <c r="V762" s="30"/>
      <c r="AA762" s="27"/>
    </row>
    <row r="763" spans="2:27" ht="13.2" x14ac:dyDescent="0.25">
      <c r="B763" s="30"/>
      <c r="G763" s="30"/>
      <c r="L763" s="30"/>
      <c r="Q763" s="30"/>
      <c r="V763" s="30"/>
      <c r="AA763" s="27"/>
    </row>
    <row r="764" spans="2:27" ht="13.2" x14ac:dyDescent="0.25">
      <c r="B764" s="30"/>
      <c r="G764" s="30"/>
      <c r="L764" s="30"/>
      <c r="Q764" s="30"/>
      <c r="V764" s="30"/>
      <c r="AA764" s="27"/>
    </row>
    <row r="765" spans="2:27" ht="13.2" x14ac:dyDescent="0.25">
      <c r="B765" s="30"/>
      <c r="G765" s="30"/>
      <c r="L765" s="30"/>
      <c r="Q765" s="30"/>
      <c r="V765" s="30"/>
      <c r="AA765" s="27"/>
    </row>
    <row r="766" spans="2:27" ht="13.2" x14ac:dyDescent="0.25">
      <c r="B766" s="30"/>
      <c r="G766" s="30"/>
      <c r="L766" s="30"/>
      <c r="Q766" s="30"/>
      <c r="V766" s="30"/>
      <c r="AA766" s="27"/>
    </row>
    <row r="767" spans="2:27" ht="13.2" x14ac:dyDescent="0.25">
      <c r="B767" s="30"/>
      <c r="G767" s="30"/>
      <c r="L767" s="30"/>
      <c r="Q767" s="30"/>
      <c r="V767" s="30"/>
      <c r="AA767" s="27"/>
    </row>
    <row r="768" spans="2:27" ht="13.2" x14ac:dyDescent="0.25">
      <c r="B768" s="30"/>
      <c r="G768" s="30"/>
      <c r="L768" s="30"/>
      <c r="Q768" s="30"/>
      <c r="V768" s="30"/>
      <c r="AA768" s="27"/>
    </row>
    <row r="769" spans="2:27" ht="13.2" x14ac:dyDescent="0.25">
      <c r="B769" s="30"/>
      <c r="G769" s="30"/>
      <c r="L769" s="30"/>
      <c r="Q769" s="30"/>
      <c r="V769" s="30"/>
      <c r="AA769" s="27"/>
    </row>
    <row r="770" spans="2:27" ht="13.2" x14ac:dyDescent="0.25">
      <c r="B770" s="30"/>
      <c r="G770" s="30"/>
      <c r="L770" s="30"/>
      <c r="Q770" s="30"/>
      <c r="V770" s="30"/>
      <c r="AA770" s="27"/>
    </row>
    <row r="771" spans="2:27" ht="13.2" x14ac:dyDescent="0.25">
      <c r="B771" s="30"/>
      <c r="G771" s="30"/>
      <c r="L771" s="30"/>
      <c r="Q771" s="30"/>
      <c r="V771" s="30"/>
      <c r="AA771" s="27"/>
    </row>
    <row r="772" spans="2:27" ht="13.2" x14ac:dyDescent="0.25">
      <c r="B772" s="30"/>
      <c r="G772" s="30"/>
      <c r="L772" s="30"/>
      <c r="Q772" s="30"/>
      <c r="V772" s="30"/>
      <c r="AA772" s="27"/>
    </row>
    <row r="773" spans="2:27" ht="13.2" x14ac:dyDescent="0.25">
      <c r="B773" s="30"/>
      <c r="G773" s="30"/>
      <c r="L773" s="30"/>
      <c r="Q773" s="30"/>
      <c r="V773" s="30"/>
      <c r="AA773" s="27"/>
    </row>
    <row r="774" spans="2:27" ht="13.2" x14ac:dyDescent="0.25">
      <c r="B774" s="30"/>
      <c r="G774" s="30"/>
      <c r="L774" s="30"/>
      <c r="Q774" s="30"/>
      <c r="V774" s="30"/>
      <c r="AA774" s="27"/>
    </row>
    <row r="775" spans="2:27" ht="13.2" x14ac:dyDescent="0.25">
      <c r="B775" s="30"/>
      <c r="G775" s="30"/>
      <c r="L775" s="30"/>
      <c r="Q775" s="30"/>
      <c r="V775" s="30"/>
      <c r="AA775" s="27"/>
    </row>
    <row r="776" spans="2:27" ht="13.2" x14ac:dyDescent="0.25">
      <c r="B776" s="30"/>
      <c r="G776" s="30"/>
      <c r="L776" s="30"/>
      <c r="Q776" s="30"/>
      <c r="V776" s="30"/>
      <c r="AA776" s="27"/>
    </row>
    <row r="777" spans="2:27" ht="13.2" x14ac:dyDescent="0.25">
      <c r="B777" s="30"/>
      <c r="G777" s="30"/>
      <c r="L777" s="30"/>
      <c r="Q777" s="30"/>
      <c r="V777" s="30"/>
      <c r="AA777" s="27"/>
    </row>
    <row r="778" spans="2:27" ht="13.2" x14ac:dyDescent="0.25">
      <c r="B778" s="30"/>
      <c r="G778" s="30"/>
      <c r="L778" s="30"/>
      <c r="Q778" s="30"/>
      <c r="V778" s="30"/>
      <c r="AA778" s="27"/>
    </row>
    <row r="779" spans="2:27" ht="13.2" x14ac:dyDescent="0.25">
      <c r="B779" s="30"/>
      <c r="G779" s="30"/>
      <c r="L779" s="30"/>
      <c r="Q779" s="30"/>
      <c r="V779" s="30"/>
      <c r="AA779" s="27"/>
    </row>
    <row r="780" spans="2:27" ht="13.2" x14ac:dyDescent="0.25">
      <c r="B780" s="30"/>
      <c r="G780" s="30"/>
      <c r="L780" s="30"/>
      <c r="Q780" s="30"/>
      <c r="V780" s="30"/>
      <c r="AA780" s="27"/>
    </row>
    <row r="781" spans="2:27" ht="13.2" x14ac:dyDescent="0.25">
      <c r="B781" s="30"/>
      <c r="G781" s="30"/>
      <c r="L781" s="30"/>
      <c r="Q781" s="30"/>
      <c r="V781" s="30"/>
      <c r="AA781" s="27"/>
    </row>
    <row r="782" spans="2:27" ht="13.2" x14ac:dyDescent="0.25">
      <c r="B782" s="30"/>
      <c r="G782" s="30"/>
      <c r="L782" s="30"/>
      <c r="Q782" s="30"/>
      <c r="V782" s="30"/>
      <c r="AA782" s="27"/>
    </row>
    <row r="783" spans="2:27" ht="13.2" x14ac:dyDescent="0.25">
      <c r="B783" s="30"/>
      <c r="G783" s="30"/>
      <c r="L783" s="30"/>
      <c r="Q783" s="30"/>
      <c r="V783" s="30"/>
      <c r="AA783" s="27"/>
    </row>
    <row r="784" spans="2:27" ht="13.2" x14ac:dyDescent="0.25">
      <c r="B784" s="30"/>
      <c r="G784" s="30"/>
      <c r="L784" s="30"/>
      <c r="Q784" s="30"/>
      <c r="V784" s="30"/>
      <c r="AA784" s="27"/>
    </row>
    <row r="785" spans="2:27" ht="13.2" x14ac:dyDescent="0.25">
      <c r="B785" s="30"/>
      <c r="G785" s="30"/>
      <c r="L785" s="30"/>
      <c r="Q785" s="30"/>
      <c r="V785" s="30"/>
      <c r="AA785" s="27"/>
    </row>
    <row r="786" spans="2:27" ht="13.2" x14ac:dyDescent="0.25">
      <c r="B786" s="30"/>
      <c r="G786" s="30"/>
      <c r="L786" s="30"/>
      <c r="Q786" s="30"/>
      <c r="V786" s="30"/>
      <c r="AA786" s="27"/>
    </row>
    <row r="787" spans="2:27" ht="13.2" x14ac:dyDescent="0.25">
      <c r="B787" s="30"/>
      <c r="G787" s="30"/>
      <c r="L787" s="30"/>
      <c r="Q787" s="30"/>
      <c r="V787" s="30"/>
      <c r="AA787" s="27"/>
    </row>
    <row r="788" spans="2:27" ht="13.2" x14ac:dyDescent="0.25">
      <c r="B788" s="30"/>
      <c r="G788" s="30"/>
      <c r="L788" s="30"/>
      <c r="Q788" s="30"/>
      <c r="V788" s="30"/>
      <c r="AA788" s="27"/>
    </row>
    <row r="789" spans="2:27" ht="13.2" x14ac:dyDescent="0.25">
      <c r="B789" s="30"/>
      <c r="G789" s="30"/>
      <c r="L789" s="30"/>
      <c r="Q789" s="30"/>
      <c r="V789" s="30"/>
      <c r="AA789" s="27"/>
    </row>
    <row r="790" spans="2:27" ht="13.2" x14ac:dyDescent="0.25">
      <c r="B790" s="30"/>
      <c r="G790" s="30"/>
      <c r="L790" s="30"/>
      <c r="Q790" s="30"/>
      <c r="V790" s="30"/>
      <c r="AA790" s="27"/>
    </row>
    <row r="791" spans="2:27" ht="13.2" x14ac:dyDescent="0.25">
      <c r="B791" s="30"/>
      <c r="G791" s="30"/>
      <c r="L791" s="30"/>
      <c r="Q791" s="30"/>
      <c r="V791" s="30"/>
      <c r="AA791" s="27"/>
    </row>
    <row r="792" spans="2:27" ht="13.2" x14ac:dyDescent="0.25">
      <c r="B792" s="30"/>
      <c r="G792" s="30"/>
      <c r="L792" s="30"/>
      <c r="Q792" s="30"/>
      <c r="V792" s="30"/>
      <c r="AA792" s="27"/>
    </row>
    <row r="793" spans="2:27" ht="13.2" x14ac:dyDescent="0.25">
      <c r="B793" s="30"/>
      <c r="G793" s="30"/>
      <c r="L793" s="30"/>
      <c r="Q793" s="30"/>
      <c r="V793" s="30"/>
      <c r="AA793" s="27"/>
    </row>
    <row r="794" spans="2:27" ht="13.2" x14ac:dyDescent="0.25">
      <c r="B794" s="30"/>
      <c r="G794" s="30"/>
      <c r="L794" s="30"/>
      <c r="Q794" s="30"/>
      <c r="V794" s="30"/>
      <c r="AA794" s="27"/>
    </row>
    <row r="795" spans="2:27" ht="13.2" x14ac:dyDescent="0.25">
      <c r="B795" s="30"/>
      <c r="G795" s="30"/>
      <c r="L795" s="30"/>
      <c r="Q795" s="30"/>
      <c r="V795" s="30"/>
      <c r="AA795" s="27"/>
    </row>
    <row r="796" spans="2:27" ht="13.2" x14ac:dyDescent="0.25">
      <c r="B796" s="30"/>
      <c r="G796" s="30"/>
      <c r="L796" s="30"/>
      <c r="Q796" s="30"/>
      <c r="V796" s="30"/>
      <c r="AA796" s="27"/>
    </row>
    <row r="797" spans="2:27" ht="13.2" x14ac:dyDescent="0.25">
      <c r="B797" s="30"/>
      <c r="G797" s="30"/>
      <c r="L797" s="30"/>
      <c r="Q797" s="30"/>
      <c r="V797" s="30"/>
      <c r="AA797" s="27"/>
    </row>
    <row r="798" spans="2:27" ht="13.2" x14ac:dyDescent="0.25">
      <c r="B798" s="30"/>
      <c r="G798" s="30"/>
      <c r="L798" s="30"/>
      <c r="Q798" s="30"/>
      <c r="V798" s="30"/>
      <c r="AA798" s="27"/>
    </row>
    <row r="799" spans="2:27" ht="13.2" x14ac:dyDescent="0.25">
      <c r="B799" s="30"/>
      <c r="G799" s="30"/>
      <c r="L799" s="30"/>
      <c r="Q799" s="30"/>
      <c r="V799" s="30"/>
      <c r="AA799" s="27"/>
    </row>
    <row r="800" spans="2:27" ht="13.2" x14ac:dyDescent="0.25">
      <c r="B800" s="30"/>
      <c r="G800" s="30"/>
      <c r="L800" s="30"/>
      <c r="Q800" s="30"/>
      <c r="V800" s="30"/>
      <c r="AA800" s="27"/>
    </row>
    <row r="801" spans="2:27" ht="13.2" x14ac:dyDescent="0.25">
      <c r="B801" s="30"/>
      <c r="G801" s="30"/>
      <c r="L801" s="30"/>
      <c r="Q801" s="30"/>
      <c r="V801" s="30"/>
      <c r="AA801" s="27"/>
    </row>
    <row r="802" spans="2:27" ht="13.2" x14ac:dyDescent="0.25">
      <c r="B802" s="30"/>
      <c r="G802" s="30"/>
      <c r="L802" s="30"/>
      <c r="Q802" s="30"/>
      <c r="V802" s="30"/>
      <c r="AA802" s="27"/>
    </row>
    <row r="803" spans="2:27" ht="13.2" x14ac:dyDescent="0.25">
      <c r="B803" s="30"/>
      <c r="G803" s="30"/>
      <c r="L803" s="30"/>
      <c r="Q803" s="30"/>
      <c r="V803" s="30"/>
      <c r="AA803" s="27"/>
    </row>
    <row r="804" spans="2:27" ht="13.2" x14ac:dyDescent="0.25">
      <c r="B804" s="30"/>
      <c r="G804" s="30"/>
      <c r="L804" s="30"/>
      <c r="Q804" s="30"/>
      <c r="V804" s="30"/>
      <c r="AA804" s="27"/>
    </row>
    <row r="805" spans="2:27" ht="13.2" x14ac:dyDescent="0.25">
      <c r="B805" s="30"/>
      <c r="G805" s="30"/>
      <c r="L805" s="30"/>
      <c r="Q805" s="30"/>
      <c r="V805" s="30"/>
      <c r="AA805" s="27"/>
    </row>
    <row r="806" spans="2:27" ht="13.2" x14ac:dyDescent="0.25">
      <c r="B806" s="30"/>
      <c r="G806" s="30"/>
      <c r="L806" s="30"/>
      <c r="Q806" s="30"/>
      <c r="V806" s="30"/>
      <c r="AA806" s="27"/>
    </row>
    <row r="807" spans="2:27" ht="13.2" x14ac:dyDescent="0.25">
      <c r="B807" s="30"/>
      <c r="G807" s="30"/>
      <c r="L807" s="30"/>
      <c r="Q807" s="30"/>
      <c r="V807" s="30"/>
      <c r="AA807" s="27"/>
    </row>
    <row r="808" spans="2:27" ht="13.2" x14ac:dyDescent="0.25">
      <c r="B808" s="30"/>
      <c r="G808" s="30"/>
      <c r="L808" s="30"/>
      <c r="Q808" s="30"/>
      <c r="V808" s="30"/>
      <c r="AA808" s="27"/>
    </row>
    <row r="809" spans="2:27" ht="13.2" x14ac:dyDescent="0.25">
      <c r="B809" s="30"/>
      <c r="G809" s="30"/>
      <c r="L809" s="30"/>
      <c r="Q809" s="30"/>
      <c r="V809" s="30"/>
      <c r="AA809" s="27"/>
    </row>
    <row r="810" spans="2:27" ht="13.2" x14ac:dyDescent="0.25">
      <c r="B810" s="30"/>
      <c r="G810" s="30"/>
      <c r="L810" s="30"/>
      <c r="Q810" s="30"/>
      <c r="V810" s="30"/>
      <c r="AA810" s="27"/>
    </row>
    <row r="811" spans="2:27" ht="13.2" x14ac:dyDescent="0.25">
      <c r="B811" s="30"/>
      <c r="G811" s="30"/>
      <c r="L811" s="30"/>
      <c r="Q811" s="30"/>
      <c r="V811" s="30"/>
      <c r="AA811" s="27"/>
    </row>
    <row r="812" spans="2:27" ht="13.2" x14ac:dyDescent="0.25">
      <c r="B812" s="30"/>
      <c r="G812" s="30"/>
      <c r="L812" s="30"/>
      <c r="Q812" s="30"/>
      <c r="V812" s="30"/>
      <c r="AA812" s="27"/>
    </row>
    <row r="813" spans="2:27" ht="13.2" x14ac:dyDescent="0.25">
      <c r="B813" s="30"/>
      <c r="G813" s="30"/>
      <c r="L813" s="30"/>
      <c r="Q813" s="30"/>
      <c r="V813" s="30"/>
      <c r="AA813" s="27"/>
    </row>
    <row r="814" spans="2:27" ht="13.2" x14ac:dyDescent="0.25">
      <c r="B814" s="30"/>
      <c r="G814" s="30"/>
      <c r="L814" s="30"/>
      <c r="Q814" s="30"/>
      <c r="V814" s="30"/>
      <c r="AA814" s="27"/>
    </row>
    <row r="815" spans="2:27" ht="13.2" x14ac:dyDescent="0.25">
      <c r="B815" s="30"/>
      <c r="G815" s="30"/>
      <c r="L815" s="30"/>
      <c r="Q815" s="30"/>
      <c r="V815" s="30"/>
      <c r="AA815" s="27"/>
    </row>
    <row r="816" spans="2:27" ht="13.2" x14ac:dyDescent="0.25">
      <c r="B816" s="30"/>
      <c r="G816" s="30"/>
      <c r="L816" s="30"/>
      <c r="Q816" s="30"/>
      <c r="V816" s="30"/>
      <c r="AA816" s="27"/>
    </row>
    <row r="817" spans="2:27" ht="13.2" x14ac:dyDescent="0.25">
      <c r="B817" s="30"/>
      <c r="G817" s="30"/>
      <c r="L817" s="30"/>
      <c r="Q817" s="30"/>
      <c r="V817" s="30"/>
      <c r="AA817" s="27"/>
    </row>
    <row r="818" spans="2:27" ht="13.2" x14ac:dyDescent="0.25">
      <c r="B818" s="30"/>
      <c r="G818" s="30"/>
      <c r="L818" s="30"/>
      <c r="Q818" s="30"/>
      <c r="V818" s="30"/>
      <c r="AA818" s="27"/>
    </row>
    <row r="819" spans="2:27" ht="13.2" x14ac:dyDescent="0.25">
      <c r="B819" s="30"/>
      <c r="G819" s="30"/>
      <c r="L819" s="30"/>
      <c r="Q819" s="30"/>
      <c r="V819" s="30"/>
      <c r="AA819" s="27"/>
    </row>
    <row r="820" spans="2:27" ht="13.2" x14ac:dyDescent="0.25">
      <c r="B820" s="30"/>
      <c r="G820" s="30"/>
      <c r="L820" s="30"/>
      <c r="Q820" s="30"/>
      <c r="V820" s="30"/>
      <c r="AA820" s="27"/>
    </row>
    <row r="821" spans="2:27" ht="13.2" x14ac:dyDescent="0.25">
      <c r="B821" s="30"/>
      <c r="G821" s="30"/>
      <c r="L821" s="30"/>
      <c r="Q821" s="30"/>
      <c r="V821" s="30"/>
      <c r="AA821" s="27"/>
    </row>
    <row r="822" spans="2:27" ht="13.2" x14ac:dyDescent="0.25">
      <c r="B822" s="30"/>
      <c r="G822" s="30"/>
      <c r="L822" s="30"/>
      <c r="Q822" s="30"/>
      <c r="V822" s="30"/>
      <c r="AA822" s="27"/>
    </row>
    <row r="823" spans="2:27" ht="13.2" x14ac:dyDescent="0.25">
      <c r="B823" s="30"/>
      <c r="G823" s="30"/>
      <c r="L823" s="30"/>
      <c r="Q823" s="30"/>
      <c r="V823" s="30"/>
      <c r="AA823" s="27"/>
    </row>
    <row r="824" spans="2:27" ht="13.2" x14ac:dyDescent="0.25">
      <c r="B824" s="30"/>
      <c r="G824" s="30"/>
      <c r="L824" s="30"/>
      <c r="Q824" s="30"/>
      <c r="V824" s="30"/>
      <c r="AA824" s="27"/>
    </row>
    <row r="825" spans="2:27" ht="13.2" x14ac:dyDescent="0.25">
      <c r="B825" s="30"/>
      <c r="G825" s="30"/>
      <c r="L825" s="30"/>
      <c r="Q825" s="30"/>
      <c r="V825" s="30"/>
      <c r="AA825" s="27"/>
    </row>
    <row r="826" spans="2:27" ht="13.2" x14ac:dyDescent="0.25">
      <c r="B826" s="30"/>
      <c r="G826" s="30"/>
      <c r="L826" s="30"/>
      <c r="Q826" s="30"/>
      <c r="V826" s="30"/>
      <c r="AA826" s="27"/>
    </row>
    <row r="827" spans="2:27" ht="13.2" x14ac:dyDescent="0.25">
      <c r="B827" s="30"/>
      <c r="G827" s="30"/>
      <c r="L827" s="30"/>
      <c r="Q827" s="30"/>
      <c r="V827" s="30"/>
      <c r="AA827" s="27"/>
    </row>
    <row r="828" spans="2:27" ht="13.2" x14ac:dyDescent="0.25">
      <c r="B828" s="30"/>
      <c r="G828" s="30"/>
      <c r="L828" s="30"/>
      <c r="Q828" s="30"/>
      <c r="V828" s="30"/>
      <c r="AA828" s="27"/>
    </row>
    <row r="829" spans="2:27" ht="13.2" x14ac:dyDescent="0.25">
      <c r="B829" s="30"/>
      <c r="G829" s="30"/>
      <c r="L829" s="30"/>
      <c r="Q829" s="30"/>
      <c r="V829" s="30"/>
      <c r="AA829" s="27"/>
    </row>
    <row r="830" spans="2:27" ht="13.2" x14ac:dyDescent="0.25">
      <c r="B830" s="30"/>
      <c r="G830" s="30"/>
      <c r="L830" s="30"/>
      <c r="Q830" s="30"/>
      <c r="V830" s="30"/>
      <c r="AA830" s="27"/>
    </row>
    <row r="831" spans="2:27" ht="13.2" x14ac:dyDescent="0.25">
      <c r="B831" s="30"/>
      <c r="G831" s="30"/>
      <c r="L831" s="30"/>
      <c r="Q831" s="30"/>
      <c r="V831" s="30"/>
      <c r="AA831" s="27"/>
    </row>
    <row r="832" spans="2:27" ht="13.2" x14ac:dyDescent="0.25">
      <c r="B832" s="30"/>
      <c r="G832" s="30"/>
      <c r="L832" s="30"/>
      <c r="Q832" s="30"/>
      <c r="V832" s="30"/>
      <c r="AA832" s="27"/>
    </row>
    <row r="833" spans="2:27" ht="13.2" x14ac:dyDescent="0.25">
      <c r="B833" s="30"/>
      <c r="G833" s="30"/>
      <c r="L833" s="30"/>
      <c r="Q833" s="30"/>
      <c r="V833" s="30"/>
      <c r="AA833" s="27"/>
    </row>
    <row r="834" spans="2:27" ht="13.2" x14ac:dyDescent="0.25">
      <c r="B834" s="30"/>
      <c r="G834" s="30"/>
      <c r="L834" s="30"/>
      <c r="Q834" s="30"/>
      <c r="V834" s="30"/>
      <c r="AA834" s="27"/>
    </row>
    <row r="835" spans="2:27" ht="13.2" x14ac:dyDescent="0.25">
      <c r="B835" s="30"/>
      <c r="G835" s="30"/>
      <c r="L835" s="30"/>
      <c r="Q835" s="30"/>
      <c r="V835" s="30"/>
      <c r="AA835" s="27"/>
    </row>
    <row r="836" spans="2:27" ht="13.2" x14ac:dyDescent="0.25">
      <c r="B836" s="30"/>
      <c r="G836" s="30"/>
      <c r="L836" s="30"/>
      <c r="Q836" s="30"/>
      <c r="V836" s="30"/>
      <c r="AA836" s="27"/>
    </row>
    <row r="837" spans="2:27" ht="13.2" x14ac:dyDescent="0.25">
      <c r="B837" s="30"/>
      <c r="G837" s="30"/>
      <c r="L837" s="30"/>
      <c r="Q837" s="30"/>
      <c r="V837" s="30"/>
      <c r="AA837" s="27"/>
    </row>
    <row r="838" spans="2:27" ht="13.2" x14ac:dyDescent="0.25">
      <c r="B838" s="30"/>
      <c r="G838" s="30"/>
      <c r="L838" s="30"/>
      <c r="Q838" s="30"/>
      <c r="V838" s="30"/>
      <c r="AA838" s="27"/>
    </row>
    <row r="839" spans="2:27" ht="13.2" x14ac:dyDescent="0.25">
      <c r="B839" s="30"/>
      <c r="G839" s="30"/>
      <c r="L839" s="30"/>
      <c r="Q839" s="30"/>
      <c r="V839" s="30"/>
      <c r="AA839" s="27"/>
    </row>
    <row r="840" spans="2:27" ht="13.2" x14ac:dyDescent="0.25">
      <c r="B840" s="30"/>
      <c r="G840" s="30"/>
      <c r="L840" s="30"/>
      <c r="Q840" s="30"/>
      <c r="V840" s="30"/>
      <c r="AA840" s="27"/>
    </row>
    <row r="841" spans="2:27" ht="13.2" x14ac:dyDescent="0.25">
      <c r="B841" s="30"/>
      <c r="G841" s="30"/>
      <c r="L841" s="30"/>
      <c r="Q841" s="30"/>
      <c r="V841" s="30"/>
      <c r="AA841" s="27"/>
    </row>
    <row r="842" spans="2:27" ht="13.2" x14ac:dyDescent="0.25">
      <c r="B842" s="30"/>
      <c r="G842" s="30"/>
      <c r="L842" s="30"/>
      <c r="Q842" s="30"/>
      <c r="V842" s="30"/>
      <c r="AA842" s="27"/>
    </row>
    <row r="843" spans="2:27" ht="13.2" x14ac:dyDescent="0.25">
      <c r="B843" s="30"/>
      <c r="G843" s="30"/>
      <c r="L843" s="30"/>
      <c r="Q843" s="30"/>
      <c r="V843" s="30"/>
      <c r="AA843" s="27"/>
    </row>
    <row r="844" spans="2:27" ht="13.2" x14ac:dyDescent="0.25">
      <c r="B844" s="30"/>
      <c r="G844" s="30"/>
      <c r="L844" s="30"/>
      <c r="Q844" s="30"/>
      <c r="V844" s="30"/>
      <c r="AA844" s="27"/>
    </row>
    <row r="845" spans="2:27" ht="13.2" x14ac:dyDescent="0.25">
      <c r="B845" s="30"/>
      <c r="G845" s="30"/>
      <c r="L845" s="30"/>
      <c r="Q845" s="30"/>
      <c r="V845" s="30"/>
      <c r="AA845" s="27"/>
    </row>
    <row r="846" spans="2:27" ht="13.2" x14ac:dyDescent="0.25">
      <c r="B846" s="30"/>
      <c r="G846" s="30"/>
      <c r="L846" s="30"/>
      <c r="Q846" s="30"/>
      <c r="V846" s="30"/>
      <c r="AA846" s="27"/>
    </row>
    <row r="847" spans="2:27" ht="13.2" x14ac:dyDescent="0.25">
      <c r="B847" s="30"/>
      <c r="G847" s="30"/>
      <c r="L847" s="30"/>
      <c r="Q847" s="30"/>
      <c r="V847" s="30"/>
      <c r="AA847" s="27"/>
    </row>
    <row r="848" spans="2:27" ht="13.2" x14ac:dyDescent="0.25">
      <c r="B848" s="30"/>
      <c r="G848" s="30"/>
      <c r="L848" s="30"/>
      <c r="Q848" s="30"/>
      <c r="V848" s="30"/>
      <c r="AA848" s="27"/>
    </row>
    <row r="849" spans="2:27" ht="13.2" x14ac:dyDescent="0.25">
      <c r="B849" s="30"/>
      <c r="G849" s="30"/>
      <c r="L849" s="30"/>
      <c r="Q849" s="30"/>
      <c r="V849" s="30"/>
      <c r="AA849" s="27"/>
    </row>
    <row r="850" spans="2:27" ht="13.2" x14ac:dyDescent="0.25">
      <c r="B850" s="30"/>
      <c r="G850" s="30"/>
      <c r="L850" s="30"/>
      <c r="Q850" s="30"/>
      <c r="V850" s="30"/>
      <c r="AA850" s="27"/>
    </row>
    <row r="851" spans="2:27" ht="13.2" x14ac:dyDescent="0.25">
      <c r="B851" s="30"/>
      <c r="G851" s="30"/>
      <c r="L851" s="30"/>
      <c r="Q851" s="30"/>
      <c r="V851" s="30"/>
      <c r="AA851" s="27"/>
    </row>
    <row r="852" spans="2:27" ht="13.2" x14ac:dyDescent="0.25">
      <c r="B852" s="30"/>
      <c r="G852" s="30"/>
      <c r="L852" s="30"/>
      <c r="Q852" s="30"/>
      <c r="V852" s="30"/>
      <c r="AA852" s="27"/>
    </row>
    <row r="853" spans="2:27" ht="13.2" x14ac:dyDescent="0.25">
      <c r="B853" s="30"/>
      <c r="G853" s="30"/>
      <c r="L853" s="30"/>
      <c r="Q853" s="30"/>
      <c r="V853" s="30"/>
      <c r="AA853" s="27"/>
    </row>
    <row r="854" spans="2:27" ht="13.2" x14ac:dyDescent="0.25">
      <c r="B854" s="30"/>
      <c r="G854" s="30"/>
      <c r="L854" s="30"/>
      <c r="Q854" s="30"/>
      <c r="V854" s="30"/>
      <c r="AA854" s="27"/>
    </row>
    <row r="855" spans="2:27" ht="13.2" x14ac:dyDescent="0.25">
      <c r="B855" s="30"/>
      <c r="G855" s="30"/>
      <c r="L855" s="30"/>
      <c r="Q855" s="30"/>
      <c r="V855" s="30"/>
      <c r="AA855" s="27"/>
    </row>
    <row r="856" spans="2:27" ht="13.2" x14ac:dyDescent="0.25">
      <c r="B856" s="30"/>
      <c r="G856" s="30"/>
      <c r="L856" s="30"/>
      <c r="Q856" s="30"/>
      <c r="V856" s="30"/>
      <c r="AA856" s="27"/>
    </row>
    <row r="857" spans="2:27" ht="13.2" x14ac:dyDescent="0.25">
      <c r="B857" s="30"/>
      <c r="G857" s="30"/>
      <c r="L857" s="30"/>
      <c r="Q857" s="30"/>
      <c r="V857" s="30"/>
      <c r="AA857" s="27"/>
    </row>
    <row r="858" spans="2:27" ht="13.2" x14ac:dyDescent="0.25">
      <c r="B858" s="30"/>
      <c r="G858" s="30"/>
      <c r="L858" s="30"/>
      <c r="Q858" s="30"/>
      <c r="V858" s="30"/>
      <c r="AA858" s="27"/>
    </row>
    <row r="859" spans="2:27" ht="13.2" x14ac:dyDescent="0.25">
      <c r="B859" s="30"/>
      <c r="G859" s="30"/>
      <c r="L859" s="30"/>
      <c r="Q859" s="30"/>
      <c r="V859" s="30"/>
      <c r="AA859" s="27"/>
    </row>
    <row r="860" spans="2:27" ht="13.2" x14ac:dyDescent="0.25">
      <c r="B860" s="30"/>
      <c r="G860" s="30"/>
      <c r="L860" s="30"/>
      <c r="Q860" s="30"/>
      <c r="V860" s="30"/>
      <c r="AA860" s="27"/>
    </row>
    <row r="861" spans="2:27" ht="13.2" x14ac:dyDescent="0.25">
      <c r="B861" s="30"/>
      <c r="G861" s="30"/>
      <c r="L861" s="30"/>
      <c r="Q861" s="30"/>
      <c r="V861" s="30"/>
      <c r="AA861" s="27"/>
    </row>
    <row r="862" spans="2:27" ht="13.2" x14ac:dyDescent="0.25">
      <c r="B862" s="30"/>
      <c r="G862" s="30"/>
      <c r="L862" s="30"/>
      <c r="Q862" s="30"/>
      <c r="V862" s="30"/>
      <c r="AA862" s="27"/>
    </row>
    <row r="863" spans="2:27" ht="13.2" x14ac:dyDescent="0.25">
      <c r="B863" s="30"/>
      <c r="G863" s="30"/>
      <c r="L863" s="30"/>
      <c r="Q863" s="30"/>
      <c r="V863" s="30"/>
      <c r="AA863" s="27"/>
    </row>
    <row r="864" spans="2:27" ht="13.2" x14ac:dyDescent="0.25">
      <c r="B864" s="30"/>
      <c r="G864" s="30"/>
      <c r="L864" s="30"/>
      <c r="Q864" s="30"/>
      <c r="V864" s="30"/>
      <c r="AA864" s="27"/>
    </row>
    <row r="865" spans="2:27" ht="13.2" x14ac:dyDescent="0.25">
      <c r="B865" s="30"/>
      <c r="G865" s="30"/>
      <c r="L865" s="30"/>
      <c r="Q865" s="30"/>
      <c r="V865" s="30"/>
      <c r="AA865" s="27"/>
    </row>
    <row r="866" spans="2:27" ht="13.2" x14ac:dyDescent="0.25">
      <c r="B866" s="30"/>
      <c r="G866" s="30"/>
      <c r="L866" s="30"/>
      <c r="Q866" s="30"/>
      <c r="V866" s="30"/>
      <c r="AA866" s="27"/>
    </row>
    <row r="867" spans="2:27" ht="13.2" x14ac:dyDescent="0.25">
      <c r="B867" s="30"/>
      <c r="G867" s="30"/>
      <c r="L867" s="30"/>
      <c r="Q867" s="30"/>
      <c r="V867" s="30"/>
      <c r="AA867" s="27"/>
    </row>
    <row r="868" spans="2:27" ht="13.2" x14ac:dyDescent="0.25">
      <c r="B868" s="30"/>
      <c r="G868" s="30"/>
      <c r="L868" s="30"/>
      <c r="Q868" s="30"/>
      <c r="V868" s="30"/>
      <c r="AA868" s="27"/>
    </row>
    <row r="869" spans="2:27" ht="13.2" x14ac:dyDescent="0.25">
      <c r="B869" s="30"/>
      <c r="G869" s="30"/>
      <c r="L869" s="30"/>
      <c r="Q869" s="30"/>
      <c r="V869" s="30"/>
      <c r="AA869" s="27"/>
    </row>
    <row r="870" spans="2:27" ht="13.2" x14ac:dyDescent="0.25">
      <c r="B870" s="30"/>
      <c r="G870" s="30"/>
      <c r="L870" s="30"/>
      <c r="Q870" s="30"/>
      <c r="V870" s="30"/>
      <c r="AA870" s="27"/>
    </row>
    <row r="871" spans="2:27" ht="13.2" x14ac:dyDescent="0.25">
      <c r="B871" s="30"/>
      <c r="G871" s="30"/>
      <c r="L871" s="30"/>
      <c r="Q871" s="30"/>
      <c r="V871" s="30"/>
      <c r="AA871" s="27"/>
    </row>
    <row r="872" spans="2:27" ht="13.2" x14ac:dyDescent="0.25">
      <c r="B872" s="30"/>
      <c r="G872" s="30"/>
      <c r="L872" s="30"/>
      <c r="Q872" s="30"/>
      <c r="V872" s="30"/>
      <c r="AA872" s="27"/>
    </row>
    <row r="873" spans="2:27" ht="13.2" x14ac:dyDescent="0.25">
      <c r="B873" s="30"/>
      <c r="G873" s="30"/>
      <c r="L873" s="30"/>
      <c r="Q873" s="30"/>
      <c r="V873" s="30"/>
      <c r="AA873" s="27"/>
    </row>
    <row r="874" spans="2:27" ht="13.2" x14ac:dyDescent="0.25">
      <c r="B874" s="30"/>
      <c r="G874" s="30"/>
      <c r="L874" s="30"/>
      <c r="Q874" s="30"/>
      <c r="V874" s="30"/>
      <c r="AA874" s="27"/>
    </row>
    <row r="875" spans="2:27" ht="13.2" x14ac:dyDescent="0.25">
      <c r="B875" s="30"/>
      <c r="G875" s="30"/>
      <c r="L875" s="30"/>
      <c r="Q875" s="30"/>
      <c r="V875" s="30"/>
      <c r="AA875" s="27"/>
    </row>
    <row r="876" spans="2:27" ht="13.2" x14ac:dyDescent="0.25">
      <c r="B876" s="30"/>
      <c r="G876" s="30"/>
      <c r="L876" s="30"/>
      <c r="Q876" s="30"/>
      <c r="V876" s="30"/>
      <c r="AA876" s="27"/>
    </row>
    <row r="877" spans="2:27" ht="13.2" x14ac:dyDescent="0.25">
      <c r="B877" s="30"/>
      <c r="G877" s="30"/>
      <c r="L877" s="30"/>
      <c r="Q877" s="30"/>
      <c r="V877" s="30"/>
      <c r="AA877" s="27"/>
    </row>
    <row r="878" spans="2:27" ht="13.2" x14ac:dyDescent="0.25">
      <c r="B878" s="30"/>
      <c r="G878" s="30"/>
      <c r="L878" s="30"/>
      <c r="Q878" s="30"/>
      <c r="V878" s="30"/>
      <c r="AA878" s="27"/>
    </row>
    <row r="879" spans="2:27" ht="13.2" x14ac:dyDescent="0.25">
      <c r="B879" s="30"/>
      <c r="G879" s="30"/>
      <c r="L879" s="30"/>
      <c r="Q879" s="30"/>
      <c r="V879" s="30"/>
      <c r="AA879" s="27"/>
    </row>
    <row r="880" spans="2:27" ht="13.2" x14ac:dyDescent="0.25">
      <c r="B880" s="30"/>
      <c r="G880" s="30"/>
      <c r="L880" s="30"/>
      <c r="Q880" s="30"/>
      <c r="V880" s="30"/>
      <c r="AA880" s="27"/>
    </row>
    <row r="881" spans="2:27" ht="13.2" x14ac:dyDescent="0.25">
      <c r="B881" s="30"/>
      <c r="G881" s="30"/>
      <c r="L881" s="30"/>
      <c r="Q881" s="30"/>
      <c r="V881" s="30"/>
      <c r="AA881" s="27"/>
    </row>
    <row r="882" spans="2:27" ht="13.2" x14ac:dyDescent="0.25">
      <c r="B882" s="30"/>
      <c r="G882" s="30"/>
      <c r="L882" s="30"/>
      <c r="Q882" s="30"/>
      <c r="V882" s="30"/>
      <c r="AA882" s="27"/>
    </row>
    <row r="883" spans="2:27" ht="13.2" x14ac:dyDescent="0.25">
      <c r="B883" s="30"/>
      <c r="G883" s="30"/>
      <c r="L883" s="30"/>
      <c r="Q883" s="30"/>
      <c r="V883" s="30"/>
      <c r="AA883" s="27"/>
    </row>
    <row r="884" spans="2:27" ht="13.2" x14ac:dyDescent="0.25">
      <c r="B884" s="30"/>
      <c r="G884" s="30"/>
      <c r="L884" s="30"/>
      <c r="Q884" s="30"/>
      <c r="V884" s="30"/>
      <c r="AA884" s="27"/>
    </row>
    <row r="885" spans="2:27" ht="13.2" x14ac:dyDescent="0.25">
      <c r="B885" s="30"/>
      <c r="G885" s="30"/>
      <c r="L885" s="30"/>
      <c r="Q885" s="30"/>
      <c r="V885" s="30"/>
      <c r="AA885" s="27"/>
    </row>
    <row r="886" spans="2:27" ht="13.2" x14ac:dyDescent="0.25">
      <c r="B886" s="30"/>
      <c r="G886" s="30"/>
      <c r="L886" s="30"/>
      <c r="Q886" s="30"/>
      <c r="V886" s="30"/>
      <c r="AA886" s="27"/>
    </row>
    <row r="887" spans="2:27" ht="13.2" x14ac:dyDescent="0.25">
      <c r="B887" s="30"/>
      <c r="G887" s="30"/>
      <c r="L887" s="30"/>
      <c r="Q887" s="30"/>
      <c r="V887" s="30"/>
      <c r="AA887" s="27"/>
    </row>
    <row r="888" spans="2:27" ht="13.2" x14ac:dyDescent="0.25">
      <c r="B888" s="30"/>
      <c r="G888" s="30"/>
      <c r="L888" s="30"/>
      <c r="Q888" s="30"/>
      <c r="V888" s="30"/>
      <c r="AA888" s="27"/>
    </row>
    <row r="889" spans="2:27" ht="13.2" x14ac:dyDescent="0.25">
      <c r="B889" s="30"/>
      <c r="G889" s="30"/>
      <c r="L889" s="30"/>
      <c r="Q889" s="30"/>
      <c r="V889" s="30"/>
      <c r="AA889" s="27"/>
    </row>
    <row r="890" spans="2:27" ht="13.2" x14ac:dyDescent="0.25">
      <c r="B890" s="30"/>
      <c r="G890" s="30"/>
      <c r="L890" s="30"/>
      <c r="Q890" s="30"/>
      <c r="V890" s="30"/>
      <c r="AA890" s="27"/>
    </row>
    <row r="891" spans="2:27" ht="13.2" x14ac:dyDescent="0.25">
      <c r="B891" s="30"/>
      <c r="G891" s="30"/>
      <c r="L891" s="30"/>
      <c r="Q891" s="30"/>
      <c r="V891" s="30"/>
      <c r="AA891" s="27"/>
    </row>
    <row r="892" spans="2:27" ht="13.2" x14ac:dyDescent="0.25">
      <c r="B892" s="30"/>
      <c r="G892" s="30"/>
      <c r="L892" s="30"/>
      <c r="Q892" s="30"/>
      <c r="V892" s="30"/>
      <c r="AA892" s="27"/>
    </row>
    <row r="893" spans="2:27" ht="13.2" x14ac:dyDescent="0.25">
      <c r="B893" s="30"/>
      <c r="G893" s="30"/>
      <c r="L893" s="30"/>
      <c r="Q893" s="30"/>
      <c r="V893" s="30"/>
      <c r="AA893" s="27"/>
    </row>
    <row r="894" spans="2:27" ht="13.2" x14ac:dyDescent="0.25">
      <c r="B894" s="30"/>
      <c r="G894" s="30"/>
      <c r="L894" s="30"/>
      <c r="Q894" s="30"/>
      <c r="V894" s="30"/>
      <c r="AA894" s="27"/>
    </row>
    <row r="895" spans="2:27" ht="13.2" x14ac:dyDescent="0.25">
      <c r="B895" s="30"/>
      <c r="G895" s="30"/>
      <c r="L895" s="30"/>
      <c r="Q895" s="30"/>
      <c r="V895" s="30"/>
      <c r="AA895" s="27"/>
    </row>
    <row r="896" spans="2:27" ht="13.2" x14ac:dyDescent="0.25">
      <c r="B896" s="30"/>
      <c r="G896" s="30"/>
      <c r="L896" s="30"/>
      <c r="Q896" s="30"/>
      <c r="V896" s="30"/>
      <c r="AA896" s="27"/>
    </row>
    <row r="897" spans="2:27" ht="13.2" x14ac:dyDescent="0.25">
      <c r="B897" s="30"/>
      <c r="G897" s="30"/>
      <c r="L897" s="30"/>
      <c r="Q897" s="30"/>
      <c r="V897" s="30"/>
      <c r="AA897" s="27"/>
    </row>
    <row r="898" spans="2:27" ht="13.2" x14ac:dyDescent="0.25">
      <c r="B898" s="30"/>
      <c r="G898" s="30"/>
      <c r="L898" s="30"/>
      <c r="Q898" s="30"/>
      <c r="V898" s="30"/>
      <c r="AA898" s="27"/>
    </row>
    <row r="899" spans="2:27" ht="13.2" x14ac:dyDescent="0.25">
      <c r="B899" s="30"/>
      <c r="G899" s="30"/>
      <c r="L899" s="30"/>
      <c r="Q899" s="30"/>
      <c r="V899" s="30"/>
      <c r="AA899" s="27"/>
    </row>
    <row r="900" spans="2:27" ht="13.2" x14ac:dyDescent="0.25">
      <c r="B900" s="30"/>
      <c r="G900" s="30"/>
      <c r="L900" s="30"/>
      <c r="Q900" s="30"/>
      <c r="V900" s="30"/>
      <c r="AA900" s="27"/>
    </row>
    <row r="901" spans="2:27" ht="13.2" x14ac:dyDescent="0.25">
      <c r="B901" s="30"/>
      <c r="G901" s="30"/>
      <c r="L901" s="30"/>
      <c r="Q901" s="30"/>
      <c r="V901" s="30"/>
      <c r="AA901" s="27"/>
    </row>
    <row r="902" spans="2:27" ht="13.2" x14ac:dyDescent="0.25">
      <c r="B902" s="30"/>
      <c r="G902" s="30"/>
      <c r="L902" s="30"/>
      <c r="Q902" s="30"/>
      <c r="V902" s="30"/>
      <c r="AA902" s="27"/>
    </row>
    <row r="903" spans="2:27" ht="13.2" x14ac:dyDescent="0.25">
      <c r="B903" s="30"/>
      <c r="G903" s="30"/>
      <c r="L903" s="30"/>
      <c r="Q903" s="30"/>
      <c r="V903" s="30"/>
      <c r="AA903" s="27"/>
    </row>
    <row r="904" spans="2:27" ht="13.2" x14ac:dyDescent="0.25">
      <c r="B904" s="30"/>
      <c r="G904" s="30"/>
      <c r="L904" s="30"/>
      <c r="Q904" s="30"/>
      <c r="V904" s="30"/>
      <c r="AA904" s="27"/>
    </row>
    <row r="905" spans="2:27" ht="13.2" x14ac:dyDescent="0.25">
      <c r="B905" s="30"/>
      <c r="G905" s="30"/>
      <c r="L905" s="30"/>
      <c r="Q905" s="30"/>
      <c r="V905" s="30"/>
      <c r="AA905" s="27"/>
    </row>
    <row r="906" spans="2:27" ht="13.2" x14ac:dyDescent="0.25">
      <c r="B906" s="30"/>
      <c r="G906" s="30"/>
      <c r="L906" s="30"/>
      <c r="Q906" s="30"/>
      <c r="V906" s="30"/>
      <c r="AA906" s="27"/>
    </row>
    <row r="907" spans="2:27" ht="13.2" x14ac:dyDescent="0.25">
      <c r="B907" s="30"/>
      <c r="G907" s="30"/>
      <c r="L907" s="30"/>
      <c r="Q907" s="30"/>
      <c r="V907" s="30"/>
      <c r="AA907" s="27"/>
    </row>
    <row r="908" spans="2:27" ht="13.2" x14ac:dyDescent="0.25">
      <c r="B908" s="30"/>
      <c r="G908" s="30"/>
      <c r="L908" s="30"/>
      <c r="Q908" s="30"/>
      <c r="V908" s="30"/>
      <c r="AA908" s="27"/>
    </row>
    <row r="909" spans="2:27" ht="13.2" x14ac:dyDescent="0.25">
      <c r="B909" s="30"/>
      <c r="G909" s="30"/>
      <c r="L909" s="30"/>
      <c r="Q909" s="30"/>
      <c r="V909" s="30"/>
      <c r="AA909" s="27"/>
    </row>
    <row r="910" spans="2:27" ht="13.2" x14ac:dyDescent="0.25">
      <c r="B910" s="30"/>
      <c r="G910" s="30"/>
      <c r="L910" s="30"/>
      <c r="Q910" s="30"/>
      <c r="V910" s="30"/>
      <c r="AA910" s="27"/>
    </row>
    <row r="911" spans="2:27" ht="13.2" x14ac:dyDescent="0.25">
      <c r="B911" s="30"/>
      <c r="G911" s="30"/>
      <c r="L911" s="30"/>
      <c r="Q911" s="30"/>
      <c r="V911" s="30"/>
      <c r="AA911" s="27"/>
    </row>
    <row r="912" spans="2:27" ht="13.2" x14ac:dyDescent="0.25">
      <c r="B912" s="30"/>
      <c r="G912" s="30"/>
      <c r="L912" s="30"/>
      <c r="Q912" s="30"/>
      <c r="V912" s="30"/>
      <c r="AA912" s="27"/>
    </row>
    <row r="913" spans="2:27" ht="13.2" x14ac:dyDescent="0.25">
      <c r="B913" s="30"/>
      <c r="G913" s="30"/>
      <c r="L913" s="30"/>
      <c r="Q913" s="30"/>
      <c r="V913" s="30"/>
      <c r="AA913" s="27"/>
    </row>
    <row r="914" spans="2:27" ht="13.2" x14ac:dyDescent="0.25">
      <c r="B914" s="30"/>
      <c r="G914" s="30"/>
      <c r="L914" s="30"/>
      <c r="Q914" s="30"/>
      <c r="V914" s="30"/>
      <c r="AA914" s="27"/>
    </row>
    <row r="915" spans="2:27" ht="13.2" x14ac:dyDescent="0.25">
      <c r="B915" s="30"/>
      <c r="G915" s="30"/>
      <c r="L915" s="30"/>
      <c r="Q915" s="30"/>
      <c r="V915" s="30"/>
      <c r="AA915" s="27"/>
    </row>
    <row r="916" spans="2:27" ht="13.2" x14ac:dyDescent="0.25">
      <c r="B916" s="30"/>
      <c r="G916" s="30"/>
      <c r="L916" s="30"/>
      <c r="Q916" s="30"/>
      <c r="V916" s="30"/>
      <c r="AA916" s="27"/>
    </row>
    <row r="917" spans="2:27" ht="13.2" x14ac:dyDescent="0.25">
      <c r="B917" s="30"/>
      <c r="G917" s="30"/>
      <c r="L917" s="30"/>
      <c r="Q917" s="30"/>
      <c r="V917" s="30"/>
      <c r="AA917" s="27"/>
    </row>
    <row r="918" spans="2:27" ht="13.2" x14ac:dyDescent="0.25">
      <c r="B918" s="30"/>
      <c r="G918" s="30"/>
      <c r="L918" s="30"/>
      <c r="Q918" s="30"/>
      <c r="V918" s="30"/>
      <c r="AA918" s="27"/>
    </row>
    <row r="919" spans="2:27" ht="13.2" x14ac:dyDescent="0.25">
      <c r="B919" s="30"/>
      <c r="G919" s="30"/>
      <c r="L919" s="30"/>
      <c r="Q919" s="30"/>
      <c r="V919" s="30"/>
      <c r="AA919" s="27"/>
    </row>
    <row r="920" spans="2:27" ht="13.2" x14ac:dyDescent="0.25">
      <c r="B920" s="30"/>
      <c r="G920" s="30"/>
      <c r="L920" s="30"/>
      <c r="Q920" s="30"/>
      <c r="V920" s="30"/>
      <c r="AA920" s="27"/>
    </row>
    <row r="921" spans="2:27" ht="13.2" x14ac:dyDescent="0.25">
      <c r="B921" s="30"/>
      <c r="G921" s="30"/>
      <c r="L921" s="30"/>
      <c r="Q921" s="30"/>
      <c r="V921" s="30"/>
      <c r="AA921" s="27"/>
    </row>
    <row r="922" spans="2:27" ht="13.2" x14ac:dyDescent="0.25">
      <c r="B922" s="30"/>
      <c r="G922" s="30"/>
      <c r="L922" s="30"/>
      <c r="Q922" s="30"/>
      <c r="V922" s="30"/>
      <c r="AA922" s="27"/>
    </row>
    <row r="923" spans="2:27" ht="13.2" x14ac:dyDescent="0.25">
      <c r="B923" s="30"/>
      <c r="G923" s="30"/>
      <c r="L923" s="30"/>
      <c r="Q923" s="30"/>
      <c r="V923" s="30"/>
      <c r="AA923" s="27"/>
    </row>
    <row r="924" spans="2:27" ht="13.2" x14ac:dyDescent="0.25">
      <c r="B924" s="30"/>
      <c r="G924" s="30"/>
      <c r="L924" s="30"/>
      <c r="Q924" s="30"/>
      <c r="V924" s="30"/>
      <c r="AA924" s="27"/>
    </row>
    <row r="925" spans="2:27" ht="13.2" x14ac:dyDescent="0.25">
      <c r="B925" s="30"/>
      <c r="G925" s="30"/>
      <c r="L925" s="30"/>
      <c r="Q925" s="30"/>
      <c r="V925" s="30"/>
      <c r="AA925" s="27"/>
    </row>
    <row r="926" spans="2:27" ht="13.2" x14ac:dyDescent="0.25">
      <c r="B926" s="30"/>
      <c r="G926" s="30"/>
      <c r="L926" s="30"/>
      <c r="Q926" s="30"/>
      <c r="V926" s="30"/>
      <c r="AA926" s="27"/>
    </row>
    <row r="927" spans="2:27" ht="13.2" x14ac:dyDescent="0.25">
      <c r="B927" s="30"/>
      <c r="G927" s="30"/>
      <c r="L927" s="30"/>
      <c r="Q927" s="30"/>
      <c r="V927" s="30"/>
      <c r="AA927" s="27"/>
    </row>
    <row r="928" spans="2:27" ht="13.2" x14ac:dyDescent="0.25">
      <c r="B928" s="30"/>
      <c r="G928" s="30"/>
      <c r="L928" s="30"/>
      <c r="Q928" s="30"/>
      <c r="V928" s="30"/>
      <c r="AA928" s="27"/>
    </row>
    <row r="929" spans="2:27" ht="13.2" x14ac:dyDescent="0.25">
      <c r="B929" s="30"/>
      <c r="G929" s="30"/>
      <c r="L929" s="30"/>
      <c r="Q929" s="30"/>
      <c r="V929" s="30"/>
      <c r="AA929" s="27"/>
    </row>
    <row r="930" spans="2:27" ht="13.2" x14ac:dyDescent="0.25">
      <c r="B930" s="30"/>
      <c r="G930" s="30"/>
      <c r="L930" s="30"/>
      <c r="Q930" s="30"/>
      <c r="V930" s="30"/>
      <c r="AA930" s="27"/>
    </row>
    <row r="931" spans="2:27" ht="13.2" x14ac:dyDescent="0.25">
      <c r="B931" s="30"/>
      <c r="G931" s="30"/>
      <c r="L931" s="30"/>
      <c r="Q931" s="30"/>
      <c r="V931" s="30"/>
      <c r="AA931" s="27"/>
    </row>
    <row r="932" spans="2:27" ht="13.2" x14ac:dyDescent="0.25">
      <c r="B932" s="30"/>
      <c r="G932" s="30"/>
      <c r="L932" s="30"/>
      <c r="Q932" s="30"/>
      <c r="V932" s="30"/>
      <c r="AA932" s="27"/>
    </row>
    <row r="933" spans="2:27" ht="13.2" x14ac:dyDescent="0.25">
      <c r="B933" s="30"/>
      <c r="G933" s="30"/>
      <c r="L933" s="30"/>
      <c r="Q933" s="30"/>
      <c r="V933" s="30"/>
      <c r="AA933" s="27"/>
    </row>
    <row r="934" spans="2:27" ht="13.2" x14ac:dyDescent="0.25">
      <c r="B934" s="30"/>
      <c r="G934" s="30"/>
      <c r="L934" s="30"/>
      <c r="Q934" s="30"/>
      <c r="V934" s="30"/>
      <c r="AA934" s="27"/>
    </row>
    <row r="935" spans="2:27" ht="13.2" x14ac:dyDescent="0.25">
      <c r="B935" s="30"/>
      <c r="G935" s="30"/>
      <c r="L935" s="30"/>
      <c r="Q935" s="30"/>
      <c r="V935" s="30"/>
      <c r="AA935" s="27"/>
    </row>
    <row r="936" spans="2:27" ht="13.2" x14ac:dyDescent="0.25">
      <c r="B936" s="30"/>
      <c r="G936" s="30"/>
      <c r="L936" s="30"/>
      <c r="Q936" s="30"/>
      <c r="V936" s="30"/>
      <c r="AA936" s="27"/>
    </row>
    <row r="937" spans="2:27" ht="13.2" x14ac:dyDescent="0.25">
      <c r="B937" s="30"/>
      <c r="G937" s="30"/>
      <c r="L937" s="30"/>
      <c r="Q937" s="30"/>
      <c r="V937" s="30"/>
      <c r="AA937" s="27"/>
    </row>
    <row r="938" spans="2:27" ht="13.2" x14ac:dyDescent="0.25">
      <c r="B938" s="30"/>
      <c r="G938" s="30"/>
      <c r="L938" s="30"/>
      <c r="Q938" s="30"/>
      <c r="V938" s="30"/>
      <c r="AA938" s="27"/>
    </row>
    <row r="939" spans="2:27" ht="13.2" x14ac:dyDescent="0.25">
      <c r="B939" s="30"/>
      <c r="G939" s="30"/>
      <c r="L939" s="30"/>
      <c r="Q939" s="30"/>
      <c r="V939" s="30"/>
      <c r="AA939" s="27"/>
    </row>
    <row r="940" spans="2:27" ht="13.2" x14ac:dyDescent="0.25">
      <c r="B940" s="30"/>
      <c r="G940" s="30"/>
      <c r="L940" s="30"/>
      <c r="Q940" s="30"/>
      <c r="V940" s="30"/>
      <c r="AA940" s="27"/>
    </row>
    <row r="941" spans="2:27" ht="13.2" x14ac:dyDescent="0.25">
      <c r="B941" s="30"/>
      <c r="G941" s="30"/>
      <c r="L941" s="30"/>
      <c r="Q941" s="30"/>
      <c r="V941" s="30"/>
      <c r="AA941" s="27"/>
    </row>
    <row r="942" spans="2:27" ht="13.2" x14ac:dyDescent="0.25">
      <c r="B942" s="30"/>
      <c r="G942" s="30"/>
      <c r="L942" s="30"/>
      <c r="Q942" s="30"/>
      <c r="V942" s="30"/>
      <c r="AA942" s="27"/>
    </row>
    <row r="943" spans="2:27" ht="13.2" x14ac:dyDescent="0.25">
      <c r="B943" s="30"/>
      <c r="G943" s="30"/>
      <c r="L943" s="30"/>
      <c r="Q943" s="30"/>
      <c r="V943" s="30"/>
      <c r="AA943" s="27"/>
    </row>
    <row r="944" spans="2:27" ht="13.2" x14ac:dyDescent="0.25">
      <c r="B944" s="30"/>
      <c r="G944" s="30"/>
      <c r="L944" s="30"/>
      <c r="Q944" s="30"/>
      <c r="V944" s="30"/>
      <c r="AA944" s="27"/>
    </row>
    <row r="945" spans="2:27" ht="13.2" x14ac:dyDescent="0.25">
      <c r="B945" s="30"/>
      <c r="G945" s="30"/>
      <c r="L945" s="30"/>
      <c r="Q945" s="30"/>
      <c r="V945" s="30"/>
      <c r="AA945" s="27"/>
    </row>
    <row r="946" spans="2:27" ht="13.2" x14ac:dyDescent="0.25">
      <c r="B946" s="30"/>
      <c r="G946" s="30"/>
      <c r="L946" s="30"/>
      <c r="Q946" s="30"/>
      <c r="V946" s="30"/>
      <c r="AA946" s="27"/>
    </row>
    <row r="947" spans="2:27" ht="13.2" x14ac:dyDescent="0.25">
      <c r="B947" s="30"/>
      <c r="G947" s="30"/>
      <c r="L947" s="30"/>
      <c r="Q947" s="30"/>
      <c r="V947" s="30"/>
      <c r="AA947" s="27"/>
    </row>
    <row r="948" spans="2:27" ht="13.2" x14ac:dyDescent="0.25">
      <c r="B948" s="30"/>
      <c r="G948" s="30"/>
      <c r="L948" s="30"/>
      <c r="Q948" s="30"/>
      <c r="V948" s="30"/>
      <c r="AA948" s="27"/>
    </row>
    <row r="949" spans="2:27" ht="13.2" x14ac:dyDescent="0.25">
      <c r="B949" s="30"/>
      <c r="G949" s="30"/>
      <c r="L949" s="30"/>
      <c r="Q949" s="30"/>
      <c r="V949" s="30"/>
      <c r="AA949" s="27"/>
    </row>
    <row r="950" spans="2:27" ht="13.2" x14ac:dyDescent="0.25">
      <c r="B950" s="30"/>
      <c r="G950" s="30"/>
      <c r="L950" s="30"/>
      <c r="Q950" s="30"/>
      <c r="V950" s="30"/>
      <c r="AA950" s="27"/>
    </row>
    <row r="951" spans="2:27" ht="13.2" x14ac:dyDescent="0.25">
      <c r="B951" s="30"/>
      <c r="G951" s="30"/>
      <c r="L951" s="30"/>
      <c r="Q951" s="30"/>
      <c r="V951" s="30"/>
      <c r="AA951" s="27"/>
    </row>
    <row r="952" spans="2:27" ht="13.2" x14ac:dyDescent="0.25">
      <c r="B952" s="30"/>
      <c r="G952" s="30"/>
      <c r="L952" s="30"/>
      <c r="Q952" s="30"/>
      <c r="V952" s="30"/>
      <c r="AA952" s="27"/>
    </row>
    <row r="953" spans="2:27" ht="13.2" x14ac:dyDescent="0.25">
      <c r="B953" s="30"/>
      <c r="G953" s="30"/>
      <c r="L953" s="30"/>
      <c r="Q953" s="30"/>
      <c r="V953" s="30"/>
      <c r="AA953" s="27"/>
    </row>
    <row r="954" spans="2:27" ht="13.2" x14ac:dyDescent="0.25">
      <c r="B954" s="30"/>
      <c r="G954" s="30"/>
      <c r="L954" s="30"/>
      <c r="Q954" s="30"/>
      <c r="V954" s="30"/>
      <c r="AA954" s="27"/>
    </row>
    <row r="955" spans="2:27" ht="13.2" x14ac:dyDescent="0.25">
      <c r="B955" s="30"/>
      <c r="G955" s="30"/>
      <c r="L955" s="30"/>
      <c r="Q955" s="30"/>
      <c r="V955" s="30"/>
      <c r="AA955" s="27"/>
    </row>
    <row r="956" spans="2:27" ht="13.2" x14ac:dyDescent="0.25">
      <c r="B956" s="30"/>
      <c r="G956" s="30"/>
      <c r="L956" s="30"/>
      <c r="Q956" s="30"/>
      <c r="V956" s="30"/>
      <c r="AA956" s="27"/>
    </row>
    <row r="957" spans="2:27" ht="13.2" x14ac:dyDescent="0.25">
      <c r="B957" s="30"/>
      <c r="G957" s="30"/>
      <c r="L957" s="30"/>
      <c r="Q957" s="30"/>
      <c r="V957" s="30"/>
      <c r="AA957" s="27"/>
    </row>
    <row r="958" spans="2:27" ht="13.2" x14ac:dyDescent="0.25">
      <c r="B958" s="30"/>
      <c r="G958" s="30"/>
      <c r="L958" s="30"/>
      <c r="Q958" s="30"/>
      <c r="V958" s="30"/>
      <c r="AA958" s="27"/>
    </row>
    <row r="959" spans="2:27" ht="13.2" x14ac:dyDescent="0.25">
      <c r="B959" s="30"/>
      <c r="G959" s="30"/>
      <c r="L959" s="30"/>
      <c r="Q959" s="30"/>
      <c r="V959" s="30"/>
      <c r="AA959" s="27"/>
    </row>
    <row r="960" spans="2:27" ht="13.2" x14ac:dyDescent="0.25">
      <c r="B960" s="30"/>
      <c r="G960" s="30"/>
      <c r="L960" s="30"/>
      <c r="Q960" s="30"/>
      <c r="V960" s="30"/>
      <c r="AA960" s="27"/>
    </row>
    <row r="961" spans="2:27" ht="13.2" x14ac:dyDescent="0.25">
      <c r="B961" s="30"/>
      <c r="G961" s="30"/>
      <c r="L961" s="30"/>
      <c r="Q961" s="30"/>
      <c r="V961" s="30"/>
      <c r="AA961" s="27"/>
    </row>
    <row r="962" spans="2:27" ht="13.2" x14ac:dyDescent="0.25">
      <c r="B962" s="30"/>
      <c r="G962" s="30"/>
      <c r="L962" s="30"/>
      <c r="Q962" s="30"/>
      <c r="V962" s="30"/>
      <c r="AA962" s="27"/>
    </row>
    <row r="963" spans="2:27" ht="13.2" x14ac:dyDescent="0.25">
      <c r="B963" s="30"/>
      <c r="G963" s="30"/>
      <c r="L963" s="30"/>
      <c r="Q963" s="30"/>
      <c r="V963" s="30"/>
      <c r="AA963" s="27"/>
    </row>
    <row r="964" spans="2:27" ht="13.2" x14ac:dyDescent="0.25">
      <c r="B964" s="30"/>
      <c r="G964" s="30"/>
      <c r="L964" s="30"/>
      <c r="Q964" s="30"/>
      <c r="V964" s="30"/>
      <c r="AA964" s="27"/>
    </row>
    <row r="965" spans="2:27" ht="13.2" x14ac:dyDescent="0.25">
      <c r="B965" s="30"/>
      <c r="G965" s="30"/>
      <c r="L965" s="30"/>
      <c r="Q965" s="30"/>
      <c r="V965" s="30"/>
      <c r="AA965" s="27"/>
    </row>
    <row r="966" spans="2:27" ht="13.2" x14ac:dyDescent="0.25">
      <c r="B966" s="30"/>
      <c r="G966" s="30"/>
      <c r="L966" s="30"/>
      <c r="Q966" s="30"/>
      <c r="V966" s="30"/>
      <c r="AA966" s="27"/>
    </row>
    <row r="967" spans="2:27" ht="13.2" x14ac:dyDescent="0.25">
      <c r="B967" s="30"/>
      <c r="G967" s="30"/>
      <c r="L967" s="30"/>
      <c r="Q967" s="30"/>
      <c r="V967" s="30"/>
      <c r="AA967" s="27"/>
    </row>
    <row r="968" spans="2:27" ht="13.2" x14ac:dyDescent="0.25">
      <c r="B968" s="30"/>
      <c r="G968" s="30"/>
      <c r="L968" s="30"/>
      <c r="Q968" s="30"/>
      <c r="V968" s="30"/>
      <c r="AA968" s="27"/>
    </row>
    <row r="969" spans="2:27" ht="13.2" x14ac:dyDescent="0.25">
      <c r="B969" s="30"/>
      <c r="G969" s="30"/>
      <c r="L969" s="30"/>
      <c r="Q969" s="30"/>
      <c r="V969" s="30"/>
      <c r="AA969" s="27"/>
    </row>
    <row r="970" spans="2:27" ht="13.2" x14ac:dyDescent="0.25">
      <c r="B970" s="30"/>
      <c r="G970" s="30"/>
      <c r="L970" s="30"/>
      <c r="Q970" s="30"/>
      <c r="V970" s="30"/>
      <c r="AA970" s="27"/>
    </row>
    <row r="971" spans="2:27" ht="13.2" x14ac:dyDescent="0.25">
      <c r="B971" s="30"/>
      <c r="G971" s="30"/>
      <c r="L971" s="30"/>
      <c r="Q971" s="30"/>
      <c r="V971" s="30"/>
      <c r="AA971" s="27"/>
    </row>
    <row r="972" spans="2:27" ht="13.2" x14ac:dyDescent="0.25">
      <c r="B972" s="30"/>
      <c r="G972" s="30"/>
      <c r="L972" s="30"/>
      <c r="Q972" s="30"/>
      <c r="V972" s="30"/>
      <c r="AA972" s="27"/>
    </row>
    <row r="973" spans="2:27" ht="13.2" x14ac:dyDescent="0.25">
      <c r="B973" s="30"/>
      <c r="G973" s="30"/>
      <c r="L973" s="30"/>
      <c r="Q973" s="30"/>
      <c r="V973" s="30"/>
      <c r="AA973" s="27"/>
    </row>
    <row r="974" spans="2:27" ht="13.2" x14ac:dyDescent="0.25">
      <c r="B974" s="30"/>
      <c r="G974" s="30"/>
      <c r="L974" s="30"/>
      <c r="Q974" s="30"/>
      <c r="V974" s="30"/>
      <c r="AA974" s="27"/>
    </row>
    <row r="975" spans="2:27" ht="13.2" x14ac:dyDescent="0.25">
      <c r="B975" s="30"/>
      <c r="G975" s="30"/>
      <c r="L975" s="30"/>
      <c r="Q975" s="30"/>
      <c r="V975" s="30"/>
      <c r="AA975" s="27"/>
    </row>
    <row r="976" spans="2:27" ht="13.2" x14ac:dyDescent="0.25">
      <c r="B976" s="30"/>
      <c r="G976" s="30"/>
      <c r="L976" s="30"/>
      <c r="Q976" s="30"/>
      <c r="V976" s="30"/>
      <c r="AA976" s="27"/>
    </row>
    <row r="977" spans="2:27" ht="13.2" x14ac:dyDescent="0.25">
      <c r="B977" s="30"/>
      <c r="G977" s="30"/>
      <c r="L977" s="30"/>
      <c r="Q977" s="30"/>
      <c r="V977" s="30"/>
      <c r="AA977" s="27"/>
    </row>
    <row r="978" spans="2:27" ht="13.2" x14ac:dyDescent="0.25">
      <c r="B978" s="30"/>
      <c r="G978" s="30"/>
      <c r="L978" s="30"/>
      <c r="Q978" s="30"/>
      <c r="V978" s="30"/>
      <c r="AA978" s="27"/>
    </row>
    <row r="979" spans="2:27" ht="13.2" x14ac:dyDescent="0.25">
      <c r="B979" s="30"/>
      <c r="G979" s="30"/>
      <c r="L979" s="30"/>
      <c r="Q979" s="30"/>
      <c r="V979" s="30"/>
      <c r="AA979" s="27"/>
    </row>
    <row r="980" spans="2:27" ht="13.2" x14ac:dyDescent="0.25">
      <c r="B980" s="30"/>
      <c r="G980" s="30"/>
      <c r="L980" s="30"/>
      <c r="Q980" s="30"/>
      <c r="V980" s="30"/>
      <c r="AA980" s="27"/>
    </row>
    <row r="981" spans="2:27" ht="13.2" x14ac:dyDescent="0.25">
      <c r="B981" s="30"/>
      <c r="G981" s="30"/>
      <c r="L981" s="30"/>
      <c r="Q981" s="30"/>
      <c r="V981" s="30"/>
      <c r="AA981" s="27"/>
    </row>
    <row r="982" spans="2:27" ht="13.2" x14ac:dyDescent="0.25">
      <c r="B982" s="30"/>
      <c r="G982" s="30"/>
      <c r="L982" s="30"/>
      <c r="Q982" s="30"/>
      <c r="V982" s="30"/>
      <c r="AA982" s="27"/>
    </row>
    <row r="983" spans="2:27" ht="13.2" x14ac:dyDescent="0.25">
      <c r="B983" s="30"/>
      <c r="G983" s="30"/>
      <c r="L983" s="30"/>
      <c r="Q983" s="30"/>
      <c r="V983" s="30"/>
      <c r="AA983" s="27"/>
    </row>
    <row r="984" spans="2:27" ht="13.2" x14ac:dyDescent="0.25">
      <c r="B984" s="30"/>
      <c r="G984" s="30"/>
      <c r="L984" s="30"/>
      <c r="Q984" s="30"/>
      <c r="V984" s="30"/>
      <c r="AA984" s="27"/>
    </row>
    <row r="985" spans="2:27" ht="13.2" x14ac:dyDescent="0.25">
      <c r="B985" s="30"/>
      <c r="G985" s="30"/>
      <c r="L985" s="30"/>
      <c r="Q985" s="30"/>
      <c r="V985" s="30"/>
      <c r="AA985" s="27"/>
    </row>
    <row r="986" spans="2:27" ht="13.2" x14ac:dyDescent="0.25">
      <c r="B986" s="30"/>
      <c r="G986" s="30"/>
      <c r="L986" s="30"/>
      <c r="Q986" s="30"/>
      <c r="V986" s="30"/>
      <c r="AA986" s="27"/>
    </row>
    <row r="987" spans="2:27" ht="13.2" x14ac:dyDescent="0.25">
      <c r="B987" s="30"/>
      <c r="G987" s="30"/>
      <c r="L987" s="30"/>
      <c r="Q987" s="30"/>
      <c r="V987" s="30"/>
      <c r="AA987" s="27"/>
    </row>
    <row r="988" spans="2:27" ht="13.2" x14ac:dyDescent="0.25">
      <c r="B988" s="30"/>
      <c r="G988" s="30"/>
      <c r="L988" s="30"/>
      <c r="Q988" s="30"/>
      <c r="V988" s="30"/>
      <c r="AA988" s="27"/>
    </row>
    <row r="989" spans="2:27" ht="13.2" x14ac:dyDescent="0.25">
      <c r="B989" s="30"/>
      <c r="G989" s="30"/>
      <c r="L989" s="30"/>
      <c r="Q989" s="30"/>
      <c r="V989" s="30"/>
      <c r="AA989" s="27"/>
    </row>
    <row r="990" spans="2:27" ht="13.2" x14ac:dyDescent="0.25">
      <c r="B990" s="30"/>
      <c r="G990" s="30"/>
      <c r="L990" s="30"/>
      <c r="Q990" s="30"/>
      <c r="V990" s="30"/>
      <c r="AA990" s="27"/>
    </row>
    <row r="991" spans="2:27" ht="13.2" x14ac:dyDescent="0.25">
      <c r="B991" s="30"/>
      <c r="G991" s="30"/>
      <c r="L991" s="30"/>
      <c r="Q991" s="30"/>
      <c r="V991" s="30"/>
      <c r="AA991" s="27"/>
    </row>
    <row r="992" spans="2:27" ht="13.2" x14ac:dyDescent="0.25">
      <c r="B992" s="30"/>
      <c r="G992" s="30"/>
      <c r="L992" s="30"/>
      <c r="Q992" s="30"/>
      <c r="V992" s="30"/>
      <c r="AA992" s="27"/>
    </row>
    <row r="993" spans="2:27" ht="13.2" x14ac:dyDescent="0.25">
      <c r="B993" s="30"/>
      <c r="G993" s="30"/>
      <c r="L993" s="30"/>
      <c r="Q993" s="30"/>
      <c r="V993" s="30"/>
      <c r="AA993" s="27"/>
    </row>
    <row r="994" spans="2:27" ht="13.2" x14ac:dyDescent="0.25">
      <c r="B994" s="30"/>
      <c r="G994" s="30"/>
      <c r="L994" s="30"/>
      <c r="Q994" s="30"/>
      <c r="V994" s="30"/>
      <c r="AA994" s="27"/>
    </row>
    <row r="995" spans="2:27" ht="13.2" x14ac:dyDescent="0.25">
      <c r="B995" s="30"/>
      <c r="G995" s="30"/>
      <c r="L995" s="30"/>
      <c r="Q995" s="30"/>
      <c r="V995" s="30"/>
      <c r="AA995" s="27"/>
    </row>
    <row r="996" spans="2:27" ht="13.2" x14ac:dyDescent="0.25">
      <c r="B996" s="30"/>
      <c r="G996" s="30"/>
      <c r="L996" s="30"/>
      <c r="Q996" s="30"/>
      <c r="V996" s="30"/>
      <c r="AA996" s="27"/>
    </row>
    <row r="997" spans="2:27" ht="13.2" x14ac:dyDescent="0.25">
      <c r="B997" s="30"/>
      <c r="G997" s="30"/>
      <c r="L997" s="30"/>
      <c r="Q997" s="30"/>
      <c r="V997" s="30"/>
      <c r="AA997" s="27"/>
    </row>
    <row r="998" spans="2:27" ht="13.2" x14ac:dyDescent="0.25">
      <c r="B998" s="30"/>
      <c r="G998" s="30"/>
      <c r="L998" s="30"/>
      <c r="Q998" s="30"/>
      <c r="V998" s="30"/>
      <c r="AA998" s="27"/>
    </row>
    <row r="999" spans="2:27" ht="13.2" x14ac:dyDescent="0.25">
      <c r="B999" s="30"/>
      <c r="G999" s="30"/>
      <c r="L999" s="30"/>
      <c r="Q999" s="30"/>
      <c r="V999" s="30"/>
      <c r="AA999" s="27"/>
    </row>
    <row r="1000" spans="2:27" ht="13.2" x14ac:dyDescent="0.25">
      <c r="B1000" s="30"/>
      <c r="G1000" s="30"/>
      <c r="L1000" s="30"/>
      <c r="Q1000" s="30"/>
      <c r="V1000" s="30"/>
      <c r="AA1000" s="2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7.6640625" customWidth="1"/>
  </cols>
  <sheetData>
    <row r="1" spans="1:8" ht="13.2" x14ac:dyDescent="0.25">
      <c r="A1" s="31" t="s">
        <v>60</v>
      </c>
      <c r="B1" s="31" t="s">
        <v>0</v>
      </c>
      <c r="C1" s="31" t="s">
        <v>61</v>
      </c>
      <c r="D1" s="31" t="s">
        <v>62</v>
      </c>
      <c r="E1" s="31" t="s">
        <v>63</v>
      </c>
      <c r="F1" s="32" t="s">
        <v>64</v>
      </c>
      <c r="H1" s="33" t="s">
        <v>65</v>
      </c>
    </row>
    <row r="2" spans="1:8" ht="13.2" x14ac:dyDescent="0.25">
      <c r="A2" s="34">
        <v>1</v>
      </c>
      <c r="B2" s="35">
        <v>43917</v>
      </c>
      <c r="C2" s="34">
        <v>124</v>
      </c>
      <c r="D2" s="34">
        <v>10839</v>
      </c>
      <c r="E2" s="34">
        <f t="shared" ref="E2:E523" si="0">C2+D2</f>
        <v>10963</v>
      </c>
      <c r="F2" s="36">
        <f t="shared" ref="F2:F523" si="1">C2/E2</f>
        <v>1.131077259874122E-2</v>
      </c>
      <c r="H2" s="33" t="s">
        <v>66</v>
      </c>
    </row>
    <row r="3" spans="1:8" ht="13.2" x14ac:dyDescent="0.25">
      <c r="A3" s="34">
        <v>2</v>
      </c>
      <c r="B3" s="35">
        <v>43918</v>
      </c>
      <c r="C3" s="34">
        <v>149</v>
      </c>
      <c r="D3" s="34">
        <v>11858</v>
      </c>
      <c r="E3" s="34">
        <f t="shared" si="0"/>
        <v>12007</v>
      </c>
      <c r="F3" s="36">
        <f t="shared" si="1"/>
        <v>1.2409427833763639E-2</v>
      </c>
    </row>
    <row r="4" spans="1:8" ht="13.2" x14ac:dyDescent="0.25">
      <c r="A4" s="34">
        <v>3</v>
      </c>
      <c r="B4" s="35">
        <v>43919</v>
      </c>
      <c r="C4" s="34">
        <v>206</v>
      </c>
      <c r="D4" s="34">
        <v>14808</v>
      </c>
      <c r="E4" s="34">
        <f t="shared" si="0"/>
        <v>15014</v>
      </c>
      <c r="F4" s="36">
        <f t="shared" si="1"/>
        <v>1.3720527507659518E-2</v>
      </c>
    </row>
    <row r="5" spans="1:8" ht="13.2" x14ac:dyDescent="0.25">
      <c r="A5" s="34">
        <v>4</v>
      </c>
      <c r="B5" s="35">
        <v>43920</v>
      </c>
      <c r="C5" s="34">
        <v>290</v>
      </c>
      <c r="D5" s="34">
        <v>17619</v>
      </c>
      <c r="E5" s="34">
        <f t="shared" si="0"/>
        <v>17909</v>
      </c>
      <c r="F5" s="36">
        <f t="shared" si="1"/>
        <v>1.6192975598860907E-2</v>
      </c>
    </row>
    <row r="6" spans="1:8" ht="13.2" x14ac:dyDescent="0.25">
      <c r="A6" s="34">
        <v>5</v>
      </c>
      <c r="B6" s="35">
        <v>43921</v>
      </c>
      <c r="C6" s="34">
        <v>307</v>
      </c>
      <c r="D6" s="34">
        <v>18242</v>
      </c>
      <c r="E6" s="34">
        <f t="shared" si="0"/>
        <v>18549</v>
      </c>
      <c r="F6" s="36">
        <f t="shared" si="1"/>
        <v>1.6550757453231979E-2</v>
      </c>
    </row>
    <row r="7" spans="1:8" ht="13.2" x14ac:dyDescent="0.25">
      <c r="A7" s="34">
        <v>6</v>
      </c>
      <c r="B7" s="35">
        <v>43922</v>
      </c>
      <c r="C7" s="34">
        <v>360</v>
      </c>
      <c r="D7" s="34">
        <v>19190</v>
      </c>
      <c r="E7" s="34">
        <f t="shared" si="0"/>
        <v>19550</v>
      </c>
      <c r="F7" s="36">
        <f t="shared" si="1"/>
        <v>1.8414322250639385E-2</v>
      </c>
    </row>
    <row r="8" spans="1:8" ht="13.2" x14ac:dyDescent="0.25">
      <c r="A8" s="34">
        <v>7</v>
      </c>
      <c r="B8" s="35">
        <v>43923</v>
      </c>
      <c r="C8" s="34">
        <v>442</v>
      </c>
      <c r="D8" s="34">
        <v>20460</v>
      </c>
      <c r="E8" s="34">
        <f t="shared" si="0"/>
        <v>20902</v>
      </c>
      <c r="F8" s="36">
        <f t="shared" si="1"/>
        <v>2.1146301789302459E-2</v>
      </c>
    </row>
    <row r="9" spans="1:8" ht="13.2" x14ac:dyDescent="0.25">
      <c r="A9" s="34">
        <v>8</v>
      </c>
      <c r="B9" s="35">
        <v>43924</v>
      </c>
      <c r="C9" s="34">
        <v>541</v>
      </c>
      <c r="D9" s="34">
        <v>21962</v>
      </c>
      <c r="E9" s="34">
        <f t="shared" si="0"/>
        <v>22503</v>
      </c>
      <c r="F9" s="36">
        <f t="shared" si="1"/>
        <v>2.4041238945918322E-2</v>
      </c>
    </row>
    <row r="10" spans="1:8" ht="13.2" x14ac:dyDescent="0.25">
      <c r="A10" s="34">
        <v>9</v>
      </c>
      <c r="B10" s="35">
        <v>43925</v>
      </c>
      <c r="C10" s="34">
        <v>583</v>
      </c>
      <c r="D10" s="34">
        <v>23072</v>
      </c>
      <c r="E10" s="34">
        <f t="shared" si="0"/>
        <v>23655</v>
      </c>
      <c r="F10" s="36">
        <f t="shared" si="1"/>
        <v>2.4645952229972522E-2</v>
      </c>
    </row>
    <row r="11" spans="1:8" ht="13.2" x14ac:dyDescent="0.25">
      <c r="A11" s="34">
        <v>10</v>
      </c>
      <c r="B11" s="35">
        <v>43926</v>
      </c>
      <c r="C11" s="34">
        <v>589</v>
      </c>
      <c r="D11" s="34">
        <v>23426</v>
      </c>
      <c r="E11" s="34">
        <f t="shared" si="0"/>
        <v>24015</v>
      </c>
      <c r="F11" s="36">
        <f t="shared" si="1"/>
        <v>2.4526337705600667E-2</v>
      </c>
    </row>
    <row r="12" spans="1:8" ht="13.2" x14ac:dyDescent="0.25">
      <c r="A12" s="34">
        <v>11</v>
      </c>
      <c r="B12" s="35">
        <v>43927</v>
      </c>
      <c r="C12" s="34">
        <v>718</v>
      </c>
      <c r="D12" s="34">
        <v>25234</v>
      </c>
      <c r="E12" s="34">
        <f t="shared" si="0"/>
        <v>25952</v>
      </c>
      <c r="F12" s="36">
        <f t="shared" si="1"/>
        <v>2.7666461159062884E-2</v>
      </c>
    </row>
    <row r="13" spans="1:8" ht="13.2" x14ac:dyDescent="0.25">
      <c r="A13" s="34">
        <v>12</v>
      </c>
      <c r="B13" s="35">
        <v>43928</v>
      </c>
      <c r="C13" s="34">
        <v>829</v>
      </c>
      <c r="D13" s="34">
        <v>26867</v>
      </c>
      <c r="E13" s="34">
        <f t="shared" si="0"/>
        <v>27696</v>
      </c>
      <c r="F13" s="36">
        <f t="shared" si="1"/>
        <v>2.9932120161756209E-2</v>
      </c>
    </row>
    <row r="14" spans="1:8" ht="13.2" x14ac:dyDescent="0.25">
      <c r="A14" s="34">
        <v>13</v>
      </c>
      <c r="B14" s="35">
        <v>43929</v>
      </c>
      <c r="C14" s="34">
        <v>949</v>
      </c>
      <c r="D14" s="34">
        <v>29853</v>
      </c>
      <c r="E14" s="34">
        <f t="shared" si="0"/>
        <v>30802</v>
      </c>
      <c r="F14" s="36">
        <f t="shared" si="1"/>
        <v>3.0809687682618013E-2</v>
      </c>
    </row>
    <row r="15" spans="1:8" ht="13.2" x14ac:dyDescent="0.25">
      <c r="A15" s="34">
        <v>14</v>
      </c>
      <c r="B15" s="35">
        <v>43930</v>
      </c>
      <c r="C15" s="34">
        <v>1027</v>
      </c>
      <c r="D15" s="34">
        <v>34056</v>
      </c>
      <c r="E15" s="34">
        <f t="shared" si="0"/>
        <v>35083</v>
      </c>
      <c r="F15" s="36">
        <f t="shared" si="1"/>
        <v>2.92734372773138E-2</v>
      </c>
    </row>
    <row r="16" spans="1:8" ht="13.2" x14ac:dyDescent="0.25">
      <c r="A16" s="34">
        <v>15</v>
      </c>
      <c r="B16" s="35">
        <v>43931</v>
      </c>
      <c r="C16" s="34">
        <v>1065</v>
      </c>
      <c r="D16" s="34">
        <v>34704</v>
      </c>
      <c r="E16" s="34">
        <f t="shared" si="0"/>
        <v>35769</v>
      </c>
      <c r="F16" s="36">
        <f t="shared" si="1"/>
        <v>2.9774385641197686E-2</v>
      </c>
    </row>
    <row r="17" spans="1:6" ht="13.2" x14ac:dyDescent="0.25">
      <c r="A17" s="34">
        <v>16</v>
      </c>
      <c r="B17" s="35">
        <v>43932</v>
      </c>
      <c r="C17" s="34">
        <v>1148</v>
      </c>
      <c r="D17" s="34">
        <v>35245</v>
      </c>
      <c r="E17" s="34">
        <f t="shared" si="0"/>
        <v>36393</v>
      </c>
      <c r="F17" s="36">
        <f t="shared" si="1"/>
        <v>3.1544527793806502E-2</v>
      </c>
    </row>
    <row r="18" spans="1:6" ht="13.2" x14ac:dyDescent="0.25">
      <c r="A18" s="34">
        <v>17</v>
      </c>
      <c r="B18" s="35">
        <v>43933</v>
      </c>
      <c r="C18" s="34">
        <v>1203</v>
      </c>
      <c r="D18" s="34">
        <v>35760</v>
      </c>
      <c r="E18" s="34">
        <f t="shared" si="0"/>
        <v>36963</v>
      </c>
      <c r="F18" s="36">
        <f t="shared" si="1"/>
        <v>3.2546059573086601E-2</v>
      </c>
    </row>
    <row r="19" spans="1:6" ht="13.2" x14ac:dyDescent="0.25">
      <c r="A19" s="34">
        <v>18</v>
      </c>
      <c r="B19" s="35">
        <v>43934</v>
      </c>
      <c r="C19" s="34">
        <v>1314</v>
      </c>
      <c r="D19" s="34">
        <v>37560</v>
      </c>
      <c r="E19" s="34">
        <f t="shared" si="0"/>
        <v>38874</v>
      </c>
      <c r="F19" s="36">
        <f t="shared" si="1"/>
        <v>3.380151257910171E-2</v>
      </c>
    </row>
    <row r="20" spans="1:6" ht="13.2" x14ac:dyDescent="0.25">
      <c r="A20" s="34">
        <v>19</v>
      </c>
      <c r="B20" s="35">
        <v>43935</v>
      </c>
      <c r="C20" s="34">
        <v>1395</v>
      </c>
      <c r="D20" s="34">
        <v>39317</v>
      </c>
      <c r="E20" s="34">
        <f t="shared" si="0"/>
        <v>40712</v>
      </c>
      <c r="F20" s="36">
        <f t="shared" si="1"/>
        <v>3.4265081548437805E-2</v>
      </c>
    </row>
    <row r="21" spans="1:6" ht="13.2" x14ac:dyDescent="0.25">
      <c r="A21" s="34">
        <v>20</v>
      </c>
      <c r="B21" s="35">
        <v>43936</v>
      </c>
      <c r="C21" s="34">
        <v>1603</v>
      </c>
      <c r="D21" s="34">
        <v>43624</v>
      </c>
      <c r="E21" s="34">
        <f t="shared" si="0"/>
        <v>45227</v>
      </c>
      <c r="F21" s="36">
        <f t="shared" si="1"/>
        <v>3.5443429809626996E-2</v>
      </c>
    </row>
    <row r="22" spans="1:6" ht="13.2" x14ac:dyDescent="0.25">
      <c r="A22" s="34">
        <v>21</v>
      </c>
      <c r="B22" s="35">
        <v>43937</v>
      </c>
      <c r="C22" s="34">
        <v>1791</v>
      </c>
      <c r="D22" s="34">
        <v>45797</v>
      </c>
      <c r="E22" s="34">
        <f t="shared" si="0"/>
        <v>47588</v>
      </c>
      <c r="F22" s="36">
        <f t="shared" si="1"/>
        <v>3.7635538371017907E-2</v>
      </c>
    </row>
    <row r="23" spans="1:6" ht="13.2" x14ac:dyDescent="0.25">
      <c r="A23" s="34">
        <v>22</v>
      </c>
      <c r="B23" s="35">
        <v>43938</v>
      </c>
      <c r="C23" s="34">
        <v>2129</v>
      </c>
      <c r="D23" s="34">
        <v>53863</v>
      </c>
      <c r="E23" s="34">
        <f t="shared" si="0"/>
        <v>55992</v>
      </c>
      <c r="F23" s="36">
        <f t="shared" si="1"/>
        <v>3.8023289041291611E-2</v>
      </c>
    </row>
    <row r="24" spans="1:6" ht="13.2" x14ac:dyDescent="0.25">
      <c r="A24" s="34">
        <v>23</v>
      </c>
      <c r="B24" s="35">
        <v>43939</v>
      </c>
      <c r="C24" s="34">
        <v>2265</v>
      </c>
      <c r="D24" s="34">
        <v>56352</v>
      </c>
      <c r="E24" s="34">
        <f t="shared" si="0"/>
        <v>58617</v>
      </c>
      <c r="F24" s="36">
        <f t="shared" si="1"/>
        <v>3.8640667383182351E-2</v>
      </c>
    </row>
    <row r="25" spans="1:6" ht="13.2" x14ac:dyDescent="0.25">
      <c r="A25" s="34">
        <v>24</v>
      </c>
      <c r="B25" s="35">
        <v>43940</v>
      </c>
      <c r="C25" s="34">
        <v>2313</v>
      </c>
      <c r="D25" s="34">
        <v>56409</v>
      </c>
      <c r="E25" s="34">
        <f t="shared" si="0"/>
        <v>58722</v>
      </c>
      <c r="F25" s="36">
        <f t="shared" si="1"/>
        <v>3.9388985388781037E-2</v>
      </c>
    </row>
    <row r="26" spans="1:6" ht="13.2" x14ac:dyDescent="0.25">
      <c r="A26" s="34">
        <v>25</v>
      </c>
      <c r="B26" s="35">
        <v>43941</v>
      </c>
      <c r="C26" s="34">
        <v>2248</v>
      </c>
      <c r="D26" s="34">
        <v>59852</v>
      </c>
      <c r="E26" s="34">
        <f t="shared" si="0"/>
        <v>62100</v>
      </c>
      <c r="F26" s="36">
        <f t="shared" si="1"/>
        <v>3.6199677938808371E-2</v>
      </c>
    </row>
    <row r="27" spans="1:6" ht="13.2" x14ac:dyDescent="0.25">
      <c r="A27" s="34">
        <v>26</v>
      </c>
      <c r="B27" s="35">
        <v>43942</v>
      </c>
      <c r="C27" s="34">
        <v>2365</v>
      </c>
      <c r="D27" s="34">
        <v>61181</v>
      </c>
      <c r="E27" s="34">
        <f t="shared" si="0"/>
        <v>63546</v>
      </c>
      <c r="F27" s="36">
        <f t="shared" si="1"/>
        <v>3.7217134044629091E-2</v>
      </c>
    </row>
    <row r="28" spans="1:6" ht="13.2" x14ac:dyDescent="0.25">
      <c r="A28" s="34">
        <v>27</v>
      </c>
      <c r="B28" s="35">
        <v>43943</v>
      </c>
      <c r="C28" s="34">
        <v>2687</v>
      </c>
      <c r="D28" s="34">
        <v>66669</v>
      </c>
      <c r="E28" s="34">
        <f t="shared" si="0"/>
        <v>69356</v>
      </c>
      <c r="F28" s="36">
        <f t="shared" si="1"/>
        <v>3.8742141992041061E-2</v>
      </c>
    </row>
    <row r="29" spans="1:6" ht="13.2" x14ac:dyDescent="0.25">
      <c r="A29" s="34">
        <v>28</v>
      </c>
      <c r="B29" s="35">
        <v>43944</v>
      </c>
      <c r="C29" s="34">
        <v>2842</v>
      </c>
      <c r="D29" s="34">
        <v>67986</v>
      </c>
      <c r="E29" s="34">
        <f t="shared" si="0"/>
        <v>70828</v>
      </c>
      <c r="F29" s="36">
        <f t="shared" si="1"/>
        <v>4.0125374145818037E-2</v>
      </c>
    </row>
    <row r="30" spans="1:6" ht="13.2" x14ac:dyDescent="0.25">
      <c r="A30" s="34">
        <v>29</v>
      </c>
      <c r="B30" s="35">
        <v>43945</v>
      </c>
      <c r="C30" s="34">
        <v>2849</v>
      </c>
      <c r="D30" s="34">
        <v>69121</v>
      </c>
      <c r="E30" s="34">
        <f t="shared" si="0"/>
        <v>71970</v>
      </c>
      <c r="F30" s="36">
        <f t="shared" si="1"/>
        <v>3.9585938585521743E-2</v>
      </c>
    </row>
    <row r="31" spans="1:6" ht="13.2" x14ac:dyDescent="0.25">
      <c r="A31" s="34">
        <v>30</v>
      </c>
      <c r="B31" s="35">
        <v>43946</v>
      </c>
      <c r="C31" s="34">
        <v>2879</v>
      </c>
      <c r="D31" s="34">
        <v>69536</v>
      </c>
      <c r="E31" s="34">
        <f t="shared" si="0"/>
        <v>72415</v>
      </c>
      <c r="F31" s="36">
        <f t="shared" si="1"/>
        <v>3.9756956431678522E-2</v>
      </c>
    </row>
    <row r="32" spans="1:6" ht="13.2" x14ac:dyDescent="0.25">
      <c r="A32" s="34">
        <v>31</v>
      </c>
      <c r="B32" s="35">
        <v>43947</v>
      </c>
      <c r="C32" s="34">
        <v>2881</v>
      </c>
      <c r="D32" s="34">
        <v>69737</v>
      </c>
      <c r="E32" s="34">
        <f t="shared" si="0"/>
        <v>72618</v>
      </c>
      <c r="F32" s="36">
        <f t="shared" si="1"/>
        <v>3.9673359222231405E-2</v>
      </c>
    </row>
    <row r="33" spans="1:6" ht="13.2" x14ac:dyDescent="0.25">
      <c r="A33" s="34">
        <v>32</v>
      </c>
      <c r="B33" s="35">
        <v>43948</v>
      </c>
      <c r="C33" s="34">
        <v>2954</v>
      </c>
      <c r="D33" s="34">
        <v>71831</v>
      </c>
      <c r="E33" s="34">
        <f t="shared" si="0"/>
        <v>74785</v>
      </c>
      <c r="F33" s="36">
        <f t="shared" si="1"/>
        <v>3.9499899712509196E-2</v>
      </c>
    </row>
    <row r="34" spans="1:6" ht="13.2" x14ac:dyDescent="0.25">
      <c r="A34" s="34">
        <v>33</v>
      </c>
      <c r="B34" s="35">
        <v>43949</v>
      </c>
      <c r="C34" s="34">
        <v>2954</v>
      </c>
      <c r="D34" s="34">
        <v>73993</v>
      </c>
      <c r="E34" s="34">
        <f t="shared" si="0"/>
        <v>76947</v>
      </c>
      <c r="F34" s="36">
        <f t="shared" si="1"/>
        <v>3.8390060691125057E-2</v>
      </c>
    </row>
    <row r="35" spans="1:6" ht="13.2" x14ac:dyDescent="0.25">
      <c r="A35" s="34">
        <v>34</v>
      </c>
      <c r="B35" s="35">
        <v>43950</v>
      </c>
      <c r="C35" s="34">
        <v>2962</v>
      </c>
      <c r="D35" s="34">
        <v>74709</v>
      </c>
      <c r="E35" s="34">
        <f t="shared" si="0"/>
        <v>77671</v>
      </c>
      <c r="F35" s="36">
        <f t="shared" si="1"/>
        <v>3.8135211340139821E-2</v>
      </c>
    </row>
    <row r="36" spans="1:6" ht="13.2" x14ac:dyDescent="0.25">
      <c r="A36" s="34">
        <v>35</v>
      </c>
      <c r="B36" s="35">
        <v>43951</v>
      </c>
      <c r="C36" s="34">
        <v>3022</v>
      </c>
      <c r="D36" s="34">
        <v>76130</v>
      </c>
      <c r="E36" s="34">
        <f t="shared" si="0"/>
        <v>79152</v>
      </c>
      <c r="F36" s="36">
        <f t="shared" si="1"/>
        <v>3.8179704871639381E-2</v>
      </c>
    </row>
    <row r="37" spans="1:6" ht="13.2" x14ac:dyDescent="0.25">
      <c r="A37" s="34">
        <v>36</v>
      </c>
      <c r="B37" s="35">
        <v>43952</v>
      </c>
      <c r="C37" s="34">
        <v>3044</v>
      </c>
      <c r="D37" s="34">
        <v>76636</v>
      </c>
      <c r="E37" s="34">
        <f t="shared" si="0"/>
        <v>79680</v>
      </c>
      <c r="F37" s="36">
        <f t="shared" si="1"/>
        <v>3.8202811244979921E-2</v>
      </c>
    </row>
    <row r="38" spans="1:6" ht="13.2" x14ac:dyDescent="0.25">
      <c r="A38" s="34">
        <v>37</v>
      </c>
      <c r="B38" s="35">
        <v>43953</v>
      </c>
      <c r="C38" s="34">
        <v>3050</v>
      </c>
      <c r="D38" s="34">
        <v>76864</v>
      </c>
      <c r="E38" s="34">
        <f t="shared" si="0"/>
        <v>79914</v>
      </c>
      <c r="F38" s="36">
        <f t="shared" si="1"/>
        <v>3.8166028480616662E-2</v>
      </c>
    </row>
    <row r="39" spans="1:6" ht="13.2" x14ac:dyDescent="0.25">
      <c r="A39" s="34">
        <v>38</v>
      </c>
      <c r="B39" s="35">
        <v>43954</v>
      </c>
      <c r="C39" s="34">
        <v>3056</v>
      </c>
      <c r="D39" s="34">
        <v>77136</v>
      </c>
      <c r="E39" s="34">
        <f t="shared" si="0"/>
        <v>80192</v>
      </c>
      <c r="F39" s="36">
        <f t="shared" si="1"/>
        <v>3.8108539505187548E-2</v>
      </c>
    </row>
    <row r="40" spans="1:6" ht="13.2" x14ac:dyDescent="0.25">
      <c r="A40" s="34">
        <v>39</v>
      </c>
      <c r="B40" s="35">
        <v>43955</v>
      </c>
      <c r="C40" s="34">
        <v>3103</v>
      </c>
      <c r="D40" s="34">
        <v>78265</v>
      </c>
      <c r="E40" s="34">
        <f t="shared" si="0"/>
        <v>81368</v>
      </c>
      <c r="F40" s="36">
        <f t="shared" si="1"/>
        <v>3.8135384917903845E-2</v>
      </c>
    </row>
    <row r="41" spans="1:6" ht="13.2" x14ac:dyDescent="0.25">
      <c r="A41" s="34">
        <v>40</v>
      </c>
      <c r="B41" s="35">
        <v>43956</v>
      </c>
      <c r="C41" s="34">
        <v>3117</v>
      </c>
      <c r="D41" s="34">
        <v>79152</v>
      </c>
      <c r="E41" s="34">
        <f t="shared" si="0"/>
        <v>82269</v>
      </c>
      <c r="F41" s="36">
        <f t="shared" si="1"/>
        <v>3.7887904313897096E-2</v>
      </c>
    </row>
    <row r="42" spans="1:6" ht="13.2" x14ac:dyDescent="0.25">
      <c r="A42" s="34">
        <v>41</v>
      </c>
      <c r="B42" s="35">
        <v>43957</v>
      </c>
      <c r="C42" s="34">
        <v>3155</v>
      </c>
      <c r="D42" s="34">
        <v>79497</v>
      </c>
      <c r="E42" s="34">
        <f t="shared" si="0"/>
        <v>82652</v>
      </c>
      <c r="F42" s="36">
        <f t="shared" si="1"/>
        <v>3.817209504912162E-2</v>
      </c>
    </row>
    <row r="43" spans="1:6" ht="13.2" x14ac:dyDescent="0.25">
      <c r="A43" s="34">
        <v>42</v>
      </c>
      <c r="B43" s="35">
        <v>43958</v>
      </c>
      <c r="C43" s="34">
        <v>3176</v>
      </c>
      <c r="D43" s="34">
        <v>80016</v>
      </c>
      <c r="E43" s="34">
        <f t="shared" si="0"/>
        <v>83192</v>
      </c>
      <c r="F43" s="36">
        <f t="shared" si="1"/>
        <v>3.8176747764208097E-2</v>
      </c>
    </row>
    <row r="44" spans="1:6" ht="13.2" x14ac:dyDescent="0.25">
      <c r="A44" s="34">
        <v>43</v>
      </c>
      <c r="B44" s="35">
        <v>43959</v>
      </c>
      <c r="C44" s="34">
        <v>3358</v>
      </c>
      <c r="D44" s="34">
        <v>81466</v>
      </c>
      <c r="E44" s="34">
        <f t="shared" si="0"/>
        <v>84824</v>
      </c>
      <c r="F44" s="36">
        <f t="shared" si="1"/>
        <v>3.9587852494577004E-2</v>
      </c>
    </row>
    <row r="45" spans="1:6" ht="13.2" x14ac:dyDescent="0.25">
      <c r="A45" s="34">
        <v>44</v>
      </c>
      <c r="B45" s="35">
        <v>43960</v>
      </c>
      <c r="C45" s="34">
        <v>3480</v>
      </c>
      <c r="D45" s="34">
        <v>83534</v>
      </c>
      <c r="E45" s="34">
        <f t="shared" si="0"/>
        <v>87014</v>
      </c>
      <c r="F45" s="36">
        <f t="shared" si="1"/>
        <v>3.9993564254028086E-2</v>
      </c>
    </row>
    <row r="46" spans="1:6" ht="13.2" x14ac:dyDescent="0.25">
      <c r="A46" s="34">
        <v>45</v>
      </c>
      <c r="B46" s="35">
        <v>43961</v>
      </c>
      <c r="C46" s="34">
        <v>3505</v>
      </c>
      <c r="D46" s="34">
        <v>84447</v>
      </c>
      <c r="E46" s="34">
        <f t="shared" si="0"/>
        <v>87952</v>
      </c>
      <c r="F46" s="36">
        <f t="shared" si="1"/>
        <v>3.9851282517736945E-2</v>
      </c>
    </row>
    <row r="47" spans="1:6" ht="13.2" x14ac:dyDescent="0.25">
      <c r="A47" s="34">
        <v>46</v>
      </c>
      <c r="B47" s="35">
        <v>43962</v>
      </c>
      <c r="C47" s="34">
        <v>3646</v>
      </c>
      <c r="D47" s="34">
        <v>89780</v>
      </c>
      <c r="E47" s="34">
        <f t="shared" si="0"/>
        <v>93426</v>
      </c>
      <c r="F47" s="36">
        <f t="shared" si="1"/>
        <v>3.9025538929206002E-2</v>
      </c>
    </row>
    <row r="48" spans="1:6" ht="13.2" x14ac:dyDescent="0.25">
      <c r="A48" s="34">
        <v>47</v>
      </c>
      <c r="B48" s="35">
        <v>43963</v>
      </c>
      <c r="C48" s="34">
        <v>3671</v>
      </c>
      <c r="D48" s="34">
        <v>91630</v>
      </c>
      <c r="E48" s="34">
        <f t="shared" si="0"/>
        <v>95301</v>
      </c>
      <c r="F48" s="36">
        <f t="shared" si="1"/>
        <v>3.8520057502019915E-2</v>
      </c>
    </row>
    <row r="49" spans="1:6" ht="13.2" x14ac:dyDescent="0.25">
      <c r="A49" s="34">
        <v>48</v>
      </c>
      <c r="B49" s="35">
        <v>43964</v>
      </c>
      <c r="C49" s="34">
        <v>3703</v>
      </c>
      <c r="D49" s="34">
        <v>93045</v>
      </c>
      <c r="E49" s="34">
        <f t="shared" si="0"/>
        <v>96748</v>
      </c>
      <c r="F49" s="36">
        <f t="shared" si="1"/>
        <v>3.8274693016909909E-2</v>
      </c>
    </row>
    <row r="50" spans="1:6" ht="13.2" x14ac:dyDescent="0.25">
      <c r="A50" s="34">
        <v>49</v>
      </c>
      <c r="B50" s="35">
        <v>43965</v>
      </c>
      <c r="C50" s="34">
        <v>3745</v>
      </c>
      <c r="D50" s="34">
        <v>94083</v>
      </c>
      <c r="E50" s="34">
        <f t="shared" si="0"/>
        <v>97828</v>
      </c>
      <c r="F50" s="36">
        <f t="shared" si="1"/>
        <v>3.8281473606738357E-2</v>
      </c>
    </row>
    <row r="51" spans="1:6" ht="13.2" x14ac:dyDescent="0.25">
      <c r="A51" s="34">
        <v>50</v>
      </c>
      <c r="B51" s="35">
        <v>43966</v>
      </c>
      <c r="C51" s="34">
        <v>3804</v>
      </c>
      <c r="D51" s="34">
        <v>95412</v>
      </c>
      <c r="E51" s="34">
        <f t="shared" si="0"/>
        <v>99216</v>
      </c>
      <c r="F51" s="36">
        <f t="shared" si="1"/>
        <v>3.8340590227382683E-2</v>
      </c>
    </row>
    <row r="52" spans="1:6" ht="13.2" x14ac:dyDescent="0.25">
      <c r="A52" s="34">
        <v>51</v>
      </c>
      <c r="B52" s="35">
        <v>43967</v>
      </c>
      <c r="C52" s="34">
        <v>3808</v>
      </c>
      <c r="D52" s="34">
        <v>96007</v>
      </c>
      <c r="E52" s="34">
        <f t="shared" si="0"/>
        <v>99815</v>
      </c>
      <c r="F52" s="36">
        <f t="shared" si="1"/>
        <v>3.8150578570355156E-2</v>
      </c>
    </row>
    <row r="53" spans="1:6" ht="13.2" x14ac:dyDescent="0.25">
      <c r="A53" s="34">
        <v>52</v>
      </c>
      <c r="B53" s="35">
        <v>43968</v>
      </c>
      <c r="C53" s="34">
        <v>3842</v>
      </c>
      <c r="D53" s="34">
        <v>96521</v>
      </c>
      <c r="E53" s="34">
        <f t="shared" si="0"/>
        <v>100363</v>
      </c>
      <c r="F53" s="36">
        <f t="shared" si="1"/>
        <v>3.8281039825433676E-2</v>
      </c>
    </row>
    <row r="54" spans="1:6" ht="13.2" x14ac:dyDescent="0.25">
      <c r="A54" s="34">
        <v>53</v>
      </c>
      <c r="B54" s="35">
        <v>43969</v>
      </c>
      <c r="C54" s="34">
        <v>3918</v>
      </c>
      <c r="D54" s="34">
        <v>102289</v>
      </c>
      <c r="E54" s="34">
        <f t="shared" si="0"/>
        <v>106207</v>
      </c>
      <c r="F54" s="36">
        <f t="shared" si="1"/>
        <v>3.6890223808223564E-2</v>
      </c>
    </row>
    <row r="55" spans="1:6" ht="13.2" x14ac:dyDescent="0.25">
      <c r="A55" s="34">
        <v>54</v>
      </c>
      <c r="B55" s="35">
        <v>43970</v>
      </c>
      <c r="C55" s="34">
        <v>4153</v>
      </c>
      <c r="D55" s="34">
        <v>105937</v>
      </c>
      <c r="E55" s="34">
        <f t="shared" si="0"/>
        <v>110090</v>
      </c>
      <c r="F55" s="36">
        <f t="shared" si="1"/>
        <v>3.7723680624943232E-2</v>
      </c>
    </row>
    <row r="56" spans="1:6" ht="13.2" x14ac:dyDescent="0.25">
      <c r="A56" s="34">
        <v>55</v>
      </c>
      <c r="B56" s="35">
        <v>43971</v>
      </c>
      <c r="C56" s="34">
        <v>4213</v>
      </c>
      <c r="D56" s="34">
        <v>106929</v>
      </c>
      <c r="E56" s="34">
        <f t="shared" si="0"/>
        <v>111142</v>
      </c>
      <c r="F56" s="36">
        <f t="shared" si="1"/>
        <v>3.7906462003563013E-2</v>
      </c>
    </row>
    <row r="57" spans="1:6" ht="13.2" x14ac:dyDescent="0.25">
      <c r="A57" s="34">
        <v>56</v>
      </c>
      <c r="B57" s="35">
        <v>43972</v>
      </c>
      <c r="C57" s="34">
        <v>4329</v>
      </c>
      <c r="D57" s="34">
        <v>108976</v>
      </c>
      <c r="E57" s="34">
        <f t="shared" si="0"/>
        <v>113305</v>
      </c>
      <c r="F57" s="36">
        <f t="shared" si="1"/>
        <v>3.8206610476148449E-2</v>
      </c>
    </row>
    <row r="58" spans="1:6" ht="13.2" x14ac:dyDescent="0.25">
      <c r="A58" s="34">
        <v>57</v>
      </c>
      <c r="B58" s="35">
        <v>43973</v>
      </c>
      <c r="C58" s="34">
        <v>4411</v>
      </c>
      <c r="D58" s="34">
        <v>110529</v>
      </c>
      <c r="E58" s="34">
        <f t="shared" si="0"/>
        <v>114940</v>
      </c>
      <c r="F58" s="36">
        <f t="shared" si="1"/>
        <v>3.8376544283974245E-2</v>
      </c>
    </row>
    <row r="59" spans="1:6" ht="13.2" x14ac:dyDescent="0.25">
      <c r="A59" s="34">
        <v>58</v>
      </c>
      <c r="B59" s="35">
        <v>43974</v>
      </c>
      <c r="C59" s="34">
        <v>4421</v>
      </c>
      <c r="D59" s="34">
        <v>110621</v>
      </c>
      <c r="E59" s="34">
        <f t="shared" si="0"/>
        <v>115042</v>
      </c>
      <c r="F59" s="36">
        <f t="shared" si="1"/>
        <v>3.8429443159889429E-2</v>
      </c>
    </row>
    <row r="60" spans="1:6" ht="13.2" x14ac:dyDescent="0.25">
      <c r="A60" s="34">
        <v>59</v>
      </c>
      <c r="B60" s="35">
        <v>43975</v>
      </c>
      <c r="C60" s="34">
        <v>4439</v>
      </c>
      <c r="D60" s="34">
        <v>111423</v>
      </c>
      <c r="E60" s="34">
        <f t="shared" si="0"/>
        <v>115862</v>
      </c>
      <c r="F60" s="36">
        <f t="shared" si="1"/>
        <v>3.8312820424297872E-2</v>
      </c>
    </row>
    <row r="61" spans="1:6" ht="13.2" x14ac:dyDescent="0.25">
      <c r="A61" s="34">
        <v>60</v>
      </c>
      <c r="B61" s="35">
        <v>43976</v>
      </c>
      <c r="C61" s="34">
        <v>4494</v>
      </c>
      <c r="D61" s="34">
        <v>112442</v>
      </c>
      <c r="E61" s="34">
        <f t="shared" si="0"/>
        <v>116936</v>
      </c>
      <c r="F61" s="36">
        <f t="shared" si="1"/>
        <v>3.8431278648149415E-2</v>
      </c>
    </row>
    <row r="62" spans="1:6" ht="13.2" x14ac:dyDescent="0.25">
      <c r="A62" s="34">
        <v>61</v>
      </c>
      <c r="B62" s="35">
        <v>43977</v>
      </c>
      <c r="C62" s="34">
        <v>5627</v>
      </c>
      <c r="D62" s="34">
        <v>128227</v>
      </c>
      <c r="E62" s="34">
        <f t="shared" si="0"/>
        <v>133854</v>
      </c>
      <c r="F62" s="36">
        <f t="shared" si="1"/>
        <v>4.2038340281201909E-2</v>
      </c>
    </row>
    <row r="63" spans="1:6" ht="13.2" x14ac:dyDescent="0.25">
      <c r="A63" s="34">
        <v>62</v>
      </c>
      <c r="B63" s="35">
        <v>43978</v>
      </c>
      <c r="C63" s="34">
        <v>5665</v>
      </c>
      <c r="D63" s="34">
        <v>131189</v>
      </c>
      <c r="E63" s="34">
        <f t="shared" si="0"/>
        <v>136854</v>
      </c>
      <c r="F63" s="36">
        <f t="shared" si="1"/>
        <v>4.1394478787613077E-2</v>
      </c>
    </row>
    <row r="64" spans="1:6" ht="13.2" x14ac:dyDescent="0.25">
      <c r="A64" s="34">
        <v>63</v>
      </c>
      <c r="B64" s="35">
        <v>43979</v>
      </c>
      <c r="C64" s="34">
        <v>5665</v>
      </c>
      <c r="D64" s="34">
        <v>133489</v>
      </c>
      <c r="E64" s="34">
        <f t="shared" si="0"/>
        <v>139154</v>
      </c>
      <c r="F64" s="36">
        <f t="shared" si="1"/>
        <v>4.0710292194259597E-2</v>
      </c>
    </row>
    <row r="65" spans="1:6" ht="13.2" x14ac:dyDescent="0.25">
      <c r="A65" s="34">
        <v>64</v>
      </c>
      <c r="B65" s="35">
        <v>43980</v>
      </c>
      <c r="C65" s="34">
        <v>5675</v>
      </c>
      <c r="D65" s="34">
        <v>136007</v>
      </c>
      <c r="E65" s="34">
        <f t="shared" si="0"/>
        <v>141682</v>
      </c>
      <c r="F65" s="36">
        <f t="shared" si="1"/>
        <v>4.0054488220098529E-2</v>
      </c>
    </row>
    <row r="66" spans="1:6" ht="13.2" x14ac:dyDescent="0.25">
      <c r="A66" s="34">
        <v>65</v>
      </c>
      <c r="B66" s="35">
        <v>43981</v>
      </c>
      <c r="C66" s="34">
        <v>5675</v>
      </c>
      <c r="D66" s="34">
        <v>137077</v>
      </c>
      <c r="E66" s="34">
        <f t="shared" si="0"/>
        <v>142752</v>
      </c>
      <c r="F66" s="36">
        <f t="shared" si="1"/>
        <v>3.9754259134723156E-2</v>
      </c>
    </row>
    <row r="67" spans="1:6" ht="13.2" x14ac:dyDescent="0.25">
      <c r="A67" s="34">
        <v>66</v>
      </c>
      <c r="B67" s="35">
        <v>43982</v>
      </c>
      <c r="C67" s="34">
        <v>5682</v>
      </c>
      <c r="D67" s="34">
        <v>137409</v>
      </c>
      <c r="E67" s="34">
        <f t="shared" si="0"/>
        <v>143091</v>
      </c>
      <c r="F67" s="36">
        <f t="shared" si="1"/>
        <v>3.9708996372937504E-2</v>
      </c>
    </row>
    <row r="68" spans="1:6" ht="13.2" x14ac:dyDescent="0.25">
      <c r="A68" s="34">
        <v>67</v>
      </c>
      <c r="B68" s="35">
        <v>43983</v>
      </c>
      <c r="C68" s="34">
        <v>5683</v>
      </c>
      <c r="D68" s="34">
        <v>137684</v>
      </c>
      <c r="E68" s="34">
        <f t="shared" si="0"/>
        <v>143367</v>
      </c>
      <c r="F68" s="36">
        <f t="shared" si="1"/>
        <v>3.9639526529815089E-2</v>
      </c>
    </row>
    <row r="69" spans="1:6" ht="13.2" x14ac:dyDescent="0.25">
      <c r="A69" s="34">
        <v>68</v>
      </c>
      <c r="B69" s="35">
        <v>43984</v>
      </c>
      <c r="C69" s="34">
        <v>5974</v>
      </c>
      <c r="D69" s="34">
        <v>154257</v>
      </c>
      <c r="E69" s="34">
        <f t="shared" si="0"/>
        <v>160231</v>
      </c>
      <c r="F69" s="36">
        <f t="shared" si="1"/>
        <v>3.728367169898459E-2</v>
      </c>
    </row>
    <row r="70" spans="1:6" ht="13.2" x14ac:dyDescent="0.25">
      <c r="A70" s="34">
        <v>69</v>
      </c>
      <c r="B70" s="35">
        <v>43985</v>
      </c>
      <c r="C70" s="34">
        <v>5979</v>
      </c>
      <c r="D70" s="34">
        <v>155752</v>
      </c>
      <c r="E70" s="34">
        <f t="shared" si="0"/>
        <v>161731</v>
      </c>
      <c r="F70" s="36">
        <f t="shared" si="1"/>
        <v>3.6968793861411851E-2</v>
      </c>
    </row>
    <row r="71" spans="1:6" ht="13.2" x14ac:dyDescent="0.25">
      <c r="A71" s="34">
        <v>70</v>
      </c>
      <c r="B71" s="35">
        <v>43986</v>
      </c>
      <c r="C71" s="34">
        <v>6000</v>
      </c>
      <c r="D71" s="34">
        <v>158139</v>
      </c>
      <c r="E71" s="34">
        <f t="shared" si="0"/>
        <v>164139</v>
      </c>
      <c r="F71" s="36">
        <f t="shared" si="1"/>
        <v>3.6554383784475356E-2</v>
      </c>
    </row>
    <row r="72" spans="1:6" ht="13.2" x14ac:dyDescent="0.25">
      <c r="A72" s="34">
        <v>71</v>
      </c>
      <c r="B72" s="35">
        <v>43987</v>
      </c>
      <c r="C72" s="34">
        <v>6121</v>
      </c>
      <c r="D72" s="34">
        <v>159128</v>
      </c>
      <c r="E72" s="34">
        <f t="shared" si="0"/>
        <v>165249</v>
      </c>
      <c r="F72" s="36">
        <f t="shared" si="1"/>
        <v>3.7041071352928008E-2</v>
      </c>
    </row>
    <row r="73" spans="1:6" ht="13.2" x14ac:dyDescent="0.25">
      <c r="A73" s="34">
        <v>72</v>
      </c>
      <c r="B73" s="35">
        <v>43988</v>
      </c>
      <c r="C73" s="34">
        <v>6130</v>
      </c>
      <c r="D73" s="34">
        <v>159792</v>
      </c>
      <c r="E73" s="34">
        <f t="shared" si="0"/>
        <v>165922</v>
      </c>
      <c r="F73" s="36">
        <f t="shared" si="1"/>
        <v>3.6945070575330578E-2</v>
      </c>
    </row>
    <row r="74" spans="1:6" ht="13.2" x14ac:dyDescent="0.25">
      <c r="A74" s="34">
        <v>73</v>
      </c>
      <c r="B74" s="35">
        <v>43989</v>
      </c>
      <c r="C74" s="34">
        <v>6139</v>
      </c>
      <c r="D74" s="34">
        <v>160202</v>
      </c>
      <c r="E74" s="34">
        <f t="shared" si="0"/>
        <v>166341</v>
      </c>
      <c r="F74" s="36">
        <f t="shared" si="1"/>
        <v>3.6906114547826455E-2</v>
      </c>
    </row>
    <row r="75" spans="1:6" ht="13.2" x14ac:dyDescent="0.25">
      <c r="A75" s="34">
        <v>74</v>
      </c>
      <c r="B75" s="35">
        <v>43990</v>
      </c>
      <c r="C75" s="34">
        <v>6232</v>
      </c>
      <c r="D75" s="34">
        <v>164146</v>
      </c>
      <c r="E75" s="34">
        <f t="shared" si="0"/>
        <v>170378</v>
      </c>
      <c r="F75" s="36">
        <f t="shared" si="1"/>
        <v>3.6577492399253425E-2</v>
      </c>
    </row>
    <row r="76" spans="1:6" ht="13.2" x14ac:dyDescent="0.25">
      <c r="A76" s="34">
        <v>75</v>
      </c>
      <c r="B76" s="35">
        <v>43991</v>
      </c>
      <c r="C76" s="34">
        <v>6265</v>
      </c>
      <c r="D76" s="34">
        <v>164828</v>
      </c>
      <c r="E76" s="34">
        <f t="shared" si="0"/>
        <v>171093</v>
      </c>
      <c r="F76" s="36">
        <f t="shared" si="1"/>
        <v>3.6617512113295107E-2</v>
      </c>
    </row>
    <row r="77" spans="1:6" ht="13.2" x14ac:dyDescent="0.25">
      <c r="A77" s="34">
        <v>76</v>
      </c>
      <c r="B77" s="35">
        <v>43992</v>
      </c>
      <c r="C77" s="34">
        <v>6432</v>
      </c>
      <c r="D77" s="34">
        <v>167126</v>
      </c>
      <c r="E77" s="34">
        <f t="shared" si="0"/>
        <v>173558</v>
      </c>
      <c r="F77" s="36">
        <f t="shared" si="1"/>
        <v>3.7059657290358268E-2</v>
      </c>
    </row>
    <row r="78" spans="1:6" ht="13.2" x14ac:dyDescent="0.25">
      <c r="A78" s="34">
        <v>77</v>
      </c>
      <c r="B78" s="35">
        <v>43993</v>
      </c>
      <c r="C78" s="34">
        <v>6432</v>
      </c>
      <c r="D78" s="34">
        <v>167708</v>
      </c>
      <c r="E78" s="34">
        <f t="shared" si="0"/>
        <v>174140</v>
      </c>
      <c r="F78" s="36">
        <f t="shared" si="1"/>
        <v>3.6935798782588722E-2</v>
      </c>
    </row>
    <row r="79" spans="1:6" ht="13.2" x14ac:dyDescent="0.25">
      <c r="A79" s="34">
        <v>78</v>
      </c>
      <c r="B79" s="35">
        <v>43994</v>
      </c>
      <c r="C79" s="34">
        <v>6623</v>
      </c>
      <c r="D79" s="34">
        <v>172012</v>
      </c>
      <c r="E79" s="34">
        <f t="shared" si="0"/>
        <v>178635</v>
      </c>
      <c r="F79" s="36">
        <f t="shared" si="1"/>
        <v>3.7075601086013377E-2</v>
      </c>
    </row>
    <row r="80" spans="1:6" ht="13.2" x14ac:dyDescent="0.25">
      <c r="A80" s="34">
        <v>79</v>
      </c>
      <c r="B80" s="35">
        <v>43995</v>
      </c>
      <c r="C80" s="34">
        <v>6623</v>
      </c>
      <c r="D80" s="34">
        <v>172590</v>
      </c>
      <c r="E80" s="34">
        <f t="shared" si="0"/>
        <v>179213</v>
      </c>
      <c r="F80" s="36">
        <f t="shared" si="1"/>
        <v>3.6956024395551665E-2</v>
      </c>
    </row>
    <row r="81" spans="1:6" ht="13.2" x14ac:dyDescent="0.25">
      <c r="A81" s="34">
        <v>80</v>
      </c>
      <c r="B81" s="35">
        <v>43996</v>
      </c>
      <c r="C81" s="34">
        <v>6633</v>
      </c>
      <c r="D81" s="34">
        <v>172889</v>
      </c>
      <c r="E81" s="34">
        <f t="shared" si="0"/>
        <v>179522</v>
      </c>
      <c r="F81" s="36">
        <f t="shared" si="1"/>
        <v>3.6948117779436504E-2</v>
      </c>
    </row>
    <row r="82" spans="1:6" ht="13.2" x14ac:dyDescent="0.25">
      <c r="A82" s="34">
        <v>81</v>
      </c>
      <c r="B82" s="35">
        <v>43997</v>
      </c>
      <c r="C82" s="34">
        <v>6640</v>
      </c>
      <c r="D82" s="34">
        <v>173219</v>
      </c>
      <c r="E82" s="34">
        <f t="shared" si="0"/>
        <v>179859</v>
      </c>
      <c r="F82" s="36">
        <f t="shared" si="1"/>
        <v>3.6917807838362272E-2</v>
      </c>
    </row>
    <row r="83" spans="1:6" ht="13.2" x14ac:dyDescent="0.25">
      <c r="A83" s="34">
        <v>82</v>
      </c>
      <c r="B83" s="35">
        <v>43998</v>
      </c>
      <c r="C83" s="34">
        <v>6811</v>
      </c>
      <c r="D83" s="34">
        <v>177894</v>
      </c>
      <c r="E83" s="34">
        <f t="shared" si="0"/>
        <v>184705</v>
      </c>
      <c r="F83" s="36">
        <f t="shared" si="1"/>
        <v>3.6875016918870629E-2</v>
      </c>
    </row>
    <row r="84" spans="1:6" ht="13.2" x14ac:dyDescent="0.25">
      <c r="A84" s="34">
        <v>83</v>
      </c>
      <c r="B84" s="35">
        <v>43999</v>
      </c>
      <c r="C84" s="34">
        <v>6817</v>
      </c>
      <c r="D84" s="34">
        <v>178254</v>
      </c>
      <c r="E84" s="34">
        <f t="shared" si="0"/>
        <v>185071</v>
      </c>
      <c r="F84" s="36">
        <f t="shared" si="1"/>
        <v>3.683451216019798E-2</v>
      </c>
    </row>
    <row r="85" spans="1:6" ht="13.2" x14ac:dyDescent="0.25">
      <c r="A85" s="34">
        <v>84</v>
      </c>
      <c r="B85" s="35">
        <v>44000</v>
      </c>
      <c r="C85" s="34">
        <v>6843</v>
      </c>
      <c r="D85" s="34">
        <v>181600</v>
      </c>
      <c r="E85" s="34">
        <f t="shared" si="0"/>
        <v>188443</v>
      </c>
      <c r="F85" s="36">
        <f t="shared" si="1"/>
        <v>3.6313367968032771E-2</v>
      </c>
    </row>
    <row r="86" spans="1:6" ht="13.2" x14ac:dyDescent="0.25">
      <c r="A86" s="34">
        <v>85</v>
      </c>
      <c r="B86" s="35">
        <v>44001</v>
      </c>
      <c r="C86" s="34">
        <v>7086</v>
      </c>
      <c r="D86" s="34">
        <v>188348</v>
      </c>
      <c r="E86" s="34">
        <f t="shared" si="0"/>
        <v>195434</v>
      </c>
      <c r="F86" s="36">
        <f t="shared" si="1"/>
        <v>3.6257764769692072E-2</v>
      </c>
    </row>
    <row r="87" spans="1:6" ht="13.2" x14ac:dyDescent="0.25">
      <c r="A87" s="34">
        <v>86</v>
      </c>
      <c r="B87" s="35">
        <v>44002</v>
      </c>
      <c r="C87" s="34">
        <v>7086</v>
      </c>
      <c r="D87" s="34">
        <v>188950</v>
      </c>
      <c r="E87" s="34">
        <f t="shared" si="0"/>
        <v>196036</v>
      </c>
      <c r="F87" s="36">
        <f t="shared" si="1"/>
        <v>3.6146422085739351E-2</v>
      </c>
    </row>
    <row r="88" spans="1:6" ht="13.2" x14ac:dyDescent="0.25">
      <c r="A88" s="34">
        <v>87</v>
      </c>
      <c r="B88" s="35">
        <v>44003</v>
      </c>
      <c r="C88" s="34">
        <v>7100</v>
      </c>
      <c r="D88" s="34">
        <v>189240</v>
      </c>
      <c r="E88" s="34">
        <f t="shared" si="0"/>
        <v>196340</v>
      </c>
      <c r="F88" s="36">
        <f t="shared" si="1"/>
        <v>3.6161760211877357E-2</v>
      </c>
    </row>
    <row r="89" spans="1:6" ht="13.2" x14ac:dyDescent="0.25">
      <c r="A89" s="34">
        <v>88</v>
      </c>
      <c r="B89" s="35">
        <v>44004</v>
      </c>
      <c r="C89" s="34">
        <v>7100</v>
      </c>
      <c r="D89" s="34">
        <v>189240</v>
      </c>
      <c r="E89" s="34">
        <f t="shared" si="0"/>
        <v>196340</v>
      </c>
      <c r="F89" s="36">
        <f t="shared" si="1"/>
        <v>3.6161760211877357E-2</v>
      </c>
    </row>
    <row r="90" spans="1:6" ht="13.2" x14ac:dyDescent="0.25">
      <c r="A90" s="34">
        <v>89</v>
      </c>
      <c r="B90" s="35">
        <v>44005</v>
      </c>
      <c r="C90" s="34">
        <v>7394</v>
      </c>
      <c r="D90" s="34">
        <v>204935</v>
      </c>
      <c r="E90" s="34">
        <f t="shared" si="0"/>
        <v>212329</v>
      </c>
      <c r="F90" s="36">
        <f t="shared" si="1"/>
        <v>3.4823316645394647E-2</v>
      </c>
    </row>
    <row r="91" spans="1:6" ht="13.2" x14ac:dyDescent="0.25">
      <c r="A91" s="34">
        <v>90</v>
      </c>
      <c r="B91" s="35">
        <v>44006</v>
      </c>
      <c r="C91" s="34">
        <v>7832</v>
      </c>
      <c r="D91" s="34">
        <v>205376</v>
      </c>
      <c r="E91" s="34">
        <f t="shared" si="0"/>
        <v>213208</v>
      </c>
      <c r="F91" s="36">
        <f t="shared" si="1"/>
        <v>3.6734081272747736E-2</v>
      </c>
    </row>
    <row r="92" spans="1:6" ht="13.2" x14ac:dyDescent="0.25">
      <c r="A92" s="34">
        <v>91</v>
      </c>
      <c r="B92" s="35">
        <v>44007</v>
      </c>
      <c r="C92" s="34">
        <v>7839</v>
      </c>
      <c r="D92" s="34">
        <v>205988</v>
      </c>
      <c r="E92" s="34">
        <f t="shared" si="0"/>
        <v>213827</v>
      </c>
      <c r="F92" s="36">
        <f t="shared" si="1"/>
        <v>3.6660477862945282E-2</v>
      </c>
    </row>
    <row r="93" spans="1:6" ht="13.2" x14ac:dyDescent="0.25">
      <c r="A93" s="34">
        <v>92</v>
      </c>
      <c r="B93" s="35">
        <v>44008</v>
      </c>
      <c r="C93" s="34">
        <v>7952</v>
      </c>
      <c r="D93" s="34">
        <v>219371</v>
      </c>
      <c r="E93" s="34">
        <f t="shared" si="0"/>
        <v>227323</v>
      </c>
      <c r="F93" s="36">
        <f t="shared" si="1"/>
        <v>3.4981062189043781E-2</v>
      </c>
    </row>
    <row r="94" spans="1:6" ht="13.2" x14ac:dyDescent="0.25">
      <c r="A94" s="34">
        <v>93</v>
      </c>
      <c r="B94" s="35">
        <v>44009</v>
      </c>
      <c r="C94" s="34">
        <v>8074</v>
      </c>
      <c r="D94" s="34">
        <v>222721</v>
      </c>
      <c r="E94" s="34">
        <f t="shared" si="0"/>
        <v>230795</v>
      </c>
      <c r="F94" s="36">
        <f t="shared" si="1"/>
        <v>3.4983426850668339E-2</v>
      </c>
    </row>
    <row r="95" spans="1:6" ht="13.2" x14ac:dyDescent="0.25">
      <c r="A95" s="34">
        <v>94</v>
      </c>
      <c r="B95" s="35">
        <v>44010</v>
      </c>
      <c r="C95" s="34">
        <v>8084</v>
      </c>
      <c r="D95" s="34">
        <v>222784</v>
      </c>
      <c r="E95" s="34">
        <f t="shared" si="0"/>
        <v>230868</v>
      </c>
      <c r="F95" s="36">
        <f t="shared" si="1"/>
        <v>3.5015679955645647E-2</v>
      </c>
    </row>
    <row r="96" spans="1:6" ht="13.2" x14ac:dyDescent="0.25">
      <c r="A96" s="34">
        <v>95</v>
      </c>
      <c r="B96" s="35">
        <v>44011</v>
      </c>
      <c r="C96" s="34">
        <v>8145</v>
      </c>
      <c r="D96" s="34">
        <v>224821</v>
      </c>
      <c r="E96" s="34">
        <f t="shared" si="0"/>
        <v>232966</v>
      </c>
      <c r="F96" s="36">
        <f t="shared" si="1"/>
        <v>3.4962183322888321E-2</v>
      </c>
    </row>
    <row r="97" spans="1:6" ht="13.2" x14ac:dyDescent="0.25">
      <c r="A97" s="34">
        <v>96</v>
      </c>
      <c r="B97" s="35">
        <v>44012</v>
      </c>
      <c r="C97" s="34">
        <v>8326</v>
      </c>
      <c r="D97" s="34">
        <v>230470</v>
      </c>
      <c r="E97" s="34">
        <f t="shared" si="0"/>
        <v>238796</v>
      </c>
      <c r="F97" s="36">
        <f t="shared" si="1"/>
        <v>3.4866580679743381E-2</v>
      </c>
    </row>
    <row r="98" spans="1:6" ht="13.2" x14ac:dyDescent="0.25">
      <c r="A98" s="34">
        <v>97</v>
      </c>
      <c r="B98" s="35">
        <v>44013</v>
      </c>
      <c r="C98" s="34">
        <v>8355</v>
      </c>
      <c r="D98" s="34">
        <v>231881</v>
      </c>
      <c r="E98" s="34">
        <f t="shared" si="0"/>
        <v>240236</v>
      </c>
      <c r="F98" s="36">
        <f t="shared" si="1"/>
        <v>3.4778301337018598E-2</v>
      </c>
    </row>
    <row r="99" spans="1:6" ht="13.2" x14ac:dyDescent="0.25">
      <c r="A99" s="34">
        <v>98</v>
      </c>
      <c r="B99" s="35">
        <v>44014</v>
      </c>
      <c r="C99" s="34">
        <v>8449</v>
      </c>
      <c r="D99" s="34">
        <v>234561</v>
      </c>
      <c r="E99" s="34">
        <f t="shared" si="0"/>
        <v>243010</v>
      </c>
      <c r="F99" s="36">
        <f t="shared" si="1"/>
        <v>3.4768116538414058E-2</v>
      </c>
    </row>
    <row r="100" spans="1:6" ht="13.2" x14ac:dyDescent="0.25">
      <c r="A100" s="34">
        <v>99</v>
      </c>
      <c r="B100" s="35">
        <v>44015</v>
      </c>
      <c r="C100" s="34">
        <v>8569</v>
      </c>
      <c r="D100" s="34">
        <v>237735</v>
      </c>
      <c r="E100" s="34">
        <f t="shared" si="0"/>
        <v>246304</v>
      </c>
      <c r="F100" s="36">
        <f t="shared" si="1"/>
        <v>3.4790340392360661E-2</v>
      </c>
    </row>
    <row r="101" spans="1:6" ht="13.2" x14ac:dyDescent="0.25">
      <c r="A101" s="34">
        <v>100</v>
      </c>
      <c r="B101" s="35">
        <v>44016</v>
      </c>
      <c r="C101" s="34">
        <v>8598</v>
      </c>
      <c r="D101" s="34">
        <v>240126</v>
      </c>
      <c r="E101" s="34">
        <f t="shared" si="0"/>
        <v>248724</v>
      </c>
      <c r="F101" s="36">
        <f t="shared" si="1"/>
        <v>3.4568437303999611E-2</v>
      </c>
    </row>
    <row r="102" spans="1:6" ht="13.2" x14ac:dyDescent="0.25">
      <c r="A102" s="34">
        <v>101</v>
      </c>
      <c r="B102" s="35">
        <v>44017</v>
      </c>
      <c r="C102" s="34">
        <v>8700</v>
      </c>
      <c r="D102" s="34">
        <v>242564</v>
      </c>
      <c r="E102" s="34">
        <f t="shared" si="0"/>
        <v>251264</v>
      </c>
      <c r="F102" s="36">
        <f t="shared" si="1"/>
        <v>3.4624936321956193E-2</v>
      </c>
    </row>
    <row r="103" spans="1:6" ht="13.2" x14ac:dyDescent="0.25">
      <c r="A103" s="34">
        <v>102</v>
      </c>
      <c r="B103" s="35">
        <v>44018</v>
      </c>
      <c r="C103" s="34">
        <v>8925</v>
      </c>
      <c r="D103" s="34">
        <v>247222</v>
      </c>
      <c r="E103" s="34">
        <f t="shared" si="0"/>
        <v>256147</v>
      </c>
      <c r="F103" s="36">
        <f t="shared" si="1"/>
        <v>3.484327358899382E-2</v>
      </c>
    </row>
    <row r="104" spans="1:6" ht="13.2" x14ac:dyDescent="0.25">
      <c r="A104" s="34">
        <v>103</v>
      </c>
      <c r="B104" s="35">
        <v>44019</v>
      </c>
      <c r="C104" s="34">
        <v>8947</v>
      </c>
      <c r="D104" s="34">
        <v>247656</v>
      </c>
      <c r="E104" s="34">
        <f t="shared" si="0"/>
        <v>256603</v>
      </c>
      <c r="F104" s="36">
        <f t="shared" si="1"/>
        <v>3.4867090408140199E-2</v>
      </c>
    </row>
    <row r="105" spans="1:6" ht="13.2" x14ac:dyDescent="0.25">
      <c r="A105" s="34">
        <v>104</v>
      </c>
      <c r="B105" s="35">
        <v>44020</v>
      </c>
      <c r="C105" s="34">
        <v>9037</v>
      </c>
      <c r="D105" s="34">
        <v>251184</v>
      </c>
      <c r="E105" s="34">
        <f t="shared" si="0"/>
        <v>260221</v>
      </c>
      <c r="F105" s="36">
        <f t="shared" si="1"/>
        <v>3.4728173360336019E-2</v>
      </c>
    </row>
    <row r="106" spans="1:6" ht="13.2" x14ac:dyDescent="0.25">
      <c r="A106" s="34">
        <v>105</v>
      </c>
      <c r="B106" s="35">
        <v>44021</v>
      </c>
      <c r="C106" s="34">
        <v>9149</v>
      </c>
      <c r="D106" s="34">
        <v>253593</v>
      </c>
      <c r="E106" s="34">
        <f t="shared" si="0"/>
        <v>262742</v>
      </c>
      <c r="F106" s="36">
        <f t="shared" si="1"/>
        <v>3.4821231474221857E-2</v>
      </c>
    </row>
    <row r="107" spans="1:6" ht="13.2" x14ac:dyDescent="0.25">
      <c r="A107" s="34">
        <v>106</v>
      </c>
      <c r="B107" s="35">
        <v>44022</v>
      </c>
      <c r="C107" s="34">
        <v>9191</v>
      </c>
      <c r="D107" s="34">
        <v>256150</v>
      </c>
      <c r="E107" s="34">
        <f t="shared" si="0"/>
        <v>265341</v>
      </c>
      <c r="F107" s="36">
        <f t="shared" si="1"/>
        <v>3.463844637654942E-2</v>
      </c>
    </row>
    <row r="108" spans="1:6" ht="13.2" x14ac:dyDescent="0.25">
      <c r="A108" s="34">
        <v>107</v>
      </c>
      <c r="B108" s="35">
        <v>44023</v>
      </c>
      <c r="C108" s="34">
        <v>9197</v>
      </c>
      <c r="D108" s="34">
        <v>257344</v>
      </c>
      <c r="E108" s="34">
        <f t="shared" si="0"/>
        <v>266541</v>
      </c>
      <c r="F108" s="36">
        <f t="shared" si="1"/>
        <v>3.4505010486191617E-2</v>
      </c>
    </row>
    <row r="109" spans="1:6" ht="13.2" x14ac:dyDescent="0.25">
      <c r="A109" s="34">
        <v>108</v>
      </c>
      <c r="B109" s="35">
        <v>44024</v>
      </c>
      <c r="C109" s="34">
        <v>9229</v>
      </c>
      <c r="D109" s="34">
        <v>260151</v>
      </c>
      <c r="E109" s="34">
        <f t="shared" si="0"/>
        <v>269380</v>
      </c>
      <c r="F109" s="36">
        <f t="shared" si="1"/>
        <v>3.4260152943796869E-2</v>
      </c>
    </row>
    <row r="110" spans="1:6" ht="13.2" x14ac:dyDescent="0.25">
      <c r="A110" s="34">
        <v>109</v>
      </c>
      <c r="B110" s="35">
        <v>44025</v>
      </c>
      <c r="C110" s="34">
        <v>9239</v>
      </c>
      <c r="D110" s="34">
        <v>260191</v>
      </c>
      <c r="E110" s="34">
        <f t="shared" si="0"/>
        <v>269430</v>
      </c>
      <c r="F110" s="36">
        <f t="shared" si="1"/>
        <v>3.4290910440559701E-2</v>
      </c>
    </row>
    <row r="111" spans="1:6" ht="13.2" x14ac:dyDescent="0.25">
      <c r="A111" s="34">
        <v>110</v>
      </c>
      <c r="B111" s="35">
        <v>44026</v>
      </c>
      <c r="C111" s="34">
        <v>9524</v>
      </c>
      <c r="D111" s="34">
        <v>262739</v>
      </c>
      <c r="E111" s="34">
        <f t="shared" si="0"/>
        <v>272263</v>
      </c>
      <c r="F111" s="36">
        <f t="shared" si="1"/>
        <v>3.498088245556686E-2</v>
      </c>
    </row>
    <row r="112" spans="1:6" ht="13.2" x14ac:dyDescent="0.25">
      <c r="A112" s="34">
        <v>111</v>
      </c>
      <c r="B112" s="35">
        <v>44027</v>
      </c>
      <c r="C112" s="34">
        <v>9577</v>
      </c>
      <c r="D112" s="34">
        <v>263901</v>
      </c>
      <c r="E112" s="34">
        <f t="shared" si="0"/>
        <v>273478</v>
      </c>
      <c r="F112" s="36">
        <f t="shared" si="1"/>
        <v>3.50192702886521E-2</v>
      </c>
    </row>
    <row r="113" spans="1:6" ht="13.2" x14ac:dyDescent="0.25">
      <c r="A113" s="34">
        <v>112</v>
      </c>
      <c r="B113" s="35">
        <v>44028</v>
      </c>
      <c r="C113" s="34">
        <v>9586</v>
      </c>
      <c r="D113" s="34">
        <v>264909</v>
      </c>
      <c r="E113" s="34">
        <f t="shared" si="0"/>
        <v>274495</v>
      </c>
      <c r="F113" s="36">
        <f t="shared" si="1"/>
        <v>3.4922311881819344E-2</v>
      </c>
    </row>
    <row r="114" spans="1:6" ht="13.2" x14ac:dyDescent="0.25">
      <c r="A114" s="34">
        <v>113</v>
      </c>
      <c r="B114" s="35">
        <v>44029</v>
      </c>
      <c r="C114" s="34">
        <v>9706</v>
      </c>
      <c r="D114" s="34">
        <v>267242</v>
      </c>
      <c r="E114" s="34">
        <f t="shared" si="0"/>
        <v>276948</v>
      </c>
      <c r="F114" s="36">
        <f t="shared" si="1"/>
        <v>3.5046290278319396E-2</v>
      </c>
    </row>
    <row r="115" spans="1:6" ht="13.2" x14ac:dyDescent="0.25">
      <c r="A115" s="34">
        <v>114</v>
      </c>
      <c r="B115" s="35">
        <v>44030</v>
      </c>
      <c r="C115" s="34">
        <v>9706</v>
      </c>
      <c r="D115" s="34">
        <v>269414</v>
      </c>
      <c r="E115" s="34">
        <f t="shared" si="0"/>
        <v>279120</v>
      </c>
      <c r="F115" s="36">
        <f t="shared" si="1"/>
        <v>3.4773574089997136E-2</v>
      </c>
    </row>
    <row r="116" spans="1:6" ht="13.2" x14ac:dyDescent="0.25">
      <c r="A116" s="34">
        <v>115</v>
      </c>
      <c r="B116" s="35">
        <v>44031</v>
      </c>
      <c r="C116" s="34">
        <v>9715</v>
      </c>
      <c r="D116" s="34">
        <v>269528</v>
      </c>
      <c r="E116" s="34">
        <f t="shared" si="0"/>
        <v>279243</v>
      </c>
      <c r="F116" s="36">
        <f t="shared" si="1"/>
        <v>3.4790487138442149E-2</v>
      </c>
    </row>
    <row r="117" spans="1:6" ht="13.2" x14ac:dyDescent="0.25">
      <c r="A117" s="34">
        <v>116</v>
      </c>
      <c r="B117" s="35">
        <v>44032</v>
      </c>
      <c r="C117" s="34">
        <v>9782</v>
      </c>
      <c r="D117" s="34">
        <v>270280</v>
      </c>
      <c r="E117" s="34">
        <f t="shared" si="0"/>
        <v>280062</v>
      </c>
      <c r="F117" s="36">
        <f t="shared" si="1"/>
        <v>3.4927980232948422E-2</v>
      </c>
    </row>
    <row r="118" spans="1:6" ht="13.2" x14ac:dyDescent="0.25">
      <c r="A118" s="34">
        <v>117</v>
      </c>
      <c r="B118" s="35">
        <v>44033</v>
      </c>
      <c r="C118" s="34">
        <v>9794</v>
      </c>
      <c r="D118" s="34">
        <v>270498</v>
      </c>
      <c r="E118" s="34">
        <f t="shared" si="0"/>
        <v>280292</v>
      </c>
      <c r="F118" s="36">
        <f t="shared" si="1"/>
        <v>3.4942131776861271E-2</v>
      </c>
    </row>
    <row r="119" spans="1:6" ht="13.2" x14ac:dyDescent="0.25">
      <c r="A119" s="34">
        <v>118</v>
      </c>
      <c r="B119" s="35">
        <v>44034</v>
      </c>
      <c r="C119" s="34">
        <v>10031</v>
      </c>
      <c r="D119" s="34">
        <v>274202</v>
      </c>
      <c r="E119" s="34">
        <f t="shared" si="0"/>
        <v>284233</v>
      </c>
      <c r="F119" s="36">
        <f t="shared" si="1"/>
        <v>3.5291468619055494E-2</v>
      </c>
    </row>
    <row r="120" spans="1:6" ht="13.2" x14ac:dyDescent="0.25">
      <c r="A120" s="34">
        <v>119</v>
      </c>
      <c r="B120" s="35">
        <v>44035</v>
      </c>
      <c r="C120" s="34">
        <v>10031</v>
      </c>
      <c r="D120" s="34">
        <v>274202</v>
      </c>
      <c r="E120" s="34">
        <f t="shared" si="0"/>
        <v>284233</v>
      </c>
      <c r="F120" s="36">
        <f t="shared" si="1"/>
        <v>3.5291468619055494E-2</v>
      </c>
    </row>
    <row r="121" spans="1:6" ht="13.2" x14ac:dyDescent="0.25">
      <c r="A121" s="34">
        <v>120</v>
      </c>
      <c r="B121" s="35">
        <v>44036</v>
      </c>
      <c r="C121" s="34">
        <v>10428</v>
      </c>
      <c r="D121" s="34">
        <v>283882</v>
      </c>
      <c r="E121" s="34">
        <f t="shared" si="0"/>
        <v>294310</v>
      </c>
      <c r="F121" s="36">
        <f t="shared" si="1"/>
        <v>3.5432027454045056E-2</v>
      </c>
    </row>
    <row r="122" spans="1:6" ht="13.2" x14ac:dyDescent="0.25">
      <c r="A122" s="34">
        <v>121</v>
      </c>
      <c r="B122" s="35">
        <v>44037</v>
      </c>
      <c r="C122" s="34">
        <v>10438</v>
      </c>
      <c r="D122" s="34">
        <v>284634</v>
      </c>
      <c r="E122" s="34">
        <f t="shared" si="0"/>
        <v>295072</v>
      </c>
      <c r="F122" s="36">
        <f t="shared" si="1"/>
        <v>3.5374417091421757E-2</v>
      </c>
    </row>
    <row r="123" spans="1:6" ht="13.2" x14ac:dyDescent="0.25">
      <c r="A123" s="34">
        <v>122</v>
      </c>
      <c r="B123" s="35">
        <v>44038</v>
      </c>
      <c r="C123" s="34">
        <v>10442</v>
      </c>
      <c r="D123" s="34">
        <v>285630</v>
      </c>
      <c r="E123" s="34">
        <f t="shared" si="0"/>
        <v>296072</v>
      </c>
      <c r="F123" s="36">
        <f t="shared" si="1"/>
        <v>3.5268448215298981E-2</v>
      </c>
    </row>
    <row r="124" spans="1:6" ht="13.2" x14ac:dyDescent="0.25">
      <c r="A124" s="34">
        <v>123</v>
      </c>
      <c r="B124" s="35">
        <v>44039</v>
      </c>
      <c r="C124" s="34">
        <v>10674</v>
      </c>
      <c r="D124" s="34">
        <v>289873</v>
      </c>
      <c r="E124" s="34">
        <f t="shared" si="0"/>
        <v>300547</v>
      </c>
      <c r="F124" s="36">
        <f t="shared" si="1"/>
        <v>3.5515243872006705E-2</v>
      </c>
    </row>
    <row r="125" spans="1:6" ht="13.2" x14ac:dyDescent="0.25">
      <c r="A125" s="34">
        <v>124</v>
      </c>
      <c r="B125" s="35">
        <v>44040</v>
      </c>
      <c r="C125" s="34">
        <v>10853</v>
      </c>
      <c r="D125" s="34">
        <v>296645</v>
      </c>
      <c r="E125" s="34">
        <f t="shared" si="0"/>
        <v>307498</v>
      </c>
      <c r="F125" s="36">
        <f t="shared" si="1"/>
        <v>3.529453850106342E-2</v>
      </c>
    </row>
    <row r="126" spans="1:6" ht="13.2" x14ac:dyDescent="0.25">
      <c r="A126" s="34">
        <v>125</v>
      </c>
      <c r="B126" s="35">
        <v>44041</v>
      </c>
      <c r="C126" s="34">
        <v>10863</v>
      </c>
      <c r="D126" s="34">
        <v>298637</v>
      </c>
      <c r="E126" s="34">
        <f t="shared" si="0"/>
        <v>309500</v>
      </c>
      <c r="F126" s="36">
        <f t="shared" si="1"/>
        <v>3.5098546042003229E-2</v>
      </c>
    </row>
    <row r="127" spans="1:6" ht="13.2" x14ac:dyDescent="0.25">
      <c r="A127" s="34">
        <v>126</v>
      </c>
      <c r="B127" s="35">
        <v>44042</v>
      </c>
      <c r="C127" s="34">
        <v>10863</v>
      </c>
      <c r="D127" s="34">
        <v>298637</v>
      </c>
      <c r="E127" s="34">
        <f t="shared" si="0"/>
        <v>309500</v>
      </c>
      <c r="F127" s="36">
        <f t="shared" si="1"/>
        <v>3.5098546042003229E-2</v>
      </c>
    </row>
    <row r="128" spans="1:6" ht="13.2" x14ac:dyDescent="0.25">
      <c r="A128" s="34">
        <v>127</v>
      </c>
      <c r="B128" s="35">
        <v>44043</v>
      </c>
      <c r="C128" s="34">
        <v>10865</v>
      </c>
      <c r="D128" s="34">
        <v>298785</v>
      </c>
      <c r="E128" s="34">
        <f t="shared" si="0"/>
        <v>309650</v>
      </c>
      <c r="F128" s="36">
        <f t="shared" si="1"/>
        <v>3.5088002583562088E-2</v>
      </c>
    </row>
    <row r="129" spans="1:6" ht="13.2" x14ac:dyDescent="0.25">
      <c r="A129" s="34">
        <v>128</v>
      </c>
      <c r="B129" s="35">
        <v>44044</v>
      </c>
      <c r="C129" s="34">
        <v>10870</v>
      </c>
      <c r="D129" s="34">
        <v>298930</v>
      </c>
      <c r="E129" s="34">
        <f t="shared" si="0"/>
        <v>309800</v>
      </c>
      <c r="F129" s="36">
        <f t="shared" si="1"/>
        <v>3.5087153001936731E-2</v>
      </c>
    </row>
    <row r="130" spans="1:6" ht="13.2" x14ac:dyDescent="0.25">
      <c r="A130" s="34">
        <v>129</v>
      </c>
      <c r="B130" s="35">
        <v>44045</v>
      </c>
      <c r="C130" s="34">
        <v>10894</v>
      </c>
      <c r="D130" s="34">
        <v>300910</v>
      </c>
      <c r="E130" s="34">
        <f t="shared" si="0"/>
        <v>311804</v>
      </c>
      <c r="F130" s="36">
        <f t="shared" si="1"/>
        <v>3.4938615283960438E-2</v>
      </c>
    </row>
    <row r="131" spans="1:6" ht="13.2" x14ac:dyDescent="0.25">
      <c r="A131" s="34">
        <v>130</v>
      </c>
      <c r="B131" s="35">
        <v>44046</v>
      </c>
      <c r="C131" s="34">
        <v>11101</v>
      </c>
      <c r="D131" s="34">
        <v>307199</v>
      </c>
      <c r="E131" s="34">
        <f t="shared" si="0"/>
        <v>318300</v>
      </c>
      <c r="F131" s="36">
        <f t="shared" si="1"/>
        <v>3.4875903235940933E-2</v>
      </c>
    </row>
    <row r="132" spans="1:6" ht="13.2" x14ac:dyDescent="0.25">
      <c r="A132" s="34">
        <v>131</v>
      </c>
      <c r="B132" s="35">
        <v>44047</v>
      </c>
      <c r="C132" s="34">
        <v>11133</v>
      </c>
      <c r="D132" s="34">
        <v>308068</v>
      </c>
      <c r="E132" s="34">
        <f t="shared" si="0"/>
        <v>319201</v>
      </c>
      <c r="F132" s="36">
        <f t="shared" si="1"/>
        <v>3.4877710282862524E-2</v>
      </c>
    </row>
    <row r="133" spans="1:6" ht="13.2" x14ac:dyDescent="0.25">
      <c r="A133" s="34">
        <v>132</v>
      </c>
      <c r="B133" s="35">
        <v>44048</v>
      </c>
      <c r="C133" s="34">
        <v>11896</v>
      </c>
      <c r="D133" s="34">
        <v>308815</v>
      </c>
      <c r="E133" s="34">
        <f t="shared" si="0"/>
        <v>320711</v>
      </c>
      <c r="F133" s="36">
        <f t="shared" si="1"/>
        <v>3.7092584912896659E-2</v>
      </c>
    </row>
    <row r="134" spans="1:6" ht="13.2" x14ac:dyDescent="0.25">
      <c r="A134" s="34">
        <v>133</v>
      </c>
      <c r="B134" s="35">
        <v>44049</v>
      </c>
      <c r="C134" s="34">
        <v>12507</v>
      </c>
      <c r="D134" s="34">
        <v>317293</v>
      </c>
      <c r="E134" s="34">
        <f t="shared" si="0"/>
        <v>329800</v>
      </c>
      <c r="F134" s="36">
        <f t="shared" si="1"/>
        <v>3.7922983626440268E-2</v>
      </c>
    </row>
    <row r="135" spans="1:6" ht="13.2" x14ac:dyDescent="0.25">
      <c r="A135" s="34">
        <v>134</v>
      </c>
      <c r="B135" s="35">
        <v>44050</v>
      </c>
      <c r="C135" s="34">
        <v>12541</v>
      </c>
      <c r="D135" s="34">
        <v>317973</v>
      </c>
      <c r="E135" s="34">
        <f t="shared" si="0"/>
        <v>330514</v>
      </c>
      <c r="F135" s="36">
        <f t="shared" si="1"/>
        <v>3.794392975789225E-2</v>
      </c>
    </row>
    <row r="136" spans="1:6" ht="13.2" x14ac:dyDescent="0.25">
      <c r="A136" s="34">
        <v>135</v>
      </c>
      <c r="B136" s="35">
        <v>44051</v>
      </c>
      <c r="C136" s="34">
        <v>12617</v>
      </c>
      <c r="D136" s="34">
        <v>319890</v>
      </c>
      <c r="E136" s="34">
        <f t="shared" si="0"/>
        <v>332507</v>
      </c>
      <c r="F136" s="36">
        <f t="shared" si="1"/>
        <v>3.7945065818163225E-2</v>
      </c>
    </row>
    <row r="137" spans="1:6" ht="13.2" x14ac:dyDescent="0.25">
      <c r="A137" s="34">
        <v>136</v>
      </c>
      <c r="B137" s="35">
        <v>44052</v>
      </c>
      <c r="C137" s="34">
        <v>12627</v>
      </c>
      <c r="D137" s="34">
        <v>320854</v>
      </c>
      <c r="E137" s="34">
        <f t="shared" si="0"/>
        <v>333481</v>
      </c>
      <c r="F137" s="36">
        <f t="shared" si="1"/>
        <v>3.7864226147816517E-2</v>
      </c>
    </row>
    <row r="138" spans="1:6" ht="13.2" x14ac:dyDescent="0.25">
      <c r="A138" s="34">
        <v>137</v>
      </c>
      <c r="B138" s="35">
        <v>44053</v>
      </c>
      <c r="C138" s="34">
        <v>12646</v>
      </c>
      <c r="D138" s="34">
        <v>321776</v>
      </c>
      <c r="E138" s="34">
        <f t="shared" si="0"/>
        <v>334422</v>
      </c>
      <c r="F138" s="36">
        <f t="shared" si="1"/>
        <v>3.7814497850021826E-2</v>
      </c>
    </row>
    <row r="139" spans="1:6" ht="13.2" x14ac:dyDescent="0.25">
      <c r="A139" s="34">
        <v>138</v>
      </c>
      <c r="B139" s="35">
        <v>44054</v>
      </c>
      <c r="C139" s="34">
        <v>12646</v>
      </c>
      <c r="D139" s="34">
        <v>322779</v>
      </c>
      <c r="E139" s="34">
        <f t="shared" si="0"/>
        <v>335425</v>
      </c>
      <c r="F139" s="36">
        <f t="shared" si="1"/>
        <v>3.7701423567116345E-2</v>
      </c>
    </row>
    <row r="140" spans="1:6" ht="13.2" x14ac:dyDescent="0.25">
      <c r="A140" s="34">
        <v>139</v>
      </c>
      <c r="B140" s="35">
        <v>44055</v>
      </c>
      <c r="C140" s="34">
        <v>12812</v>
      </c>
      <c r="D140" s="34">
        <v>327668</v>
      </c>
      <c r="E140" s="34">
        <f t="shared" si="0"/>
        <v>340480</v>
      </c>
      <c r="F140" s="36">
        <f t="shared" si="1"/>
        <v>3.7629229323308269E-2</v>
      </c>
    </row>
    <row r="141" spans="1:6" ht="13.2" x14ac:dyDescent="0.25">
      <c r="A141" s="34">
        <v>140</v>
      </c>
      <c r="B141" s="35">
        <v>44056</v>
      </c>
      <c r="C141" s="34">
        <v>12820</v>
      </c>
      <c r="D141" s="34">
        <v>328088</v>
      </c>
      <c r="E141" s="34">
        <f t="shared" si="0"/>
        <v>340908</v>
      </c>
      <c r="F141" s="36">
        <f t="shared" si="1"/>
        <v>3.7605453670785077E-2</v>
      </c>
    </row>
    <row r="142" spans="1:6" ht="13.2" x14ac:dyDescent="0.25">
      <c r="A142" s="34">
        <v>141</v>
      </c>
      <c r="B142" s="35">
        <v>44057</v>
      </c>
      <c r="C142" s="34">
        <v>12836</v>
      </c>
      <c r="D142" s="34">
        <v>328257</v>
      </c>
      <c r="E142" s="34">
        <f t="shared" si="0"/>
        <v>341093</v>
      </c>
      <c r="F142" s="36">
        <f t="shared" si="1"/>
        <v>3.7631965475691379E-2</v>
      </c>
    </row>
    <row r="143" spans="1:6" ht="13.2" x14ac:dyDescent="0.25">
      <c r="A143" s="34">
        <v>142</v>
      </c>
      <c r="B143" s="35">
        <v>44058</v>
      </c>
      <c r="C143" s="34">
        <v>12836</v>
      </c>
      <c r="D143" s="34">
        <v>329362</v>
      </c>
      <c r="E143" s="34">
        <f t="shared" si="0"/>
        <v>342198</v>
      </c>
      <c r="F143" s="36">
        <f t="shared" si="1"/>
        <v>3.7510447168013841E-2</v>
      </c>
    </row>
    <row r="144" spans="1:6" ht="13.2" x14ac:dyDescent="0.25">
      <c r="A144" s="34">
        <v>143</v>
      </c>
      <c r="B144" s="35">
        <v>44059</v>
      </c>
      <c r="C144" s="34">
        <v>12836</v>
      </c>
      <c r="D144" s="34">
        <v>329662</v>
      </c>
      <c r="E144" s="34">
        <f t="shared" si="0"/>
        <v>342498</v>
      </c>
      <c r="F144" s="36">
        <f t="shared" si="1"/>
        <v>3.747759111002108E-2</v>
      </c>
    </row>
    <row r="145" spans="1:6" ht="13.2" x14ac:dyDescent="0.25">
      <c r="A145" s="34">
        <v>144</v>
      </c>
      <c r="B145" s="35">
        <v>44060</v>
      </c>
      <c r="C145" s="34">
        <v>12841</v>
      </c>
      <c r="D145" s="34">
        <v>330273</v>
      </c>
      <c r="E145" s="34">
        <f t="shared" si="0"/>
        <v>343114</v>
      </c>
      <c r="F145" s="36">
        <f t="shared" si="1"/>
        <v>3.742487919466999E-2</v>
      </c>
    </row>
    <row r="146" spans="1:6" ht="13.2" x14ac:dyDescent="0.25">
      <c r="A146" s="34">
        <v>145</v>
      </c>
      <c r="B146" s="35">
        <v>44061</v>
      </c>
      <c r="C146" s="34">
        <v>12841</v>
      </c>
      <c r="D146" s="34">
        <v>334434</v>
      </c>
      <c r="E146" s="34">
        <f t="shared" si="0"/>
        <v>347275</v>
      </c>
      <c r="F146" s="36">
        <f t="shared" si="1"/>
        <v>3.6976459578144119E-2</v>
      </c>
    </row>
    <row r="147" spans="1:6" ht="13.2" x14ac:dyDescent="0.25">
      <c r="A147" s="34">
        <v>146</v>
      </c>
      <c r="B147" s="35">
        <v>44062</v>
      </c>
      <c r="C147" s="34">
        <v>12841</v>
      </c>
      <c r="D147" s="34">
        <v>334581</v>
      </c>
      <c r="E147" s="34">
        <f t="shared" si="0"/>
        <v>347422</v>
      </c>
      <c r="F147" s="36">
        <f t="shared" si="1"/>
        <v>3.6960814225926973E-2</v>
      </c>
    </row>
    <row r="148" spans="1:6" ht="13.2" x14ac:dyDescent="0.25">
      <c r="A148" s="34">
        <v>147</v>
      </c>
      <c r="B148" s="35">
        <v>44063</v>
      </c>
      <c r="C148" s="34">
        <v>12845</v>
      </c>
      <c r="D148" s="34">
        <v>335677</v>
      </c>
      <c r="E148" s="34">
        <f t="shared" si="0"/>
        <v>348522</v>
      </c>
      <c r="F148" s="36">
        <f t="shared" si="1"/>
        <v>3.6855636086100735E-2</v>
      </c>
    </row>
    <row r="149" spans="1:6" ht="13.2" x14ac:dyDescent="0.25">
      <c r="A149" s="34">
        <v>148</v>
      </c>
      <c r="B149" s="35">
        <v>44064</v>
      </c>
      <c r="C149" s="34">
        <v>12845</v>
      </c>
      <c r="D149" s="34">
        <v>336177</v>
      </c>
      <c r="E149" s="34">
        <f t="shared" si="0"/>
        <v>349022</v>
      </c>
      <c r="F149" s="36">
        <f t="shared" si="1"/>
        <v>3.6802837643472329E-2</v>
      </c>
    </row>
    <row r="150" spans="1:6" ht="13.2" x14ac:dyDescent="0.25">
      <c r="A150" s="34">
        <v>149</v>
      </c>
      <c r="B150" s="35">
        <v>44065</v>
      </c>
      <c r="C150" s="34">
        <v>12850</v>
      </c>
      <c r="D150" s="34">
        <v>336372</v>
      </c>
      <c r="E150" s="34">
        <f t="shared" si="0"/>
        <v>349222</v>
      </c>
      <c r="F150" s="36">
        <f t="shared" si="1"/>
        <v>3.6796078139407024E-2</v>
      </c>
    </row>
    <row r="151" spans="1:6" ht="13.2" x14ac:dyDescent="0.25">
      <c r="A151" s="34">
        <v>150</v>
      </c>
      <c r="B151" s="35">
        <v>44066</v>
      </c>
      <c r="C151" s="34">
        <v>12852</v>
      </c>
      <c r="D151" s="34">
        <v>336570</v>
      </c>
      <c r="E151" s="34">
        <f t="shared" si="0"/>
        <v>349422</v>
      </c>
      <c r="F151" s="36">
        <f t="shared" si="1"/>
        <v>3.6780740766179577E-2</v>
      </c>
    </row>
    <row r="152" spans="1:6" ht="13.2" x14ac:dyDescent="0.25">
      <c r="A152" s="34">
        <v>151</v>
      </c>
      <c r="B152" s="35">
        <v>44067</v>
      </c>
      <c r="C152" s="34">
        <v>13064</v>
      </c>
      <c r="D152" s="34">
        <v>338869</v>
      </c>
      <c r="E152" s="34">
        <f t="shared" si="0"/>
        <v>351933</v>
      </c>
      <c r="F152" s="36">
        <f t="shared" si="1"/>
        <v>3.7120701951791964E-2</v>
      </c>
    </row>
    <row r="153" spans="1:6" ht="13.2" x14ac:dyDescent="0.25">
      <c r="A153" s="34">
        <v>152</v>
      </c>
      <c r="B153" s="35">
        <v>44068</v>
      </c>
      <c r="C153" s="34">
        <v>13092</v>
      </c>
      <c r="D153" s="34">
        <v>339240</v>
      </c>
      <c r="E153" s="34">
        <f t="shared" si="0"/>
        <v>352332</v>
      </c>
      <c r="F153" s="36">
        <f t="shared" si="1"/>
        <v>3.7158134940908007E-2</v>
      </c>
    </row>
    <row r="154" spans="1:6" ht="13.2" x14ac:dyDescent="0.25">
      <c r="A154" s="34">
        <v>153</v>
      </c>
      <c r="B154" s="35">
        <v>44069</v>
      </c>
      <c r="C154" s="34">
        <v>13092</v>
      </c>
      <c r="D154" s="34">
        <v>339240</v>
      </c>
      <c r="E154" s="34">
        <f t="shared" si="0"/>
        <v>352332</v>
      </c>
      <c r="F154" s="36">
        <f t="shared" si="1"/>
        <v>3.7158134940908007E-2</v>
      </c>
    </row>
    <row r="155" spans="1:6" ht="13.2" x14ac:dyDescent="0.25">
      <c r="A155" s="34">
        <v>154</v>
      </c>
      <c r="B155" s="35">
        <v>44070</v>
      </c>
      <c r="C155" s="34">
        <v>13092</v>
      </c>
      <c r="D155" s="34">
        <v>339240</v>
      </c>
      <c r="E155" s="34">
        <f t="shared" si="0"/>
        <v>352332</v>
      </c>
      <c r="F155" s="36">
        <f t="shared" si="1"/>
        <v>3.7158134940908007E-2</v>
      </c>
    </row>
    <row r="156" spans="1:6" ht="13.2" x14ac:dyDescent="0.25">
      <c r="A156" s="34">
        <v>155</v>
      </c>
      <c r="B156" s="35">
        <v>44071</v>
      </c>
      <c r="C156" s="34">
        <v>13757</v>
      </c>
      <c r="D156" s="34">
        <v>349105</v>
      </c>
      <c r="E156" s="34">
        <f t="shared" si="0"/>
        <v>362862</v>
      </c>
      <c r="F156" s="36">
        <f t="shared" si="1"/>
        <v>3.7912484636032431E-2</v>
      </c>
    </row>
    <row r="157" spans="1:6" ht="13.2" x14ac:dyDescent="0.25">
      <c r="A157" s="34">
        <v>156</v>
      </c>
      <c r="B157" s="35">
        <v>44072</v>
      </c>
      <c r="C157" s="34">
        <v>13760</v>
      </c>
      <c r="D157" s="34">
        <v>349202</v>
      </c>
      <c r="E157" s="34">
        <f t="shared" si="0"/>
        <v>362962</v>
      </c>
      <c r="F157" s="36">
        <f t="shared" si="1"/>
        <v>3.7910304659991956E-2</v>
      </c>
    </row>
    <row r="158" spans="1:6" ht="13.2" x14ac:dyDescent="0.25">
      <c r="A158" s="34">
        <v>157</v>
      </c>
      <c r="B158" s="35">
        <v>44073</v>
      </c>
      <c r="C158" s="34">
        <v>13764</v>
      </c>
      <c r="D158" s="34">
        <v>349298</v>
      </c>
      <c r="E158" s="34">
        <f t="shared" si="0"/>
        <v>363062</v>
      </c>
      <c r="F158" s="36">
        <f t="shared" si="1"/>
        <v>3.7910880235331706E-2</v>
      </c>
    </row>
    <row r="159" spans="1:6" ht="13.2" x14ac:dyDescent="0.25">
      <c r="A159" s="34">
        <v>158</v>
      </c>
      <c r="B159" s="35">
        <v>44074</v>
      </c>
      <c r="C159" s="34">
        <v>13764</v>
      </c>
      <c r="D159" s="34">
        <v>349933</v>
      </c>
      <c r="E159" s="34">
        <f t="shared" si="0"/>
        <v>363697</v>
      </c>
      <c r="F159" s="36">
        <f t="shared" si="1"/>
        <v>3.7844689398042877E-2</v>
      </c>
    </row>
    <row r="160" spans="1:6" ht="13.2" x14ac:dyDescent="0.25">
      <c r="A160" s="34">
        <v>159</v>
      </c>
      <c r="B160" s="35">
        <v>44075</v>
      </c>
      <c r="C160" s="34">
        <v>13792</v>
      </c>
      <c r="D160" s="34">
        <v>352905</v>
      </c>
      <c r="E160" s="34">
        <f t="shared" si="0"/>
        <v>366697</v>
      </c>
      <c r="F160" s="36">
        <f t="shared" si="1"/>
        <v>3.7611433963190319E-2</v>
      </c>
    </row>
    <row r="161" spans="1:6" ht="13.2" x14ac:dyDescent="0.25">
      <c r="A161" s="34">
        <v>160</v>
      </c>
      <c r="B161" s="35">
        <v>44076</v>
      </c>
      <c r="C161" s="34">
        <v>13804</v>
      </c>
      <c r="D161" s="34">
        <v>354893</v>
      </c>
      <c r="E161" s="34">
        <f t="shared" si="0"/>
        <v>368697</v>
      </c>
      <c r="F161" s="36">
        <f t="shared" si="1"/>
        <v>3.743995747185358E-2</v>
      </c>
    </row>
    <row r="162" spans="1:6" ht="13.2" x14ac:dyDescent="0.25">
      <c r="A162" s="34">
        <v>161</v>
      </c>
      <c r="B162" s="35">
        <v>44077</v>
      </c>
      <c r="C162" s="34">
        <v>14646</v>
      </c>
      <c r="D162" s="34">
        <v>368144</v>
      </c>
      <c r="E162" s="34">
        <f t="shared" si="0"/>
        <v>382790</v>
      </c>
      <c r="F162" s="36">
        <f t="shared" si="1"/>
        <v>3.8261187596332194E-2</v>
      </c>
    </row>
    <row r="163" spans="1:6" ht="13.2" x14ac:dyDescent="0.25">
      <c r="A163" s="34">
        <v>162</v>
      </c>
      <c r="B163" s="35">
        <v>44078</v>
      </c>
      <c r="C163" s="34">
        <v>14656</v>
      </c>
      <c r="D163" s="34">
        <v>368244</v>
      </c>
      <c r="E163" s="34">
        <f t="shared" si="0"/>
        <v>382900</v>
      </c>
      <c r="F163" s="36">
        <f t="shared" si="1"/>
        <v>3.8276312353094803E-2</v>
      </c>
    </row>
    <row r="164" spans="1:6" ht="13.2" x14ac:dyDescent="0.25">
      <c r="A164" s="34">
        <v>163</v>
      </c>
      <c r="B164" s="35">
        <v>44079</v>
      </c>
      <c r="C164" s="34">
        <v>14660</v>
      </c>
      <c r="D164" s="34">
        <v>368540</v>
      </c>
      <c r="E164" s="34">
        <f t="shared" si="0"/>
        <v>383200</v>
      </c>
      <c r="F164" s="36">
        <f t="shared" si="1"/>
        <v>3.8256784968684759E-2</v>
      </c>
    </row>
    <row r="165" spans="1:6" ht="13.2" x14ac:dyDescent="0.25">
      <c r="A165" s="34">
        <v>164</v>
      </c>
      <c r="B165" s="35">
        <v>44080</v>
      </c>
      <c r="C165" s="34">
        <v>14772</v>
      </c>
      <c r="D165" s="34">
        <v>369206</v>
      </c>
      <c r="E165" s="34">
        <f t="shared" si="0"/>
        <v>383978</v>
      </c>
      <c r="F165" s="36">
        <f t="shared" si="1"/>
        <v>3.8470954065076647E-2</v>
      </c>
    </row>
    <row r="166" spans="1:6" ht="13.2" x14ac:dyDescent="0.25">
      <c r="A166" s="34">
        <v>165</v>
      </c>
      <c r="B166" s="35">
        <v>44081</v>
      </c>
      <c r="C166" s="34">
        <v>15180</v>
      </c>
      <c r="D166" s="34">
        <v>374949</v>
      </c>
      <c r="E166" s="34">
        <f t="shared" si="0"/>
        <v>390129</v>
      </c>
      <c r="F166" s="36">
        <f t="shared" si="1"/>
        <v>3.8910206623962842E-2</v>
      </c>
    </row>
    <row r="167" spans="1:6" ht="13.2" x14ac:dyDescent="0.25">
      <c r="A167" s="34">
        <v>166</v>
      </c>
      <c r="B167" s="35">
        <v>44082</v>
      </c>
      <c r="C167" s="34">
        <v>15182</v>
      </c>
      <c r="D167" s="34">
        <v>375250</v>
      </c>
      <c r="E167" s="34">
        <f t="shared" si="0"/>
        <v>390432</v>
      </c>
      <c r="F167" s="36">
        <f t="shared" si="1"/>
        <v>3.888513236619949E-2</v>
      </c>
    </row>
    <row r="168" spans="1:6" ht="13.2" x14ac:dyDescent="0.25">
      <c r="A168" s="34">
        <v>167</v>
      </c>
      <c r="B168" s="35">
        <v>44083</v>
      </c>
      <c r="C168" s="34">
        <v>15190</v>
      </c>
      <c r="D168" s="34">
        <v>376242</v>
      </c>
      <c r="E168" s="34">
        <f t="shared" si="0"/>
        <v>391432</v>
      </c>
      <c r="F168" s="36">
        <f t="shared" si="1"/>
        <v>3.8806229434486708E-2</v>
      </c>
    </row>
    <row r="169" spans="1:6" ht="13.2" x14ac:dyDescent="0.25">
      <c r="A169" s="34">
        <v>168</v>
      </c>
      <c r="B169" s="35">
        <v>44084</v>
      </c>
      <c r="C169" s="34">
        <v>15210</v>
      </c>
      <c r="D169" s="34">
        <v>378222</v>
      </c>
      <c r="E169" s="34">
        <f t="shared" si="0"/>
        <v>393432</v>
      </c>
      <c r="F169" s="36">
        <f t="shared" si="1"/>
        <v>3.8659793814432991E-2</v>
      </c>
    </row>
    <row r="170" spans="1:6" ht="13.2" x14ac:dyDescent="0.25">
      <c r="A170" s="34">
        <v>169</v>
      </c>
      <c r="B170" s="35">
        <v>44085</v>
      </c>
      <c r="C170" s="34">
        <v>15210</v>
      </c>
      <c r="D170" s="34">
        <v>379327</v>
      </c>
      <c r="E170" s="34">
        <f t="shared" si="0"/>
        <v>394537</v>
      </c>
      <c r="F170" s="36">
        <f t="shared" si="1"/>
        <v>3.8551517348182809E-2</v>
      </c>
    </row>
    <row r="171" spans="1:6" ht="14.4" x14ac:dyDescent="0.3">
      <c r="A171" s="37">
        <v>170</v>
      </c>
      <c r="B171" s="35">
        <v>44086</v>
      </c>
      <c r="C171" s="38">
        <v>15214</v>
      </c>
      <c r="D171" s="38">
        <v>379523</v>
      </c>
      <c r="E171" s="34">
        <f t="shared" si="0"/>
        <v>394737</v>
      </c>
      <c r="F171" s="36">
        <f t="shared" si="1"/>
        <v>3.8542117916486165E-2</v>
      </c>
    </row>
    <row r="172" spans="1:6" ht="13.8" x14ac:dyDescent="0.3">
      <c r="A172" s="34">
        <v>171</v>
      </c>
      <c r="B172" s="35">
        <v>44087</v>
      </c>
      <c r="C172" s="38">
        <v>15230</v>
      </c>
      <c r="D172" s="38">
        <v>380353</v>
      </c>
      <c r="E172" s="34">
        <f t="shared" si="0"/>
        <v>395583</v>
      </c>
      <c r="F172" s="36">
        <f t="shared" si="1"/>
        <v>3.8500137771340023E-2</v>
      </c>
    </row>
    <row r="173" spans="1:6" ht="13.2" x14ac:dyDescent="0.25">
      <c r="A173" s="34">
        <v>172</v>
      </c>
      <c r="B173" s="35">
        <v>44088</v>
      </c>
      <c r="C173" s="34">
        <v>15255</v>
      </c>
      <c r="D173" s="34">
        <v>381328</v>
      </c>
      <c r="E173" s="34">
        <f t="shared" si="0"/>
        <v>396583</v>
      </c>
      <c r="F173" s="36">
        <f t="shared" si="1"/>
        <v>3.8466096630465754E-2</v>
      </c>
    </row>
    <row r="174" spans="1:6" ht="13.2" x14ac:dyDescent="0.25">
      <c r="A174" s="34">
        <v>173</v>
      </c>
      <c r="B174" s="35">
        <v>44089</v>
      </c>
      <c r="C174" s="34">
        <v>15265</v>
      </c>
      <c r="D174" s="34">
        <v>381818</v>
      </c>
      <c r="E174" s="34">
        <f t="shared" si="0"/>
        <v>397083</v>
      </c>
      <c r="F174" s="36">
        <f t="shared" si="1"/>
        <v>3.8442844443101316E-2</v>
      </c>
    </row>
    <row r="175" spans="1:6" ht="13.2" x14ac:dyDescent="0.25">
      <c r="A175" s="34">
        <v>174</v>
      </c>
      <c r="B175" s="35">
        <v>44090</v>
      </c>
      <c r="C175" s="34">
        <v>15270</v>
      </c>
      <c r="D175" s="34">
        <v>382013</v>
      </c>
      <c r="E175" s="34">
        <f t="shared" si="0"/>
        <v>397283</v>
      </c>
      <c r="F175" s="36">
        <f t="shared" si="1"/>
        <v>3.8436077053385122E-2</v>
      </c>
    </row>
    <row r="176" spans="1:6" ht="14.4" x14ac:dyDescent="0.3">
      <c r="A176" s="34">
        <v>175</v>
      </c>
      <c r="B176" s="35">
        <v>44091</v>
      </c>
      <c r="C176" s="37">
        <v>15275</v>
      </c>
      <c r="D176" s="37">
        <v>382108</v>
      </c>
      <c r="E176" s="34">
        <f t="shared" si="0"/>
        <v>397383</v>
      </c>
      <c r="F176" s="36">
        <f t="shared" si="1"/>
        <v>3.8438987072924612E-2</v>
      </c>
    </row>
    <row r="177" spans="1:26" ht="13.2" x14ac:dyDescent="0.25">
      <c r="A177" s="34">
        <v>176</v>
      </c>
      <c r="B177" s="35">
        <v>44092</v>
      </c>
      <c r="C177" s="34">
        <v>15250</v>
      </c>
      <c r="D177" s="34">
        <v>383083</v>
      </c>
      <c r="E177" s="34">
        <f t="shared" si="0"/>
        <v>398333</v>
      </c>
      <c r="F177" s="36">
        <f t="shared" si="1"/>
        <v>3.8284550865732944E-2</v>
      </c>
    </row>
    <row r="178" spans="1:26" ht="14.4" x14ac:dyDescent="0.3">
      <c r="A178" s="37">
        <v>177</v>
      </c>
      <c r="B178" s="35">
        <v>44093</v>
      </c>
      <c r="C178" s="39">
        <v>15250</v>
      </c>
      <c r="D178" s="39">
        <v>383183</v>
      </c>
      <c r="E178" s="34">
        <f t="shared" si="0"/>
        <v>398433</v>
      </c>
      <c r="F178" s="36">
        <f t="shared" si="1"/>
        <v>3.827494208562042E-2</v>
      </c>
      <c r="G178" s="21"/>
      <c r="H178" s="21"/>
      <c r="I178" s="21"/>
      <c r="J178" s="21"/>
      <c r="K178" s="21"/>
      <c r="L178" s="21"/>
      <c r="M178" s="21"/>
      <c r="N178" s="21"/>
      <c r="O178" s="21"/>
      <c r="P178" s="21"/>
      <c r="Q178" s="21"/>
      <c r="R178" s="21"/>
      <c r="S178" s="21"/>
      <c r="T178" s="21"/>
      <c r="U178" s="21"/>
      <c r="V178" s="21"/>
      <c r="W178" s="21"/>
      <c r="X178" s="21"/>
      <c r="Y178" s="21"/>
      <c r="Z178" s="21"/>
    </row>
    <row r="179" spans="1:26" ht="13.2" x14ac:dyDescent="0.25">
      <c r="A179" s="34">
        <v>178</v>
      </c>
      <c r="B179" s="35">
        <v>44094</v>
      </c>
      <c r="C179" s="34">
        <v>15350</v>
      </c>
      <c r="D179" s="34">
        <v>384083</v>
      </c>
      <c r="E179" s="34">
        <f t="shared" si="0"/>
        <v>399433</v>
      </c>
      <c r="F179" s="36">
        <f t="shared" si="1"/>
        <v>3.8429473779081846E-2</v>
      </c>
    </row>
    <row r="180" spans="1:26" ht="13.2" x14ac:dyDescent="0.25">
      <c r="A180" s="34">
        <v>179</v>
      </c>
      <c r="B180" s="35">
        <v>44095</v>
      </c>
      <c r="C180" s="34">
        <v>15360</v>
      </c>
      <c r="D180" s="34">
        <v>384173</v>
      </c>
      <c r="E180" s="34">
        <f t="shared" si="0"/>
        <v>399533</v>
      </c>
      <c r="F180" s="36">
        <f t="shared" si="1"/>
        <v>3.8444884402539965E-2</v>
      </c>
    </row>
    <row r="181" spans="1:26" ht="13.2" x14ac:dyDescent="0.25">
      <c r="A181" s="34">
        <v>180</v>
      </c>
      <c r="B181" s="35">
        <v>44096</v>
      </c>
      <c r="C181" s="34">
        <v>15370</v>
      </c>
      <c r="D181" s="34">
        <v>384363</v>
      </c>
      <c r="E181" s="34">
        <f t="shared" si="0"/>
        <v>399733</v>
      </c>
      <c r="F181" s="36">
        <f t="shared" si="1"/>
        <v>3.8450665819434474E-2</v>
      </c>
    </row>
    <row r="182" spans="1:26" ht="13.2" x14ac:dyDescent="0.25">
      <c r="A182" s="34">
        <v>181</v>
      </c>
      <c r="B182" s="35">
        <v>44097</v>
      </c>
      <c r="C182" s="34">
        <v>15375</v>
      </c>
      <c r="D182" s="34">
        <v>384458</v>
      </c>
      <c r="E182" s="34">
        <f t="shared" si="0"/>
        <v>399833</v>
      </c>
      <c r="F182" s="36">
        <f t="shared" si="1"/>
        <v>3.8453554358944861E-2</v>
      </c>
    </row>
    <row r="183" spans="1:26" ht="13.2" x14ac:dyDescent="0.25">
      <c r="A183" s="34">
        <v>182</v>
      </c>
      <c r="B183" s="35">
        <v>44098</v>
      </c>
      <c r="C183" s="39">
        <v>15385</v>
      </c>
      <c r="D183" s="39">
        <v>384298</v>
      </c>
      <c r="E183" s="34">
        <f t="shared" si="0"/>
        <v>399683</v>
      </c>
      <c r="F183" s="36">
        <f t="shared" si="1"/>
        <v>3.8493005707022819E-2</v>
      </c>
    </row>
    <row r="184" spans="1:26" ht="13.2" x14ac:dyDescent="0.25">
      <c r="A184" s="34">
        <v>183</v>
      </c>
      <c r="B184" s="35">
        <v>44099</v>
      </c>
      <c r="C184" s="34">
        <v>15485</v>
      </c>
      <c r="D184" s="34">
        <v>385198</v>
      </c>
      <c r="E184" s="34">
        <f t="shared" si="0"/>
        <v>400683</v>
      </c>
      <c r="F184" s="36">
        <f t="shared" si="1"/>
        <v>3.8646511082326925E-2</v>
      </c>
    </row>
    <row r="185" spans="1:26" ht="14.4" x14ac:dyDescent="0.3">
      <c r="A185" s="37">
        <v>184</v>
      </c>
      <c r="B185" s="35">
        <v>44100</v>
      </c>
      <c r="C185" s="39">
        <v>15505</v>
      </c>
      <c r="D185" s="39">
        <v>386178</v>
      </c>
      <c r="E185" s="34">
        <f t="shared" si="0"/>
        <v>401683</v>
      </c>
      <c r="F185" s="36">
        <f t="shared" si="1"/>
        <v>3.8600090120816666E-2</v>
      </c>
      <c r="G185" s="21"/>
      <c r="H185" s="21"/>
      <c r="I185" s="21"/>
      <c r="J185" s="21"/>
      <c r="K185" s="21"/>
      <c r="L185" s="21"/>
      <c r="M185" s="21"/>
      <c r="N185" s="21"/>
      <c r="O185" s="21"/>
      <c r="P185" s="21"/>
      <c r="Q185" s="21"/>
      <c r="R185" s="21"/>
      <c r="S185" s="21"/>
      <c r="T185" s="21"/>
      <c r="U185" s="21"/>
      <c r="V185" s="21"/>
      <c r="W185" s="21"/>
      <c r="X185" s="21"/>
      <c r="Y185" s="21"/>
      <c r="Z185" s="21"/>
    </row>
    <row r="186" spans="1:26" ht="13.2" x14ac:dyDescent="0.25">
      <c r="A186" s="34">
        <v>185</v>
      </c>
      <c r="B186" s="35">
        <v>44101</v>
      </c>
      <c r="C186" s="34">
        <v>15555</v>
      </c>
      <c r="D186" s="34">
        <v>387128</v>
      </c>
      <c r="E186" s="34">
        <f t="shared" si="0"/>
        <v>402683</v>
      </c>
      <c r="F186" s="36">
        <f t="shared" si="1"/>
        <v>3.8628400006953362E-2</v>
      </c>
    </row>
    <row r="187" spans="1:26" ht="14.4" x14ac:dyDescent="0.3">
      <c r="A187" s="37">
        <v>186</v>
      </c>
      <c r="B187" s="35">
        <v>44102</v>
      </c>
      <c r="C187" s="39">
        <v>15559</v>
      </c>
      <c r="D187" s="39">
        <v>387324</v>
      </c>
      <c r="E187" s="34">
        <f t="shared" si="0"/>
        <v>402883</v>
      </c>
      <c r="F187" s="36">
        <f t="shared" si="1"/>
        <v>3.861915245865425E-2</v>
      </c>
    </row>
    <row r="188" spans="1:26" ht="13.2" x14ac:dyDescent="0.25">
      <c r="A188" s="34">
        <v>187</v>
      </c>
      <c r="B188" s="35">
        <v>44103</v>
      </c>
      <c r="C188" s="34">
        <v>24624</v>
      </c>
      <c r="D188" s="34">
        <v>531971</v>
      </c>
      <c r="E188" s="34">
        <f t="shared" si="0"/>
        <v>556595</v>
      </c>
      <c r="F188" s="36">
        <f t="shared" si="1"/>
        <v>4.4240426162649685E-2</v>
      </c>
    </row>
    <row r="189" spans="1:26" ht="13.2" x14ac:dyDescent="0.25">
      <c r="A189" s="34">
        <v>188</v>
      </c>
      <c r="B189" s="35">
        <v>44104</v>
      </c>
      <c r="C189" s="34">
        <v>24624</v>
      </c>
      <c r="D189" s="34">
        <v>531971</v>
      </c>
      <c r="E189" s="34">
        <f t="shared" si="0"/>
        <v>556595</v>
      </c>
      <c r="F189" s="36">
        <f t="shared" si="1"/>
        <v>4.4240426162649685E-2</v>
      </c>
    </row>
    <row r="190" spans="1:26" ht="14.4" x14ac:dyDescent="0.3">
      <c r="A190" s="37">
        <v>189</v>
      </c>
      <c r="B190" s="35">
        <v>44105</v>
      </c>
      <c r="C190" s="39">
        <v>24630</v>
      </c>
      <c r="D190" s="39">
        <v>532965</v>
      </c>
      <c r="E190" s="34">
        <f t="shared" si="0"/>
        <v>557595</v>
      </c>
      <c r="F190" s="36">
        <f t="shared" si="1"/>
        <v>4.4171845156430745E-2</v>
      </c>
    </row>
    <row r="191" spans="1:26" ht="13.2" x14ac:dyDescent="0.25">
      <c r="A191" s="34">
        <v>190</v>
      </c>
      <c r="B191" s="35">
        <v>44106</v>
      </c>
      <c r="C191" s="34">
        <v>24635</v>
      </c>
      <c r="D191" s="34">
        <v>533160</v>
      </c>
      <c r="E191" s="34">
        <f t="shared" si="0"/>
        <v>557795</v>
      </c>
      <c r="F191" s="36">
        <f t="shared" si="1"/>
        <v>4.4164971001891373E-2</v>
      </c>
    </row>
    <row r="192" spans="1:26" ht="14.4" x14ac:dyDescent="0.3">
      <c r="A192" s="37">
        <v>191</v>
      </c>
      <c r="B192" s="35">
        <v>44107</v>
      </c>
      <c r="C192" s="39">
        <v>24640</v>
      </c>
      <c r="D192" s="39">
        <v>533355</v>
      </c>
      <c r="E192" s="34">
        <f t="shared" si="0"/>
        <v>557995</v>
      </c>
      <c r="F192" s="36">
        <f t="shared" si="1"/>
        <v>4.4158101775105513E-2</v>
      </c>
    </row>
    <row r="193" spans="1:26" ht="13.2" x14ac:dyDescent="0.25">
      <c r="A193" s="34">
        <v>192</v>
      </c>
      <c r="B193" s="35">
        <v>44108</v>
      </c>
      <c r="C193" s="34">
        <v>24670</v>
      </c>
      <c r="D193" s="34">
        <v>534325</v>
      </c>
      <c r="E193" s="34">
        <f t="shared" si="0"/>
        <v>558995</v>
      </c>
      <c r="F193" s="36">
        <f t="shared" si="1"/>
        <v>4.4132773996189589E-2</v>
      </c>
    </row>
    <row r="194" spans="1:26" ht="13.2" x14ac:dyDescent="0.25">
      <c r="A194" s="34">
        <v>193</v>
      </c>
      <c r="B194" s="35">
        <v>44109</v>
      </c>
      <c r="C194" s="34">
        <v>25486</v>
      </c>
      <c r="D194" s="34">
        <v>540285</v>
      </c>
      <c r="E194" s="34">
        <f t="shared" si="0"/>
        <v>565771</v>
      </c>
      <c r="F194" s="36">
        <f t="shared" si="1"/>
        <v>4.5046494076225185E-2</v>
      </c>
    </row>
    <row r="195" spans="1:26" ht="13.2" x14ac:dyDescent="0.25">
      <c r="A195" s="34">
        <v>194</v>
      </c>
      <c r="B195" s="35">
        <v>44110</v>
      </c>
      <c r="C195" s="34">
        <v>25486</v>
      </c>
      <c r="D195" s="34">
        <v>540285</v>
      </c>
      <c r="E195" s="34">
        <f t="shared" si="0"/>
        <v>565771</v>
      </c>
      <c r="F195" s="36">
        <f t="shared" si="1"/>
        <v>4.5046494076225185E-2</v>
      </c>
    </row>
    <row r="196" spans="1:26" ht="13.2" x14ac:dyDescent="0.25">
      <c r="A196" s="34">
        <v>195</v>
      </c>
      <c r="B196" s="35">
        <v>44111</v>
      </c>
      <c r="C196" s="34">
        <v>25497</v>
      </c>
      <c r="D196" s="34">
        <v>540463</v>
      </c>
      <c r="E196" s="34">
        <f t="shared" si="0"/>
        <v>565960</v>
      </c>
      <c r="F196" s="36">
        <f t="shared" si="1"/>
        <v>4.5050886988479748E-2</v>
      </c>
    </row>
    <row r="197" spans="1:26" ht="13.2" x14ac:dyDescent="0.25">
      <c r="A197" s="34">
        <v>196</v>
      </c>
      <c r="B197" s="35">
        <v>44112</v>
      </c>
      <c r="C197" s="39">
        <v>25500</v>
      </c>
      <c r="D197" s="39">
        <v>540560</v>
      </c>
      <c r="E197" s="34">
        <f t="shared" si="0"/>
        <v>566060</v>
      </c>
      <c r="F197" s="36">
        <f t="shared" si="1"/>
        <v>4.504822810302795E-2</v>
      </c>
    </row>
    <row r="198" spans="1:26" ht="13.2" x14ac:dyDescent="0.25">
      <c r="A198" s="34">
        <v>197</v>
      </c>
      <c r="B198" s="35">
        <v>44113</v>
      </c>
      <c r="C198" s="34">
        <v>25520</v>
      </c>
      <c r="D198" s="34">
        <v>541540</v>
      </c>
      <c r="E198" s="34">
        <f t="shared" si="0"/>
        <v>567060</v>
      </c>
      <c r="F198" s="36">
        <f t="shared" si="1"/>
        <v>4.5004056008182552E-2</v>
      </c>
    </row>
    <row r="199" spans="1:26" ht="14.4" x14ac:dyDescent="0.3">
      <c r="A199" s="37">
        <v>198</v>
      </c>
      <c r="B199" s="35">
        <v>44114</v>
      </c>
      <c r="C199" s="39">
        <v>25525</v>
      </c>
      <c r="D199" s="39">
        <v>541635</v>
      </c>
      <c r="E199" s="34">
        <f t="shared" si="0"/>
        <v>567160</v>
      </c>
      <c r="F199" s="36">
        <f t="shared" si="1"/>
        <v>4.5004936878482261E-2</v>
      </c>
    </row>
    <row r="200" spans="1:26" ht="13.2" x14ac:dyDescent="0.25">
      <c r="A200" s="34">
        <v>199</v>
      </c>
      <c r="B200" s="35">
        <v>44115</v>
      </c>
      <c r="C200" s="34">
        <v>25525</v>
      </c>
      <c r="D200" s="34">
        <v>541735</v>
      </c>
      <c r="E200" s="34">
        <f t="shared" si="0"/>
        <v>567260</v>
      </c>
      <c r="F200" s="36">
        <f t="shared" si="1"/>
        <v>4.4997003137890915E-2</v>
      </c>
    </row>
    <row r="201" spans="1:26" ht="14.4" x14ac:dyDescent="0.3">
      <c r="A201" s="37">
        <v>200</v>
      </c>
      <c r="B201" s="35">
        <v>44116</v>
      </c>
      <c r="C201" s="39">
        <v>25545</v>
      </c>
      <c r="D201" s="39">
        <v>542715</v>
      </c>
      <c r="E201" s="34">
        <f t="shared" si="0"/>
        <v>568260</v>
      </c>
      <c r="F201" s="36">
        <f t="shared" si="1"/>
        <v>4.4953014465209586E-2</v>
      </c>
      <c r="G201" s="21"/>
      <c r="H201" s="21"/>
      <c r="I201" s="21"/>
      <c r="J201" s="21"/>
      <c r="K201" s="21"/>
      <c r="L201" s="21"/>
      <c r="M201" s="21"/>
      <c r="N201" s="21"/>
      <c r="O201" s="21"/>
      <c r="P201" s="21"/>
      <c r="Q201" s="21"/>
      <c r="R201" s="21"/>
      <c r="S201" s="21"/>
      <c r="T201" s="21"/>
      <c r="U201" s="21"/>
      <c r="V201" s="21"/>
      <c r="W201" s="21"/>
      <c r="X201" s="21"/>
      <c r="Y201" s="21"/>
      <c r="Z201" s="21"/>
    </row>
    <row r="202" spans="1:26" ht="13.2" x14ac:dyDescent="0.25">
      <c r="A202" s="34">
        <v>201</v>
      </c>
      <c r="B202" s="35">
        <v>44117</v>
      </c>
      <c r="C202" s="34">
        <v>25609</v>
      </c>
      <c r="D202" s="34">
        <v>542715</v>
      </c>
      <c r="E202" s="34">
        <f t="shared" si="0"/>
        <v>568324</v>
      </c>
      <c r="F202" s="36">
        <f t="shared" si="1"/>
        <v>4.5060564044453515E-2</v>
      </c>
    </row>
    <row r="203" spans="1:26" ht="13.2" x14ac:dyDescent="0.25">
      <c r="A203" s="34">
        <v>202</v>
      </c>
      <c r="B203" s="35">
        <v>44118</v>
      </c>
      <c r="C203" s="34">
        <v>25612</v>
      </c>
      <c r="D203" s="34">
        <v>543968</v>
      </c>
      <c r="E203" s="34">
        <f t="shared" si="0"/>
        <v>569580</v>
      </c>
      <c r="F203" s="36">
        <f t="shared" si="1"/>
        <v>4.4966466519189577E-2</v>
      </c>
    </row>
    <row r="204" spans="1:26" ht="13.2" x14ac:dyDescent="0.25">
      <c r="A204" s="39">
        <v>203</v>
      </c>
      <c r="B204" s="35">
        <v>44119</v>
      </c>
      <c r="C204" s="39">
        <v>25672</v>
      </c>
      <c r="D204" s="39">
        <v>544149</v>
      </c>
      <c r="E204" s="34">
        <f t="shared" si="0"/>
        <v>569821</v>
      </c>
      <c r="F204" s="36">
        <f t="shared" si="1"/>
        <v>4.5052744633841152E-2</v>
      </c>
    </row>
    <row r="205" spans="1:26" ht="13.2" x14ac:dyDescent="0.25">
      <c r="A205" s="34">
        <v>204</v>
      </c>
      <c r="B205" s="35">
        <v>44120</v>
      </c>
      <c r="C205" s="34">
        <v>25672</v>
      </c>
      <c r="D205" s="34">
        <v>544249</v>
      </c>
      <c r="E205" s="34">
        <f t="shared" si="0"/>
        <v>569921</v>
      </c>
      <c r="F205" s="36">
        <f t="shared" si="1"/>
        <v>4.5044839547937345E-2</v>
      </c>
    </row>
    <row r="206" spans="1:26" ht="13.2" x14ac:dyDescent="0.25">
      <c r="A206" s="39">
        <v>205</v>
      </c>
      <c r="B206" s="35">
        <v>44121</v>
      </c>
      <c r="C206" s="39">
        <v>25672</v>
      </c>
      <c r="D206" s="39">
        <v>544299</v>
      </c>
      <c r="E206" s="34">
        <f t="shared" si="0"/>
        <v>569971</v>
      </c>
      <c r="F206" s="36">
        <f t="shared" si="1"/>
        <v>4.5040888045181249E-2</v>
      </c>
    </row>
    <row r="207" spans="1:26" ht="13.2" x14ac:dyDescent="0.25">
      <c r="A207" s="34">
        <v>206</v>
      </c>
      <c r="B207" s="35">
        <v>44122</v>
      </c>
      <c r="C207" s="34">
        <v>25672</v>
      </c>
      <c r="D207" s="34">
        <v>544299</v>
      </c>
      <c r="E207" s="34">
        <f t="shared" si="0"/>
        <v>569971</v>
      </c>
      <c r="F207" s="36">
        <f t="shared" si="1"/>
        <v>4.5040888045181249E-2</v>
      </c>
    </row>
    <row r="208" spans="1:26" ht="13.2" x14ac:dyDescent="0.25">
      <c r="A208" s="39">
        <v>207</v>
      </c>
      <c r="B208" s="35">
        <v>44123</v>
      </c>
      <c r="C208" s="34">
        <v>25975</v>
      </c>
      <c r="D208" s="34">
        <v>545096</v>
      </c>
      <c r="E208" s="34">
        <f t="shared" si="0"/>
        <v>571071</v>
      </c>
      <c r="F208" s="36">
        <f t="shared" si="1"/>
        <v>4.5484712058570652E-2</v>
      </c>
    </row>
    <row r="209" spans="1:6" ht="13.2" x14ac:dyDescent="0.25">
      <c r="A209" s="34">
        <v>208</v>
      </c>
      <c r="B209" s="35">
        <v>44124</v>
      </c>
      <c r="C209" s="34">
        <v>25975</v>
      </c>
      <c r="D209" s="34">
        <v>545196</v>
      </c>
      <c r="E209" s="34">
        <f t="shared" si="0"/>
        <v>571171</v>
      </c>
      <c r="F209" s="36">
        <f t="shared" si="1"/>
        <v>4.547674864445149E-2</v>
      </c>
    </row>
    <row r="210" spans="1:6" ht="13.2" x14ac:dyDescent="0.25">
      <c r="A210" s="34">
        <v>209</v>
      </c>
      <c r="B210" s="35">
        <v>44125</v>
      </c>
      <c r="C210" s="34">
        <v>26301</v>
      </c>
      <c r="D210" s="34">
        <v>545872</v>
      </c>
      <c r="E210" s="34">
        <f t="shared" si="0"/>
        <v>572173</v>
      </c>
      <c r="F210" s="36">
        <f t="shared" si="1"/>
        <v>4.5966866664452884E-2</v>
      </c>
    </row>
    <row r="211" spans="1:6" ht="13.2" x14ac:dyDescent="0.25">
      <c r="A211" s="39">
        <v>210</v>
      </c>
      <c r="B211" s="35">
        <v>44126</v>
      </c>
      <c r="C211" s="39">
        <v>26301</v>
      </c>
      <c r="D211" s="39">
        <v>545872</v>
      </c>
      <c r="E211" s="34">
        <f t="shared" si="0"/>
        <v>572173</v>
      </c>
      <c r="F211" s="36">
        <f t="shared" si="1"/>
        <v>4.5966866664452884E-2</v>
      </c>
    </row>
    <row r="212" spans="1:6" ht="13.2" x14ac:dyDescent="0.25">
      <c r="A212" s="34">
        <v>211</v>
      </c>
      <c r="B212" s="35">
        <v>44127</v>
      </c>
      <c r="C212" s="34">
        <v>26301</v>
      </c>
      <c r="D212" s="34">
        <v>545972</v>
      </c>
      <c r="E212" s="34">
        <f t="shared" si="0"/>
        <v>572273</v>
      </c>
      <c r="F212" s="36">
        <f t="shared" si="1"/>
        <v>4.5958834332565049E-2</v>
      </c>
    </row>
    <row r="213" spans="1:6" ht="13.2" x14ac:dyDescent="0.25">
      <c r="A213" s="39">
        <v>212</v>
      </c>
      <c r="B213" s="35">
        <v>44128</v>
      </c>
      <c r="C213" s="39">
        <v>26301</v>
      </c>
      <c r="D213" s="39">
        <v>545972</v>
      </c>
      <c r="E213" s="34">
        <f t="shared" si="0"/>
        <v>572273</v>
      </c>
      <c r="F213" s="36">
        <f t="shared" si="1"/>
        <v>4.5958834332565049E-2</v>
      </c>
    </row>
    <row r="214" spans="1:6" ht="13.2" x14ac:dyDescent="0.25">
      <c r="A214" s="34">
        <v>213</v>
      </c>
      <c r="B214" s="35">
        <v>44129</v>
      </c>
      <c r="C214" s="34">
        <v>26321</v>
      </c>
      <c r="D214" s="34">
        <v>546952</v>
      </c>
      <c r="E214" s="34">
        <f t="shared" si="0"/>
        <v>573273</v>
      </c>
      <c r="F214" s="36">
        <f t="shared" si="1"/>
        <v>4.5913552530818649E-2</v>
      </c>
    </row>
    <row r="215" spans="1:6" ht="13.2" x14ac:dyDescent="0.25">
      <c r="A215" s="39">
        <v>214</v>
      </c>
      <c r="B215" s="35">
        <v>44130</v>
      </c>
      <c r="C215" s="39">
        <v>26321</v>
      </c>
      <c r="D215" s="39">
        <v>547052</v>
      </c>
      <c r="E215" s="34">
        <f t="shared" si="0"/>
        <v>573373</v>
      </c>
      <c r="F215" s="36">
        <f t="shared" si="1"/>
        <v>4.5905544907067476E-2</v>
      </c>
    </row>
    <row r="216" spans="1:6" ht="13.2" x14ac:dyDescent="0.25">
      <c r="A216" s="34">
        <v>215</v>
      </c>
      <c r="B216" s="35">
        <v>44131</v>
      </c>
      <c r="C216" s="34">
        <v>26321</v>
      </c>
      <c r="D216" s="34">
        <v>547152</v>
      </c>
      <c r="E216" s="34">
        <f t="shared" si="0"/>
        <v>573473</v>
      </c>
      <c r="F216" s="36">
        <f t="shared" si="1"/>
        <v>4.5897540075993115E-2</v>
      </c>
    </row>
    <row r="217" spans="1:6" ht="13.2" x14ac:dyDescent="0.25">
      <c r="A217" s="34">
        <v>216</v>
      </c>
      <c r="B217" s="35">
        <v>44132</v>
      </c>
      <c r="C217" s="34">
        <v>26321</v>
      </c>
      <c r="D217" s="34">
        <v>547252</v>
      </c>
      <c r="E217" s="34">
        <f t="shared" si="0"/>
        <v>573573</v>
      </c>
      <c r="F217" s="36">
        <f t="shared" si="1"/>
        <v>4.5889538036134894E-2</v>
      </c>
    </row>
    <row r="218" spans="1:6" ht="13.2" x14ac:dyDescent="0.25">
      <c r="A218" s="39">
        <v>217</v>
      </c>
      <c r="B218" s="35">
        <v>44133</v>
      </c>
      <c r="C218" s="39">
        <v>26321</v>
      </c>
      <c r="D218" s="39">
        <v>547352</v>
      </c>
      <c r="E218" s="34">
        <f t="shared" si="0"/>
        <v>573673</v>
      </c>
      <c r="F218" s="36">
        <f t="shared" si="1"/>
        <v>4.5881538786033162E-2</v>
      </c>
    </row>
    <row r="219" spans="1:6" ht="13.2" x14ac:dyDescent="0.25">
      <c r="A219" s="34">
        <v>218</v>
      </c>
      <c r="B219" s="35">
        <v>44134</v>
      </c>
      <c r="C219" s="34">
        <v>26321</v>
      </c>
      <c r="D219" s="34">
        <v>547452</v>
      </c>
      <c r="E219" s="34">
        <f t="shared" si="0"/>
        <v>573773</v>
      </c>
      <c r="F219" s="36">
        <f t="shared" si="1"/>
        <v>4.5873542324229272E-2</v>
      </c>
    </row>
    <row r="220" spans="1:6" ht="13.2" x14ac:dyDescent="0.25">
      <c r="A220" s="39">
        <v>219</v>
      </c>
      <c r="B220" s="35">
        <v>44135</v>
      </c>
      <c r="C220" s="39">
        <v>26321</v>
      </c>
      <c r="D220" s="39">
        <v>547552</v>
      </c>
      <c r="E220" s="34">
        <f t="shared" si="0"/>
        <v>573873</v>
      </c>
      <c r="F220" s="36">
        <f t="shared" si="1"/>
        <v>4.5865548649265606E-2</v>
      </c>
    </row>
    <row r="221" spans="1:6" ht="13.2" x14ac:dyDescent="0.25">
      <c r="A221" s="34">
        <v>220</v>
      </c>
      <c r="B221" s="35">
        <v>44136</v>
      </c>
      <c r="C221" s="34">
        <v>26321</v>
      </c>
      <c r="D221" s="34">
        <v>547652</v>
      </c>
      <c r="E221" s="34">
        <f t="shared" si="0"/>
        <v>573973</v>
      </c>
      <c r="F221" s="36">
        <f t="shared" si="1"/>
        <v>4.5857557759685558E-2</v>
      </c>
    </row>
    <row r="222" spans="1:6" ht="13.2" x14ac:dyDescent="0.25">
      <c r="A222" s="34">
        <v>221</v>
      </c>
      <c r="B222" s="35">
        <v>44137</v>
      </c>
      <c r="C222" s="34">
        <v>26897</v>
      </c>
      <c r="D222" s="34">
        <v>555445</v>
      </c>
      <c r="E222" s="34">
        <f t="shared" si="0"/>
        <v>582342</v>
      </c>
      <c r="F222" s="36">
        <f t="shared" si="1"/>
        <v>4.6187635444463908E-2</v>
      </c>
    </row>
    <row r="223" spans="1:6" ht="13.2" x14ac:dyDescent="0.25">
      <c r="A223" s="34">
        <v>222</v>
      </c>
      <c r="B223" s="35">
        <v>44138</v>
      </c>
      <c r="C223" s="34">
        <v>26897</v>
      </c>
      <c r="D223" s="34">
        <v>555545</v>
      </c>
      <c r="E223" s="34">
        <f t="shared" si="0"/>
        <v>582442</v>
      </c>
      <c r="F223" s="36">
        <f t="shared" si="1"/>
        <v>4.6179705447065976E-2</v>
      </c>
    </row>
    <row r="224" spans="1:6" ht="13.2" x14ac:dyDescent="0.25">
      <c r="A224" s="34">
        <v>223</v>
      </c>
      <c r="B224" s="35">
        <v>44139</v>
      </c>
      <c r="C224" s="34">
        <v>26897</v>
      </c>
      <c r="D224" s="34">
        <v>555645</v>
      </c>
      <c r="E224" s="34">
        <f t="shared" si="0"/>
        <v>582542</v>
      </c>
      <c r="F224" s="36">
        <f t="shared" si="1"/>
        <v>4.6171778172217626E-2</v>
      </c>
    </row>
    <row r="225" spans="1:26" ht="13.2" x14ac:dyDescent="0.25">
      <c r="A225" s="39">
        <v>224</v>
      </c>
      <c r="B225" s="35">
        <v>44140</v>
      </c>
      <c r="C225" s="39">
        <v>26897</v>
      </c>
      <c r="D225" s="39">
        <v>555745</v>
      </c>
      <c r="E225" s="34">
        <f t="shared" si="0"/>
        <v>582642</v>
      </c>
      <c r="F225" s="36">
        <f t="shared" si="1"/>
        <v>4.6163853618517034E-2</v>
      </c>
    </row>
    <row r="226" spans="1:26" ht="13.2" x14ac:dyDescent="0.25">
      <c r="A226" s="34">
        <v>225</v>
      </c>
      <c r="B226" s="35">
        <v>44141</v>
      </c>
      <c r="C226" s="34">
        <v>26897</v>
      </c>
      <c r="D226" s="34">
        <v>555845</v>
      </c>
      <c r="E226" s="34">
        <f t="shared" si="0"/>
        <v>582742</v>
      </c>
      <c r="F226" s="36">
        <f t="shared" si="1"/>
        <v>4.6155931784563321E-2</v>
      </c>
    </row>
    <row r="227" spans="1:26" ht="13.2" x14ac:dyDescent="0.25">
      <c r="A227" s="39">
        <v>226</v>
      </c>
      <c r="B227" s="35">
        <v>44142</v>
      </c>
      <c r="C227" s="39">
        <v>26897</v>
      </c>
      <c r="D227" s="39">
        <v>555945</v>
      </c>
      <c r="E227" s="34">
        <f t="shared" si="0"/>
        <v>582842</v>
      </c>
      <c r="F227" s="36">
        <f t="shared" si="1"/>
        <v>4.6148012668956594E-2</v>
      </c>
    </row>
    <row r="228" spans="1:26" ht="13.2" x14ac:dyDescent="0.25">
      <c r="A228" s="34">
        <v>227</v>
      </c>
      <c r="B228" s="35">
        <v>44143</v>
      </c>
      <c r="C228" s="34">
        <v>26897</v>
      </c>
      <c r="D228" s="34">
        <v>556045</v>
      </c>
      <c r="E228" s="34">
        <f t="shared" si="0"/>
        <v>582942</v>
      </c>
      <c r="F228" s="36">
        <f t="shared" si="1"/>
        <v>4.6140096270297901E-2</v>
      </c>
    </row>
    <row r="229" spans="1:26" ht="13.2" x14ac:dyDescent="0.25">
      <c r="A229" s="39">
        <v>228</v>
      </c>
      <c r="B229" s="35">
        <v>44144</v>
      </c>
      <c r="C229" s="39">
        <v>26897</v>
      </c>
      <c r="D229" s="39">
        <v>556145</v>
      </c>
      <c r="E229" s="34">
        <f t="shared" si="0"/>
        <v>583042</v>
      </c>
      <c r="F229" s="36">
        <f t="shared" si="1"/>
        <v>4.6132182587189256E-2</v>
      </c>
    </row>
    <row r="230" spans="1:26" ht="13.2" x14ac:dyDescent="0.25">
      <c r="A230" s="34">
        <v>229</v>
      </c>
      <c r="B230" s="35">
        <v>44145</v>
      </c>
      <c r="C230" s="34">
        <v>26897</v>
      </c>
      <c r="D230" s="34">
        <v>556245</v>
      </c>
      <c r="E230" s="34">
        <f t="shared" si="0"/>
        <v>583142</v>
      </c>
      <c r="F230" s="36">
        <f t="shared" si="1"/>
        <v>4.6124271618233639E-2</v>
      </c>
    </row>
    <row r="231" spans="1:26" ht="14.4" x14ac:dyDescent="0.3">
      <c r="A231" s="39">
        <v>230</v>
      </c>
      <c r="B231" s="35">
        <v>44146</v>
      </c>
      <c r="C231" s="39">
        <v>26897</v>
      </c>
      <c r="D231" s="39">
        <v>556345</v>
      </c>
      <c r="E231" s="34">
        <f t="shared" si="0"/>
        <v>583242</v>
      </c>
      <c r="F231" s="36">
        <f t="shared" si="1"/>
        <v>4.6116363362034972E-2</v>
      </c>
      <c r="G231" s="21"/>
      <c r="H231" s="21"/>
      <c r="I231" s="21"/>
      <c r="J231" s="21"/>
      <c r="K231" s="21"/>
      <c r="L231" s="21"/>
      <c r="M231" s="21"/>
      <c r="N231" s="21"/>
      <c r="O231" s="21"/>
      <c r="P231" s="21"/>
      <c r="Q231" s="21"/>
      <c r="R231" s="21"/>
      <c r="S231" s="21"/>
      <c r="T231" s="21"/>
      <c r="U231" s="21"/>
      <c r="V231" s="21"/>
      <c r="W231" s="21"/>
      <c r="X231" s="21"/>
      <c r="Y231" s="21"/>
      <c r="Z231" s="21"/>
    </row>
    <row r="232" spans="1:26" ht="13.2" x14ac:dyDescent="0.25">
      <c r="A232" s="34">
        <v>231</v>
      </c>
      <c r="B232" s="35">
        <v>44147</v>
      </c>
      <c r="C232" s="34">
        <v>26897</v>
      </c>
      <c r="D232" s="34">
        <v>556445</v>
      </c>
      <c r="E232" s="34">
        <f t="shared" si="0"/>
        <v>583342</v>
      </c>
      <c r="F232" s="36">
        <f t="shared" si="1"/>
        <v>4.6108457817198148E-2</v>
      </c>
    </row>
    <row r="233" spans="1:26" ht="13.2" x14ac:dyDescent="0.25">
      <c r="A233" s="34">
        <v>232</v>
      </c>
      <c r="B233" s="35">
        <v>44148</v>
      </c>
      <c r="C233" s="34">
        <v>26897</v>
      </c>
      <c r="D233" s="34">
        <v>556545</v>
      </c>
      <c r="E233" s="34">
        <f t="shared" si="0"/>
        <v>583442</v>
      </c>
      <c r="F233" s="36">
        <f t="shared" si="1"/>
        <v>4.6100554982329005E-2</v>
      </c>
    </row>
    <row r="234" spans="1:26" ht="13.2" x14ac:dyDescent="0.25">
      <c r="A234" s="39">
        <v>233</v>
      </c>
      <c r="B234" s="35">
        <v>44149</v>
      </c>
      <c r="C234" s="39">
        <v>26897</v>
      </c>
      <c r="D234" s="39">
        <v>556645</v>
      </c>
      <c r="E234" s="34">
        <f t="shared" si="0"/>
        <v>583542</v>
      </c>
      <c r="F234" s="36">
        <f t="shared" si="1"/>
        <v>4.6092654856034358E-2</v>
      </c>
    </row>
    <row r="235" spans="1:26" ht="13.2" x14ac:dyDescent="0.25">
      <c r="A235" s="34">
        <v>234</v>
      </c>
      <c r="B235" s="35">
        <v>44150</v>
      </c>
      <c r="C235" s="34">
        <v>26897</v>
      </c>
      <c r="D235" s="34">
        <v>556645</v>
      </c>
      <c r="E235" s="34">
        <f t="shared" si="0"/>
        <v>583542</v>
      </c>
      <c r="F235" s="36">
        <f t="shared" si="1"/>
        <v>4.6092654856034358E-2</v>
      </c>
    </row>
    <row r="236" spans="1:26" ht="13.2" x14ac:dyDescent="0.25">
      <c r="A236" s="34">
        <v>235</v>
      </c>
      <c r="B236" s="35">
        <v>44151</v>
      </c>
      <c r="C236" s="34">
        <v>29545</v>
      </c>
      <c r="D236" s="34">
        <v>590879</v>
      </c>
      <c r="E236" s="34">
        <f t="shared" si="0"/>
        <v>620424</v>
      </c>
      <c r="F236" s="36">
        <f t="shared" si="1"/>
        <v>4.7620659420009544E-2</v>
      </c>
    </row>
    <row r="237" spans="1:26" ht="13.2" x14ac:dyDescent="0.25">
      <c r="A237" s="34">
        <v>236</v>
      </c>
      <c r="B237" s="35">
        <v>44152</v>
      </c>
      <c r="C237" s="34">
        <v>29545</v>
      </c>
      <c r="D237" s="34">
        <v>590979</v>
      </c>
      <c r="E237" s="34">
        <f t="shared" si="0"/>
        <v>620524</v>
      </c>
      <c r="F237" s="36">
        <f t="shared" si="1"/>
        <v>4.761298515448234E-2</v>
      </c>
    </row>
    <row r="238" spans="1:26" ht="13.2" x14ac:dyDescent="0.25">
      <c r="A238" s="34">
        <v>237</v>
      </c>
      <c r="B238" s="35">
        <v>44153</v>
      </c>
      <c r="C238" s="34">
        <v>29545</v>
      </c>
      <c r="D238" s="34">
        <v>591079</v>
      </c>
      <c r="E238" s="34">
        <f t="shared" si="0"/>
        <v>620624</v>
      </c>
      <c r="F238" s="36">
        <f t="shared" si="1"/>
        <v>4.7605313362035627E-2</v>
      </c>
    </row>
    <row r="239" spans="1:26" ht="13.2" x14ac:dyDescent="0.25">
      <c r="A239" s="39">
        <v>238</v>
      </c>
      <c r="B239" s="35">
        <v>44154</v>
      </c>
      <c r="C239" s="39">
        <v>29545</v>
      </c>
      <c r="D239" s="39">
        <v>591179</v>
      </c>
      <c r="E239" s="34">
        <f t="shared" si="0"/>
        <v>620724</v>
      </c>
      <c r="F239" s="36">
        <f t="shared" si="1"/>
        <v>4.7597644041474152E-2</v>
      </c>
    </row>
    <row r="240" spans="1:26" ht="13.2" x14ac:dyDescent="0.25">
      <c r="A240" s="34">
        <v>239</v>
      </c>
      <c r="B240" s="35">
        <v>44155</v>
      </c>
      <c r="C240" s="34">
        <v>29545</v>
      </c>
      <c r="D240" s="34">
        <v>591279</v>
      </c>
      <c r="E240" s="34">
        <f t="shared" si="0"/>
        <v>620824</v>
      </c>
      <c r="F240" s="36">
        <f t="shared" si="1"/>
        <v>4.7589977191603419E-2</v>
      </c>
    </row>
    <row r="241" spans="1:6" ht="13.2" x14ac:dyDescent="0.25">
      <c r="A241" s="39">
        <v>240</v>
      </c>
      <c r="B241" s="35">
        <v>44156</v>
      </c>
      <c r="C241" s="39">
        <v>29545</v>
      </c>
      <c r="D241" s="39">
        <v>591379</v>
      </c>
      <c r="E241" s="34">
        <f t="shared" si="0"/>
        <v>620924</v>
      </c>
      <c r="F241" s="36">
        <f t="shared" si="1"/>
        <v>4.7582312811229717E-2</v>
      </c>
    </row>
    <row r="242" spans="1:6" ht="13.2" x14ac:dyDescent="0.25">
      <c r="A242" s="34">
        <v>241</v>
      </c>
      <c r="B242" s="35">
        <v>44157</v>
      </c>
      <c r="C242" s="34">
        <v>29545</v>
      </c>
      <c r="D242" s="34">
        <v>591479</v>
      </c>
      <c r="E242" s="34">
        <f t="shared" si="0"/>
        <v>621024</v>
      </c>
      <c r="F242" s="36">
        <f t="shared" si="1"/>
        <v>4.7574650899160097E-2</v>
      </c>
    </row>
    <row r="243" spans="1:6" ht="13.2" x14ac:dyDescent="0.25">
      <c r="A243" s="39">
        <v>242</v>
      </c>
      <c r="B243" s="35">
        <v>44158</v>
      </c>
      <c r="C243" s="39">
        <v>29690</v>
      </c>
      <c r="D243" s="39">
        <v>591925</v>
      </c>
      <c r="E243" s="34">
        <f t="shared" si="0"/>
        <v>621615</v>
      </c>
      <c r="F243" s="36">
        <f t="shared" si="1"/>
        <v>4.7762682689446043E-2</v>
      </c>
    </row>
    <row r="244" spans="1:6" ht="13.2" x14ac:dyDescent="0.25">
      <c r="A244" s="34">
        <v>243</v>
      </c>
      <c r="B244" s="35">
        <v>44159</v>
      </c>
      <c r="C244" s="34">
        <v>31049</v>
      </c>
      <c r="D244" s="34">
        <v>597933</v>
      </c>
      <c r="E244" s="34">
        <f t="shared" si="0"/>
        <v>628982</v>
      </c>
      <c r="F244" s="36">
        <f t="shared" si="1"/>
        <v>4.9363892766406667E-2</v>
      </c>
    </row>
    <row r="245" spans="1:6" ht="13.2" x14ac:dyDescent="0.25">
      <c r="A245" s="34">
        <v>244</v>
      </c>
      <c r="B245" s="35">
        <v>44160</v>
      </c>
      <c r="C245" s="34">
        <v>31049</v>
      </c>
      <c r="D245" s="34">
        <v>597933</v>
      </c>
      <c r="E245" s="34">
        <f t="shared" si="0"/>
        <v>628982</v>
      </c>
      <c r="F245" s="36">
        <f t="shared" si="1"/>
        <v>4.9363892766406667E-2</v>
      </c>
    </row>
    <row r="246" spans="1:6" ht="13.2" x14ac:dyDescent="0.25">
      <c r="A246" s="39">
        <v>245</v>
      </c>
      <c r="B246" s="35">
        <v>44161</v>
      </c>
      <c r="C246" s="39">
        <v>31072</v>
      </c>
      <c r="D246" s="39">
        <v>598070</v>
      </c>
      <c r="E246" s="34">
        <f t="shared" si="0"/>
        <v>629142</v>
      </c>
      <c r="F246" s="36">
        <f t="shared" si="1"/>
        <v>4.9387896532102453E-2</v>
      </c>
    </row>
    <row r="247" spans="1:6" ht="13.2" x14ac:dyDescent="0.25">
      <c r="A247" s="39">
        <v>246</v>
      </c>
      <c r="B247" s="35">
        <v>44162</v>
      </c>
      <c r="C247" s="39">
        <v>31072</v>
      </c>
      <c r="D247" s="39">
        <v>598170</v>
      </c>
      <c r="E247" s="34">
        <f t="shared" si="0"/>
        <v>629242</v>
      </c>
      <c r="F247" s="36">
        <f t="shared" si="1"/>
        <v>4.9380047739979213E-2</v>
      </c>
    </row>
    <row r="248" spans="1:6" ht="13.2" x14ac:dyDescent="0.25">
      <c r="A248" s="34">
        <v>247</v>
      </c>
      <c r="B248" s="35">
        <v>44163</v>
      </c>
      <c r="C248" s="34">
        <v>31072</v>
      </c>
      <c r="D248" s="34">
        <v>598270</v>
      </c>
      <c r="E248" s="34">
        <f t="shared" si="0"/>
        <v>629342</v>
      </c>
      <c r="F248" s="36">
        <f t="shared" si="1"/>
        <v>4.9372201442141155E-2</v>
      </c>
    </row>
    <row r="249" spans="1:6" ht="13.2" x14ac:dyDescent="0.25">
      <c r="A249" s="39">
        <v>248</v>
      </c>
      <c r="B249" s="35">
        <v>44164</v>
      </c>
      <c r="C249" s="34">
        <v>31072</v>
      </c>
      <c r="D249" s="34">
        <v>598370</v>
      </c>
      <c r="E249" s="34">
        <f t="shared" si="0"/>
        <v>629442</v>
      </c>
      <c r="F249" s="36">
        <f t="shared" si="1"/>
        <v>4.9364357637399471E-2</v>
      </c>
    </row>
    <row r="250" spans="1:6" ht="13.2" x14ac:dyDescent="0.25">
      <c r="A250" s="34">
        <v>249</v>
      </c>
      <c r="B250" s="35">
        <v>44165</v>
      </c>
      <c r="C250" s="34">
        <v>31072</v>
      </c>
      <c r="D250" s="34">
        <v>598470</v>
      </c>
      <c r="E250" s="34">
        <f t="shared" si="0"/>
        <v>629542</v>
      </c>
      <c r="F250" s="36">
        <f t="shared" si="1"/>
        <v>4.9356516324566113E-2</v>
      </c>
    </row>
    <row r="251" spans="1:6" ht="13.2" x14ac:dyDescent="0.25">
      <c r="A251" s="34">
        <v>250</v>
      </c>
      <c r="B251" s="35">
        <v>44166</v>
      </c>
      <c r="C251" s="34">
        <v>31072</v>
      </c>
      <c r="D251" s="34">
        <v>598570</v>
      </c>
      <c r="E251" s="34">
        <f t="shared" si="0"/>
        <v>629642</v>
      </c>
      <c r="F251" s="36">
        <f t="shared" si="1"/>
        <v>4.9348677502453774E-2</v>
      </c>
    </row>
    <row r="252" spans="1:6" ht="13.2" x14ac:dyDescent="0.25">
      <c r="A252" s="34">
        <v>251</v>
      </c>
      <c r="B252" s="35">
        <v>44167</v>
      </c>
      <c r="C252" s="34">
        <v>31072</v>
      </c>
      <c r="D252" s="34">
        <v>598670</v>
      </c>
      <c r="E252" s="34">
        <f t="shared" si="0"/>
        <v>629742</v>
      </c>
      <c r="F252" s="36">
        <f t="shared" si="1"/>
        <v>4.9340841169875915E-2</v>
      </c>
    </row>
    <row r="253" spans="1:6" ht="13.2" x14ac:dyDescent="0.25">
      <c r="A253" s="39">
        <v>252</v>
      </c>
      <c r="B253" s="35">
        <v>44168</v>
      </c>
      <c r="C253" s="39">
        <v>32351</v>
      </c>
      <c r="D253" s="39">
        <v>607588</v>
      </c>
      <c r="E253" s="34">
        <f t="shared" si="0"/>
        <v>639939</v>
      </c>
      <c r="F253" s="36">
        <f t="shared" si="1"/>
        <v>5.0553255857198887E-2</v>
      </c>
    </row>
    <row r="254" spans="1:6" ht="13.2" x14ac:dyDescent="0.25">
      <c r="A254" s="39">
        <v>253</v>
      </c>
      <c r="B254" s="35">
        <v>44169</v>
      </c>
      <c r="C254" s="39">
        <v>32351</v>
      </c>
      <c r="D254" s="39">
        <v>607638</v>
      </c>
      <c r="E254" s="34">
        <f t="shared" si="0"/>
        <v>639989</v>
      </c>
      <c r="F254" s="36">
        <f t="shared" si="1"/>
        <v>5.054930631620231E-2</v>
      </c>
    </row>
    <row r="255" spans="1:6" ht="13.2" x14ac:dyDescent="0.25">
      <c r="A255" s="34">
        <v>254</v>
      </c>
      <c r="B255" s="35">
        <v>44170</v>
      </c>
      <c r="C255" s="34">
        <v>32351</v>
      </c>
      <c r="D255" s="34">
        <v>607738</v>
      </c>
      <c r="E255" s="34">
        <f t="shared" si="0"/>
        <v>640089</v>
      </c>
      <c r="F255" s="36">
        <f t="shared" si="1"/>
        <v>5.0541409085299076E-2</v>
      </c>
    </row>
    <row r="256" spans="1:6" ht="13.2" x14ac:dyDescent="0.25">
      <c r="A256" s="39">
        <v>255</v>
      </c>
      <c r="B256" s="35">
        <v>44171</v>
      </c>
      <c r="C256" s="34">
        <v>32351</v>
      </c>
      <c r="D256" s="34">
        <v>607838</v>
      </c>
      <c r="E256" s="34">
        <f t="shared" si="0"/>
        <v>640189</v>
      </c>
      <c r="F256" s="36">
        <f t="shared" si="1"/>
        <v>5.0533514321551919E-2</v>
      </c>
    </row>
    <row r="257" spans="1:6" ht="13.2" x14ac:dyDescent="0.25">
      <c r="A257" s="34">
        <v>256</v>
      </c>
      <c r="B257" s="35">
        <v>44172</v>
      </c>
      <c r="C257" s="34">
        <v>32351</v>
      </c>
      <c r="D257" s="34">
        <v>607938</v>
      </c>
      <c r="E257" s="34">
        <f t="shared" si="0"/>
        <v>640289</v>
      </c>
      <c r="F257" s="36">
        <f t="shared" si="1"/>
        <v>5.0525622023804874E-2</v>
      </c>
    </row>
    <row r="258" spans="1:6" ht="13.2" x14ac:dyDescent="0.25">
      <c r="A258" s="39">
        <v>257</v>
      </c>
      <c r="B258" s="35">
        <v>44173</v>
      </c>
      <c r="C258" s="39">
        <v>32351</v>
      </c>
      <c r="D258" s="39">
        <v>608038</v>
      </c>
      <c r="E258" s="34">
        <f t="shared" si="0"/>
        <v>640389</v>
      </c>
      <c r="F258" s="36">
        <f t="shared" si="1"/>
        <v>5.051773219090272E-2</v>
      </c>
    </row>
    <row r="259" spans="1:6" ht="13.2" x14ac:dyDescent="0.25">
      <c r="A259" s="34">
        <v>258</v>
      </c>
      <c r="B259" s="35">
        <v>44174</v>
      </c>
      <c r="C259" s="34">
        <v>32411</v>
      </c>
      <c r="D259" s="39">
        <v>608278</v>
      </c>
      <c r="E259" s="34">
        <f t="shared" si="0"/>
        <v>640689</v>
      </c>
      <c r="F259" s="36">
        <f t="shared" si="1"/>
        <v>5.0587726650527791E-2</v>
      </c>
    </row>
    <row r="260" spans="1:6" ht="13.2" x14ac:dyDescent="0.25">
      <c r="A260" s="39">
        <v>259</v>
      </c>
      <c r="B260" s="35">
        <v>44175</v>
      </c>
      <c r="C260" s="39">
        <v>32424</v>
      </c>
      <c r="D260" s="39">
        <v>608047</v>
      </c>
      <c r="E260" s="34">
        <f t="shared" si="0"/>
        <v>640471</v>
      </c>
      <c r="F260" s="36">
        <f t="shared" si="1"/>
        <v>5.062524298524055E-2</v>
      </c>
    </row>
    <row r="261" spans="1:6" ht="13.2" x14ac:dyDescent="0.25">
      <c r="A261" s="34">
        <v>260</v>
      </c>
      <c r="B261" s="35">
        <v>44176</v>
      </c>
      <c r="C261" s="34">
        <v>32424</v>
      </c>
      <c r="D261" s="39">
        <v>608147</v>
      </c>
      <c r="E261" s="34">
        <f t="shared" si="0"/>
        <v>640571</v>
      </c>
      <c r="F261" s="36">
        <f t="shared" si="1"/>
        <v>5.0617339842109615E-2</v>
      </c>
    </row>
    <row r="262" spans="1:6" ht="13.2" x14ac:dyDescent="0.25">
      <c r="A262" s="39">
        <v>261</v>
      </c>
      <c r="B262" s="35">
        <v>44177</v>
      </c>
      <c r="C262" s="39">
        <v>32424</v>
      </c>
      <c r="D262" s="39">
        <v>608247</v>
      </c>
      <c r="E262" s="34">
        <f t="shared" si="0"/>
        <v>640671</v>
      </c>
      <c r="F262" s="36">
        <f t="shared" si="1"/>
        <v>5.0609439166124266E-2</v>
      </c>
    </row>
    <row r="263" spans="1:6" ht="13.2" x14ac:dyDescent="0.25">
      <c r="A263" s="34">
        <v>262</v>
      </c>
      <c r="B263" s="35">
        <v>44178</v>
      </c>
      <c r="C263" s="34">
        <v>32424</v>
      </c>
      <c r="D263" s="39">
        <v>608665</v>
      </c>
      <c r="E263" s="34">
        <f t="shared" si="0"/>
        <v>641089</v>
      </c>
      <c r="F263" s="36">
        <f t="shared" si="1"/>
        <v>5.0576441024569131E-2</v>
      </c>
    </row>
    <row r="264" spans="1:6" ht="13.2" x14ac:dyDescent="0.25">
      <c r="A264" s="39">
        <v>263</v>
      </c>
      <c r="B264" s="35">
        <v>44179</v>
      </c>
      <c r="C264" s="34">
        <v>32424</v>
      </c>
      <c r="D264" s="39">
        <v>608765</v>
      </c>
      <c r="E264" s="34">
        <f t="shared" si="0"/>
        <v>641189</v>
      </c>
      <c r="F264" s="36">
        <f t="shared" si="1"/>
        <v>5.0568553109925467E-2</v>
      </c>
    </row>
    <row r="265" spans="1:6" ht="13.2" x14ac:dyDescent="0.25">
      <c r="A265" s="34">
        <v>264</v>
      </c>
      <c r="B265" s="35">
        <v>44180</v>
      </c>
      <c r="C265" s="34">
        <v>32424</v>
      </c>
      <c r="D265" s="39">
        <v>608865</v>
      </c>
      <c r="E265" s="34">
        <f t="shared" si="0"/>
        <v>641289</v>
      </c>
      <c r="F265" s="36">
        <f t="shared" si="1"/>
        <v>5.0560667655300498E-2</v>
      </c>
    </row>
    <row r="266" spans="1:6" ht="13.2" x14ac:dyDescent="0.25">
      <c r="A266" s="39">
        <v>265</v>
      </c>
      <c r="B266" s="35">
        <v>44181</v>
      </c>
      <c r="C266" s="34">
        <v>32527</v>
      </c>
      <c r="D266" s="39">
        <v>608929</v>
      </c>
      <c r="E266" s="34">
        <f t="shared" si="0"/>
        <v>641456</v>
      </c>
      <c r="F266" s="36">
        <f t="shared" si="1"/>
        <v>5.0708076625676585E-2</v>
      </c>
    </row>
    <row r="267" spans="1:6" ht="13.2" x14ac:dyDescent="0.25">
      <c r="A267" s="34">
        <v>266</v>
      </c>
      <c r="B267" s="35">
        <v>44182</v>
      </c>
      <c r="C267" s="34">
        <v>32527</v>
      </c>
      <c r="D267" s="39">
        <v>608979</v>
      </c>
      <c r="E267" s="34">
        <f t="shared" si="0"/>
        <v>641506</v>
      </c>
      <c r="F267" s="36">
        <f t="shared" si="1"/>
        <v>5.0704124357371559E-2</v>
      </c>
    </row>
    <row r="268" spans="1:6" ht="13.2" x14ac:dyDescent="0.25">
      <c r="A268" s="39">
        <v>267</v>
      </c>
      <c r="B268" s="35">
        <v>44183</v>
      </c>
      <c r="C268" s="34">
        <v>32527</v>
      </c>
      <c r="D268" s="39">
        <v>609079</v>
      </c>
      <c r="E268" s="34">
        <f t="shared" si="0"/>
        <v>641606</v>
      </c>
      <c r="F268" s="36">
        <f t="shared" si="1"/>
        <v>5.0696221668749979E-2</v>
      </c>
    </row>
    <row r="269" spans="1:6" ht="13.2" x14ac:dyDescent="0.25">
      <c r="A269" s="34">
        <v>268</v>
      </c>
      <c r="B269" s="35">
        <v>44184</v>
      </c>
      <c r="C269" s="34">
        <v>32527</v>
      </c>
      <c r="D269" s="39">
        <v>609179</v>
      </c>
      <c r="E269" s="34">
        <f t="shared" si="0"/>
        <v>641706</v>
      </c>
      <c r="F269" s="36">
        <f t="shared" si="1"/>
        <v>5.0688321443153092E-2</v>
      </c>
    </row>
    <row r="270" spans="1:6" ht="13.2" x14ac:dyDescent="0.25">
      <c r="A270" s="39">
        <v>269</v>
      </c>
      <c r="B270" s="35">
        <v>44185</v>
      </c>
      <c r="C270" s="34">
        <v>32527</v>
      </c>
      <c r="D270" s="39">
        <v>609279</v>
      </c>
      <c r="E270" s="34">
        <f t="shared" si="0"/>
        <v>641806</v>
      </c>
      <c r="F270" s="36">
        <f t="shared" si="1"/>
        <v>5.0680423679429612E-2</v>
      </c>
    </row>
    <row r="271" spans="1:6" ht="13.2" x14ac:dyDescent="0.25">
      <c r="A271" s="34">
        <v>270</v>
      </c>
      <c r="B271" s="35">
        <v>44186</v>
      </c>
      <c r="C271" s="34">
        <v>33190</v>
      </c>
      <c r="D271" s="39">
        <v>616946</v>
      </c>
      <c r="E271" s="34">
        <f t="shared" si="0"/>
        <v>650136</v>
      </c>
      <c r="F271" s="36">
        <f t="shared" si="1"/>
        <v>5.1050857051447698E-2</v>
      </c>
    </row>
    <row r="272" spans="1:6" ht="13.2" x14ac:dyDescent="0.25">
      <c r="A272" s="39">
        <v>271</v>
      </c>
      <c r="B272" s="35">
        <v>44187</v>
      </c>
      <c r="C272" s="34">
        <v>33190</v>
      </c>
      <c r="D272" s="39">
        <v>617046</v>
      </c>
      <c r="E272" s="34">
        <f t="shared" si="0"/>
        <v>650236</v>
      </c>
      <c r="F272" s="36">
        <f t="shared" si="1"/>
        <v>5.1043005924002981E-2</v>
      </c>
    </row>
    <row r="273" spans="1:6" ht="13.2" x14ac:dyDescent="0.25">
      <c r="A273" s="34">
        <v>272</v>
      </c>
      <c r="B273" s="35">
        <v>44188</v>
      </c>
      <c r="C273" s="34">
        <v>33190</v>
      </c>
      <c r="D273" s="39">
        <v>617146</v>
      </c>
      <c r="E273" s="34">
        <f t="shared" si="0"/>
        <v>650336</v>
      </c>
      <c r="F273" s="36">
        <f t="shared" si="1"/>
        <v>5.1035157211041675E-2</v>
      </c>
    </row>
    <row r="274" spans="1:6" ht="13.2" x14ac:dyDescent="0.25">
      <c r="A274" s="39">
        <v>273</v>
      </c>
      <c r="B274" s="35">
        <v>44189</v>
      </c>
      <c r="C274" s="34">
        <v>33190</v>
      </c>
      <c r="D274" s="39">
        <v>617256</v>
      </c>
      <c r="E274" s="34">
        <f t="shared" si="0"/>
        <v>650446</v>
      </c>
      <c r="F274" s="36">
        <f t="shared" si="1"/>
        <v>5.1026526414183496E-2</v>
      </c>
    </row>
    <row r="275" spans="1:6" ht="13.2" x14ac:dyDescent="0.25">
      <c r="A275" s="34">
        <v>274</v>
      </c>
      <c r="B275" s="35">
        <v>44190</v>
      </c>
      <c r="C275" s="34">
        <v>33190</v>
      </c>
      <c r="D275" s="39">
        <v>617356</v>
      </c>
      <c r="E275" s="34">
        <f t="shared" si="0"/>
        <v>650546</v>
      </c>
      <c r="F275" s="36">
        <f t="shared" si="1"/>
        <v>5.1018682768013329E-2</v>
      </c>
    </row>
    <row r="276" spans="1:6" ht="13.2" x14ac:dyDescent="0.25">
      <c r="A276" s="39">
        <v>275</v>
      </c>
      <c r="B276" s="35">
        <v>44191</v>
      </c>
      <c r="C276" s="34">
        <v>33190</v>
      </c>
      <c r="D276" s="39">
        <v>617456</v>
      </c>
      <c r="E276" s="34">
        <f t="shared" si="0"/>
        <v>650646</v>
      </c>
      <c r="F276" s="36">
        <f t="shared" si="1"/>
        <v>5.1010841532876557E-2</v>
      </c>
    </row>
    <row r="277" spans="1:6" ht="13.2" x14ac:dyDescent="0.25">
      <c r="A277" s="34">
        <v>276</v>
      </c>
      <c r="B277" s="35">
        <v>44192</v>
      </c>
      <c r="C277" s="34">
        <v>33190</v>
      </c>
      <c r="D277" s="39">
        <v>617556</v>
      </c>
      <c r="E277" s="34">
        <f t="shared" si="0"/>
        <v>650746</v>
      </c>
      <c r="F277" s="36">
        <f t="shared" si="1"/>
        <v>5.1003002707661671E-2</v>
      </c>
    </row>
    <row r="278" spans="1:6" ht="13.2" x14ac:dyDescent="0.25">
      <c r="A278" s="39">
        <v>277</v>
      </c>
      <c r="B278" s="35">
        <v>44193</v>
      </c>
      <c r="C278" s="34">
        <v>33239</v>
      </c>
      <c r="D278" s="39">
        <v>617766</v>
      </c>
      <c r="E278" s="34">
        <f t="shared" si="0"/>
        <v>651005</v>
      </c>
      <c r="F278" s="36">
        <f t="shared" si="1"/>
        <v>5.1057979585410251E-2</v>
      </c>
    </row>
    <row r="279" spans="1:6" ht="13.2" x14ac:dyDescent="0.25">
      <c r="A279" s="34">
        <v>278</v>
      </c>
      <c r="B279" s="35">
        <v>44194</v>
      </c>
      <c r="C279" s="34">
        <v>33239</v>
      </c>
      <c r="D279" s="39">
        <v>617866</v>
      </c>
      <c r="E279" s="34">
        <f t="shared" si="0"/>
        <v>651105</v>
      </c>
      <c r="F279" s="36">
        <f t="shared" si="1"/>
        <v>5.1050137842590673E-2</v>
      </c>
    </row>
    <row r="280" spans="1:6" ht="13.2" x14ac:dyDescent="0.25">
      <c r="A280" s="39">
        <v>279</v>
      </c>
      <c r="B280" s="35">
        <v>44195</v>
      </c>
      <c r="C280" s="34">
        <v>33239</v>
      </c>
      <c r="D280" s="39">
        <v>617966</v>
      </c>
      <c r="E280" s="34">
        <f t="shared" si="0"/>
        <v>651205</v>
      </c>
      <c r="F280" s="36">
        <f t="shared" si="1"/>
        <v>5.1042298508150279E-2</v>
      </c>
    </row>
    <row r="281" spans="1:6" ht="13.2" x14ac:dyDescent="0.25">
      <c r="A281" s="34">
        <v>280</v>
      </c>
      <c r="B281" s="35">
        <v>44196</v>
      </c>
      <c r="C281" s="34">
        <v>33239</v>
      </c>
      <c r="D281" s="39">
        <v>618066</v>
      </c>
      <c r="E281" s="34">
        <f t="shared" si="0"/>
        <v>651305</v>
      </c>
      <c r="F281" s="36">
        <f t="shared" si="1"/>
        <v>5.1034461580979726E-2</v>
      </c>
    </row>
    <row r="282" spans="1:6" ht="13.2" x14ac:dyDescent="0.25">
      <c r="A282" s="39">
        <v>281</v>
      </c>
      <c r="B282" s="35">
        <v>44197</v>
      </c>
      <c r="C282" s="34">
        <v>33239</v>
      </c>
      <c r="D282" s="39">
        <v>618166</v>
      </c>
      <c r="E282" s="34">
        <f t="shared" si="0"/>
        <v>651405</v>
      </c>
      <c r="F282" s="36">
        <f t="shared" si="1"/>
        <v>5.1026627059970374E-2</v>
      </c>
    </row>
    <row r="283" spans="1:6" ht="13.2" x14ac:dyDescent="0.25">
      <c r="A283" s="34">
        <v>282</v>
      </c>
      <c r="B283" s="35">
        <v>44198</v>
      </c>
      <c r="C283" s="34">
        <v>33239</v>
      </c>
      <c r="D283" s="39">
        <v>618266</v>
      </c>
      <c r="E283" s="34">
        <f t="shared" si="0"/>
        <v>651505</v>
      </c>
      <c r="F283" s="36">
        <f t="shared" si="1"/>
        <v>5.1018794944014241E-2</v>
      </c>
    </row>
    <row r="284" spans="1:6" ht="13.2" x14ac:dyDescent="0.25">
      <c r="A284" s="39">
        <v>283</v>
      </c>
      <c r="B284" s="35">
        <v>44199</v>
      </c>
      <c r="C284" s="34">
        <v>33239</v>
      </c>
      <c r="D284" s="39">
        <v>618366</v>
      </c>
      <c r="E284" s="34">
        <f t="shared" si="0"/>
        <v>651605</v>
      </c>
      <c r="F284" s="36">
        <f t="shared" si="1"/>
        <v>5.1010965232004053E-2</v>
      </c>
    </row>
    <row r="285" spans="1:6" ht="13.2" x14ac:dyDescent="0.25">
      <c r="A285" s="34">
        <v>284</v>
      </c>
      <c r="B285" s="35">
        <v>44200</v>
      </c>
      <c r="C285" s="34">
        <v>33239</v>
      </c>
      <c r="D285" s="39">
        <v>618466</v>
      </c>
      <c r="E285" s="34">
        <f t="shared" si="0"/>
        <v>651705</v>
      </c>
      <c r="F285" s="36">
        <f t="shared" si="1"/>
        <v>5.1003137922833182E-2</v>
      </c>
    </row>
    <row r="286" spans="1:6" ht="13.2" x14ac:dyDescent="0.25">
      <c r="A286" s="39">
        <v>285</v>
      </c>
      <c r="B286" s="35">
        <v>44201</v>
      </c>
      <c r="C286" s="34">
        <v>37852</v>
      </c>
      <c r="D286" s="39">
        <v>675591</v>
      </c>
      <c r="E286" s="34">
        <f t="shared" si="0"/>
        <v>713443</v>
      </c>
      <c r="F286" s="36">
        <f t="shared" si="1"/>
        <v>5.305539475473163E-2</v>
      </c>
    </row>
    <row r="287" spans="1:6" ht="13.2" x14ac:dyDescent="0.25">
      <c r="A287" s="34">
        <v>286</v>
      </c>
      <c r="B287" s="35">
        <v>44202</v>
      </c>
      <c r="C287" s="34">
        <v>37852</v>
      </c>
      <c r="D287" s="39">
        <v>675591</v>
      </c>
      <c r="E287" s="34">
        <f t="shared" si="0"/>
        <v>713443</v>
      </c>
      <c r="F287" s="36">
        <f t="shared" si="1"/>
        <v>5.305539475473163E-2</v>
      </c>
    </row>
    <row r="288" spans="1:6" ht="13.2" x14ac:dyDescent="0.25">
      <c r="A288" s="39">
        <v>287</v>
      </c>
      <c r="B288" s="35">
        <v>44203</v>
      </c>
      <c r="C288" s="34">
        <v>37852</v>
      </c>
      <c r="D288" s="39">
        <v>675591</v>
      </c>
      <c r="E288" s="34">
        <f t="shared" si="0"/>
        <v>713443</v>
      </c>
      <c r="F288" s="36">
        <f t="shared" si="1"/>
        <v>5.305539475473163E-2</v>
      </c>
    </row>
    <row r="289" spans="1:6" ht="13.2" x14ac:dyDescent="0.25">
      <c r="A289" s="34">
        <v>288</v>
      </c>
      <c r="B289" s="35">
        <v>44204</v>
      </c>
      <c r="C289" s="34">
        <v>37852</v>
      </c>
      <c r="D289" s="39">
        <v>675591</v>
      </c>
      <c r="E289" s="34">
        <f t="shared" si="0"/>
        <v>713443</v>
      </c>
      <c r="F289" s="36">
        <f t="shared" si="1"/>
        <v>5.305539475473163E-2</v>
      </c>
    </row>
    <row r="290" spans="1:6" ht="13.2" x14ac:dyDescent="0.25">
      <c r="A290" s="39">
        <v>289</v>
      </c>
      <c r="B290" s="35">
        <v>44205</v>
      </c>
      <c r="C290" s="34">
        <v>37852</v>
      </c>
      <c r="D290" s="39">
        <v>675591</v>
      </c>
      <c r="E290" s="34">
        <f t="shared" si="0"/>
        <v>713443</v>
      </c>
      <c r="F290" s="36">
        <f t="shared" si="1"/>
        <v>5.305539475473163E-2</v>
      </c>
    </row>
    <row r="291" spans="1:6" ht="13.2" x14ac:dyDescent="0.25">
      <c r="A291" s="34">
        <v>290</v>
      </c>
      <c r="B291" s="35">
        <v>44206</v>
      </c>
      <c r="C291" s="34">
        <v>37852</v>
      </c>
      <c r="D291" s="39">
        <v>675591</v>
      </c>
      <c r="E291" s="34">
        <f t="shared" si="0"/>
        <v>713443</v>
      </c>
      <c r="F291" s="36">
        <f t="shared" si="1"/>
        <v>5.305539475473163E-2</v>
      </c>
    </row>
    <row r="292" spans="1:6" ht="13.2" x14ac:dyDescent="0.25">
      <c r="A292" s="39">
        <v>291</v>
      </c>
      <c r="B292" s="35">
        <v>44207</v>
      </c>
      <c r="C292" s="34">
        <v>37852</v>
      </c>
      <c r="D292" s="39">
        <v>675591</v>
      </c>
      <c r="E292" s="34">
        <f t="shared" si="0"/>
        <v>713443</v>
      </c>
      <c r="F292" s="36">
        <f t="shared" si="1"/>
        <v>5.305539475473163E-2</v>
      </c>
    </row>
    <row r="293" spans="1:6" ht="13.2" x14ac:dyDescent="0.25">
      <c r="A293" s="34">
        <v>292</v>
      </c>
      <c r="B293" s="35">
        <v>44208</v>
      </c>
      <c r="C293" s="34">
        <v>37852</v>
      </c>
      <c r="D293" s="39">
        <v>675591</v>
      </c>
      <c r="E293" s="34">
        <f t="shared" si="0"/>
        <v>713443</v>
      </c>
      <c r="F293" s="36">
        <f t="shared" si="1"/>
        <v>5.305539475473163E-2</v>
      </c>
    </row>
    <row r="294" spans="1:6" ht="13.2" x14ac:dyDescent="0.25">
      <c r="A294" s="39">
        <v>293</v>
      </c>
      <c r="B294" s="35">
        <v>44209</v>
      </c>
      <c r="C294" s="34">
        <v>37852</v>
      </c>
      <c r="D294" s="39">
        <v>675591</v>
      </c>
      <c r="E294" s="34">
        <f t="shared" si="0"/>
        <v>713443</v>
      </c>
      <c r="F294" s="36">
        <f t="shared" si="1"/>
        <v>5.305539475473163E-2</v>
      </c>
    </row>
    <row r="295" spans="1:6" ht="13.2" x14ac:dyDescent="0.25">
      <c r="A295" s="34">
        <v>294</v>
      </c>
      <c r="B295" s="35">
        <v>44210</v>
      </c>
      <c r="C295" s="34">
        <v>37852</v>
      </c>
      <c r="D295" s="39">
        <v>675591</v>
      </c>
      <c r="E295" s="34">
        <f t="shared" si="0"/>
        <v>713443</v>
      </c>
      <c r="F295" s="36">
        <f t="shared" si="1"/>
        <v>5.305539475473163E-2</v>
      </c>
    </row>
    <row r="296" spans="1:6" ht="13.2" x14ac:dyDescent="0.25">
      <c r="A296" s="39">
        <v>295</v>
      </c>
      <c r="B296" s="35">
        <v>44211</v>
      </c>
      <c r="C296" s="34">
        <v>37852</v>
      </c>
      <c r="D296" s="39">
        <v>675591</v>
      </c>
      <c r="E296" s="34">
        <f t="shared" si="0"/>
        <v>713443</v>
      </c>
      <c r="F296" s="36">
        <f t="shared" si="1"/>
        <v>5.305539475473163E-2</v>
      </c>
    </row>
    <row r="297" spans="1:6" ht="13.2" x14ac:dyDescent="0.25">
      <c r="A297" s="34">
        <v>296</v>
      </c>
      <c r="B297" s="35">
        <v>44212</v>
      </c>
      <c r="C297" s="40">
        <v>37852</v>
      </c>
      <c r="D297" s="41">
        <v>675591</v>
      </c>
      <c r="E297" s="34">
        <f t="shared" si="0"/>
        <v>713443</v>
      </c>
      <c r="F297" s="36">
        <f t="shared" si="1"/>
        <v>5.305539475473163E-2</v>
      </c>
    </row>
    <row r="298" spans="1:6" ht="13.2" x14ac:dyDescent="0.25">
      <c r="A298" s="39">
        <v>297</v>
      </c>
      <c r="B298" s="35">
        <v>44213</v>
      </c>
      <c r="C298" s="40">
        <v>37852</v>
      </c>
      <c r="D298" s="41">
        <v>675591</v>
      </c>
      <c r="E298" s="34">
        <f t="shared" si="0"/>
        <v>713443</v>
      </c>
      <c r="F298" s="36">
        <f t="shared" si="1"/>
        <v>5.305539475473163E-2</v>
      </c>
    </row>
    <row r="299" spans="1:6" ht="13.2" x14ac:dyDescent="0.25">
      <c r="A299" s="39">
        <v>298</v>
      </c>
      <c r="B299" s="35">
        <v>44214</v>
      </c>
      <c r="C299" s="40">
        <v>37852</v>
      </c>
      <c r="D299" s="41">
        <v>675591</v>
      </c>
      <c r="E299" s="34">
        <f t="shared" si="0"/>
        <v>713443</v>
      </c>
      <c r="F299" s="36">
        <f t="shared" si="1"/>
        <v>5.305539475473163E-2</v>
      </c>
    </row>
    <row r="300" spans="1:6" ht="13.2" x14ac:dyDescent="0.25">
      <c r="A300" s="34">
        <v>299</v>
      </c>
      <c r="B300" s="35">
        <v>44215</v>
      </c>
      <c r="C300" s="40">
        <v>37852</v>
      </c>
      <c r="D300" s="41">
        <v>675591</v>
      </c>
      <c r="E300" s="34">
        <f t="shared" si="0"/>
        <v>713443</v>
      </c>
      <c r="F300" s="36">
        <f t="shared" si="1"/>
        <v>5.305539475473163E-2</v>
      </c>
    </row>
    <row r="301" spans="1:6" ht="13.2" x14ac:dyDescent="0.25">
      <c r="A301" s="39">
        <v>300</v>
      </c>
      <c r="B301" s="35">
        <v>44216</v>
      </c>
      <c r="C301" s="40">
        <v>37852</v>
      </c>
      <c r="D301" s="41">
        <v>675591</v>
      </c>
      <c r="E301" s="34">
        <f t="shared" si="0"/>
        <v>713443</v>
      </c>
      <c r="F301" s="36">
        <f t="shared" si="1"/>
        <v>5.305539475473163E-2</v>
      </c>
    </row>
    <row r="302" spans="1:6" ht="13.2" x14ac:dyDescent="0.25">
      <c r="A302" s="34">
        <v>301</v>
      </c>
      <c r="B302" s="35">
        <v>44217</v>
      </c>
      <c r="C302" s="40">
        <v>37852</v>
      </c>
      <c r="D302" s="41">
        <v>675591</v>
      </c>
      <c r="E302" s="34">
        <f t="shared" si="0"/>
        <v>713443</v>
      </c>
      <c r="F302" s="36">
        <f t="shared" si="1"/>
        <v>5.305539475473163E-2</v>
      </c>
    </row>
    <row r="303" spans="1:6" ht="13.2" x14ac:dyDescent="0.25">
      <c r="A303" s="34">
        <v>302</v>
      </c>
      <c r="B303" s="35">
        <v>44218</v>
      </c>
      <c r="C303" s="40">
        <v>37852</v>
      </c>
      <c r="D303" s="41">
        <v>675591</v>
      </c>
      <c r="E303" s="34">
        <f t="shared" si="0"/>
        <v>713443</v>
      </c>
      <c r="F303" s="36">
        <f t="shared" si="1"/>
        <v>5.305539475473163E-2</v>
      </c>
    </row>
    <row r="304" spans="1:6" ht="13.2" x14ac:dyDescent="0.25">
      <c r="A304" s="34">
        <v>303</v>
      </c>
      <c r="B304" s="35">
        <v>44219</v>
      </c>
      <c r="C304" s="40">
        <v>37852</v>
      </c>
      <c r="D304" s="41">
        <v>675591</v>
      </c>
      <c r="E304" s="34">
        <f t="shared" si="0"/>
        <v>713443</v>
      </c>
      <c r="F304" s="36">
        <f t="shared" si="1"/>
        <v>5.305539475473163E-2</v>
      </c>
    </row>
    <row r="305" spans="1:6" ht="13.2" x14ac:dyDescent="0.25">
      <c r="A305" s="34">
        <v>304</v>
      </c>
      <c r="B305" s="35">
        <v>44220</v>
      </c>
      <c r="C305" s="40">
        <v>37852</v>
      </c>
      <c r="D305" s="41">
        <v>675591</v>
      </c>
      <c r="E305" s="34">
        <f t="shared" si="0"/>
        <v>713443</v>
      </c>
      <c r="F305" s="36">
        <f t="shared" si="1"/>
        <v>5.305539475473163E-2</v>
      </c>
    </row>
    <row r="306" spans="1:6" ht="13.2" x14ac:dyDescent="0.25">
      <c r="A306" s="34">
        <v>305</v>
      </c>
      <c r="B306" s="35">
        <v>44221</v>
      </c>
      <c r="C306" s="40">
        <v>37852</v>
      </c>
      <c r="D306" s="41">
        <v>675591</v>
      </c>
      <c r="E306" s="34">
        <f t="shared" si="0"/>
        <v>713443</v>
      </c>
      <c r="F306" s="36">
        <f t="shared" si="1"/>
        <v>5.305539475473163E-2</v>
      </c>
    </row>
    <row r="307" spans="1:6" ht="13.2" x14ac:dyDescent="0.25">
      <c r="A307" s="34">
        <v>306</v>
      </c>
      <c r="B307" s="35">
        <v>44222</v>
      </c>
      <c r="C307" s="40">
        <v>37852</v>
      </c>
      <c r="D307" s="41">
        <v>675591</v>
      </c>
      <c r="E307" s="34">
        <f t="shared" si="0"/>
        <v>713443</v>
      </c>
      <c r="F307" s="36">
        <f t="shared" si="1"/>
        <v>5.305539475473163E-2</v>
      </c>
    </row>
    <row r="308" spans="1:6" ht="13.2" x14ac:dyDescent="0.25">
      <c r="A308" s="34">
        <v>307</v>
      </c>
      <c r="B308" s="35">
        <v>44223</v>
      </c>
      <c r="C308" s="40">
        <v>37852</v>
      </c>
      <c r="D308" s="41">
        <v>675591</v>
      </c>
      <c r="E308" s="34">
        <f t="shared" si="0"/>
        <v>713443</v>
      </c>
      <c r="F308" s="36">
        <f t="shared" si="1"/>
        <v>5.305539475473163E-2</v>
      </c>
    </row>
    <row r="309" spans="1:6" ht="13.2" x14ac:dyDescent="0.25">
      <c r="A309" s="34">
        <v>308</v>
      </c>
      <c r="B309" s="35">
        <v>44224</v>
      </c>
      <c r="C309" s="40">
        <v>37852</v>
      </c>
      <c r="D309" s="41">
        <v>675591</v>
      </c>
      <c r="E309" s="34">
        <f t="shared" si="0"/>
        <v>713443</v>
      </c>
      <c r="F309" s="36">
        <f t="shared" si="1"/>
        <v>5.305539475473163E-2</v>
      </c>
    </row>
    <row r="310" spans="1:6" ht="14.4" x14ac:dyDescent="0.3">
      <c r="A310" s="34">
        <v>309</v>
      </c>
      <c r="B310" s="35">
        <v>44225</v>
      </c>
      <c r="C310" s="37">
        <v>37997</v>
      </c>
      <c r="D310" s="37">
        <v>675868</v>
      </c>
      <c r="E310" s="34">
        <f t="shared" si="0"/>
        <v>713865</v>
      </c>
      <c r="F310" s="36">
        <f t="shared" si="1"/>
        <v>5.3227150791816377E-2</v>
      </c>
    </row>
    <row r="311" spans="1:6" ht="14.4" x14ac:dyDescent="0.3">
      <c r="A311" s="34">
        <v>310</v>
      </c>
      <c r="B311" s="35">
        <v>44226</v>
      </c>
      <c r="C311" s="37">
        <v>37997</v>
      </c>
      <c r="D311" s="37">
        <v>675868</v>
      </c>
      <c r="E311" s="34">
        <f t="shared" si="0"/>
        <v>713865</v>
      </c>
      <c r="F311" s="36">
        <f t="shared" si="1"/>
        <v>5.3227150791816377E-2</v>
      </c>
    </row>
    <row r="312" spans="1:6" ht="14.4" x14ac:dyDescent="0.3">
      <c r="A312" s="34">
        <v>311</v>
      </c>
      <c r="B312" s="35">
        <v>44227</v>
      </c>
      <c r="C312" s="37">
        <v>37997</v>
      </c>
      <c r="D312" s="37">
        <v>675868</v>
      </c>
      <c r="E312" s="34">
        <f t="shared" si="0"/>
        <v>713865</v>
      </c>
      <c r="F312" s="36">
        <f t="shared" si="1"/>
        <v>5.3227150791816377E-2</v>
      </c>
    </row>
    <row r="313" spans="1:6" ht="14.4" x14ac:dyDescent="0.3">
      <c r="A313" s="34">
        <v>312</v>
      </c>
      <c r="B313" s="35">
        <v>44228</v>
      </c>
      <c r="C313" s="37">
        <v>37997</v>
      </c>
      <c r="D313" s="37">
        <v>675868</v>
      </c>
      <c r="E313" s="34">
        <f t="shared" si="0"/>
        <v>713865</v>
      </c>
      <c r="F313" s="36">
        <f t="shared" si="1"/>
        <v>5.3227150791816377E-2</v>
      </c>
    </row>
    <row r="314" spans="1:6" ht="14.4" x14ac:dyDescent="0.3">
      <c r="A314" s="34">
        <v>313</v>
      </c>
      <c r="B314" s="35">
        <v>44229</v>
      </c>
      <c r="C314" s="37">
        <v>38223</v>
      </c>
      <c r="D314" s="37">
        <v>676487</v>
      </c>
      <c r="E314" s="34">
        <f t="shared" si="0"/>
        <v>714710</v>
      </c>
      <c r="F314" s="36">
        <f t="shared" si="1"/>
        <v>5.3480432623021927E-2</v>
      </c>
    </row>
    <row r="315" spans="1:6" ht="14.4" x14ac:dyDescent="0.3">
      <c r="A315" s="34">
        <v>314</v>
      </c>
      <c r="B315" s="35">
        <v>44230</v>
      </c>
      <c r="C315" s="37">
        <v>38223</v>
      </c>
      <c r="D315" s="37">
        <v>676487</v>
      </c>
      <c r="E315" s="34">
        <f t="shared" si="0"/>
        <v>714710</v>
      </c>
      <c r="F315" s="36">
        <f t="shared" si="1"/>
        <v>5.3480432623021927E-2</v>
      </c>
    </row>
    <row r="316" spans="1:6" ht="14.4" x14ac:dyDescent="0.3">
      <c r="A316" s="34">
        <v>315</v>
      </c>
      <c r="B316" s="35">
        <v>44231</v>
      </c>
      <c r="C316" s="37">
        <v>38223</v>
      </c>
      <c r="D316" s="37">
        <v>676487</v>
      </c>
      <c r="E316" s="34">
        <f t="shared" si="0"/>
        <v>714710</v>
      </c>
      <c r="F316" s="36">
        <f t="shared" si="1"/>
        <v>5.3480432623021927E-2</v>
      </c>
    </row>
    <row r="317" spans="1:6" ht="14.4" x14ac:dyDescent="0.3">
      <c r="A317" s="34">
        <v>316</v>
      </c>
      <c r="B317" s="35">
        <v>44232</v>
      </c>
      <c r="C317" s="37">
        <v>38223</v>
      </c>
      <c r="D317" s="37">
        <v>676487</v>
      </c>
      <c r="E317" s="34">
        <f t="shared" si="0"/>
        <v>714710</v>
      </c>
      <c r="F317" s="36">
        <f t="shared" si="1"/>
        <v>5.3480432623021927E-2</v>
      </c>
    </row>
    <row r="318" spans="1:6" ht="14.4" x14ac:dyDescent="0.3">
      <c r="A318" s="34">
        <v>317</v>
      </c>
      <c r="B318" s="35">
        <v>44233</v>
      </c>
      <c r="C318" s="37">
        <v>38223</v>
      </c>
      <c r="D318" s="37">
        <v>676487</v>
      </c>
      <c r="E318" s="34">
        <f t="shared" si="0"/>
        <v>714710</v>
      </c>
      <c r="F318" s="36">
        <f t="shared" si="1"/>
        <v>5.3480432623021927E-2</v>
      </c>
    </row>
    <row r="319" spans="1:6" ht="13.2" x14ac:dyDescent="0.25">
      <c r="A319" s="34">
        <v>318</v>
      </c>
      <c r="B319" s="35">
        <v>44234</v>
      </c>
      <c r="C319" s="34">
        <v>38370</v>
      </c>
      <c r="D319" s="34">
        <v>677396</v>
      </c>
      <c r="E319" s="34">
        <f t="shared" si="0"/>
        <v>715766</v>
      </c>
      <c r="F319" s="36">
        <f t="shared" si="1"/>
        <v>5.3606905049974431E-2</v>
      </c>
    </row>
    <row r="320" spans="1:6" ht="13.2" x14ac:dyDescent="0.25">
      <c r="A320" s="34">
        <v>319</v>
      </c>
      <c r="B320" s="35">
        <v>44235</v>
      </c>
      <c r="C320" s="34">
        <v>38464</v>
      </c>
      <c r="D320" s="34">
        <v>677824</v>
      </c>
      <c r="E320" s="34">
        <f t="shared" si="0"/>
        <v>716288</v>
      </c>
      <c r="F320" s="36">
        <f t="shared" si="1"/>
        <v>5.3699070764832026E-2</v>
      </c>
    </row>
    <row r="321" spans="1:6" ht="13.2" x14ac:dyDescent="0.25">
      <c r="A321" s="34">
        <v>320</v>
      </c>
      <c r="B321" s="35">
        <v>44236</v>
      </c>
      <c r="C321" s="34">
        <v>38464</v>
      </c>
      <c r="D321" s="34">
        <v>677825</v>
      </c>
      <c r="E321" s="34">
        <f t="shared" si="0"/>
        <v>716289</v>
      </c>
      <c r="F321" s="36">
        <f t="shared" si="1"/>
        <v>5.3698995796389447E-2</v>
      </c>
    </row>
    <row r="322" spans="1:6" ht="13.2" x14ac:dyDescent="0.25">
      <c r="A322" s="34">
        <v>321</v>
      </c>
      <c r="B322" s="35">
        <v>44237</v>
      </c>
      <c r="C322" s="34">
        <v>38471</v>
      </c>
      <c r="D322" s="34">
        <v>677936</v>
      </c>
      <c r="E322" s="34">
        <f t="shared" si="0"/>
        <v>716407</v>
      </c>
      <c r="F322" s="36">
        <f t="shared" si="1"/>
        <v>5.3699921971728362E-2</v>
      </c>
    </row>
    <row r="323" spans="1:6" ht="13.2" x14ac:dyDescent="0.25">
      <c r="A323" s="34">
        <v>322</v>
      </c>
      <c r="B323" s="35">
        <v>44238</v>
      </c>
      <c r="C323" s="34">
        <v>38508</v>
      </c>
      <c r="D323" s="34">
        <v>678084</v>
      </c>
      <c r="E323" s="34">
        <f t="shared" si="0"/>
        <v>716592</v>
      </c>
      <c r="F323" s="36">
        <f t="shared" si="1"/>
        <v>5.3737691740906958E-2</v>
      </c>
    </row>
    <row r="324" spans="1:6" ht="13.2" x14ac:dyDescent="0.25">
      <c r="A324" s="34">
        <v>323</v>
      </c>
      <c r="B324" s="35">
        <v>44239</v>
      </c>
      <c r="C324" s="34">
        <v>38524</v>
      </c>
      <c r="D324" s="34">
        <v>678210</v>
      </c>
      <c r="E324" s="34">
        <f t="shared" si="0"/>
        <v>716734</v>
      </c>
      <c r="F324" s="36">
        <f t="shared" si="1"/>
        <v>5.3749368663967387E-2</v>
      </c>
    </row>
    <row r="325" spans="1:6" ht="13.2" x14ac:dyDescent="0.25">
      <c r="A325" s="34">
        <v>324</v>
      </c>
      <c r="B325" s="35">
        <v>44240</v>
      </c>
      <c r="C325" s="34">
        <v>38548</v>
      </c>
      <c r="D325" s="34">
        <v>678310</v>
      </c>
      <c r="E325" s="34">
        <f t="shared" si="0"/>
        <v>716858</v>
      </c>
      <c r="F325" s="36">
        <f t="shared" si="1"/>
        <v>5.3773550689257842E-2</v>
      </c>
    </row>
    <row r="326" spans="1:6" ht="13.2" x14ac:dyDescent="0.25">
      <c r="A326" s="34">
        <v>325</v>
      </c>
      <c r="B326" s="35">
        <v>44241</v>
      </c>
      <c r="C326" s="34">
        <v>38554</v>
      </c>
      <c r="D326" s="34">
        <v>678351</v>
      </c>
      <c r="E326" s="34">
        <f t="shared" si="0"/>
        <v>716905</v>
      </c>
      <c r="F326" s="36">
        <f t="shared" si="1"/>
        <v>5.3778394626903148E-2</v>
      </c>
    </row>
    <row r="327" spans="1:6" ht="13.2" x14ac:dyDescent="0.25">
      <c r="A327" s="34">
        <v>326</v>
      </c>
      <c r="B327" s="35">
        <v>44242</v>
      </c>
      <c r="C327" s="34">
        <v>38581</v>
      </c>
      <c r="D327" s="34">
        <v>678510</v>
      </c>
      <c r="E327" s="34">
        <f t="shared" si="0"/>
        <v>717091</v>
      </c>
      <c r="F327" s="36">
        <f t="shared" si="1"/>
        <v>5.3802097641721898E-2</v>
      </c>
    </row>
    <row r="328" spans="1:6" ht="13.2" x14ac:dyDescent="0.25">
      <c r="A328" s="34">
        <v>327</v>
      </c>
      <c r="B328" s="35">
        <v>44243</v>
      </c>
      <c r="C328" s="34">
        <v>38592</v>
      </c>
      <c r="D328" s="34">
        <v>678588</v>
      </c>
      <c r="E328" s="34">
        <f t="shared" si="0"/>
        <v>717180</v>
      </c>
      <c r="F328" s="36">
        <f t="shared" si="1"/>
        <v>5.3810758805320838E-2</v>
      </c>
    </row>
    <row r="329" spans="1:6" ht="13.2" x14ac:dyDescent="0.25">
      <c r="A329" s="34">
        <v>328</v>
      </c>
      <c r="B329" s="35">
        <v>44244</v>
      </c>
      <c r="C329" s="34">
        <v>38713</v>
      </c>
      <c r="D329" s="34">
        <v>679000</v>
      </c>
      <c r="E329" s="34">
        <f t="shared" si="0"/>
        <v>717713</v>
      </c>
      <c r="F329" s="36">
        <f t="shared" si="1"/>
        <v>5.393938802836231E-2</v>
      </c>
    </row>
    <row r="330" spans="1:6" ht="13.2" x14ac:dyDescent="0.25">
      <c r="A330" s="34">
        <v>329</v>
      </c>
      <c r="B330" s="35">
        <v>44245</v>
      </c>
      <c r="C330" s="34">
        <v>38739</v>
      </c>
      <c r="D330" s="34">
        <v>679225</v>
      </c>
      <c r="E330" s="34">
        <f t="shared" si="0"/>
        <v>717964</v>
      </c>
      <c r="F330" s="36">
        <f t="shared" si="1"/>
        <v>5.3956744349298848E-2</v>
      </c>
    </row>
    <row r="331" spans="1:6" ht="13.2" x14ac:dyDescent="0.25">
      <c r="A331" s="34">
        <v>330</v>
      </c>
      <c r="B331" s="35">
        <v>44246</v>
      </c>
      <c r="C331" s="34">
        <v>38770</v>
      </c>
      <c r="D331" s="34">
        <v>679399</v>
      </c>
      <c r="E331" s="34">
        <f t="shared" si="0"/>
        <v>718169</v>
      </c>
      <c r="F331" s="36">
        <f t="shared" si="1"/>
        <v>5.3984507824759907E-2</v>
      </c>
    </row>
    <row r="332" spans="1:6" ht="13.2" x14ac:dyDescent="0.25">
      <c r="A332" s="34">
        <v>331</v>
      </c>
      <c r="B332" s="35">
        <v>44247</v>
      </c>
      <c r="C332" s="34">
        <v>38803</v>
      </c>
      <c r="D332" s="34">
        <v>679629</v>
      </c>
      <c r="E332" s="34">
        <f t="shared" si="0"/>
        <v>718432</v>
      </c>
      <c r="F332" s="36">
        <f t="shared" si="1"/>
        <v>5.4010678811634225E-2</v>
      </c>
    </row>
    <row r="333" spans="1:6" ht="13.2" x14ac:dyDescent="0.25">
      <c r="A333" s="34">
        <v>332</v>
      </c>
      <c r="B333" s="35">
        <v>44248</v>
      </c>
      <c r="C333" s="34">
        <v>38817</v>
      </c>
      <c r="D333" s="34">
        <v>679739</v>
      </c>
      <c r="E333" s="34">
        <f t="shared" si="0"/>
        <v>718556</v>
      </c>
      <c r="F333" s="36">
        <f t="shared" si="1"/>
        <v>5.402084179938655E-2</v>
      </c>
    </row>
    <row r="334" spans="1:6" ht="13.2" x14ac:dyDescent="0.25">
      <c r="A334" s="34">
        <v>333</v>
      </c>
      <c r="B334" s="35">
        <v>44249</v>
      </c>
      <c r="C334" s="34">
        <v>38827</v>
      </c>
      <c r="D334" s="34">
        <v>679855</v>
      </c>
      <c r="E334" s="34">
        <f t="shared" si="0"/>
        <v>718682</v>
      </c>
      <c r="F334" s="36">
        <f t="shared" si="1"/>
        <v>5.4025285174806106E-2</v>
      </c>
    </row>
    <row r="335" spans="1:6" ht="13.2" x14ac:dyDescent="0.25">
      <c r="A335" s="34">
        <v>334</v>
      </c>
      <c r="B335" s="35">
        <v>44250</v>
      </c>
      <c r="C335" s="34">
        <v>38835</v>
      </c>
      <c r="D335" s="34">
        <v>679937</v>
      </c>
      <c r="E335" s="34">
        <f t="shared" si="0"/>
        <v>718772</v>
      </c>
      <c r="F335" s="36">
        <f t="shared" si="1"/>
        <v>5.4029650570695573E-2</v>
      </c>
    </row>
    <row r="336" spans="1:6" ht="13.2" x14ac:dyDescent="0.25">
      <c r="A336" s="34">
        <v>335</v>
      </c>
      <c r="B336" s="35">
        <v>44251</v>
      </c>
      <c r="C336" s="34">
        <v>38876</v>
      </c>
      <c r="D336" s="34">
        <v>680149</v>
      </c>
      <c r="E336" s="34">
        <f t="shared" si="0"/>
        <v>719025</v>
      </c>
      <c r="F336" s="36">
        <f t="shared" si="1"/>
        <v>5.4067661068808455E-2</v>
      </c>
    </row>
    <row r="337" spans="1:6" ht="13.2" x14ac:dyDescent="0.25">
      <c r="A337" s="34">
        <v>336</v>
      </c>
      <c r="B337" s="35">
        <v>44252</v>
      </c>
      <c r="C337" s="34">
        <v>38895</v>
      </c>
      <c r="D337" s="34">
        <v>680303</v>
      </c>
      <c r="E337" s="34">
        <f t="shared" si="0"/>
        <v>719198</v>
      </c>
      <c r="F337" s="36">
        <f t="shared" si="1"/>
        <v>5.4081073640360515E-2</v>
      </c>
    </row>
    <row r="338" spans="1:6" ht="13.2" x14ac:dyDescent="0.25">
      <c r="A338" s="34">
        <v>337</v>
      </c>
      <c r="B338" s="35">
        <v>44253</v>
      </c>
      <c r="C338" s="34">
        <v>38904</v>
      </c>
      <c r="D338" s="34">
        <v>680430</v>
      </c>
      <c r="E338" s="34">
        <f t="shared" si="0"/>
        <v>719334</v>
      </c>
      <c r="F338" s="36">
        <f t="shared" si="1"/>
        <v>5.4083360441741946E-2</v>
      </c>
    </row>
    <row r="339" spans="1:6" ht="13.2" x14ac:dyDescent="0.25">
      <c r="A339" s="34">
        <v>338</v>
      </c>
      <c r="B339" s="35">
        <v>44254</v>
      </c>
      <c r="C339" s="34">
        <v>38920</v>
      </c>
      <c r="D339" s="34">
        <v>680488</v>
      </c>
      <c r="E339" s="34">
        <f t="shared" si="0"/>
        <v>719408</v>
      </c>
      <c r="F339" s="36">
        <f t="shared" si="1"/>
        <v>5.4100037808865069E-2</v>
      </c>
    </row>
    <row r="340" spans="1:6" ht="13.2" x14ac:dyDescent="0.25">
      <c r="A340" s="34">
        <v>339</v>
      </c>
      <c r="B340" s="35">
        <v>44255</v>
      </c>
      <c r="C340" s="34">
        <v>38935</v>
      </c>
      <c r="D340" s="34">
        <v>680592</v>
      </c>
      <c r="E340" s="34">
        <f t="shared" si="0"/>
        <v>719527</v>
      </c>
      <c r="F340" s="36">
        <f t="shared" si="1"/>
        <v>5.4111937425558733E-2</v>
      </c>
    </row>
    <row r="341" spans="1:6" ht="13.2" x14ac:dyDescent="0.25">
      <c r="A341" s="34">
        <v>340</v>
      </c>
      <c r="B341" s="35">
        <v>44256</v>
      </c>
      <c r="C341" s="34">
        <v>38943</v>
      </c>
      <c r="D341" s="34">
        <v>680663</v>
      </c>
      <c r="E341" s="34">
        <f t="shared" si="0"/>
        <v>719606</v>
      </c>
      <c r="F341" s="36">
        <f t="shared" si="1"/>
        <v>5.4117114087431174E-2</v>
      </c>
    </row>
    <row r="342" spans="1:6" ht="13.2" x14ac:dyDescent="0.25">
      <c r="A342" s="34">
        <v>341</v>
      </c>
      <c r="B342" s="35">
        <v>44257</v>
      </c>
      <c r="C342" s="34">
        <v>38945</v>
      </c>
      <c r="D342" s="34">
        <v>680726</v>
      </c>
      <c r="E342" s="34">
        <f t="shared" si="0"/>
        <v>719671</v>
      </c>
      <c r="F342" s="36">
        <f t="shared" si="1"/>
        <v>5.4115005328823865E-2</v>
      </c>
    </row>
    <row r="343" spans="1:6" ht="13.2" x14ac:dyDescent="0.25">
      <c r="A343" s="34">
        <v>342</v>
      </c>
      <c r="B343" s="35">
        <v>44258</v>
      </c>
      <c r="C343" s="34">
        <v>38968</v>
      </c>
      <c r="D343" s="34">
        <v>680917</v>
      </c>
      <c r="E343" s="34">
        <f t="shared" si="0"/>
        <v>719885</v>
      </c>
      <c r="F343" s="36">
        <f t="shared" si="1"/>
        <v>5.4130868124769929E-2</v>
      </c>
    </row>
    <row r="344" spans="1:6" ht="13.2" x14ac:dyDescent="0.25">
      <c r="A344" s="34">
        <v>343</v>
      </c>
      <c r="B344" s="35">
        <v>44259</v>
      </c>
      <c r="C344" s="34">
        <v>38992</v>
      </c>
      <c r="D344" s="34">
        <v>681089</v>
      </c>
      <c r="E344" s="34">
        <f t="shared" si="0"/>
        <v>720081</v>
      </c>
      <c r="F344" s="36">
        <f t="shared" si="1"/>
        <v>5.4149463740884703E-2</v>
      </c>
    </row>
    <row r="345" spans="1:6" ht="13.2" x14ac:dyDescent="0.25">
      <c r="A345" s="34">
        <v>344</v>
      </c>
      <c r="B345" s="35">
        <v>44260</v>
      </c>
      <c r="C345" s="34">
        <v>39139</v>
      </c>
      <c r="D345" s="34">
        <v>681733</v>
      </c>
      <c r="E345" s="34">
        <f t="shared" si="0"/>
        <v>720872</v>
      </c>
      <c r="F345" s="36">
        <f t="shared" si="1"/>
        <v>5.4293966196495354E-2</v>
      </c>
    </row>
    <row r="346" spans="1:6" ht="13.2" x14ac:dyDescent="0.25">
      <c r="A346" s="34">
        <v>345</v>
      </c>
      <c r="B346" s="35">
        <v>44261</v>
      </c>
      <c r="C346" s="34">
        <v>39184</v>
      </c>
      <c r="D346" s="34">
        <v>681833</v>
      </c>
      <c r="E346" s="34">
        <f t="shared" si="0"/>
        <v>721017</v>
      </c>
      <c r="F346" s="36">
        <f t="shared" si="1"/>
        <v>5.4345459261016034E-2</v>
      </c>
    </row>
    <row r="347" spans="1:6" ht="13.2" x14ac:dyDescent="0.25">
      <c r="A347" s="34">
        <v>346</v>
      </c>
      <c r="B347" s="35">
        <v>44262</v>
      </c>
      <c r="C347" s="34">
        <v>39202</v>
      </c>
      <c r="D347" s="34">
        <v>681942</v>
      </c>
      <c r="E347" s="34">
        <f t="shared" si="0"/>
        <v>721144</v>
      </c>
      <c r="F347" s="36">
        <f t="shared" si="1"/>
        <v>5.4360848873456616E-2</v>
      </c>
    </row>
    <row r="348" spans="1:6" ht="13.2" x14ac:dyDescent="0.25">
      <c r="A348" s="34">
        <v>347</v>
      </c>
      <c r="B348" s="35">
        <v>44263</v>
      </c>
      <c r="C348" s="34">
        <v>39206</v>
      </c>
      <c r="D348" s="34">
        <v>681984</v>
      </c>
      <c r="E348" s="34">
        <f t="shared" si="0"/>
        <v>721190</v>
      </c>
      <c r="F348" s="36">
        <f t="shared" si="1"/>
        <v>5.4362927938546017E-2</v>
      </c>
    </row>
    <row r="349" spans="1:6" ht="13.2" x14ac:dyDescent="0.25">
      <c r="A349" s="34">
        <v>348</v>
      </c>
      <c r="B349" s="35">
        <v>44264</v>
      </c>
      <c r="C349" s="34">
        <v>39213</v>
      </c>
      <c r="D349" s="34">
        <v>682021</v>
      </c>
      <c r="E349" s="34">
        <f t="shared" si="0"/>
        <v>721234</v>
      </c>
      <c r="F349" s="36">
        <f t="shared" si="1"/>
        <v>5.4369317031642987E-2</v>
      </c>
    </row>
    <row r="350" spans="1:6" ht="13.2" x14ac:dyDescent="0.25">
      <c r="A350" s="34">
        <v>349</v>
      </c>
      <c r="B350" s="35">
        <v>44265</v>
      </c>
      <c r="C350" s="34">
        <v>39224</v>
      </c>
      <c r="D350" s="34">
        <v>682154</v>
      </c>
      <c r="E350" s="34">
        <f t="shared" si="0"/>
        <v>721378</v>
      </c>
      <c r="F350" s="36">
        <f t="shared" si="1"/>
        <v>5.4373712533512253E-2</v>
      </c>
    </row>
    <row r="351" spans="1:6" ht="13.2" x14ac:dyDescent="0.25">
      <c r="A351" s="34">
        <v>350</v>
      </c>
      <c r="B351" s="35">
        <v>44266</v>
      </c>
      <c r="C351" s="34">
        <v>39233</v>
      </c>
      <c r="D351" s="34">
        <v>682291</v>
      </c>
      <c r="E351" s="34">
        <f t="shared" si="0"/>
        <v>721524</v>
      </c>
      <c r="F351" s="36">
        <f t="shared" si="1"/>
        <v>5.4375183639075071E-2</v>
      </c>
    </row>
    <row r="352" spans="1:6" ht="13.2" x14ac:dyDescent="0.25">
      <c r="A352" s="34">
        <v>351</v>
      </c>
      <c r="B352" s="35">
        <v>44267</v>
      </c>
      <c r="C352" s="34">
        <v>39249</v>
      </c>
      <c r="D352" s="34">
        <v>682439</v>
      </c>
      <c r="E352" s="34">
        <f t="shared" si="0"/>
        <v>721688</v>
      </c>
      <c r="F352" s="36">
        <f t="shared" si="1"/>
        <v>5.4384997394996179E-2</v>
      </c>
    </row>
    <row r="353" spans="1:6" ht="13.2" x14ac:dyDescent="0.25">
      <c r="A353" s="34">
        <v>352</v>
      </c>
      <c r="B353" s="35">
        <v>44268</v>
      </c>
      <c r="C353" s="34">
        <v>39273</v>
      </c>
      <c r="D353" s="34">
        <v>682539</v>
      </c>
      <c r="E353" s="34">
        <f t="shared" si="0"/>
        <v>721812</v>
      </c>
      <c r="F353" s="36">
        <f t="shared" si="1"/>
        <v>5.440890425761833E-2</v>
      </c>
    </row>
    <row r="354" spans="1:6" ht="13.2" x14ac:dyDescent="0.25">
      <c r="A354" s="34">
        <v>353</v>
      </c>
      <c r="B354" s="35">
        <v>44269</v>
      </c>
      <c r="C354" s="34">
        <v>39288</v>
      </c>
      <c r="D354" s="34">
        <v>682690</v>
      </c>
      <c r="E354" s="34">
        <f t="shared" si="0"/>
        <v>721978</v>
      </c>
      <c r="F354" s="36">
        <f t="shared" si="1"/>
        <v>5.4417170606306561E-2</v>
      </c>
    </row>
    <row r="355" spans="1:6" ht="13.2" x14ac:dyDescent="0.25">
      <c r="A355" s="34">
        <v>354</v>
      </c>
      <c r="B355" s="35">
        <v>44270</v>
      </c>
      <c r="C355" s="34">
        <v>39314</v>
      </c>
      <c r="D355" s="34">
        <v>682908</v>
      </c>
      <c r="E355" s="34">
        <f t="shared" si="0"/>
        <v>722222</v>
      </c>
      <c r="F355" s="36">
        <f t="shared" si="1"/>
        <v>5.4434785979934147E-2</v>
      </c>
    </row>
    <row r="356" spans="1:6" ht="13.2" x14ac:dyDescent="0.25">
      <c r="A356" s="34">
        <v>355</v>
      </c>
      <c r="B356" s="35">
        <v>44271</v>
      </c>
      <c r="C356" s="34">
        <v>39318</v>
      </c>
      <c r="D356" s="34">
        <v>682933</v>
      </c>
      <c r="E356" s="34">
        <f t="shared" si="0"/>
        <v>722251</v>
      </c>
      <c r="F356" s="36">
        <f t="shared" si="1"/>
        <v>5.4438138541864252E-2</v>
      </c>
    </row>
    <row r="357" spans="1:6" ht="13.2" x14ac:dyDescent="0.25">
      <c r="A357" s="34">
        <v>356</v>
      </c>
      <c r="B357" s="35">
        <v>44272</v>
      </c>
      <c r="C357" s="34">
        <v>39338</v>
      </c>
      <c r="D357" s="34">
        <v>683026</v>
      </c>
      <c r="E357" s="34">
        <f t="shared" si="0"/>
        <v>722364</v>
      </c>
      <c r="F357" s="36">
        <f t="shared" si="1"/>
        <v>5.4457309611220937E-2</v>
      </c>
    </row>
    <row r="358" spans="1:6" ht="13.2" x14ac:dyDescent="0.25">
      <c r="A358" s="34">
        <v>357</v>
      </c>
      <c r="B358" s="35">
        <v>44273</v>
      </c>
      <c r="C358" s="34">
        <v>39347</v>
      </c>
      <c r="D358" s="34">
        <v>683193</v>
      </c>
      <c r="E358" s="34">
        <f t="shared" si="0"/>
        <v>722540</v>
      </c>
      <c r="F358" s="36">
        <f t="shared" si="1"/>
        <v>5.4456500678163149E-2</v>
      </c>
    </row>
    <row r="359" spans="1:6" ht="13.2" x14ac:dyDescent="0.25">
      <c r="A359" s="34">
        <v>358</v>
      </c>
      <c r="B359" s="35">
        <v>44274</v>
      </c>
      <c r="C359" s="34">
        <v>39357</v>
      </c>
      <c r="D359" s="34">
        <v>683400</v>
      </c>
      <c r="E359" s="34">
        <f t="shared" si="0"/>
        <v>722757</v>
      </c>
      <c r="F359" s="36">
        <f t="shared" si="1"/>
        <v>5.4453986609607381E-2</v>
      </c>
    </row>
    <row r="360" spans="1:6" ht="13.2" x14ac:dyDescent="0.25">
      <c r="A360" s="34">
        <v>359</v>
      </c>
      <c r="B360" s="35">
        <v>44275</v>
      </c>
      <c r="C360" s="34">
        <v>39375</v>
      </c>
      <c r="D360" s="34">
        <v>683726</v>
      </c>
      <c r="E360" s="34">
        <f t="shared" si="0"/>
        <v>723101</v>
      </c>
      <c r="F360" s="36">
        <f t="shared" si="1"/>
        <v>5.4452974065863552E-2</v>
      </c>
    </row>
    <row r="361" spans="1:6" ht="13.2" x14ac:dyDescent="0.25">
      <c r="A361" s="34">
        <v>360</v>
      </c>
      <c r="B361" s="35">
        <v>44276</v>
      </c>
      <c r="C361" s="34">
        <v>39407</v>
      </c>
      <c r="D361" s="34">
        <v>683935</v>
      </c>
      <c r="E361" s="34">
        <f t="shared" si="0"/>
        <v>723342</v>
      </c>
      <c r="F361" s="36">
        <f t="shared" si="1"/>
        <v>5.4479070757677557E-2</v>
      </c>
    </row>
    <row r="362" spans="1:6" ht="13.2" x14ac:dyDescent="0.25">
      <c r="A362" s="34">
        <v>361</v>
      </c>
      <c r="B362" s="35">
        <v>44277</v>
      </c>
      <c r="C362" s="34">
        <v>39413</v>
      </c>
      <c r="D362" s="34">
        <v>683984</v>
      </c>
      <c r="E362" s="34">
        <f t="shared" si="0"/>
        <v>723397</v>
      </c>
      <c r="F362" s="36">
        <f t="shared" si="1"/>
        <v>5.448322290526502E-2</v>
      </c>
    </row>
    <row r="363" spans="1:6" ht="13.2" x14ac:dyDescent="0.25">
      <c r="A363" s="34">
        <v>362</v>
      </c>
      <c r="B363" s="35">
        <v>44278</v>
      </c>
      <c r="C363" s="34">
        <v>39418</v>
      </c>
      <c r="D363" s="34">
        <v>684033</v>
      </c>
      <c r="E363" s="34">
        <f t="shared" si="0"/>
        <v>723451</v>
      </c>
      <c r="F363" s="36">
        <f t="shared" si="1"/>
        <v>5.4486067473816471E-2</v>
      </c>
    </row>
    <row r="364" spans="1:6" ht="13.2" x14ac:dyDescent="0.25">
      <c r="A364" s="34">
        <v>363</v>
      </c>
      <c r="B364" s="35">
        <v>44279</v>
      </c>
      <c r="C364" s="34">
        <v>39443</v>
      </c>
      <c r="D364" s="34">
        <v>684182</v>
      </c>
      <c r="E364" s="34">
        <f t="shared" si="0"/>
        <v>723625</v>
      </c>
      <c r="F364" s="36">
        <f t="shared" si="1"/>
        <v>5.4507514251166005E-2</v>
      </c>
    </row>
    <row r="365" spans="1:6" ht="13.2" x14ac:dyDescent="0.25">
      <c r="A365" s="34">
        <v>364</v>
      </c>
      <c r="B365" s="35">
        <v>44280</v>
      </c>
      <c r="C365" s="34">
        <v>39482</v>
      </c>
      <c r="D365" s="34">
        <v>684331</v>
      </c>
      <c r="E365" s="34">
        <f t="shared" si="0"/>
        <v>723813</v>
      </c>
      <c r="F365" s="36">
        <f t="shared" si="1"/>
        <v>5.4547238029712092E-2</v>
      </c>
    </row>
    <row r="366" spans="1:6" ht="13.2" x14ac:dyDescent="0.25">
      <c r="A366" s="34">
        <v>365</v>
      </c>
      <c r="B366" s="35">
        <v>44281</v>
      </c>
      <c r="C366" s="34">
        <v>39504</v>
      </c>
      <c r="D366" s="34">
        <v>684474</v>
      </c>
      <c r="E366" s="34">
        <f t="shared" si="0"/>
        <v>723978</v>
      </c>
      <c r="F366" s="36">
        <f t="shared" si="1"/>
        <v>5.4565193969982516E-2</v>
      </c>
    </row>
    <row r="367" spans="1:6" ht="13.2" x14ac:dyDescent="0.25">
      <c r="A367" s="34">
        <v>366</v>
      </c>
      <c r="B367" s="35">
        <v>44282</v>
      </c>
      <c r="C367" s="34">
        <v>39550</v>
      </c>
      <c r="D367" s="34">
        <v>684698</v>
      </c>
      <c r="E367" s="34">
        <f t="shared" si="0"/>
        <v>724248</v>
      </c>
      <c r="F367" s="36">
        <f t="shared" si="1"/>
        <v>5.4608366195005024E-2</v>
      </c>
    </row>
    <row r="368" spans="1:6" ht="13.2" x14ac:dyDescent="0.25">
      <c r="A368" s="34">
        <v>367</v>
      </c>
      <c r="B368" s="35">
        <v>44283</v>
      </c>
      <c r="C368" s="34">
        <v>39573</v>
      </c>
      <c r="D368" s="34">
        <v>684829</v>
      </c>
      <c r="E368" s="34">
        <f t="shared" si="0"/>
        <v>724402</v>
      </c>
      <c r="F368" s="36">
        <f t="shared" si="1"/>
        <v>5.4628507375738884E-2</v>
      </c>
    </row>
    <row r="369" spans="1:6" ht="13.2" x14ac:dyDescent="0.25">
      <c r="A369" s="34">
        <v>368</v>
      </c>
      <c r="B369" s="35">
        <v>44284</v>
      </c>
      <c r="C369" s="34">
        <v>39583</v>
      </c>
      <c r="D369" s="34">
        <v>684886</v>
      </c>
      <c r="E369" s="34">
        <f t="shared" si="0"/>
        <v>724469</v>
      </c>
      <c r="F369" s="36">
        <f t="shared" si="1"/>
        <v>5.463725846102456E-2</v>
      </c>
    </row>
    <row r="370" spans="1:6" ht="13.2" x14ac:dyDescent="0.25">
      <c r="A370" s="34">
        <v>369</v>
      </c>
      <c r="B370" s="35">
        <v>44285</v>
      </c>
      <c r="C370" s="34">
        <v>39586</v>
      </c>
      <c r="D370" s="34">
        <v>684912</v>
      </c>
      <c r="E370" s="34">
        <f t="shared" si="0"/>
        <v>724498</v>
      </c>
      <c r="F370" s="36">
        <f t="shared" si="1"/>
        <v>5.463921225455419E-2</v>
      </c>
    </row>
    <row r="371" spans="1:6" ht="13.2" x14ac:dyDescent="0.25">
      <c r="A371" s="34">
        <v>370</v>
      </c>
      <c r="B371" s="35">
        <v>44286</v>
      </c>
      <c r="C371" s="34">
        <v>39614</v>
      </c>
      <c r="D371" s="34">
        <v>685049</v>
      </c>
      <c r="E371" s="34">
        <f t="shared" si="0"/>
        <v>724663</v>
      </c>
      <c r="F371" s="36">
        <f t="shared" si="1"/>
        <v>5.4665409990574933E-2</v>
      </c>
    </row>
    <row r="372" spans="1:6" ht="13.2" x14ac:dyDescent="0.25">
      <c r="A372" s="34">
        <v>371</v>
      </c>
      <c r="B372" s="35">
        <v>44287</v>
      </c>
      <c r="C372" s="34">
        <v>39639</v>
      </c>
      <c r="D372" s="34">
        <v>685178</v>
      </c>
      <c r="E372" s="34">
        <f t="shared" si="0"/>
        <v>724817</v>
      </c>
      <c r="F372" s="36">
        <f t="shared" si="1"/>
        <v>5.4688286836539431E-2</v>
      </c>
    </row>
    <row r="373" spans="1:6" ht="13.2" x14ac:dyDescent="0.25">
      <c r="A373" s="34">
        <v>372</v>
      </c>
      <c r="B373" s="35">
        <v>44288</v>
      </c>
      <c r="C373" s="34">
        <v>39680</v>
      </c>
      <c r="D373" s="34">
        <v>685285</v>
      </c>
      <c r="E373" s="34">
        <f t="shared" si="0"/>
        <v>724965</v>
      </c>
      <c r="F373" s="36">
        <f t="shared" si="1"/>
        <v>5.4733676798190259E-2</v>
      </c>
    </row>
    <row r="374" spans="1:6" ht="13.2" x14ac:dyDescent="0.25">
      <c r="A374" s="34">
        <v>373</v>
      </c>
      <c r="B374" s="35">
        <v>44289</v>
      </c>
      <c r="C374" s="34">
        <v>39690</v>
      </c>
      <c r="D374" s="34">
        <v>685379</v>
      </c>
      <c r="E374" s="34">
        <f t="shared" si="0"/>
        <v>725069</v>
      </c>
      <c r="F374" s="36">
        <f t="shared" si="1"/>
        <v>5.4739617884642704E-2</v>
      </c>
    </row>
    <row r="375" spans="1:6" ht="13.2" x14ac:dyDescent="0.25">
      <c r="A375" s="34">
        <v>374</v>
      </c>
      <c r="B375" s="35">
        <v>44290</v>
      </c>
      <c r="C375" s="34">
        <v>39691</v>
      </c>
      <c r="D375" s="34">
        <v>685388</v>
      </c>
      <c r="E375" s="34">
        <f t="shared" si="0"/>
        <v>725079</v>
      </c>
      <c r="F375" s="36">
        <f t="shared" si="1"/>
        <v>5.4740242097757623E-2</v>
      </c>
    </row>
    <row r="376" spans="1:6" ht="13.2" x14ac:dyDescent="0.25">
      <c r="A376" s="34">
        <v>375</v>
      </c>
      <c r="B376" s="35">
        <v>44291</v>
      </c>
      <c r="C376" s="34">
        <v>39693</v>
      </c>
      <c r="D376" s="34">
        <v>685414</v>
      </c>
      <c r="E376" s="34">
        <f t="shared" si="0"/>
        <v>725107</v>
      </c>
      <c r="F376" s="36">
        <f t="shared" si="1"/>
        <v>5.4740886517438116E-2</v>
      </c>
    </row>
    <row r="377" spans="1:6" ht="13.2" x14ac:dyDescent="0.25">
      <c r="A377" s="34">
        <v>376</v>
      </c>
      <c r="B377" s="35">
        <v>44292</v>
      </c>
      <c r="C377" s="34">
        <v>39699</v>
      </c>
      <c r="D377" s="34">
        <v>685420</v>
      </c>
      <c r="E377" s="34">
        <f t="shared" si="0"/>
        <v>725119</v>
      </c>
      <c r="F377" s="36">
        <f t="shared" si="1"/>
        <v>5.474825511398819E-2</v>
      </c>
    </row>
    <row r="378" spans="1:6" ht="13.2" x14ac:dyDescent="0.25">
      <c r="A378" s="34">
        <v>377</v>
      </c>
      <c r="B378" s="35">
        <v>44293</v>
      </c>
      <c r="C378" s="34">
        <v>39714</v>
      </c>
      <c r="D378" s="34">
        <v>685542</v>
      </c>
      <c r="E378" s="34">
        <f t="shared" si="0"/>
        <v>725256</v>
      </c>
      <c r="F378" s="36">
        <f t="shared" si="1"/>
        <v>5.4758595585558754E-2</v>
      </c>
    </row>
    <row r="379" spans="1:6" ht="13.2" x14ac:dyDescent="0.25">
      <c r="A379" s="34">
        <v>378</v>
      </c>
      <c r="B379" s="35">
        <v>44294</v>
      </c>
      <c r="C379" s="34">
        <v>39722</v>
      </c>
      <c r="D379" s="34">
        <v>685686</v>
      </c>
      <c r="E379" s="34">
        <f t="shared" si="0"/>
        <v>725408</v>
      </c>
      <c r="F379" s="36">
        <f t="shared" si="1"/>
        <v>5.47581498963342E-2</v>
      </c>
    </row>
    <row r="380" spans="1:6" ht="13.2" x14ac:dyDescent="0.25">
      <c r="A380" s="34">
        <v>379</v>
      </c>
      <c r="B380" s="35">
        <v>44295</v>
      </c>
      <c r="C380" s="34">
        <v>39730</v>
      </c>
      <c r="D380" s="34">
        <v>685798</v>
      </c>
      <c r="E380" s="34">
        <f t="shared" si="0"/>
        <v>725528</v>
      </c>
      <c r="F380" s="36">
        <f t="shared" si="1"/>
        <v>5.4760119526744658E-2</v>
      </c>
    </row>
    <row r="381" spans="1:6" ht="13.2" x14ac:dyDescent="0.25">
      <c r="A381" s="34">
        <v>380</v>
      </c>
      <c r="B381" s="35">
        <v>44296</v>
      </c>
      <c r="C381" s="34">
        <v>39745</v>
      </c>
      <c r="D381" s="34">
        <v>685864</v>
      </c>
      <c r="E381" s="34">
        <f t="shared" si="0"/>
        <v>725609</v>
      </c>
      <c r="F381" s="36">
        <f t="shared" si="1"/>
        <v>5.4774678924875517E-2</v>
      </c>
    </row>
    <row r="382" spans="1:6" ht="13.2" x14ac:dyDescent="0.25">
      <c r="A382" s="34">
        <v>381</v>
      </c>
      <c r="B382" s="35">
        <v>44297</v>
      </c>
      <c r="C382" s="34">
        <v>39750</v>
      </c>
      <c r="D382" s="34">
        <v>685931</v>
      </c>
      <c r="E382" s="34">
        <f t="shared" si="0"/>
        <v>725681</v>
      </c>
      <c r="F382" s="36">
        <f t="shared" si="1"/>
        <v>5.4776134417188822E-2</v>
      </c>
    </row>
    <row r="383" spans="1:6" ht="13.2" x14ac:dyDescent="0.25">
      <c r="A383" s="34">
        <v>382</v>
      </c>
      <c r="B383" s="35">
        <v>44298</v>
      </c>
      <c r="C383" s="34">
        <v>39753</v>
      </c>
      <c r="D383" s="34">
        <v>685945</v>
      </c>
      <c r="E383" s="34">
        <f t="shared" si="0"/>
        <v>725698</v>
      </c>
      <c r="F383" s="36">
        <f t="shared" si="1"/>
        <v>5.4778985197699318E-2</v>
      </c>
    </row>
    <row r="384" spans="1:6" ht="13.2" x14ac:dyDescent="0.25">
      <c r="A384" s="34">
        <v>383</v>
      </c>
      <c r="B384" s="35">
        <v>44299</v>
      </c>
      <c r="C384" s="34">
        <v>39754</v>
      </c>
      <c r="D384" s="34">
        <v>685951</v>
      </c>
      <c r="E384" s="34">
        <f t="shared" si="0"/>
        <v>725705</v>
      </c>
      <c r="F384" s="36">
        <f t="shared" si="1"/>
        <v>5.4779834781350546E-2</v>
      </c>
    </row>
    <row r="385" spans="1:6" ht="13.2" x14ac:dyDescent="0.25">
      <c r="A385" s="34">
        <v>384</v>
      </c>
      <c r="B385" s="35">
        <v>44300</v>
      </c>
      <c r="C385" s="34">
        <v>39792</v>
      </c>
      <c r="D385" s="34">
        <v>686151</v>
      </c>
      <c r="E385" s="34">
        <f t="shared" si="0"/>
        <v>725943</v>
      </c>
      <c r="F385" s="36">
        <f t="shared" si="1"/>
        <v>5.4814220951231708E-2</v>
      </c>
    </row>
    <row r="386" spans="1:6" ht="13.2" x14ac:dyDescent="0.25">
      <c r="A386" s="34">
        <v>385</v>
      </c>
      <c r="B386" s="35">
        <v>44301</v>
      </c>
      <c r="C386" s="34">
        <v>39804</v>
      </c>
      <c r="D386" s="34">
        <v>686283</v>
      </c>
      <c r="E386" s="34">
        <f t="shared" si="0"/>
        <v>726087</v>
      </c>
      <c r="F386" s="36">
        <f t="shared" si="1"/>
        <v>5.4819876956893596E-2</v>
      </c>
    </row>
    <row r="387" spans="1:6" ht="13.2" x14ac:dyDescent="0.25">
      <c r="A387" s="34">
        <v>386</v>
      </c>
      <c r="B387" s="35">
        <v>44302</v>
      </c>
      <c r="C387" s="34">
        <v>39808</v>
      </c>
      <c r="D387" s="34">
        <v>686337</v>
      </c>
      <c r="E387" s="34">
        <f t="shared" si="0"/>
        <v>726145</v>
      </c>
      <c r="F387" s="36">
        <f t="shared" si="1"/>
        <v>5.4821006823706012E-2</v>
      </c>
    </row>
    <row r="388" spans="1:6" ht="13.2" x14ac:dyDescent="0.25">
      <c r="A388" s="34">
        <v>387</v>
      </c>
      <c r="B388" s="35">
        <v>44303</v>
      </c>
      <c r="C388" s="34">
        <v>39818</v>
      </c>
      <c r="D388" s="34">
        <v>686410</v>
      </c>
      <c r="E388" s="34">
        <f t="shared" si="0"/>
        <v>726228</v>
      </c>
      <c r="F388" s="36">
        <f t="shared" si="1"/>
        <v>5.4828511156275989E-2</v>
      </c>
    </row>
    <row r="389" spans="1:6" ht="13.2" x14ac:dyDescent="0.25">
      <c r="A389" s="34">
        <v>388</v>
      </c>
      <c r="B389" s="35">
        <v>44304</v>
      </c>
      <c r="C389" s="34">
        <v>39854</v>
      </c>
      <c r="D389" s="34">
        <v>686543</v>
      </c>
      <c r="E389" s="34">
        <f t="shared" si="0"/>
        <v>726397</v>
      </c>
      <c r="F389" s="36">
        <f t="shared" si="1"/>
        <v>5.4865314697059596E-2</v>
      </c>
    </row>
    <row r="390" spans="1:6" ht="13.2" x14ac:dyDescent="0.25">
      <c r="A390" s="34">
        <v>389</v>
      </c>
      <c r="B390" s="35">
        <v>44305</v>
      </c>
      <c r="C390" s="34">
        <v>39855</v>
      </c>
      <c r="D390" s="34">
        <v>686544</v>
      </c>
      <c r="E390" s="34">
        <f t="shared" si="0"/>
        <v>726399</v>
      </c>
      <c r="F390" s="36">
        <f t="shared" si="1"/>
        <v>5.4866540289840705E-2</v>
      </c>
    </row>
    <row r="391" spans="1:6" ht="13.2" x14ac:dyDescent="0.25">
      <c r="A391" s="34">
        <v>390</v>
      </c>
      <c r="B391" s="35">
        <v>44306</v>
      </c>
      <c r="C391" s="34">
        <v>39855</v>
      </c>
      <c r="D391" s="34">
        <v>686547</v>
      </c>
      <c r="E391" s="34">
        <f t="shared" si="0"/>
        <v>726402</v>
      </c>
      <c r="F391" s="36">
        <f t="shared" si="1"/>
        <v>5.4866313694070225E-2</v>
      </c>
    </row>
    <row r="392" spans="1:6" ht="13.2" x14ac:dyDescent="0.25">
      <c r="A392" s="34">
        <v>391</v>
      </c>
      <c r="B392" s="35">
        <v>44307</v>
      </c>
      <c r="C392" s="34">
        <v>39881</v>
      </c>
      <c r="D392" s="34">
        <v>686730</v>
      </c>
      <c r="E392" s="34">
        <f t="shared" si="0"/>
        <v>726611</v>
      </c>
      <c r="F392" s="36">
        <f t="shared" si="1"/>
        <v>5.488631468557454E-2</v>
      </c>
    </row>
    <row r="393" spans="1:6" ht="13.2" x14ac:dyDescent="0.25">
      <c r="A393" s="34">
        <v>392</v>
      </c>
      <c r="B393" s="35">
        <v>44308</v>
      </c>
      <c r="C393" s="34">
        <v>39926</v>
      </c>
      <c r="D393" s="34">
        <v>686920</v>
      </c>
      <c r="E393" s="34">
        <f t="shared" si="0"/>
        <v>726846</v>
      </c>
      <c r="F393" s="36">
        <f t="shared" si="1"/>
        <v>5.4930480459409556E-2</v>
      </c>
    </row>
    <row r="394" spans="1:6" ht="13.2" x14ac:dyDescent="0.25">
      <c r="A394" s="34">
        <v>393</v>
      </c>
      <c r="B394" s="35">
        <v>44309</v>
      </c>
      <c r="C394" s="34">
        <v>39963</v>
      </c>
      <c r="D394" s="34">
        <v>687103</v>
      </c>
      <c r="E394" s="34">
        <f t="shared" si="0"/>
        <v>727066</v>
      </c>
      <c r="F394" s="36">
        <f t="shared" si="1"/>
        <v>5.496474872982645E-2</v>
      </c>
    </row>
    <row r="395" spans="1:6" ht="13.2" x14ac:dyDescent="0.25">
      <c r="A395" s="34">
        <v>394</v>
      </c>
      <c r="B395" s="35">
        <v>44310</v>
      </c>
      <c r="C395" s="34">
        <v>39978</v>
      </c>
      <c r="D395" s="34">
        <v>687216</v>
      </c>
      <c r="E395" s="34">
        <f t="shared" si="0"/>
        <v>727194</v>
      </c>
      <c r="F395" s="36">
        <f t="shared" si="1"/>
        <v>5.4975701119646204E-2</v>
      </c>
    </row>
    <row r="396" spans="1:6" ht="13.2" x14ac:dyDescent="0.25">
      <c r="A396" s="34">
        <v>395</v>
      </c>
      <c r="B396" s="35">
        <v>44311</v>
      </c>
      <c r="C396" s="34">
        <v>39998</v>
      </c>
      <c r="D396" s="34">
        <v>687299</v>
      </c>
      <c r="E396" s="34">
        <f t="shared" si="0"/>
        <v>727297</v>
      </c>
      <c r="F396" s="36">
        <f t="shared" si="1"/>
        <v>5.4995414528040125E-2</v>
      </c>
    </row>
    <row r="397" spans="1:6" ht="13.2" x14ac:dyDescent="0.25">
      <c r="A397" s="34">
        <v>396</v>
      </c>
      <c r="B397" s="35">
        <v>44312</v>
      </c>
      <c r="C397" s="34">
        <v>40000</v>
      </c>
      <c r="D397" s="34">
        <v>687324</v>
      </c>
      <c r="E397" s="34">
        <f t="shared" si="0"/>
        <v>727324</v>
      </c>
      <c r="F397" s="36">
        <f t="shared" si="1"/>
        <v>5.499612277334448E-2</v>
      </c>
    </row>
    <row r="398" spans="1:6" ht="13.2" x14ac:dyDescent="0.25">
      <c r="A398" s="34">
        <v>397</v>
      </c>
      <c r="B398" s="35">
        <v>44313</v>
      </c>
      <c r="C398" s="34">
        <v>40001</v>
      </c>
      <c r="D398" s="34">
        <v>687340</v>
      </c>
      <c r="E398" s="34">
        <f t="shared" si="0"/>
        <v>727341</v>
      </c>
      <c r="F398" s="36">
        <f t="shared" si="1"/>
        <v>5.4996212230576852E-2</v>
      </c>
    </row>
    <row r="399" spans="1:6" ht="13.2" x14ac:dyDescent="0.25">
      <c r="A399" s="34">
        <v>398</v>
      </c>
      <c r="B399" s="35">
        <v>44314</v>
      </c>
      <c r="C399" s="34">
        <v>40010</v>
      </c>
      <c r="D399" s="34">
        <v>687453</v>
      </c>
      <c r="E399" s="34">
        <f t="shared" si="0"/>
        <v>727463</v>
      </c>
      <c r="F399" s="36">
        <f t="shared" si="1"/>
        <v>5.4999360792232735E-2</v>
      </c>
    </row>
    <row r="400" spans="1:6" ht="13.2" x14ac:dyDescent="0.25">
      <c r="A400" s="34">
        <v>399</v>
      </c>
      <c r="B400" s="35">
        <v>44315</v>
      </c>
      <c r="C400" s="34">
        <v>40023</v>
      </c>
      <c r="D400" s="34">
        <v>687481</v>
      </c>
      <c r="E400" s="34">
        <f t="shared" si="0"/>
        <v>727504</v>
      </c>
      <c r="F400" s="36">
        <f t="shared" si="1"/>
        <v>5.5014130506498934E-2</v>
      </c>
    </row>
    <row r="401" spans="1:6" ht="13.2" x14ac:dyDescent="0.25">
      <c r="A401" s="34">
        <v>400</v>
      </c>
      <c r="B401" s="35">
        <v>44316</v>
      </c>
      <c r="C401" s="34">
        <v>40038</v>
      </c>
      <c r="D401" s="34">
        <v>687596</v>
      </c>
      <c r="E401" s="34">
        <f t="shared" si="0"/>
        <v>727634</v>
      </c>
      <c r="F401" s="36">
        <f t="shared" si="1"/>
        <v>5.5024916372791818E-2</v>
      </c>
    </row>
    <row r="402" spans="1:6" ht="13.2" x14ac:dyDescent="0.25">
      <c r="A402" s="34">
        <v>401</v>
      </c>
      <c r="B402" s="35">
        <v>44317</v>
      </c>
      <c r="C402" s="34">
        <v>40049</v>
      </c>
      <c r="D402" s="34">
        <v>687671</v>
      </c>
      <c r="E402" s="34">
        <f t="shared" si="0"/>
        <v>727720</v>
      </c>
      <c r="F402" s="36">
        <f t="shared" si="1"/>
        <v>5.503352937943165E-2</v>
      </c>
    </row>
    <row r="403" spans="1:6" ht="13.2" x14ac:dyDescent="0.25">
      <c r="A403" s="34">
        <v>402</v>
      </c>
      <c r="B403" s="35">
        <v>44318</v>
      </c>
      <c r="C403" s="34">
        <v>40053</v>
      </c>
      <c r="D403" s="34">
        <v>687715</v>
      </c>
      <c r="E403" s="34">
        <f t="shared" si="0"/>
        <v>727768</v>
      </c>
      <c r="F403" s="36">
        <f t="shared" si="1"/>
        <v>5.5035395895395238E-2</v>
      </c>
    </row>
    <row r="404" spans="1:6" ht="13.2" x14ac:dyDescent="0.25">
      <c r="A404" s="34">
        <v>403</v>
      </c>
      <c r="B404" s="35">
        <v>44319</v>
      </c>
      <c r="C404" s="34">
        <v>40055</v>
      </c>
      <c r="D404" s="34">
        <v>687735</v>
      </c>
      <c r="E404" s="34">
        <f t="shared" si="0"/>
        <v>727790</v>
      </c>
      <c r="F404" s="36">
        <f t="shared" si="1"/>
        <v>5.5036480303384219E-2</v>
      </c>
    </row>
    <row r="405" spans="1:6" ht="13.2" x14ac:dyDescent="0.25">
      <c r="A405" s="34">
        <v>404</v>
      </c>
      <c r="B405" s="35">
        <v>44320</v>
      </c>
      <c r="C405" s="34">
        <v>40057</v>
      </c>
      <c r="D405" s="34">
        <v>687745</v>
      </c>
      <c r="E405" s="34">
        <f t="shared" si="0"/>
        <v>727802</v>
      </c>
      <c r="F405" s="36">
        <f t="shared" si="1"/>
        <v>5.5038320861992687E-2</v>
      </c>
    </row>
    <row r="406" spans="1:6" ht="13.2" x14ac:dyDescent="0.25">
      <c r="A406" s="34">
        <v>405</v>
      </c>
      <c r="B406" s="35">
        <v>44321</v>
      </c>
      <c r="C406" s="34">
        <v>40066</v>
      </c>
      <c r="D406" s="34">
        <v>687826</v>
      </c>
      <c r="E406" s="34">
        <f t="shared" si="0"/>
        <v>727892</v>
      </c>
      <c r="F406" s="36">
        <f t="shared" si="1"/>
        <v>5.5043880136064142E-2</v>
      </c>
    </row>
    <row r="407" spans="1:6" ht="13.2" x14ac:dyDescent="0.25">
      <c r="A407" s="34">
        <v>406</v>
      </c>
      <c r="B407" s="35">
        <v>44322</v>
      </c>
      <c r="C407" s="34">
        <v>40070</v>
      </c>
      <c r="D407" s="34">
        <v>687884</v>
      </c>
      <c r="E407" s="34">
        <f t="shared" si="0"/>
        <v>727954</v>
      </c>
      <c r="F407" s="36">
        <f t="shared" si="1"/>
        <v>5.5044686889556209E-2</v>
      </c>
    </row>
    <row r="408" spans="1:6" ht="13.2" x14ac:dyDescent="0.25">
      <c r="A408" s="34">
        <v>407</v>
      </c>
      <c r="B408" s="35">
        <v>44323</v>
      </c>
      <c r="C408" s="34">
        <v>40078</v>
      </c>
      <c r="D408" s="34">
        <v>687967</v>
      </c>
      <c r="E408" s="34">
        <f t="shared" si="0"/>
        <v>728045</v>
      </c>
      <c r="F408" s="36">
        <f t="shared" si="1"/>
        <v>5.5048795060744872E-2</v>
      </c>
    </row>
    <row r="409" spans="1:6" ht="13.2" x14ac:dyDescent="0.25">
      <c r="A409" s="34">
        <v>408</v>
      </c>
      <c r="B409" s="35">
        <v>44324</v>
      </c>
      <c r="C409" s="34">
        <v>40084</v>
      </c>
      <c r="D409" s="34">
        <v>688035</v>
      </c>
      <c r="E409" s="34">
        <f t="shared" si="0"/>
        <v>728119</v>
      </c>
      <c r="F409" s="36">
        <f t="shared" si="1"/>
        <v>5.5051440767237225E-2</v>
      </c>
    </row>
    <row r="410" spans="1:6" ht="13.2" x14ac:dyDescent="0.25">
      <c r="A410" s="34">
        <v>409</v>
      </c>
      <c r="B410" s="35">
        <v>44325</v>
      </c>
      <c r="C410" s="34">
        <v>40092</v>
      </c>
      <c r="D410" s="34">
        <v>688139</v>
      </c>
      <c r="E410" s="34">
        <f t="shared" si="0"/>
        <v>728231</v>
      </c>
      <c r="F410" s="36">
        <f t="shared" si="1"/>
        <v>5.5053959526578794E-2</v>
      </c>
    </row>
    <row r="411" spans="1:6" ht="13.2" x14ac:dyDescent="0.25">
      <c r="A411" s="34">
        <v>410</v>
      </c>
      <c r="B411" s="35">
        <v>44326</v>
      </c>
      <c r="C411" s="34">
        <v>40092</v>
      </c>
      <c r="D411" s="34">
        <v>688165</v>
      </c>
      <c r="E411" s="34">
        <f t="shared" si="0"/>
        <v>728257</v>
      </c>
      <c r="F411" s="36">
        <f t="shared" si="1"/>
        <v>5.5051994007609954E-2</v>
      </c>
    </row>
    <row r="412" spans="1:6" ht="13.2" x14ac:dyDescent="0.25">
      <c r="A412" s="34">
        <v>411</v>
      </c>
      <c r="B412" s="35">
        <v>44327</v>
      </c>
      <c r="C412" s="34">
        <v>40097</v>
      </c>
      <c r="D412" s="34">
        <v>688181</v>
      </c>
      <c r="E412" s="34">
        <f t="shared" si="0"/>
        <v>728278</v>
      </c>
      <c r="F412" s="36">
        <f t="shared" si="1"/>
        <v>5.5057272085659595E-2</v>
      </c>
    </row>
    <row r="413" spans="1:6" ht="13.2" x14ac:dyDescent="0.25">
      <c r="A413" s="34">
        <v>412</v>
      </c>
      <c r="B413" s="35">
        <v>44328</v>
      </c>
      <c r="C413" s="34">
        <v>40099</v>
      </c>
      <c r="D413" s="34">
        <v>688243</v>
      </c>
      <c r="E413" s="34">
        <f t="shared" si="0"/>
        <v>728342</v>
      </c>
      <c r="F413" s="36">
        <f t="shared" si="1"/>
        <v>5.5055180121426475E-2</v>
      </c>
    </row>
    <row r="414" spans="1:6" ht="13.2" x14ac:dyDescent="0.25">
      <c r="A414" s="34">
        <v>413</v>
      </c>
      <c r="B414" s="35">
        <v>44329</v>
      </c>
      <c r="C414" s="34">
        <v>40111</v>
      </c>
      <c r="D414" s="34">
        <v>688316</v>
      </c>
      <c r="E414" s="34">
        <f t="shared" si="0"/>
        <v>728427</v>
      </c>
      <c r="F414" s="36">
        <f t="shared" si="1"/>
        <v>5.5065229597475104E-2</v>
      </c>
    </row>
    <row r="415" spans="1:6" ht="13.2" x14ac:dyDescent="0.25">
      <c r="A415" s="34">
        <v>414</v>
      </c>
      <c r="B415" s="35">
        <v>44330</v>
      </c>
      <c r="C415" s="34">
        <v>40116</v>
      </c>
      <c r="D415" s="34">
        <v>688326</v>
      </c>
      <c r="E415" s="34">
        <f t="shared" si="0"/>
        <v>728442</v>
      </c>
      <c r="F415" s="36">
        <f t="shared" si="1"/>
        <v>5.5070959664599239E-2</v>
      </c>
    </row>
    <row r="416" spans="1:6" ht="13.2" x14ac:dyDescent="0.25">
      <c r="A416" s="34">
        <v>415</v>
      </c>
      <c r="B416" s="35">
        <v>44331</v>
      </c>
      <c r="C416" s="34">
        <v>40117</v>
      </c>
      <c r="D416" s="34">
        <v>688334</v>
      </c>
      <c r="E416" s="34">
        <f t="shared" si="0"/>
        <v>728451</v>
      </c>
      <c r="F416" s="36">
        <f t="shared" si="1"/>
        <v>5.507165203973912E-2</v>
      </c>
    </row>
    <row r="417" spans="1:6" ht="13.2" x14ac:dyDescent="0.25">
      <c r="A417" s="34">
        <v>416</v>
      </c>
      <c r="B417" s="35">
        <v>44332</v>
      </c>
      <c r="C417" s="34">
        <v>40119</v>
      </c>
      <c r="D417" s="34">
        <v>688351</v>
      </c>
      <c r="E417" s="34">
        <f t="shared" si="0"/>
        <v>728470</v>
      </c>
      <c r="F417" s="36">
        <f t="shared" si="1"/>
        <v>5.5072961137727014E-2</v>
      </c>
    </row>
    <row r="418" spans="1:6" ht="13.2" x14ac:dyDescent="0.25">
      <c r="A418" s="34">
        <v>417</v>
      </c>
      <c r="B418" s="35">
        <v>44333</v>
      </c>
      <c r="C418" s="34">
        <v>40119</v>
      </c>
      <c r="D418" s="34">
        <v>688356</v>
      </c>
      <c r="E418" s="34">
        <f t="shared" si="0"/>
        <v>728475</v>
      </c>
      <c r="F418" s="36">
        <f t="shared" si="1"/>
        <v>5.5072583136003293E-2</v>
      </c>
    </row>
    <row r="419" spans="1:6" ht="13.2" x14ac:dyDescent="0.25">
      <c r="A419" s="34">
        <v>418</v>
      </c>
      <c r="B419" s="35">
        <v>44334</v>
      </c>
      <c r="C419" s="34">
        <v>40121</v>
      </c>
      <c r="D419" s="34">
        <v>688404</v>
      </c>
      <c r="E419" s="34">
        <f t="shared" si="0"/>
        <v>728525</v>
      </c>
      <c r="F419" s="36">
        <f t="shared" si="1"/>
        <v>5.5071548677121579E-2</v>
      </c>
    </row>
    <row r="420" spans="1:6" ht="13.2" x14ac:dyDescent="0.25">
      <c r="A420" s="34">
        <v>419</v>
      </c>
      <c r="B420" s="35">
        <v>44335</v>
      </c>
      <c r="C420" s="34">
        <v>40141</v>
      </c>
      <c r="D420" s="34">
        <v>688484</v>
      </c>
      <c r="E420" s="34">
        <f t="shared" si="0"/>
        <v>728625</v>
      </c>
      <c r="F420" s="36">
        <f t="shared" si="1"/>
        <v>5.5091439354949388E-2</v>
      </c>
    </row>
    <row r="421" spans="1:6" ht="13.2" x14ac:dyDescent="0.25">
      <c r="A421" s="34">
        <v>420</v>
      </c>
      <c r="B421" s="35">
        <v>44336</v>
      </c>
      <c r="C421" s="34">
        <v>40161</v>
      </c>
      <c r="D421" s="34">
        <v>688538</v>
      </c>
      <c r="E421" s="34">
        <f t="shared" si="0"/>
        <v>728699</v>
      </c>
      <c r="F421" s="36">
        <f t="shared" si="1"/>
        <v>5.5113290947290991E-2</v>
      </c>
    </row>
    <row r="422" spans="1:6" ht="13.2" x14ac:dyDescent="0.25">
      <c r="A422" s="34">
        <v>421</v>
      </c>
      <c r="B422" s="35">
        <v>44337</v>
      </c>
      <c r="C422" s="34">
        <v>40173</v>
      </c>
      <c r="D422" s="34">
        <v>688569</v>
      </c>
      <c r="E422" s="34">
        <f t="shared" si="0"/>
        <v>728742</v>
      </c>
      <c r="F422" s="36">
        <f t="shared" si="1"/>
        <v>5.5126505676906232E-2</v>
      </c>
    </row>
    <row r="423" spans="1:6" ht="13.2" x14ac:dyDescent="0.25">
      <c r="A423" s="34">
        <v>422</v>
      </c>
      <c r="B423" s="35">
        <v>44338</v>
      </c>
      <c r="C423" s="34">
        <v>40178</v>
      </c>
      <c r="D423" s="34">
        <v>688714</v>
      </c>
      <c r="E423" s="34">
        <f t="shared" si="0"/>
        <v>728892</v>
      </c>
      <c r="F423" s="36">
        <f t="shared" si="1"/>
        <v>5.5122020820642839E-2</v>
      </c>
    </row>
    <row r="424" spans="1:6" ht="13.2" x14ac:dyDescent="0.25">
      <c r="A424" s="34">
        <v>423</v>
      </c>
      <c r="B424" s="35">
        <v>44339</v>
      </c>
      <c r="C424" s="34">
        <v>40187</v>
      </c>
      <c r="D424" s="34">
        <v>688860</v>
      </c>
      <c r="E424" s="34">
        <f t="shared" si="0"/>
        <v>729047</v>
      </c>
      <c r="F424" s="36">
        <f t="shared" si="1"/>
        <v>5.5122646413742871E-2</v>
      </c>
    </row>
    <row r="425" spans="1:6" ht="13.2" x14ac:dyDescent="0.25">
      <c r="A425" s="34">
        <v>424</v>
      </c>
      <c r="B425" s="35">
        <v>44340</v>
      </c>
      <c r="C425" s="34">
        <v>40187</v>
      </c>
      <c r="D425" s="34">
        <v>688865</v>
      </c>
      <c r="E425" s="34">
        <f t="shared" si="0"/>
        <v>729052</v>
      </c>
      <c r="F425" s="36">
        <f t="shared" si="1"/>
        <v>5.5122268370431736E-2</v>
      </c>
    </row>
    <row r="426" spans="1:6" ht="13.2" x14ac:dyDescent="0.25">
      <c r="A426" s="34">
        <v>425</v>
      </c>
      <c r="B426" s="35">
        <v>44341</v>
      </c>
      <c r="C426" s="34">
        <v>40192</v>
      </c>
      <c r="D426" s="34">
        <v>688889</v>
      </c>
      <c r="E426" s="34">
        <f t="shared" si="0"/>
        <v>729081</v>
      </c>
      <c r="F426" s="36">
        <f t="shared" si="1"/>
        <v>5.5126933770047501E-2</v>
      </c>
    </row>
    <row r="427" spans="1:6" ht="13.2" x14ac:dyDescent="0.25">
      <c r="A427" s="34">
        <v>426</v>
      </c>
      <c r="B427" s="35">
        <v>44342</v>
      </c>
      <c r="C427" s="34">
        <v>40200</v>
      </c>
      <c r="D427" s="34">
        <v>688984</v>
      </c>
      <c r="E427" s="34">
        <f t="shared" si="0"/>
        <v>729184</v>
      </c>
      <c r="F427" s="36">
        <f t="shared" si="1"/>
        <v>5.5130118049765219E-2</v>
      </c>
    </row>
    <row r="428" spans="1:6" ht="13.2" x14ac:dyDescent="0.25">
      <c r="A428" s="34">
        <v>427</v>
      </c>
      <c r="B428" s="35">
        <v>44343</v>
      </c>
      <c r="C428" s="34">
        <v>40200</v>
      </c>
      <c r="D428" s="34">
        <v>689066</v>
      </c>
      <c r="E428" s="34">
        <f t="shared" si="0"/>
        <v>729266</v>
      </c>
      <c r="F428" s="36">
        <f t="shared" si="1"/>
        <v>5.5123919118675493E-2</v>
      </c>
    </row>
    <row r="429" spans="1:6" ht="13.2" x14ac:dyDescent="0.25">
      <c r="A429" s="34">
        <v>428</v>
      </c>
      <c r="B429" s="35">
        <v>44344</v>
      </c>
      <c r="C429" s="34">
        <v>40200</v>
      </c>
      <c r="D429" s="34">
        <v>689075</v>
      </c>
      <c r="E429" s="34">
        <f t="shared" si="0"/>
        <v>729275</v>
      </c>
      <c r="F429" s="36">
        <f t="shared" si="1"/>
        <v>5.5123238833087652E-2</v>
      </c>
    </row>
    <row r="430" spans="1:6" ht="13.2" x14ac:dyDescent="0.25">
      <c r="A430" s="34">
        <v>429</v>
      </c>
      <c r="B430" s="35">
        <v>44345</v>
      </c>
      <c r="C430" s="34">
        <v>40203</v>
      </c>
      <c r="D430" s="34">
        <v>689117</v>
      </c>
      <c r="E430" s="34">
        <f t="shared" si="0"/>
        <v>729320</v>
      </c>
      <c r="F430" s="36">
        <f t="shared" si="1"/>
        <v>5.5123951077716227E-2</v>
      </c>
    </row>
    <row r="431" spans="1:6" ht="13.2" x14ac:dyDescent="0.25">
      <c r="A431" s="34">
        <v>430</v>
      </c>
      <c r="B431" s="35">
        <v>44346</v>
      </c>
      <c r="C431" s="34">
        <v>40228</v>
      </c>
      <c r="D431" s="34">
        <v>689185</v>
      </c>
      <c r="E431" s="34">
        <f t="shared" si="0"/>
        <v>729413</v>
      </c>
      <c r="F431" s="36">
        <f t="shared" si="1"/>
        <v>5.515119692136005E-2</v>
      </c>
    </row>
    <row r="432" spans="1:6" ht="13.2" x14ac:dyDescent="0.25">
      <c r="A432" s="34">
        <v>431</v>
      </c>
      <c r="B432" s="35">
        <v>44347</v>
      </c>
      <c r="C432" s="34">
        <v>40236</v>
      </c>
      <c r="D432" s="34">
        <v>689213</v>
      </c>
      <c r="E432" s="34">
        <f t="shared" si="0"/>
        <v>729449</v>
      </c>
      <c r="F432" s="36">
        <f t="shared" si="1"/>
        <v>5.5159442263955395E-2</v>
      </c>
    </row>
    <row r="433" spans="1:6" ht="13.2" x14ac:dyDescent="0.25">
      <c r="A433" s="34">
        <v>432</v>
      </c>
      <c r="B433" s="35">
        <v>44348</v>
      </c>
      <c r="C433" s="34">
        <v>40237</v>
      </c>
      <c r="D433" s="34">
        <v>689219</v>
      </c>
      <c r="E433" s="34">
        <f t="shared" si="0"/>
        <v>729456</v>
      </c>
      <c r="F433" s="36">
        <f t="shared" si="1"/>
        <v>5.5160283827948499E-2</v>
      </c>
    </row>
    <row r="434" spans="1:6" ht="13.2" x14ac:dyDescent="0.25">
      <c r="A434" s="34">
        <v>433</v>
      </c>
      <c r="B434" s="35">
        <v>44349</v>
      </c>
      <c r="C434" s="34">
        <v>40256</v>
      </c>
      <c r="D434" s="34">
        <v>689304</v>
      </c>
      <c r="E434" s="34">
        <f t="shared" si="0"/>
        <v>729560</v>
      </c>
      <c r="F434" s="36">
        <f t="shared" si="1"/>
        <v>5.517846373156423E-2</v>
      </c>
    </row>
    <row r="435" spans="1:6" ht="13.2" x14ac:dyDescent="0.25">
      <c r="A435" s="34">
        <v>434</v>
      </c>
      <c r="B435" s="35">
        <v>44350</v>
      </c>
      <c r="C435" s="34">
        <v>40257</v>
      </c>
      <c r="D435" s="34">
        <v>689305</v>
      </c>
      <c r="E435" s="34">
        <f t="shared" si="0"/>
        <v>729562</v>
      </c>
      <c r="F435" s="36">
        <f t="shared" si="1"/>
        <v>5.5179683152357169E-2</v>
      </c>
    </row>
    <row r="436" spans="1:6" ht="13.2" x14ac:dyDescent="0.25">
      <c r="A436" s="34">
        <v>435</v>
      </c>
      <c r="B436" s="35">
        <v>44351</v>
      </c>
      <c r="C436" s="34">
        <v>40262</v>
      </c>
      <c r="D436" s="34">
        <v>689345</v>
      </c>
      <c r="E436" s="34">
        <f t="shared" si="0"/>
        <v>729607</v>
      </c>
      <c r="F436" s="36">
        <f t="shared" si="1"/>
        <v>5.5183132837267189E-2</v>
      </c>
    </row>
    <row r="437" spans="1:6" ht="13.2" x14ac:dyDescent="0.25">
      <c r="A437" s="34">
        <v>436</v>
      </c>
      <c r="B437" s="35">
        <v>44352</v>
      </c>
      <c r="C437" s="34">
        <v>40268</v>
      </c>
      <c r="D437" s="34">
        <v>689420</v>
      </c>
      <c r="E437" s="34">
        <f t="shared" si="0"/>
        <v>729688</v>
      </c>
      <c r="F437" s="36">
        <f t="shared" si="1"/>
        <v>5.5185229851662632E-2</v>
      </c>
    </row>
    <row r="438" spans="1:6" ht="13.2" x14ac:dyDescent="0.25">
      <c r="A438" s="34">
        <v>437</v>
      </c>
      <c r="B438" s="35">
        <v>44353</v>
      </c>
      <c r="C438" s="34">
        <v>40286</v>
      </c>
      <c r="D438" s="34">
        <v>689537</v>
      </c>
      <c r="E438" s="34">
        <f t="shared" si="0"/>
        <v>729823</v>
      </c>
      <c r="F438" s="36">
        <f t="shared" si="1"/>
        <v>5.5199685403173097E-2</v>
      </c>
    </row>
    <row r="439" spans="1:6" ht="13.2" x14ac:dyDescent="0.25">
      <c r="A439" s="34">
        <v>438</v>
      </c>
      <c r="B439" s="35">
        <v>44354</v>
      </c>
      <c r="C439" s="34">
        <v>40291</v>
      </c>
      <c r="D439" s="34">
        <v>689548</v>
      </c>
      <c r="E439" s="34">
        <f t="shared" si="0"/>
        <v>729839</v>
      </c>
      <c r="F439" s="36">
        <f t="shared" si="1"/>
        <v>5.5205326106168622E-2</v>
      </c>
    </row>
    <row r="440" spans="1:6" ht="13.2" x14ac:dyDescent="0.25">
      <c r="A440" s="34">
        <v>439</v>
      </c>
      <c r="B440" s="35">
        <v>44355</v>
      </c>
      <c r="C440" s="34">
        <v>40291</v>
      </c>
      <c r="D440" s="34">
        <v>689563</v>
      </c>
      <c r="E440" s="34">
        <f t="shared" si="0"/>
        <v>729854</v>
      </c>
      <c r="F440" s="36">
        <f t="shared" si="1"/>
        <v>5.5204191523236155E-2</v>
      </c>
    </row>
    <row r="441" spans="1:6" ht="13.2" x14ac:dyDescent="0.25">
      <c r="A441" s="34">
        <v>440</v>
      </c>
      <c r="B441" s="35">
        <v>44356</v>
      </c>
      <c r="C441" s="34">
        <v>40293</v>
      </c>
      <c r="D441" s="34">
        <v>689581</v>
      </c>
      <c r="E441" s="34">
        <f t="shared" si="0"/>
        <v>729874</v>
      </c>
      <c r="F441" s="36">
        <f t="shared" si="1"/>
        <v>5.5205419017529053E-2</v>
      </c>
    </row>
    <row r="442" spans="1:6" ht="13.2" x14ac:dyDescent="0.25">
      <c r="A442" s="34">
        <v>441</v>
      </c>
      <c r="B442" s="35">
        <v>44357</v>
      </c>
      <c r="C442" s="34">
        <v>40294</v>
      </c>
      <c r="D442" s="34">
        <v>689608</v>
      </c>
      <c r="E442" s="34">
        <f t="shared" si="0"/>
        <v>729902</v>
      </c>
      <c r="F442" s="36">
        <f t="shared" si="1"/>
        <v>5.5204671312039148E-2</v>
      </c>
    </row>
    <row r="443" spans="1:6" ht="13.2" x14ac:dyDescent="0.25">
      <c r="A443" s="34">
        <v>442</v>
      </c>
      <c r="B443" s="35">
        <v>44358</v>
      </c>
      <c r="C443" s="34">
        <v>40294</v>
      </c>
      <c r="D443" s="34">
        <v>689635</v>
      </c>
      <c r="E443" s="34">
        <f t="shared" si="0"/>
        <v>729929</v>
      </c>
      <c r="F443" s="36">
        <f t="shared" si="1"/>
        <v>5.5202629296822021E-2</v>
      </c>
    </row>
    <row r="444" spans="1:6" ht="13.2" x14ac:dyDescent="0.25">
      <c r="A444" s="34">
        <v>443</v>
      </c>
      <c r="B444" s="35">
        <v>44359</v>
      </c>
      <c r="C444" s="34">
        <v>40298</v>
      </c>
      <c r="D444" s="34">
        <v>689650</v>
      </c>
      <c r="E444" s="34">
        <f t="shared" si="0"/>
        <v>729948</v>
      </c>
      <c r="F444" s="36">
        <f t="shared" si="1"/>
        <v>5.5206672256105913E-2</v>
      </c>
    </row>
    <row r="445" spans="1:6" ht="13.2" x14ac:dyDescent="0.25">
      <c r="A445" s="34">
        <v>444</v>
      </c>
      <c r="B445" s="35">
        <v>44360</v>
      </c>
      <c r="C445" s="34">
        <v>40306</v>
      </c>
      <c r="D445" s="34">
        <v>689734</v>
      </c>
      <c r="E445" s="34">
        <f t="shared" si="0"/>
        <v>730040</v>
      </c>
      <c r="F445" s="36">
        <f t="shared" si="1"/>
        <v>5.5210673387759576E-2</v>
      </c>
    </row>
    <row r="446" spans="1:6" ht="13.2" x14ac:dyDescent="0.25">
      <c r="A446" s="34">
        <v>445</v>
      </c>
      <c r="B446" s="35">
        <v>44361</v>
      </c>
      <c r="C446" s="34">
        <v>40306</v>
      </c>
      <c r="D446" s="34">
        <v>689744</v>
      </c>
      <c r="E446" s="34">
        <f t="shared" si="0"/>
        <v>730050</v>
      </c>
      <c r="F446" s="36">
        <f t="shared" si="1"/>
        <v>5.5209917128963767E-2</v>
      </c>
    </row>
    <row r="447" spans="1:6" ht="13.2" x14ac:dyDescent="0.25">
      <c r="A447" s="34">
        <v>446</v>
      </c>
      <c r="B447" s="35">
        <v>44362</v>
      </c>
      <c r="C447" s="34">
        <v>40306</v>
      </c>
      <c r="D447" s="34">
        <v>689751</v>
      </c>
      <c r="E447" s="34">
        <f t="shared" si="0"/>
        <v>730057</v>
      </c>
      <c r="F447" s="36">
        <f t="shared" si="1"/>
        <v>5.5209387760133795E-2</v>
      </c>
    </row>
    <row r="448" spans="1:6" ht="13.2" x14ac:dyDescent="0.25">
      <c r="A448" s="34">
        <v>447</v>
      </c>
      <c r="B448" s="35">
        <v>44363</v>
      </c>
      <c r="C448" s="34">
        <v>40311</v>
      </c>
      <c r="D448" s="34">
        <v>689768</v>
      </c>
      <c r="E448" s="34">
        <f t="shared" si="0"/>
        <v>730079</v>
      </c>
      <c r="F448" s="36">
        <f t="shared" si="1"/>
        <v>5.5214572669533023E-2</v>
      </c>
    </row>
    <row r="449" spans="1:6" ht="13.2" x14ac:dyDescent="0.25">
      <c r="A449" s="34">
        <v>448</v>
      </c>
      <c r="B449" s="35">
        <v>44364</v>
      </c>
      <c r="C449" s="34">
        <v>40328</v>
      </c>
      <c r="D449" s="34">
        <v>689845</v>
      </c>
      <c r="E449" s="34">
        <f t="shared" si="0"/>
        <v>730173</v>
      </c>
      <c r="F449" s="36">
        <f t="shared" si="1"/>
        <v>5.5230746686059332E-2</v>
      </c>
    </row>
    <row r="450" spans="1:6" ht="13.2" x14ac:dyDescent="0.25">
      <c r="A450" s="34">
        <v>449</v>
      </c>
      <c r="B450" s="35">
        <v>44365</v>
      </c>
      <c r="C450" s="34">
        <v>40351</v>
      </c>
      <c r="D450" s="34">
        <v>689907</v>
      </c>
      <c r="E450" s="34">
        <f t="shared" si="0"/>
        <v>730258</v>
      </c>
      <c r="F450" s="36">
        <f t="shared" si="1"/>
        <v>5.525581369872018E-2</v>
      </c>
    </row>
    <row r="451" spans="1:6" ht="13.2" x14ac:dyDescent="0.25">
      <c r="A451" s="34">
        <v>450</v>
      </c>
      <c r="B451" s="35">
        <v>44366</v>
      </c>
      <c r="C451" s="34">
        <v>40362</v>
      </c>
      <c r="D451" s="34">
        <v>689972</v>
      </c>
      <c r="E451" s="34">
        <f t="shared" si="0"/>
        <v>730334</v>
      </c>
      <c r="F451" s="36">
        <f t="shared" si="1"/>
        <v>5.5265125271451145E-2</v>
      </c>
    </row>
    <row r="452" spans="1:6" ht="13.2" x14ac:dyDescent="0.25">
      <c r="A452" s="34">
        <v>451</v>
      </c>
      <c r="B452" s="35">
        <v>44367</v>
      </c>
      <c r="C452" s="34">
        <v>40369</v>
      </c>
      <c r="D452" s="34">
        <v>690034</v>
      </c>
      <c r="E452" s="34">
        <f t="shared" si="0"/>
        <v>730403</v>
      </c>
      <c r="F452" s="36">
        <f t="shared" si="1"/>
        <v>5.5269488214040742E-2</v>
      </c>
    </row>
    <row r="453" spans="1:6" ht="13.2" x14ac:dyDescent="0.25">
      <c r="A453" s="34">
        <v>452</v>
      </c>
      <c r="B453" s="35">
        <v>44368</v>
      </c>
      <c r="C453" s="34">
        <v>40372</v>
      </c>
      <c r="D453" s="34">
        <v>690065</v>
      </c>
      <c r="E453" s="34">
        <f t="shared" si="0"/>
        <v>730437</v>
      </c>
      <c r="F453" s="36">
        <f t="shared" si="1"/>
        <v>5.5271022689157311E-2</v>
      </c>
    </row>
    <row r="454" spans="1:6" ht="13.2" x14ac:dyDescent="0.25">
      <c r="A454" s="34">
        <v>453</v>
      </c>
      <c r="B454" s="35">
        <v>44369</v>
      </c>
      <c r="C454" s="34">
        <v>40377</v>
      </c>
      <c r="D454" s="34">
        <v>690075</v>
      </c>
      <c r="E454" s="34">
        <f t="shared" si="0"/>
        <v>730452</v>
      </c>
      <c r="F454" s="36">
        <f t="shared" si="1"/>
        <v>5.5276732762727737E-2</v>
      </c>
    </row>
    <row r="455" spans="1:6" ht="13.2" x14ac:dyDescent="0.25">
      <c r="A455" s="34">
        <v>454</v>
      </c>
      <c r="B455" s="35">
        <v>44370</v>
      </c>
      <c r="C455" s="34">
        <v>40383</v>
      </c>
      <c r="D455" s="34">
        <v>690119</v>
      </c>
      <c r="E455" s="34">
        <f t="shared" si="0"/>
        <v>730502</v>
      </c>
      <c r="F455" s="36">
        <f t="shared" si="1"/>
        <v>5.528116281680269E-2</v>
      </c>
    </row>
    <row r="456" spans="1:6" ht="13.2" x14ac:dyDescent="0.25">
      <c r="A456" s="34">
        <v>455</v>
      </c>
      <c r="B456" s="35">
        <v>44371</v>
      </c>
      <c r="C456" s="34">
        <v>40391</v>
      </c>
      <c r="D456" s="34">
        <v>690140</v>
      </c>
      <c r="E456" s="34">
        <f t="shared" si="0"/>
        <v>730531</v>
      </c>
      <c r="F456" s="36">
        <f t="shared" si="1"/>
        <v>5.5289919250517773E-2</v>
      </c>
    </row>
    <row r="457" spans="1:6" ht="13.2" x14ac:dyDescent="0.25">
      <c r="A457" s="34">
        <v>456</v>
      </c>
      <c r="B457" s="35">
        <v>44372</v>
      </c>
      <c r="C457" s="34">
        <v>40405</v>
      </c>
      <c r="D457" s="34">
        <v>690218</v>
      </c>
      <c r="E457" s="34">
        <f t="shared" si="0"/>
        <v>730623</v>
      </c>
      <c r="F457" s="36">
        <f t="shared" si="1"/>
        <v>5.5302118876629947E-2</v>
      </c>
    </row>
    <row r="458" spans="1:6" ht="13.2" x14ac:dyDescent="0.25">
      <c r="A458" s="34">
        <v>457</v>
      </c>
      <c r="B458" s="35">
        <v>44373</v>
      </c>
      <c r="C458" s="34">
        <v>40406</v>
      </c>
      <c r="D458" s="34">
        <v>690249</v>
      </c>
      <c r="E458" s="34">
        <f t="shared" si="0"/>
        <v>730655</v>
      </c>
      <c r="F458" s="36">
        <f t="shared" si="1"/>
        <v>5.5301065482341184E-2</v>
      </c>
    </row>
    <row r="459" spans="1:6" ht="15" customHeight="1" x14ac:dyDescent="0.25">
      <c r="A459" s="34">
        <v>458</v>
      </c>
      <c r="B459" s="35">
        <v>44374</v>
      </c>
      <c r="C459" s="34">
        <v>40409</v>
      </c>
      <c r="D459" s="34">
        <v>690277</v>
      </c>
      <c r="E459" s="34">
        <f t="shared" si="0"/>
        <v>730686</v>
      </c>
      <c r="F459" s="36">
        <f t="shared" si="1"/>
        <v>5.530282501649135E-2</v>
      </c>
    </row>
    <row r="460" spans="1:6" ht="13.2" x14ac:dyDescent="0.25">
      <c r="A460" s="34">
        <v>459</v>
      </c>
      <c r="B460" s="35">
        <v>44375</v>
      </c>
      <c r="C460" s="34">
        <v>40409</v>
      </c>
      <c r="D460" s="34">
        <v>690277</v>
      </c>
      <c r="E460" s="34">
        <f t="shared" si="0"/>
        <v>730686</v>
      </c>
      <c r="F460" s="36">
        <f t="shared" si="1"/>
        <v>5.530282501649135E-2</v>
      </c>
    </row>
    <row r="461" spans="1:6" ht="13.2" x14ac:dyDescent="0.25">
      <c r="A461" s="34">
        <v>460</v>
      </c>
      <c r="B461" s="35">
        <v>44376</v>
      </c>
      <c r="C461" s="34">
        <v>40409</v>
      </c>
      <c r="D461" s="34">
        <v>690279</v>
      </c>
      <c r="E461" s="34">
        <f t="shared" si="0"/>
        <v>730688</v>
      </c>
      <c r="F461" s="36">
        <f t="shared" si="1"/>
        <v>5.530267364456512E-2</v>
      </c>
    </row>
    <row r="462" spans="1:6" ht="13.2" x14ac:dyDescent="0.25">
      <c r="A462" s="34">
        <v>461</v>
      </c>
      <c r="B462" s="35">
        <v>44377</v>
      </c>
      <c r="C462" s="34">
        <v>40409</v>
      </c>
      <c r="D462" s="34">
        <v>690285</v>
      </c>
      <c r="E462" s="34">
        <f t="shared" si="0"/>
        <v>730694</v>
      </c>
      <c r="F462" s="36">
        <f t="shared" si="1"/>
        <v>5.5302219533758315E-2</v>
      </c>
    </row>
    <row r="463" spans="1:6" ht="13.2" x14ac:dyDescent="0.25">
      <c r="A463" s="34">
        <v>462</v>
      </c>
      <c r="B463" s="35">
        <v>44378</v>
      </c>
      <c r="C463" s="34">
        <v>40412</v>
      </c>
      <c r="D463" s="34">
        <v>690302</v>
      </c>
      <c r="E463" s="34">
        <f t="shared" si="0"/>
        <v>730714</v>
      </c>
      <c r="F463" s="36">
        <f t="shared" si="1"/>
        <v>5.53048114583818E-2</v>
      </c>
    </row>
    <row r="464" spans="1:6" ht="13.2" x14ac:dyDescent="0.25">
      <c r="A464" s="34">
        <v>463</v>
      </c>
      <c r="B464" s="35">
        <v>44379</v>
      </c>
      <c r="C464" s="34">
        <v>40412</v>
      </c>
      <c r="D464" s="34">
        <v>690303</v>
      </c>
      <c r="E464" s="34">
        <f t="shared" si="0"/>
        <v>730715</v>
      </c>
      <c r="F464" s="36">
        <f t="shared" si="1"/>
        <v>5.5304735772496803E-2</v>
      </c>
    </row>
    <row r="465" spans="1:6" ht="13.2" x14ac:dyDescent="0.25">
      <c r="A465" s="34">
        <v>464</v>
      </c>
      <c r="B465" s="35">
        <v>44380</v>
      </c>
      <c r="C465" s="34">
        <v>40423</v>
      </c>
      <c r="D465" s="34">
        <v>690350</v>
      </c>
      <c r="E465" s="34">
        <f t="shared" si="0"/>
        <v>730773</v>
      </c>
      <c r="F465" s="36">
        <f t="shared" si="1"/>
        <v>5.5315398899521466E-2</v>
      </c>
    </row>
    <row r="466" spans="1:6" ht="13.2" x14ac:dyDescent="0.25">
      <c r="A466" s="34">
        <v>465</v>
      </c>
      <c r="B466" s="35">
        <v>44381</v>
      </c>
      <c r="C466" s="34">
        <v>40449</v>
      </c>
      <c r="D466" s="34">
        <v>690426</v>
      </c>
      <c r="E466" s="34">
        <f t="shared" si="0"/>
        <v>730875</v>
      </c>
      <c r="F466" s="36">
        <f t="shared" si="1"/>
        <v>5.534325295023089E-2</v>
      </c>
    </row>
    <row r="467" spans="1:6" ht="13.2" x14ac:dyDescent="0.25">
      <c r="A467" s="34">
        <v>466</v>
      </c>
      <c r="B467" s="35">
        <v>44382</v>
      </c>
      <c r="C467" s="34">
        <v>40453</v>
      </c>
      <c r="D467" s="34">
        <v>690461</v>
      </c>
      <c r="E467" s="34">
        <f t="shared" si="0"/>
        <v>730914</v>
      </c>
      <c r="F467" s="36">
        <f t="shared" si="1"/>
        <v>5.5345772553268918E-2</v>
      </c>
    </row>
    <row r="468" spans="1:6" ht="13.2" x14ac:dyDescent="0.25">
      <c r="A468" s="34">
        <v>467</v>
      </c>
      <c r="B468" s="35">
        <v>44383</v>
      </c>
      <c r="C468" s="34">
        <v>40453</v>
      </c>
      <c r="D468" s="34">
        <v>690464</v>
      </c>
      <c r="E468" s="34">
        <f t="shared" si="0"/>
        <v>730917</v>
      </c>
      <c r="F468" s="36">
        <f t="shared" si="1"/>
        <v>5.5345545390242668E-2</v>
      </c>
    </row>
    <row r="469" spans="1:6" ht="13.2" x14ac:dyDescent="0.25">
      <c r="A469" s="34">
        <v>468</v>
      </c>
      <c r="B469" s="35">
        <v>44384</v>
      </c>
      <c r="C469" s="34">
        <v>40455</v>
      </c>
      <c r="D469" s="34">
        <v>690484</v>
      </c>
      <c r="E469" s="34">
        <f t="shared" si="0"/>
        <v>730939</v>
      </c>
      <c r="F469" s="36">
        <f t="shared" si="1"/>
        <v>5.5346615791468233E-2</v>
      </c>
    </row>
    <row r="470" spans="1:6" ht="13.2" x14ac:dyDescent="0.25">
      <c r="A470" s="34">
        <v>469</v>
      </c>
      <c r="B470" s="35">
        <v>44385</v>
      </c>
      <c r="C470" s="34">
        <v>40458</v>
      </c>
      <c r="D470" s="34">
        <v>690561</v>
      </c>
      <c r="E470" s="34">
        <f t="shared" si="0"/>
        <v>731019</v>
      </c>
      <c r="F470" s="36">
        <f t="shared" si="1"/>
        <v>5.5344662724224676E-2</v>
      </c>
    </row>
    <row r="471" spans="1:6" ht="13.2" x14ac:dyDescent="0.25">
      <c r="A471" s="34">
        <v>470</v>
      </c>
      <c r="B471" s="35">
        <v>44386</v>
      </c>
      <c r="C471" s="34">
        <v>40465</v>
      </c>
      <c r="D471" s="34">
        <v>690582</v>
      </c>
      <c r="E471" s="34">
        <f t="shared" si="0"/>
        <v>731047</v>
      </c>
      <c r="F471" s="36">
        <f t="shared" si="1"/>
        <v>5.5352118263258039E-2</v>
      </c>
    </row>
    <row r="472" spans="1:6" ht="13.2" x14ac:dyDescent="0.25">
      <c r="A472" s="34">
        <v>471</v>
      </c>
      <c r="B472" s="35">
        <v>44387</v>
      </c>
      <c r="C472" s="34">
        <v>40473</v>
      </c>
      <c r="D472" s="34">
        <v>690636</v>
      </c>
      <c r="E472" s="34">
        <f t="shared" si="0"/>
        <v>731109</v>
      </c>
      <c r="F472" s="36">
        <f t="shared" si="1"/>
        <v>5.5358366536316747E-2</v>
      </c>
    </row>
    <row r="473" spans="1:6" ht="13.2" x14ac:dyDescent="0.25">
      <c r="A473" s="34">
        <v>472</v>
      </c>
      <c r="B473" s="35">
        <v>44388</v>
      </c>
      <c r="C473" s="34">
        <v>40475</v>
      </c>
      <c r="D473" s="34">
        <v>690653</v>
      </c>
      <c r="E473" s="34">
        <f t="shared" si="0"/>
        <v>731128</v>
      </c>
      <c r="F473" s="36">
        <f t="shared" si="1"/>
        <v>5.5359663424188375E-2</v>
      </c>
    </row>
    <row r="474" spans="1:6" ht="13.2" x14ac:dyDescent="0.25">
      <c r="A474" s="34">
        <v>473</v>
      </c>
      <c r="B474" s="35">
        <v>44389</v>
      </c>
      <c r="C474" s="34">
        <v>40491</v>
      </c>
      <c r="D474" s="34">
        <v>690683</v>
      </c>
      <c r="E474" s="34">
        <f t="shared" si="0"/>
        <v>731174</v>
      </c>
      <c r="F474" s="36">
        <f t="shared" si="1"/>
        <v>5.5378063224348788E-2</v>
      </c>
    </row>
    <row r="475" spans="1:6" ht="13.2" x14ac:dyDescent="0.25">
      <c r="A475" s="34">
        <v>474</v>
      </c>
      <c r="B475" s="35">
        <v>44390</v>
      </c>
      <c r="C475" s="34">
        <v>40491</v>
      </c>
      <c r="D475" s="34">
        <v>690683</v>
      </c>
      <c r="E475" s="34">
        <f t="shared" si="0"/>
        <v>731174</v>
      </c>
      <c r="F475" s="36">
        <f t="shared" si="1"/>
        <v>5.5378063224348788E-2</v>
      </c>
    </row>
    <row r="476" spans="1:6" ht="13.2" x14ac:dyDescent="0.25">
      <c r="A476" s="34">
        <v>475</v>
      </c>
      <c r="B476" s="35">
        <v>44391</v>
      </c>
      <c r="C476" s="34">
        <v>40496</v>
      </c>
      <c r="D476" s="34">
        <v>690700</v>
      </c>
      <c r="E476" s="34">
        <f t="shared" si="0"/>
        <v>731196</v>
      </c>
      <c r="F476" s="36">
        <f t="shared" si="1"/>
        <v>5.5383235138047798E-2</v>
      </c>
    </row>
    <row r="477" spans="1:6" ht="13.2" x14ac:dyDescent="0.25">
      <c r="A477" s="34">
        <v>476</v>
      </c>
      <c r="B477" s="35">
        <v>44392</v>
      </c>
      <c r="C477" s="34">
        <v>40516</v>
      </c>
      <c r="D477" s="34">
        <v>690731</v>
      </c>
      <c r="E477" s="34">
        <f t="shared" si="0"/>
        <v>731247</v>
      </c>
      <c r="F477" s="36">
        <f t="shared" si="1"/>
        <v>5.5406723036128695E-2</v>
      </c>
    </row>
    <row r="478" spans="1:6" ht="13.2" x14ac:dyDescent="0.25">
      <c r="A478" s="34">
        <v>477</v>
      </c>
      <c r="B478" s="35">
        <v>44393</v>
      </c>
      <c r="C478" s="34">
        <v>40523</v>
      </c>
      <c r="D478" s="34">
        <v>690738</v>
      </c>
      <c r="E478" s="34">
        <f t="shared" si="0"/>
        <v>731261</v>
      </c>
      <c r="F478" s="36">
        <f t="shared" si="1"/>
        <v>5.541523477937426E-2</v>
      </c>
    </row>
    <row r="479" spans="1:6" ht="13.2" x14ac:dyDescent="0.25">
      <c r="A479" s="34">
        <v>478</v>
      </c>
      <c r="B479" s="35">
        <v>44394</v>
      </c>
      <c r="C479" s="34">
        <v>40523</v>
      </c>
      <c r="D479" s="34">
        <v>690747</v>
      </c>
      <c r="E479" s="34">
        <f t="shared" si="0"/>
        <v>731270</v>
      </c>
      <c r="F479" s="36">
        <f t="shared" si="1"/>
        <v>5.5414552764368838E-2</v>
      </c>
    </row>
    <row r="480" spans="1:6" ht="13.2" x14ac:dyDescent="0.25">
      <c r="A480" s="34">
        <v>479</v>
      </c>
      <c r="B480" s="35">
        <v>44395</v>
      </c>
      <c r="C480" s="34">
        <v>40542</v>
      </c>
      <c r="D480" s="34">
        <v>690779</v>
      </c>
      <c r="E480" s="34">
        <f t="shared" si="0"/>
        <v>731321</v>
      </c>
      <c r="F480" s="36">
        <f t="shared" si="1"/>
        <v>5.5436668713191611E-2</v>
      </c>
    </row>
    <row r="481" spans="1:6" ht="13.2" x14ac:dyDescent="0.25">
      <c r="A481" s="34">
        <v>480</v>
      </c>
      <c r="B481" s="35">
        <v>44396</v>
      </c>
      <c r="C481" s="34">
        <v>40542</v>
      </c>
      <c r="D481" s="34">
        <v>690779</v>
      </c>
      <c r="E481" s="34">
        <f t="shared" si="0"/>
        <v>731321</v>
      </c>
      <c r="F481" s="36">
        <f t="shared" si="1"/>
        <v>5.5436668713191611E-2</v>
      </c>
    </row>
    <row r="482" spans="1:6" ht="13.2" x14ac:dyDescent="0.25">
      <c r="A482" s="34">
        <v>481</v>
      </c>
      <c r="B482" s="35">
        <v>44397</v>
      </c>
      <c r="C482" s="34">
        <v>40542</v>
      </c>
      <c r="D482" s="34">
        <v>690779</v>
      </c>
      <c r="E482" s="34">
        <f t="shared" si="0"/>
        <v>731321</v>
      </c>
      <c r="F482" s="36">
        <f t="shared" si="1"/>
        <v>5.5436668713191611E-2</v>
      </c>
    </row>
    <row r="483" spans="1:6" ht="13.2" x14ac:dyDescent="0.25">
      <c r="A483" s="34">
        <v>481</v>
      </c>
      <c r="B483" s="35">
        <v>44398</v>
      </c>
      <c r="C483" s="34">
        <v>40553</v>
      </c>
      <c r="D483" s="34">
        <v>690790</v>
      </c>
      <c r="E483" s="34">
        <f t="shared" si="0"/>
        <v>731343</v>
      </c>
      <c r="F483" s="36">
        <f t="shared" si="1"/>
        <v>5.5450041909199922E-2</v>
      </c>
    </row>
    <row r="484" spans="1:6" ht="13.2" x14ac:dyDescent="0.25">
      <c r="A484" s="34">
        <v>481</v>
      </c>
      <c r="B484" s="35">
        <v>44399</v>
      </c>
      <c r="C484" s="34">
        <v>40553</v>
      </c>
      <c r="D484" s="34">
        <v>690795</v>
      </c>
      <c r="E484" s="34">
        <f t="shared" si="0"/>
        <v>731348</v>
      </c>
      <c r="F484" s="36">
        <f t="shared" si="1"/>
        <v>5.5449662814419404E-2</v>
      </c>
    </row>
    <row r="485" spans="1:6" ht="13.2" x14ac:dyDescent="0.25">
      <c r="A485" s="34">
        <v>481</v>
      </c>
      <c r="B485" s="35">
        <v>44400</v>
      </c>
      <c r="C485" s="34">
        <v>40569</v>
      </c>
      <c r="D485" s="34">
        <v>690826</v>
      </c>
      <c r="E485" s="34">
        <f t="shared" si="0"/>
        <v>731395</v>
      </c>
      <c r="F485" s="36">
        <f t="shared" si="1"/>
        <v>5.5467975580910454E-2</v>
      </c>
    </row>
    <row r="486" spans="1:6" ht="13.2" x14ac:dyDescent="0.25">
      <c r="A486" s="34">
        <v>481</v>
      </c>
      <c r="B486" s="35">
        <v>44401</v>
      </c>
      <c r="C486" s="34">
        <v>40599</v>
      </c>
      <c r="D486" s="34">
        <v>690851</v>
      </c>
      <c r="E486" s="34">
        <f t="shared" si="0"/>
        <v>731450</v>
      </c>
      <c r="F486" s="36">
        <f t="shared" si="1"/>
        <v>5.550481919475015E-2</v>
      </c>
    </row>
    <row r="487" spans="1:6" ht="13.2" x14ac:dyDescent="0.25">
      <c r="A487" s="34">
        <v>481</v>
      </c>
      <c r="B487" s="35">
        <v>44402</v>
      </c>
      <c r="C487" s="34">
        <v>40632</v>
      </c>
      <c r="D487" s="34">
        <v>690896</v>
      </c>
      <c r="E487" s="34">
        <f t="shared" si="0"/>
        <v>731528</v>
      </c>
      <c r="F487" s="36">
        <f t="shared" si="1"/>
        <v>5.5544011985870674E-2</v>
      </c>
    </row>
    <row r="488" spans="1:6" ht="13.2" x14ac:dyDescent="0.25">
      <c r="A488" s="34">
        <v>481</v>
      </c>
      <c r="B488" s="35">
        <v>44403</v>
      </c>
      <c r="C488" s="34">
        <v>40637</v>
      </c>
      <c r="D488" s="34">
        <v>690896</v>
      </c>
      <c r="E488" s="34">
        <f t="shared" si="0"/>
        <v>731533</v>
      </c>
      <c r="F488" s="36">
        <f t="shared" si="1"/>
        <v>5.5550467306327941E-2</v>
      </c>
    </row>
    <row r="489" spans="1:6" ht="13.2" x14ac:dyDescent="0.25">
      <c r="A489" s="34">
        <v>481</v>
      </c>
      <c r="B489" s="35">
        <v>44404</v>
      </c>
      <c r="C489" s="34">
        <v>40637</v>
      </c>
      <c r="D489" s="34">
        <v>690921</v>
      </c>
      <c r="E489" s="34">
        <f t="shared" si="0"/>
        <v>731558</v>
      </c>
      <c r="F489" s="36">
        <f t="shared" si="1"/>
        <v>5.5548568944635966E-2</v>
      </c>
    </row>
    <row r="490" spans="1:6" ht="13.2" x14ac:dyDescent="0.25">
      <c r="A490" s="34">
        <v>481</v>
      </c>
      <c r="B490" s="35">
        <v>44405</v>
      </c>
      <c r="C490" s="34">
        <v>40640</v>
      </c>
      <c r="D490" s="34">
        <v>690927</v>
      </c>
      <c r="E490" s="34">
        <f t="shared" si="0"/>
        <v>731567</v>
      </c>
      <c r="F490" s="36">
        <f t="shared" si="1"/>
        <v>5.5551986352582877E-2</v>
      </c>
    </row>
    <row r="491" spans="1:6" ht="13.2" x14ac:dyDescent="0.25">
      <c r="A491" s="34">
        <v>481</v>
      </c>
      <c r="B491" s="35">
        <v>44406</v>
      </c>
      <c r="C491" s="34">
        <v>40652</v>
      </c>
      <c r="D491" s="34">
        <v>690954</v>
      </c>
      <c r="E491" s="34">
        <f t="shared" si="0"/>
        <v>731606</v>
      </c>
      <c r="F491" s="36">
        <f t="shared" si="1"/>
        <v>5.5565427292832481E-2</v>
      </c>
    </row>
    <row r="492" spans="1:6" ht="13.2" x14ac:dyDescent="0.25">
      <c r="A492" s="34">
        <v>481</v>
      </c>
      <c r="B492" s="35">
        <v>44407</v>
      </c>
      <c r="C492" s="34">
        <v>40676</v>
      </c>
      <c r="D492" s="34">
        <v>690972</v>
      </c>
      <c r="E492" s="34">
        <f t="shared" si="0"/>
        <v>731648</v>
      </c>
      <c r="F492" s="36">
        <f t="shared" si="1"/>
        <v>5.559504023792862E-2</v>
      </c>
    </row>
    <row r="493" spans="1:6" ht="13.2" x14ac:dyDescent="0.25">
      <c r="A493" s="34">
        <v>481</v>
      </c>
      <c r="B493" s="35">
        <v>44408</v>
      </c>
      <c r="C493" s="34">
        <v>40694</v>
      </c>
      <c r="D493" s="34">
        <v>690990</v>
      </c>
      <c r="E493" s="34">
        <f t="shared" si="0"/>
        <v>731684</v>
      </c>
      <c r="F493" s="36">
        <f t="shared" si="1"/>
        <v>5.5616905658726991E-2</v>
      </c>
    </row>
    <row r="494" spans="1:6" ht="13.2" x14ac:dyDescent="0.25">
      <c r="A494" s="34">
        <v>481</v>
      </c>
      <c r="B494" s="35">
        <v>44409</v>
      </c>
      <c r="C494" s="34">
        <v>40699</v>
      </c>
      <c r="D494" s="34">
        <v>690994</v>
      </c>
      <c r="E494" s="34">
        <f t="shared" si="0"/>
        <v>731693</v>
      </c>
      <c r="F494" s="36">
        <f t="shared" si="1"/>
        <v>5.5623055024443313E-2</v>
      </c>
    </row>
    <row r="495" spans="1:6" ht="13.2" x14ac:dyDescent="0.25">
      <c r="A495" s="34">
        <v>481</v>
      </c>
      <c r="B495" s="35">
        <v>44410</v>
      </c>
      <c r="C495" s="34">
        <v>40699</v>
      </c>
      <c r="D495" s="34">
        <v>690994</v>
      </c>
      <c r="E495" s="34">
        <f t="shared" si="0"/>
        <v>731693</v>
      </c>
      <c r="F495" s="36">
        <f t="shared" si="1"/>
        <v>5.5623055024443313E-2</v>
      </c>
    </row>
    <row r="496" spans="1:6" ht="13.2" x14ac:dyDescent="0.25">
      <c r="A496" s="34">
        <v>481</v>
      </c>
      <c r="B496" s="35">
        <v>44411</v>
      </c>
      <c r="C496" s="34">
        <v>40699</v>
      </c>
      <c r="D496" s="34">
        <v>690994</v>
      </c>
      <c r="E496" s="34">
        <f t="shared" si="0"/>
        <v>731693</v>
      </c>
      <c r="F496" s="36">
        <f t="shared" si="1"/>
        <v>5.5623055024443313E-2</v>
      </c>
    </row>
    <row r="497" spans="1:6" ht="13.2" x14ac:dyDescent="0.25">
      <c r="A497" s="34">
        <v>481</v>
      </c>
      <c r="B497" s="35">
        <v>44412</v>
      </c>
      <c r="C497" s="34">
        <v>40710</v>
      </c>
      <c r="D497" s="34">
        <v>690997</v>
      </c>
      <c r="E497" s="34">
        <f t="shared" si="0"/>
        <v>731707</v>
      </c>
      <c r="F497" s="36">
        <f t="shared" si="1"/>
        <v>5.5637024109377112E-2</v>
      </c>
    </row>
    <row r="498" spans="1:6" ht="13.2" x14ac:dyDescent="0.25">
      <c r="A498" s="34">
        <v>481</v>
      </c>
      <c r="B498" s="35">
        <v>44413</v>
      </c>
      <c r="C498" s="34">
        <v>40713</v>
      </c>
      <c r="D498" s="34">
        <v>691005</v>
      </c>
      <c r="E498" s="34">
        <f t="shared" si="0"/>
        <v>731718</v>
      </c>
      <c r="F498" s="36">
        <f t="shared" si="1"/>
        <v>5.5640287651800284E-2</v>
      </c>
    </row>
    <row r="499" spans="1:6" ht="13.2" x14ac:dyDescent="0.25">
      <c r="A499" s="34">
        <v>481</v>
      </c>
      <c r="B499" s="35">
        <v>44414</v>
      </c>
      <c r="C499" s="34">
        <v>40719</v>
      </c>
      <c r="D499" s="34">
        <v>691010</v>
      </c>
      <c r="E499" s="34">
        <f t="shared" si="0"/>
        <v>731729</v>
      </c>
      <c r="F499" s="36">
        <f t="shared" si="1"/>
        <v>5.5647650974609456E-2</v>
      </c>
    </row>
    <row r="500" spans="1:6" ht="13.2" x14ac:dyDescent="0.25">
      <c r="A500" s="34">
        <v>481</v>
      </c>
      <c r="B500" s="35">
        <v>44415</v>
      </c>
      <c r="C500" s="34">
        <v>40721</v>
      </c>
      <c r="D500" s="34">
        <v>691012</v>
      </c>
      <c r="E500" s="34">
        <f t="shared" si="0"/>
        <v>731733</v>
      </c>
      <c r="F500" s="36">
        <f t="shared" si="1"/>
        <v>5.5650080015524787E-2</v>
      </c>
    </row>
    <row r="501" spans="1:6" ht="13.2" x14ac:dyDescent="0.25">
      <c r="A501" s="34">
        <v>481</v>
      </c>
      <c r="B501" s="35">
        <v>44416</v>
      </c>
      <c r="C501" s="34">
        <v>40765</v>
      </c>
      <c r="D501" s="34">
        <v>691042</v>
      </c>
      <c r="E501" s="34">
        <f t="shared" si="0"/>
        <v>731807</v>
      </c>
      <c r="F501" s="36">
        <f t="shared" si="1"/>
        <v>5.5704577846344736E-2</v>
      </c>
    </row>
    <row r="502" spans="1:6" ht="13.2" x14ac:dyDescent="0.25">
      <c r="A502" s="34">
        <v>481</v>
      </c>
      <c r="B502" s="35">
        <v>44417</v>
      </c>
      <c r="C502" s="34">
        <v>40765</v>
      </c>
      <c r="D502" s="34">
        <v>691042</v>
      </c>
      <c r="E502" s="34">
        <f t="shared" si="0"/>
        <v>731807</v>
      </c>
      <c r="F502" s="36">
        <f t="shared" si="1"/>
        <v>5.5704577846344736E-2</v>
      </c>
    </row>
    <row r="503" spans="1:6" ht="13.2" x14ac:dyDescent="0.25">
      <c r="A503" s="34">
        <v>481</v>
      </c>
      <c r="B503" s="35">
        <v>44418</v>
      </c>
      <c r="C503" s="34">
        <v>40777</v>
      </c>
      <c r="D503" s="34">
        <v>691048</v>
      </c>
      <c r="E503" s="34">
        <f t="shared" si="0"/>
        <v>731825</v>
      </c>
      <c r="F503" s="36">
        <f t="shared" si="1"/>
        <v>5.5719605096846925E-2</v>
      </c>
    </row>
    <row r="504" spans="1:6" ht="13.2" x14ac:dyDescent="0.25">
      <c r="A504" s="34">
        <v>481</v>
      </c>
      <c r="B504" s="35">
        <v>44419</v>
      </c>
      <c r="C504" s="34">
        <v>40781</v>
      </c>
      <c r="D504" s="34">
        <v>691050</v>
      </c>
      <c r="E504" s="34">
        <f t="shared" si="0"/>
        <v>731831</v>
      </c>
      <c r="F504" s="36">
        <f t="shared" si="1"/>
        <v>5.5724614016077485E-2</v>
      </c>
    </row>
    <row r="505" spans="1:6" ht="13.2" x14ac:dyDescent="0.25">
      <c r="A505" s="34">
        <v>481</v>
      </c>
      <c r="B505" s="35">
        <v>44420</v>
      </c>
      <c r="C505" s="34">
        <v>40799</v>
      </c>
      <c r="D505" s="34">
        <v>691077</v>
      </c>
      <c r="E505" s="34">
        <f t="shared" si="0"/>
        <v>731876</v>
      </c>
      <c r="F505" s="36">
        <f t="shared" si="1"/>
        <v>5.5745782072372914E-2</v>
      </c>
    </row>
    <row r="506" spans="1:6" ht="13.2" x14ac:dyDescent="0.25">
      <c r="A506" s="34">
        <v>481</v>
      </c>
      <c r="B506" s="35">
        <v>44421</v>
      </c>
      <c r="C506" s="34">
        <v>40799</v>
      </c>
      <c r="D506" s="34">
        <v>691078</v>
      </c>
      <c r="E506" s="34">
        <f t="shared" si="0"/>
        <v>731877</v>
      </c>
      <c r="F506" s="36">
        <f t="shared" si="1"/>
        <v>5.5745705904134163E-2</v>
      </c>
    </row>
    <row r="507" spans="1:6" ht="13.2" x14ac:dyDescent="0.25">
      <c r="A507" s="34">
        <v>481</v>
      </c>
      <c r="B507" s="35">
        <v>44422</v>
      </c>
      <c r="C507" s="34">
        <v>40816</v>
      </c>
      <c r="D507" s="34">
        <v>691091</v>
      </c>
      <c r="E507" s="34">
        <f t="shared" si="0"/>
        <v>731907</v>
      </c>
      <c r="F507" s="36">
        <f t="shared" si="1"/>
        <v>5.5766647948441536E-2</v>
      </c>
    </row>
    <row r="508" spans="1:6" ht="15" customHeight="1" x14ac:dyDescent="0.25">
      <c r="A508" s="34">
        <v>481</v>
      </c>
      <c r="B508" s="35">
        <v>44423</v>
      </c>
      <c r="C508" s="34">
        <v>40822</v>
      </c>
      <c r="D508" s="34">
        <v>691105</v>
      </c>
      <c r="E508" s="34">
        <f t="shared" si="0"/>
        <v>731927</v>
      </c>
      <c r="F508" s="36">
        <f t="shared" si="1"/>
        <v>5.5773321656394696E-2</v>
      </c>
    </row>
    <row r="509" spans="1:6" ht="13.2" x14ac:dyDescent="0.25">
      <c r="A509" s="34">
        <v>481</v>
      </c>
      <c r="B509" s="35">
        <v>44424</v>
      </c>
      <c r="C509" s="34">
        <v>40823</v>
      </c>
      <c r="D509" s="34">
        <v>691105</v>
      </c>
      <c r="E509" s="34">
        <f t="shared" si="0"/>
        <v>731928</v>
      </c>
      <c r="F509" s="36">
        <f t="shared" si="1"/>
        <v>5.5774611710441464E-2</v>
      </c>
    </row>
    <row r="510" spans="1:6" ht="13.2" x14ac:dyDescent="0.25">
      <c r="A510" s="34">
        <v>481</v>
      </c>
      <c r="B510" s="35">
        <v>44425</v>
      </c>
      <c r="C510" s="34">
        <v>40823</v>
      </c>
      <c r="D510" s="34">
        <v>691106</v>
      </c>
      <c r="E510" s="34">
        <f t="shared" si="0"/>
        <v>731929</v>
      </c>
      <c r="F510" s="36">
        <f t="shared" si="1"/>
        <v>5.5774535508225524E-2</v>
      </c>
    </row>
    <row r="511" spans="1:6" ht="13.2" x14ac:dyDescent="0.25">
      <c r="A511" s="34">
        <v>481</v>
      </c>
      <c r="B511" s="35">
        <v>44426</v>
      </c>
      <c r="C511" s="34">
        <v>40833</v>
      </c>
      <c r="D511" s="34">
        <v>691113</v>
      </c>
      <c r="E511" s="34">
        <f t="shared" si="0"/>
        <v>731946</v>
      </c>
      <c r="F511" s="36">
        <f t="shared" si="1"/>
        <v>5.5786902312465671E-2</v>
      </c>
    </row>
    <row r="512" spans="1:6" ht="13.2" x14ac:dyDescent="0.25">
      <c r="A512" s="34">
        <v>481</v>
      </c>
      <c r="B512" s="35">
        <v>44427</v>
      </c>
      <c r="C512" s="34">
        <v>40844</v>
      </c>
      <c r="D512" s="34">
        <v>691132</v>
      </c>
      <c r="E512" s="34">
        <f t="shared" si="0"/>
        <v>731976</v>
      </c>
      <c r="F512" s="36">
        <f t="shared" si="1"/>
        <v>5.5799643704165167E-2</v>
      </c>
    </row>
    <row r="513" spans="1:6" ht="13.2" x14ac:dyDescent="0.25">
      <c r="A513" s="34">
        <v>481</v>
      </c>
      <c r="B513" s="35">
        <v>44428</v>
      </c>
      <c r="C513" s="34">
        <v>40864</v>
      </c>
      <c r="D513" s="34">
        <v>691133</v>
      </c>
      <c r="E513" s="34">
        <f t="shared" si="0"/>
        <v>731997</v>
      </c>
      <c r="F513" s="36">
        <f t="shared" si="1"/>
        <v>5.5825365404503023E-2</v>
      </c>
    </row>
    <row r="514" spans="1:6" ht="13.2" x14ac:dyDescent="0.25">
      <c r="A514" s="34">
        <v>481</v>
      </c>
      <c r="B514" s="35">
        <v>44429</v>
      </c>
      <c r="C514" s="34">
        <v>40873</v>
      </c>
      <c r="D514" s="34">
        <v>691146</v>
      </c>
      <c r="E514" s="34">
        <f t="shared" si="0"/>
        <v>732019</v>
      </c>
      <c r="F514" s="36">
        <f t="shared" si="1"/>
        <v>5.5835982399363951E-2</v>
      </c>
    </row>
    <row r="515" spans="1:6" ht="13.2" x14ac:dyDescent="0.25">
      <c r="A515" s="34">
        <v>481</v>
      </c>
      <c r="B515" s="35">
        <v>44430</v>
      </c>
      <c r="C515" s="34">
        <v>40888</v>
      </c>
      <c r="D515" s="34">
        <v>691156</v>
      </c>
      <c r="E515" s="34">
        <f t="shared" si="0"/>
        <v>732044</v>
      </c>
      <c r="F515" s="36">
        <f t="shared" si="1"/>
        <v>5.5854566118976455E-2</v>
      </c>
    </row>
    <row r="516" spans="1:6" ht="13.2" x14ac:dyDescent="0.25">
      <c r="A516" s="34">
        <v>481</v>
      </c>
      <c r="B516" s="35">
        <v>44431</v>
      </c>
      <c r="C516" s="34">
        <v>40889</v>
      </c>
      <c r="D516" s="34">
        <v>691157</v>
      </c>
      <c r="E516" s="34">
        <f t="shared" si="0"/>
        <v>732046</v>
      </c>
      <c r="F516" s="36">
        <f t="shared" si="1"/>
        <v>5.5855779554836719E-2</v>
      </c>
    </row>
    <row r="517" spans="1:6" ht="13.2" x14ac:dyDescent="0.25">
      <c r="A517" s="34">
        <v>481</v>
      </c>
      <c r="B517" s="35">
        <v>44432</v>
      </c>
      <c r="C517" s="34">
        <v>40891</v>
      </c>
      <c r="D517" s="34">
        <v>691157</v>
      </c>
      <c r="E517" s="34">
        <f t="shared" si="0"/>
        <v>732048</v>
      </c>
      <c r="F517" s="36">
        <f t="shared" si="1"/>
        <v>5.5858359014709418E-2</v>
      </c>
    </row>
    <row r="518" spans="1:6" ht="13.2" x14ac:dyDescent="0.25">
      <c r="A518" s="34">
        <v>481</v>
      </c>
      <c r="B518" s="35">
        <v>44433</v>
      </c>
      <c r="C518" s="34">
        <v>40906</v>
      </c>
      <c r="D518" s="34">
        <v>691161</v>
      </c>
      <c r="E518" s="34">
        <f t="shared" si="0"/>
        <v>732067</v>
      </c>
      <c r="F518" s="36">
        <f t="shared" si="1"/>
        <v>5.5877399199800018E-2</v>
      </c>
    </row>
    <row r="519" spans="1:6" ht="13.2" x14ac:dyDescent="0.25">
      <c r="A519" s="34">
        <v>481</v>
      </c>
      <c r="B519" s="35">
        <v>44434</v>
      </c>
      <c r="C519" s="34">
        <v>40913</v>
      </c>
      <c r="D519" s="34">
        <v>691166</v>
      </c>
      <c r="E519" s="34">
        <f t="shared" si="0"/>
        <v>732079</v>
      </c>
      <c r="F519" s="36">
        <f t="shared" si="1"/>
        <v>5.5886045085298174E-2</v>
      </c>
    </row>
    <row r="520" spans="1:6" ht="13.2" x14ac:dyDescent="0.25">
      <c r="A520" s="34">
        <v>481</v>
      </c>
      <c r="B520" s="35">
        <v>44435</v>
      </c>
      <c r="C520" s="34">
        <v>40931</v>
      </c>
      <c r="D520" s="34">
        <v>691186</v>
      </c>
      <c r="E520" s="34">
        <f t="shared" si="0"/>
        <v>732117</v>
      </c>
      <c r="F520" s="36">
        <f t="shared" si="1"/>
        <v>5.5907730594973205E-2</v>
      </c>
    </row>
    <row r="521" spans="1:6" ht="13.2" x14ac:dyDescent="0.25">
      <c r="A521" s="34">
        <v>481</v>
      </c>
      <c r="B521" s="35">
        <v>44436</v>
      </c>
      <c r="C521" s="34">
        <v>40938</v>
      </c>
      <c r="D521" s="34">
        <v>691189</v>
      </c>
      <c r="E521" s="34">
        <f t="shared" si="0"/>
        <v>732127</v>
      </c>
      <c r="F521" s="36">
        <f t="shared" si="1"/>
        <v>5.5916528143341249E-2</v>
      </c>
    </row>
    <row r="522" spans="1:6" ht="13.2" x14ac:dyDescent="0.25">
      <c r="A522" s="34">
        <v>481</v>
      </c>
      <c r="B522" s="35">
        <v>44437</v>
      </c>
      <c r="C522" s="34">
        <v>40949</v>
      </c>
      <c r="D522" s="34">
        <v>691196</v>
      </c>
      <c r="E522" s="34">
        <f t="shared" si="0"/>
        <v>732145</v>
      </c>
      <c r="F522" s="36">
        <f t="shared" si="1"/>
        <v>5.5930177765333371E-2</v>
      </c>
    </row>
    <row r="523" spans="1:6" ht="13.2" x14ac:dyDescent="0.25">
      <c r="A523" s="34">
        <v>481</v>
      </c>
      <c r="B523" s="35">
        <v>44438</v>
      </c>
      <c r="C523" s="34">
        <v>40953</v>
      </c>
      <c r="D523" s="34">
        <v>691200</v>
      </c>
      <c r="E523" s="34">
        <f t="shared" si="0"/>
        <v>732153</v>
      </c>
      <c r="F523" s="36">
        <f t="shared" si="1"/>
        <v>5.5935029973243296E-2</v>
      </c>
    </row>
    <row r="524" spans="1:6" ht="13.2" x14ac:dyDescent="0.25">
      <c r="C524" s="42"/>
      <c r="D524" s="42"/>
    </row>
    <row r="525" spans="1:6" ht="13.2" x14ac:dyDescent="0.25">
      <c r="C525" s="42"/>
      <c r="D525" s="42"/>
    </row>
    <row r="526" spans="1:6" ht="13.2" x14ac:dyDescent="0.25">
      <c r="C526" s="42"/>
      <c r="D526" s="42"/>
    </row>
    <row r="527" spans="1:6" ht="13.2" x14ac:dyDescent="0.25">
      <c r="C527" s="42"/>
      <c r="D527" s="42"/>
    </row>
    <row r="528" spans="1:6" ht="13.2" x14ac:dyDescent="0.25">
      <c r="C528" s="42"/>
      <c r="D528" s="42"/>
    </row>
    <row r="529" spans="3:4" ht="13.2" x14ac:dyDescent="0.25">
      <c r="C529" s="42"/>
      <c r="D529" s="42"/>
    </row>
    <row r="530" spans="3:4" ht="13.2" x14ac:dyDescent="0.25">
      <c r="C530" s="42"/>
      <c r="D530" s="42"/>
    </row>
    <row r="531" spans="3:4" ht="13.2" x14ac:dyDescent="0.25">
      <c r="C531" s="42"/>
      <c r="D531" s="42"/>
    </row>
    <row r="532" spans="3:4" ht="13.2" x14ac:dyDescent="0.25">
      <c r="C532" s="42"/>
      <c r="D532" s="42"/>
    </row>
    <row r="533" spans="3:4" ht="13.2" x14ac:dyDescent="0.25">
      <c r="C533" s="42"/>
      <c r="D533" s="42"/>
    </row>
    <row r="534" spans="3:4" ht="13.2" x14ac:dyDescent="0.25">
      <c r="C534" s="42"/>
      <c r="D534" s="42"/>
    </row>
    <row r="535" spans="3:4" ht="13.2" x14ac:dyDescent="0.25">
      <c r="C535" s="42"/>
      <c r="D535" s="42"/>
    </row>
    <row r="536" spans="3:4" ht="13.2" x14ac:dyDescent="0.25">
      <c r="C536" s="42"/>
      <c r="D536" s="42"/>
    </row>
    <row r="537" spans="3:4" ht="13.2" x14ac:dyDescent="0.25">
      <c r="C537" s="42"/>
      <c r="D537" s="42"/>
    </row>
    <row r="538" spans="3:4" ht="13.2" x14ac:dyDescent="0.25">
      <c r="C538" s="42"/>
      <c r="D538" s="42"/>
    </row>
    <row r="539" spans="3:4" ht="13.2" x14ac:dyDescent="0.25">
      <c r="C539" s="42"/>
      <c r="D539" s="42"/>
    </row>
    <row r="540" spans="3:4" ht="13.2" x14ac:dyDescent="0.25">
      <c r="C540" s="42"/>
      <c r="D540" s="42"/>
    </row>
    <row r="541" spans="3:4" ht="13.2" x14ac:dyDescent="0.25">
      <c r="C541" s="42"/>
      <c r="D541" s="42"/>
    </row>
    <row r="542" spans="3:4" ht="13.2" x14ac:dyDescent="0.25">
      <c r="C542" s="42"/>
      <c r="D542" s="42"/>
    </row>
    <row r="543" spans="3:4" ht="13.2" x14ac:dyDescent="0.25">
      <c r="C543" s="42"/>
      <c r="D543" s="42"/>
    </row>
    <row r="544" spans="3:4" ht="13.2" x14ac:dyDescent="0.25">
      <c r="C544" s="42"/>
      <c r="D544" s="42"/>
    </row>
    <row r="545" spans="3:4" ht="13.2" x14ac:dyDescent="0.25">
      <c r="C545" s="42"/>
      <c r="D545" s="42"/>
    </row>
    <row r="546" spans="3:4" ht="13.2" x14ac:dyDescent="0.25">
      <c r="C546" s="42"/>
      <c r="D546" s="42"/>
    </row>
    <row r="547" spans="3:4" ht="13.2" x14ac:dyDescent="0.25">
      <c r="C547" s="42"/>
      <c r="D547" s="42"/>
    </row>
    <row r="548" spans="3:4" ht="13.2" x14ac:dyDescent="0.25">
      <c r="C548" s="42"/>
      <c r="D548" s="42"/>
    </row>
    <row r="549" spans="3:4" ht="13.2" x14ac:dyDescent="0.25">
      <c r="C549" s="42"/>
      <c r="D549" s="42"/>
    </row>
    <row r="550" spans="3:4" ht="13.2" x14ac:dyDescent="0.25">
      <c r="C550" s="42"/>
      <c r="D550" s="42"/>
    </row>
    <row r="551" spans="3:4" ht="13.2" x14ac:dyDescent="0.25">
      <c r="C551" s="42"/>
      <c r="D551" s="42"/>
    </row>
    <row r="552" spans="3:4" ht="13.2" x14ac:dyDescent="0.25">
      <c r="C552" s="42"/>
      <c r="D552" s="42"/>
    </row>
    <row r="553" spans="3:4" ht="13.2" x14ac:dyDescent="0.25">
      <c r="C553" s="42"/>
      <c r="D553" s="42"/>
    </row>
    <row r="554" spans="3:4" ht="13.2" x14ac:dyDescent="0.25">
      <c r="C554" s="42"/>
      <c r="D554" s="42"/>
    </row>
    <row r="555" spans="3:4" ht="13.2" x14ac:dyDescent="0.25">
      <c r="C555" s="42"/>
      <c r="D555" s="42"/>
    </row>
    <row r="556" spans="3:4" ht="13.2" x14ac:dyDescent="0.25">
      <c r="C556" s="42"/>
      <c r="D556" s="42"/>
    </row>
    <row r="557" spans="3:4" ht="13.2" x14ac:dyDescent="0.25">
      <c r="C557" s="42"/>
      <c r="D557" s="42"/>
    </row>
    <row r="558" spans="3:4" ht="13.2" x14ac:dyDescent="0.25">
      <c r="C558" s="42"/>
      <c r="D558" s="42"/>
    </row>
    <row r="559" spans="3:4" ht="13.2" x14ac:dyDescent="0.25">
      <c r="C559" s="42"/>
      <c r="D559" s="42"/>
    </row>
    <row r="560" spans="3:4" ht="13.2" x14ac:dyDescent="0.25">
      <c r="C560" s="42"/>
      <c r="D560" s="42"/>
    </row>
    <row r="561" spans="3:4" ht="13.2" x14ac:dyDescent="0.25">
      <c r="C561" s="42"/>
      <c r="D561" s="42"/>
    </row>
    <row r="562" spans="3:4" ht="13.2" x14ac:dyDescent="0.25">
      <c r="C562" s="42"/>
      <c r="D562" s="42"/>
    </row>
    <row r="563" spans="3:4" ht="13.2" x14ac:dyDescent="0.25">
      <c r="C563" s="42"/>
      <c r="D563" s="42"/>
    </row>
    <row r="564" spans="3:4" ht="13.2" x14ac:dyDescent="0.25">
      <c r="C564" s="42"/>
      <c r="D564" s="42"/>
    </row>
    <row r="565" spans="3:4" ht="13.2" x14ac:dyDescent="0.25">
      <c r="C565" s="42"/>
      <c r="D565" s="42"/>
    </row>
    <row r="566" spans="3:4" ht="13.2" x14ac:dyDescent="0.25">
      <c r="C566" s="42"/>
      <c r="D566" s="42"/>
    </row>
    <row r="567" spans="3:4" ht="13.2" x14ac:dyDescent="0.25">
      <c r="C567" s="42"/>
      <c r="D567" s="42"/>
    </row>
    <row r="568" spans="3:4" ht="13.2" x14ac:dyDescent="0.25">
      <c r="C568" s="42"/>
      <c r="D568" s="42"/>
    </row>
    <row r="569" spans="3:4" ht="13.2" x14ac:dyDescent="0.25">
      <c r="C569" s="42"/>
      <c r="D569" s="42"/>
    </row>
    <row r="570" spans="3:4" ht="13.2" x14ac:dyDescent="0.25">
      <c r="C570" s="42"/>
      <c r="D570" s="42"/>
    </row>
    <row r="571" spans="3:4" ht="13.2" x14ac:dyDescent="0.25">
      <c r="C571" s="42"/>
      <c r="D571" s="42"/>
    </row>
    <row r="572" spans="3:4" ht="13.2" x14ac:dyDescent="0.25">
      <c r="C572" s="42"/>
      <c r="D572" s="42"/>
    </row>
    <row r="573" spans="3:4" ht="13.2" x14ac:dyDescent="0.25">
      <c r="C573" s="42"/>
      <c r="D573" s="42"/>
    </row>
    <row r="574" spans="3:4" ht="13.2" x14ac:dyDescent="0.25">
      <c r="C574" s="42"/>
      <c r="D574" s="42"/>
    </row>
    <row r="575" spans="3:4" ht="13.2" x14ac:dyDescent="0.25">
      <c r="C575" s="42"/>
      <c r="D575" s="42"/>
    </row>
    <row r="576" spans="3:4" ht="13.2" x14ac:dyDescent="0.25">
      <c r="C576" s="42"/>
      <c r="D576" s="42"/>
    </row>
    <row r="577" spans="3:4" ht="13.2" x14ac:dyDescent="0.25">
      <c r="C577" s="42"/>
      <c r="D577" s="42"/>
    </row>
    <row r="578" spans="3:4" ht="13.2" x14ac:dyDescent="0.25">
      <c r="C578" s="42"/>
      <c r="D578" s="42"/>
    </row>
    <row r="579" spans="3:4" ht="13.2" x14ac:dyDescent="0.25">
      <c r="C579" s="42"/>
      <c r="D579" s="42"/>
    </row>
    <row r="580" spans="3:4" ht="13.2" x14ac:dyDescent="0.25">
      <c r="C580" s="42"/>
      <c r="D580" s="42"/>
    </row>
    <row r="581" spans="3:4" ht="13.2" x14ac:dyDescent="0.25">
      <c r="C581" s="42"/>
      <c r="D581" s="42"/>
    </row>
    <row r="582" spans="3:4" ht="13.2" x14ac:dyDescent="0.25">
      <c r="C582" s="42"/>
      <c r="D582" s="42"/>
    </row>
    <row r="583" spans="3:4" ht="13.2" x14ac:dyDescent="0.25">
      <c r="C583" s="42"/>
      <c r="D583" s="42"/>
    </row>
    <row r="584" spans="3:4" ht="13.2" x14ac:dyDescent="0.25">
      <c r="C584" s="42"/>
      <c r="D584" s="42"/>
    </row>
    <row r="585" spans="3:4" ht="13.2" x14ac:dyDescent="0.25">
      <c r="C585" s="42"/>
      <c r="D585" s="42"/>
    </row>
    <row r="586" spans="3:4" ht="13.2" x14ac:dyDescent="0.25">
      <c r="C586" s="42"/>
      <c r="D586" s="42"/>
    </row>
    <row r="587" spans="3:4" ht="13.2" x14ac:dyDescent="0.25">
      <c r="C587" s="42"/>
      <c r="D587" s="42"/>
    </row>
    <row r="588" spans="3:4" ht="13.2" x14ac:dyDescent="0.25">
      <c r="C588" s="42"/>
      <c r="D588" s="42"/>
    </row>
    <row r="589" spans="3:4" ht="13.2" x14ac:dyDescent="0.25">
      <c r="C589" s="42"/>
      <c r="D589" s="42"/>
    </row>
    <row r="590" spans="3:4" ht="13.2" x14ac:dyDescent="0.25">
      <c r="C590" s="42"/>
      <c r="D590" s="42"/>
    </row>
    <row r="591" spans="3:4" ht="13.2" x14ac:dyDescent="0.25">
      <c r="C591" s="42"/>
      <c r="D591" s="42"/>
    </row>
    <row r="592" spans="3:4" ht="13.2" x14ac:dyDescent="0.25">
      <c r="C592" s="42"/>
      <c r="D592" s="42"/>
    </row>
    <row r="593" spans="3:4" ht="13.2" x14ac:dyDescent="0.25">
      <c r="C593" s="42"/>
      <c r="D593" s="42"/>
    </row>
    <row r="594" spans="3:4" ht="13.2" x14ac:dyDescent="0.25">
      <c r="C594" s="42"/>
      <c r="D594" s="42"/>
    </row>
    <row r="595" spans="3:4" ht="13.2" x14ac:dyDescent="0.25">
      <c r="C595" s="42"/>
      <c r="D595" s="42"/>
    </row>
    <row r="596" spans="3:4" ht="13.2" x14ac:dyDescent="0.25">
      <c r="C596" s="42"/>
      <c r="D596" s="42"/>
    </row>
    <row r="597" spans="3:4" ht="13.2" x14ac:dyDescent="0.25">
      <c r="C597" s="42"/>
      <c r="D597" s="42"/>
    </row>
    <row r="598" spans="3:4" ht="13.2" x14ac:dyDescent="0.25">
      <c r="C598" s="42"/>
      <c r="D598" s="42"/>
    </row>
    <row r="599" spans="3:4" ht="13.2" x14ac:dyDescent="0.25">
      <c r="C599" s="42"/>
      <c r="D599" s="42"/>
    </row>
    <row r="600" spans="3:4" ht="13.2" x14ac:dyDescent="0.25">
      <c r="C600" s="42"/>
      <c r="D600" s="42"/>
    </row>
    <row r="601" spans="3:4" ht="13.2" x14ac:dyDescent="0.25">
      <c r="C601" s="42"/>
      <c r="D601" s="42"/>
    </row>
    <row r="602" spans="3:4" ht="13.2" x14ac:dyDescent="0.25">
      <c r="C602" s="42"/>
      <c r="D602" s="42"/>
    </row>
    <row r="603" spans="3:4" ht="13.2" x14ac:dyDescent="0.25">
      <c r="C603" s="42"/>
      <c r="D603" s="42"/>
    </row>
    <row r="604" spans="3:4" ht="13.2" x14ac:dyDescent="0.25">
      <c r="C604" s="42"/>
      <c r="D604" s="42"/>
    </row>
    <row r="605" spans="3:4" ht="13.2" x14ac:dyDescent="0.25">
      <c r="C605" s="42"/>
      <c r="D605" s="42"/>
    </row>
    <row r="606" spans="3:4" ht="13.2" x14ac:dyDescent="0.25">
      <c r="C606" s="42"/>
      <c r="D606" s="42"/>
    </row>
    <row r="607" spans="3:4" ht="13.2" x14ac:dyDescent="0.25">
      <c r="C607" s="42"/>
      <c r="D607" s="42"/>
    </row>
    <row r="608" spans="3:4" ht="13.2" x14ac:dyDescent="0.25">
      <c r="C608" s="42"/>
      <c r="D608" s="42"/>
    </row>
    <row r="609" spans="3:4" ht="13.2" x14ac:dyDescent="0.25">
      <c r="C609" s="42"/>
      <c r="D609" s="42"/>
    </row>
    <row r="610" spans="3:4" ht="13.2" x14ac:dyDescent="0.25">
      <c r="C610" s="42"/>
      <c r="D610" s="42"/>
    </row>
    <row r="611" spans="3:4" ht="13.2" x14ac:dyDescent="0.25">
      <c r="C611" s="42"/>
      <c r="D611" s="42"/>
    </row>
    <row r="612" spans="3:4" ht="13.2" x14ac:dyDescent="0.25">
      <c r="C612" s="42"/>
      <c r="D612" s="42"/>
    </row>
    <row r="613" spans="3:4" ht="13.2" x14ac:dyDescent="0.25">
      <c r="C613" s="42"/>
      <c r="D613" s="42"/>
    </row>
    <row r="614" spans="3:4" ht="13.2" x14ac:dyDescent="0.25">
      <c r="C614" s="42"/>
      <c r="D614" s="42"/>
    </row>
    <row r="615" spans="3:4" ht="13.2" x14ac:dyDescent="0.25">
      <c r="C615" s="42"/>
      <c r="D615" s="42"/>
    </row>
    <row r="616" spans="3:4" ht="13.2" x14ac:dyDescent="0.25">
      <c r="C616" s="42"/>
      <c r="D616" s="42"/>
    </row>
    <row r="617" spans="3:4" ht="13.2" x14ac:dyDescent="0.25">
      <c r="C617" s="42"/>
      <c r="D617" s="42"/>
    </row>
    <row r="618" spans="3:4" ht="13.2" x14ac:dyDescent="0.25">
      <c r="C618" s="42"/>
      <c r="D618" s="42"/>
    </row>
    <row r="619" spans="3:4" ht="13.2" x14ac:dyDescent="0.25">
      <c r="C619" s="42"/>
      <c r="D619" s="42"/>
    </row>
    <row r="620" spans="3:4" ht="13.2" x14ac:dyDescent="0.25">
      <c r="C620" s="42"/>
      <c r="D620" s="42"/>
    </row>
    <row r="621" spans="3:4" ht="13.2" x14ac:dyDescent="0.25">
      <c r="C621" s="42"/>
      <c r="D621" s="42"/>
    </row>
    <row r="622" spans="3:4" ht="13.2" x14ac:dyDescent="0.25">
      <c r="C622" s="42"/>
      <c r="D622" s="42"/>
    </row>
    <row r="623" spans="3:4" ht="13.2" x14ac:dyDescent="0.25">
      <c r="C623" s="42"/>
      <c r="D623" s="42"/>
    </row>
    <row r="624" spans="3:4" ht="13.2" x14ac:dyDescent="0.25">
      <c r="C624" s="42"/>
      <c r="D624" s="42"/>
    </row>
    <row r="625" spans="3:4" ht="13.2" x14ac:dyDescent="0.25">
      <c r="C625" s="42"/>
      <c r="D625" s="42"/>
    </row>
    <row r="626" spans="3:4" ht="13.2" x14ac:dyDescent="0.25">
      <c r="C626" s="42"/>
      <c r="D626" s="42"/>
    </row>
    <row r="627" spans="3:4" ht="13.2" x14ac:dyDescent="0.25">
      <c r="C627" s="42"/>
      <c r="D627" s="42"/>
    </row>
    <row r="628" spans="3:4" ht="13.2" x14ac:dyDescent="0.25">
      <c r="C628" s="42"/>
      <c r="D628" s="42"/>
    </row>
    <row r="629" spans="3:4" ht="13.2" x14ac:dyDescent="0.25">
      <c r="C629" s="42"/>
      <c r="D629" s="42"/>
    </row>
    <row r="630" spans="3:4" ht="13.2" x14ac:dyDescent="0.25">
      <c r="C630" s="42"/>
      <c r="D630" s="42"/>
    </row>
    <row r="631" spans="3:4" ht="13.2" x14ac:dyDescent="0.25">
      <c r="C631" s="42"/>
      <c r="D631" s="42"/>
    </row>
    <row r="632" spans="3:4" ht="13.2" x14ac:dyDescent="0.25">
      <c r="C632" s="42"/>
      <c r="D632" s="42"/>
    </row>
    <row r="633" spans="3:4" ht="13.2" x14ac:dyDescent="0.25">
      <c r="C633" s="42"/>
      <c r="D633" s="42"/>
    </row>
    <row r="634" spans="3:4" ht="13.2" x14ac:dyDescent="0.25">
      <c r="C634" s="42"/>
      <c r="D634" s="42"/>
    </row>
    <row r="635" spans="3:4" ht="13.2" x14ac:dyDescent="0.25">
      <c r="C635" s="42"/>
      <c r="D635" s="42"/>
    </row>
    <row r="636" spans="3:4" ht="13.2" x14ac:dyDescent="0.25">
      <c r="C636" s="42"/>
      <c r="D636" s="42"/>
    </row>
    <row r="637" spans="3:4" ht="13.2" x14ac:dyDescent="0.25">
      <c r="C637" s="42"/>
      <c r="D637" s="42"/>
    </row>
    <row r="638" spans="3:4" ht="13.2" x14ac:dyDescent="0.25">
      <c r="C638" s="42"/>
      <c r="D638" s="42"/>
    </row>
    <row r="639" spans="3:4" ht="13.2" x14ac:dyDescent="0.25">
      <c r="C639" s="42"/>
      <c r="D639" s="42"/>
    </row>
    <row r="640" spans="3:4" ht="13.2" x14ac:dyDescent="0.25">
      <c r="C640" s="42"/>
      <c r="D640" s="42"/>
    </row>
    <row r="641" spans="3:4" ht="13.2" x14ac:dyDescent="0.25">
      <c r="C641" s="42"/>
      <c r="D641" s="42"/>
    </row>
    <row r="642" spans="3:4" ht="13.2" x14ac:dyDescent="0.25">
      <c r="C642" s="42"/>
      <c r="D642" s="42"/>
    </row>
    <row r="643" spans="3:4" ht="13.2" x14ac:dyDescent="0.25">
      <c r="C643" s="42"/>
      <c r="D643" s="42"/>
    </row>
    <row r="644" spans="3:4" ht="13.2" x14ac:dyDescent="0.25">
      <c r="C644" s="42"/>
      <c r="D644" s="42"/>
    </row>
    <row r="645" spans="3:4" ht="13.2" x14ac:dyDescent="0.25">
      <c r="C645" s="42"/>
      <c r="D645" s="42"/>
    </row>
    <row r="646" spans="3:4" ht="13.2" x14ac:dyDescent="0.25">
      <c r="C646" s="42"/>
      <c r="D646" s="42"/>
    </row>
    <row r="647" spans="3:4" ht="13.2" x14ac:dyDescent="0.25">
      <c r="C647" s="42"/>
      <c r="D647" s="42"/>
    </row>
    <row r="648" spans="3:4" ht="13.2" x14ac:dyDescent="0.25">
      <c r="C648" s="42"/>
      <c r="D648" s="42"/>
    </row>
    <row r="649" spans="3:4" ht="13.2" x14ac:dyDescent="0.25">
      <c r="C649" s="42"/>
      <c r="D649" s="42"/>
    </row>
    <row r="650" spans="3:4" ht="13.2" x14ac:dyDescent="0.25">
      <c r="C650" s="42"/>
      <c r="D650" s="42"/>
    </row>
    <row r="651" spans="3:4" ht="13.2" x14ac:dyDescent="0.25">
      <c r="C651" s="42"/>
      <c r="D651" s="42"/>
    </row>
    <row r="652" spans="3:4" ht="13.2" x14ac:dyDescent="0.25">
      <c r="C652" s="42"/>
      <c r="D652" s="42"/>
    </row>
    <row r="653" spans="3:4" ht="13.2" x14ac:dyDescent="0.25">
      <c r="C653" s="42"/>
      <c r="D653" s="42"/>
    </row>
    <row r="654" spans="3:4" ht="13.2" x14ac:dyDescent="0.25">
      <c r="C654" s="42"/>
      <c r="D654" s="42"/>
    </row>
    <row r="655" spans="3:4" ht="13.2" x14ac:dyDescent="0.25">
      <c r="C655" s="42"/>
      <c r="D655" s="42"/>
    </row>
    <row r="656" spans="3:4" ht="13.2" x14ac:dyDescent="0.25">
      <c r="C656" s="42"/>
      <c r="D656" s="42"/>
    </row>
    <row r="657" spans="3:4" ht="13.2" x14ac:dyDescent="0.25">
      <c r="C657" s="42"/>
      <c r="D657" s="42"/>
    </row>
    <row r="658" spans="3:4" ht="13.2" x14ac:dyDescent="0.25">
      <c r="C658" s="42"/>
      <c r="D658" s="42"/>
    </row>
    <row r="659" spans="3:4" ht="13.2" x14ac:dyDescent="0.25">
      <c r="C659" s="42"/>
      <c r="D659" s="42"/>
    </row>
    <row r="660" spans="3:4" ht="13.2" x14ac:dyDescent="0.25">
      <c r="C660" s="42"/>
      <c r="D660" s="42"/>
    </row>
    <row r="661" spans="3:4" ht="13.2" x14ac:dyDescent="0.25">
      <c r="C661" s="42"/>
      <c r="D661" s="42"/>
    </row>
    <row r="662" spans="3:4" ht="13.2" x14ac:dyDescent="0.25">
      <c r="C662" s="42"/>
      <c r="D662" s="42"/>
    </row>
    <row r="663" spans="3:4" ht="13.2" x14ac:dyDescent="0.25">
      <c r="C663" s="42"/>
      <c r="D663" s="42"/>
    </row>
    <row r="664" spans="3:4" ht="13.2" x14ac:dyDescent="0.25">
      <c r="C664" s="42"/>
      <c r="D664" s="42"/>
    </row>
    <row r="665" spans="3:4" ht="13.2" x14ac:dyDescent="0.25">
      <c r="C665" s="42"/>
      <c r="D665" s="42"/>
    </row>
    <row r="666" spans="3:4" ht="13.2" x14ac:dyDescent="0.25">
      <c r="C666" s="42"/>
      <c r="D666" s="42"/>
    </row>
    <row r="667" spans="3:4" ht="13.2" x14ac:dyDescent="0.25">
      <c r="C667" s="42"/>
      <c r="D667" s="42"/>
    </row>
    <row r="668" spans="3:4" ht="13.2" x14ac:dyDescent="0.25">
      <c r="C668" s="42"/>
      <c r="D668" s="42"/>
    </row>
    <row r="669" spans="3:4" ht="13.2" x14ac:dyDescent="0.25">
      <c r="C669" s="42"/>
      <c r="D669" s="42"/>
    </row>
    <row r="670" spans="3:4" ht="13.2" x14ac:dyDescent="0.25">
      <c r="C670" s="42"/>
      <c r="D670" s="42"/>
    </row>
    <row r="671" spans="3:4" ht="13.2" x14ac:dyDescent="0.25">
      <c r="C671" s="42"/>
      <c r="D671" s="42"/>
    </row>
    <row r="672" spans="3:4" ht="13.2" x14ac:dyDescent="0.25">
      <c r="C672" s="42"/>
      <c r="D672" s="42"/>
    </row>
    <row r="673" spans="3:4" ht="13.2" x14ac:dyDescent="0.25">
      <c r="C673" s="42"/>
      <c r="D673" s="42"/>
    </row>
    <row r="674" spans="3:4" ht="13.2" x14ac:dyDescent="0.25">
      <c r="C674" s="42"/>
      <c r="D674" s="42"/>
    </row>
    <row r="675" spans="3:4" ht="13.2" x14ac:dyDescent="0.25">
      <c r="C675" s="42"/>
      <c r="D675" s="42"/>
    </row>
    <row r="676" spans="3:4" ht="13.2" x14ac:dyDescent="0.25">
      <c r="C676" s="42"/>
      <c r="D676" s="42"/>
    </row>
    <row r="677" spans="3:4" ht="13.2" x14ac:dyDescent="0.25">
      <c r="C677" s="42"/>
      <c r="D677" s="42"/>
    </row>
    <row r="678" spans="3:4" ht="13.2" x14ac:dyDescent="0.25">
      <c r="C678" s="42"/>
      <c r="D678" s="42"/>
    </row>
    <row r="679" spans="3:4" ht="13.2" x14ac:dyDescent="0.25">
      <c r="C679" s="42"/>
      <c r="D679" s="42"/>
    </row>
    <row r="680" spans="3:4" ht="13.2" x14ac:dyDescent="0.25">
      <c r="C680" s="42"/>
      <c r="D680" s="42"/>
    </row>
    <row r="681" spans="3:4" ht="13.2" x14ac:dyDescent="0.25">
      <c r="C681" s="42"/>
      <c r="D681" s="42"/>
    </row>
    <row r="682" spans="3:4" ht="13.2" x14ac:dyDescent="0.25">
      <c r="C682" s="42"/>
      <c r="D682" s="42"/>
    </row>
    <row r="683" spans="3:4" ht="13.2" x14ac:dyDescent="0.25">
      <c r="C683" s="42"/>
      <c r="D683" s="42"/>
    </row>
    <row r="684" spans="3:4" ht="13.2" x14ac:dyDescent="0.25">
      <c r="C684" s="42"/>
      <c r="D684" s="42"/>
    </row>
    <row r="685" spans="3:4" ht="13.2" x14ac:dyDescent="0.25">
      <c r="C685" s="42"/>
      <c r="D685" s="42"/>
    </row>
    <row r="686" spans="3:4" ht="13.2" x14ac:dyDescent="0.25">
      <c r="C686" s="42"/>
      <c r="D686" s="42"/>
    </row>
    <row r="687" spans="3:4" ht="13.2" x14ac:dyDescent="0.25">
      <c r="C687" s="42"/>
      <c r="D687" s="42"/>
    </row>
    <row r="688" spans="3:4" ht="13.2" x14ac:dyDescent="0.25">
      <c r="C688" s="42"/>
      <c r="D688" s="42"/>
    </row>
    <row r="689" spans="3:4" ht="13.2" x14ac:dyDescent="0.25">
      <c r="C689" s="42"/>
      <c r="D689" s="42"/>
    </row>
    <row r="690" spans="3:4" ht="13.2" x14ac:dyDescent="0.25">
      <c r="C690" s="42"/>
      <c r="D690" s="42"/>
    </row>
    <row r="691" spans="3:4" ht="13.2" x14ac:dyDescent="0.25">
      <c r="C691" s="42"/>
      <c r="D691" s="42"/>
    </row>
    <row r="692" spans="3:4" ht="13.2" x14ac:dyDescent="0.25">
      <c r="C692" s="42"/>
      <c r="D692" s="42"/>
    </row>
    <row r="693" spans="3:4" ht="13.2" x14ac:dyDescent="0.25">
      <c r="C693" s="42"/>
      <c r="D693" s="42"/>
    </row>
    <row r="694" spans="3:4" ht="13.2" x14ac:dyDescent="0.25">
      <c r="C694" s="42"/>
      <c r="D694" s="42"/>
    </row>
    <row r="695" spans="3:4" ht="13.2" x14ac:dyDescent="0.25">
      <c r="C695" s="42"/>
      <c r="D695" s="42"/>
    </row>
    <row r="696" spans="3:4" ht="13.2" x14ac:dyDescent="0.25">
      <c r="C696" s="42"/>
      <c r="D696" s="42"/>
    </row>
    <row r="697" spans="3:4" ht="13.2" x14ac:dyDescent="0.25">
      <c r="C697" s="42"/>
      <c r="D697" s="42"/>
    </row>
    <row r="698" spans="3:4" ht="13.2" x14ac:dyDescent="0.25">
      <c r="C698" s="42"/>
      <c r="D698" s="42"/>
    </row>
    <row r="699" spans="3:4" ht="13.2" x14ac:dyDescent="0.25">
      <c r="C699" s="42"/>
      <c r="D699" s="42"/>
    </row>
    <row r="700" spans="3:4" ht="13.2" x14ac:dyDescent="0.25">
      <c r="C700" s="42"/>
      <c r="D700" s="42"/>
    </row>
    <row r="701" spans="3:4" ht="13.2" x14ac:dyDescent="0.25">
      <c r="C701" s="42"/>
      <c r="D701" s="42"/>
    </row>
    <row r="702" spans="3:4" ht="13.2" x14ac:dyDescent="0.25">
      <c r="C702" s="42"/>
      <c r="D702" s="42"/>
    </row>
    <row r="703" spans="3:4" ht="13.2" x14ac:dyDescent="0.25">
      <c r="C703" s="42"/>
      <c r="D703" s="42"/>
    </row>
    <row r="704" spans="3:4" ht="13.2" x14ac:dyDescent="0.25">
      <c r="C704" s="42"/>
      <c r="D704" s="42"/>
    </row>
    <row r="705" spans="3:4" ht="13.2" x14ac:dyDescent="0.25">
      <c r="C705" s="42"/>
      <c r="D705" s="42"/>
    </row>
    <row r="706" spans="3:4" ht="13.2" x14ac:dyDescent="0.25">
      <c r="C706" s="42"/>
      <c r="D706" s="42"/>
    </row>
    <row r="707" spans="3:4" ht="13.2" x14ac:dyDescent="0.25">
      <c r="C707" s="42"/>
      <c r="D707" s="42"/>
    </row>
    <row r="708" spans="3:4" ht="13.2" x14ac:dyDescent="0.25">
      <c r="C708" s="42"/>
      <c r="D708" s="42"/>
    </row>
    <row r="709" spans="3:4" ht="13.2" x14ac:dyDescent="0.25">
      <c r="C709" s="42"/>
      <c r="D709" s="42"/>
    </row>
    <row r="710" spans="3:4" ht="13.2" x14ac:dyDescent="0.25">
      <c r="C710" s="42"/>
      <c r="D710" s="42"/>
    </row>
    <row r="711" spans="3:4" ht="13.2" x14ac:dyDescent="0.25">
      <c r="C711" s="42"/>
      <c r="D711" s="42"/>
    </row>
    <row r="712" spans="3:4" ht="13.2" x14ac:dyDescent="0.25">
      <c r="C712" s="42"/>
      <c r="D712" s="42"/>
    </row>
    <row r="713" spans="3:4" ht="13.2" x14ac:dyDescent="0.25">
      <c r="C713" s="42"/>
      <c r="D713" s="42"/>
    </row>
    <row r="714" spans="3:4" ht="13.2" x14ac:dyDescent="0.25">
      <c r="C714" s="42"/>
      <c r="D714" s="42"/>
    </row>
    <row r="715" spans="3:4" ht="13.2" x14ac:dyDescent="0.25">
      <c r="C715" s="42"/>
      <c r="D715" s="42"/>
    </row>
    <row r="716" spans="3:4" ht="13.2" x14ac:dyDescent="0.25">
      <c r="C716" s="42"/>
      <c r="D716" s="42"/>
    </row>
    <row r="717" spans="3:4" ht="13.2" x14ac:dyDescent="0.25">
      <c r="C717" s="42"/>
      <c r="D717" s="42"/>
    </row>
    <row r="718" spans="3:4" ht="13.2" x14ac:dyDescent="0.25">
      <c r="C718" s="42"/>
      <c r="D718" s="42"/>
    </row>
    <row r="719" spans="3:4" ht="13.2" x14ac:dyDescent="0.25">
      <c r="C719" s="42"/>
      <c r="D719" s="42"/>
    </row>
    <row r="720" spans="3:4" ht="13.2" x14ac:dyDescent="0.25">
      <c r="C720" s="42"/>
      <c r="D720" s="42"/>
    </row>
    <row r="721" spans="3:4" ht="13.2" x14ac:dyDescent="0.25">
      <c r="C721" s="42"/>
      <c r="D721" s="42"/>
    </row>
    <row r="722" spans="3:4" ht="13.2" x14ac:dyDescent="0.25">
      <c r="C722" s="42"/>
      <c r="D722" s="42"/>
    </row>
    <row r="723" spans="3:4" ht="13.2" x14ac:dyDescent="0.25">
      <c r="C723" s="42"/>
      <c r="D723" s="42"/>
    </row>
    <row r="724" spans="3:4" ht="13.2" x14ac:dyDescent="0.25">
      <c r="C724" s="42"/>
      <c r="D724" s="42"/>
    </row>
    <row r="725" spans="3:4" ht="13.2" x14ac:dyDescent="0.25">
      <c r="C725" s="42"/>
      <c r="D725" s="42"/>
    </row>
    <row r="726" spans="3:4" ht="13.2" x14ac:dyDescent="0.25">
      <c r="C726" s="42"/>
      <c r="D726" s="42"/>
    </row>
    <row r="727" spans="3:4" ht="13.2" x14ac:dyDescent="0.25">
      <c r="C727" s="42"/>
      <c r="D727" s="42"/>
    </row>
    <row r="728" spans="3:4" ht="13.2" x14ac:dyDescent="0.25">
      <c r="C728" s="42"/>
      <c r="D728" s="42"/>
    </row>
    <row r="729" spans="3:4" ht="13.2" x14ac:dyDescent="0.25">
      <c r="C729" s="42"/>
      <c r="D729" s="42"/>
    </row>
    <row r="730" spans="3:4" ht="13.2" x14ac:dyDescent="0.25">
      <c r="C730" s="42"/>
      <c r="D730" s="42"/>
    </row>
    <row r="731" spans="3:4" ht="13.2" x14ac:dyDescent="0.25">
      <c r="C731" s="42"/>
      <c r="D731" s="42"/>
    </row>
    <row r="732" spans="3:4" ht="13.2" x14ac:dyDescent="0.25">
      <c r="C732" s="42"/>
      <c r="D732" s="42"/>
    </row>
    <row r="733" spans="3:4" ht="13.2" x14ac:dyDescent="0.25">
      <c r="C733" s="42"/>
      <c r="D733" s="42"/>
    </row>
    <row r="734" spans="3:4" ht="13.2" x14ac:dyDescent="0.25">
      <c r="C734" s="42"/>
      <c r="D734" s="42"/>
    </row>
    <row r="735" spans="3:4" ht="13.2" x14ac:dyDescent="0.25">
      <c r="C735" s="42"/>
      <c r="D735" s="42"/>
    </row>
    <row r="736" spans="3:4" ht="13.2" x14ac:dyDescent="0.25">
      <c r="C736" s="42"/>
      <c r="D736" s="42"/>
    </row>
    <row r="737" spans="3:4" ht="13.2" x14ac:dyDescent="0.25">
      <c r="C737" s="42"/>
      <c r="D737" s="42"/>
    </row>
    <row r="738" spans="3:4" ht="13.2" x14ac:dyDescent="0.25">
      <c r="C738" s="42"/>
      <c r="D738" s="42"/>
    </row>
    <row r="739" spans="3:4" ht="13.2" x14ac:dyDescent="0.25">
      <c r="C739" s="42"/>
      <c r="D739" s="42"/>
    </row>
    <row r="740" spans="3:4" ht="13.2" x14ac:dyDescent="0.25">
      <c r="C740" s="42"/>
      <c r="D740" s="42"/>
    </row>
    <row r="741" spans="3:4" ht="13.2" x14ac:dyDescent="0.25">
      <c r="C741" s="42"/>
      <c r="D741" s="42"/>
    </row>
    <row r="742" spans="3:4" ht="13.2" x14ac:dyDescent="0.25">
      <c r="C742" s="42"/>
      <c r="D742" s="42"/>
    </row>
    <row r="743" spans="3:4" ht="13.2" x14ac:dyDescent="0.25">
      <c r="C743" s="42"/>
      <c r="D743" s="42"/>
    </row>
    <row r="744" spans="3:4" ht="13.2" x14ac:dyDescent="0.25">
      <c r="C744" s="42"/>
      <c r="D744" s="42"/>
    </row>
    <row r="745" spans="3:4" ht="13.2" x14ac:dyDescent="0.25">
      <c r="C745" s="42"/>
      <c r="D745" s="42"/>
    </row>
    <row r="746" spans="3:4" ht="13.2" x14ac:dyDescent="0.25">
      <c r="C746" s="42"/>
      <c r="D746" s="42"/>
    </row>
    <row r="747" spans="3:4" ht="13.2" x14ac:dyDescent="0.25">
      <c r="C747" s="42"/>
      <c r="D747" s="42"/>
    </row>
    <row r="748" spans="3:4" ht="13.2" x14ac:dyDescent="0.25">
      <c r="C748" s="42"/>
      <c r="D748" s="42"/>
    </row>
    <row r="749" spans="3:4" ht="13.2" x14ac:dyDescent="0.25">
      <c r="C749" s="42"/>
      <c r="D749" s="42"/>
    </row>
    <row r="750" spans="3:4" ht="13.2" x14ac:dyDescent="0.25">
      <c r="C750" s="42"/>
      <c r="D750" s="42"/>
    </row>
    <row r="751" spans="3:4" ht="13.2" x14ac:dyDescent="0.25">
      <c r="C751" s="42"/>
      <c r="D751" s="42"/>
    </row>
    <row r="752" spans="3:4" ht="13.2" x14ac:dyDescent="0.25">
      <c r="C752" s="42"/>
      <c r="D752" s="42"/>
    </row>
    <row r="753" spans="3:4" ht="13.2" x14ac:dyDescent="0.25">
      <c r="C753" s="42"/>
      <c r="D753" s="42"/>
    </row>
    <row r="754" spans="3:4" ht="13.2" x14ac:dyDescent="0.25">
      <c r="C754" s="42"/>
      <c r="D754" s="42"/>
    </row>
    <row r="755" spans="3:4" ht="13.2" x14ac:dyDescent="0.25">
      <c r="C755" s="42"/>
      <c r="D755" s="42"/>
    </row>
    <row r="756" spans="3:4" ht="13.2" x14ac:dyDescent="0.25">
      <c r="C756" s="42"/>
      <c r="D756" s="42"/>
    </row>
    <row r="757" spans="3:4" ht="13.2" x14ac:dyDescent="0.25">
      <c r="C757" s="42"/>
      <c r="D757" s="42"/>
    </row>
    <row r="758" spans="3:4" ht="13.2" x14ac:dyDescent="0.25">
      <c r="C758" s="42"/>
      <c r="D758" s="42"/>
    </row>
    <row r="759" spans="3:4" ht="13.2" x14ac:dyDescent="0.25">
      <c r="C759" s="42"/>
      <c r="D759" s="42"/>
    </row>
    <row r="760" spans="3:4" ht="13.2" x14ac:dyDescent="0.25">
      <c r="C760" s="42"/>
      <c r="D760" s="42"/>
    </row>
    <row r="761" spans="3:4" ht="13.2" x14ac:dyDescent="0.25">
      <c r="C761" s="42"/>
      <c r="D761" s="42"/>
    </row>
    <row r="762" spans="3:4" ht="13.2" x14ac:dyDescent="0.25">
      <c r="C762" s="42"/>
      <c r="D762" s="42"/>
    </row>
    <row r="763" spans="3:4" ht="13.2" x14ac:dyDescent="0.25">
      <c r="C763" s="42"/>
      <c r="D763" s="42"/>
    </row>
    <row r="764" spans="3:4" ht="13.2" x14ac:dyDescent="0.25">
      <c r="C764" s="42"/>
      <c r="D764" s="42"/>
    </row>
    <row r="765" spans="3:4" ht="13.2" x14ac:dyDescent="0.25">
      <c r="C765" s="42"/>
      <c r="D765" s="42"/>
    </row>
    <row r="766" spans="3:4" ht="13.2" x14ac:dyDescent="0.25">
      <c r="C766" s="42"/>
      <c r="D766" s="42"/>
    </row>
    <row r="767" spans="3:4" ht="13.2" x14ac:dyDescent="0.25">
      <c r="C767" s="42"/>
      <c r="D767" s="42"/>
    </row>
    <row r="768" spans="3:4" ht="13.2" x14ac:dyDescent="0.25">
      <c r="C768" s="42"/>
      <c r="D768" s="42"/>
    </row>
    <row r="769" spans="3:4" ht="13.2" x14ac:dyDescent="0.25">
      <c r="C769" s="42"/>
      <c r="D769" s="42"/>
    </row>
    <row r="770" spans="3:4" ht="13.2" x14ac:dyDescent="0.25">
      <c r="C770" s="42"/>
      <c r="D770" s="42"/>
    </row>
    <row r="771" spans="3:4" ht="13.2" x14ac:dyDescent="0.25">
      <c r="C771" s="42"/>
      <c r="D771" s="42"/>
    </row>
    <row r="772" spans="3:4" ht="13.2" x14ac:dyDescent="0.25">
      <c r="C772" s="42"/>
      <c r="D772" s="42"/>
    </row>
    <row r="773" spans="3:4" ht="13.2" x14ac:dyDescent="0.25">
      <c r="C773" s="42"/>
      <c r="D773" s="42"/>
    </row>
    <row r="774" spans="3:4" ht="13.2" x14ac:dyDescent="0.25">
      <c r="C774" s="42"/>
      <c r="D774" s="42"/>
    </row>
    <row r="775" spans="3:4" ht="13.2" x14ac:dyDescent="0.25">
      <c r="C775" s="42"/>
      <c r="D775" s="42"/>
    </row>
    <row r="776" spans="3:4" ht="13.2" x14ac:dyDescent="0.25">
      <c r="C776" s="42"/>
      <c r="D776" s="42"/>
    </row>
    <row r="777" spans="3:4" ht="13.2" x14ac:dyDescent="0.25">
      <c r="C777" s="42"/>
      <c r="D777" s="42"/>
    </row>
    <row r="778" spans="3:4" ht="13.2" x14ac:dyDescent="0.25">
      <c r="C778" s="42"/>
      <c r="D778" s="42"/>
    </row>
    <row r="779" spans="3:4" ht="13.2" x14ac:dyDescent="0.25">
      <c r="C779" s="42"/>
      <c r="D779" s="42"/>
    </row>
    <row r="780" spans="3:4" ht="13.2" x14ac:dyDescent="0.25">
      <c r="C780" s="42"/>
      <c r="D780" s="42"/>
    </row>
    <row r="781" spans="3:4" ht="13.2" x14ac:dyDescent="0.25">
      <c r="C781" s="42"/>
      <c r="D781" s="42"/>
    </row>
    <row r="782" spans="3:4" ht="13.2" x14ac:dyDescent="0.25">
      <c r="C782" s="42"/>
      <c r="D782" s="42"/>
    </row>
    <row r="783" spans="3:4" ht="13.2" x14ac:dyDescent="0.25">
      <c r="C783" s="42"/>
      <c r="D783" s="42"/>
    </row>
    <row r="784" spans="3:4" ht="13.2" x14ac:dyDescent="0.25">
      <c r="C784" s="42"/>
      <c r="D784" s="42"/>
    </row>
    <row r="785" spans="3:4" ht="13.2" x14ac:dyDescent="0.25">
      <c r="C785" s="42"/>
      <c r="D785" s="42"/>
    </row>
    <row r="786" spans="3:4" ht="13.2" x14ac:dyDescent="0.25">
      <c r="C786" s="42"/>
      <c r="D786" s="42"/>
    </row>
    <row r="787" spans="3:4" ht="13.2" x14ac:dyDescent="0.25">
      <c r="C787" s="42"/>
      <c r="D787" s="42"/>
    </row>
    <row r="788" spans="3:4" ht="13.2" x14ac:dyDescent="0.25">
      <c r="C788" s="42"/>
      <c r="D788" s="42"/>
    </row>
    <row r="789" spans="3:4" ht="13.2" x14ac:dyDescent="0.25">
      <c r="C789" s="42"/>
      <c r="D789" s="42"/>
    </row>
    <row r="790" spans="3:4" ht="13.2" x14ac:dyDescent="0.25">
      <c r="C790" s="42"/>
      <c r="D790" s="42"/>
    </row>
    <row r="791" spans="3:4" ht="13.2" x14ac:dyDescent="0.25">
      <c r="C791" s="42"/>
      <c r="D791" s="42"/>
    </row>
    <row r="792" spans="3:4" ht="13.2" x14ac:dyDescent="0.25">
      <c r="C792" s="42"/>
      <c r="D792" s="42"/>
    </row>
    <row r="793" spans="3:4" ht="13.2" x14ac:dyDescent="0.25">
      <c r="C793" s="42"/>
      <c r="D793" s="42"/>
    </row>
    <row r="794" spans="3:4" ht="13.2" x14ac:dyDescent="0.25">
      <c r="C794" s="42"/>
      <c r="D794" s="42"/>
    </row>
    <row r="795" spans="3:4" ht="13.2" x14ac:dyDescent="0.25">
      <c r="C795" s="42"/>
      <c r="D795" s="42"/>
    </row>
    <row r="796" spans="3:4" ht="13.2" x14ac:dyDescent="0.25">
      <c r="C796" s="42"/>
      <c r="D796" s="42"/>
    </row>
    <row r="797" spans="3:4" ht="13.2" x14ac:dyDescent="0.25">
      <c r="C797" s="42"/>
      <c r="D797" s="42"/>
    </row>
    <row r="798" spans="3:4" ht="13.2" x14ac:dyDescent="0.25">
      <c r="C798" s="42"/>
      <c r="D798" s="42"/>
    </row>
    <row r="799" spans="3:4" ht="13.2" x14ac:dyDescent="0.25">
      <c r="C799" s="42"/>
      <c r="D799" s="42"/>
    </row>
    <row r="800" spans="3:4" ht="13.2" x14ac:dyDescent="0.25">
      <c r="C800" s="42"/>
      <c r="D800" s="42"/>
    </row>
    <row r="801" spans="3:4" ht="13.2" x14ac:dyDescent="0.25">
      <c r="C801" s="42"/>
      <c r="D801" s="42"/>
    </row>
    <row r="802" spans="3:4" ht="13.2" x14ac:dyDescent="0.25">
      <c r="C802" s="42"/>
      <c r="D802" s="42"/>
    </row>
    <row r="803" spans="3:4" ht="13.2" x14ac:dyDescent="0.25">
      <c r="C803" s="42"/>
      <c r="D803" s="42"/>
    </row>
    <row r="804" spans="3:4" ht="13.2" x14ac:dyDescent="0.25">
      <c r="C804" s="42"/>
      <c r="D804" s="42"/>
    </row>
    <row r="805" spans="3:4" ht="13.2" x14ac:dyDescent="0.25">
      <c r="C805" s="42"/>
      <c r="D805" s="42"/>
    </row>
    <row r="806" spans="3:4" ht="13.2" x14ac:dyDescent="0.25">
      <c r="C806" s="42"/>
      <c r="D806" s="42"/>
    </row>
    <row r="807" spans="3:4" ht="13.2" x14ac:dyDescent="0.25">
      <c r="C807" s="42"/>
      <c r="D807" s="42"/>
    </row>
    <row r="808" spans="3:4" ht="13.2" x14ac:dyDescent="0.25">
      <c r="C808" s="42"/>
      <c r="D808" s="42"/>
    </row>
    <row r="809" spans="3:4" ht="13.2" x14ac:dyDescent="0.25">
      <c r="C809" s="42"/>
      <c r="D809" s="42"/>
    </row>
    <row r="810" spans="3:4" ht="13.2" x14ac:dyDescent="0.25">
      <c r="C810" s="42"/>
      <c r="D810" s="42"/>
    </row>
    <row r="811" spans="3:4" ht="13.2" x14ac:dyDescent="0.25">
      <c r="C811" s="42"/>
      <c r="D811" s="42"/>
    </row>
    <row r="812" spans="3:4" ht="13.2" x14ac:dyDescent="0.25">
      <c r="C812" s="42"/>
      <c r="D812" s="42"/>
    </row>
    <row r="813" spans="3:4" ht="13.2" x14ac:dyDescent="0.25">
      <c r="C813" s="42"/>
      <c r="D813" s="42"/>
    </row>
    <row r="814" spans="3:4" ht="13.2" x14ac:dyDescent="0.25">
      <c r="C814" s="42"/>
      <c r="D814" s="42"/>
    </row>
    <row r="815" spans="3:4" ht="13.2" x14ac:dyDescent="0.25">
      <c r="C815" s="42"/>
      <c r="D815" s="42"/>
    </row>
    <row r="816" spans="3:4" ht="13.2" x14ac:dyDescent="0.25">
      <c r="C816" s="42"/>
      <c r="D816" s="42"/>
    </row>
    <row r="817" spans="3:4" ht="13.2" x14ac:dyDescent="0.25">
      <c r="C817" s="42"/>
      <c r="D817" s="42"/>
    </row>
    <row r="818" spans="3:4" ht="13.2" x14ac:dyDescent="0.25">
      <c r="C818" s="42"/>
      <c r="D818" s="42"/>
    </row>
    <row r="819" spans="3:4" ht="13.2" x14ac:dyDescent="0.25">
      <c r="C819" s="42"/>
      <c r="D819" s="42"/>
    </row>
    <row r="820" spans="3:4" ht="13.2" x14ac:dyDescent="0.25">
      <c r="C820" s="42"/>
      <c r="D820" s="42"/>
    </row>
    <row r="821" spans="3:4" ht="13.2" x14ac:dyDescent="0.25">
      <c r="C821" s="42"/>
      <c r="D821" s="42"/>
    </row>
    <row r="822" spans="3:4" ht="13.2" x14ac:dyDescent="0.25">
      <c r="C822" s="42"/>
      <c r="D822" s="42"/>
    </row>
    <row r="823" spans="3:4" ht="13.2" x14ac:dyDescent="0.25">
      <c r="C823" s="42"/>
      <c r="D823" s="42"/>
    </row>
    <row r="824" spans="3:4" ht="13.2" x14ac:dyDescent="0.25">
      <c r="C824" s="42"/>
      <c r="D824" s="42"/>
    </row>
    <row r="825" spans="3:4" ht="13.2" x14ac:dyDescent="0.25">
      <c r="C825" s="42"/>
      <c r="D825" s="42"/>
    </row>
    <row r="826" spans="3:4" ht="13.2" x14ac:dyDescent="0.25">
      <c r="C826" s="42"/>
      <c r="D826" s="42"/>
    </row>
    <row r="827" spans="3:4" ht="13.2" x14ac:dyDescent="0.25">
      <c r="C827" s="42"/>
      <c r="D827" s="42"/>
    </row>
    <row r="828" spans="3:4" ht="13.2" x14ac:dyDescent="0.25">
      <c r="C828" s="42"/>
      <c r="D828" s="42"/>
    </row>
    <row r="829" spans="3:4" ht="13.2" x14ac:dyDescent="0.25">
      <c r="C829" s="42"/>
      <c r="D829" s="42"/>
    </row>
    <row r="830" spans="3:4" ht="13.2" x14ac:dyDescent="0.25">
      <c r="C830" s="42"/>
      <c r="D830" s="42"/>
    </row>
    <row r="831" spans="3:4" ht="13.2" x14ac:dyDescent="0.25">
      <c r="C831" s="42"/>
      <c r="D831" s="42"/>
    </row>
    <row r="832" spans="3:4" ht="13.2" x14ac:dyDescent="0.25">
      <c r="C832" s="42"/>
      <c r="D832" s="42"/>
    </row>
    <row r="833" spans="3:4" ht="13.2" x14ac:dyDescent="0.25">
      <c r="C833" s="42"/>
      <c r="D833" s="42"/>
    </row>
    <row r="834" spans="3:4" ht="13.2" x14ac:dyDescent="0.25">
      <c r="C834" s="42"/>
      <c r="D834" s="42"/>
    </row>
    <row r="835" spans="3:4" ht="13.2" x14ac:dyDescent="0.25">
      <c r="C835" s="42"/>
      <c r="D835" s="42"/>
    </row>
    <row r="836" spans="3:4" ht="13.2" x14ac:dyDescent="0.25">
      <c r="C836" s="42"/>
      <c r="D836" s="42"/>
    </row>
    <row r="837" spans="3:4" ht="13.2" x14ac:dyDescent="0.25">
      <c r="C837" s="42"/>
      <c r="D837" s="42"/>
    </row>
    <row r="838" spans="3:4" ht="13.2" x14ac:dyDescent="0.25">
      <c r="C838" s="42"/>
      <c r="D838" s="42"/>
    </row>
    <row r="839" spans="3:4" ht="13.2" x14ac:dyDescent="0.25">
      <c r="C839" s="42"/>
      <c r="D839" s="42"/>
    </row>
    <row r="840" spans="3:4" ht="13.2" x14ac:dyDescent="0.25">
      <c r="C840" s="42"/>
      <c r="D840" s="42"/>
    </row>
    <row r="841" spans="3:4" ht="13.2" x14ac:dyDescent="0.25">
      <c r="C841" s="42"/>
      <c r="D841" s="42"/>
    </row>
    <row r="842" spans="3:4" ht="13.2" x14ac:dyDescent="0.25">
      <c r="C842" s="42"/>
      <c r="D842" s="42"/>
    </row>
    <row r="843" spans="3:4" ht="13.2" x14ac:dyDescent="0.25">
      <c r="C843" s="42"/>
      <c r="D843" s="42"/>
    </row>
    <row r="844" spans="3:4" ht="13.2" x14ac:dyDescent="0.25">
      <c r="C844" s="42"/>
      <c r="D844" s="42"/>
    </row>
    <row r="845" spans="3:4" ht="13.2" x14ac:dyDescent="0.25">
      <c r="C845" s="42"/>
      <c r="D845" s="42"/>
    </row>
    <row r="846" spans="3:4" ht="13.2" x14ac:dyDescent="0.25">
      <c r="C846" s="42"/>
      <c r="D846" s="42"/>
    </row>
    <row r="847" spans="3:4" ht="13.2" x14ac:dyDescent="0.25">
      <c r="C847" s="42"/>
      <c r="D847" s="42"/>
    </row>
    <row r="848" spans="3:4" ht="13.2" x14ac:dyDescent="0.25">
      <c r="C848" s="42"/>
      <c r="D848" s="42"/>
    </row>
    <row r="849" spans="3:4" ht="13.2" x14ac:dyDescent="0.25">
      <c r="C849" s="42"/>
      <c r="D849" s="42"/>
    </row>
    <row r="850" spans="3:4" ht="13.2" x14ac:dyDescent="0.25">
      <c r="C850" s="42"/>
      <c r="D850" s="42"/>
    </row>
    <row r="851" spans="3:4" ht="13.2" x14ac:dyDescent="0.25">
      <c r="C851" s="42"/>
      <c r="D851" s="42"/>
    </row>
    <row r="852" spans="3:4" ht="13.2" x14ac:dyDescent="0.25">
      <c r="C852" s="42"/>
      <c r="D852" s="42"/>
    </row>
    <row r="853" spans="3:4" ht="13.2" x14ac:dyDescent="0.25">
      <c r="C853" s="42"/>
      <c r="D853" s="42"/>
    </row>
    <row r="854" spans="3:4" ht="13.2" x14ac:dyDescent="0.25">
      <c r="C854" s="42"/>
      <c r="D854" s="42"/>
    </row>
    <row r="855" spans="3:4" ht="13.2" x14ac:dyDescent="0.25">
      <c r="C855" s="42"/>
      <c r="D855" s="42"/>
    </row>
    <row r="856" spans="3:4" ht="13.2" x14ac:dyDescent="0.25">
      <c r="C856" s="42"/>
      <c r="D856" s="42"/>
    </row>
    <row r="857" spans="3:4" ht="13.2" x14ac:dyDescent="0.25">
      <c r="C857" s="42"/>
      <c r="D857" s="42"/>
    </row>
    <row r="858" spans="3:4" ht="13.2" x14ac:dyDescent="0.25">
      <c r="C858" s="42"/>
      <c r="D858" s="42"/>
    </row>
    <row r="859" spans="3:4" ht="13.2" x14ac:dyDescent="0.25">
      <c r="C859" s="42"/>
      <c r="D859" s="42"/>
    </row>
    <row r="860" spans="3:4" ht="13.2" x14ac:dyDescent="0.25">
      <c r="C860" s="42"/>
      <c r="D860" s="42"/>
    </row>
    <row r="861" spans="3:4" ht="13.2" x14ac:dyDescent="0.25">
      <c r="C861" s="42"/>
      <c r="D861" s="42"/>
    </row>
    <row r="862" spans="3:4" ht="13.2" x14ac:dyDescent="0.25">
      <c r="C862" s="42"/>
      <c r="D862" s="42"/>
    </row>
    <row r="863" spans="3:4" ht="13.2" x14ac:dyDescent="0.25">
      <c r="C863" s="42"/>
      <c r="D863" s="42"/>
    </row>
    <row r="864" spans="3:4" ht="13.2" x14ac:dyDescent="0.25">
      <c r="C864" s="42"/>
      <c r="D864" s="42"/>
    </row>
    <row r="865" spans="3:4" ht="13.2" x14ac:dyDescent="0.25">
      <c r="C865" s="42"/>
      <c r="D865" s="42"/>
    </row>
    <row r="866" spans="3:4" ht="13.2" x14ac:dyDescent="0.25">
      <c r="C866" s="42"/>
      <c r="D866" s="42"/>
    </row>
    <row r="867" spans="3:4" ht="13.2" x14ac:dyDescent="0.25">
      <c r="C867" s="42"/>
      <c r="D867" s="42"/>
    </row>
    <row r="868" spans="3:4" ht="13.2" x14ac:dyDescent="0.25">
      <c r="C868" s="42"/>
      <c r="D868" s="42"/>
    </row>
    <row r="869" spans="3:4" ht="13.2" x14ac:dyDescent="0.25">
      <c r="C869" s="42"/>
      <c r="D869" s="42"/>
    </row>
    <row r="870" spans="3:4" ht="13.2" x14ac:dyDescent="0.25">
      <c r="C870" s="42"/>
      <c r="D870" s="42"/>
    </row>
    <row r="871" spans="3:4" ht="13.2" x14ac:dyDescent="0.25">
      <c r="C871" s="42"/>
      <c r="D871" s="42"/>
    </row>
    <row r="872" spans="3:4" ht="13.2" x14ac:dyDescent="0.25">
      <c r="C872" s="42"/>
      <c r="D872" s="42"/>
    </row>
    <row r="873" spans="3:4" ht="13.2" x14ac:dyDescent="0.25">
      <c r="C873" s="42"/>
      <c r="D873" s="42"/>
    </row>
    <row r="874" spans="3:4" ht="13.2" x14ac:dyDescent="0.25">
      <c r="C874" s="42"/>
      <c r="D874" s="42"/>
    </row>
    <row r="875" spans="3:4" ht="13.2" x14ac:dyDescent="0.25">
      <c r="C875" s="42"/>
      <c r="D875" s="42"/>
    </row>
    <row r="876" spans="3:4" ht="13.2" x14ac:dyDescent="0.25">
      <c r="C876" s="42"/>
      <c r="D876" s="42"/>
    </row>
    <row r="877" spans="3:4" ht="13.2" x14ac:dyDescent="0.25">
      <c r="C877" s="42"/>
      <c r="D877" s="42"/>
    </row>
    <row r="878" spans="3:4" ht="13.2" x14ac:dyDescent="0.25">
      <c r="C878" s="42"/>
      <c r="D878" s="42"/>
    </row>
    <row r="879" spans="3:4" ht="13.2" x14ac:dyDescent="0.25">
      <c r="C879" s="42"/>
      <c r="D879" s="42"/>
    </row>
    <row r="880" spans="3:4" ht="13.2" x14ac:dyDescent="0.25">
      <c r="C880" s="42"/>
      <c r="D880" s="42"/>
    </row>
    <row r="881" spans="3:4" ht="13.2" x14ac:dyDescent="0.25">
      <c r="C881" s="42"/>
      <c r="D881" s="42"/>
    </row>
    <row r="882" spans="3:4" ht="13.2" x14ac:dyDescent="0.25">
      <c r="C882" s="42"/>
      <c r="D882" s="42"/>
    </row>
    <row r="883" spans="3:4" ht="13.2" x14ac:dyDescent="0.25">
      <c r="C883" s="42"/>
      <c r="D883" s="42"/>
    </row>
    <row r="884" spans="3:4" ht="13.2" x14ac:dyDescent="0.25">
      <c r="C884" s="42"/>
      <c r="D884" s="42"/>
    </row>
    <row r="885" spans="3:4" ht="13.2" x14ac:dyDescent="0.25">
      <c r="C885" s="42"/>
      <c r="D885" s="42"/>
    </row>
    <row r="886" spans="3:4" ht="13.2" x14ac:dyDescent="0.25">
      <c r="C886" s="42"/>
      <c r="D886" s="42"/>
    </row>
    <row r="887" spans="3:4" ht="13.2" x14ac:dyDescent="0.25">
      <c r="C887" s="42"/>
      <c r="D887" s="42"/>
    </row>
    <row r="888" spans="3:4" ht="13.2" x14ac:dyDescent="0.25">
      <c r="C888" s="42"/>
      <c r="D888" s="42"/>
    </row>
    <row r="889" spans="3:4" ht="13.2" x14ac:dyDescent="0.25">
      <c r="C889" s="42"/>
      <c r="D889" s="42"/>
    </row>
    <row r="890" spans="3:4" ht="13.2" x14ac:dyDescent="0.25">
      <c r="C890" s="42"/>
      <c r="D890" s="42"/>
    </row>
    <row r="891" spans="3:4" ht="13.2" x14ac:dyDescent="0.25">
      <c r="C891" s="42"/>
      <c r="D891" s="42"/>
    </row>
    <row r="892" spans="3:4" ht="13.2" x14ac:dyDescent="0.25">
      <c r="C892" s="42"/>
      <c r="D892" s="42"/>
    </row>
    <row r="893" spans="3:4" ht="13.2" x14ac:dyDescent="0.25">
      <c r="C893" s="42"/>
      <c r="D893" s="42"/>
    </row>
    <row r="894" spans="3:4" ht="13.2" x14ac:dyDescent="0.25">
      <c r="C894" s="42"/>
      <c r="D894" s="42"/>
    </row>
    <row r="895" spans="3:4" ht="13.2" x14ac:dyDescent="0.25">
      <c r="C895" s="42"/>
      <c r="D895" s="42"/>
    </row>
    <row r="896" spans="3:4" ht="13.2" x14ac:dyDescent="0.25">
      <c r="C896" s="42"/>
      <c r="D896" s="42"/>
    </row>
    <row r="897" spans="3:4" ht="13.2" x14ac:dyDescent="0.25">
      <c r="C897" s="42"/>
      <c r="D897" s="42"/>
    </row>
    <row r="898" spans="3:4" ht="13.2" x14ac:dyDescent="0.25">
      <c r="C898" s="42"/>
      <c r="D898" s="42"/>
    </row>
    <row r="899" spans="3:4" ht="13.2" x14ac:dyDescent="0.25">
      <c r="C899" s="42"/>
      <c r="D899" s="42"/>
    </row>
    <row r="900" spans="3:4" ht="13.2" x14ac:dyDescent="0.25">
      <c r="C900" s="42"/>
      <c r="D900" s="42"/>
    </row>
    <row r="901" spans="3:4" ht="13.2" x14ac:dyDescent="0.25">
      <c r="C901" s="42"/>
      <c r="D901" s="42"/>
    </row>
    <row r="902" spans="3:4" ht="13.2" x14ac:dyDescent="0.25">
      <c r="C902" s="42"/>
      <c r="D902" s="42"/>
    </row>
    <row r="903" spans="3:4" ht="13.2" x14ac:dyDescent="0.25">
      <c r="C903" s="42"/>
      <c r="D903" s="42"/>
    </row>
    <row r="904" spans="3:4" ht="13.2" x14ac:dyDescent="0.25">
      <c r="C904" s="42"/>
      <c r="D904" s="42"/>
    </row>
    <row r="905" spans="3:4" ht="13.2" x14ac:dyDescent="0.25">
      <c r="C905" s="42"/>
      <c r="D905" s="42"/>
    </row>
    <row r="906" spans="3:4" ht="13.2" x14ac:dyDescent="0.25">
      <c r="C906" s="42"/>
      <c r="D906" s="42"/>
    </row>
    <row r="907" spans="3:4" ht="13.2" x14ac:dyDescent="0.25">
      <c r="C907" s="42"/>
      <c r="D907" s="42"/>
    </row>
    <row r="908" spans="3:4" ht="13.2" x14ac:dyDescent="0.25">
      <c r="C908" s="42"/>
      <c r="D908" s="42"/>
    </row>
    <row r="909" spans="3:4" ht="13.2" x14ac:dyDescent="0.25">
      <c r="C909" s="42"/>
      <c r="D909" s="42"/>
    </row>
    <row r="910" spans="3:4" ht="13.2" x14ac:dyDescent="0.25">
      <c r="C910" s="42"/>
      <c r="D910" s="42"/>
    </row>
    <row r="911" spans="3:4" ht="13.2" x14ac:dyDescent="0.25">
      <c r="C911" s="42"/>
      <c r="D911" s="42"/>
    </row>
    <row r="912" spans="3:4" ht="13.2" x14ac:dyDescent="0.25">
      <c r="C912" s="42"/>
      <c r="D912" s="42"/>
    </row>
    <row r="913" spans="3:4" ht="13.2" x14ac:dyDescent="0.25">
      <c r="C913" s="42"/>
      <c r="D913" s="42"/>
    </row>
    <row r="914" spans="3:4" ht="13.2" x14ac:dyDescent="0.25">
      <c r="C914" s="42"/>
      <c r="D914" s="42"/>
    </row>
    <row r="915" spans="3:4" ht="13.2" x14ac:dyDescent="0.25">
      <c r="C915" s="42"/>
      <c r="D915" s="42"/>
    </row>
    <row r="916" spans="3:4" ht="13.2" x14ac:dyDescent="0.25">
      <c r="C916" s="42"/>
      <c r="D916" s="42"/>
    </row>
    <row r="917" spans="3:4" ht="13.2" x14ac:dyDescent="0.25">
      <c r="C917" s="42"/>
      <c r="D917" s="42"/>
    </row>
    <row r="918" spans="3:4" ht="13.2" x14ac:dyDescent="0.25">
      <c r="C918" s="42"/>
      <c r="D918" s="42"/>
    </row>
    <row r="919" spans="3:4" ht="13.2" x14ac:dyDescent="0.25">
      <c r="C919" s="42"/>
      <c r="D919" s="42"/>
    </row>
    <row r="920" spans="3:4" ht="13.2" x14ac:dyDescent="0.25">
      <c r="C920" s="42"/>
      <c r="D920" s="42"/>
    </row>
    <row r="921" spans="3:4" ht="13.2" x14ac:dyDescent="0.25">
      <c r="C921" s="42"/>
      <c r="D921" s="42"/>
    </row>
    <row r="922" spans="3:4" ht="13.2" x14ac:dyDescent="0.25">
      <c r="C922" s="42"/>
      <c r="D922" s="42"/>
    </row>
    <row r="923" spans="3:4" ht="13.2" x14ac:dyDescent="0.25">
      <c r="C923" s="42"/>
      <c r="D923" s="42"/>
    </row>
    <row r="924" spans="3:4" ht="13.2" x14ac:dyDescent="0.25">
      <c r="C924" s="42"/>
      <c r="D924" s="42"/>
    </row>
    <row r="925" spans="3:4" ht="13.2" x14ac:dyDescent="0.25">
      <c r="C925" s="42"/>
      <c r="D925" s="42"/>
    </row>
    <row r="926" spans="3:4" ht="13.2" x14ac:dyDescent="0.25">
      <c r="C926" s="42"/>
      <c r="D926" s="42"/>
    </row>
    <row r="927" spans="3:4" ht="13.2" x14ac:dyDescent="0.25">
      <c r="C927" s="42"/>
      <c r="D927" s="42"/>
    </row>
    <row r="928" spans="3:4" ht="13.2" x14ac:dyDescent="0.25">
      <c r="C928" s="42"/>
      <c r="D928" s="42"/>
    </row>
    <row r="929" spans="3:4" ht="13.2" x14ac:dyDescent="0.25">
      <c r="C929" s="42"/>
      <c r="D929" s="42"/>
    </row>
    <row r="930" spans="3:4" ht="13.2" x14ac:dyDescent="0.25">
      <c r="C930" s="42"/>
      <c r="D930" s="42"/>
    </row>
    <row r="931" spans="3:4" ht="13.2" x14ac:dyDescent="0.25">
      <c r="C931" s="42"/>
      <c r="D931" s="42"/>
    </row>
    <row r="932" spans="3:4" ht="13.2" x14ac:dyDescent="0.25">
      <c r="C932" s="42"/>
      <c r="D932" s="42"/>
    </row>
    <row r="933" spans="3:4" ht="13.2" x14ac:dyDescent="0.25">
      <c r="C933" s="42"/>
      <c r="D933" s="42"/>
    </row>
    <row r="934" spans="3:4" ht="13.2" x14ac:dyDescent="0.25">
      <c r="C934" s="42"/>
      <c r="D934" s="42"/>
    </row>
    <row r="935" spans="3:4" ht="13.2" x14ac:dyDescent="0.25">
      <c r="C935" s="42"/>
      <c r="D935" s="42"/>
    </row>
    <row r="936" spans="3:4" ht="13.2" x14ac:dyDescent="0.25">
      <c r="C936" s="42"/>
      <c r="D936" s="42"/>
    </row>
    <row r="937" spans="3:4" ht="13.2" x14ac:dyDescent="0.25">
      <c r="C937" s="42"/>
      <c r="D937" s="42"/>
    </row>
    <row r="938" spans="3:4" ht="13.2" x14ac:dyDescent="0.25">
      <c r="C938" s="42"/>
      <c r="D938" s="42"/>
    </row>
    <row r="939" spans="3:4" ht="13.2" x14ac:dyDescent="0.25">
      <c r="C939" s="42"/>
      <c r="D939" s="42"/>
    </row>
    <row r="940" spans="3:4" ht="13.2" x14ac:dyDescent="0.25">
      <c r="C940" s="42"/>
      <c r="D940" s="42"/>
    </row>
    <row r="941" spans="3:4" ht="13.2" x14ac:dyDescent="0.25">
      <c r="C941" s="42"/>
      <c r="D941" s="42"/>
    </row>
    <row r="942" spans="3:4" ht="13.2" x14ac:dyDescent="0.25">
      <c r="C942" s="42"/>
      <c r="D942" s="42"/>
    </row>
    <row r="943" spans="3:4" ht="13.2" x14ac:dyDescent="0.25">
      <c r="C943" s="42"/>
      <c r="D943" s="42"/>
    </row>
    <row r="944" spans="3:4" ht="13.2" x14ac:dyDescent="0.25">
      <c r="C944" s="42"/>
      <c r="D944" s="42"/>
    </row>
    <row r="945" spans="3:4" ht="13.2" x14ac:dyDescent="0.25">
      <c r="C945" s="42"/>
      <c r="D945" s="42"/>
    </row>
    <row r="946" spans="3:4" ht="13.2" x14ac:dyDescent="0.25">
      <c r="C946" s="42"/>
      <c r="D946" s="42"/>
    </row>
    <row r="947" spans="3:4" ht="13.2" x14ac:dyDescent="0.25">
      <c r="C947" s="42"/>
      <c r="D947" s="42"/>
    </row>
    <row r="948" spans="3:4" ht="13.2" x14ac:dyDescent="0.25">
      <c r="C948" s="42"/>
      <c r="D948" s="42"/>
    </row>
    <row r="949" spans="3:4" ht="13.2" x14ac:dyDescent="0.25">
      <c r="C949" s="42"/>
      <c r="D949" s="42"/>
    </row>
    <row r="950" spans="3:4" ht="13.2" x14ac:dyDescent="0.25">
      <c r="C950" s="42"/>
      <c r="D950" s="42"/>
    </row>
    <row r="951" spans="3:4" ht="13.2" x14ac:dyDescent="0.25">
      <c r="C951" s="42"/>
      <c r="D951" s="42"/>
    </row>
    <row r="952" spans="3:4" ht="13.2" x14ac:dyDescent="0.25">
      <c r="C952" s="42"/>
      <c r="D952" s="42"/>
    </row>
    <row r="953" spans="3:4" ht="13.2" x14ac:dyDescent="0.25">
      <c r="C953" s="42"/>
      <c r="D953" s="42"/>
    </row>
    <row r="954" spans="3:4" ht="13.2" x14ac:dyDescent="0.25">
      <c r="C954" s="42"/>
      <c r="D954" s="42"/>
    </row>
    <row r="955" spans="3:4" ht="13.2" x14ac:dyDescent="0.25">
      <c r="C955" s="42"/>
      <c r="D955" s="42"/>
    </row>
    <row r="956" spans="3:4" ht="13.2" x14ac:dyDescent="0.25">
      <c r="C956" s="42"/>
      <c r="D956" s="42"/>
    </row>
    <row r="957" spans="3:4" ht="13.2" x14ac:dyDescent="0.25">
      <c r="C957" s="42"/>
      <c r="D957" s="42"/>
    </row>
    <row r="958" spans="3:4" ht="13.2" x14ac:dyDescent="0.25">
      <c r="C958" s="42"/>
      <c r="D958" s="42"/>
    </row>
    <row r="959" spans="3:4" ht="13.2" x14ac:dyDescent="0.25">
      <c r="C959" s="42"/>
      <c r="D959" s="42"/>
    </row>
    <row r="960" spans="3:4" ht="13.2" x14ac:dyDescent="0.25">
      <c r="C960" s="42"/>
      <c r="D960" s="42"/>
    </row>
    <row r="961" spans="3:4" ht="13.2" x14ac:dyDescent="0.25">
      <c r="C961" s="42"/>
      <c r="D961" s="42"/>
    </row>
    <row r="962" spans="3:4" ht="13.2" x14ac:dyDescent="0.25">
      <c r="C962" s="42"/>
      <c r="D962" s="42"/>
    </row>
    <row r="963" spans="3:4" ht="13.2" x14ac:dyDescent="0.25">
      <c r="C963" s="42"/>
      <c r="D963" s="42"/>
    </row>
    <row r="964" spans="3:4" ht="13.2" x14ac:dyDescent="0.25">
      <c r="C964" s="42"/>
      <c r="D964" s="42"/>
    </row>
    <row r="965" spans="3:4" ht="13.2" x14ac:dyDescent="0.25">
      <c r="C965" s="42"/>
      <c r="D965" s="42"/>
    </row>
    <row r="966" spans="3:4" ht="13.2" x14ac:dyDescent="0.25">
      <c r="C966" s="42"/>
      <c r="D966" s="42"/>
    </row>
    <row r="967" spans="3:4" ht="13.2" x14ac:dyDescent="0.25">
      <c r="C967" s="42"/>
      <c r="D967" s="42"/>
    </row>
    <row r="968" spans="3:4" ht="13.2" x14ac:dyDescent="0.25">
      <c r="C968" s="42"/>
      <c r="D968" s="42"/>
    </row>
    <row r="969" spans="3:4" ht="13.2" x14ac:dyDescent="0.25">
      <c r="C969" s="42"/>
      <c r="D969" s="42"/>
    </row>
    <row r="970" spans="3:4" ht="13.2" x14ac:dyDescent="0.25">
      <c r="C970" s="42"/>
      <c r="D970" s="42"/>
    </row>
    <row r="971" spans="3:4" ht="13.2" x14ac:dyDescent="0.25">
      <c r="C971" s="42"/>
      <c r="D971" s="42"/>
    </row>
    <row r="972" spans="3:4" ht="13.2" x14ac:dyDescent="0.25">
      <c r="C972" s="42"/>
      <c r="D972" s="42"/>
    </row>
    <row r="973" spans="3:4" ht="13.2" x14ac:dyDescent="0.25">
      <c r="C973" s="42"/>
      <c r="D973" s="42"/>
    </row>
    <row r="974" spans="3:4" ht="13.2" x14ac:dyDescent="0.25">
      <c r="C974" s="42"/>
      <c r="D974" s="42"/>
    </row>
    <row r="975" spans="3:4" ht="13.2" x14ac:dyDescent="0.25">
      <c r="C975" s="42"/>
      <c r="D975" s="42"/>
    </row>
    <row r="976" spans="3:4" ht="13.2" x14ac:dyDescent="0.25">
      <c r="C976" s="42"/>
      <c r="D976" s="42"/>
    </row>
    <row r="977" spans="3:4" ht="13.2" x14ac:dyDescent="0.25">
      <c r="C977" s="42"/>
      <c r="D977" s="42"/>
    </row>
    <row r="978" spans="3:4" ht="13.2" x14ac:dyDescent="0.25">
      <c r="C978" s="42"/>
      <c r="D978" s="42"/>
    </row>
    <row r="979" spans="3:4" ht="13.2" x14ac:dyDescent="0.25">
      <c r="C979" s="42"/>
      <c r="D979" s="42"/>
    </row>
    <row r="980" spans="3:4" ht="13.2" x14ac:dyDescent="0.25">
      <c r="C980" s="42"/>
      <c r="D980" s="42"/>
    </row>
    <row r="981" spans="3:4" ht="13.2" x14ac:dyDescent="0.25">
      <c r="C981" s="42"/>
      <c r="D981" s="42"/>
    </row>
    <row r="982" spans="3:4" ht="13.2" x14ac:dyDescent="0.25">
      <c r="C982" s="42"/>
      <c r="D982" s="42"/>
    </row>
    <row r="983" spans="3:4" ht="13.2" x14ac:dyDescent="0.25">
      <c r="C983" s="42"/>
      <c r="D983" s="42"/>
    </row>
    <row r="984" spans="3:4" ht="13.2" x14ac:dyDescent="0.25">
      <c r="C984" s="42"/>
      <c r="D984" s="42"/>
    </row>
    <row r="985" spans="3:4" ht="13.2" x14ac:dyDescent="0.25">
      <c r="C985" s="42"/>
      <c r="D985" s="42"/>
    </row>
    <row r="986" spans="3:4" ht="13.2" x14ac:dyDescent="0.25">
      <c r="C986" s="42"/>
      <c r="D986" s="42"/>
    </row>
    <row r="987" spans="3:4" ht="13.2" x14ac:dyDescent="0.25">
      <c r="C987" s="42"/>
      <c r="D987" s="42"/>
    </row>
    <row r="988" spans="3:4" ht="13.2" x14ac:dyDescent="0.25">
      <c r="C988" s="42"/>
      <c r="D988" s="42"/>
    </row>
    <row r="989" spans="3:4" ht="13.2" x14ac:dyDescent="0.25">
      <c r="C989" s="42"/>
      <c r="D989" s="42"/>
    </row>
    <row r="990" spans="3:4" ht="13.2" x14ac:dyDescent="0.25">
      <c r="C990" s="42"/>
      <c r="D990" s="42"/>
    </row>
    <row r="991" spans="3:4" ht="13.2" x14ac:dyDescent="0.25">
      <c r="C991" s="42"/>
      <c r="D991" s="42"/>
    </row>
    <row r="992" spans="3:4" ht="13.2" x14ac:dyDescent="0.25">
      <c r="C992" s="42"/>
      <c r="D992" s="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1"/>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4.88671875" customWidth="1"/>
    <col min="2" max="2" width="8.5546875" customWidth="1"/>
    <col min="3" max="22" width="9.33203125" customWidth="1"/>
  </cols>
  <sheetData>
    <row r="1" spans="1:22" ht="13.2" x14ac:dyDescent="0.25">
      <c r="A1" s="222" t="s">
        <v>60</v>
      </c>
      <c r="B1" s="222" t="s">
        <v>67</v>
      </c>
      <c r="C1" s="223"/>
      <c r="D1" s="223"/>
      <c r="E1" s="223"/>
      <c r="F1" s="223"/>
      <c r="G1" s="222" t="s">
        <v>68</v>
      </c>
      <c r="H1" s="223"/>
      <c r="I1" s="223"/>
      <c r="J1" s="223"/>
      <c r="K1" s="222" t="s">
        <v>69</v>
      </c>
      <c r="L1" s="223"/>
      <c r="M1" s="223"/>
      <c r="N1" s="223"/>
      <c r="O1" s="224" t="s">
        <v>70</v>
      </c>
      <c r="P1" s="223"/>
      <c r="Q1" s="223"/>
      <c r="R1" s="223"/>
      <c r="S1" s="223"/>
      <c r="T1" s="223"/>
      <c r="U1" s="223"/>
      <c r="V1" s="223"/>
    </row>
    <row r="2" spans="1:22" ht="36" x14ac:dyDescent="0.25">
      <c r="A2" s="223"/>
      <c r="B2" s="43" t="s">
        <v>71</v>
      </c>
      <c r="C2" s="43" t="s">
        <v>72</v>
      </c>
      <c r="D2" s="43" t="s">
        <v>73</v>
      </c>
      <c r="E2" s="43" t="s">
        <v>63</v>
      </c>
      <c r="F2" s="44" t="s">
        <v>64</v>
      </c>
      <c r="G2" s="43" t="s">
        <v>72</v>
      </c>
      <c r="H2" s="43" t="s">
        <v>73</v>
      </c>
      <c r="I2" s="43" t="s">
        <v>63</v>
      </c>
      <c r="J2" s="45" t="s">
        <v>64</v>
      </c>
      <c r="K2" s="43" t="s">
        <v>72</v>
      </c>
      <c r="L2" s="43" t="s">
        <v>73</v>
      </c>
      <c r="M2" s="43" t="s">
        <v>63</v>
      </c>
      <c r="N2" s="44" t="s">
        <v>64</v>
      </c>
      <c r="O2" s="46" t="s">
        <v>74</v>
      </c>
      <c r="P2" s="46" t="s">
        <v>75</v>
      </c>
      <c r="Q2" s="46" t="s">
        <v>76</v>
      </c>
      <c r="R2" s="47" t="s">
        <v>77</v>
      </c>
      <c r="S2" s="47" t="s">
        <v>78</v>
      </c>
      <c r="T2" s="47" t="s">
        <v>79</v>
      </c>
      <c r="U2" s="47" t="s">
        <v>80</v>
      </c>
      <c r="V2" s="47" t="s">
        <v>81</v>
      </c>
    </row>
    <row r="3" spans="1:22" ht="13.2" x14ac:dyDescent="0.25">
      <c r="A3" s="48">
        <v>1</v>
      </c>
      <c r="B3" s="49">
        <v>44197</v>
      </c>
      <c r="C3" s="48">
        <v>76</v>
      </c>
      <c r="D3" s="48">
        <v>1116</v>
      </c>
      <c r="E3" s="48">
        <f t="shared" ref="E3:E244" si="0">C3+D3</f>
        <v>1192</v>
      </c>
      <c r="F3" s="50">
        <f t="shared" ref="F3:F244" si="1">C3/E3</f>
        <v>6.3758389261744972E-2</v>
      </c>
      <c r="G3" s="48">
        <v>0</v>
      </c>
      <c r="H3" s="48">
        <v>0</v>
      </c>
      <c r="I3" s="48">
        <f t="shared" ref="I3:I59" si="2">G3+H3</f>
        <v>0</v>
      </c>
      <c r="J3" s="51" t="e">
        <f t="shared" ref="J3:J59" si="3">G3/I3</f>
        <v>#DIV/0!</v>
      </c>
      <c r="K3" s="48">
        <v>0</v>
      </c>
      <c r="L3" s="48">
        <v>0</v>
      </c>
      <c r="M3" s="52">
        <f t="shared" ref="M3:M244" si="4">K3+L3</f>
        <v>0</v>
      </c>
      <c r="N3" s="50" t="e">
        <f t="shared" ref="N3:N244" si="5">K3/M3</f>
        <v>#DIV/0!</v>
      </c>
      <c r="O3" s="53">
        <f t="shared" ref="O3:P3" si="6">S3</f>
        <v>1192</v>
      </c>
      <c r="P3" s="54">
        <f t="shared" si="6"/>
        <v>76</v>
      </c>
      <c r="Q3" s="54">
        <f t="shared" ref="Q3:Q244" si="7">O3-P3</f>
        <v>1116</v>
      </c>
      <c r="R3" s="50">
        <f t="shared" ref="R3:R244" si="8">P3/O3</f>
        <v>6.3758389261744972E-2</v>
      </c>
      <c r="S3" s="52">
        <f t="shared" ref="S3:S244" si="9">E3+I3+M3</f>
        <v>1192</v>
      </c>
      <c r="T3" s="48">
        <f t="shared" ref="T3:T244" si="10">C3+G3+K3</f>
        <v>76</v>
      </c>
      <c r="U3" s="48">
        <f t="shared" ref="U3:U244" si="11">S3-T3</f>
        <v>1116</v>
      </c>
      <c r="V3" s="50">
        <f t="shared" ref="V3:V244" si="12">T3/S3</f>
        <v>6.3758389261744972E-2</v>
      </c>
    </row>
    <row r="4" spans="1:22" ht="13.2" x14ac:dyDescent="0.25">
      <c r="A4" s="48">
        <v>2</v>
      </c>
      <c r="B4" s="49">
        <v>44198</v>
      </c>
      <c r="C4" s="48">
        <v>76</v>
      </c>
      <c r="D4" s="48">
        <v>1116</v>
      </c>
      <c r="E4" s="48">
        <f t="shared" si="0"/>
        <v>1192</v>
      </c>
      <c r="F4" s="50">
        <f t="shared" si="1"/>
        <v>6.3758389261744972E-2</v>
      </c>
      <c r="G4" s="48">
        <v>0</v>
      </c>
      <c r="H4" s="48">
        <v>0</v>
      </c>
      <c r="I4" s="48">
        <f t="shared" si="2"/>
        <v>0</v>
      </c>
      <c r="J4" s="51" t="e">
        <f t="shared" si="3"/>
        <v>#DIV/0!</v>
      </c>
      <c r="K4" s="48">
        <v>0</v>
      </c>
      <c r="L4" s="48">
        <v>0</v>
      </c>
      <c r="M4" s="52">
        <f t="shared" si="4"/>
        <v>0</v>
      </c>
      <c r="N4" s="50" t="e">
        <f t="shared" si="5"/>
        <v>#DIV/0!</v>
      </c>
      <c r="O4" s="54">
        <f t="shared" ref="O4:P4" si="13">S4-S3</f>
        <v>0</v>
      </c>
      <c r="P4" s="54">
        <f t="shared" si="13"/>
        <v>0</v>
      </c>
      <c r="Q4" s="54">
        <f t="shared" si="7"/>
        <v>0</v>
      </c>
      <c r="R4" s="50" t="e">
        <f t="shared" si="8"/>
        <v>#DIV/0!</v>
      </c>
      <c r="S4" s="52">
        <f t="shared" si="9"/>
        <v>1192</v>
      </c>
      <c r="T4" s="48">
        <f t="shared" si="10"/>
        <v>76</v>
      </c>
      <c r="U4" s="48">
        <f t="shared" si="11"/>
        <v>1116</v>
      </c>
      <c r="V4" s="50">
        <f t="shared" si="12"/>
        <v>6.3758389261744972E-2</v>
      </c>
    </row>
    <row r="5" spans="1:22" ht="13.2" x14ac:dyDescent="0.25">
      <c r="A5" s="48">
        <v>3</v>
      </c>
      <c r="B5" s="49">
        <v>44199</v>
      </c>
      <c r="C5" s="48">
        <v>100</v>
      </c>
      <c r="D5" s="48">
        <v>1699</v>
      </c>
      <c r="E5" s="48">
        <f t="shared" si="0"/>
        <v>1799</v>
      </c>
      <c r="F5" s="50">
        <f t="shared" si="1"/>
        <v>5.5586436909394105E-2</v>
      </c>
      <c r="G5" s="48">
        <v>0</v>
      </c>
      <c r="H5" s="48">
        <v>0</v>
      </c>
      <c r="I5" s="48">
        <f t="shared" si="2"/>
        <v>0</v>
      </c>
      <c r="J5" s="51" t="e">
        <f t="shared" si="3"/>
        <v>#DIV/0!</v>
      </c>
      <c r="K5" s="48">
        <v>0</v>
      </c>
      <c r="L5" s="48">
        <v>0</v>
      </c>
      <c r="M5" s="52">
        <f t="shared" si="4"/>
        <v>0</v>
      </c>
      <c r="N5" s="50" t="e">
        <f t="shared" si="5"/>
        <v>#DIV/0!</v>
      </c>
      <c r="O5" s="54">
        <f t="shared" ref="O5:P5" si="14">S5-S4</f>
        <v>607</v>
      </c>
      <c r="P5" s="54">
        <f t="shared" si="14"/>
        <v>24</v>
      </c>
      <c r="Q5" s="54">
        <f t="shared" si="7"/>
        <v>583</v>
      </c>
      <c r="R5" s="50">
        <f t="shared" si="8"/>
        <v>3.9538714991762765E-2</v>
      </c>
      <c r="S5" s="52">
        <f t="shared" si="9"/>
        <v>1799</v>
      </c>
      <c r="T5" s="48">
        <f t="shared" si="10"/>
        <v>100</v>
      </c>
      <c r="U5" s="48">
        <f t="shared" si="11"/>
        <v>1699</v>
      </c>
      <c r="V5" s="50">
        <f t="shared" si="12"/>
        <v>5.5586436909394105E-2</v>
      </c>
    </row>
    <row r="6" spans="1:22" ht="13.2" x14ac:dyDescent="0.25">
      <c r="A6" s="48">
        <v>4</v>
      </c>
      <c r="B6" s="49">
        <v>44200</v>
      </c>
      <c r="C6" s="48">
        <v>100</v>
      </c>
      <c r="D6" s="48">
        <v>1699</v>
      </c>
      <c r="E6" s="48">
        <f t="shared" si="0"/>
        <v>1799</v>
      </c>
      <c r="F6" s="50">
        <f t="shared" si="1"/>
        <v>5.5586436909394105E-2</v>
      </c>
      <c r="G6" s="48">
        <v>0</v>
      </c>
      <c r="H6" s="48">
        <v>0</v>
      </c>
      <c r="I6" s="48">
        <f t="shared" si="2"/>
        <v>0</v>
      </c>
      <c r="J6" s="51" t="e">
        <f t="shared" si="3"/>
        <v>#DIV/0!</v>
      </c>
      <c r="K6" s="48">
        <v>0</v>
      </c>
      <c r="L6" s="48">
        <v>0</v>
      </c>
      <c r="M6" s="52">
        <f t="shared" si="4"/>
        <v>0</v>
      </c>
      <c r="N6" s="50" t="e">
        <f t="shared" si="5"/>
        <v>#DIV/0!</v>
      </c>
      <c r="O6" s="54">
        <f t="shared" ref="O6:P6" si="15">S6-S5</f>
        <v>0</v>
      </c>
      <c r="P6" s="54">
        <f t="shared" si="15"/>
        <v>0</v>
      </c>
      <c r="Q6" s="54">
        <f t="shared" si="7"/>
        <v>0</v>
      </c>
      <c r="R6" s="50" t="e">
        <f t="shared" si="8"/>
        <v>#DIV/0!</v>
      </c>
      <c r="S6" s="52">
        <f t="shared" si="9"/>
        <v>1799</v>
      </c>
      <c r="T6" s="48">
        <f t="shared" si="10"/>
        <v>100</v>
      </c>
      <c r="U6" s="48">
        <f t="shared" si="11"/>
        <v>1699</v>
      </c>
      <c r="V6" s="50">
        <f t="shared" si="12"/>
        <v>5.5586436909394105E-2</v>
      </c>
    </row>
    <row r="7" spans="1:22" ht="13.2" x14ac:dyDescent="0.25">
      <c r="A7" s="48">
        <v>5</v>
      </c>
      <c r="B7" s="49">
        <v>44201</v>
      </c>
      <c r="C7" s="48">
        <v>100</v>
      </c>
      <c r="D7" s="48">
        <v>1699</v>
      </c>
      <c r="E7" s="48">
        <f t="shared" si="0"/>
        <v>1799</v>
      </c>
      <c r="F7" s="50">
        <f t="shared" si="1"/>
        <v>5.5586436909394105E-2</v>
      </c>
      <c r="G7" s="48">
        <v>0</v>
      </c>
      <c r="H7" s="48">
        <v>0</v>
      </c>
      <c r="I7" s="48">
        <f t="shared" si="2"/>
        <v>0</v>
      </c>
      <c r="J7" s="51" t="e">
        <f t="shared" si="3"/>
        <v>#DIV/0!</v>
      </c>
      <c r="K7" s="48">
        <v>0</v>
      </c>
      <c r="L7" s="48">
        <v>0</v>
      </c>
      <c r="M7" s="52">
        <f t="shared" si="4"/>
        <v>0</v>
      </c>
      <c r="N7" s="50" t="e">
        <f t="shared" si="5"/>
        <v>#DIV/0!</v>
      </c>
      <c r="O7" s="54">
        <f t="shared" ref="O7:P7" si="16">S7-S6</f>
        <v>0</v>
      </c>
      <c r="P7" s="54">
        <f t="shared" si="16"/>
        <v>0</v>
      </c>
      <c r="Q7" s="54">
        <f t="shared" si="7"/>
        <v>0</v>
      </c>
      <c r="R7" s="50" t="e">
        <f t="shared" si="8"/>
        <v>#DIV/0!</v>
      </c>
      <c r="S7" s="52">
        <f t="shared" si="9"/>
        <v>1799</v>
      </c>
      <c r="T7" s="48">
        <f t="shared" si="10"/>
        <v>100</v>
      </c>
      <c r="U7" s="48">
        <f t="shared" si="11"/>
        <v>1699</v>
      </c>
      <c r="V7" s="50">
        <f t="shared" si="12"/>
        <v>5.5586436909394105E-2</v>
      </c>
    </row>
    <row r="8" spans="1:22" ht="13.2" x14ac:dyDescent="0.25">
      <c r="A8" s="48">
        <v>6</v>
      </c>
      <c r="B8" s="49">
        <v>44202</v>
      </c>
      <c r="C8" s="48">
        <v>100</v>
      </c>
      <c r="D8" s="48">
        <v>1699</v>
      </c>
      <c r="E8" s="48">
        <f t="shared" si="0"/>
        <v>1799</v>
      </c>
      <c r="F8" s="50">
        <f t="shared" si="1"/>
        <v>5.5586436909394105E-2</v>
      </c>
      <c r="G8" s="48">
        <v>0</v>
      </c>
      <c r="H8" s="48">
        <v>0</v>
      </c>
      <c r="I8" s="48">
        <f t="shared" si="2"/>
        <v>0</v>
      </c>
      <c r="J8" s="51" t="e">
        <f t="shared" si="3"/>
        <v>#DIV/0!</v>
      </c>
      <c r="K8" s="48">
        <v>0</v>
      </c>
      <c r="L8" s="48">
        <v>0</v>
      </c>
      <c r="M8" s="52">
        <f t="shared" si="4"/>
        <v>0</v>
      </c>
      <c r="N8" s="50" t="e">
        <f t="shared" si="5"/>
        <v>#DIV/0!</v>
      </c>
      <c r="O8" s="54">
        <f t="shared" ref="O8:P8" si="17">S8-S7</f>
        <v>0</v>
      </c>
      <c r="P8" s="54">
        <f t="shared" si="17"/>
        <v>0</v>
      </c>
      <c r="Q8" s="54">
        <f t="shared" si="7"/>
        <v>0</v>
      </c>
      <c r="R8" s="50" t="e">
        <f t="shared" si="8"/>
        <v>#DIV/0!</v>
      </c>
      <c r="S8" s="52">
        <f t="shared" si="9"/>
        <v>1799</v>
      </c>
      <c r="T8" s="48">
        <f t="shared" si="10"/>
        <v>100</v>
      </c>
      <c r="U8" s="48">
        <f t="shared" si="11"/>
        <v>1699</v>
      </c>
      <c r="V8" s="50">
        <f t="shared" si="12"/>
        <v>5.5586436909394105E-2</v>
      </c>
    </row>
    <row r="9" spans="1:22" ht="13.2" x14ac:dyDescent="0.25">
      <c r="A9" s="48">
        <v>7</v>
      </c>
      <c r="B9" s="49">
        <v>44203</v>
      </c>
      <c r="C9" s="48">
        <v>100</v>
      </c>
      <c r="D9" s="48">
        <v>1699</v>
      </c>
      <c r="E9" s="48">
        <f t="shared" si="0"/>
        <v>1799</v>
      </c>
      <c r="F9" s="50">
        <f t="shared" si="1"/>
        <v>5.5586436909394105E-2</v>
      </c>
      <c r="G9" s="48">
        <v>0</v>
      </c>
      <c r="H9" s="48">
        <v>0</v>
      </c>
      <c r="I9" s="48">
        <f t="shared" si="2"/>
        <v>0</v>
      </c>
      <c r="J9" s="51" t="e">
        <f t="shared" si="3"/>
        <v>#DIV/0!</v>
      </c>
      <c r="K9" s="48">
        <v>0</v>
      </c>
      <c r="L9" s="48">
        <v>0</v>
      </c>
      <c r="M9" s="52">
        <f t="shared" si="4"/>
        <v>0</v>
      </c>
      <c r="N9" s="50" t="e">
        <f t="shared" si="5"/>
        <v>#DIV/0!</v>
      </c>
      <c r="O9" s="54">
        <f t="shared" ref="O9:P9" si="18">S9-S8</f>
        <v>0</v>
      </c>
      <c r="P9" s="54">
        <f t="shared" si="18"/>
        <v>0</v>
      </c>
      <c r="Q9" s="54">
        <f t="shared" si="7"/>
        <v>0</v>
      </c>
      <c r="R9" s="50" t="e">
        <f t="shared" si="8"/>
        <v>#DIV/0!</v>
      </c>
      <c r="S9" s="52">
        <f t="shared" si="9"/>
        <v>1799</v>
      </c>
      <c r="T9" s="48">
        <f t="shared" si="10"/>
        <v>100</v>
      </c>
      <c r="U9" s="48">
        <f t="shared" si="11"/>
        <v>1699</v>
      </c>
      <c r="V9" s="50">
        <f t="shared" si="12"/>
        <v>5.5586436909394105E-2</v>
      </c>
    </row>
    <row r="10" spans="1:22" ht="13.2" x14ac:dyDescent="0.25">
      <c r="A10" s="48">
        <v>8</v>
      </c>
      <c r="B10" s="49">
        <v>44204</v>
      </c>
      <c r="C10" s="48">
        <v>207</v>
      </c>
      <c r="D10" s="48">
        <v>2624</v>
      </c>
      <c r="E10" s="48">
        <f t="shared" si="0"/>
        <v>2831</v>
      </c>
      <c r="F10" s="50">
        <f t="shared" si="1"/>
        <v>7.3119039208760159E-2</v>
      </c>
      <c r="G10" s="48">
        <v>0</v>
      </c>
      <c r="H10" s="48">
        <v>0</v>
      </c>
      <c r="I10" s="48">
        <f t="shared" si="2"/>
        <v>0</v>
      </c>
      <c r="J10" s="51" t="e">
        <f t="shared" si="3"/>
        <v>#DIV/0!</v>
      </c>
      <c r="K10" s="48">
        <v>0</v>
      </c>
      <c r="L10" s="48">
        <v>0</v>
      </c>
      <c r="M10" s="52">
        <f t="shared" si="4"/>
        <v>0</v>
      </c>
      <c r="N10" s="50" t="e">
        <f t="shared" si="5"/>
        <v>#DIV/0!</v>
      </c>
      <c r="O10" s="54">
        <f t="shared" ref="O10:P10" si="19">S10-S9</f>
        <v>1032</v>
      </c>
      <c r="P10" s="54">
        <f t="shared" si="19"/>
        <v>107</v>
      </c>
      <c r="Q10" s="54">
        <f t="shared" si="7"/>
        <v>925</v>
      </c>
      <c r="R10" s="50">
        <f t="shared" si="8"/>
        <v>0.10368217054263566</v>
      </c>
      <c r="S10" s="52">
        <f t="shared" si="9"/>
        <v>2831</v>
      </c>
      <c r="T10" s="48">
        <f t="shared" si="10"/>
        <v>207</v>
      </c>
      <c r="U10" s="48">
        <f t="shared" si="11"/>
        <v>2624</v>
      </c>
      <c r="V10" s="50">
        <f t="shared" si="12"/>
        <v>7.3119039208760159E-2</v>
      </c>
    </row>
    <row r="11" spans="1:22" ht="13.2" x14ac:dyDescent="0.25">
      <c r="A11" s="48">
        <v>9</v>
      </c>
      <c r="B11" s="49">
        <v>44205</v>
      </c>
      <c r="C11" s="55">
        <v>207</v>
      </c>
      <c r="D11" s="56">
        <v>2624</v>
      </c>
      <c r="E11" s="48">
        <f t="shared" si="0"/>
        <v>2831</v>
      </c>
      <c r="F11" s="50">
        <f t="shared" si="1"/>
        <v>7.3119039208760159E-2</v>
      </c>
      <c r="G11" s="48">
        <v>0</v>
      </c>
      <c r="H11" s="48">
        <v>0</v>
      </c>
      <c r="I11" s="48">
        <f t="shared" si="2"/>
        <v>0</v>
      </c>
      <c r="J11" s="51" t="e">
        <f t="shared" si="3"/>
        <v>#DIV/0!</v>
      </c>
      <c r="K11" s="48">
        <v>0</v>
      </c>
      <c r="L11" s="48">
        <v>0</v>
      </c>
      <c r="M11" s="52">
        <f t="shared" si="4"/>
        <v>0</v>
      </c>
      <c r="N11" s="50" t="e">
        <f t="shared" si="5"/>
        <v>#DIV/0!</v>
      </c>
      <c r="O11" s="54">
        <f t="shared" ref="O11:P11" si="20">S11-S10</f>
        <v>0</v>
      </c>
      <c r="P11" s="54">
        <f t="shared" si="20"/>
        <v>0</v>
      </c>
      <c r="Q11" s="54">
        <f t="shared" si="7"/>
        <v>0</v>
      </c>
      <c r="R11" s="50" t="e">
        <f t="shared" si="8"/>
        <v>#DIV/0!</v>
      </c>
      <c r="S11" s="52">
        <f t="shared" si="9"/>
        <v>2831</v>
      </c>
      <c r="T11" s="48">
        <f t="shared" si="10"/>
        <v>207</v>
      </c>
      <c r="U11" s="48">
        <f t="shared" si="11"/>
        <v>2624</v>
      </c>
      <c r="V11" s="50">
        <f t="shared" si="12"/>
        <v>7.3119039208760159E-2</v>
      </c>
    </row>
    <row r="12" spans="1:22" ht="13.2" x14ac:dyDescent="0.25">
      <c r="A12" s="48">
        <v>10</v>
      </c>
      <c r="B12" s="49">
        <v>44206</v>
      </c>
      <c r="C12" s="55">
        <v>207</v>
      </c>
      <c r="D12" s="56">
        <v>2624</v>
      </c>
      <c r="E12" s="48">
        <f t="shared" si="0"/>
        <v>2831</v>
      </c>
      <c r="F12" s="50">
        <f t="shared" si="1"/>
        <v>7.3119039208760159E-2</v>
      </c>
      <c r="G12" s="48">
        <v>0</v>
      </c>
      <c r="H12" s="48">
        <v>0</v>
      </c>
      <c r="I12" s="48">
        <f t="shared" si="2"/>
        <v>0</v>
      </c>
      <c r="J12" s="51" t="e">
        <f t="shared" si="3"/>
        <v>#DIV/0!</v>
      </c>
      <c r="K12" s="48">
        <v>0</v>
      </c>
      <c r="L12" s="48">
        <v>0</v>
      </c>
      <c r="M12" s="52">
        <f t="shared" si="4"/>
        <v>0</v>
      </c>
      <c r="N12" s="50" t="e">
        <f t="shared" si="5"/>
        <v>#DIV/0!</v>
      </c>
      <c r="O12" s="54">
        <f t="shared" ref="O12:P12" si="21">S12-S11</f>
        <v>0</v>
      </c>
      <c r="P12" s="54">
        <f t="shared" si="21"/>
        <v>0</v>
      </c>
      <c r="Q12" s="54">
        <f t="shared" si="7"/>
        <v>0</v>
      </c>
      <c r="R12" s="50" t="e">
        <f t="shared" si="8"/>
        <v>#DIV/0!</v>
      </c>
      <c r="S12" s="52">
        <f t="shared" si="9"/>
        <v>2831</v>
      </c>
      <c r="T12" s="48">
        <f t="shared" si="10"/>
        <v>207</v>
      </c>
      <c r="U12" s="48">
        <f t="shared" si="11"/>
        <v>2624</v>
      </c>
      <c r="V12" s="50">
        <f t="shared" si="12"/>
        <v>7.3119039208760159E-2</v>
      </c>
    </row>
    <row r="13" spans="1:22" ht="13.2" x14ac:dyDescent="0.25">
      <c r="A13" s="48">
        <v>11</v>
      </c>
      <c r="B13" s="49">
        <v>44207</v>
      </c>
      <c r="C13" s="55">
        <v>207</v>
      </c>
      <c r="D13" s="56">
        <v>2624</v>
      </c>
      <c r="E13" s="48">
        <f t="shared" si="0"/>
        <v>2831</v>
      </c>
      <c r="F13" s="50">
        <f t="shared" si="1"/>
        <v>7.3119039208760159E-2</v>
      </c>
      <c r="G13" s="48">
        <v>0</v>
      </c>
      <c r="H13" s="48">
        <v>0</v>
      </c>
      <c r="I13" s="48">
        <f t="shared" si="2"/>
        <v>0</v>
      </c>
      <c r="J13" s="51" t="e">
        <f t="shared" si="3"/>
        <v>#DIV/0!</v>
      </c>
      <c r="K13" s="48">
        <v>0</v>
      </c>
      <c r="L13" s="48">
        <v>0</v>
      </c>
      <c r="M13" s="52">
        <f t="shared" si="4"/>
        <v>0</v>
      </c>
      <c r="N13" s="50" t="e">
        <f t="shared" si="5"/>
        <v>#DIV/0!</v>
      </c>
      <c r="O13" s="54">
        <f t="shared" ref="O13:P13" si="22">S13-S12</f>
        <v>0</v>
      </c>
      <c r="P13" s="54">
        <f t="shared" si="22"/>
        <v>0</v>
      </c>
      <c r="Q13" s="54">
        <f t="shared" si="7"/>
        <v>0</v>
      </c>
      <c r="R13" s="50" t="e">
        <f t="shared" si="8"/>
        <v>#DIV/0!</v>
      </c>
      <c r="S13" s="52">
        <f t="shared" si="9"/>
        <v>2831</v>
      </c>
      <c r="T13" s="48">
        <f t="shared" si="10"/>
        <v>207</v>
      </c>
      <c r="U13" s="48">
        <f t="shared" si="11"/>
        <v>2624</v>
      </c>
      <c r="V13" s="50">
        <f t="shared" si="12"/>
        <v>7.3119039208760159E-2</v>
      </c>
    </row>
    <row r="14" spans="1:22" ht="13.2" x14ac:dyDescent="0.25">
      <c r="A14" s="48">
        <v>12</v>
      </c>
      <c r="B14" s="49">
        <v>44208</v>
      </c>
      <c r="C14" s="57">
        <v>247</v>
      </c>
      <c r="D14" s="57">
        <v>3011</v>
      </c>
      <c r="E14" s="48">
        <f t="shared" si="0"/>
        <v>3258</v>
      </c>
      <c r="F14" s="50">
        <f t="shared" si="1"/>
        <v>7.5813382443216698E-2</v>
      </c>
      <c r="G14" s="48">
        <v>0</v>
      </c>
      <c r="H14" s="48">
        <v>0</v>
      </c>
      <c r="I14" s="48">
        <f t="shared" si="2"/>
        <v>0</v>
      </c>
      <c r="J14" s="51" t="e">
        <f t="shared" si="3"/>
        <v>#DIV/0!</v>
      </c>
      <c r="K14" s="48">
        <v>0</v>
      </c>
      <c r="L14" s="48">
        <v>0</v>
      </c>
      <c r="M14" s="52">
        <f t="shared" si="4"/>
        <v>0</v>
      </c>
      <c r="N14" s="50" t="e">
        <f t="shared" si="5"/>
        <v>#DIV/0!</v>
      </c>
      <c r="O14" s="54">
        <f t="shared" ref="O14:P14" si="23">S14-S13</f>
        <v>427</v>
      </c>
      <c r="P14" s="54">
        <f t="shared" si="23"/>
        <v>40</v>
      </c>
      <c r="Q14" s="54">
        <f t="shared" si="7"/>
        <v>387</v>
      </c>
      <c r="R14" s="50">
        <f t="shared" si="8"/>
        <v>9.3676814988290405E-2</v>
      </c>
      <c r="S14" s="52">
        <f t="shared" si="9"/>
        <v>3258</v>
      </c>
      <c r="T14" s="48">
        <f t="shared" si="10"/>
        <v>247</v>
      </c>
      <c r="U14" s="48">
        <f t="shared" si="11"/>
        <v>3011</v>
      </c>
      <c r="V14" s="50">
        <f t="shared" si="12"/>
        <v>7.5813382443216698E-2</v>
      </c>
    </row>
    <row r="15" spans="1:22" ht="13.2" x14ac:dyDescent="0.25">
      <c r="A15" s="48">
        <v>13</v>
      </c>
      <c r="B15" s="49">
        <v>44209</v>
      </c>
      <c r="C15" s="48">
        <v>297</v>
      </c>
      <c r="D15" s="48">
        <v>3573</v>
      </c>
      <c r="E15" s="48">
        <f t="shared" si="0"/>
        <v>3870</v>
      </c>
      <c r="F15" s="50">
        <f t="shared" si="1"/>
        <v>7.6744186046511634E-2</v>
      </c>
      <c r="G15" s="48">
        <v>0</v>
      </c>
      <c r="H15" s="48">
        <v>0</v>
      </c>
      <c r="I15" s="48">
        <f t="shared" si="2"/>
        <v>0</v>
      </c>
      <c r="J15" s="51" t="e">
        <f t="shared" si="3"/>
        <v>#DIV/0!</v>
      </c>
      <c r="K15" s="48">
        <v>0</v>
      </c>
      <c r="L15" s="48">
        <v>0</v>
      </c>
      <c r="M15" s="52">
        <f t="shared" si="4"/>
        <v>0</v>
      </c>
      <c r="N15" s="50" t="e">
        <f t="shared" si="5"/>
        <v>#DIV/0!</v>
      </c>
      <c r="O15" s="54">
        <f t="shared" ref="O15:P15" si="24">S15-S14</f>
        <v>612</v>
      </c>
      <c r="P15" s="54">
        <f t="shared" si="24"/>
        <v>50</v>
      </c>
      <c r="Q15" s="54">
        <f t="shared" si="7"/>
        <v>562</v>
      </c>
      <c r="R15" s="50">
        <f t="shared" si="8"/>
        <v>8.1699346405228759E-2</v>
      </c>
      <c r="S15" s="52">
        <f t="shared" si="9"/>
        <v>3870</v>
      </c>
      <c r="T15" s="48">
        <f t="shared" si="10"/>
        <v>297</v>
      </c>
      <c r="U15" s="48">
        <f t="shared" si="11"/>
        <v>3573</v>
      </c>
      <c r="V15" s="50">
        <f t="shared" si="12"/>
        <v>7.6744186046511634E-2</v>
      </c>
    </row>
    <row r="16" spans="1:22" ht="13.2" x14ac:dyDescent="0.25">
      <c r="A16" s="48">
        <v>14</v>
      </c>
      <c r="B16" s="49">
        <v>44210</v>
      </c>
      <c r="C16" s="48">
        <v>399</v>
      </c>
      <c r="D16" s="48">
        <v>4417</v>
      </c>
      <c r="E16" s="48">
        <f t="shared" si="0"/>
        <v>4816</v>
      </c>
      <c r="F16" s="50">
        <f t="shared" si="1"/>
        <v>8.284883720930232E-2</v>
      </c>
      <c r="G16" s="48">
        <v>0</v>
      </c>
      <c r="H16" s="48">
        <v>0</v>
      </c>
      <c r="I16" s="48">
        <f t="shared" si="2"/>
        <v>0</v>
      </c>
      <c r="J16" s="51" t="e">
        <f t="shared" si="3"/>
        <v>#DIV/0!</v>
      </c>
      <c r="K16" s="48">
        <v>0</v>
      </c>
      <c r="L16" s="48">
        <v>0</v>
      </c>
      <c r="M16" s="52">
        <f t="shared" si="4"/>
        <v>0</v>
      </c>
      <c r="N16" s="50" t="e">
        <f t="shared" si="5"/>
        <v>#DIV/0!</v>
      </c>
      <c r="O16" s="54">
        <f t="shared" ref="O16:P16" si="25">S16-S15</f>
        <v>946</v>
      </c>
      <c r="P16" s="54">
        <f t="shared" si="25"/>
        <v>102</v>
      </c>
      <c r="Q16" s="54">
        <f t="shared" si="7"/>
        <v>844</v>
      </c>
      <c r="R16" s="50">
        <f t="shared" si="8"/>
        <v>0.10782241014799154</v>
      </c>
      <c r="S16" s="52">
        <f t="shared" si="9"/>
        <v>4816</v>
      </c>
      <c r="T16" s="48">
        <f t="shared" si="10"/>
        <v>399</v>
      </c>
      <c r="U16" s="48">
        <f t="shared" si="11"/>
        <v>4417</v>
      </c>
      <c r="V16" s="50">
        <f t="shared" si="12"/>
        <v>8.284883720930232E-2</v>
      </c>
    </row>
    <row r="17" spans="1:22" ht="13.2" x14ac:dyDescent="0.25">
      <c r="A17" s="48">
        <v>15</v>
      </c>
      <c r="B17" s="49">
        <v>44211</v>
      </c>
      <c r="C17" s="48">
        <v>463</v>
      </c>
      <c r="D17" s="48">
        <v>4936</v>
      </c>
      <c r="E17" s="48">
        <f t="shared" si="0"/>
        <v>5399</v>
      </c>
      <c r="F17" s="50">
        <f t="shared" si="1"/>
        <v>8.5756621596591961E-2</v>
      </c>
      <c r="G17" s="48">
        <v>0</v>
      </c>
      <c r="H17" s="48">
        <v>0</v>
      </c>
      <c r="I17" s="48">
        <f t="shared" si="2"/>
        <v>0</v>
      </c>
      <c r="J17" s="51" t="e">
        <f t="shared" si="3"/>
        <v>#DIV/0!</v>
      </c>
      <c r="K17" s="48">
        <v>0</v>
      </c>
      <c r="L17" s="48">
        <v>0</v>
      </c>
      <c r="M17" s="52">
        <f t="shared" si="4"/>
        <v>0</v>
      </c>
      <c r="N17" s="50" t="e">
        <f t="shared" si="5"/>
        <v>#DIV/0!</v>
      </c>
      <c r="O17" s="54">
        <f t="shared" ref="O17:P17" si="26">S17-S16</f>
        <v>583</v>
      </c>
      <c r="P17" s="54">
        <f t="shared" si="26"/>
        <v>64</v>
      </c>
      <c r="Q17" s="54">
        <f t="shared" si="7"/>
        <v>519</v>
      </c>
      <c r="R17" s="50">
        <f t="shared" si="8"/>
        <v>0.10977701543739279</v>
      </c>
      <c r="S17" s="52">
        <f t="shared" si="9"/>
        <v>5399</v>
      </c>
      <c r="T17" s="48">
        <f t="shared" si="10"/>
        <v>463</v>
      </c>
      <c r="U17" s="48">
        <f t="shared" si="11"/>
        <v>4936</v>
      </c>
      <c r="V17" s="50">
        <f t="shared" si="12"/>
        <v>8.5756621596591961E-2</v>
      </c>
    </row>
    <row r="18" spans="1:22" ht="13.2" x14ac:dyDescent="0.25">
      <c r="A18" s="48">
        <v>16</v>
      </c>
      <c r="B18" s="49">
        <v>44212</v>
      </c>
      <c r="C18" s="48">
        <v>510</v>
      </c>
      <c r="D18" s="48">
        <v>5406</v>
      </c>
      <c r="E18" s="48">
        <f t="shared" si="0"/>
        <v>5916</v>
      </c>
      <c r="F18" s="50">
        <f t="shared" si="1"/>
        <v>8.6206896551724144E-2</v>
      </c>
      <c r="G18" s="48">
        <v>0</v>
      </c>
      <c r="H18" s="48">
        <v>0</v>
      </c>
      <c r="I18" s="48">
        <f t="shared" si="2"/>
        <v>0</v>
      </c>
      <c r="J18" s="51" t="e">
        <f t="shared" si="3"/>
        <v>#DIV/0!</v>
      </c>
      <c r="K18" s="48">
        <v>0</v>
      </c>
      <c r="L18" s="48">
        <v>0</v>
      </c>
      <c r="M18" s="52">
        <f t="shared" si="4"/>
        <v>0</v>
      </c>
      <c r="N18" s="50" t="e">
        <f t="shared" si="5"/>
        <v>#DIV/0!</v>
      </c>
      <c r="O18" s="54">
        <f t="shared" ref="O18:P18" si="27">S18-S17</f>
        <v>517</v>
      </c>
      <c r="P18" s="54">
        <f t="shared" si="27"/>
        <v>47</v>
      </c>
      <c r="Q18" s="54">
        <f t="shared" si="7"/>
        <v>470</v>
      </c>
      <c r="R18" s="50">
        <f t="shared" si="8"/>
        <v>9.0909090909090912E-2</v>
      </c>
      <c r="S18" s="52">
        <f t="shared" si="9"/>
        <v>5916</v>
      </c>
      <c r="T18" s="48">
        <f t="shared" si="10"/>
        <v>510</v>
      </c>
      <c r="U18" s="48">
        <f t="shared" si="11"/>
        <v>5406</v>
      </c>
      <c r="V18" s="50">
        <f t="shared" si="12"/>
        <v>8.6206896551724144E-2</v>
      </c>
    </row>
    <row r="19" spans="1:22" ht="13.2" x14ac:dyDescent="0.25">
      <c r="A19" s="48">
        <v>17</v>
      </c>
      <c r="B19" s="49">
        <v>44213</v>
      </c>
      <c r="C19" s="48">
        <v>558</v>
      </c>
      <c r="D19" s="48">
        <v>6000</v>
      </c>
      <c r="E19" s="48">
        <f t="shared" si="0"/>
        <v>6558</v>
      </c>
      <c r="F19" s="50">
        <f t="shared" si="1"/>
        <v>8.5086916742909427E-2</v>
      </c>
      <c r="G19" s="48">
        <v>0</v>
      </c>
      <c r="H19" s="48">
        <v>0</v>
      </c>
      <c r="I19" s="48">
        <f t="shared" si="2"/>
        <v>0</v>
      </c>
      <c r="J19" s="51" t="e">
        <f t="shared" si="3"/>
        <v>#DIV/0!</v>
      </c>
      <c r="K19" s="48">
        <v>0</v>
      </c>
      <c r="L19" s="48">
        <v>0</v>
      </c>
      <c r="M19" s="52">
        <f t="shared" si="4"/>
        <v>0</v>
      </c>
      <c r="N19" s="50" t="e">
        <f t="shared" si="5"/>
        <v>#DIV/0!</v>
      </c>
      <c r="O19" s="54">
        <f t="shared" ref="O19:P19" si="28">S19-S18</f>
        <v>642</v>
      </c>
      <c r="P19" s="54">
        <f t="shared" si="28"/>
        <v>48</v>
      </c>
      <c r="Q19" s="54">
        <f t="shared" si="7"/>
        <v>594</v>
      </c>
      <c r="R19" s="50">
        <f t="shared" si="8"/>
        <v>7.476635514018691E-2</v>
      </c>
      <c r="S19" s="52">
        <f t="shared" si="9"/>
        <v>6558</v>
      </c>
      <c r="T19" s="48">
        <f t="shared" si="10"/>
        <v>558</v>
      </c>
      <c r="U19" s="48">
        <f t="shared" si="11"/>
        <v>6000</v>
      </c>
      <c r="V19" s="50">
        <f t="shared" si="12"/>
        <v>8.5086916742909427E-2</v>
      </c>
    </row>
    <row r="20" spans="1:22" ht="13.2" x14ac:dyDescent="0.25">
      <c r="A20" s="48">
        <v>18</v>
      </c>
      <c r="B20" s="49">
        <v>44214</v>
      </c>
      <c r="C20" s="48">
        <v>601</v>
      </c>
      <c r="D20" s="48">
        <v>6286</v>
      </c>
      <c r="E20" s="48">
        <f t="shared" si="0"/>
        <v>6887</v>
      </c>
      <c r="F20" s="50">
        <f t="shared" si="1"/>
        <v>8.7265863220560472E-2</v>
      </c>
      <c r="G20" s="48">
        <v>0</v>
      </c>
      <c r="H20" s="48">
        <v>0</v>
      </c>
      <c r="I20" s="48">
        <f t="shared" si="2"/>
        <v>0</v>
      </c>
      <c r="J20" s="51" t="e">
        <f t="shared" si="3"/>
        <v>#DIV/0!</v>
      </c>
      <c r="K20" s="48">
        <v>0</v>
      </c>
      <c r="L20" s="48">
        <v>0</v>
      </c>
      <c r="M20" s="52">
        <f t="shared" si="4"/>
        <v>0</v>
      </c>
      <c r="N20" s="50" t="e">
        <f t="shared" si="5"/>
        <v>#DIV/0!</v>
      </c>
      <c r="O20" s="54">
        <f t="shared" ref="O20:P20" si="29">S20-S19</f>
        <v>329</v>
      </c>
      <c r="P20" s="54">
        <f t="shared" si="29"/>
        <v>43</v>
      </c>
      <c r="Q20" s="54">
        <f t="shared" si="7"/>
        <v>286</v>
      </c>
      <c r="R20" s="50">
        <f t="shared" si="8"/>
        <v>0.13069908814589665</v>
      </c>
      <c r="S20" s="52">
        <f t="shared" si="9"/>
        <v>6887</v>
      </c>
      <c r="T20" s="48">
        <f t="shared" si="10"/>
        <v>601</v>
      </c>
      <c r="U20" s="48">
        <f t="shared" si="11"/>
        <v>6286</v>
      </c>
      <c r="V20" s="50">
        <f t="shared" si="12"/>
        <v>8.7265863220560472E-2</v>
      </c>
    </row>
    <row r="21" spans="1:22" ht="13.2" x14ac:dyDescent="0.25">
      <c r="A21" s="48">
        <v>19</v>
      </c>
      <c r="B21" s="49">
        <v>44215</v>
      </c>
      <c r="C21" s="48">
        <v>610</v>
      </c>
      <c r="D21" s="48">
        <v>6403</v>
      </c>
      <c r="E21" s="48">
        <f t="shared" si="0"/>
        <v>7013</v>
      </c>
      <c r="F21" s="50">
        <f t="shared" si="1"/>
        <v>8.6981320404962217E-2</v>
      </c>
      <c r="G21" s="48">
        <v>0</v>
      </c>
      <c r="H21" s="48">
        <v>0</v>
      </c>
      <c r="I21" s="48">
        <f t="shared" si="2"/>
        <v>0</v>
      </c>
      <c r="J21" s="51" t="e">
        <f t="shared" si="3"/>
        <v>#DIV/0!</v>
      </c>
      <c r="K21" s="48">
        <v>0</v>
      </c>
      <c r="L21" s="48">
        <v>0</v>
      </c>
      <c r="M21" s="52">
        <f t="shared" si="4"/>
        <v>0</v>
      </c>
      <c r="N21" s="50" t="e">
        <f t="shared" si="5"/>
        <v>#DIV/0!</v>
      </c>
      <c r="O21" s="54">
        <f t="shared" ref="O21:P21" si="30">S21-S20</f>
        <v>126</v>
      </c>
      <c r="P21" s="54">
        <f t="shared" si="30"/>
        <v>9</v>
      </c>
      <c r="Q21" s="54">
        <f t="shared" si="7"/>
        <v>117</v>
      </c>
      <c r="R21" s="50">
        <f t="shared" si="8"/>
        <v>7.1428571428571425E-2</v>
      </c>
      <c r="S21" s="52">
        <f t="shared" si="9"/>
        <v>7013</v>
      </c>
      <c r="T21" s="48">
        <f t="shared" si="10"/>
        <v>610</v>
      </c>
      <c r="U21" s="48">
        <f t="shared" si="11"/>
        <v>6403</v>
      </c>
      <c r="V21" s="50">
        <f t="shared" si="12"/>
        <v>8.6981320404962217E-2</v>
      </c>
    </row>
    <row r="22" spans="1:22" ht="13.2" x14ac:dyDescent="0.25">
      <c r="A22" s="48">
        <v>20</v>
      </c>
      <c r="B22" s="49">
        <v>44216</v>
      </c>
      <c r="C22" s="48">
        <v>667</v>
      </c>
      <c r="D22" s="48">
        <v>6945</v>
      </c>
      <c r="E22" s="48">
        <f t="shared" si="0"/>
        <v>7612</v>
      </c>
      <c r="F22" s="50">
        <f t="shared" si="1"/>
        <v>8.7624802942722013E-2</v>
      </c>
      <c r="G22" s="48">
        <v>0</v>
      </c>
      <c r="H22" s="48">
        <v>0</v>
      </c>
      <c r="I22" s="48">
        <f t="shared" si="2"/>
        <v>0</v>
      </c>
      <c r="J22" s="51" t="e">
        <f t="shared" si="3"/>
        <v>#DIV/0!</v>
      </c>
      <c r="K22" s="48">
        <v>0</v>
      </c>
      <c r="L22" s="48">
        <v>0</v>
      </c>
      <c r="M22" s="52">
        <f t="shared" si="4"/>
        <v>0</v>
      </c>
      <c r="N22" s="50" t="e">
        <f t="shared" si="5"/>
        <v>#DIV/0!</v>
      </c>
      <c r="O22" s="54">
        <f t="shared" ref="O22:P22" si="31">S22-S21</f>
        <v>599</v>
      </c>
      <c r="P22" s="54">
        <f t="shared" si="31"/>
        <v>57</v>
      </c>
      <c r="Q22" s="54">
        <f t="shared" si="7"/>
        <v>542</v>
      </c>
      <c r="R22" s="50">
        <f t="shared" si="8"/>
        <v>9.515859766277128E-2</v>
      </c>
      <c r="S22" s="52">
        <f t="shared" si="9"/>
        <v>7612</v>
      </c>
      <c r="T22" s="48">
        <f t="shared" si="10"/>
        <v>667</v>
      </c>
      <c r="U22" s="48">
        <f t="shared" si="11"/>
        <v>6945</v>
      </c>
      <c r="V22" s="50">
        <f t="shared" si="12"/>
        <v>8.7624802942722013E-2</v>
      </c>
    </row>
    <row r="23" spans="1:22" ht="13.2" x14ac:dyDescent="0.25">
      <c r="A23" s="48">
        <v>21</v>
      </c>
      <c r="B23" s="49">
        <v>44217</v>
      </c>
      <c r="C23" s="48">
        <v>727</v>
      </c>
      <c r="D23" s="48">
        <v>7562</v>
      </c>
      <c r="E23" s="48">
        <f t="shared" si="0"/>
        <v>8289</v>
      </c>
      <c r="F23" s="50">
        <f t="shared" si="1"/>
        <v>8.770659910725058E-2</v>
      </c>
      <c r="G23" s="48">
        <v>0</v>
      </c>
      <c r="H23" s="48">
        <v>0</v>
      </c>
      <c r="I23" s="48">
        <f t="shared" si="2"/>
        <v>0</v>
      </c>
      <c r="J23" s="51" t="e">
        <f t="shared" si="3"/>
        <v>#DIV/0!</v>
      </c>
      <c r="K23" s="48">
        <v>0</v>
      </c>
      <c r="L23" s="48">
        <v>0</v>
      </c>
      <c r="M23" s="52">
        <f t="shared" si="4"/>
        <v>0</v>
      </c>
      <c r="N23" s="50" t="e">
        <f t="shared" si="5"/>
        <v>#DIV/0!</v>
      </c>
      <c r="O23" s="54">
        <f t="shared" ref="O23:P23" si="32">S23-S22</f>
        <v>677</v>
      </c>
      <c r="P23" s="54">
        <f t="shared" si="32"/>
        <v>60</v>
      </c>
      <c r="Q23" s="54">
        <f t="shared" si="7"/>
        <v>617</v>
      </c>
      <c r="R23" s="50">
        <f t="shared" si="8"/>
        <v>8.8626292466765136E-2</v>
      </c>
      <c r="S23" s="52">
        <f t="shared" si="9"/>
        <v>8289</v>
      </c>
      <c r="T23" s="48">
        <f t="shared" si="10"/>
        <v>727</v>
      </c>
      <c r="U23" s="48">
        <f t="shared" si="11"/>
        <v>7562</v>
      </c>
      <c r="V23" s="50">
        <f t="shared" si="12"/>
        <v>8.770659910725058E-2</v>
      </c>
    </row>
    <row r="24" spans="1:22" ht="13.2" x14ac:dyDescent="0.25">
      <c r="A24" s="48">
        <v>22</v>
      </c>
      <c r="B24" s="49">
        <v>44218</v>
      </c>
      <c r="C24" s="48">
        <v>777</v>
      </c>
      <c r="D24" s="48">
        <v>8074</v>
      </c>
      <c r="E24" s="48">
        <f t="shared" si="0"/>
        <v>8851</v>
      </c>
      <c r="F24" s="50">
        <f t="shared" si="1"/>
        <v>8.7786690769404582E-2</v>
      </c>
      <c r="G24" s="48">
        <v>0</v>
      </c>
      <c r="H24" s="48">
        <v>0</v>
      </c>
      <c r="I24" s="48">
        <f t="shared" si="2"/>
        <v>0</v>
      </c>
      <c r="J24" s="51" t="e">
        <f t="shared" si="3"/>
        <v>#DIV/0!</v>
      </c>
      <c r="K24" s="48">
        <v>0</v>
      </c>
      <c r="L24" s="48">
        <v>0</v>
      </c>
      <c r="M24" s="52">
        <f t="shared" si="4"/>
        <v>0</v>
      </c>
      <c r="N24" s="50" t="e">
        <f t="shared" si="5"/>
        <v>#DIV/0!</v>
      </c>
      <c r="O24" s="54">
        <f t="shared" ref="O24:P24" si="33">S24-S23</f>
        <v>562</v>
      </c>
      <c r="P24" s="54">
        <f t="shared" si="33"/>
        <v>50</v>
      </c>
      <c r="Q24" s="54">
        <f t="shared" si="7"/>
        <v>512</v>
      </c>
      <c r="R24" s="50">
        <f t="shared" si="8"/>
        <v>8.8967971530249115E-2</v>
      </c>
      <c r="S24" s="52">
        <f t="shared" si="9"/>
        <v>8851</v>
      </c>
      <c r="T24" s="48">
        <f t="shared" si="10"/>
        <v>777</v>
      </c>
      <c r="U24" s="48">
        <f t="shared" si="11"/>
        <v>8074</v>
      </c>
      <c r="V24" s="50">
        <f t="shared" si="12"/>
        <v>8.7786690769404582E-2</v>
      </c>
    </row>
    <row r="25" spans="1:22" ht="13.2" x14ac:dyDescent="0.25">
      <c r="A25" s="48">
        <v>23</v>
      </c>
      <c r="B25" s="49">
        <v>44219</v>
      </c>
      <c r="C25" s="48">
        <v>806</v>
      </c>
      <c r="D25" s="48">
        <v>8322</v>
      </c>
      <c r="E25" s="48">
        <f t="shared" si="0"/>
        <v>9128</v>
      </c>
      <c r="F25" s="50">
        <f t="shared" si="1"/>
        <v>8.8299737072743203E-2</v>
      </c>
      <c r="G25" s="48">
        <v>0</v>
      </c>
      <c r="H25" s="48">
        <v>0</v>
      </c>
      <c r="I25" s="48">
        <f t="shared" si="2"/>
        <v>0</v>
      </c>
      <c r="J25" s="51" t="e">
        <f t="shared" si="3"/>
        <v>#DIV/0!</v>
      </c>
      <c r="K25" s="48">
        <v>0</v>
      </c>
      <c r="L25" s="48">
        <v>0</v>
      </c>
      <c r="M25" s="52">
        <f t="shared" si="4"/>
        <v>0</v>
      </c>
      <c r="N25" s="50" t="e">
        <f t="shared" si="5"/>
        <v>#DIV/0!</v>
      </c>
      <c r="O25" s="54">
        <f t="shared" ref="O25:P25" si="34">S25-S24</f>
        <v>277</v>
      </c>
      <c r="P25" s="54">
        <f t="shared" si="34"/>
        <v>29</v>
      </c>
      <c r="Q25" s="54">
        <f t="shared" si="7"/>
        <v>248</v>
      </c>
      <c r="R25" s="50">
        <f t="shared" si="8"/>
        <v>0.10469314079422383</v>
      </c>
      <c r="S25" s="52">
        <f t="shared" si="9"/>
        <v>9128</v>
      </c>
      <c r="T25" s="48">
        <f t="shared" si="10"/>
        <v>806</v>
      </c>
      <c r="U25" s="48">
        <f t="shared" si="11"/>
        <v>8322</v>
      </c>
      <c r="V25" s="50">
        <f t="shared" si="12"/>
        <v>8.8299737072743203E-2</v>
      </c>
    </row>
    <row r="26" spans="1:22" ht="13.2" x14ac:dyDescent="0.25">
      <c r="A26" s="48">
        <v>24</v>
      </c>
      <c r="B26" s="49">
        <v>44220</v>
      </c>
      <c r="C26" s="48">
        <v>853</v>
      </c>
      <c r="D26" s="48">
        <v>8801</v>
      </c>
      <c r="E26" s="48">
        <f t="shared" si="0"/>
        <v>9654</v>
      </c>
      <c r="F26" s="50">
        <f t="shared" si="1"/>
        <v>8.835715765485809E-2</v>
      </c>
      <c r="G26" s="48">
        <v>0</v>
      </c>
      <c r="H26" s="48">
        <v>0</v>
      </c>
      <c r="I26" s="48">
        <f t="shared" si="2"/>
        <v>0</v>
      </c>
      <c r="J26" s="51" t="e">
        <f t="shared" si="3"/>
        <v>#DIV/0!</v>
      </c>
      <c r="K26" s="48">
        <v>0</v>
      </c>
      <c r="L26" s="48">
        <v>0</v>
      </c>
      <c r="M26" s="52">
        <f t="shared" si="4"/>
        <v>0</v>
      </c>
      <c r="N26" s="50" t="e">
        <f t="shared" si="5"/>
        <v>#DIV/0!</v>
      </c>
      <c r="O26" s="54">
        <f t="shared" ref="O26:P26" si="35">S26-S25</f>
        <v>526</v>
      </c>
      <c r="P26" s="54">
        <f t="shared" si="35"/>
        <v>47</v>
      </c>
      <c r="Q26" s="54">
        <f t="shared" si="7"/>
        <v>479</v>
      </c>
      <c r="R26" s="50">
        <f t="shared" si="8"/>
        <v>8.9353612167300381E-2</v>
      </c>
      <c r="S26" s="52">
        <f t="shared" si="9"/>
        <v>9654</v>
      </c>
      <c r="T26" s="48">
        <f t="shared" si="10"/>
        <v>853</v>
      </c>
      <c r="U26" s="48">
        <f t="shared" si="11"/>
        <v>8801</v>
      </c>
      <c r="V26" s="50">
        <f t="shared" si="12"/>
        <v>8.835715765485809E-2</v>
      </c>
    </row>
    <row r="27" spans="1:22" ht="13.2" x14ac:dyDescent="0.25">
      <c r="A27" s="48">
        <v>25</v>
      </c>
      <c r="B27" s="49">
        <v>44221</v>
      </c>
      <c r="C27" s="48">
        <v>862</v>
      </c>
      <c r="D27" s="48">
        <v>8906</v>
      </c>
      <c r="E27" s="48">
        <f t="shared" si="0"/>
        <v>9768</v>
      </c>
      <c r="F27" s="50">
        <f t="shared" si="1"/>
        <v>8.8247338247338242E-2</v>
      </c>
      <c r="G27" s="48">
        <v>0</v>
      </c>
      <c r="H27" s="48">
        <v>0</v>
      </c>
      <c r="I27" s="48">
        <f t="shared" si="2"/>
        <v>0</v>
      </c>
      <c r="J27" s="51" t="e">
        <f t="shared" si="3"/>
        <v>#DIV/0!</v>
      </c>
      <c r="K27" s="48">
        <v>0</v>
      </c>
      <c r="L27" s="48">
        <v>0</v>
      </c>
      <c r="M27" s="52">
        <f t="shared" si="4"/>
        <v>0</v>
      </c>
      <c r="N27" s="50" t="e">
        <f t="shared" si="5"/>
        <v>#DIV/0!</v>
      </c>
      <c r="O27" s="54">
        <f t="shared" ref="O27:P27" si="36">S27-S26</f>
        <v>114</v>
      </c>
      <c r="P27" s="54">
        <f t="shared" si="36"/>
        <v>9</v>
      </c>
      <c r="Q27" s="54">
        <f t="shared" si="7"/>
        <v>105</v>
      </c>
      <c r="R27" s="50">
        <f t="shared" si="8"/>
        <v>7.8947368421052627E-2</v>
      </c>
      <c r="S27" s="52">
        <f t="shared" si="9"/>
        <v>9768</v>
      </c>
      <c r="T27" s="48">
        <f t="shared" si="10"/>
        <v>862</v>
      </c>
      <c r="U27" s="48">
        <f t="shared" si="11"/>
        <v>8906</v>
      </c>
      <c r="V27" s="50">
        <f t="shared" si="12"/>
        <v>8.8247338247338242E-2</v>
      </c>
    </row>
    <row r="28" spans="1:22" ht="13.2" x14ac:dyDescent="0.25">
      <c r="A28" s="48">
        <v>26</v>
      </c>
      <c r="B28" s="49">
        <v>44222</v>
      </c>
      <c r="C28" s="48">
        <v>880</v>
      </c>
      <c r="D28" s="48">
        <v>9214</v>
      </c>
      <c r="E28" s="48">
        <f t="shared" si="0"/>
        <v>10094</v>
      </c>
      <c r="F28" s="50">
        <f t="shared" si="1"/>
        <v>8.7180503269268877E-2</v>
      </c>
      <c r="G28" s="48">
        <v>0</v>
      </c>
      <c r="H28" s="48">
        <v>0</v>
      </c>
      <c r="I28" s="48">
        <f t="shared" si="2"/>
        <v>0</v>
      </c>
      <c r="J28" s="51" t="e">
        <f t="shared" si="3"/>
        <v>#DIV/0!</v>
      </c>
      <c r="K28" s="48">
        <v>0</v>
      </c>
      <c r="L28" s="48">
        <v>0</v>
      </c>
      <c r="M28" s="52">
        <f t="shared" si="4"/>
        <v>0</v>
      </c>
      <c r="N28" s="50" t="e">
        <f t="shared" si="5"/>
        <v>#DIV/0!</v>
      </c>
      <c r="O28" s="54">
        <f t="shared" ref="O28:P28" si="37">S28-S27</f>
        <v>326</v>
      </c>
      <c r="P28" s="54">
        <f t="shared" si="37"/>
        <v>18</v>
      </c>
      <c r="Q28" s="54">
        <f t="shared" si="7"/>
        <v>308</v>
      </c>
      <c r="R28" s="50">
        <f t="shared" si="8"/>
        <v>5.5214723926380369E-2</v>
      </c>
      <c r="S28" s="52">
        <f t="shared" si="9"/>
        <v>10094</v>
      </c>
      <c r="T28" s="48">
        <f t="shared" si="10"/>
        <v>880</v>
      </c>
      <c r="U28" s="48">
        <f t="shared" si="11"/>
        <v>9214</v>
      </c>
      <c r="V28" s="50">
        <f t="shared" si="12"/>
        <v>8.7180503269268877E-2</v>
      </c>
    </row>
    <row r="29" spans="1:22" ht="13.2" x14ac:dyDescent="0.25">
      <c r="A29" s="48">
        <v>27</v>
      </c>
      <c r="B29" s="49">
        <v>44223</v>
      </c>
      <c r="C29" s="48">
        <v>930</v>
      </c>
      <c r="D29" s="48">
        <v>10055</v>
      </c>
      <c r="E29" s="48">
        <f t="shared" si="0"/>
        <v>10985</v>
      </c>
      <c r="F29" s="50">
        <f t="shared" si="1"/>
        <v>8.4660901228948565E-2</v>
      </c>
      <c r="G29" s="48">
        <v>0</v>
      </c>
      <c r="H29" s="48">
        <v>0</v>
      </c>
      <c r="I29" s="48">
        <f t="shared" si="2"/>
        <v>0</v>
      </c>
      <c r="J29" s="51" t="e">
        <f t="shared" si="3"/>
        <v>#DIV/0!</v>
      </c>
      <c r="K29" s="48">
        <v>0</v>
      </c>
      <c r="L29" s="48">
        <v>0</v>
      </c>
      <c r="M29" s="52">
        <f t="shared" si="4"/>
        <v>0</v>
      </c>
      <c r="N29" s="50" t="e">
        <f t="shared" si="5"/>
        <v>#DIV/0!</v>
      </c>
      <c r="O29" s="54">
        <f t="shared" ref="O29:P29" si="38">S29-S28</f>
        <v>891</v>
      </c>
      <c r="P29" s="54">
        <f t="shared" si="38"/>
        <v>50</v>
      </c>
      <c r="Q29" s="54">
        <f t="shared" si="7"/>
        <v>841</v>
      </c>
      <c r="R29" s="50">
        <f t="shared" si="8"/>
        <v>5.6116722783389451E-2</v>
      </c>
      <c r="S29" s="52">
        <f t="shared" si="9"/>
        <v>10985</v>
      </c>
      <c r="T29" s="48">
        <f t="shared" si="10"/>
        <v>930</v>
      </c>
      <c r="U29" s="48">
        <f t="shared" si="11"/>
        <v>10055</v>
      </c>
      <c r="V29" s="50">
        <f t="shared" si="12"/>
        <v>8.4660901228948565E-2</v>
      </c>
    </row>
    <row r="30" spans="1:22" ht="13.2" x14ac:dyDescent="0.25">
      <c r="A30" s="48">
        <v>28</v>
      </c>
      <c r="B30" s="49">
        <v>44224</v>
      </c>
      <c r="C30" s="48">
        <v>977</v>
      </c>
      <c r="D30" s="48">
        <v>10989</v>
      </c>
      <c r="E30" s="48">
        <f t="shared" si="0"/>
        <v>11966</v>
      </c>
      <c r="F30" s="50">
        <f t="shared" si="1"/>
        <v>8.1648002674243686E-2</v>
      </c>
      <c r="G30" s="48">
        <v>0</v>
      </c>
      <c r="H30" s="48">
        <v>0</v>
      </c>
      <c r="I30" s="48">
        <f t="shared" si="2"/>
        <v>0</v>
      </c>
      <c r="J30" s="51" t="e">
        <f t="shared" si="3"/>
        <v>#DIV/0!</v>
      </c>
      <c r="K30" s="48">
        <v>0</v>
      </c>
      <c r="L30" s="48">
        <v>0</v>
      </c>
      <c r="M30" s="52">
        <f t="shared" si="4"/>
        <v>0</v>
      </c>
      <c r="N30" s="50" t="e">
        <f t="shared" si="5"/>
        <v>#DIV/0!</v>
      </c>
      <c r="O30" s="54">
        <f t="shared" ref="O30:P30" si="39">S30-S29</f>
        <v>981</v>
      </c>
      <c r="P30" s="54">
        <f t="shared" si="39"/>
        <v>47</v>
      </c>
      <c r="Q30" s="54">
        <f t="shared" si="7"/>
        <v>934</v>
      </c>
      <c r="R30" s="50">
        <f t="shared" si="8"/>
        <v>4.7910295616717634E-2</v>
      </c>
      <c r="S30" s="52">
        <f t="shared" si="9"/>
        <v>11966</v>
      </c>
      <c r="T30" s="48">
        <f t="shared" si="10"/>
        <v>977</v>
      </c>
      <c r="U30" s="48">
        <f t="shared" si="11"/>
        <v>10989</v>
      </c>
      <c r="V30" s="50">
        <f t="shared" si="12"/>
        <v>8.1648002674243686E-2</v>
      </c>
    </row>
    <row r="31" spans="1:22" ht="13.2" x14ac:dyDescent="0.25">
      <c r="A31" s="48">
        <v>29</v>
      </c>
      <c r="B31" s="49">
        <v>44225</v>
      </c>
      <c r="C31" s="48">
        <v>1081</v>
      </c>
      <c r="D31" s="48">
        <v>12260</v>
      </c>
      <c r="E31" s="48">
        <f t="shared" si="0"/>
        <v>13341</v>
      </c>
      <c r="F31" s="50">
        <f t="shared" si="1"/>
        <v>8.1028408665017621E-2</v>
      </c>
      <c r="G31" s="48">
        <v>0</v>
      </c>
      <c r="H31" s="48">
        <v>0</v>
      </c>
      <c r="I31" s="48">
        <f t="shared" si="2"/>
        <v>0</v>
      </c>
      <c r="J31" s="51" t="e">
        <f t="shared" si="3"/>
        <v>#DIV/0!</v>
      </c>
      <c r="K31" s="48">
        <v>0</v>
      </c>
      <c r="L31" s="48">
        <v>0</v>
      </c>
      <c r="M31" s="52">
        <f t="shared" si="4"/>
        <v>0</v>
      </c>
      <c r="N31" s="50" t="e">
        <f t="shared" si="5"/>
        <v>#DIV/0!</v>
      </c>
      <c r="O31" s="54">
        <f t="shared" ref="O31:P31" si="40">S31-S30</f>
        <v>1375</v>
      </c>
      <c r="P31" s="54">
        <f t="shared" si="40"/>
        <v>104</v>
      </c>
      <c r="Q31" s="54">
        <f t="shared" si="7"/>
        <v>1271</v>
      </c>
      <c r="R31" s="50">
        <f t="shared" si="8"/>
        <v>7.563636363636364E-2</v>
      </c>
      <c r="S31" s="52">
        <f t="shared" si="9"/>
        <v>13341</v>
      </c>
      <c r="T31" s="48">
        <f t="shared" si="10"/>
        <v>1081</v>
      </c>
      <c r="U31" s="48">
        <f t="shared" si="11"/>
        <v>12260</v>
      </c>
      <c r="V31" s="50">
        <f t="shared" si="12"/>
        <v>8.1028408665017621E-2</v>
      </c>
    </row>
    <row r="32" spans="1:22" ht="13.2" x14ac:dyDescent="0.25">
      <c r="A32" s="48">
        <v>30</v>
      </c>
      <c r="B32" s="49">
        <v>44226</v>
      </c>
      <c r="C32" s="48">
        <v>1139</v>
      </c>
      <c r="D32" s="48">
        <v>12955</v>
      </c>
      <c r="E32" s="48">
        <f t="shared" si="0"/>
        <v>14094</v>
      </c>
      <c r="F32" s="50">
        <f t="shared" si="1"/>
        <v>8.0814531006101892E-2</v>
      </c>
      <c r="G32" s="48">
        <v>0</v>
      </c>
      <c r="H32" s="48">
        <v>0</v>
      </c>
      <c r="I32" s="48">
        <f t="shared" si="2"/>
        <v>0</v>
      </c>
      <c r="J32" s="51" t="e">
        <f t="shared" si="3"/>
        <v>#DIV/0!</v>
      </c>
      <c r="K32" s="48">
        <v>0</v>
      </c>
      <c r="L32" s="48">
        <v>0</v>
      </c>
      <c r="M32" s="52">
        <f t="shared" si="4"/>
        <v>0</v>
      </c>
      <c r="N32" s="50" t="e">
        <f t="shared" si="5"/>
        <v>#DIV/0!</v>
      </c>
      <c r="O32" s="54">
        <f t="shared" ref="O32:P32" si="41">S32-S31</f>
        <v>753</v>
      </c>
      <c r="P32" s="54">
        <f t="shared" si="41"/>
        <v>58</v>
      </c>
      <c r="Q32" s="54">
        <f t="shared" si="7"/>
        <v>695</v>
      </c>
      <c r="R32" s="50">
        <f t="shared" si="8"/>
        <v>7.702523240371846E-2</v>
      </c>
      <c r="S32" s="52">
        <f t="shared" si="9"/>
        <v>14094</v>
      </c>
      <c r="T32" s="48">
        <f t="shared" si="10"/>
        <v>1139</v>
      </c>
      <c r="U32" s="48">
        <f t="shared" si="11"/>
        <v>12955</v>
      </c>
      <c r="V32" s="50">
        <f t="shared" si="12"/>
        <v>8.0814531006101892E-2</v>
      </c>
    </row>
    <row r="33" spans="1:22" ht="13.2" x14ac:dyDescent="0.25">
      <c r="A33" s="48">
        <v>31</v>
      </c>
      <c r="B33" s="49">
        <v>44227</v>
      </c>
      <c r="C33" s="48">
        <v>1199</v>
      </c>
      <c r="D33" s="48">
        <v>13846</v>
      </c>
      <c r="E33" s="48">
        <f t="shared" si="0"/>
        <v>15045</v>
      </c>
      <c r="F33" s="50">
        <f t="shared" si="1"/>
        <v>7.9694250581588563E-2</v>
      </c>
      <c r="G33" s="48">
        <v>0</v>
      </c>
      <c r="H33" s="48">
        <v>0</v>
      </c>
      <c r="I33" s="48">
        <f t="shared" si="2"/>
        <v>0</v>
      </c>
      <c r="J33" s="51" t="e">
        <f t="shared" si="3"/>
        <v>#DIV/0!</v>
      </c>
      <c r="K33" s="48">
        <v>0</v>
      </c>
      <c r="L33" s="48">
        <v>0</v>
      </c>
      <c r="M33" s="52">
        <f t="shared" si="4"/>
        <v>0</v>
      </c>
      <c r="N33" s="50" t="e">
        <f t="shared" si="5"/>
        <v>#DIV/0!</v>
      </c>
      <c r="O33" s="54">
        <f t="shared" ref="O33:P33" si="42">S33-S32</f>
        <v>951</v>
      </c>
      <c r="P33" s="54">
        <f t="shared" si="42"/>
        <v>60</v>
      </c>
      <c r="Q33" s="54">
        <f t="shared" si="7"/>
        <v>891</v>
      </c>
      <c r="R33" s="50">
        <f t="shared" si="8"/>
        <v>6.3091482649842268E-2</v>
      </c>
      <c r="S33" s="52">
        <f t="shared" si="9"/>
        <v>15045</v>
      </c>
      <c r="T33" s="48">
        <f t="shared" si="10"/>
        <v>1199</v>
      </c>
      <c r="U33" s="48">
        <f t="shared" si="11"/>
        <v>13846</v>
      </c>
      <c r="V33" s="50">
        <f t="shared" si="12"/>
        <v>7.9694250581588563E-2</v>
      </c>
    </row>
    <row r="34" spans="1:22" ht="13.2" x14ac:dyDescent="0.25">
      <c r="A34" s="48">
        <v>32</v>
      </c>
      <c r="B34" s="49">
        <v>44228</v>
      </c>
      <c r="C34" s="48">
        <v>1220</v>
      </c>
      <c r="D34" s="48">
        <v>14121</v>
      </c>
      <c r="E34" s="48">
        <f t="shared" si="0"/>
        <v>15341</v>
      </c>
      <c r="F34" s="50">
        <f t="shared" si="1"/>
        <v>7.9525454663972359E-2</v>
      </c>
      <c r="G34" s="48">
        <v>0</v>
      </c>
      <c r="H34" s="48">
        <v>0</v>
      </c>
      <c r="I34" s="48">
        <f t="shared" si="2"/>
        <v>0</v>
      </c>
      <c r="J34" s="51" t="e">
        <f t="shared" si="3"/>
        <v>#DIV/0!</v>
      </c>
      <c r="K34" s="48">
        <v>0</v>
      </c>
      <c r="L34" s="48">
        <v>0</v>
      </c>
      <c r="M34" s="52">
        <f t="shared" si="4"/>
        <v>0</v>
      </c>
      <c r="N34" s="50" t="e">
        <f t="shared" si="5"/>
        <v>#DIV/0!</v>
      </c>
      <c r="O34" s="54">
        <f t="shared" ref="O34:P34" si="43">S34-S33</f>
        <v>296</v>
      </c>
      <c r="P34" s="54">
        <f t="shared" si="43"/>
        <v>21</v>
      </c>
      <c r="Q34" s="54">
        <f t="shared" si="7"/>
        <v>275</v>
      </c>
      <c r="R34" s="50">
        <f t="shared" si="8"/>
        <v>7.0945945945945943E-2</v>
      </c>
      <c r="S34" s="52">
        <f t="shared" si="9"/>
        <v>15341</v>
      </c>
      <c r="T34" s="48">
        <f t="shared" si="10"/>
        <v>1220</v>
      </c>
      <c r="U34" s="48">
        <f t="shared" si="11"/>
        <v>14121</v>
      </c>
      <c r="V34" s="50">
        <f t="shared" si="12"/>
        <v>7.9525454663972359E-2</v>
      </c>
    </row>
    <row r="35" spans="1:22" ht="13.2" x14ac:dyDescent="0.25">
      <c r="A35" s="48">
        <v>33</v>
      </c>
      <c r="B35" s="49">
        <v>44229</v>
      </c>
      <c r="C35" s="48">
        <v>1232</v>
      </c>
      <c r="D35" s="48">
        <v>14323</v>
      </c>
      <c r="E35" s="48">
        <f t="shared" si="0"/>
        <v>15555</v>
      </c>
      <c r="F35" s="50">
        <f t="shared" si="1"/>
        <v>7.9202828672452583E-2</v>
      </c>
      <c r="G35" s="48">
        <v>0</v>
      </c>
      <c r="H35" s="48">
        <v>0</v>
      </c>
      <c r="I35" s="48">
        <f t="shared" si="2"/>
        <v>0</v>
      </c>
      <c r="J35" s="51" t="e">
        <f t="shared" si="3"/>
        <v>#DIV/0!</v>
      </c>
      <c r="K35" s="48">
        <v>0</v>
      </c>
      <c r="L35" s="48">
        <v>0</v>
      </c>
      <c r="M35" s="52">
        <f t="shared" si="4"/>
        <v>0</v>
      </c>
      <c r="N35" s="50" t="e">
        <f t="shared" si="5"/>
        <v>#DIV/0!</v>
      </c>
      <c r="O35" s="54">
        <f t="shared" ref="O35:P35" si="44">S35-S34</f>
        <v>214</v>
      </c>
      <c r="P35" s="54">
        <f t="shared" si="44"/>
        <v>12</v>
      </c>
      <c r="Q35" s="54">
        <f t="shared" si="7"/>
        <v>202</v>
      </c>
      <c r="R35" s="50">
        <f t="shared" si="8"/>
        <v>5.6074766355140186E-2</v>
      </c>
      <c r="S35" s="52">
        <f t="shared" si="9"/>
        <v>15555</v>
      </c>
      <c r="T35" s="48">
        <f t="shared" si="10"/>
        <v>1232</v>
      </c>
      <c r="U35" s="48">
        <f t="shared" si="11"/>
        <v>14323</v>
      </c>
      <c r="V35" s="50">
        <f t="shared" si="12"/>
        <v>7.9202828672452583E-2</v>
      </c>
    </row>
    <row r="36" spans="1:22" ht="13.2" x14ac:dyDescent="0.25">
      <c r="A36" s="48">
        <v>34</v>
      </c>
      <c r="B36" s="49">
        <v>44230</v>
      </c>
      <c r="C36" s="48">
        <v>1270</v>
      </c>
      <c r="D36" s="48">
        <v>14893</v>
      </c>
      <c r="E36" s="48">
        <f t="shared" si="0"/>
        <v>16163</v>
      </c>
      <c r="F36" s="50">
        <f t="shared" si="1"/>
        <v>7.8574522056548912E-2</v>
      </c>
      <c r="G36" s="48">
        <v>0</v>
      </c>
      <c r="H36" s="48">
        <v>0</v>
      </c>
      <c r="I36" s="48">
        <f t="shared" si="2"/>
        <v>0</v>
      </c>
      <c r="J36" s="51" t="e">
        <f t="shared" si="3"/>
        <v>#DIV/0!</v>
      </c>
      <c r="K36" s="48">
        <v>0</v>
      </c>
      <c r="L36" s="48">
        <v>0</v>
      </c>
      <c r="M36" s="52">
        <f t="shared" si="4"/>
        <v>0</v>
      </c>
      <c r="N36" s="50" t="e">
        <f t="shared" si="5"/>
        <v>#DIV/0!</v>
      </c>
      <c r="O36" s="54">
        <f t="shared" ref="O36:P36" si="45">S36-S35</f>
        <v>608</v>
      </c>
      <c r="P36" s="54">
        <f t="shared" si="45"/>
        <v>38</v>
      </c>
      <c r="Q36" s="54">
        <f t="shared" si="7"/>
        <v>570</v>
      </c>
      <c r="R36" s="50">
        <f t="shared" si="8"/>
        <v>6.25E-2</v>
      </c>
      <c r="S36" s="52">
        <f t="shared" si="9"/>
        <v>16163</v>
      </c>
      <c r="T36" s="48">
        <f t="shared" si="10"/>
        <v>1270</v>
      </c>
      <c r="U36" s="48">
        <f t="shared" si="11"/>
        <v>14893</v>
      </c>
      <c r="V36" s="50">
        <f t="shared" si="12"/>
        <v>7.8574522056548912E-2</v>
      </c>
    </row>
    <row r="37" spans="1:22" ht="13.2" x14ac:dyDescent="0.25">
      <c r="A37" s="48">
        <v>35</v>
      </c>
      <c r="B37" s="49">
        <v>44231</v>
      </c>
      <c r="C37" s="48">
        <v>1322</v>
      </c>
      <c r="D37" s="48">
        <v>15865</v>
      </c>
      <c r="E37" s="48">
        <f t="shared" si="0"/>
        <v>17187</v>
      </c>
      <c r="F37" s="50">
        <f t="shared" si="1"/>
        <v>7.6918601268400541E-2</v>
      </c>
      <c r="G37" s="48">
        <v>0</v>
      </c>
      <c r="H37" s="48">
        <v>0</v>
      </c>
      <c r="I37" s="48">
        <f t="shared" si="2"/>
        <v>0</v>
      </c>
      <c r="J37" s="51" t="e">
        <f t="shared" si="3"/>
        <v>#DIV/0!</v>
      </c>
      <c r="K37" s="48">
        <v>0</v>
      </c>
      <c r="L37" s="48">
        <v>0</v>
      </c>
      <c r="M37" s="52">
        <f t="shared" si="4"/>
        <v>0</v>
      </c>
      <c r="N37" s="50" t="e">
        <f t="shared" si="5"/>
        <v>#DIV/0!</v>
      </c>
      <c r="O37" s="54">
        <f t="shared" ref="O37:P37" si="46">S37-S36</f>
        <v>1024</v>
      </c>
      <c r="P37" s="54">
        <f t="shared" si="46"/>
        <v>52</v>
      </c>
      <c r="Q37" s="54">
        <f t="shared" si="7"/>
        <v>972</v>
      </c>
      <c r="R37" s="50">
        <f t="shared" si="8"/>
        <v>5.078125E-2</v>
      </c>
      <c r="S37" s="52">
        <f t="shared" si="9"/>
        <v>17187</v>
      </c>
      <c r="T37" s="48">
        <f t="shared" si="10"/>
        <v>1322</v>
      </c>
      <c r="U37" s="48">
        <f t="shared" si="11"/>
        <v>15865</v>
      </c>
      <c r="V37" s="50">
        <f t="shared" si="12"/>
        <v>7.6918601268400541E-2</v>
      </c>
    </row>
    <row r="38" spans="1:22" ht="13.2" x14ac:dyDescent="0.25">
      <c r="A38" s="48">
        <v>36</v>
      </c>
      <c r="B38" s="49">
        <v>44232</v>
      </c>
      <c r="C38" s="48">
        <v>1483</v>
      </c>
      <c r="D38" s="48">
        <v>16460</v>
      </c>
      <c r="E38" s="48">
        <f t="shared" si="0"/>
        <v>17943</v>
      </c>
      <c r="F38" s="50">
        <f t="shared" si="1"/>
        <v>8.2650615839045871E-2</v>
      </c>
      <c r="G38" s="48">
        <v>0</v>
      </c>
      <c r="H38" s="48">
        <v>0</v>
      </c>
      <c r="I38" s="48">
        <f t="shared" si="2"/>
        <v>0</v>
      </c>
      <c r="J38" s="51" t="e">
        <f t="shared" si="3"/>
        <v>#DIV/0!</v>
      </c>
      <c r="K38" s="48">
        <v>0</v>
      </c>
      <c r="L38" s="48">
        <v>0</v>
      </c>
      <c r="M38" s="52">
        <f t="shared" si="4"/>
        <v>0</v>
      </c>
      <c r="N38" s="50" t="e">
        <f t="shared" si="5"/>
        <v>#DIV/0!</v>
      </c>
      <c r="O38" s="54">
        <f t="shared" ref="O38:P38" si="47">S38-S37</f>
        <v>756</v>
      </c>
      <c r="P38" s="54">
        <f t="shared" si="47"/>
        <v>161</v>
      </c>
      <c r="Q38" s="54">
        <f t="shared" si="7"/>
        <v>595</v>
      </c>
      <c r="R38" s="50">
        <f t="shared" si="8"/>
        <v>0.21296296296296297</v>
      </c>
      <c r="S38" s="52">
        <f t="shared" si="9"/>
        <v>17943</v>
      </c>
      <c r="T38" s="48">
        <f t="shared" si="10"/>
        <v>1483</v>
      </c>
      <c r="U38" s="48">
        <f t="shared" si="11"/>
        <v>16460</v>
      </c>
      <c r="V38" s="50">
        <f t="shared" si="12"/>
        <v>8.2650615839045871E-2</v>
      </c>
    </row>
    <row r="39" spans="1:22" ht="13.2" x14ac:dyDescent="0.25">
      <c r="A39" s="48">
        <v>37</v>
      </c>
      <c r="B39" s="49">
        <v>44233</v>
      </c>
      <c r="C39" s="48">
        <v>1525</v>
      </c>
      <c r="D39" s="48">
        <v>17214</v>
      </c>
      <c r="E39" s="48">
        <f t="shared" si="0"/>
        <v>18739</v>
      </c>
      <c r="F39" s="50">
        <f t="shared" si="1"/>
        <v>8.1381076898447091E-2</v>
      </c>
      <c r="G39" s="48">
        <v>0</v>
      </c>
      <c r="H39" s="48">
        <v>0</v>
      </c>
      <c r="I39" s="48">
        <f t="shared" si="2"/>
        <v>0</v>
      </c>
      <c r="J39" s="51" t="e">
        <f t="shared" si="3"/>
        <v>#DIV/0!</v>
      </c>
      <c r="K39" s="48">
        <v>0</v>
      </c>
      <c r="L39" s="48">
        <v>0</v>
      </c>
      <c r="M39" s="52">
        <f t="shared" si="4"/>
        <v>0</v>
      </c>
      <c r="N39" s="50" t="e">
        <f t="shared" si="5"/>
        <v>#DIV/0!</v>
      </c>
      <c r="O39" s="54">
        <f t="shared" ref="O39:P39" si="48">S39-S38</f>
        <v>796</v>
      </c>
      <c r="P39" s="54">
        <f t="shared" si="48"/>
        <v>42</v>
      </c>
      <c r="Q39" s="54">
        <f t="shared" si="7"/>
        <v>754</v>
      </c>
      <c r="R39" s="50">
        <f t="shared" si="8"/>
        <v>5.2763819095477386E-2</v>
      </c>
      <c r="S39" s="52">
        <f t="shared" si="9"/>
        <v>18739</v>
      </c>
      <c r="T39" s="48">
        <f t="shared" si="10"/>
        <v>1525</v>
      </c>
      <c r="U39" s="48">
        <f t="shared" si="11"/>
        <v>17214</v>
      </c>
      <c r="V39" s="50">
        <f t="shared" si="12"/>
        <v>8.1381076898447091E-2</v>
      </c>
    </row>
    <row r="40" spans="1:22" ht="13.2" x14ac:dyDescent="0.25">
      <c r="A40" s="48">
        <v>38</v>
      </c>
      <c r="B40" s="49">
        <v>44234</v>
      </c>
      <c r="C40" s="48">
        <v>1561</v>
      </c>
      <c r="D40" s="48">
        <v>18079</v>
      </c>
      <c r="E40" s="48">
        <f t="shared" si="0"/>
        <v>19640</v>
      </c>
      <c r="F40" s="50">
        <f t="shared" si="1"/>
        <v>7.9480651731160895E-2</v>
      </c>
      <c r="G40" s="48">
        <v>0</v>
      </c>
      <c r="H40" s="48">
        <v>0</v>
      </c>
      <c r="I40" s="48">
        <f t="shared" si="2"/>
        <v>0</v>
      </c>
      <c r="J40" s="51" t="e">
        <f t="shared" si="3"/>
        <v>#DIV/0!</v>
      </c>
      <c r="K40" s="48">
        <v>0</v>
      </c>
      <c r="L40" s="48">
        <v>0</v>
      </c>
      <c r="M40" s="52">
        <f t="shared" si="4"/>
        <v>0</v>
      </c>
      <c r="N40" s="50" t="e">
        <f t="shared" si="5"/>
        <v>#DIV/0!</v>
      </c>
      <c r="O40" s="54">
        <f t="shared" ref="O40:P40" si="49">S40-S39</f>
        <v>901</v>
      </c>
      <c r="P40" s="54">
        <f t="shared" si="49"/>
        <v>36</v>
      </c>
      <c r="Q40" s="54">
        <f t="shared" si="7"/>
        <v>865</v>
      </c>
      <c r="R40" s="50">
        <f t="shared" si="8"/>
        <v>3.9955604883462822E-2</v>
      </c>
      <c r="S40" s="52">
        <f t="shared" si="9"/>
        <v>19640</v>
      </c>
      <c r="T40" s="48">
        <f t="shared" si="10"/>
        <v>1561</v>
      </c>
      <c r="U40" s="48">
        <f t="shared" si="11"/>
        <v>18079</v>
      </c>
      <c r="V40" s="50">
        <f t="shared" si="12"/>
        <v>7.9480651731160895E-2</v>
      </c>
    </row>
    <row r="41" spans="1:22" ht="13.2" x14ac:dyDescent="0.25">
      <c r="A41" s="48">
        <v>39</v>
      </c>
      <c r="B41" s="49">
        <v>44235</v>
      </c>
      <c r="C41" s="48">
        <v>1606</v>
      </c>
      <c r="D41" s="48">
        <v>18687</v>
      </c>
      <c r="E41" s="48">
        <f t="shared" si="0"/>
        <v>20293</v>
      </c>
      <c r="F41" s="50">
        <f t="shared" si="1"/>
        <v>7.914059035135268E-2</v>
      </c>
      <c r="G41" s="48">
        <v>0</v>
      </c>
      <c r="H41" s="48">
        <v>0</v>
      </c>
      <c r="I41" s="48">
        <f t="shared" si="2"/>
        <v>0</v>
      </c>
      <c r="J41" s="51" t="e">
        <f t="shared" si="3"/>
        <v>#DIV/0!</v>
      </c>
      <c r="K41" s="48">
        <v>0</v>
      </c>
      <c r="L41" s="48">
        <v>0</v>
      </c>
      <c r="M41" s="52">
        <f t="shared" si="4"/>
        <v>0</v>
      </c>
      <c r="N41" s="50" t="e">
        <f t="shared" si="5"/>
        <v>#DIV/0!</v>
      </c>
      <c r="O41" s="54">
        <f t="shared" ref="O41:P41" si="50">S41-S40</f>
        <v>653</v>
      </c>
      <c r="P41" s="54">
        <f t="shared" si="50"/>
        <v>45</v>
      </c>
      <c r="Q41" s="54">
        <f t="shared" si="7"/>
        <v>608</v>
      </c>
      <c r="R41" s="50">
        <f t="shared" si="8"/>
        <v>6.8912710566615618E-2</v>
      </c>
      <c r="S41" s="52">
        <f t="shared" si="9"/>
        <v>20293</v>
      </c>
      <c r="T41" s="48">
        <f t="shared" si="10"/>
        <v>1606</v>
      </c>
      <c r="U41" s="48">
        <f t="shared" si="11"/>
        <v>18687</v>
      </c>
      <c r="V41" s="50">
        <f t="shared" si="12"/>
        <v>7.914059035135268E-2</v>
      </c>
    </row>
    <row r="42" spans="1:22" ht="13.2" x14ac:dyDescent="0.25">
      <c r="A42" s="48">
        <v>40</v>
      </c>
      <c r="B42" s="49">
        <v>44236</v>
      </c>
      <c r="C42" s="48">
        <v>1606</v>
      </c>
      <c r="D42" s="48">
        <v>18687</v>
      </c>
      <c r="E42" s="48">
        <f t="shared" si="0"/>
        <v>20293</v>
      </c>
      <c r="F42" s="50">
        <f t="shared" si="1"/>
        <v>7.914059035135268E-2</v>
      </c>
      <c r="G42" s="48">
        <v>0</v>
      </c>
      <c r="H42" s="48">
        <v>0</v>
      </c>
      <c r="I42" s="48">
        <f t="shared" si="2"/>
        <v>0</v>
      </c>
      <c r="J42" s="51" t="e">
        <f t="shared" si="3"/>
        <v>#DIV/0!</v>
      </c>
      <c r="K42" s="48">
        <v>0</v>
      </c>
      <c r="L42" s="48">
        <v>0</v>
      </c>
      <c r="M42" s="52">
        <f t="shared" si="4"/>
        <v>0</v>
      </c>
      <c r="N42" s="50" t="e">
        <f t="shared" si="5"/>
        <v>#DIV/0!</v>
      </c>
      <c r="O42" s="54">
        <f t="shared" ref="O42:P42" si="51">S42-S41</f>
        <v>0</v>
      </c>
      <c r="P42" s="54">
        <f t="shared" si="51"/>
        <v>0</v>
      </c>
      <c r="Q42" s="54">
        <f t="shared" si="7"/>
        <v>0</v>
      </c>
      <c r="R42" s="50" t="e">
        <f t="shared" si="8"/>
        <v>#DIV/0!</v>
      </c>
      <c r="S42" s="52">
        <f t="shared" si="9"/>
        <v>20293</v>
      </c>
      <c r="T42" s="48">
        <f t="shared" si="10"/>
        <v>1606</v>
      </c>
      <c r="U42" s="48">
        <f t="shared" si="11"/>
        <v>18687</v>
      </c>
      <c r="V42" s="50">
        <f t="shared" si="12"/>
        <v>7.914059035135268E-2</v>
      </c>
    </row>
    <row r="43" spans="1:22" ht="13.2" x14ac:dyDescent="0.25">
      <c r="A43" s="48">
        <v>41</v>
      </c>
      <c r="B43" s="49">
        <v>44237</v>
      </c>
      <c r="C43" s="48">
        <v>1634</v>
      </c>
      <c r="D43" s="48">
        <v>19151</v>
      </c>
      <c r="E43" s="48">
        <f t="shared" si="0"/>
        <v>20785</v>
      </c>
      <c r="F43" s="50">
        <f t="shared" si="1"/>
        <v>7.8614385374067841E-2</v>
      </c>
      <c r="G43" s="48">
        <v>0</v>
      </c>
      <c r="H43" s="48">
        <v>0</v>
      </c>
      <c r="I43" s="48">
        <f t="shared" si="2"/>
        <v>0</v>
      </c>
      <c r="J43" s="51" t="e">
        <f t="shared" si="3"/>
        <v>#DIV/0!</v>
      </c>
      <c r="K43" s="48">
        <v>0</v>
      </c>
      <c r="L43" s="48">
        <v>0</v>
      </c>
      <c r="M43" s="52">
        <f t="shared" si="4"/>
        <v>0</v>
      </c>
      <c r="N43" s="50" t="e">
        <f t="shared" si="5"/>
        <v>#DIV/0!</v>
      </c>
      <c r="O43" s="54">
        <f t="shared" ref="O43:P43" si="52">S43-S42</f>
        <v>492</v>
      </c>
      <c r="P43" s="54">
        <f t="shared" si="52"/>
        <v>28</v>
      </c>
      <c r="Q43" s="54">
        <f t="shared" si="7"/>
        <v>464</v>
      </c>
      <c r="R43" s="50">
        <f t="shared" si="8"/>
        <v>5.6910569105691054E-2</v>
      </c>
      <c r="S43" s="52">
        <f t="shared" si="9"/>
        <v>20785</v>
      </c>
      <c r="T43" s="48">
        <f t="shared" si="10"/>
        <v>1634</v>
      </c>
      <c r="U43" s="48">
        <f t="shared" si="11"/>
        <v>19151</v>
      </c>
      <c r="V43" s="50">
        <f t="shared" si="12"/>
        <v>7.8614385374067841E-2</v>
      </c>
    </row>
    <row r="44" spans="1:22" ht="13.2" x14ac:dyDescent="0.25">
      <c r="A44" s="48">
        <v>42</v>
      </c>
      <c r="B44" s="49">
        <v>44238</v>
      </c>
      <c r="C44" s="48">
        <v>1680</v>
      </c>
      <c r="D44" s="48">
        <v>19841</v>
      </c>
      <c r="E44" s="48">
        <f t="shared" si="0"/>
        <v>21521</v>
      </c>
      <c r="F44" s="50">
        <f t="shared" si="1"/>
        <v>7.8063287021978539E-2</v>
      </c>
      <c r="G44" s="48">
        <v>0</v>
      </c>
      <c r="H44" s="48">
        <v>0</v>
      </c>
      <c r="I44" s="48">
        <f t="shared" si="2"/>
        <v>0</v>
      </c>
      <c r="J44" s="51" t="e">
        <f t="shared" si="3"/>
        <v>#DIV/0!</v>
      </c>
      <c r="K44" s="48">
        <v>0</v>
      </c>
      <c r="L44" s="48">
        <v>0</v>
      </c>
      <c r="M44" s="52">
        <f t="shared" si="4"/>
        <v>0</v>
      </c>
      <c r="N44" s="50" t="e">
        <f t="shared" si="5"/>
        <v>#DIV/0!</v>
      </c>
      <c r="O44" s="54">
        <f t="shared" ref="O44:P44" si="53">S44-S43</f>
        <v>736</v>
      </c>
      <c r="P44" s="54">
        <f t="shared" si="53"/>
        <v>46</v>
      </c>
      <c r="Q44" s="54">
        <f t="shared" si="7"/>
        <v>690</v>
      </c>
      <c r="R44" s="50">
        <f t="shared" si="8"/>
        <v>6.25E-2</v>
      </c>
      <c r="S44" s="52">
        <f t="shared" si="9"/>
        <v>21521</v>
      </c>
      <c r="T44" s="48">
        <f t="shared" si="10"/>
        <v>1680</v>
      </c>
      <c r="U44" s="48">
        <f t="shared" si="11"/>
        <v>19841</v>
      </c>
      <c r="V44" s="50">
        <f t="shared" si="12"/>
        <v>7.8063287021978539E-2</v>
      </c>
    </row>
    <row r="45" spans="1:22" ht="13.2" x14ac:dyDescent="0.25">
      <c r="A45" s="48">
        <v>43</v>
      </c>
      <c r="B45" s="49">
        <v>44239</v>
      </c>
      <c r="C45" s="48">
        <v>1734</v>
      </c>
      <c r="D45" s="48">
        <v>20957</v>
      </c>
      <c r="E45" s="48">
        <f t="shared" si="0"/>
        <v>22691</v>
      </c>
      <c r="F45" s="50">
        <f t="shared" si="1"/>
        <v>7.6417963069058223E-2</v>
      </c>
      <c r="G45" s="48">
        <v>0</v>
      </c>
      <c r="H45" s="48">
        <v>0</v>
      </c>
      <c r="I45" s="48">
        <f t="shared" si="2"/>
        <v>0</v>
      </c>
      <c r="J45" s="51" t="e">
        <f t="shared" si="3"/>
        <v>#DIV/0!</v>
      </c>
      <c r="K45" s="48">
        <v>0</v>
      </c>
      <c r="L45" s="48">
        <v>0</v>
      </c>
      <c r="M45" s="52">
        <f t="shared" si="4"/>
        <v>0</v>
      </c>
      <c r="N45" s="50" t="e">
        <f t="shared" si="5"/>
        <v>#DIV/0!</v>
      </c>
      <c r="O45" s="54">
        <f t="shared" ref="O45:P45" si="54">S45-S44</f>
        <v>1170</v>
      </c>
      <c r="P45" s="54">
        <f t="shared" si="54"/>
        <v>54</v>
      </c>
      <c r="Q45" s="54">
        <f t="shared" si="7"/>
        <v>1116</v>
      </c>
      <c r="R45" s="50">
        <f t="shared" si="8"/>
        <v>4.6153846153846156E-2</v>
      </c>
      <c r="S45" s="52">
        <f t="shared" si="9"/>
        <v>22691</v>
      </c>
      <c r="T45" s="48">
        <f t="shared" si="10"/>
        <v>1734</v>
      </c>
      <c r="U45" s="48">
        <f t="shared" si="11"/>
        <v>20957</v>
      </c>
      <c r="V45" s="50">
        <f t="shared" si="12"/>
        <v>7.6417963069058223E-2</v>
      </c>
    </row>
    <row r="46" spans="1:22" ht="13.2" x14ac:dyDescent="0.25">
      <c r="A46" s="48">
        <v>44</v>
      </c>
      <c r="B46" s="49">
        <v>44240</v>
      </c>
      <c r="C46" s="48">
        <v>1787</v>
      </c>
      <c r="D46" s="48">
        <v>22097</v>
      </c>
      <c r="E46" s="48">
        <f t="shared" si="0"/>
        <v>23884</v>
      </c>
      <c r="F46" s="50">
        <f t="shared" si="1"/>
        <v>7.4819963155250371E-2</v>
      </c>
      <c r="G46" s="48">
        <v>0</v>
      </c>
      <c r="H46" s="48">
        <v>0</v>
      </c>
      <c r="I46" s="48">
        <f t="shared" si="2"/>
        <v>0</v>
      </c>
      <c r="J46" s="51" t="e">
        <f t="shared" si="3"/>
        <v>#DIV/0!</v>
      </c>
      <c r="K46" s="48">
        <v>0</v>
      </c>
      <c r="L46" s="48">
        <v>0</v>
      </c>
      <c r="M46" s="52">
        <f t="shared" si="4"/>
        <v>0</v>
      </c>
      <c r="N46" s="50" t="e">
        <f t="shared" si="5"/>
        <v>#DIV/0!</v>
      </c>
      <c r="O46" s="54">
        <f t="shared" ref="O46:P46" si="55">S46-S45</f>
        <v>1193</v>
      </c>
      <c r="P46" s="54">
        <f t="shared" si="55"/>
        <v>53</v>
      </c>
      <c r="Q46" s="54">
        <f t="shared" si="7"/>
        <v>1140</v>
      </c>
      <c r="R46" s="50">
        <f t="shared" si="8"/>
        <v>4.4425817267393128E-2</v>
      </c>
      <c r="S46" s="52">
        <f t="shared" si="9"/>
        <v>23884</v>
      </c>
      <c r="T46" s="48">
        <f t="shared" si="10"/>
        <v>1787</v>
      </c>
      <c r="U46" s="48">
        <f t="shared" si="11"/>
        <v>22097</v>
      </c>
      <c r="V46" s="50">
        <f t="shared" si="12"/>
        <v>7.4819963155250371E-2</v>
      </c>
    </row>
    <row r="47" spans="1:22" ht="13.2" x14ac:dyDescent="0.25">
      <c r="A47" s="48">
        <v>45</v>
      </c>
      <c r="B47" s="49">
        <v>44241</v>
      </c>
      <c r="C47" s="48">
        <v>1804</v>
      </c>
      <c r="D47" s="48">
        <v>22238</v>
      </c>
      <c r="E47" s="48">
        <f t="shared" si="0"/>
        <v>24042</v>
      </c>
      <c r="F47" s="50">
        <f t="shared" si="1"/>
        <v>7.5035354795774056E-2</v>
      </c>
      <c r="G47" s="48">
        <v>0</v>
      </c>
      <c r="H47" s="48">
        <v>0</v>
      </c>
      <c r="I47" s="48">
        <f t="shared" si="2"/>
        <v>0</v>
      </c>
      <c r="J47" s="51" t="e">
        <f t="shared" si="3"/>
        <v>#DIV/0!</v>
      </c>
      <c r="K47" s="48">
        <v>0</v>
      </c>
      <c r="L47" s="48">
        <v>0</v>
      </c>
      <c r="M47" s="52">
        <f t="shared" si="4"/>
        <v>0</v>
      </c>
      <c r="N47" s="50" t="e">
        <f t="shared" si="5"/>
        <v>#DIV/0!</v>
      </c>
      <c r="O47" s="54">
        <f t="shared" ref="O47:P47" si="56">S47-S46</f>
        <v>158</v>
      </c>
      <c r="P47" s="54">
        <f t="shared" si="56"/>
        <v>17</v>
      </c>
      <c r="Q47" s="54">
        <f t="shared" si="7"/>
        <v>141</v>
      </c>
      <c r="R47" s="50">
        <f t="shared" si="8"/>
        <v>0.10759493670886076</v>
      </c>
      <c r="S47" s="52">
        <f t="shared" si="9"/>
        <v>24042</v>
      </c>
      <c r="T47" s="48">
        <f t="shared" si="10"/>
        <v>1804</v>
      </c>
      <c r="U47" s="48">
        <f t="shared" si="11"/>
        <v>22238</v>
      </c>
      <c r="V47" s="50">
        <f t="shared" si="12"/>
        <v>7.5035354795774056E-2</v>
      </c>
    </row>
    <row r="48" spans="1:22" ht="13.2" x14ac:dyDescent="0.25">
      <c r="A48" s="48">
        <v>46</v>
      </c>
      <c r="B48" s="49">
        <v>44242</v>
      </c>
      <c r="C48" s="48">
        <v>1871</v>
      </c>
      <c r="D48" s="48">
        <v>23010</v>
      </c>
      <c r="E48" s="48">
        <f t="shared" si="0"/>
        <v>24881</v>
      </c>
      <c r="F48" s="50">
        <f t="shared" si="1"/>
        <v>7.5197942204895299E-2</v>
      </c>
      <c r="G48" s="48">
        <v>0</v>
      </c>
      <c r="H48" s="48">
        <v>0</v>
      </c>
      <c r="I48" s="48">
        <f t="shared" si="2"/>
        <v>0</v>
      </c>
      <c r="J48" s="51" t="e">
        <f t="shared" si="3"/>
        <v>#DIV/0!</v>
      </c>
      <c r="K48" s="48">
        <v>0</v>
      </c>
      <c r="L48" s="48">
        <v>0</v>
      </c>
      <c r="M48" s="52">
        <f t="shared" si="4"/>
        <v>0</v>
      </c>
      <c r="N48" s="50" t="e">
        <f t="shared" si="5"/>
        <v>#DIV/0!</v>
      </c>
      <c r="O48" s="54">
        <f t="shared" ref="O48:P48" si="57">S48-S47</f>
        <v>839</v>
      </c>
      <c r="P48" s="54">
        <f t="shared" si="57"/>
        <v>67</v>
      </c>
      <c r="Q48" s="54">
        <f t="shared" si="7"/>
        <v>772</v>
      </c>
      <c r="R48" s="50">
        <f t="shared" si="8"/>
        <v>7.9856972586412389E-2</v>
      </c>
      <c r="S48" s="52">
        <f t="shared" si="9"/>
        <v>24881</v>
      </c>
      <c r="T48" s="48">
        <f t="shared" si="10"/>
        <v>1871</v>
      </c>
      <c r="U48" s="48">
        <f t="shared" si="11"/>
        <v>23010</v>
      </c>
      <c r="V48" s="50">
        <f t="shared" si="12"/>
        <v>7.5197942204895299E-2</v>
      </c>
    </row>
    <row r="49" spans="1:22" ht="13.2" x14ac:dyDescent="0.25">
      <c r="A49" s="48">
        <v>47</v>
      </c>
      <c r="B49" s="49">
        <v>44243</v>
      </c>
      <c r="C49" s="48">
        <v>1892</v>
      </c>
      <c r="D49" s="48">
        <v>23303</v>
      </c>
      <c r="E49" s="48">
        <f t="shared" si="0"/>
        <v>25195</v>
      </c>
      <c r="F49" s="50">
        <f t="shared" si="1"/>
        <v>7.5094264735066488E-2</v>
      </c>
      <c r="G49" s="48">
        <v>0</v>
      </c>
      <c r="H49" s="48">
        <v>0</v>
      </c>
      <c r="I49" s="48">
        <f t="shared" si="2"/>
        <v>0</v>
      </c>
      <c r="J49" s="51" t="e">
        <f t="shared" si="3"/>
        <v>#DIV/0!</v>
      </c>
      <c r="K49" s="48">
        <v>0</v>
      </c>
      <c r="L49" s="48">
        <v>0</v>
      </c>
      <c r="M49" s="52">
        <f t="shared" si="4"/>
        <v>0</v>
      </c>
      <c r="N49" s="50" t="e">
        <f t="shared" si="5"/>
        <v>#DIV/0!</v>
      </c>
      <c r="O49" s="54">
        <f t="shared" ref="O49:P49" si="58">S49-S48</f>
        <v>314</v>
      </c>
      <c r="P49" s="54">
        <f t="shared" si="58"/>
        <v>21</v>
      </c>
      <c r="Q49" s="54">
        <f t="shared" si="7"/>
        <v>293</v>
      </c>
      <c r="R49" s="50">
        <f t="shared" si="8"/>
        <v>6.6878980891719744E-2</v>
      </c>
      <c r="S49" s="52">
        <f t="shared" si="9"/>
        <v>25195</v>
      </c>
      <c r="T49" s="48">
        <f t="shared" si="10"/>
        <v>1892</v>
      </c>
      <c r="U49" s="48">
        <f t="shared" si="11"/>
        <v>23303</v>
      </c>
      <c r="V49" s="50">
        <f t="shared" si="12"/>
        <v>7.5094264735066488E-2</v>
      </c>
    </row>
    <row r="50" spans="1:22" ht="13.2" x14ac:dyDescent="0.25">
      <c r="A50" s="48">
        <v>48</v>
      </c>
      <c r="B50" s="49">
        <v>44244</v>
      </c>
      <c r="C50" s="48">
        <v>1965</v>
      </c>
      <c r="D50" s="48">
        <v>24319</v>
      </c>
      <c r="E50" s="48">
        <f t="shared" si="0"/>
        <v>26284</v>
      </c>
      <c r="F50" s="50">
        <f t="shared" si="1"/>
        <v>7.4760310455029677E-2</v>
      </c>
      <c r="G50" s="48">
        <v>0</v>
      </c>
      <c r="H50" s="48">
        <v>0</v>
      </c>
      <c r="I50" s="48">
        <f t="shared" si="2"/>
        <v>0</v>
      </c>
      <c r="J50" s="51" t="e">
        <f t="shared" si="3"/>
        <v>#DIV/0!</v>
      </c>
      <c r="K50" s="48">
        <v>0</v>
      </c>
      <c r="L50" s="48">
        <v>0</v>
      </c>
      <c r="M50" s="52">
        <f t="shared" si="4"/>
        <v>0</v>
      </c>
      <c r="N50" s="50" t="e">
        <f t="shared" si="5"/>
        <v>#DIV/0!</v>
      </c>
      <c r="O50" s="54">
        <f t="shared" ref="O50:P50" si="59">S50-S49</f>
        <v>1089</v>
      </c>
      <c r="P50" s="54">
        <f t="shared" si="59"/>
        <v>73</v>
      </c>
      <c r="Q50" s="54">
        <f t="shared" si="7"/>
        <v>1016</v>
      </c>
      <c r="R50" s="50">
        <f t="shared" si="8"/>
        <v>6.7033976124885222E-2</v>
      </c>
      <c r="S50" s="52">
        <f t="shared" si="9"/>
        <v>26284</v>
      </c>
      <c r="T50" s="48">
        <f t="shared" si="10"/>
        <v>1965</v>
      </c>
      <c r="U50" s="48">
        <f t="shared" si="11"/>
        <v>24319</v>
      </c>
      <c r="V50" s="50">
        <f t="shared" si="12"/>
        <v>7.4760310455029677E-2</v>
      </c>
    </row>
    <row r="51" spans="1:22" ht="13.2" x14ac:dyDescent="0.25">
      <c r="A51" s="48">
        <f t="shared" ref="A51:A244" si="60">A50+1</f>
        <v>49</v>
      </c>
      <c r="B51" s="49">
        <v>44245</v>
      </c>
      <c r="C51" s="48">
        <v>2034</v>
      </c>
      <c r="D51" s="48">
        <v>25543</v>
      </c>
      <c r="E51" s="48">
        <f t="shared" si="0"/>
        <v>27577</v>
      </c>
      <c r="F51" s="50">
        <f t="shared" si="1"/>
        <v>7.3757116437611056E-2</v>
      </c>
      <c r="G51" s="48">
        <v>0</v>
      </c>
      <c r="H51" s="48">
        <v>0</v>
      </c>
      <c r="I51" s="48">
        <f t="shared" si="2"/>
        <v>0</v>
      </c>
      <c r="J51" s="51" t="e">
        <f t="shared" si="3"/>
        <v>#DIV/0!</v>
      </c>
      <c r="K51" s="48">
        <v>0</v>
      </c>
      <c r="L51" s="48">
        <v>0</v>
      </c>
      <c r="M51" s="52">
        <f t="shared" si="4"/>
        <v>0</v>
      </c>
      <c r="N51" s="50" t="e">
        <f t="shared" si="5"/>
        <v>#DIV/0!</v>
      </c>
      <c r="O51" s="54">
        <f t="shared" ref="O51:P51" si="61">S51-S50</f>
        <v>1293</v>
      </c>
      <c r="P51" s="54">
        <f t="shared" si="61"/>
        <v>69</v>
      </c>
      <c r="Q51" s="54">
        <f t="shared" si="7"/>
        <v>1224</v>
      </c>
      <c r="R51" s="50">
        <f t="shared" si="8"/>
        <v>5.336426914153132E-2</v>
      </c>
      <c r="S51" s="52">
        <f t="shared" si="9"/>
        <v>27577</v>
      </c>
      <c r="T51" s="48">
        <f t="shared" si="10"/>
        <v>2034</v>
      </c>
      <c r="U51" s="48">
        <f t="shared" si="11"/>
        <v>25543</v>
      </c>
      <c r="V51" s="50">
        <f t="shared" si="12"/>
        <v>7.3757116437611056E-2</v>
      </c>
    </row>
    <row r="52" spans="1:22" ht="13.2" x14ac:dyDescent="0.25">
      <c r="A52" s="48">
        <f t="shared" si="60"/>
        <v>50</v>
      </c>
      <c r="B52" s="49">
        <v>44246</v>
      </c>
      <c r="C52" s="48">
        <v>2090</v>
      </c>
      <c r="D52" s="48">
        <v>26769</v>
      </c>
      <c r="E52" s="48">
        <f t="shared" si="0"/>
        <v>28859</v>
      </c>
      <c r="F52" s="50">
        <f t="shared" si="1"/>
        <v>7.2421081811566576E-2</v>
      </c>
      <c r="G52" s="48">
        <v>0</v>
      </c>
      <c r="H52" s="48">
        <v>0</v>
      </c>
      <c r="I52" s="48">
        <f t="shared" si="2"/>
        <v>0</v>
      </c>
      <c r="J52" s="51" t="e">
        <f t="shared" si="3"/>
        <v>#DIV/0!</v>
      </c>
      <c r="K52" s="48">
        <v>0</v>
      </c>
      <c r="L52" s="48">
        <v>0</v>
      </c>
      <c r="M52" s="52">
        <f t="shared" si="4"/>
        <v>0</v>
      </c>
      <c r="N52" s="50" t="e">
        <f t="shared" si="5"/>
        <v>#DIV/0!</v>
      </c>
      <c r="O52" s="54">
        <f t="shared" ref="O52:P52" si="62">S52-S51</f>
        <v>1282</v>
      </c>
      <c r="P52" s="54">
        <f t="shared" si="62"/>
        <v>56</v>
      </c>
      <c r="Q52" s="54">
        <f t="shared" si="7"/>
        <v>1226</v>
      </c>
      <c r="R52" s="50">
        <f t="shared" si="8"/>
        <v>4.3681747269890797E-2</v>
      </c>
      <c r="S52" s="52">
        <f t="shared" si="9"/>
        <v>28859</v>
      </c>
      <c r="T52" s="48">
        <f t="shared" si="10"/>
        <v>2090</v>
      </c>
      <c r="U52" s="48">
        <f t="shared" si="11"/>
        <v>26769</v>
      </c>
      <c r="V52" s="50">
        <f t="shared" si="12"/>
        <v>7.2421081811566576E-2</v>
      </c>
    </row>
    <row r="53" spans="1:22" ht="13.2" x14ac:dyDescent="0.25">
      <c r="A53" s="48">
        <f t="shared" si="60"/>
        <v>51</v>
      </c>
      <c r="B53" s="49">
        <v>44247</v>
      </c>
      <c r="C53" s="48">
        <v>2175</v>
      </c>
      <c r="D53" s="48">
        <v>28011</v>
      </c>
      <c r="E53" s="48">
        <f t="shared" si="0"/>
        <v>30186</v>
      </c>
      <c r="F53" s="50">
        <f t="shared" si="1"/>
        <v>7.2053269727688329E-2</v>
      </c>
      <c r="G53" s="48">
        <v>0</v>
      </c>
      <c r="H53" s="48">
        <v>0</v>
      </c>
      <c r="I53" s="48">
        <f t="shared" si="2"/>
        <v>0</v>
      </c>
      <c r="J53" s="51" t="e">
        <f t="shared" si="3"/>
        <v>#DIV/0!</v>
      </c>
      <c r="K53" s="48">
        <v>0</v>
      </c>
      <c r="L53" s="48">
        <v>0</v>
      </c>
      <c r="M53" s="52">
        <f t="shared" si="4"/>
        <v>0</v>
      </c>
      <c r="N53" s="50" t="e">
        <f t="shared" si="5"/>
        <v>#DIV/0!</v>
      </c>
      <c r="O53" s="54">
        <f t="shared" ref="O53:P53" si="63">S53-S52</f>
        <v>1327</v>
      </c>
      <c r="P53" s="54">
        <f t="shared" si="63"/>
        <v>85</v>
      </c>
      <c r="Q53" s="54">
        <f t="shared" si="7"/>
        <v>1242</v>
      </c>
      <c r="R53" s="50">
        <f t="shared" si="8"/>
        <v>6.4054257724189906E-2</v>
      </c>
      <c r="S53" s="52">
        <f t="shared" si="9"/>
        <v>30186</v>
      </c>
      <c r="T53" s="48">
        <f t="shared" si="10"/>
        <v>2175</v>
      </c>
      <c r="U53" s="48">
        <f t="shared" si="11"/>
        <v>28011</v>
      </c>
      <c r="V53" s="50">
        <f t="shared" si="12"/>
        <v>7.2053269727688329E-2</v>
      </c>
    </row>
    <row r="54" spans="1:22" ht="13.2" x14ac:dyDescent="0.25">
      <c r="A54" s="48">
        <f t="shared" si="60"/>
        <v>52</v>
      </c>
      <c r="B54" s="49">
        <v>44248</v>
      </c>
      <c r="C54" s="48">
        <v>2207</v>
      </c>
      <c r="D54" s="48">
        <v>28652</v>
      </c>
      <c r="E54" s="48">
        <f t="shared" si="0"/>
        <v>30859</v>
      </c>
      <c r="F54" s="50">
        <f t="shared" si="1"/>
        <v>7.1518843773291416E-2</v>
      </c>
      <c r="G54" s="48">
        <v>0</v>
      </c>
      <c r="H54" s="48">
        <v>0</v>
      </c>
      <c r="I54" s="48">
        <f t="shared" si="2"/>
        <v>0</v>
      </c>
      <c r="J54" s="51" t="e">
        <f t="shared" si="3"/>
        <v>#DIV/0!</v>
      </c>
      <c r="K54" s="48">
        <v>0</v>
      </c>
      <c r="L54" s="48">
        <v>0</v>
      </c>
      <c r="M54" s="52">
        <f t="shared" si="4"/>
        <v>0</v>
      </c>
      <c r="N54" s="50" t="e">
        <f t="shared" si="5"/>
        <v>#DIV/0!</v>
      </c>
      <c r="O54" s="54">
        <f t="shared" ref="O54:P54" si="64">S54-S53</f>
        <v>673</v>
      </c>
      <c r="P54" s="54">
        <f t="shared" si="64"/>
        <v>32</v>
      </c>
      <c r="Q54" s="54">
        <f t="shared" si="7"/>
        <v>641</v>
      </c>
      <c r="R54" s="50">
        <f t="shared" si="8"/>
        <v>4.7548291233283801E-2</v>
      </c>
      <c r="S54" s="52">
        <f t="shared" si="9"/>
        <v>30859</v>
      </c>
      <c r="T54" s="48">
        <f t="shared" si="10"/>
        <v>2207</v>
      </c>
      <c r="U54" s="48">
        <f t="shared" si="11"/>
        <v>28652</v>
      </c>
      <c r="V54" s="50">
        <f t="shared" si="12"/>
        <v>7.1518843773291416E-2</v>
      </c>
    </row>
    <row r="55" spans="1:22" ht="13.2" x14ac:dyDescent="0.25">
      <c r="A55" s="48">
        <f t="shared" si="60"/>
        <v>53</v>
      </c>
      <c r="B55" s="49">
        <v>44249</v>
      </c>
      <c r="C55" s="48">
        <v>2224</v>
      </c>
      <c r="D55" s="48">
        <v>29001</v>
      </c>
      <c r="E55" s="48">
        <f t="shared" si="0"/>
        <v>31225</v>
      </c>
      <c r="F55" s="50">
        <f t="shared" si="1"/>
        <v>7.1224979983987191E-2</v>
      </c>
      <c r="G55" s="48">
        <v>0</v>
      </c>
      <c r="H55" s="48">
        <v>0</v>
      </c>
      <c r="I55" s="48">
        <f t="shared" si="2"/>
        <v>0</v>
      </c>
      <c r="J55" s="51" t="e">
        <f t="shared" si="3"/>
        <v>#DIV/0!</v>
      </c>
      <c r="K55" s="48">
        <v>0</v>
      </c>
      <c r="L55" s="48">
        <v>0</v>
      </c>
      <c r="M55" s="52">
        <f t="shared" si="4"/>
        <v>0</v>
      </c>
      <c r="N55" s="50" t="e">
        <f t="shared" si="5"/>
        <v>#DIV/0!</v>
      </c>
      <c r="O55" s="54">
        <f t="shared" ref="O55:P55" si="65">S55-S54</f>
        <v>366</v>
      </c>
      <c r="P55" s="54">
        <f t="shared" si="65"/>
        <v>17</v>
      </c>
      <c r="Q55" s="54">
        <f t="shared" si="7"/>
        <v>349</v>
      </c>
      <c r="R55" s="50">
        <f t="shared" si="8"/>
        <v>4.6448087431693992E-2</v>
      </c>
      <c r="S55" s="52">
        <f t="shared" si="9"/>
        <v>31225</v>
      </c>
      <c r="T55" s="48">
        <f t="shared" si="10"/>
        <v>2224</v>
      </c>
      <c r="U55" s="48">
        <f t="shared" si="11"/>
        <v>29001</v>
      </c>
      <c r="V55" s="50">
        <f t="shared" si="12"/>
        <v>7.1224979983987191E-2</v>
      </c>
    </row>
    <row r="56" spans="1:22" ht="13.2" x14ac:dyDescent="0.25">
      <c r="A56" s="48">
        <f t="shared" si="60"/>
        <v>54</v>
      </c>
      <c r="B56" s="49">
        <v>44250</v>
      </c>
      <c r="C56" s="48">
        <v>2251</v>
      </c>
      <c r="D56" s="48">
        <v>29219</v>
      </c>
      <c r="E56" s="48">
        <f t="shared" si="0"/>
        <v>31470</v>
      </c>
      <c r="F56" s="50">
        <f t="shared" si="1"/>
        <v>7.1528439783921191E-2</v>
      </c>
      <c r="G56" s="48">
        <v>0</v>
      </c>
      <c r="H56" s="48">
        <v>0</v>
      </c>
      <c r="I56" s="48">
        <f t="shared" si="2"/>
        <v>0</v>
      </c>
      <c r="J56" s="51" t="e">
        <f t="shared" si="3"/>
        <v>#DIV/0!</v>
      </c>
      <c r="K56" s="48">
        <v>0</v>
      </c>
      <c r="L56" s="48">
        <v>0</v>
      </c>
      <c r="M56" s="52">
        <f t="shared" si="4"/>
        <v>0</v>
      </c>
      <c r="N56" s="50" t="e">
        <f t="shared" si="5"/>
        <v>#DIV/0!</v>
      </c>
      <c r="O56" s="54">
        <f t="shared" ref="O56:P56" si="66">S56-S55</f>
        <v>245</v>
      </c>
      <c r="P56" s="54">
        <f t="shared" si="66"/>
        <v>27</v>
      </c>
      <c r="Q56" s="54">
        <f t="shared" si="7"/>
        <v>218</v>
      </c>
      <c r="R56" s="50">
        <f t="shared" si="8"/>
        <v>0.11020408163265306</v>
      </c>
      <c r="S56" s="52">
        <f t="shared" si="9"/>
        <v>31470</v>
      </c>
      <c r="T56" s="48">
        <f t="shared" si="10"/>
        <v>2251</v>
      </c>
      <c r="U56" s="48">
        <f t="shared" si="11"/>
        <v>29219</v>
      </c>
      <c r="V56" s="50">
        <f t="shared" si="12"/>
        <v>7.1528439783921191E-2</v>
      </c>
    </row>
    <row r="57" spans="1:22" ht="13.2" x14ac:dyDescent="0.25">
      <c r="A57" s="48">
        <f t="shared" si="60"/>
        <v>55</v>
      </c>
      <c r="B57" s="49">
        <v>44251</v>
      </c>
      <c r="C57" s="48">
        <v>2312</v>
      </c>
      <c r="D57" s="48">
        <v>30254</v>
      </c>
      <c r="E57" s="48">
        <f t="shared" si="0"/>
        <v>32566</v>
      </c>
      <c r="F57" s="50">
        <f t="shared" si="1"/>
        <v>7.0994288521771171E-2</v>
      </c>
      <c r="G57" s="48">
        <v>0</v>
      </c>
      <c r="H57" s="48">
        <v>0</v>
      </c>
      <c r="I57" s="48">
        <f t="shared" si="2"/>
        <v>0</v>
      </c>
      <c r="J57" s="51" t="e">
        <f t="shared" si="3"/>
        <v>#DIV/0!</v>
      </c>
      <c r="K57" s="48">
        <v>0</v>
      </c>
      <c r="L57" s="48">
        <v>0</v>
      </c>
      <c r="M57" s="52">
        <f t="shared" si="4"/>
        <v>0</v>
      </c>
      <c r="N57" s="50" t="e">
        <f t="shared" si="5"/>
        <v>#DIV/0!</v>
      </c>
      <c r="O57" s="54">
        <f t="shared" ref="O57:P57" si="67">S57-S56</f>
        <v>1096</v>
      </c>
      <c r="P57" s="54">
        <f t="shared" si="67"/>
        <v>61</v>
      </c>
      <c r="Q57" s="54">
        <f t="shared" si="7"/>
        <v>1035</v>
      </c>
      <c r="R57" s="50">
        <f t="shared" si="8"/>
        <v>5.5656934306569344E-2</v>
      </c>
      <c r="S57" s="52">
        <f t="shared" si="9"/>
        <v>32566</v>
      </c>
      <c r="T57" s="48">
        <f t="shared" si="10"/>
        <v>2312</v>
      </c>
      <c r="U57" s="48">
        <f t="shared" si="11"/>
        <v>30254</v>
      </c>
      <c r="V57" s="50">
        <f t="shared" si="12"/>
        <v>7.0994288521771171E-2</v>
      </c>
    </row>
    <row r="58" spans="1:22" ht="13.2" x14ac:dyDescent="0.25">
      <c r="A58" s="48">
        <f t="shared" si="60"/>
        <v>56</v>
      </c>
      <c r="B58" s="49">
        <v>44252</v>
      </c>
      <c r="C58" s="48">
        <v>2357</v>
      </c>
      <c r="D58" s="48">
        <v>31155</v>
      </c>
      <c r="E58" s="48">
        <f t="shared" si="0"/>
        <v>33512</v>
      </c>
      <c r="F58" s="50">
        <f t="shared" si="1"/>
        <v>7.033301503938888E-2</v>
      </c>
      <c r="G58" s="48">
        <v>0</v>
      </c>
      <c r="H58" s="48">
        <v>0</v>
      </c>
      <c r="I58" s="48">
        <f t="shared" si="2"/>
        <v>0</v>
      </c>
      <c r="J58" s="51" t="e">
        <f t="shared" si="3"/>
        <v>#DIV/0!</v>
      </c>
      <c r="K58" s="48">
        <v>0</v>
      </c>
      <c r="L58" s="48">
        <v>0</v>
      </c>
      <c r="M58" s="52">
        <f t="shared" si="4"/>
        <v>0</v>
      </c>
      <c r="N58" s="50" t="e">
        <f t="shared" si="5"/>
        <v>#DIV/0!</v>
      </c>
      <c r="O58" s="54">
        <f t="shared" ref="O58:P58" si="68">S58-S57</f>
        <v>946</v>
      </c>
      <c r="P58" s="54">
        <f t="shared" si="68"/>
        <v>45</v>
      </c>
      <c r="Q58" s="54">
        <f t="shared" si="7"/>
        <v>901</v>
      </c>
      <c r="R58" s="50">
        <f t="shared" si="8"/>
        <v>4.7568710359408031E-2</v>
      </c>
      <c r="S58" s="52">
        <f t="shared" si="9"/>
        <v>33512</v>
      </c>
      <c r="T58" s="48">
        <f t="shared" si="10"/>
        <v>2357</v>
      </c>
      <c r="U58" s="48">
        <f t="shared" si="11"/>
        <v>31155</v>
      </c>
      <c r="V58" s="50">
        <f t="shared" si="12"/>
        <v>7.033301503938888E-2</v>
      </c>
    </row>
    <row r="59" spans="1:22" ht="13.2" x14ac:dyDescent="0.25">
      <c r="A59" s="48">
        <f t="shared" si="60"/>
        <v>57</v>
      </c>
      <c r="B59" s="49">
        <v>44253</v>
      </c>
      <c r="C59" s="48">
        <v>2386</v>
      </c>
      <c r="D59" s="48">
        <v>31908</v>
      </c>
      <c r="E59" s="48">
        <f t="shared" si="0"/>
        <v>34294</v>
      </c>
      <c r="F59" s="50">
        <f t="shared" si="1"/>
        <v>6.9574852743920224E-2</v>
      </c>
      <c r="G59" s="48">
        <v>0</v>
      </c>
      <c r="H59" s="48">
        <v>0</v>
      </c>
      <c r="I59" s="48">
        <f t="shared" si="2"/>
        <v>0</v>
      </c>
      <c r="J59" s="51" t="e">
        <f t="shared" si="3"/>
        <v>#DIV/0!</v>
      </c>
      <c r="K59" s="48">
        <v>42</v>
      </c>
      <c r="L59" s="48">
        <v>974</v>
      </c>
      <c r="M59" s="52">
        <f t="shared" si="4"/>
        <v>1016</v>
      </c>
      <c r="N59" s="50">
        <f t="shared" si="5"/>
        <v>4.1338582677165357E-2</v>
      </c>
      <c r="O59" s="54">
        <f t="shared" ref="O59:P59" si="69">S59-S58</f>
        <v>1798</v>
      </c>
      <c r="P59" s="54">
        <f t="shared" si="69"/>
        <v>71</v>
      </c>
      <c r="Q59" s="54">
        <f t="shared" si="7"/>
        <v>1727</v>
      </c>
      <c r="R59" s="50">
        <f t="shared" si="8"/>
        <v>3.9488320355951054E-2</v>
      </c>
      <c r="S59" s="52">
        <f t="shared" si="9"/>
        <v>35310</v>
      </c>
      <c r="T59" s="48">
        <f t="shared" si="10"/>
        <v>2428</v>
      </c>
      <c r="U59" s="48">
        <f t="shared" si="11"/>
        <v>32882</v>
      </c>
      <c r="V59" s="50">
        <f t="shared" si="12"/>
        <v>6.8762390257717354E-2</v>
      </c>
    </row>
    <row r="60" spans="1:22" ht="13.2" x14ac:dyDescent="0.25">
      <c r="A60" s="48">
        <f t="shared" si="60"/>
        <v>58</v>
      </c>
      <c r="B60" s="49">
        <v>44254</v>
      </c>
      <c r="C60" s="48">
        <v>2420</v>
      </c>
      <c r="D60" s="48">
        <v>32507</v>
      </c>
      <c r="E60" s="48">
        <f t="shared" si="0"/>
        <v>34927</v>
      </c>
      <c r="F60" s="50">
        <f t="shared" si="1"/>
        <v>6.9287370801958376E-2</v>
      </c>
      <c r="G60" s="48">
        <v>0</v>
      </c>
      <c r="H60" s="48">
        <v>0</v>
      </c>
      <c r="I60" s="48">
        <v>0</v>
      </c>
      <c r="J60" s="58">
        <v>0</v>
      </c>
      <c r="K60" s="48">
        <v>42</v>
      </c>
      <c r="L60" s="48">
        <v>974</v>
      </c>
      <c r="M60" s="52">
        <f t="shared" si="4"/>
        <v>1016</v>
      </c>
      <c r="N60" s="50">
        <f t="shared" si="5"/>
        <v>4.1338582677165357E-2</v>
      </c>
      <c r="O60" s="54">
        <f t="shared" ref="O60:P60" si="70">S60-S59</f>
        <v>633</v>
      </c>
      <c r="P60" s="54">
        <f t="shared" si="70"/>
        <v>34</v>
      </c>
      <c r="Q60" s="54">
        <f t="shared" si="7"/>
        <v>599</v>
      </c>
      <c r="R60" s="50">
        <f t="shared" si="8"/>
        <v>5.3712480252764615E-2</v>
      </c>
      <c r="S60" s="52">
        <f t="shared" si="9"/>
        <v>35943</v>
      </c>
      <c r="T60" s="48">
        <f t="shared" si="10"/>
        <v>2462</v>
      </c>
      <c r="U60" s="48">
        <f t="shared" si="11"/>
        <v>33481</v>
      </c>
      <c r="V60" s="50">
        <f t="shared" si="12"/>
        <v>6.8497343015329823E-2</v>
      </c>
    </row>
    <row r="61" spans="1:22" ht="13.2" x14ac:dyDescent="0.25">
      <c r="A61" s="48">
        <f t="shared" si="60"/>
        <v>59</v>
      </c>
      <c r="B61" s="49">
        <v>44255</v>
      </c>
      <c r="C61" s="48">
        <v>2459</v>
      </c>
      <c r="D61" s="48">
        <v>33082</v>
      </c>
      <c r="E61" s="48">
        <f t="shared" si="0"/>
        <v>35541</v>
      </c>
      <c r="F61" s="50">
        <f t="shared" si="1"/>
        <v>6.9187698714161111E-2</v>
      </c>
      <c r="G61" s="48">
        <v>32</v>
      </c>
      <c r="H61" s="48">
        <v>1225</v>
      </c>
      <c r="I61" s="48">
        <f t="shared" ref="I61:I244" si="71">G61+H61</f>
        <v>1257</v>
      </c>
      <c r="J61" s="59">
        <f t="shared" ref="J61:J244" si="72">G61/I61</f>
        <v>2.5457438345266509E-2</v>
      </c>
      <c r="K61" s="48">
        <v>42</v>
      </c>
      <c r="L61" s="48">
        <v>974</v>
      </c>
      <c r="M61" s="52">
        <f t="shared" si="4"/>
        <v>1016</v>
      </c>
      <c r="N61" s="50">
        <f t="shared" si="5"/>
        <v>4.1338582677165357E-2</v>
      </c>
      <c r="O61" s="54">
        <f t="shared" ref="O61:P61" si="73">S61-S60</f>
        <v>1871</v>
      </c>
      <c r="P61" s="54">
        <f t="shared" si="73"/>
        <v>71</v>
      </c>
      <c r="Q61" s="54">
        <f t="shared" si="7"/>
        <v>1800</v>
      </c>
      <c r="R61" s="50">
        <f t="shared" si="8"/>
        <v>3.7947621592731157E-2</v>
      </c>
      <c r="S61" s="52">
        <f t="shared" si="9"/>
        <v>37814</v>
      </c>
      <c r="T61" s="48">
        <f t="shared" si="10"/>
        <v>2533</v>
      </c>
      <c r="U61" s="48">
        <f t="shared" si="11"/>
        <v>35281</v>
      </c>
      <c r="V61" s="50">
        <f t="shared" si="12"/>
        <v>6.6985772465224525E-2</v>
      </c>
    </row>
    <row r="62" spans="1:22" ht="13.2" x14ac:dyDescent="0.25">
      <c r="A62" s="48">
        <f t="shared" si="60"/>
        <v>60</v>
      </c>
      <c r="B62" s="49">
        <v>44256</v>
      </c>
      <c r="C62" s="48">
        <v>2473</v>
      </c>
      <c r="D62" s="48">
        <v>33431</v>
      </c>
      <c r="E62" s="48">
        <f t="shared" si="0"/>
        <v>35904</v>
      </c>
      <c r="F62" s="50">
        <f t="shared" si="1"/>
        <v>6.8878119429590018E-2</v>
      </c>
      <c r="G62" s="48">
        <v>83</v>
      </c>
      <c r="H62" s="48">
        <v>2281</v>
      </c>
      <c r="I62" s="48">
        <f t="shared" si="71"/>
        <v>2364</v>
      </c>
      <c r="J62" s="59">
        <f t="shared" si="72"/>
        <v>3.5109983079526223E-2</v>
      </c>
      <c r="K62" s="48">
        <v>42</v>
      </c>
      <c r="L62" s="48">
        <v>974</v>
      </c>
      <c r="M62" s="52">
        <f t="shared" si="4"/>
        <v>1016</v>
      </c>
      <c r="N62" s="50">
        <f t="shared" si="5"/>
        <v>4.1338582677165357E-2</v>
      </c>
      <c r="O62" s="54">
        <f t="shared" ref="O62:P62" si="74">S62-S61</f>
        <v>1470</v>
      </c>
      <c r="P62" s="54">
        <f t="shared" si="74"/>
        <v>65</v>
      </c>
      <c r="Q62" s="54">
        <f t="shared" si="7"/>
        <v>1405</v>
      </c>
      <c r="R62" s="50">
        <f t="shared" si="8"/>
        <v>4.4217687074829932E-2</v>
      </c>
      <c r="S62" s="52">
        <f t="shared" si="9"/>
        <v>39284</v>
      </c>
      <c r="T62" s="48">
        <f t="shared" si="10"/>
        <v>2598</v>
      </c>
      <c r="U62" s="48">
        <f t="shared" si="11"/>
        <v>36686</v>
      </c>
      <c r="V62" s="50">
        <f t="shared" si="12"/>
        <v>6.6133794929233269E-2</v>
      </c>
    </row>
    <row r="63" spans="1:22" ht="13.2" x14ac:dyDescent="0.25">
      <c r="A63" s="48">
        <f t="shared" si="60"/>
        <v>61</v>
      </c>
      <c r="B63" s="49">
        <v>44257</v>
      </c>
      <c r="C63" s="48">
        <v>2500</v>
      </c>
      <c r="D63" s="48">
        <v>33680</v>
      </c>
      <c r="E63" s="48">
        <f t="shared" si="0"/>
        <v>36180</v>
      </c>
      <c r="F63" s="50">
        <f t="shared" si="1"/>
        <v>6.9098949695964626E-2</v>
      </c>
      <c r="G63" s="48">
        <v>110</v>
      </c>
      <c r="H63" s="48">
        <v>2474</v>
      </c>
      <c r="I63" s="48">
        <f t="shared" si="71"/>
        <v>2584</v>
      </c>
      <c r="J63" s="59">
        <f t="shared" si="72"/>
        <v>4.2569659442724457E-2</v>
      </c>
      <c r="K63" s="48">
        <v>42</v>
      </c>
      <c r="L63" s="48">
        <v>974</v>
      </c>
      <c r="M63" s="52">
        <f t="shared" si="4"/>
        <v>1016</v>
      </c>
      <c r="N63" s="50">
        <f t="shared" si="5"/>
        <v>4.1338582677165357E-2</v>
      </c>
      <c r="O63" s="54">
        <f t="shared" ref="O63:P63" si="75">S63-S62</f>
        <v>496</v>
      </c>
      <c r="P63" s="54">
        <f t="shared" si="75"/>
        <v>54</v>
      </c>
      <c r="Q63" s="54">
        <f t="shared" si="7"/>
        <v>442</v>
      </c>
      <c r="R63" s="50">
        <f t="shared" si="8"/>
        <v>0.10887096774193548</v>
      </c>
      <c r="S63" s="52">
        <f t="shared" si="9"/>
        <v>39780</v>
      </c>
      <c r="T63" s="48">
        <f t="shared" si="10"/>
        <v>2652</v>
      </c>
      <c r="U63" s="48">
        <f t="shared" si="11"/>
        <v>37128</v>
      </c>
      <c r="V63" s="50">
        <f t="shared" si="12"/>
        <v>6.6666666666666666E-2</v>
      </c>
    </row>
    <row r="64" spans="1:22" ht="13.2" x14ac:dyDescent="0.25">
      <c r="A64" s="48">
        <f t="shared" si="60"/>
        <v>62</v>
      </c>
      <c r="B64" s="49">
        <v>44258</v>
      </c>
      <c r="C64" s="48">
        <v>2535</v>
      </c>
      <c r="D64" s="48">
        <v>34443</v>
      </c>
      <c r="E64" s="48">
        <f t="shared" si="0"/>
        <v>36978</v>
      </c>
      <c r="F64" s="50">
        <f t="shared" si="1"/>
        <v>6.8554275515171181E-2</v>
      </c>
      <c r="G64" s="48">
        <v>141</v>
      </c>
      <c r="H64" s="48">
        <v>3304</v>
      </c>
      <c r="I64" s="48">
        <f t="shared" si="71"/>
        <v>3445</v>
      </c>
      <c r="J64" s="59">
        <f t="shared" si="72"/>
        <v>4.0928882438316404E-2</v>
      </c>
      <c r="K64" s="48">
        <v>42</v>
      </c>
      <c r="L64" s="48">
        <v>974</v>
      </c>
      <c r="M64" s="52">
        <f t="shared" si="4"/>
        <v>1016</v>
      </c>
      <c r="N64" s="50">
        <f t="shared" si="5"/>
        <v>4.1338582677165357E-2</v>
      </c>
      <c r="O64" s="54">
        <f t="shared" ref="O64:P64" si="76">S64-S63</f>
        <v>1659</v>
      </c>
      <c r="P64" s="54">
        <f t="shared" si="76"/>
        <v>66</v>
      </c>
      <c r="Q64" s="54">
        <f t="shared" si="7"/>
        <v>1593</v>
      </c>
      <c r="R64" s="50">
        <f t="shared" si="8"/>
        <v>3.9783001808318265E-2</v>
      </c>
      <c r="S64" s="52">
        <f t="shared" si="9"/>
        <v>41439</v>
      </c>
      <c r="T64" s="48">
        <f t="shared" si="10"/>
        <v>2718</v>
      </c>
      <c r="U64" s="48">
        <f t="shared" si="11"/>
        <v>38721</v>
      </c>
      <c r="V64" s="50">
        <f t="shared" si="12"/>
        <v>6.5590385868384851E-2</v>
      </c>
    </row>
    <row r="65" spans="1:22" ht="13.2" x14ac:dyDescent="0.25">
      <c r="A65" s="48">
        <f t="shared" si="60"/>
        <v>63</v>
      </c>
      <c r="B65" s="49">
        <v>44259</v>
      </c>
      <c r="C65" s="48">
        <v>2571</v>
      </c>
      <c r="D65" s="48">
        <v>35040</v>
      </c>
      <c r="E65" s="48">
        <f t="shared" si="0"/>
        <v>37611</v>
      </c>
      <c r="F65" s="50">
        <f t="shared" si="1"/>
        <v>6.8357661322485441E-2</v>
      </c>
      <c r="G65" s="48">
        <v>163</v>
      </c>
      <c r="H65" s="48">
        <v>4027</v>
      </c>
      <c r="I65" s="48">
        <f t="shared" si="71"/>
        <v>4190</v>
      </c>
      <c r="J65" s="59">
        <f t="shared" si="72"/>
        <v>3.8902147971360379E-2</v>
      </c>
      <c r="K65" s="48">
        <v>42</v>
      </c>
      <c r="L65" s="48">
        <v>974</v>
      </c>
      <c r="M65" s="52">
        <f t="shared" si="4"/>
        <v>1016</v>
      </c>
      <c r="N65" s="50">
        <f t="shared" si="5"/>
        <v>4.1338582677165357E-2</v>
      </c>
      <c r="O65" s="54">
        <f t="shared" ref="O65:P65" si="77">S65-S64</f>
        <v>1378</v>
      </c>
      <c r="P65" s="54">
        <f t="shared" si="77"/>
        <v>58</v>
      </c>
      <c r="Q65" s="54">
        <f t="shared" si="7"/>
        <v>1320</v>
      </c>
      <c r="R65" s="50">
        <f t="shared" si="8"/>
        <v>4.2089985486211901E-2</v>
      </c>
      <c r="S65" s="52">
        <f t="shared" si="9"/>
        <v>42817</v>
      </c>
      <c r="T65" s="48">
        <f t="shared" si="10"/>
        <v>2776</v>
      </c>
      <c r="U65" s="48">
        <f t="shared" si="11"/>
        <v>40041</v>
      </c>
      <c r="V65" s="50">
        <f t="shared" si="12"/>
        <v>6.4834061237358992E-2</v>
      </c>
    </row>
    <row r="66" spans="1:22" ht="13.2" x14ac:dyDescent="0.25">
      <c r="A66" s="48">
        <f t="shared" si="60"/>
        <v>64</v>
      </c>
      <c r="B66" s="49">
        <v>44260</v>
      </c>
      <c r="C66" s="48">
        <v>2592</v>
      </c>
      <c r="D66" s="48">
        <v>35562</v>
      </c>
      <c r="E66" s="48">
        <f t="shared" si="0"/>
        <v>38154</v>
      </c>
      <c r="F66" s="50">
        <f t="shared" si="1"/>
        <v>6.7935209938669597E-2</v>
      </c>
      <c r="G66" s="48">
        <v>191</v>
      </c>
      <c r="H66" s="48">
        <v>4753</v>
      </c>
      <c r="I66" s="48">
        <f t="shared" si="71"/>
        <v>4944</v>
      </c>
      <c r="J66" s="59">
        <f t="shared" si="72"/>
        <v>3.8632686084142394E-2</v>
      </c>
      <c r="K66" s="48">
        <v>42</v>
      </c>
      <c r="L66" s="48">
        <v>974</v>
      </c>
      <c r="M66" s="52">
        <f t="shared" si="4"/>
        <v>1016</v>
      </c>
      <c r="N66" s="50">
        <f t="shared" si="5"/>
        <v>4.1338582677165357E-2</v>
      </c>
      <c r="O66" s="54">
        <f t="shared" ref="O66:P66" si="78">S66-S65</f>
        <v>1297</v>
      </c>
      <c r="P66" s="54">
        <f t="shared" si="78"/>
        <v>49</v>
      </c>
      <c r="Q66" s="54">
        <f t="shared" si="7"/>
        <v>1248</v>
      </c>
      <c r="R66" s="50">
        <f t="shared" si="8"/>
        <v>3.7779491133384732E-2</v>
      </c>
      <c r="S66" s="52">
        <f t="shared" si="9"/>
        <v>44114</v>
      </c>
      <c r="T66" s="48">
        <f t="shared" si="10"/>
        <v>2825</v>
      </c>
      <c r="U66" s="48">
        <f t="shared" si="11"/>
        <v>41289</v>
      </c>
      <c r="V66" s="50">
        <f t="shared" si="12"/>
        <v>6.4038627193181305E-2</v>
      </c>
    </row>
    <row r="67" spans="1:22" ht="13.2" x14ac:dyDescent="0.25">
      <c r="A67" s="48">
        <f t="shared" si="60"/>
        <v>65</v>
      </c>
      <c r="B67" s="49">
        <v>44261</v>
      </c>
      <c r="C67" s="48">
        <v>2624</v>
      </c>
      <c r="D67" s="48">
        <v>36155</v>
      </c>
      <c r="E67" s="48">
        <f t="shared" si="0"/>
        <v>38779</v>
      </c>
      <c r="F67" s="50">
        <f t="shared" si="1"/>
        <v>6.7665489053353622E-2</v>
      </c>
      <c r="G67" s="48">
        <v>219</v>
      </c>
      <c r="H67" s="48">
        <v>5525</v>
      </c>
      <c r="I67" s="48">
        <f t="shared" si="71"/>
        <v>5744</v>
      </c>
      <c r="J67" s="59">
        <f t="shared" si="72"/>
        <v>3.8126740947075209E-2</v>
      </c>
      <c r="K67" s="48">
        <v>42</v>
      </c>
      <c r="L67" s="48">
        <v>974</v>
      </c>
      <c r="M67" s="52">
        <f t="shared" si="4"/>
        <v>1016</v>
      </c>
      <c r="N67" s="50">
        <f t="shared" si="5"/>
        <v>4.1338582677165357E-2</v>
      </c>
      <c r="O67" s="54">
        <f t="shared" ref="O67:P67" si="79">S67-S66</f>
        <v>1425</v>
      </c>
      <c r="P67" s="54">
        <f t="shared" si="79"/>
        <v>60</v>
      </c>
      <c r="Q67" s="54">
        <f t="shared" si="7"/>
        <v>1365</v>
      </c>
      <c r="R67" s="50">
        <f t="shared" si="8"/>
        <v>4.2105263157894736E-2</v>
      </c>
      <c r="S67" s="52">
        <f t="shared" si="9"/>
        <v>45539</v>
      </c>
      <c r="T67" s="48">
        <f t="shared" si="10"/>
        <v>2885</v>
      </c>
      <c r="U67" s="48">
        <f t="shared" si="11"/>
        <v>42654</v>
      </c>
      <c r="V67" s="50">
        <f t="shared" si="12"/>
        <v>6.3352291442499833E-2</v>
      </c>
    </row>
    <row r="68" spans="1:22" ht="13.2" x14ac:dyDescent="0.25">
      <c r="A68" s="48">
        <f t="shared" si="60"/>
        <v>66</v>
      </c>
      <c r="B68" s="49">
        <v>44262</v>
      </c>
      <c r="C68" s="48">
        <v>2686</v>
      </c>
      <c r="D68" s="48">
        <v>36563</v>
      </c>
      <c r="E68" s="48">
        <f t="shared" si="0"/>
        <v>39249</v>
      </c>
      <c r="F68" s="50">
        <f t="shared" si="1"/>
        <v>6.8434864582537142E-2</v>
      </c>
      <c r="G68" s="48">
        <v>254</v>
      </c>
      <c r="H68" s="48">
        <v>6391</v>
      </c>
      <c r="I68" s="48">
        <f t="shared" si="71"/>
        <v>6645</v>
      </c>
      <c r="J68" s="59">
        <f t="shared" si="72"/>
        <v>3.8224228743416105E-2</v>
      </c>
      <c r="K68" s="48">
        <v>42</v>
      </c>
      <c r="L68" s="48">
        <v>974</v>
      </c>
      <c r="M68" s="52">
        <f t="shared" si="4"/>
        <v>1016</v>
      </c>
      <c r="N68" s="50">
        <f t="shared" si="5"/>
        <v>4.1338582677165357E-2</v>
      </c>
      <c r="O68" s="54">
        <f t="shared" ref="O68:P68" si="80">S68-S67</f>
        <v>1371</v>
      </c>
      <c r="P68" s="54">
        <f t="shared" si="80"/>
        <v>97</v>
      </c>
      <c r="Q68" s="54">
        <f t="shared" si="7"/>
        <v>1274</v>
      </c>
      <c r="R68" s="50">
        <f t="shared" si="8"/>
        <v>7.0751276440554345E-2</v>
      </c>
      <c r="S68" s="52">
        <f t="shared" si="9"/>
        <v>46910</v>
      </c>
      <c r="T68" s="48">
        <f t="shared" si="10"/>
        <v>2982</v>
      </c>
      <c r="U68" s="48">
        <f t="shared" si="11"/>
        <v>43928</v>
      </c>
      <c r="V68" s="50">
        <f t="shared" si="12"/>
        <v>6.3568535493498182E-2</v>
      </c>
    </row>
    <row r="69" spans="1:22" ht="13.2" x14ac:dyDescent="0.25">
      <c r="A69" s="48">
        <f t="shared" si="60"/>
        <v>67</v>
      </c>
      <c r="B69" s="49">
        <v>44263</v>
      </c>
      <c r="C69" s="48">
        <v>2704</v>
      </c>
      <c r="D69" s="48">
        <v>36741</v>
      </c>
      <c r="E69" s="48">
        <f t="shared" si="0"/>
        <v>39445</v>
      </c>
      <c r="F69" s="50">
        <f t="shared" si="1"/>
        <v>6.8551147166941315E-2</v>
      </c>
      <c r="G69" s="48">
        <v>269</v>
      </c>
      <c r="H69" s="48">
        <v>6917</v>
      </c>
      <c r="I69" s="48">
        <f t="shared" si="71"/>
        <v>7186</v>
      </c>
      <c r="J69" s="59">
        <f t="shared" si="72"/>
        <v>3.7433899248538828E-2</v>
      </c>
      <c r="K69" s="48">
        <v>42</v>
      </c>
      <c r="L69" s="48">
        <v>974</v>
      </c>
      <c r="M69" s="52">
        <f t="shared" si="4"/>
        <v>1016</v>
      </c>
      <c r="N69" s="50">
        <f t="shared" si="5"/>
        <v>4.1338582677165357E-2</v>
      </c>
      <c r="O69" s="54">
        <f t="shared" ref="O69:P69" si="81">S69-S68</f>
        <v>737</v>
      </c>
      <c r="P69" s="54">
        <f t="shared" si="81"/>
        <v>33</v>
      </c>
      <c r="Q69" s="54">
        <f t="shared" si="7"/>
        <v>704</v>
      </c>
      <c r="R69" s="50">
        <f t="shared" si="8"/>
        <v>4.4776119402985072E-2</v>
      </c>
      <c r="S69" s="52">
        <f t="shared" si="9"/>
        <v>47647</v>
      </c>
      <c r="T69" s="48">
        <f t="shared" si="10"/>
        <v>3015</v>
      </c>
      <c r="U69" s="48">
        <f t="shared" si="11"/>
        <v>44632</v>
      </c>
      <c r="V69" s="50">
        <f t="shared" si="12"/>
        <v>6.3277855898587532E-2</v>
      </c>
    </row>
    <row r="70" spans="1:22" ht="13.2" x14ac:dyDescent="0.25">
      <c r="A70" s="48">
        <f t="shared" si="60"/>
        <v>68</v>
      </c>
      <c r="B70" s="49">
        <v>44264</v>
      </c>
      <c r="C70" s="48">
        <v>2711</v>
      </c>
      <c r="D70" s="48">
        <v>36894</v>
      </c>
      <c r="E70" s="48">
        <f t="shared" si="0"/>
        <v>39605</v>
      </c>
      <c r="F70" s="50">
        <f t="shared" si="1"/>
        <v>6.8450953162479483E-2</v>
      </c>
      <c r="G70" s="48">
        <v>280</v>
      </c>
      <c r="H70" s="48">
        <v>7248</v>
      </c>
      <c r="I70" s="48">
        <f t="shared" si="71"/>
        <v>7528</v>
      </c>
      <c r="J70" s="59">
        <f t="shared" si="72"/>
        <v>3.7194473963868227E-2</v>
      </c>
      <c r="K70" s="48">
        <v>42</v>
      </c>
      <c r="L70" s="48">
        <v>974</v>
      </c>
      <c r="M70" s="52">
        <f t="shared" si="4"/>
        <v>1016</v>
      </c>
      <c r="N70" s="50">
        <f t="shared" si="5"/>
        <v>4.1338582677165357E-2</v>
      </c>
      <c r="O70" s="54">
        <f t="shared" ref="O70:P70" si="82">S70-S69</f>
        <v>502</v>
      </c>
      <c r="P70" s="54">
        <f t="shared" si="82"/>
        <v>18</v>
      </c>
      <c r="Q70" s="54">
        <f t="shared" si="7"/>
        <v>484</v>
      </c>
      <c r="R70" s="50">
        <f t="shared" si="8"/>
        <v>3.5856573705179286E-2</v>
      </c>
      <c r="S70" s="52">
        <f t="shared" si="9"/>
        <v>48149</v>
      </c>
      <c r="T70" s="48">
        <f t="shared" si="10"/>
        <v>3033</v>
      </c>
      <c r="U70" s="48">
        <f t="shared" si="11"/>
        <v>45116</v>
      </c>
      <c r="V70" s="50">
        <f t="shared" si="12"/>
        <v>6.299196244989512E-2</v>
      </c>
    </row>
    <row r="71" spans="1:22" ht="13.2" x14ac:dyDescent="0.25">
      <c r="A71" s="48">
        <f t="shared" si="60"/>
        <v>69</v>
      </c>
      <c r="B71" s="49">
        <v>44265</v>
      </c>
      <c r="C71" s="48">
        <v>2749</v>
      </c>
      <c r="D71" s="48">
        <v>37316</v>
      </c>
      <c r="E71" s="48">
        <f t="shared" si="0"/>
        <v>40065</v>
      </c>
      <c r="F71" s="50">
        <f t="shared" si="1"/>
        <v>6.8613503057531514E-2</v>
      </c>
      <c r="G71" s="48">
        <v>504</v>
      </c>
      <c r="H71" s="48">
        <v>14724</v>
      </c>
      <c r="I71" s="48">
        <f t="shared" si="71"/>
        <v>15228</v>
      </c>
      <c r="J71" s="59">
        <f t="shared" si="72"/>
        <v>3.309692671394799E-2</v>
      </c>
      <c r="K71" s="48">
        <v>42</v>
      </c>
      <c r="L71" s="48">
        <v>974</v>
      </c>
      <c r="M71" s="52">
        <f t="shared" si="4"/>
        <v>1016</v>
      </c>
      <c r="N71" s="50">
        <f t="shared" si="5"/>
        <v>4.1338582677165357E-2</v>
      </c>
      <c r="O71" s="54">
        <f t="shared" ref="O71:P71" si="83">S71-S70</f>
        <v>8160</v>
      </c>
      <c r="P71" s="54">
        <f t="shared" si="83"/>
        <v>262</v>
      </c>
      <c r="Q71" s="54">
        <f t="shared" si="7"/>
        <v>7898</v>
      </c>
      <c r="R71" s="50">
        <f t="shared" si="8"/>
        <v>3.2107843137254899E-2</v>
      </c>
      <c r="S71" s="52">
        <f t="shared" si="9"/>
        <v>56309</v>
      </c>
      <c r="T71" s="48">
        <f t="shared" si="10"/>
        <v>3295</v>
      </c>
      <c r="U71" s="48">
        <f t="shared" si="11"/>
        <v>53014</v>
      </c>
      <c r="V71" s="50">
        <f t="shared" si="12"/>
        <v>5.851640057539647E-2</v>
      </c>
    </row>
    <row r="72" spans="1:22" ht="13.2" x14ac:dyDescent="0.25">
      <c r="A72" s="48">
        <f t="shared" si="60"/>
        <v>70</v>
      </c>
      <c r="B72" s="49">
        <v>44266</v>
      </c>
      <c r="C72" s="48">
        <v>2808</v>
      </c>
      <c r="D72" s="48">
        <v>38103</v>
      </c>
      <c r="E72" s="48">
        <f t="shared" si="0"/>
        <v>40911</v>
      </c>
      <c r="F72" s="50">
        <f t="shared" si="1"/>
        <v>6.8636796949475692E-2</v>
      </c>
      <c r="G72" s="48">
        <v>556</v>
      </c>
      <c r="H72" s="48">
        <v>16352</v>
      </c>
      <c r="I72" s="48">
        <f t="shared" si="71"/>
        <v>16908</v>
      </c>
      <c r="J72" s="59">
        <f t="shared" si="72"/>
        <v>3.2883841968299028E-2</v>
      </c>
      <c r="K72" s="48">
        <v>42</v>
      </c>
      <c r="L72" s="48">
        <v>974</v>
      </c>
      <c r="M72" s="52">
        <f t="shared" si="4"/>
        <v>1016</v>
      </c>
      <c r="N72" s="50">
        <f t="shared" si="5"/>
        <v>4.1338582677165357E-2</v>
      </c>
      <c r="O72" s="54">
        <f t="shared" ref="O72:P72" si="84">S72-S71</f>
        <v>2526</v>
      </c>
      <c r="P72" s="54">
        <f t="shared" si="84"/>
        <v>111</v>
      </c>
      <c r="Q72" s="54">
        <f t="shared" si="7"/>
        <v>2415</v>
      </c>
      <c r="R72" s="50">
        <f t="shared" si="8"/>
        <v>4.3942992874109264E-2</v>
      </c>
      <c r="S72" s="52">
        <f t="shared" si="9"/>
        <v>58835</v>
      </c>
      <c r="T72" s="48">
        <f t="shared" si="10"/>
        <v>3406</v>
      </c>
      <c r="U72" s="48">
        <f t="shared" si="11"/>
        <v>55429</v>
      </c>
      <c r="V72" s="50">
        <f t="shared" si="12"/>
        <v>5.78907113112943E-2</v>
      </c>
    </row>
    <row r="73" spans="1:22" ht="13.2" x14ac:dyDescent="0.25">
      <c r="A73" s="48">
        <f t="shared" si="60"/>
        <v>71</v>
      </c>
      <c r="B73" s="49">
        <v>44267</v>
      </c>
      <c r="C73" s="48">
        <v>2878</v>
      </c>
      <c r="D73" s="48">
        <v>38635</v>
      </c>
      <c r="E73" s="48">
        <f t="shared" si="0"/>
        <v>41513</v>
      </c>
      <c r="F73" s="50">
        <f t="shared" si="1"/>
        <v>6.932768048563101E-2</v>
      </c>
      <c r="G73" s="48">
        <v>603</v>
      </c>
      <c r="H73" s="48">
        <v>17822</v>
      </c>
      <c r="I73" s="48">
        <f t="shared" si="71"/>
        <v>18425</v>
      </c>
      <c r="J73" s="59">
        <f t="shared" si="72"/>
        <v>3.272727272727273E-2</v>
      </c>
      <c r="K73" s="48">
        <v>42</v>
      </c>
      <c r="L73" s="48">
        <v>974</v>
      </c>
      <c r="M73" s="52">
        <f t="shared" si="4"/>
        <v>1016</v>
      </c>
      <c r="N73" s="50">
        <f t="shared" si="5"/>
        <v>4.1338582677165357E-2</v>
      </c>
      <c r="O73" s="54">
        <f t="shared" ref="O73:P73" si="85">S73-S72</f>
        <v>2119</v>
      </c>
      <c r="P73" s="54">
        <f t="shared" si="85"/>
        <v>117</v>
      </c>
      <c r="Q73" s="54">
        <f t="shared" si="7"/>
        <v>2002</v>
      </c>
      <c r="R73" s="50">
        <f t="shared" si="8"/>
        <v>5.5214723926380369E-2</v>
      </c>
      <c r="S73" s="52">
        <f t="shared" si="9"/>
        <v>60954</v>
      </c>
      <c r="T73" s="48">
        <f t="shared" si="10"/>
        <v>3523</v>
      </c>
      <c r="U73" s="48">
        <f t="shared" si="11"/>
        <v>57431</v>
      </c>
      <c r="V73" s="50">
        <f t="shared" si="12"/>
        <v>5.7797683499032054E-2</v>
      </c>
    </row>
    <row r="74" spans="1:22" ht="13.2" x14ac:dyDescent="0.25">
      <c r="A74" s="48">
        <f t="shared" si="60"/>
        <v>72</v>
      </c>
      <c r="B74" s="49">
        <v>44268</v>
      </c>
      <c r="C74" s="48">
        <v>2892</v>
      </c>
      <c r="D74" s="48">
        <v>38857</v>
      </c>
      <c r="E74" s="48">
        <f t="shared" si="0"/>
        <v>41749</v>
      </c>
      <c r="F74" s="50">
        <f t="shared" si="1"/>
        <v>6.9271120266353681E-2</v>
      </c>
      <c r="G74" s="48">
        <v>644</v>
      </c>
      <c r="H74" s="48">
        <v>19192</v>
      </c>
      <c r="I74" s="48">
        <f t="shared" si="71"/>
        <v>19836</v>
      </c>
      <c r="J74" s="59">
        <f t="shared" si="72"/>
        <v>3.2466223028836456E-2</v>
      </c>
      <c r="K74" s="48">
        <v>42</v>
      </c>
      <c r="L74" s="48">
        <v>974</v>
      </c>
      <c r="M74" s="52">
        <f t="shared" si="4"/>
        <v>1016</v>
      </c>
      <c r="N74" s="50">
        <f t="shared" si="5"/>
        <v>4.1338582677165357E-2</v>
      </c>
      <c r="O74" s="54">
        <f t="shared" ref="O74:P74" si="86">S74-S73</f>
        <v>1647</v>
      </c>
      <c r="P74" s="54">
        <f t="shared" si="86"/>
        <v>55</v>
      </c>
      <c r="Q74" s="54">
        <f t="shared" si="7"/>
        <v>1592</v>
      </c>
      <c r="R74" s="50">
        <f t="shared" si="8"/>
        <v>3.3394049787492414E-2</v>
      </c>
      <c r="S74" s="52">
        <f t="shared" si="9"/>
        <v>62601</v>
      </c>
      <c r="T74" s="48">
        <f t="shared" si="10"/>
        <v>3578</v>
      </c>
      <c r="U74" s="48">
        <f t="shared" si="11"/>
        <v>59023</v>
      </c>
      <c r="V74" s="50">
        <f t="shared" si="12"/>
        <v>5.7155636491429851E-2</v>
      </c>
    </row>
    <row r="75" spans="1:22" ht="13.2" x14ac:dyDescent="0.25">
      <c r="A75" s="48">
        <f t="shared" si="60"/>
        <v>73</v>
      </c>
      <c r="B75" s="49">
        <v>44269</v>
      </c>
      <c r="C75" s="48">
        <v>2930</v>
      </c>
      <c r="D75" s="48">
        <v>39389</v>
      </c>
      <c r="E75" s="48">
        <f t="shared" si="0"/>
        <v>42319</v>
      </c>
      <c r="F75" s="50">
        <f t="shared" si="1"/>
        <v>6.9236040549162312E-2</v>
      </c>
      <c r="G75" s="48">
        <v>713</v>
      </c>
      <c r="H75" s="48">
        <v>21170</v>
      </c>
      <c r="I75" s="48">
        <f t="shared" si="71"/>
        <v>21883</v>
      </c>
      <c r="J75" s="59">
        <f t="shared" si="72"/>
        <v>3.2582369876159575E-2</v>
      </c>
      <c r="K75" s="48">
        <v>42</v>
      </c>
      <c r="L75" s="48">
        <v>974</v>
      </c>
      <c r="M75" s="52">
        <f t="shared" si="4"/>
        <v>1016</v>
      </c>
      <c r="N75" s="50">
        <f t="shared" si="5"/>
        <v>4.1338582677165357E-2</v>
      </c>
      <c r="O75" s="54">
        <f t="shared" ref="O75:P75" si="87">S75-S74</f>
        <v>2617</v>
      </c>
      <c r="P75" s="54">
        <f t="shared" si="87"/>
        <v>107</v>
      </c>
      <c r="Q75" s="54">
        <f t="shared" si="7"/>
        <v>2510</v>
      </c>
      <c r="R75" s="50">
        <f t="shared" si="8"/>
        <v>4.0886511272449369E-2</v>
      </c>
      <c r="S75" s="52">
        <f t="shared" si="9"/>
        <v>65218</v>
      </c>
      <c r="T75" s="48">
        <f t="shared" si="10"/>
        <v>3685</v>
      </c>
      <c r="U75" s="48">
        <f t="shared" si="11"/>
        <v>61533</v>
      </c>
      <c r="V75" s="50">
        <f t="shared" si="12"/>
        <v>5.650280597381091E-2</v>
      </c>
    </row>
    <row r="76" spans="1:22" ht="13.2" x14ac:dyDescent="0.25">
      <c r="A76" s="48">
        <f t="shared" si="60"/>
        <v>74</v>
      </c>
      <c r="B76" s="49">
        <v>44270</v>
      </c>
      <c r="C76" s="48">
        <v>2947</v>
      </c>
      <c r="D76" s="48">
        <v>39652</v>
      </c>
      <c r="E76" s="48">
        <f t="shared" si="0"/>
        <v>42599</v>
      </c>
      <c r="F76" s="50">
        <f t="shared" si="1"/>
        <v>6.9180027700180752E-2</v>
      </c>
      <c r="G76" s="48">
        <v>747</v>
      </c>
      <c r="H76" s="48">
        <v>22369</v>
      </c>
      <c r="I76" s="48">
        <f t="shared" si="71"/>
        <v>23116</v>
      </c>
      <c r="J76" s="59">
        <f t="shared" si="72"/>
        <v>3.2315279460114206E-2</v>
      </c>
      <c r="K76" s="48">
        <v>42</v>
      </c>
      <c r="L76" s="48">
        <v>974</v>
      </c>
      <c r="M76" s="52">
        <f t="shared" si="4"/>
        <v>1016</v>
      </c>
      <c r="N76" s="50">
        <f t="shared" si="5"/>
        <v>4.1338582677165357E-2</v>
      </c>
      <c r="O76" s="54">
        <f t="shared" ref="O76:P76" si="88">S76-S75</f>
        <v>1513</v>
      </c>
      <c r="P76" s="54">
        <f t="shared" si="88"/>
        <v>51</v>
      </c>
      <c r="Q76" s="54">
        <f t="shared" si="7"/>
        <v>1462</v>
      </c>
      <c r="R76" s="50">
        <f t="shared" si="8"/>
        <v>3.3707865168539325E-2</v>
      </c>
      <c r="S76" s="52">
        <f t="shared" si="9"/>
        <v>66731</v>
      </c>
      <c r="T76" s="48">
        <f t="shared" si="10"/>
        <v>3736</v>
      </c>
      <c r="U76" s="48">
        <f t="shared" si="11"/>
        <v>62995</v>
      </c>
      <c r="V76" s="50">
        <f t="shared" si="12"/>
        <v>5.5985973535538205E-2</v>
      </c>
    </row>
    <row r="77" spans="1:22" ht="13.2" x14ac:dyDescent="0.25">
      <c r="A77" s="48">
        <f t="shared" si="60"/>
        <v>75</v>
      </c>
      <c r="B77" s="49">
        <v>44271</v>
      </c>
      <c r="C77" s="48">
        <v>2953</v>
      </c>
      <c r="D77" s="48">
        <v>39706</v>
      </c>
      <c r="E77" s="48">
        <f t="shared" si="0"/>
        <v>42659</v>
      </c>
      <c r="F77" s="50">
        <f t="shared" si="1"/>
        <v>6.9223376075388546E-2</v>
      </c>
      <c r="G77" s="48">
        <v>855</v>
      </c>
      <c r="H77" s="48">
        <v>26316</v>
      </c>
      <c r="I77" s="48">
        <f t="shared" si="71"/>
        <v>27171</v>
      </c>
      <c r="J77" s="59">
        <f t="shared" si="72"/>
        <v>3.1467373302418021E-2</v>
      </c>
      <c r="K77" s="48">
        <v>42</v>
      </c>
      <c r="L77" s="48">
        <v>974</v>
      </c>
      <c r="M77" s="52">
        <f t="shared" si="4"/>
        <v>1016</v>
      </c>
      <c r="N77" s="50">
        <f t="shared" si="5"/>
        <v>4.1338582677165357E-2</v>
      </c>
      <c r="O77" s="54">
        <f t="shared" ref="O77:P77" si="89">S77-S76</f>
        <v>4115</v>
      </c>
      <c r="P77" s="54">
        <f t="shared" si="89"/>
        <v>114</v>
      </c>
      <c r="Q77" s="54">
        <f t="shared" si="7"/>
        <v>4001</v>
      </c>
      <c r="R77" s="50">
        <f t="shared" si="8"/>
        <v>2.7703523693803158E-2</v>
      </c>
      <c r="S77" s="52">
        <f t="shared" si="9"/>
        <v>70846</v>
      </c>
      <c r="T77" s="48">
        <f t="shared" si="10"/>
        <v>3850</v>
      </c>
      <c r="U77" s="48">
        <f t="shared" si="11"/>
        <v>66996</v>
      </c>
      <c r="V77" s="50">
        <f t="shared" si="12"/>
        <v>5.43432233294752E-2</v>
      </c>
    </row>
    <row r="78" spans="1:22" ht="13.2" x14ac:dyDescent="0.25">
      <c r="A78" s="48">
        <f t="shared" si="60"/>
        <v>76</v>
      </c>
      <c r="B78" s="49">
        <v>44272</v>
      </c>
      <c r="C78" s="48">
        <v>2976</v>
      </c>
      <c r="D78" s="48">
        <v>40240</v>
      </c>
      <c r="E78" s="48">
        <f t="shared" si="0"/>
        <v>43216</v>
      </c>
      <c r="F78" s="50">
        <f t="shared" si="1"/>
        <v>6.8863383931877076E-2</v>
      </c>
      <c r="G78" s="48">
        <v>936</v>
      </c>
      <c r="H78" s="48">
        <v>29151</v>
      </c>
      <c r="I78" s="48">
        <f t="shared" si="71"/>
        <v>30087</v>
      </c>
      <c r="J78" s="59">
        <f t="shared" si="72"/>
        <v>3.1109781633263535E-2</v>
      </c>
      <c r="K78" s="48">
        <v>42</v>
      </c>
      <c r="L78" s="48">
        <v>974</v>
      </c>
      <c r="M78" s="52">
        <f t="shared" si="4"/>
        <v>1016</v>
      </c>
      <c r="N78" s="50">
        <f t="shared" si="5"/>
        <v>4.1338582677165357E-2</v>
      </c>
      <c r="O78" s="54">
        <f t="shared" ref="O78:P78" si="90">S78-S77</f>
        <v>3473</v>
      </c>
      <c r="P78" s="54">
        <f t="shared" si="90"/>
        <v>104</v>
      </c>
      <c r="Q78" s="54">
        <f t="shared" si="7"/>
        <v>3369</v>
      </c>
      <c r="R78" s="50">
        <f t="shared" si="8"/>
        <v>2.9945292254534985E-2</v>
      </c>
      <c r="S78" s="52">
        <f t="shared" si="9"/>
        <v>74319</v>
      </c>
      <c r="T78" s="48">
        <f t="shared" si="10"/>
        <v>3954</v>
      </c>
      <c r="U78" s="48">
        <f t="shared" si="11"/>
        <v>70365</v>
      </c>
      <c r="V78" s="50">
        <f t="shared" si="12"/>
        <v>5.3203084002744927E-2</v>
      </c>
    </row>
    <row r="79" spans="1:22" ht="13.2" x14ac:dyDescent="0.25">
      <c r="A79" s="48">
        <f t="shared" si="60"/>
        <v>77</v>
      </c>
      <c r="B79" s="49">
        <v>44273</v>
      </c>
      <c r="C79" s="48">
        <v>2997</v>
      </c>
      <c r="D79" s="48">
        <v>40754</v>
      </c>
      <c r="E79" s="48">
        <f t="shared" si="0"/>
        <v>43751</v>
      </c>
      <c r="F79" s="50">
        <f t="shared" si="1"/>
        <v>6.850129139905374E-2</v>
      </c>
      <c r="G79" s="48">
        <v>1048</v>
      </c>
      <c r="H79" s="48">
        <v>32677</v>
      </c>
      <c r="I79" s="48">
        <f t="shared" si="71"/>
        <v>33725</v>
      </c>
      <c r="J79" s="59">
        <f t="shared" si="72"/>
        <v>3.1074870274277241E-2</v>
      </c>
      <c r="K79" s="48">
        <v>42</v>
      </c>
      <c r="L79" s="48">
        <v>974</v>
      </c>
      <c r="M79" s="52">
        <f t="shared" si="4"/>
        <v>1016</v>
      </c>
      <c r="N79" s="50">
        <f t="shared" si="5"/>
        <v>4.1338582677165357E-2</v>
      </c>
      <c r="O79" s="54">
        <f t="shared" ref="O79:P79" si="91">S79-S78</f>
        <v>4173</v>
      </c>
      <c r="P79" s="54">
        <f t="shared" si="91"/>
        <v>133</v>
      </c>
      <c r="Q79" s="54">
        <f t="shared" si="7"/>
        <v>4040</v>
      </c>
      <c r="R79" s="50">
        <f t="shared" si="8"/>
        <v>3.1871555236041217E-2</v>
      </c>
      <c r="S79" s="52">
        <f t="shared" si="9"/>
        <v>78492</v>
      </c>
      <c r="T79" s="48">
        <f t="shared" si="10"/>
        <v>4087</v>
      </c>
      <c r="U79" s="48">
        <f t="shared" si="11"/>
        <v>74405</v>
      </c>
      <c r="V79" s="50">
        <f t="shared" si="12"/>
        <v>5.2069000662487895E-2</v>
      </c>
    </row>
    <row r="80" spans="1:22" ht="13.2" x14ac:dyDescent="0.25">
      <c r="A80" s="48">
        <f t="shared" si="60"/>
        <v>78</v>
      </c>
      <c r="B80" s="49">
        <v>44274</v>
      </c>
      <c r="C80" s="48">
        <v>3022</v>
      </c>
      <c r="D80" s="48">
        <v>41613</v>
      </c>
      <c r="E80" s="48">
        <f t="shared" si="0"/>
        <v>44635</v>
      </c>
      <c r="F80" s="50">
        <f t="shared" si="1"/>
        <v>6.7704716030021289E-2</v>
      </c>
      <c r="G80" s="48">
        <v>1114</v>
      </c>
      <c r="H80" s="48">
        <v>34941</v>
      </c>
      <c r="I80" s="48">
        <f t="shared" si="71"/>
        <v>36055</v>
      </c>
      <c r="J80" s="59">
        <f t="shared" si="72"/>
        <v>3.089724032727777E-2</v>
      </c>
      <c r="K80" s="48">
        <v>42</v>
      </c>
      <c r="L80" s="48">
        <v>974</v>
      </c>
      <c r="M80" s="52">
        <f t="shared" si="4"/>
        <v>1016</v>
      </c>
      <c r="N80" s="50">
        <f t="shared" si="5"/>
        <v>4.1338582677165357E-2</v>
      </c>
      <c r="O80" s="54">
        <f t="shared" ref="O80:P80" si="92">S80-S79</f>
        <v>3214</v>
      </c>
      <c r="P80" s="54">
        <f t="shared" si="92"/>
        <v>91</v>
      </c>
      <c r="Q80" s="54">
        <f t="shared" si="7"/>
        <v>3123</v>
      </c>
      <c r="R80" s="50">
        <f t="shared" si="8"/>
        <v>2.8313627878033602E-2</v>
      </c>
      <c r="S80" s="52">
        <f t="shared" si="9"/>
        <v>81706</v>
      </c>
      <c r="T80" s="48">
        <f t="shared" si="10"/>
        <v>4178</v>
      </c>
      <c r="U80" s="48">
        <f t="shared" si="11"/>
        <v>77528</v>
      </c>
      <c r="V80" s="50">
        <f t="shared" si="12"/>
        <v>5.1134555601791788E-2</v>
      </c>
    </row>
    <row r="81" spans="1:22" ht="13.2" x14ac:dyDescent="0.25">
      <c r="A81" s="48">
        <f t="shared" si="60"/>
        <v>79</v>
      </c>
      <c r="B81" s="49">
        <v>44275</v>
      </c>
      <c r="C81" s="48">
        <v>3050</v>
      </c>
      <c r="D81" s="48">
        <v>42222</v>
      </c>
      <c r="E81" s="48">
        <f t="shared" si="0"/>
        <v>45272</v>
      </c>
      <c r="F81" s="50">
        <f t="shared" si="1"/>
        <v>6.7370560169641283E-2</v>
      </c>
      <c r="G81" s="48">
        <v>1179</v>
      </c>
      <c r="H81" s="48">
        <v>37641</v>
      </c>
      <c r="I81" s="48">
        <f t="shared" si="71"/>
        <v>38820</v>
      </c>
      <c r="J81" s="59">
        <f t="shared" si="72"/>
        <v>3.0370942812982998E-2</v>
      </c>
      <c r="K81" s="48">
        <v>42</v>
      </c>
      <c r="L81" s="48">
        <v>974</v>
      </c>
      <c r="M81" s="52">
        <f t="shared" si="4"/>
        <v>1016</v>
      </c>
      <c r="N81" s="50">
        <f t="shared" si="5"/>
        <v>4.1338582677165357E-2</v>
      </c>
      <c r="O81" s="54">
        <f t="shared" ref="O81:P81" si="93">S81-S80</f>
        <v>3402</v>
      </c>
      <c r="P81" s="54">
        <f t="shared" si="93"/>
        <v>93</v>
      </c>
      <c r="Q81" s="54">
        <f t="shared" si="7"/>
        <v>3309</v>
      </c>
      <c r="R81" s="50">
        <f t="shared" si="8"/>
        <v>2.7336860670194002E-2</v>
      </c>
      <c r="S81" s="52">
        <f t="shared" si="9"/>
        <v>85108</v>
      </c>
      <c r="T81" s="48">
        <f t="shared" si="10"/>
        <v>4271</v>
      </c>
      <c r="U81" s="48">
        <f t="shared" si="11"/>
        <v>80837</v>
      </c>
      <c r="V81" s="50">
        <f t="shared" si="12"/>
        <v>5.0183296517366173E-2</v>
      </c>
    </row>
    <row r="82" spans="1:22" ht="13.2" x14ac:dyDescent="0.25">
      <c r="A82" s="48">
        <f t="shared" si="60"/>
        <v>80</v>
      </c>
      <c r="B82" s="49">
        <v>44276</v>
      </c>
      <c r="C82" s="48">
        <v>3077</v>
      </c>
      <c r="D82" s="48">
        <v>42726</v>
      </c>
      <c r="E82" s="48">
        <f t="shared" si="0"/>
        <v>45803</v>
      </c>
      <c r="F82" s="50">
        <f t="shared" si="1"/>
        <v>6.7179005741981962E-2</v>
      </c>
      <c r="G82" s="48">
        <v>1223</v>
      </c>
      <c r="H82" s="48">
        <v>39376</v>
      </c>
      <c r="I82" s="48">
        <f t="shared" si="71"/>
        <v>40599</v>
      </c>
      <c r="J82" s="59">
        <f t="shared" si="72"/>
        <v>3.0123894677208798E-2</v>
      </c>
      <c r="K82" s="48">
        <v>42</v>
      </c>
      <c r="L82" s="48">
        <v>974</v>
      </c>
      <c r="M82" s="52">
        <f t="shared" si="4"/>
        <v>1016</v>
      </c>
      <c r="N82" s="50">
        <f t="shared" si="5"/>
        <v>4.1338582677165357E-2</v>
      </c>
      <c r="O82" s="54">
        <f t="shared" ref="O82:P82" si="94">S82-S81</f>
        <v>2310</v>
      </c>
      <c r="P82" s="54">
        <f t="shared" si="94"/>
        <v>71</v>
      </c>
      <c r="Q82" s="54">
        <f t="shared" si="7"/>
        <v>2239</v>
      </c>
      <c r="R82" s="50">
        <f t="shared" si="8"/>
        <v>3.0735930735930735E-2</v>
      </c>
      <c r="S82" s="52">
        <f t="shared" si="9"/>
        <v>87418</v>
      </c>
      <c r="T82" s="48">
        <f t="shared" si="10"/>
        <v>4342</v>
      </c>
      <c r="U82" s="48">
        <f t="shared" si="11"/>
        <v>83076</v>
      </c>
      <c r="V82" s="50">
        <f t="shared" si="12"/>
        <v>4.9669404470475187E-2</v>
      </c>
    </row>
    <row r="83" spans="1:22" ht="13.2" x14ac:dyDescent="0.25">
      <c r="A83" s="48">
        <f t="shared" si="60"/>
        <v>81</v>
      </c>
      <c r="B83" s="49">
        <v>44277</v>
      </c>
      <c r="C83" s="48">
        <v>3098</v>
      </c>
      <c r="D83" s="48">
        <v>43204</v>
      </c>
      <c r="E83" s="48">
        <f t="shared" si="0"/>
        <v>46302</v>
      </c>
      <c r="F83" s="50">
        <f t="shared" si="1"/>
        <v>6.6908556865794139E-2</v>
      </c>
      <c r="G83" s="48">
        <v>1247</v>
      </c>
      <c r="H83" s="48">
        <v>40121</v>
      </c>
      <c r="I83" s="48">
        <f t="shared" si="71"/>
        <v>41368</v>
      </c>
      <c r="J83" s="59">
        <f t="shared" si="72"/>
        <v>3.0144072713208278E-2</v>
      </c>
      <c r="K83" s="48">
        <v>42</v>
      </c>
      <c r="L83" s="48">
        <v>974</v>
      </c>
      <c r="M83" s="52">
        <f t="shared" si="4"/>
        <v>1016</v>
      </c>
      <c r="N83" s="50">
        <f t="shared" si="5"/>
        <v>4.1338582677165357E-2</v>
      </c>
      <c r="O83" s="54">
        <f t="shared" ref="O83:P83" si="95">S83-S82</f>
        <v>1268</v>
      </c>
      <c r="P83" s="54">
        <f t="shared" si="95"/>
        <v>45</v>
      </c>
      <c r="Q83" s="54">
        <f t="shared" si="7"/>
        <v>1223</v>
      </c>
      <c r="R83" s="50">
        <f t="shared" si="8"/>
        <v>3.5488958990536279E-2</v>
      </c>
      <c r="S83" s="52">
        <f t="shared" si="9"/>
        <v>88686</v>
      </c>
      <c r="T83" s="48">
        <f t="shared" si="10"/>
        <v>4387</v>
      </c>
      <c r="U83" s="48">
        <f t="shared" si="11"/>
        <v>84299</v>
      </c>
      <c r="V83" s="50">
        <f t="shared" si="12"/>
        <v>4.9466657646077168E-2</v>
      </c>
    </row>
    <row r="84" spans="1:22" ht="13.2" x14ac:dyDescent="0.25">
      <c r="A84" s="48">
        <f t="shared" si="60"/>
        <v>82</v>
      </c>
      <c r="B84" s="49">
        <v>44278</v>
      </c>
      <c r="C84" s="48">
        <v>3122</v>
      </c>
      <c r="D84" s="48">
        <v>43657</v>
      </c>
      <c r="E84" s="48">
        <f t="shared" si="0"/>
        <v>46779</v>
      </c>
      <c r="F84" s="50">
        <f t="shared" si="1"/>
        <v>6.6739348853117858E-2</v>
      </c>
      <c r="G84" s="48">
        <v>1322</v>
      </c>
      <c r="H84" s="48">
        <v>43102</v>
      </c>
      <c r="I84" s="48">
        <f t="shared" si="71"/>
        <v>44424</v>
      </c>
      <c r="J84" s="59">
        <f t="shared" si="72"/>
        <v>2.9758688996938593E-2</v>
      </c>
      <c r="K84" s="48">
        <v>42</v>
      </c>
      <c r="L84" s="48">
        <v>974</v>
      </c>
      <c r="M84" s="52">
        <f t="shared" si="4"/>
        <v>1016</v>
      </c>
      <c r="N84" s="50">
        <f t="shared" si="5"/>
        <v>4.1338582677165357E-2</v>
      </c>
      <c r="O84" s="54">
        <f t="shared" ref="O84:P84" si="96">S84-S83</f>
        <v>3533</v>
      </c>
      <c r="P84" s="54">
        <f t="shared" si="96"/>
        <v>99</v>
      </c>
      <c r="Q84" s="54">
        <f t="shared" si="7"/>
        <v>3434</v>
      </c>
      <c r="R84" s="50">
        <f t="shared" si="8"/>
        <v>2.8021511463345597E-2</v>
      </c>
      <c r="S84" s="52">
        <f t="shared" si="9"/>
        <v>92219</v>
      </c>
      <c r="T84" s="48">
        <f t="shared" si="10"/>
        <v>4486</v>
      </c>
      <c r="U84" s="48">
        <f t="shared" si="11"/>
        <v>87733</v>
      </c>
      <c r="V84" s="50">
        <f t="shared" si="12"/>
        <v>4.8645073141109753E-2</v>
      </c>
    </row>
    <row r="85" spans="1:22" ht="13.2" x14ac:dyDescent="0.25">
      <c r="A85" s="48">
        <f t="shared" si="60"/>
        <v>83</v>
      </c>
      <c r="B85" s="49">
        <v>44279</v>
      </c>
      <c r="C85" s="48">
        <v>3155</v>
      </c>
      <c r="D85" s="48">
        <v>44374</v>
      </c>
      <c r="E85" s="48">
        <f t="shared" si="0"/>
        <v>47529</v>
      </c>
      <c r="F85" s="50">
        <f t="shared" si="1"/>
        <v>6.6380525573860164E-2</v>
      </c>
      <c r="G85" s="48">
        <v>1410</v>
      </c>
      <c r="H85" s="48">
        <v>46218</v>
      </c>
      <c r="I85" s="48">
        <f t="shared" si="71"/>
        <v>47628</v>
      </c>
      <c r="J85" s="59">
        <f t="shared" si="72"/>
        <v>2.9604434366339128E-2</v>
      </c>
      <c r="K85" s="48">
        <v>42</v>
      </c>
      <c r="L85" s="48">
        <v>974</v>
      </c>
      <c r="M85" s="52">
        <f t="shared" si="4"/>
        <v>1016</v>
      </c>
      <c r="N85" s="50">
        <f t="shared" si="5"/>
        <v>4.1338582677165357E-2</v>
      </c>
      <c r="O85" s="54">
        <f t="shared" ref="O85:P85" si="97">S85-S84</f>
        <v>3954</v>
      </c>
      <c r="P85" s="54">
        <f t="shared" si="97"/>
        <v>121</v>
      </c>
      <c r="Q85" s="54">
        <f t="shared" si="7"/>
        <v>3833</v>
      </c>
      <c r="R85" s="50">
        <f t="shared" si="8"/>
        <v>3.0601922104198279E-2</v>
      </c>
      <c r="S85" s="52">
        <f t="shared" si="9"/>
        <v>96173</v>
      </c>
      <c r="T85" s="48">
        <f t="shared" si="10"/>
        <v>4607</v>
      </c>
      <c r="U85" s="48">
        <f t="shared" si="11"/>
        <v>91566</v>
      </c>
      <c r="V85" s="50">
        <f t="shared" si="12"/>
        <v>4.7903257671071925E-2</v>
      </c>
    </row>
    <row r="86" spans="1:22" ht="13.2" x14ac:dyDescent="0.25">
      <c r="A86" s="48">
        <f t="shared" si="60"/>
        <v>84</v>
      </c>
      <c r="B86" s="49">
        <v>44280</v>
      </c>
      <c r="C86" s="48">
        <v>3188</v>
      </c>
      <c r="D86" s="48">
        <v>45111</v>
      </c>
      <c r="E86" s="48">
        <f t="shared" si="0"/>
        <v>48299</v>
      </c>
      <c r="F86" s="50">
        <f t="shared" si="1"/>
        <v>6.6005507360400839E-2</v>
      </c>
      <c r="G86" s="48">
        <v>1476</v>
      </c>
      <c r="H86" s="48">
        <v>49101</v>
      </c>
      <c r="I86" s="48">
        <f t="shared" si="71"/>
        <v>50577</v>
      </c>
      <c r="J86" s="59">
        <f t="shared" si="72"/>
        <v>2.918322557684323E-2</v>
      </c>
      <c r="K86" s="48">
        <v>42</v>
      </c>
      <c r="L86" s="48">
        <v>974</v>
      </c>
      <c r="M86" s="52">
        <f t="shared" si="4"/>
        <v>1016</v>
      </c>
      <c r="N86" s="50">
        <f t="shared" si="5"/>
        <v>4.1338582677165357E-2</v>
      </c>
      <c r="O86" s="54">
        <f t="shared" ref="O86:P86" si="98">S86-S85</f>
        <v>3719</v>
      </c>
      <c r="P86" s="54">
        <f t="shared" si="98"/>
        <v>99</v>
      </c>
      <c r="Q86" s="54">
        <f t="shared" si="7"/>
        <v>3620</v>
      </c>
      <c r="R86" s="50">
        <f t="shared" si="8"/>
        <v>2.6620059155687013E-2</v>
      </c>
      <c r="S86" s="52">
        <f t="shared" si="9"/>
        <v>99892</v>
      </c>
      <c r="T86" s="48">
        <f t="shared" si="10"/>
        <v>4706</v>
      </c>
      <c r="U86" s="48">
        <f t="shared" si="11"/>
        <v>95186</v>
      </c>
      <c r="V86" s="50">
        <f t="shared" si="12"/>
        <v>4.711087975013014E-2</v>
      </c>
    </row>
    <row r="87" spans="1:22" ht="13.2" x14ac:dyDescent="0.25">
      <c r="A87" s="48">
        <f t="shared" si="60"/>
        <v>85</v>
      </c>
      <c r="B87" s="49">
        <v>44281</v>
      </c>
      <c r="C87" s="48">
        <v>3212</v>
      </c>
      <c r="D87" s="48">
        <v>45653</v>
      </c>
      <c r="E87" s="48">
        <f t="shared" si="0"/>
        <v>48865</v>
      </c>
      <c r="F87" s="50">
        <f t="shared" si="1"/>
        <v>6.5732119103652925E-2</v>
      </c>
      <c r="G87" s="48">
        <v>1558</v>
      </c>
      <c r="H87" s="48">
        <v>52324</v>
      </c>
      <c r="I87" s="48">
        <f t="shared" si="71"/>
        <v>53882</v>
      </c>
      <c r="J87" s="59">
        <f t="shared" si="72"/>
        <v>2.8915036561374854E-2</v>
      </c>
      <c r="K87" s="48">
        <v>42</v>
      </c>
      <c r="L87" s="48">
        <v>974</v>
      </c>
      <c r="M87" s="52">
        <f t="shared" si="4"/>
        <v>1016</v>
      </c>
      <c r="N87" s="50">
        <f t="shared" si="5"/>
        <v>4.1338582677165357E-2</v>
      </c>
      <c r="O87" s="54">
        <f t="shared" ref="O87:P87" si="99">S87-S86</f>
        <v>3871</v>
      </c>
      <c r="P87" s="54">
        <f t="shared" si="99"/>
        <v>106</v>
      </c>
      <c r="Q87" s="54">
        <f t="shared" si="7"/>
        <v>3765</v>
      </c>
      <c r="R87" s="50">
        <f t="shared" si="8"/>
        <v>2.7383105140790492E-2</v>
      </c>
      <c r="S87" s="52">
        <f t="shared" si="9"/>
        <v>103763</v>
      </c>
      <c r="T87" s="48">
        <f t="shared" si="10"/>
        <v>4812</v>
      </c>
      <c r="U87" s="48">
        <f t="shared" si="11"/>
        <v>98951</v>
      </c>
      <c r="V87" s="50">
        <f t="shared" si="12"/>
        <v>4.6374912059211855E-2</v>
      </c>
    </row>
    <row r="88" spans="1:22" ht="13.2" x14ac:dyDescent="0.25">
      <c r="A88" s="48">
        <f t="shared" si="60"/>
        <v>86</v>
      </c>
      <c r="B88" s="49">
        <v>44282</v>
      </c>
      <c r="C88" s="48">
        <v>3236</v>
      </c>
      <c r="D88" s="48">
        <v>46280</v>
      </c>
      <c r="E88" s="48">
        <f t="shared" si="0"/>
        <v>49516</v>
      </c>
      <c r="F88" s="50">
        <f t="shared" si="1"/>
        <v>6.5352613296712173E-2</v>
      </c>
      <c r="G88" s="48">
        <v>1638</v>
      </c>
      <c r="H88" s="48">
        <v>55383</v>
      </c>
      <c r="I88" s="48">
        <f t="shared" si="71"/>
        <v>57021</v>
      </c>
      <c r="J88" s="59">
        <f t="shared" si="72"/>
        <v>2.8726258746777502E-2</v>
      </c>
      <c r="K88" s="48">
        <v>42</v>
      </c>
      <c r="L88" s="48">
        <v>974</v>
      </c>
      <c r="M88" s="52">
        <f t="shared" si="4"/>
        <v>1016</v>
      </c>
      <c r="N88" s="50">
        <f t="shared" si="5"/>
        <v>4.1338582677165357E-2</v>
      </c>
      <c r="O88" s="54">
        <f t="shared" ref="O88:P88" si="100">S88-S87</f>
        <v>3790</v>
      </c>
      <c r="P88" s="54">
        <f t="shared" si="100"/>
        <v>104</v>
      </c>
      <c r="Q88" s="54">
        <f t="shared" si="7"/>
        <v>3686</v>
      </c>
      <c r="R88" s="50">
        <f t="shared" si="8"/>
        <v>2.7440633245382585E-2</v>
      </c>
      <c r="S88" s="52">
        <f t="shared" si="9"/>
        <v>107553</v>
      </c>
      <c r="T88" s="48">
        <f t="shared" si="10"/>
        <v>4916</v>
      </c>
      <c r="U88" s="48">
        <f t="shared" si="11"/>
        <v>102637</v>
      </c>
      <c r="V88" s="50">
        <f t="shared" si="12"/>
        <v>4.5707697600252901E-2</v>
      </c>
    </row>
    <row r="89" spans="1:22" ht="13.2" x14ac:dyDescent="0.25">
      <c r="A89" s="48">
        <f t="shared" si="60"/>
        <v>87</v>
      </c>
      <c r="B89" s="49">
        <v>44283</v>
      </c>
      <c r="C89" s="48">
        <v>3262</v>
      </c>
      <c r="D89" s="48">
        <v>46712</v>
      </c>
      <c r="E89" s="48">
        <f t="shared" si="0"/>
        <v>49974</v>
      </c>
      <c r="F89" s="50">
        <f t="shared" si="1"/>
        <v>6.5273942450074035E-2</v>
      </c>
      <c r="G89" s="48">
        <v>1669</v>
      </c>
      <c r="H89" s="48">
        <v>56539</v>
      </c>
      <c r="I89" s="48">
        <f t="shared" si="71"/>
        <v>58208</v>
      </c>
      <c r="J89" s="59">
        <f t="shared" si="72"/>
        <v>2.8673034634414514E-2</v>
      </c>
      <c r="K89" s="48">
        <v>42</v>
      </c>
      <c r="L89" s="48">
        <v>974</v>
      </c>
      <c r="M89" s="52">
        <f t="shared" si="4"/>
        <v>1016</v>
      </c>
      <c r="N89" s="50">
        <f t="shared" si="5"/>
        <v>4.1338582677165357E-2</v>
      </c>
      <c r="O89" s="54">
        <f t="shared" ref="O89:P89" si="101">S89-S88</f>
        <v>1645</v>
      </c>
      <c r="P89" s="54">
        <f t="shared" si="101"/>
        <v>57</v>
      </c>
      <c r="Q89" s="54">
        <f t="shared" si="7"/>
        <v>1588</v>
      </c>
      <c r="R89" s="50">
        <f t="shared" si="8"/>
        <v>3.4650455927051675E-2</v>
      </c>
      <c r="S89" s="52">
        <f t="shared" si="9"/>
        <v>109198</v>
      </c>
      <c r="T89" s="48">
        <f t="shared" si="10"/>
        <v>4973</v>
      </c>
      <c r="U89" s="48">
        <f t="shared" si="11"/>
        <v>104225</v>
      </c>
      <c r="V89" s="50">
        <f t="shared" si="12"/>
        <v>4.5541127126870452E-2</v>
      </c>
    </row>
    <row r="90" spans="1:22" ht="13.2" x14ac:dyDescent="0.25">
      <c r="A90" s="48">
        <f t="shared" si="60"/>
        <v>88</v>
      </c>
      <c r="B90" s="49">
        <v>44284</v>
      </c>
      <c r="C90" s="48">
        <v>3279</v>
      </c>
      <c r="D90" s="48">
        <v>47144</v>
      </c>
      <c r="E90" s="48">
        <f t="shared" si="0"/>
        <v>50423</v>
      </c>
      <c r="F90" s="50">
        <f t="shared" si="1"/>
        <v>6.5029847490232634E-2</v>
      </c>
      <c r="G90" s="48">
        <v>1700</v>
      </c>
      <c r="H90" s="48">
        <v>58019</v>
      </c>
      <c r="I90" s="48">
        <f t="shared" si="71"/>
        <v>59719</v>
      </c>
      <c r="J90" s="59">
        <f t="shared" si="72"/>
        <v>2.8466652154255763E-2</v>
      </c>
      <c r="K90" s="48">
        <v>42</v>
      </c>
      <c r="L90" s="48">
        <v>974</v>
      </c>
      <c r="M90" s="52">
        <f t="shared" si="4"/>
        <v>1016</v>
      </c>
      <c r="N90" s="50">
        <f t="shared" si="5"/>
        <v>4.1338582677165357E-2</v>
      </c>
      <c r="O90" s="54">
        <f t="shared" ref="O90:P90" si="102">S90-S89</f>
        <v>1960</v>
      </c>
      <c r="P90" s="54">
        <f t="shared" si="102"/>
        <v>48</v>
      </c>
      <c r="Q90" s="54">
        <f t="shared" si="7"/>
        <v>1912</v>
      </c>
      <c r="R90" s="50">
        <f t="shared" si="8"/>
        <v>2.4489795918367346E-2</v>
      </c>
      <c r="S90" s="52">
        <f t="shared" si="9"/>
        <v>111158</v>
      </c>
      <c r="T90" s="48">
        <f t="shared" si="10"/>
        <v>5021</v>
      </c>
      <c r="U90" s="48">
        <f t="shared" si="11"/>
        <v>106137</v>
      </c>
      <c r="V90" s="50">
        <f t="shared" si="12"/>
        <v>4.5169938286043293E-2</v>
      </c>
    </row>
    <row r="91" spans="1:22" ht="13.2" x14ac:dyDescent="0.25">
      <c r="A91" s="48">
        <f t="shared" si="60"/>
        <v>89</v>
      </c>
      <c r="B91" s="49">
        <v>44285</v>
      </c>
      <c r="C91" s="48">
        <v>3282</v>
      </c>
      <c r="D91" s="48">
        <v>47244</v>
      </c>
      <c r="E91" s="48">
        <f t="shared" si="0"/>
        <v>50526</v>
      </c>
      <c r="F91" s="50">
        <f t="shared" si="1"/>
        <v>6.4956655979099873E-2</v>
      </c>
      <c r="G91" s="48">
        <v>1766</v>
      </c>
      <c r="H91" s="48">
        <v>61581</v>
      </c>
      <c r="I91" s="48">
        <f t="shared" si="71"/>
        <v>63347</v>
      </c>
      <c r="J91" s="59">
        <f t="shared" si="72"/>
        <v>2.7878194705353056E-2</v>
      </c>
      <c r="K91" s="48">
        <v>42</v>
      </c>
      <c r="L91" s="48">
        <v>974</v>
      </c>
      <c r="M91" s="52">
        <f t="shared" si="4"/>
        <v>1016</v>
      </c>
      <c r="N91" s="50">
        <f t="shared" si="5"/>
        <v>4.1338582677165357E-2</v>
      </c>
      <c r="O91" s="54">
        <f t="shared" ref="O91:P91" si="103">S91-S90</f>
        <v>3731</v>
      </c>
      <c r="P91" s="54">
        <f t="shared" si="103"/>
        <v>69</v>
      </c>
      <c r="Q91" s="54">
        <f t="shared" si="7"/>
        <v>3662</v>
      </c>
      <c r="R91" s="50">
        <f t="shared" si="8"/>
        <v>1.8493701420530688E-2</v>
      </c>
      <c r="S91" s="52">
        <f t="shared" si="9"/>
        <v>114889</v>
      </c>
      <c r="T91" s="48">
        <f t="shared" si="10"/>
        <v>5090</v>
      </c>
      <c r="U91" s="48">
        <f t="shared" si="11"/>
        <v>109799</v>
      </c>
      <c r="V91" s="50">
        <f t="shared" si="12"/>
        <v>4.4303632201516244E-2</v>
      </c>
    </row>
    <row r="92" spans="1:22" ht="13.2" x14ac:dyDescent="0.25">
      <c r="A92" s="48">
        <f t="shared" si="60"/>
        <v>90</v>
      </c>
      <c r="B92" s="49">
        <v>44286</v>
      </c>
      <c r="C92" s="48">
        <v>3309</v>
      </c>
      <c r="D92" s="48">
        <v>47837</v>
      </c>
      <c r="E92" s="48">
        <f t="shared" si="0"/>
        <v>51146</v>
      </c>
      <c r="F92" s="50">
        <f t="shared" si="1"/>
        <v>6.4697141516443124E-2</v>
      </c>
      <c r="G92" s="48">
        <v>1827</v>
      </c>
      <c r="H92" s="48">
        <v>64697</v>
      </c>
      <c r="I92" s="48">
        <f t="shared" si="71"/>
        <v>66524</v>
      </c>
      <c r="J92" s="59">
        <f t="shared" si="72"/>
        <v>2.7463772473092417E-2</v>
      </c>
      <c r="K92" s="48">
        <v>42</v>
      </c>
      <c r="L92" s="48">
        <v>974</v>
      </c>
      <c r="M92" s="52">
        <f t="shared" si="4"/>
        <v>1016</v>
      </c>
      <c r="N92" s="50">
        <f t="shared" si="5"/>
        <v>4.1338582677165357E-2</v>
      </c>
      <c r="O92" s="54">
        <f t="shared" ref="O92:P92" si="104">S92-S91</f>
        <v>3797</v>
      </c>
      <c r="P92" s="54">
        <f t="shared" si="104"/>
        <v>88</v>
      </c>
      <c r="Q92" s="54">
        <f t="shared" si="7"/>
        <v>3709</v>
      </c>
      <c r="R92" s="50">
        <f t="shared" si="8"/>
        <v>2.3176191730313406E-2</v>
      </c>
      <c r="S92" s="52">
        <f t="shared" si="9"/>
        <v>118686</v>
      </c>
      <c r="T92" s="48">
        <f t="shared" si="10"/>
        <v>5178</v>
      </c>
      <c r="U92" s="48">
        <f t="shared" si="11"/>
        <v>113508</v>
      </c>
      <c r="V92" s="50">
        <f t="shared" si="12"/>
        <v>4.3627723573125728E-2</v>
      </c>
    </row>
    <row r="93" spans="1:22" ht="13.2" x14ac:dyDescent="0.25">
      <c r="A93" s="48">
        <f t="shared" si="60"/>
        <v>91</v>
      </c>
      <c r="B93" s="49">
        <v>44287</v>
      </c>
      <c r="C93" s="48">
        <v>3332</v>
      </c>
      <c r="D93" s="48">
        <v>48305</v>
      </c>
      <c r="E93" s="48">
        <f t="shared" si="0"/>
        <v>51637</v>
      </c>
      <c r="F93" s="50">
        <f t="shared" si="1"/>
        <v>6.4527373782365352E-2</v>
      </c>
      <c r="G93" s="48">
        <v>1882</v>
      </c>
      <c r="H93" s="48">
        <v>67806</v>
      </c>
      <c r="I93" s="48">
        <f t="shared" si="71"/>
        <v>69688</v>
      </c>
      <c r="J93" s="59">
        <f t="shared" si="72"/>
        <v>2.7006084261278842E-2</v>
      </c>
      <c r="K93" s="48">
        <v>42</v>
      </c>
      <c r="L93" s="48">
        <v>974</v>
      </c>
      <c r="M93" s="52">
        <f t="shared" si="4"/>
        <v>1016</v>
      </c>
      <c r="N93" s="50">
        <f t="shared" si="5"/>
        <v>4.1338582677165357E-2</v>
      </c>
      <c r="O93" s="54">
        <f t="shared" ref="O93:P93" si="105">S93-S92</f>
        <v>3655</v>
      </c>
      <c r="P93" s="54">
        <f t="shared" si="105"/>
        <v>78</v>
      </c>
      <c r="Q93" s="54">
        <f t="shared" si="7"/>
        <v>3577</v>
      </c>
      <c r="R93" s="50">
        <f t="shared" si="8"/>
        <v>2.13406292749658E-2</v>
      </c>
      <c r="S93" s="52">
        <f t="shared" si="9"/>
        <v>122341</v>
      </c>
      <c r="T93" s="48">
        <f t="shared" si="10"/>
        <v>5256</v>
      </c>
      <c r="U93" s="48">
        <f t="shared" si="11"/>
        <v>117085</v>
      </c>
      <c r="V93" s="50">
        <f t="shared" si="12"/>
        <v>4.2961885222452E-2</v>
      </c>
    </row>
    <row r="94" spans="1:22" ht="13.2" x14ac:dyDescent="0.25">
      <c r="A94" s="48">
        <f t="shared" si="60"/>
        <v>92</v>
      </c>
      <c r="B94" s="49">
        <v>44288</v>
      </c>
      <c r="C94" s="48">
        <v>3350</v>
      </c>
      <c r="D94" s="48">
        <v>48819</v>
      </c>
      <c r="E94" s="48">
        <f t="shared" si="0"/>
        <v>52169</v>
      </c>
      <c r="F94" s="50">
        <f t="shared" si="1"/>
        <v>6.4214380187467654E-2</v>
      </c>
      <c r="G94" s="48">
        <v>1932</v>
      </c>
      <c r="H94" s="48">
        <v>70607</v>
      </c>
      <c r="I94" s="48">
        <f t="shared" si="71"/>
        <v>72539</v>
      </c>
      <c r="J94" s="59">
        <f t="shared" si="72"/>
        <v>2.6633948634527633E-2</v>
      </c>
      <c r="K94" s="48">
        <v>42</v>
      </c>
      <c r="L94" s="48">
        <v>974</v>
      </c>
      <c r="M94" s="52">
        <f t="shared" si="4"/>
        <v>1016</v>
      </c>
      <c r="N94" s="50">
        <f t="shared" si="5"/>
        <v>4.1338582677165357E-2</v>
      </c>
      <c r="O94" s="54">
        <f t="shared" ref="O94:P94" si="106">S94-S93</f>
        <v>3383</v>
      </c>
      <c r="P94" s="54">
        <f t="shared" si="106"/>
        <v>68</v>
      </c>
      <c r="Q94" s="54">
        <f t="shared" si="7"/>
        <v>3315</v>
      </c>
      <c r="R94" s="50">
        <f t="shared" si="8"/>
        <v>2.0100502512562814E-2</v>
      </c>
      <c r="S94" s="52">
        <f t="shared" si="9"/>
        <v>125724</v>
      </c>
      <c r="T94" s="48">
        <f t="shared" si="10"/>
        <v>5324</v>
      </c>
      <c r="U94" s="48">
        <f t="shared" si="11"/>
        <v>120400</v>
      </c>
      <c r="V94" s="50">
        <f t="shared" si="12"/>
        <v>4.2346727752855459E-2</v>
      </c>
    </row>
    <row r="95" spans="1:22" ht="13.2" x14ac:dyDescent="0.25">
      <c r="A95" s="48">
        <f t="shared" si="60"/>
        <v>93</v>
      </c>
      <c r="B95" s="49">
        <v>44289</v>
      </c>
      <c r="C95" s="48">
        <v>3359</v>
      </c>
      <c r="D95" s="48">
        <v>49151</v>
      </c>
      <c r="E95" s="48">
        <f t="shared" si="0"/>
        <v>52510</v>
      </c>
      <c r="F95" s="50">
        <f t="shared" si="1"/>
        <v>6.3968767853742142E-2</v>
      </c>
      <c r="G95" s="48">
        <v>1953</v>
      </c>
      <c r="H95" s="48">
        <v>71876</v>
      </c>
      <c r="I95" s="48">
        <f t="shared" si="71"/>
        <v>73829</v>
      </c>
      <c r="J95" s="59">
        <f t="shared" si="72"/>
        <v>2.6453019816061438E-2</v>
      </c>
      <c r="K95" s="48">
        <v>42</v>
      </c>
      <c r="L95" s="48">
        <v>974</v>
      </c>
      <c r="M95" s="52">
        <f t="shared" si="4"/>
        <v>1016</v>
      </c>
      <c r="N95" s="50">
        <f t="shared" si="5"/>
        <v>4.1338582677165357E-2</v>
      </c>
      <c r="O95" s="54">
        <f t="shared" ref="O95:P95" si="107">S95-S94</f>
        <v>1631</v>
      </c>
      <c r="P95" s="54">
        <f t="shared" si="107"/>
        <v>30</v>
      </c>
      <c r="Q95" s="54">
        <f t="shared" si="7"/>
        <v>1601</v>
      </c>
      <c r="R95" s="50">
        <f t="shared" si="8"/>
        <v>1.8393623543838136E-2</v>
      </c>
      <c r="S95" s="52">
        <f t="shared" si="9"/>
        <v>127355</v>
      </c>
      <c r="T95" s="48">
        <f t="shared" si="10"/>
        <v>5354</v>
      </c>
      <c r="U95" s="48">
        <f t="shared" si="11"/>
        <v>122001</v>
      </c>
      <c r="V95" s="50">
        <f t="shared" si="12"/>
        <v>4.2039967021318361E-2</v>
      </c>
    </row>
    <row r="96" spans="1:22" ht="13.2" x14ac:dyDescent="0.25">
      <c r="A96" s="48">
        <f t="shared" si="60"/>
        <v>94</v>
      </c>
      <c r="B96" s="49">
        <v>44290</v>
      </c>
      <c r="C96" s="48">
        <v>3362</v>
      </c>
      <c r="D96" s="48">
        <v>49225</v>
      </c>
      <c r="E96" s="48">
        <f t="shared" si="0"/>
        <v>52587</v>
      </c>
      <c r="F96" s="50">
        <f t="shared" si="1"/>
        <v>6.3932150531500184E-2</v>
      </c>
      <c r="G96" s="48">
        <v>2001</v>
      </c>
      <c r="H96" s="48">
        <v>73967</v>
      </c>
      <c r="I96" s="48">
        <f t="shared" si="71"/>
        <v>75968</v>
      </c>
      <c r="J96" s="59">
        <f t="shared" si="72"/>
        <v>2.6340037910699242E-2</v>
      </c>
      <c r="K96" s="48">
        <v>42</v>
      </c>
      <c r="L96" s="48">
        <v>974</v>
      </c>
      <c r="M96" s="52">
        <f t="shared" si="4"/>
        <v>1016</v>
      </c>
      <c r="N96" s="50">
        <f t="shared" si="5"/>
        <v>4.1338582677165357E-2</v>
      </c>
      <c r="O96" s="54">
        <f t="shared" ref="O96:P96" si="108">S96-S95</f>
        <v>2216</v>
      </c>
      <c r="P96" s="54">
        <f t="shared" si="108"/>
        <v>51</v>
      </c>
      <c r="Q96" s="54">
        <f t="shared" si="7"/>
        <v>2165</v>
      </c>
      <c r="R96" s="50">
        <f t="shared" si="8"/>
        <v>2.3014440433212997E-2</v>
      </c>
      <c r="S96" s="52">
        <f t="shared" si="9"/>
        <v>129571</v>
      </c>
      <c r="T96" s="48">
        <f t="shared" si="10"/>
        <v>5405</v>
      </c>
      <c r="U96" s="48">
        <f t="shared" si="11"/>
        <v>124166</v>
      </c>
      <c r="V96" s="50">
        <f t="shared" si="12"/>
        <v>4.1714581194866138E-2</v>
      </c>
    </row>
    <row r="97" spans="1:22" ht="13.2" x14ac:dyDescent="0.25">
      <c r="A97" s="48">
        <f t="shared" si="60"/>
        <v>95</v>
      </c>
      <c r="B97" s="49">
        <v>44291</v>
      </c>
      <c r="C97" s="48">
        <v>3367</v>
      </c>
      <c r="D97" s="48">
        <v>49415</v>
      </c>
      <c r="E97" s="48">
        <f t="shared" si="0"/>
        <v>52782</v>
      </c>
      <c r="F97" s="50">
        <f t="shared" si="1"/>
        <v>6.379068621878671E-2</v>
      </c>
      <c r="G97" s="48">
        <v>2016</v>
      </c>
      <c r="H97" s="48">
        <v>75543</v>
      </c>
      <c r="I97" s="48">
        <f t="shared" si="71"/>
        <v>77559</v>
      </c>
      <c r="J97" s="59">
        <f t="shared" si="72"/>
        <v>2.5993114918964916E-2</v>
      </c>
      <c r="K97" s="48">
        <v>42</v>
      </c>
      <c r="L97" s="48">
        <v>974</v>
      </c>
      <c r="M97" s="52">
        <f t="shared" si="4"/>
        <v>1016</v>
      </c>
      <c r="N97" s="50">
        <f t="shared" si="5"/>
        <v>4.1338582677165357E-2</v>
      </c>
      <c r="O97" s="54">
        <f t="shared" ref="O97:P97" si="109">S97-S96</f>
        <v>1786</v>
      </c>
      <c r="P97" s="54">
        <f t="shared" si="109"/>
        <v>20</v>
      </c>
      <c r="Q97" s="54">
        <f t="shared" si="7"/>
        <v>1766</v>
      </c>
      <c r="R97" s="50">
        <f t="shared" si="8"/>
        <v>1.1198208286674132E-2</v>
      </c>
      <c r="S97" s="52">
        <f t="shared" si="9"/>
        <v>131357</v>
      </c>
      <c r="T97" s="48">
        <f t="shared" si="10"/>
        <v>5425</v>
      </c>
      <c r="U97" s="48">
        <f t="shared" si="11"/>
        <v>125932</v>
      </c>
      <c r="V97" s="50">
        <f t="shared" si="12"/>
        <v>4.1299664273696871E-2</v>
      </c>
    </row>
    <row r="98" spans="1:22" ht="13.2" x14ac:dyDescent="0.25">
      <c r="A98" s="48">
        <f t="shared" si="60"/>
        <v>96</v>
      </c>
      <c r="B98" s="49">
        <v>44292</v>
      </c>
      <c r="C98" s="48">
        <v>3369</v>
      </c>
      <c r="D98" s="48">
        <v>49475</v>
      </c>
      <c r="E98" s="48">
        <f t="shared" si="0"/>
        <v>52844</v>
      </c>
      <c r="F98" s="50">
        <f t="shared" si="1"/>
        <v>6.3753690106729238E-2</v>
      </c>
      <c r="G98" s="48">
        <v>2089</v>
      </c>
      <c r="H98" s="48">
        <v>79781</v>
      </c>
      <c r="I98" s="48">
        <f t="shared" si="71"/>
        <v>81870</v>
      </c>
      <c r="J98" s="59">
        <f t="shared" si="72"/>
        <v>2.5516062049590813E-2</v>
      </c>
      <c r="K98" s="48">
        <v>42</v>
      </c>
      <c r="L98" s="48">
        <v>974</v>
      </c>
      <c r="M98" s="52">
        <f t="shared" si="4"/>
        <v>1016</v>
      </c>
      <c r="N98" s="50">
        <f t="shared" si="5"/>
        <v>4.1338582677165357E-2</v>
      </c>
      <c r="O98" s="54">
        <f t="shared" ref="O98:P98" si="110">S98-S97</f>
        <v>4373</v>
      </c>
      <c r="P98" s="54">
        <f t="shared" si="110"/>
        <v>75</v>
      </c>
      <c r="Q98" s="54">
        <f t="shared" si="7"/>
        <v>4298</v>
      </c>
      <c r="R98" s="50">
        <f t="shared" si="8"/>
        <v>1.7150697461696774E-2</v>
      </c>
      <c r="S98" s="52">
        <f t="shared" si="9"/>
        <v>135730</v>
      </c>
      <c r="T98" s="48">
        <f t="shared" si="10"/>
        <v>5500</v>
      </c>
      <c r="U98" s="48">
        <f t="shared" si="11"/>
        <v>130230</v>
      </c>
      <c r="V98" s="50">
        <f t="shared" si="12"/>
        <v>4.0521623811979664E-2</v>
      </c>
    </row>
    <row r="99" spans="1:22" ht="13.2" x14ac:dyDescent="0.25">
      <c r="A99" s="48">
        <f t="shared" si="60"/>
        <v>97</v>
      </c>
      <c r="B99" s="49">
        <v>44293</v>
      </c>
      <c r="C99" s="48">
        <v>3387</v>
      </c>
      <c r="D99" s="48">
        <v>49908</v>
      </c>
      <c r="E99" s="48">
        <f t="shared" si="0"/>
        <v>53295</v>
      </c>
      <c r="F99" s="50">
        <f t="shared" si="1"/>
        <v>6.355192794821278E-2</v>
      </c>
      <c r="G99" s="48">
        <v>2145</v>
      </c>
      <c r="H99" s="48">
        <v>82939</v>
      </c>
      <c r="I99" s="48">
        <f t="shared" si="71"/>
        <v>85084</v>
      </c>
      <c r="J99" s="59">
        <f t="shared" si="72"/>
        <v>2.5210380330026799E-2</v>
      </c>
      <c r="K99" s="48">
        <v>42</v>
      </c>
      <c r="L99" s="48">
        <v>974</v>
      </c>
      <c r="M99" s="52">
        <f t="shared" si="4"/>
        <v>1016</v>
      </c>
      <c r="N99" s="50">
        <f t="shared" si="5"/>
        <v>4.1338582677165357E-2</v>
      </c>
      <c r="O99" s="54">
        <f t="shared" ref="O99:P99" si="111">S99-S98</f>
        <v>3665</v>
      </c>
      <c r="P99" s="54">
        <f t="shared" si="111"/>
        <v>74</v>
      </c>
      <c r="Q99" s="54">
        <f t="shared" si="7"/>
        <v>3591</v>
      </c>
      <c r="R99" s="50">
        <f t="shared" si="8"/>
        <v>2.0190995907230558E-2</v>
      </c>
      <c r="S99" s="52">
        <f t="shared" si="9"/>
        <v>139395</v>
      </c>
      <c r="T99" s="48">
        <f t="shared" si="10"/>
        <v>5574</v>
      </c>
      <c r="U99" s="48">
        <f t="shared" si="11"/>
        <v>133821</v>
      </c>
      <c r="V99" s="50">
        <f t="shared" si="12"/>
        <v>3.9987087054772406E-2</v>
      </c>
    </row>
    <row r="100" spans="1:22" ht="13.2" x14ac:dyDescent="0.25">
      <c r="A100" s="48">
        <f t="shared" si="60"/>
        <v>98</v>
      </c>
      <c r="B100" s="49">
        <v>44294</v>
      </c>
      <c r="C100" s="48">
        <v>3410</v>
      </c>
      <c r="D100" s="48">
        <v>50411</v>
      </c>
      <c r="E100" s="48">
        <f t="shared" si="0"/>
        <v>53821</v>
      </c>
      <c r="F100" s="50">
        <f t="shared" si="1"/>
        <v>6.3358168744542087E-2</v>
      </c>
      <c r="G100" s="48">
        <v>2218</v>
      </c>
      <c r="H100" s="48">
        <v>86646</v>
      </c>
      <c r="I100" s="48">
        <f t="shared" si="71"/>
        <v>88864</v>
      </c>
      <c r="J100" s="59">
        <f t="shared" si="72"/>
        <v>2.495948865682391E-2</v>
      </c>
      <c r="K100" s="48">
        <v>42</v>
      </c>
      <c r="L100" s="48">
        <v>974</v>
      </c>
      <c r="M100" s="52">
        <f t="shared" si="4"/>
        <v>1016</v>
      </c>
      <c r="N100" s="50">
        <f t="shared" si="5"/>
        <v>4.1338582677165357E-2</v>
      </c>
      <c r="O100" s="54">
        <f t="shared" ref="O100:P100" si="112">S100-S99</f>
        <v>4306</v>
      </c>
      <c r="P100" s="54">
        <f t="shared" si="112"/>
        <v>96</v>
      </c>
      <c r="Q100" s="54">
        <f t="shared" si="7"/>
        <v>4210</v>
      </c>
      <c r="R100" s="50">
        <f t="shared" si="8"/>
        <v>2.2294472828611241E-2</v>
      </c>
      <c r="S100" s="52">
        <f t="shared" si="9"/>
        <v>143701</v>
      </c>
      <c r="T100" s="48">
        <f t="shared" si="10"/>
        <v>5670</v>
      </c>
      <c r="U100" s="48">
        <f t="shared" si="11"/>
        <v>138031</v>
      </c>
      <c r="V100" s="50">
        <f t="shared" si="12"/>
        <v>3.9456927926736766E-2</v>
      </c>
    </row>
    <row r="101" spans="1:22" ht="13.2" x14ac:dyDescent="0.25">
      <c r="A101" s="48">
        <f t="shared" si="60"/>
        <v>99</v>
      </c>
      <c r="B101" s="49">
        <v>44295</v>
      </c>
      <c r="C101" s="48">
        <v>3431</v>
      </c>
      <c r="D101" s="48">
        <v>50905</v>
      </c>
      <c r="E101" s="48">
        <f t="shared" si="0"/>
        <v>54336</v>
      </c>
      <c r="F101" s="50">
        <f t="shared" si="1"/>
        <v>6.3144140164899887E-2</v>
      </c>
      <c r="G101" s="48">
        <v>2301</v>
      </c>
      <c r="H101" s="48">
        <v>90667</v>
      </c>
      <c r="I101" s="48">
        <f t="shared" si="71"/>
        <v>92968</v>
      </c>
      <c r="J101" s="59">
        <f t="shared" si="72"/>
        <v>2.47504517683504E-2</v>
      </c>
      <c r="K101" s="48">
        <v>42</v>
      </c>
      <c r="L101" s="48">
        <v>974</v>
      </c>
      <c r="M101" s="52">
        <f t="shared" si="4"/>
        <v>1016</v>
      </c>
      <c r="N101" s="50">
        <f t="shared" si="5"/>
        <v>4.1338582677165357E-2</v>
      </c>
      <c r="O101" s="54">
        <f t="shared" ref="O101:P101" si="113">S101-S100</f>
        <v>4619</v>
      </c>
      <c r="P101" s="54">
        <f t="shared" si="113"/>
        <v>104</v>
      </c>
      <c r="Q101" s="54">
        <f t="shared" si="7"/>
        <v>4515</v>
      </c>
      <c r="R101" s="50">
        <f t="shared" si="8"/>
        <v>2.2515696038103484E-2</v>
      </c>
      <c r="S101" s="52">
        <f t="shared" si="9"/>
        <v>148320</v>
      </c>
      <c r="T101" s="48">
        <f t="shared" si="10"/>
        <v>5774</v>
      </c>
      <c r="U101" s="48">
        <f t="shared" si="11"/>
        <v>142546</v>
      </c>
      <c r="V101" s="50">
        <f t="shared" si="12"/>
        <v>3.8929341963322546E-2</v>
      </c>
    </row>
    <row r="102" spans="1:22" ht="13.2" x14ac:dyDescent="0.25">
      <c r="A102" s="48">
        <f t="shared" si="60"/>
        <v>100</v>
      </c>
      <c r="B102" s="49">
        <v>44296</v>
      </c>
      <c r="C102" s="48">
        <v>3451</v>
      </c>
      <c r="D102" s="48">
        <v>51413</v>
      </c>
      <c r="E102" s="48">
        <f t="shared" si="0"/>
        <v>54864</v>
      </c>
      <c r="F102" s="50">
        <f t="shared" si="1"/>
        <v>6.2900991542723828E-2</v>
      </c>
      <c r="G102" s="48">
        <v>2346</v>
      </c>
      <c r="H102" s="48">
        <v>94175</v>
      </c>
      <c r="I102" s="48">
        <f t="shared" si="71"/>
        <v>96521</v>
      </c>
      <c r="J102" s="59">
        <f t="shared" si="72"/>
        <v>2.4305591529304504E-2</v>
      </c>
      <c r="K102" s="48">
        <v>42</v>
      </c>
      <c r="L102" s="48">
        <v>974</v>
      </c>
      <c r="M102" s="52">
        <f t="shared" si="4"/>
        <v>1016</v>
      </c>
      <c r="N102" s="50">
        <f t="shared" si="5"/>
        <v>4.1338582677165357E-2</v>
      </c>
      <c r="O102" s="54">
        <f t="shared" ref="O102:P102" si="114">S102-S101</f>
        <v>4081</v>
      </c>
      <c r="P102" s="54">
        <f t="shared" si="114"/>
        <v>65</v>
      </c>
      <c r="Q102" s="54">
        <f t="shared" si="7"/>
        <v>4016</v>
      </c>
      <c r="R102" s="50">
        <f t="shared" si="8"/>
        <v>1.5927468757657437E-2</v>
      </c>
      <c r="S102" s="52">
        <f t="shared" si="9"/>
        <v>152401</v>
      </c>
      <c r="T102" s="48">
        <f t="shared" si="10"/>
        <v>5839</v>
      </c>
      <c r="U102" s="48">
        <f t="shared" si="11"/>
        <v>146562</v>
      </c>
      <c r="V102" s="50">
        <f t="shared" si="12"/>
        <v>3.8313396893721173E-2</v>
      </c>
    </row>
    <row r="103" spans="1:22" ht="13.2" x14ac:dyDescent="0.25">
      <c r="A103" s="48">
        <f t="shared" si="60"/>
        <v>101</v>
      </c>
      <c r="B103" s="49">
        <v>44297</v>
      </c>
      <c r="C103" s="48">
        <v>3474</v>
      </c>
      <c r="D103" s="48">
        <v>52050</v>
      </c>
      <c r="E103" s="48">
        <f t="shared" si="0"/>
        <v>55524</v>
      </c>
      <c r="F103" s="50">
        <f t="shared" si="1"/>
        <v>6.2567538361789493E-2</v>
      </c>
      <c r="G103" s="48">
        <v>2382</v>
      </c>
      <c r="H103" s="48">
        <v>96029</v>
      </c>
      <c r="I103" s="48">
        <f t="shared" si="71"/>
        <v>98411</v>
      </c>
      <c r="J103" s="59">
        <f t="shared" si="72"/>
        <v>2.4204611273130037E-2</v>
      </c>
      <c r="K103" s="48">
        <v>42</v>
      </c>
      <c r="L103" s="48">
        <v>974</v>
      </c>
      <c r="M103" s="52">
        <f t="shared" si="4"/>
        <v>1016</v>
      </c>
      <c r="N103" s="50">
        <f t="shared" si="5"/>
        <v>4.1338582677165357E-2</v>
      </c>
      <c r="O103" s="54">
        <f t="shared" ref="O103:P103" si="115">S103-S102</f>
        <v>2550</v>
      </c>
      <c r="P103" s="54">
        <f t="shared" si="115"/>
        <v>59</v>
      </c>
      <c r="Q103" s="54">
        <f t="shared" si="7"/>
        <v>2491</v>
      </c>
      <c r="R103" s="50">
        <f t="shared" si="8"/>
        <v>2.3137254901960783E-2</v>
      </c>
      <c r="S103" s="52">
        <f t="shared" si="9"/>
        <v>154951</v>
      </c>
      <c r="T103" s="48">
        <f t="shared" si="10"/>
        <v>5898</v>
      </c>
      <c r="U103" s="48">
        <f t="shared" si="11"/>
        <v>149053</v>
      </c>
      <c r="V103" s="50">
        <f t="shared" si="12"/>
        <v>3.806364592677685E-2</v>
      </c>
    </row>
    <row r="104" spans="1:22" ht="13.2" x14ac:dyDescent="0.25">
      <c r="A104" s="48">
        <f t="shared" si="60"/>
        <v>102</v>
      </c>
      <c r="B104" s="49">
        <v>44298</v>
      </c>
      <c r="C104" s="48">
        <v>3498</v>
      </c>
      <c r="D104" s="48">
        <v>52247</v>
      </c>
      <c r="E104" s="48">
        <f t="shared" si="0"/>
        <v>55745</v>
      </c>
      <c r="F104" s="50">
        <f t="shared" si="1"/>
        <v>6.2750022423535737E-2</v>
      </c>
      <c r="G104" s="48">
        <v>2407</v>
      </c>
      <c r="H104" s="48">
        <v>97594</v>
      </c>
      <c r="I104" s="48">
        <f t="shared" si="71"/>
        <v>100001</v>
      </c>
      <c r="J104" s="59">
        <f t="shared" si="72"/>
        <v>2.4069759302406978E-2</v>
      </c>
      <c r="K104" s="48">
        <v>42</v>
      </c>
      <c r="L104" s="48">
        <v>974</v>
      </c>
      <c r="M104" s="52">
        <f t="shared" si="4"/>
        <v>1016</v>
      </c>
      <c r="N104" s="50">
        <f t="shared" si="5"/>
        <v>4.1338582677165357E-2</v>
      </c>
      <c r="O104" s="54">
        <f t="shared" ref="O104:P104" si="116">S104-S103</f>
        <v>1811</v>
      </c>
      <c r="P104" s="54">
        <f t="shared" si="116"/>
        <v>49</v>
      </c>
      <c r="Q104" s="54">
        <f t="shared" si="7"/>
        <v>1762</v>
      </c>
      <c r="R104" s="50">
        <f t="shared" si="8"/>
        <v>2.7056874654886803E-2</v>
      </c>
      <c r="S104" s="52">
        <f t="shared" si="9"/>
        <v>156762</v>
      </c>
      <c r="T104" s="48">
        <f t="shared" si="10"/>
        <v>5947</v>
      </c>
      <c r="U104" s="48">
        <f t="shared" si="11"/>
        <v>150815</v>
      </c>
      <c r="V104" s="50">
        <f t="shared" si="12"/>
        <v>3.793648971051658E-2</v>
      </c>
    </row>
    <row r="105" spans="1:22" ht="13.2" x14ac:dyDescent="0.25">
      <c r="A105" s="48">
        <f t="shared" si="60"/>
        <v>103</v>
      </c>
      <c r="B105" s="49">
        <v>44299</v>
      </c>
      <c r="C105" s="48">
        <v>3499</v>
      </c>
      <c r="D105" s="48">
        <v>52558</v>
      </c>
      <c r="E105" s="48">
        <f t="shared" si="0"/>
        <v>56057</v>
      </c>
      <c r="F105" s="50">
        <f t="shared" si="1"/>
        <v>6.2418609629484277E-2</v>
      </c>
      <c r="G105" s="48">
        <v>2472</v>
      </c>
      <c r="H105" s="48">
        <v>101106</v>
      </c>
      <c r="I105" s="48">
        <f t="shared" si="71"/>
        <v>103578</v>
      </c>
      <c r="J105" s="59">
        <f t="shared" si="72"/>
        <v>2.3866071945779992E-2</v>
      </c>
      <c r="K105" s="48">
        <v>42</v>
      </c>
      <c r="L105" s="48">
        <v>974</v>
      </c>
      <c r="M105" s="52">
        <f t="shared" si="4"/>
        <v>1016</v>
      </c>
      <c r="N105" s="50">
        <f t="shared" si="5"/>
        <v>4.1338582677165357E-2</v>
      </c>
      <c r="O105" s="54">
        <f t="shared" ref="O105:P105" si="117">S105-S104</f>
        <v>3889</v>
      </c>
      <c r="P105" s="54">
        <f t="shared" si="117"/>
        <v>66</v>
      </c>
      <c r="Q105" s="54">
        <f t="shared" si="7"/>
        <v>3823</v>
      </c>
      <c r="R105" s="50">
        <f t="shared" si="8"/>
        <v>1.6970943687323218E-2</v>
      </c>
      <c r="S105" s="52">
        <f t="shared" si="9"/>
        <v>160651</v>
      </c>
      <c r="T105" s="48">
        <f t="shared" si="10"/>
        <v>6013</v>
      </c>
      <c r="U105" s="48">
        <f t="shared" si="11"/>
        <v>154638</v>
      </c>
      <c r="V105" s="50">
        <f t="shared" si="12"/>
        <v>3.742896091527597E-2</v>
      </c>
    </row>
    <row r="106" spans="1:22" ht="13.2" x14ac:dyDescent="0.25">
      <c r="A106" s="48">
        <f t="shared" si="60"/>
        <v>104</v>
      </c>
      <c r="B106" s="49">
        <v>44300</v>
      </c>
      <c r="C106" s="48">
        <v>3524</v>
      </c>
      <c r="D106" s="48">
        <v>53336</v>
      </c>
      <c r="E106" s="48">
        <f t="shared" si="0"/>
        <v>56860</v>
      </c>
      <c r="F106" s="50">
        <f t="shared" si="1"/>
        <v>6.1976785086176572E-2</v>
      </c>
      <c r="G106" s="48">
        <v>2533</v>
      </c>
      <c r="H106" s="48">
        <v>104284</v>
      </c>
      <c r="I106" s="48">
        <f t="shared" si="71"/>
        <v>106817</v>
      </c>
      <c r="J106" s="59">
        <f t="shared" si="72"/>
        <v>2.3713453850978776E-2</v>
      </c>
      <c r="K106" s="48">
        <v>42</v>
      </c>
      <c r="L106" s="48">
        <v>974</v>
      </c>
      <c r="M106" s="52">
        <f t="shared" si="4"/>
        <v>1016</v>
      </c>
      <c r="N106" s="50">
        <f t="shared" si="5"/>
        <v>4.1338582677165357E-2</v>
      </c>
      <c r="O106" s="54">
        <f t="shared" ref="O106:P106" si="118">S106-S105</f>
        <v>4042</v>
      </c>
      <c r="P106" s="54">
        <f t="shared" si="118"/>
        <v>86</v>
      </c>
      <c r="Q106" s="54">
        <f t="shared" si="7"/>
        <v>3956</v>
      </c>
      <c r="R106" s="50">
        <f t="shared" si="8"/>
        <v>2.1276595744680851E-2</v>
      </c>
      <c r="S106" s="52">
        <f t="shared" si="9"/>
        <v>164693</v>
      </c>
      <c r="T106" s="48">
        <f t="shared" si="10"/>
        <v>6099</v>
      </c>
      <c r="U106" s="48">
        <f t="shared" si="11"/>
        <v>158594</v>
      </c>
      <c r="V106" s="50">
        <f t="shared" si="12"/>
        <v>3.7032539330754802E-2</v>
      </c>
    </row>
    <row r="107" spans="1:22" ht="13.2" x14ac:dyDescent="0.25">
      <c r="A107" s="48">
        <f t="shared" si="60"/>
        <v>105</v>
      </c>
      <c r="B107" s="49">
        <v>44301</v>
      </c>
      <c r="C107" s="48">
        <v>3538</v>
      </c>
      <c r="D107" s="48">
        <v>54047</v>
      </c>
      <c r="E107" s="48">
        <f t="shared" si="0"/>
        <v>57585</v>
      </c>
      <c r="F107" s="50">
        <f t="shared" si="1"/>
        <v>6.143961100981158E-2</v>
      </c>
      <c r="G107" s="48">
        <v>2585</v>
      </c>
      <c r="H107" s="48">
        <v>106768</v>
      </c>
      <c r="I107" s="48">
        <f t="shared" si="71"/>
        <v>109353</v>
      </c>
      <c r="J107" s="59">
        <f t="shared" si="72"/>
        <v>2.363904053843973E-2</v>
      </c>
      <c r="K107" s="48">
        <v>42</v>
      </c>
      <c r="L107" s="48">
        <v>974</v>
      </c>
      <c r="M107" s="52">
        <f t="shared" si="4"/>
        <v>1016</v>
      </c>
      <c r="N107" s="50">
        <f t="shared" si="5"/>
        <v>4.1338582677165357E-2</v>
      </c>
      <c r="O107" s="54">
        <f t="shared" ref="O107:P107" si="119">S107-S106</f>
        <v>3261</v>
      </c>
      <c r="P107" s="54">
        <f t="shared" si="119"/>
        <v>66</v>
      </c>
      <c r="Q107" s="54">
        <f t="shared" si="7"/>
        <v>3195</v>
      </c>
      <c r="R107" s="50">
        <f t="shared" si="8"/>
        <v>2.0239190432382703E-2</v>
      </c>
      <c r="S107" s="52">
        <f t="shared" si="9"/>
        <v>167954</v>
      </c>
      <c r="T107" s="48">
        <f t="shared" si="10"/>
        <v>6165</v>
      </c>
      <c r="U107" s="48">
        <f t="shared" si="11"/>
        <v>161789</v>
      </c>
      <c r="V107" s="50">
        <f t="shared" si="12"/>
        <v>3.670647915500673E-2</v>
      </c>
    </row>
    <row r="108" spans="1:22" ht="13.2" x14ac:dyDescent="0.25">
      <c r="A108" s="48">
        <f t="shared" si="60"/>
        <v>106</v>
      </c>
      <c r="B108" s="49">
        <v>44302</v>
      </c>
      <c r="C108" s="48">
        <v>3554</v>
      </c>
      <c r="D108" s="48">
        <v>54754</v>
      </c>
      <c r="E108" s="48">
        <f t="shared" si="0"/>
        <v>58308</v>
      </c>
      <c r="F108" s="50">
        <f t="shared" si="1"/>
        <v>6.0952184948892089E-2</v>
      </c>
      <c r="G108" s="48">
        <v>2637</v>
      </c>
      <c r="H108" s="48">
        <v>110575</v>
      </c>
      <c r="I108" s="48">
        <f t="shared" si="71"/>
        <v>113212</v>
      </c>
      <c r="J108" s="59">
        <f t="shared" si="72"/>
        <v>2.3292583825036215E-2</v>
      </c>
      <c r="K108" s="48">
        <v>42</v>
      </c>
      <c r="L108" s="48">
        <v>974</v>
      </c>
      <c r="M108" s="52">
        <f t="shared" si="4"/>
        <v>1016</v>
      </c>
      <c r="N108" s="50">
        <f t="shared" si="5"/>
        <v>4.1338582677165357E-2</v>
      </c>
      <c r="O108" s="54">
        <f t="shared" ref="O108:P108" si="120">S108-S107</f>
        <v>4582</v>
      </c>
      <c r="P108" s="54">
        <f t="shared" si="120"/>
        <v>68</v>
      </c>
      <c r="Q108" s="54">
        <f t="shared" si="7"/>
        <v>4514</v>
      </c>
      <c r="R108" s="50">
        <f t="shared" si="8"/>
        <v>1.4840680925360105E-2</v>
      </c>
      <c r="S108" s="52">
        <f t="shared" si="9"/>
        <v>172536</v>
      </c>
      <c r="T108" s="48">
        <f t="shared" si="10"/>
        <v>6233</v>
      </c>
      <c r="U108" s="48">
        <f t="shared" si="11"/>
        <v>166303</v>
      </c>
      <c r="V108" s="50">
        <f t="shared" si="12"/>
        <v>3.6125794037186444E-2</v>
      </c>
    </row>
    <row r="109" spans="1:22" ht="13.2" x14ac:dyDescent="0.25">
      <c r="A109" s="48">
        <f t="shared" si="60"/>
        <v>107</v>
      </c>
      <c r="B109" s="49">
        <v>44303</v>
      </c>
      <c r="C109" s="48">
        <v>3570</v>
      </c>
      <c r="D109" s="48">
        <v>55572</v>
      </c>
      <c r="E109" s="48">
        <f t="shared" si="0"/>
        <v>59142</v>
      </c>
      <c r="F109" s="50">
        <f t="shared" si="1"/>
        <v>6.0363193669473472E-2</v>
      </c>
      <c r="G109" s="48">
        <v>2694</v>
      </c>
      <c r="H109" s="48">
        <v>113134</v>
      </c>
      <c r="I109" s="48">
        <f t="shared" si="71"/>
        <v>115828</v>
      </c>
      <c r="J109" s="59">
        <f t="shared" si="72"/>
        <v>2.3258624857547396E-2</v>
      </c>
      <c r="K109" s="48">
        <v>42</v>
      </c>
      <c r="L109" s="48">
        <v>974</v>
      </c>
      <c r="M109" s="52">
        <f t="shared" si="4"/>
        <v>1016</v>
      </c>
      <c r="N109" s="50">
        <f t="shared" si="5"/>
        <v>4.1338582677165357E-2</v>
      </c>
      <c r="O109" s="54">
        <f t="shared" ref="O109:P109" si="121">S109-S108</f>
        <v>3450</v>
      </c>
      <c r="P109" s="54">
        <f t="shared" si="121"/>
        <v>73</v>
      </c>
      <c r="Q109" s="54">
        <f t="shared" si="7"/>
        <v>3377</v>
      </c>
      <c r="R109" s="50">
        <f t="shared" si="8"/>
        <v>2.1159420289855072E-2</v>
      </c>
      <c r="S109" s="52">
        <f t="shared" si="9"/>
        <v>175986</v>
      </c>
      <c r="T109" s="48">
        <f t="shared" si="10"/>
        <v>6306</v>
      </c>
      <c r="U109" s="48">
        <f t="shared" si="11"/>
        <v>169680</v>
      </c>
      <c r="V109" s="50">
        <f t="shared" si="12"/>
        <v>3.5832395758753535E-2</v>
      </c>
    </row>
    <row r="110" spans="1:22" ht="13.2" x14ac:dyDescent="0.25">
      <c r="A110" s="48">
        <f t="shared" si="60"/>
        <v>108</v>
      </c>
      <c r="B110" s="49">
        <v>44304</v>
      </c>
      <c r="C110" s="48">
        <v>3596</v>
      </c>
      <c r="D110" s="48">
        <v>56164</v>
      </c>
      <c r="E110" s="48">
        <f t="shared" si="0"/>
        <v>59760</v>
      </c>
      <c r="F110" s="50">
        <f t="shared" si="1"/>
        <v>6.0174029451137888E-2</v>
      </c>
      <c r="G110" s="48">
        <v>2756</v>
      </c>
      <c r="H110" s="48">
        <v>115455</v>
      </c>
      <c r="I110" s="48">
        <f t="shared" si="71"/>
        <v>118211</v>
      </c>
      <c r="J110" s="59">
        <f t="shared" si="72"/>
        <v>2.3314243175339013E-2</v>
      </c>
      <c r="K110" s="48">
        <v>42</v>
      </c>
      <c r="L110" s="48">
        <v>974</v>
      </c>
      <c r="M110" s="52">
        <f t="shared" si="4"/>
        <v>1016</v>
      </c>
      <c r="N110" s="50">
        <f t="shared" si="5"/>
        <v>4.1338582677165357E-2</v>
      </c>
      <c r="O110" s="54">
        <f t="shared" ref="O110:P110" si="122">S110-S109</f>
        <v>3001</v>
      </c>
      <c r="P110" s="54">
        <f t="shared" si="122"/>
        <v>88</v>
      </c>
      <c r="Q110" s="54">
        <f t="shared" si="7"/>
        <v>2913</v>
      </c>
      <c r="R110" s="50">
        <f t="shared" si="8"/>
        <v>2.9323558813728758E-2</v>
      </c>
      <c r="S110" s="52">
        <f t="shared" si="9"/>
        <v>178987</v>
      </c>
      <c r="T110" s="48">
        <f t="shared" si="10"/>
        <v>6394</v>
      </c>
      <c r="U110" s="48">
        <f t="shared" si="11"/>
        <v>172593</v>
      </c>
      <c r="V110" s="50">
        <f t="shared" si="12"/>
        <v>3.5723264818115281E-2</v>
      </c>
    </row>
    <row r="111" spans="1:22" ht="13.2" x14ac:dyDescent="0.25">
      <c r="A111" s="48">
        <f t="shared" si="60"/>
        <v>109</v>
      </c>
      <c r="B111" s="49">
        <v>44305</v>
      </c>
      <c r="C111" s="48">
        <v>3604</v>
      </c>
      <c r="D111" s="48">
        <v>56605</v>
      </c>
      <c r="E111" s="48">
        <f t="shared" si="0"/>
        <v>60209</v>
      </c>
      <c r="F111" s="50">
        <f t="shared" si="1"/>
        <v>5.9858160740088692E-2</v>
      </c>
      <c r="G111" s="48">
        <v>2805</v>
      </c>
      <c r="H111" s="48">
        <v>117810</v>
      </c>
      <c r="I111" s="48">
        <f t="shared" si="71"/>
        <v>120615</v>
      </c>
      <c r="J111" s="59">
        <f t="shared" si="72"/>
        <v>2.3255813953488372E-2</v>
      </c>
      <c r="K111" s="48">
        <v>42</v>
      </c>
      <c r="L111" s="48">
        <v>974</v>
      </c>
      <c r="M111" s="52">
        <f t="shared" si="4"/>
        <v>1016</v>
      </c>
      <c r="N111" s="50">
        <f t="shared" si="5"/>
        <v>4.1338582677165357E-2</v>
      </c>
      <c r="O111" s="54">
        <f t="shared" ref="O111:P111" si="123">S111-S110</f>
        <v>2853</v>
      </c>
      <c r="P111" s="54">
        <f t="shared" si="123"/>
        <v>57</v>
      </c>
      <c r="Q111" s="54">
        <f t="shared" si="7"/>
        <v>2796</v>
      </c>
      <c r="R111" s="50">
        <f t="shared" si="8"/>
        <v>1.9978969505783387E-2</v>
      </c>
      <c r="S111" s="52">
        <f t="shared" si="9"/>
        <v>181840</v>
      </c>
      <c r="T111" s="48">
        <f t="shared" si="10"/>
        <v>6451</v>
      </c>
      <c r="U111" s="48">
        <f t="shared" si="11"/>
        <v>175389</v>
      </c>
      <c r="V111" s="50">
        <f t="shared" si="12"/>
        <v>3.5476242850857896E-2</v>
      </c>
    </row>
    <row r="112" spans="1:22" ht="13.2" x14ac:dyDescent="0.25">
      <c r="A112" s="48">
        <f t="shared" si="60"/>
        <v>110</v>
      </c>
      <c r="B112" s="49">
        <v>44306</v>
      </c>
      <c r="C112" s="48">
        <v>3613</v>
      </c>
      <c r="D112" s="48">
        <v>56918</v>
      </c>
      <c r="E112" s="48">
        <f t="shared" si="0"/>
        <v>60531</v>
      </c>
      <c r="F112" s="50">
        <f t="shared" si="1"/>
        <v>5.9688424113264277E-2</v>
      </c>
      <c r="G112" s="48">
        <v>2882</v>
      </c>
      <c r="H112" s="48">
        <v>121337</v>
      </c>
      <c r="I112" s="48">
        <f t="shared" si="71"/>
        <v>124219</v>
      </c>
      <c r="J112" s="59">
        <f t="shared" si="72"/>
        <v>2.3200959595553017E-2</v>
      </c>
      <c r="K112" s="48">
        <v>42</v>
      </c>
      <c r="L112" s="48">
        <v>974</v>
      </c>
      <c r="M112" s="52">
        <f t="shared" si="4"/>
        <v>1016</v>
      </c>
      <c r="N112" s="50">
        <f t="shared" si="5"/>
        <v>4.1338582677165357E-2</v>
      </c>
      <c r="O112" s="54">
        <f t="shared" ref="O112:P112" si="124">S112-S111</f>
        <v>3926</v>
      </c>
      <c r="P112" s="54">
        <f t="shared" si="124"/>
        <v>86</v>
      </c>
      <c r="Q112" s="54">
        <f t="shared" si="7"/>
        <v>3840</v>
      </c>
      <c r="R112" s="50">
        <f t="shared" si="8"/>
        <v>2.1905247070809986E-2</v>
      </c>
      <c r="S112" s="52">
        <f t="shared" si="9"/>
        <v>185766</v>
      </c>
      <c r="T112" s="48">
        <f t="shared" si="10"/>
        <v>6537</v>
      </c>
      <c r="U112" s="48">
        <f t="shared" si="11"/>
        <v>179229</v>
      </c>
      <c r="V112" s="50">
        <f t="shared" si="12"/>
        <v>3.5189431865895807E-2</v>
      </c>
    </row>
    <row r="113" spans="1:22" ht="13.2" x14ac:dyDescent="0.25">
      <c r="A113" s="48">
        <f t="shared" si="60"/>
        <v>111</v>
      </c>
      <c r="B113" s="49">
        <v>44307</v>
      </c>
      <c r="C113" s="48">
        <v>3635</v>
      </c>
      <c r="D113" s="48">
        <v>57331</v>
      </c>
      <c r="E113" s="48">
        <f t="shared" si="0"/>
        <v>60966</v>
      </c>
      <c r="F113" s="50">
        <f t="shared" si="1"/>
        <v>5.9623396647311616E-2</v>
      </c>
      <c r="G113" s="48">
        <v>2978</v>
      </c>
      <c r="H113" s="48">
        <v>126046</v>
      </c>
      <c r="I113" s="48">
        <f t="shared" si="71"/>
        <v>129024</v>
      </c>
      <c r="J113" s="59">
        <f t="shared" si="72"/>
        <v>2.3080977182539684E-2</v>
      </c>
      <c r="K113" s="48">
        <v>42</v>
      </c>
      <c r="L113" s="48">
        <v>974</v>
      </c>
      <c r="M113" s="52">
        <f t="shared" si="4"/>
        <v>1016</v>
      </c>
      <c r="N113" s="50">
        <f t="shared" si="5"/>
        <v>4.1338582677165357E-2</v>
      </c>
      <c r="O113" s="54">
        <f t="shared" ref="O113:P113" si="125">S113-S112</f>
        <v>5240</v>
      </c>
      <c r="P113" s="54">
        <f t="shared" si="125"/>
        <v>118</v>
      </c>
      <c r="Q113" s="54">
        <f t="shared" si="7"/>
        <v>5122</v>
      </c>
      <c r="R113" s="50">
        <f t="shared" si="8"/>
        <v>2.2519083969465649E-2</v>
      </c>
      <c r="S113" s="52">
        <f t="shared" si="9"/>
        <v>191006</v>
      </c>
      <c r="T113" s="48">
        <f t="shared" si="10"/>
        <v>6655</v>
      </c>
      <c r="U113" s="48">
        <f t="shared" si="11"/>
        <v>184351</v>
      </c>
      <c r="V113" s="50">
        <f t="shared" si="12"/>
        <v>3.4841837429190704E-2</v>
      </c>
    </row>
    <row r="114" spans="1:22" ht="13.2" x14ac:dyDescent="0.25">
      <c r="A114" s="48">
        <f t="shared" si="60"/>
        <v>112</v>
      </c>
      <c r="B114" s="49">
        <v>44308</v>
      </c>
      <c r="C114" s="48">
        <v>3659</v>
      </c>
      <c r="D114" s="48">
        <v>57789</v>
      </c>
      <c r="E114" s="48">
        <f t="shared" si="0"/>
        <v>61448</v>
      </c>
      <c r="F114" s="50">
        <f t="shared" si="1"/>
        <v>5.9546283036063012E-2</v>
      </c>
      <c r="G114" s="48">
        <v>3042</v>
      </c>
      <c r="H114" s="48">
        <v>129868</v>
      </c>
      <c r="I114" s="48">
        <f t="shared" si="71"/>
        <v>132910</v>
      </c>
      <c r="J114" s="59">
        <f t="shared" si="72"/>
        <v>2.2887668347001729E-2</v>
      </c>
      <c r="K114" s="48">
        <v>42</v>
      </c>
      <c r="L114" s="48">
        <v>974</v>
      </c>
      <c r="M114" s="52">
        <f t="shared" si="4"/>
        <v>1016</v>
      </c>
      <c r="N114" s="50">
        <f t="shared" si="5"/>
        <v>4.1338582677165357E-2</v>
      </c>
      <c r="O114" s="54">
        <f t="shared" ref="O114:P114" si="126">S114-S113</f>
        <v>4368</v>
      </c>
      <c r="P114" s="54">
        <f t="shared" si="126"/>
        <v>88</v>
      </c>
      <c r="Q114" s="54">
        <f t="shared" si="7"/>
        <v>4280</v>
      </c>
      <c r="R114" s="50">
        <f t="shared" si="8"/>
        <v>2.0146520146520148E-2</v>
      </c>
      <c r="S114" s="52">
        <f t="shared" si="9"/>
        <v>195374</v>
      </c>
      <c r="T114" s="48">
        <f t="shared" si="10"/>
        <v>6743</v>
      </c>
      <c r="U114" s="48">
        <f t="shared" si="11"/>
        <v>188631</v>
      </c>
      <c r="V114" s="50">
        <f t="shared" si="12"/>
        <v>3.4513292454471933E-2</v>
      </c>
    </row>
    <row r="115" spans="1:22" ht="13.2" x14ac:dyDescent="0.25">
      <c r="A115" s="48">
        <f t="shared" si="60"/>
        <v>113</v>
      </c>
      <c r="B115" s="49">
        <v>44309</v>
      </c>
      <c r="C115" s="48">
        <v>3666</v>
      </c>
      <c r="D115" s="48">
        <v>58225</v>
      </c>
      <c r="E115" s="48">
        <f t="shared" si="0"/>
        <v>61891</v>
      </c>
      <c r="F115" s="50">
        <f t="shared" si="1"/>
        <v>5.923316798888368E-2</v>
      </c>
      <c r="G115" s="48">
        <v>3104</v>
      </c>
      <c r="H115" s="48">
        <v>133206</v>
      </c>
      <c r="I115" s="48">
        <f t="shared" si="71"/>
        <v>136310</v>
      </c>
      <c r="J115" s="59">
        <f t="shared" si="72"/>
        <v>2.2771623505245395E-2</v>
      </c>
      <c r="K115" s="48">
        <v>42</v>
      </c>
      <c r="L115" s="48">
        <v>974</v>
      </c>
      <c r="M115" s="52">
        <f t="shared" si="4"/>
        <v>1016</v>
      </c>
      <c r="N115" s="50">
        <f t="shared" si="5"/>
        <v>4.1338582677165357E-2</v>
      </c>
      <c r="O115" s="54">
        <f t="shared" ref="O115:P115" si="127">S115-S114</f>
        <v>3843</v>
      </c>
      <c r="P115" s="54">
        <f t="shared" si="127"/>
        <v>69</v>
      </c>
      <c r="Q115" s="54">
        <f t="shared" si="7"/>
        <v>3774</v>
      </c>
      <c r="R115" s="50">
        <f t="shared" si="8"/>
        <v>1.7954722872755659E-2</v>
      </c>
      <c r="S115" s="52">
        <f t="shared" si="9"/>
        <v>199217</v>
      </c>
      <c r="T115" s="48">
        <f t="shared" si="10"/>
        <v>6812</v>
      </c>
      <c r="U115" s="48">
        <f t="shared" si="11"/>
        <v>192405</v>
      </c>
      <c r="V115" s="50">
        <f t="shared" si="12"/>
        <v>3.419386899712374E-2</v>
      </c>
    </row>
    <row r="116" spans="1:22" ht="13.2" x14ac:dyDescent="0.25">
      <c r="A116" s="48">
        <f t="shared" si="60"/>
        <v>114</v>
      </c>
      <c r="B116" s="49">
        <v>44310</v>
      </c>
      <c r="C116" s="48">
        <v>3682</v>
      </c>
      <c r="D116" s="48">
        <v>58939</v>
      </c>
      <c r="E116" s="48">
        <f t="shared" si="0"/>
        <v>62621</v>
      </c>
      <c r="F116" s="50">
        <f t="shared" si="1"/>
        <v>5.8798166749173597E-2</v>
      </c>
      <c r="G116" s="48">
        <v>3195</v>
      </c>
      <c r="H116" s="48">
        <v>136901</v>
      </c>
      <c r="I116" s="48">
        <f t="shared" si="71"/>
        <v>140096</v>
      </c>
      <c r="J116" s="59">
        <f t="shared" si="72"/>
        <v>2.2805790315212425E-2</v>
      </c>
      <c r="K116" s="48">
        <v>42</v>
      </c>
      <c r="L116" s="48">
        <v>974</v>
      </c>
      <c r="M116" s="52">
        <f t="shared" si="4"/>
        <v>1016</v>
      </c>
      <c r="N116" s="50">
        <f t="shared" si="5"/>
        <v>4.1338582677165357E-2</v>
      </c>
      <c r="O116" s="54">
        <f t="shared" ref="O116:P116" si="128">S116-S115</f>
        <v>4516</v>
      </c>
      <c r="P116" s="54">
        <f t="shared" si="128"/>
        <v>107</v>
      </c>
      <c r="Q116" s="54">
        <f t="shared" si="7"/>
        <v>4409</v>
      </c>
      <c r="R116" s="50">
        <f t="shared" si="8"/>
        <v>2.3693534100974314E-2</v>
      </c>
      <c r="S116" s="52">
        <f t="shared" si="9"/>
        <v>203733</v>
      </c>
      <c r="T116" s="48">
        <f t="shared" si="10"/>
        <v>6919</v>
      </c>
      <c r="U116" s="48">
        <f t="shared" si="11"/>
        <v>196814</v>
      </c>
      <c r="V116" s="50">
        <f t="shared" si="12"/>
        <v>3.3961115774076858E-2</v>
      </c>
    </row>
    <row r="117" spans="1:22" ht="13.2" x14ac:dyDescent="0.25">
      <c r="A117" s="48">
        <f t="shared" si="60"/>
        <v>115</v>
      </c>
      <c r="B117" s="49">
        <v>44311</v>
      </c>
      <c r="C117" s="48">
        <v>3713</v>
      </c>
      <c r="D117" s="48">
        <v>59525</v>
      </c>
      <c r="E117" s="48">
        <f t="shared" si="0"/>
        <v>63238</v>
      </c>
      <c r="F117" s="50">
        <f t="shared" si="1"/>
        <v>5.8714696859483224E-2</v>
      </c>
      <c r="G117" s="48">
        <v>3230</v>
      </c>
      <c r="H117" s="48">
        <v>139133</v>
      </c>
      <c r="I117" s="48">
        <f t="shared" si="71"/>
        <v>142363</v>
      </c>
      <c r="J117" s="59">
        <f t="shared" si="72"/>
        <v>2.2688479450418998E-2</v>
      </c>
      <c r="K117" s="48">
        <v>42</v>
      </c>
      <c r="L117" s="48">
        <v>974</v>
      </c>
      <c r="M117" s="52">
        <f t="shared" si="4"/>
        <v>1016</v>
      </c>
      <c r="N117" s="50">
        <f t="shared" si="5"/>
        <v>4.1338582677165357E-2</v>
      </c>
      <c r="O117" s="54">
        <f t="shared" ref="O117:P117" si="129">S117-S116</f>
        <v>2884</v>
      </c>
      <c r="P117" s="54">
        <f t="shared" si="129"/>
        <v>66</v>
      </c>
      <c r="Q117" s="54">
        <f t="shared" si="7"/>
        <v>2818</v>
      </c>
      <c r="R117" s="50">
        <f t="shared" si="8"/>
        <v>2.2884882108183079E-2</v>
      </c>
      <c r="S117" s="52">
        <f t="shared" si="9"/>
        <v>206617</v>
      </c>
      <c r="T117" s="48">
        <f t="shared" si="10"/>
        <v>6985</v>
      </c>
      <c r="U117" s="48">
        <f t="shared" si="11"/>
        <v>199632</v>
      </c>
      <c r="V117" s="50">
        <f t="shared" si="12"/>
        <v>3.3806511564876074E-2</v>
      </c>
    </row>
    <row r="118" spans="1:22" ht="13.2" x14ac:dyDescent="0.25">
      <c r="A118" s="48">
        <f t="shared" si="60"/>
        <v>116</v>
      </c>
      <c r="B118" s="49">
        <v>44312</v>
      </c>
      <c r="C118" s="48">
        <v>3728</v>
      </c>
      <c r="D118" s="48">
        <v>59963</v>
      </c>
      <c r="E118" s="48">
        <f t="shared" si="0"/>
        <v>63691</v>
      </c>
      <c r="F118" s="50">
        <f t="shared" si="1"/>
        <v>5.8532602722519665E-2</v>
      </c>
      <c r="G118" s="48">
        <v>3260</v>
      </c>
      <c r="H118" s="48">
        <v>141133</v>
      </c>
      <c r="I118" s="48">
        <f t="shared" si="71"/>
        <v>144393</v>
      </c>
      <c r="J118" s="59">
        <f t="shared" si="72"/>
        <v>2.2577271751400691E-2</v>
      </c>
      <c r="K118" s="48">
        <v>42</v>
      </c>
      <c r="L118" s="48">
        <v>974</v>
      </c>
      <c r="M118" s="52">
        <f t="shared" si="4"/>
        <v>1016</v>
      </c>
      <c r="N118" s="50">
        <f t="shared" si="5"/>
        <v>4.1338582677165357E-2</v>
      </c>
      <c r="O118" s="54">
        <f t="shared" ref="O118:P118" si="130">S118-S117</f>
        <v>2483</v>
      </c>
      <c r="P118" s="54">
        <f t="shared" si="130"/>
        <v>45</v>
      </c>
      <c r="Q118" s="54">
        <f t="shared" si="7"/>
        <v>2438</v>
      </c>
      <c r="R118" s="50">
        <f t="shared" si="8"/>
        <v>1.8123238018525976E-2</v>
      </c>
      <c r="S118" s="52">
        <f t="shared" si="9"/>
        <v>209100</v>
      </c>
      <c r="T118" s="48">
        <f t="shared" si="10"/>
        <v>7030</v>
      </c>
      <c r="U118" s="48">
        <f t="shared" si="11"/>
        <v>202070</v>
      </c>
      <c r="V118" s="50">
        <f t="shared" si="12"/>
        <v>3.3620277379244383E-2</v>
      </c>
    </row>
    <row r="119" spans="1:22" ht="13.2" x14ac:dyDescent="0.25">
      <c r="A119" s="48">
        <f t="shared" si="60"/>
        <v>117</v>
      </c>
      <c r="B119" s="49">
        <v>44313</v>
      </c>
      <c r="C119" s="48">
        <v>3747</v>
      </c>
      <c r="D119" s="48">
        <v>60543</v>
      </c>
      <c r="E119" s="48">
        <f t="shared" si="0"/>
        <v>64290</v>
      </c>
      <c r="F119" s="50">
        <f t="shared" si="1"/>
        <v>5.8282781147923471E-2</v>
      </c>
      <c r="G119" s="48">
        <v>3326</v>
      </c>
      <c r="H119" s="48">
        <v>146265</v>
      </c>
      <c r="I119" s="48">
        <f t="shared" si="71"/>
        <v>149591</v>
      </c>
      <c r="J119" s="59">
        <f t="shared" si="72"/>
        <v>2.2233957925276254E-2</v>
      </c>
      <c r="K119" s="48">
        <v>42</v>
      </c>
      <c r="L119" s="48">
        <v>974</v>
      </c>
      <c r="M119" s="52">
        <f t="shared" si="4"/>
        <v>1016</v>
      </c>
      <c r="N119" s="50">
        <f t="shared" si="5"/>
        <v>4.1338582677165357E-2</v>
      </c>
      <c r="O119" s="54">
        <f t="shared" ref="O119:P119" si="131">S119-S118</f>
        <v>5797</v>
      </c>
      <c r="P119" s="54">
        <f t="shared" si="131"/>
        <v>85</v>
      </c>
      <c r="Q119" s="54">
        <f t="shared" si="7"/>
        <v>5712</v>
      </c>
      <c r="R119" s="50">
        <f t="shared" si="8"/>
        <v>1.466275659824047E-2</v>
      </c>
      <c r="S119" s="52">
        <f t="shared" si="9"/>
        <v>214897</v>
      </c>
      <c r="T119" s="48">
        <f t="shared" si="10"/>
        <v>7115</v>
      </c>
      <c r="U119" s="48">
        <f t="shared" si="11"/>
        <v>207782</v>
      </c>
      <c r="V119" s="50">
        <f t="shared" si="12"/>
        <v>3.3108884721517753E-2</v>
      </c>
    </row>
    <row r="120" spans="1:22" ht="13.2" x14ac:dyDescent="0.25">
      <c r="A120" s="48">
        <f t="shared" si="60"/>
        <v>118</v>
      </c>
      <c r="B120" s="49">
        <v>44314</v>
      </c>
      <c r="C120" s="48">
        <v>3763</v>
      </c>
      <c r="D120" s="48">
        <v>61329</v>
      </c>
      <c r="E120" s="48">
        <f t="shared" si="0"/>
        <v>65092</v>
      </c>
      <c r="F120" s="50">
        <f t="shared" si="1"/>
        <v>5.7810483623179497E-2</v>
      </c>
      <c r="G120" s="48">
        <v>3387</v>
      </c>
      <c r="H120" s="48">
        <v>150467</v>
      </c>
      <c r="I120" s="48">
        <f t="shared" si="71"/>
        <v>153854</v>
      </c>
      <c r="J120" s="59">
        <f t="shared" si="72"/>
        <v>2.2014377266759394E-2</v>
      </c>
      <c r="K120" s="48">
        <v>42</v>
      </c>
      <c r="L120" s="48">
        <v>974</v>
      </c>
      <c r="M120" s="52">
        <f t="shared" si="4"/>
        <v>1016</v>
      </c>
      <c r="N120" s="50">
        <f t="shared" si="5"/>
        <v>4.1338582677165357E-2</v>
      </c>
      <c r="O120" s="54">
        <f t="shared" ref="O120:P120" si="132">S120-S119</f>
        <v>5065</v>
      </c>
      <c r="P120" s="54">
        <f t="shared" si="132"/>
        <v>77</v>
      </c>
      <c r="Q120" s="54">
        <f t="shared" si="7"/>
        <v>4988</v>
      </c>
      <c r="R120" s="50">
        <f t="shared" si="8"/>
        <v>1.5202369200394866E-2</v>
      </c>
      <c r="S120" s="52">
        <f t="shared" si="9"/>
        <v>219962</v>
      </c>
      <c r="T120" s="48">
        <f t="shared" si="10"/>
        <v>7192</v>
      </c>
      <c r="U120" s="48">
        <f t="shared" si="11"/>
        <v>212770</v>
      </c>
      <c r="V120" s="50">
        <f t="shared" si="12"/>
        <v>3.2696556677971653E-2</v>
      </c>
    </row>
    <row r="121" spans="1:22" ht="13.2" x14ac:dyDescent="0.25">
      <c r="A121" s="48">
        <f t="shared" si="60"/>
        <v>119</v>
      </c>
      <c r="B121" s="49">
        <v>44315</v>
      </c>
      <c r="C121" s="48">
        <v>3789</v>
      </c>
      <c r="D121" s="48">
        <v>62183</v>
      </c>
      <c r="E121" s="48">
        <f t="shared" si="0"/>
        <v>65972</v>
      </c>
      <c r="F121" s="50">
        <f t="shared" si="1"/>
        <v>5.7433456617959136E-2</v>
      </c>
      <c r="G121" s="48">
        <v>3436</v>
      </c>
      <c r="H121" s="48">
        <v>154321</v>
      </c>
      <c r="I121" s="48">
        <f t="shared" si="71"/>
        <v>157757</v>
      </c>
      <c r="J121" s="59">
        <f t="shared" si="72"/>
        <v>2.1780333043858593E-2</v>
      </c>
      <c r="K121" s="48">
        <v>42</v>
      </c>
      <c r="L121" s="48">
        <v>974</v>
      </c>
      <c r="M121" s="52">
        <f t="shared" si="4"/>
        <v>1016</v>
      </c>
      <c r="N121" s="50">
        <f t="shared" si="5"/>
        <v>4.1338582677165357E-2</v>
      </c>
      <c r="O121" s="54">
        <f t="shared" ref="O121:P121" si="133">S121-S120</f>
        <v>4783</v>
      </c>
      <c r="P121" s="54">
        <f t="shared" si="133"/>
        <v>75</v>
      </c>
      <c r="Q121" s="54">
        <f t="shared" si="7"/>
        <v>4708</v>
      </c>
      <c r="R121" s="50">
        <f t="shared" si="8"/>
        <v>1.5680535228935814E-2</v>
      </c>
      <c r="S121" s="52">
        <f t="shared" si="9"/>
        <v>224745</v>
      </c>
      <c r="T121" s="48">
        <f t="shared" si="10"/>
        <v>7267</v>
      </c>
      <c r="U121" s="48">
        <f t="shared" si="11"/>
        <v>217478</v>
      </c>
      <c r="V121" s="50">
        <f t="shared" si="12"/>
        <v>3.23344234576965E-2</v>
      </c>
    </row>
    <row r="122" spans="1:22" ht="13.2" x14ac:dyDescent="0.25">
      <c r="A122" s="48">
        <f t="shared" si="60"/>
        <v>120</v>
      </c>
      <c r="B122" s="49">
        <v>44316</v>
      </c>
      <c r="C122" s="48">
        <v>3806</v>
      </c>
      <c r="D122" s="48">
        <v>62954</v>
      </c>
      <c r="E122" s="48">
        <f t="shared" si="0"/>
        <v>66760</v>
      </c>
      <c r="F122" s="50">
        <f t="shared" si="1"/>
        <v>5.7010185739964053E-2</v>
      </c>
      <c r="G122" s="48">
        <v>3495</v>
      </c>
      <c r="H122" s="48">
        <v>158231</v>
      </c>
      <c r="I122" s="48">
        <f t="shared" si="71"/>
        <v>161726</v>
      </c>
      <c r="J122" s="59">
        <f t="shared" si="72"/>
        <v>2.1610625378726982E-2</v>
      </c>
      <c r="K122" s="48">
        <v>42</v>
      </c>
      <c r="L122" s="48">
        <v>974</v>
      </c>
      <c r="M122" s="52">
        <f t="shared" si="4"/>
        <v>1016</v>
      </c>
      <c r="N122" s="50">
        <f t="shared" si="5"/>
        <v>4.1338582677165357E-2</v>
      </c>
      <c r="O122" s="54">
        <f t="shared" ref="O122:P122" si="134">S122-S121</f>
        <v>4757</v>
      </c>
      <c r="P122" s="54">
        <f t="shared" si="134"/>
        <v>76</v>
      </c>
      <c r="Q122" s="54">
        <f t="shared" si="7"/>
        <v>4681</v>
      </c>
      <c r="R122" s="50">
        <f t="shared" si="8"/>
        <v>1.5976455749421904E-2</v>
      </c>
      <c r="S122" s="52">
        <f t="shared" si="9"/>
        <v>229502</v>
      </c>
      <c r="T122" s="48">
        <f t="shared" si="10"/>
        <v>7343</v>
      </c>
      <c r="U122" s="48">
        <f t="shared" si="11"/>
        <v>222159</v>
      </c>
      <c r="V122" s="50">
        <f t="shared" si="12"/>
        <v>3.1995363874824621E-2</v>
      </c>
    </row>
    <row r="123" spans="1:22" ht="13.2" x14ac:dyDescent="0.25">
      <c r="A123" s="48">
        <f t="shared" si="60"/>
        <v>121</v>
      </c>
      <c r="B123" s="49">
        <v>44317</v>
      </c>
      <c r="C123" s="48">
        <v>3833</v>
      </c>
      <c r="D123" s="48">
        <v>63743</v>
      </c>
      <c r="E123" s="48">
        <f t="shared" si="0"/>
        <v>67576</v>
      </c>
      <c r="F123" s="50">
        <f t="shared" si="1"/>
        <v>5.6721321179116845E-2</v>
      </c>
      <c r="G123" s="48">
        <v>3542</v>
      </c>
      <c r="H123" s="48">
        <v>162513</v>
      </c>
      <c r="I123" s="48">
        <f t="shared" si="71"/>
        <v>166055</v>
      </c>
      <c r="J123" s="59">
        <f t="shared" si="72"/>
        <v>2.1330282135437053E-2</v>
      </c>
      <c r="K123" s="48">
        <v>42</v>
      </c>
      <c r="L123" s="48">
        <v>974</v>
      </c>
      <c r="M123" s="52">
        <f t="shared" si="4"/>
        <v>1016</v>
      </c>
      <c r="N123" s="50">
        <f t="shared" si="5"/>
        <v>4.1338582677165357E-2</v>
      </c>
      <c r="O123" s="54">
        <f t="shared" ref="O123:P123" si="135">S123-S122</f>
        <v>5145</v>
      </c>
      <c r="P123" s="54">
        <f t="shared" si="135"/>
        <v>74</v>
      </c>
      <c r="Q123" s="54">
        <f t="shared" si="7"/>
        <v>5071</v>
      </c>
      <c r="R123" s="50">
        <f t="shared" si="8"/>
        <v>1.4382896015549077E-2</v>
      </c>
      <c r="S123" s="52">
        <f t="shared" si="9"/>
        <v>234647</v>
      </c>
      <c r="T123" s="48">
        <f t="shared" si="10"/>
        <v>7417</v>
      </c>
      <c r="U123" s="48">
        <f t="shared" si="11"/>
        <v>227230</v>
      </c>
      <c r="V123" s="50">
        <f t="shared" si="12"/>
        <v>3.1609183155974718E-2</v>
      </c>
    </row>
    <row r="124" spans="1:22" ht="13.2" x14ac:dyDescent="0.25">
      <c r="A124" s="48">
        <f t="shared" si="60"/>
        <v>122</v>
      </c>
      <c r="B124" s="49">
        <v>44318</v>
      </c>
      <c r="C124" s="48">
        <v>3845</v>
      </c>
      <c r="D124" s="48">
        <v>64314</v>
      </c>
      <c r="E124" s="48">
        <f t="shared" si="0"/>
        <v>68159</v>
      </c>
      <c r="F124" s="50">
        <f t="shared" si="1"/>
        <v>5.6412212620490322E-2</v>
      </c>
      <c r="G124" s="48">
        <v>3562</v>
      </c>
      <c r="H124" s="48">
        <v>164403</v>
      </c>
      <c r="I124" s="48">
        <f t="shared" si="71"/>
        <v>167965</v>
      </c>
      <c r="J124" s="59">
        <f t="shared" si="72"/>
        <v>2.1206799035513351E-2</v>
      </c>
      <c r="K124" s="48">
        <v>42</v>
      </c>
      <c r="L124" s="48">
        <v>974</v>
      </c>
      <c r="M124" s="52">
        <f t="shared" si="4"/>
        <v>1016</v>
      </c>
      <c r="N124" s="50">
        <f t="shared" si="5"/>
        <v>4.1338582677165357E-2</v>
      </c>
      <c r="O124" s="54">
        <f t="shared" ref="O124:P124" si="136">S124-S123</f>
        <v>2493</v>
      </c>
      <c r="P124" s="54">
        <f t="shared" si="136"/>
        <v>32</v>
      </c>
      <c r="Q124" s="54">
        <f t="shared" si="7"/>
        <v>2461</v>
      </c>
      <c r="R124" s="50">
        <f t="shared" si="8"/>
        <v>1.2835940633774568E-2</v>
      </c>
      <c r="S124" s="52">
        <f t="shared" si="9"/>
        <v>237140</v>
      </c>
      <c r="T124" s="48">
        <f t="shared" si="10"/>
        <v>7449</v>
      </c>
      <c r="U124" s="48">
        <f t="shared" si="11"/>
        <v>229691</v>
      </c>
      <c r="V124" s="50">
        <f t="shared" si="12"/>
        <v>3.1411824238846253E-2</v>
      </c>
    </row>
    <row r="125" spans="1:22" ht="13.2" x14ac:dyDescent="0.25">
      <c r="A125" s="48">
        <f t="shared" si="60"/>
        <v>123</v>
      </c>
      <c r="B125" s="49">
        <v>44319</v>
      </c>
      <c r="C125" s="48">
        <v>3850</v>
      </c>
      <c r="D125" s="48">
        <v>64780</v>
      </c>
      <c r="E125" s="48">
        <f t="shared" si="0"/>
        <v>68630</v>
      </c>
      <c r="F125" s="50">
        <f t="shared" si="1"/>
        <v>5.6097916363106515E-2</v>
      </c>
      <c r="G125" s="48">
        <v>3601</v>
      </c>
      <c r="H125" s="48">
        <v>167271</v>
      </c>
      <c r="I125" s="48">
        <f t="shared" si="71"/>
        <v>170872</v>
      </c>
      <c r="J125" s="59">
        <f t="shared" si="72"/>
        <v>2.1074254412659768E-2</v>
      </c>
      <c r="K125" s="48">
        <v>42</v>
      </c>
      <c r="L125" s="48">
        <v>974</v>
      </c>
      <c r="M125" s="52">
        <f t="shared" si="4"/>
        <v>1016</v>
      </c>
      <c r="N125" s="50">
        <f t="shared" si="5"/>
        <v>4.1338582677165357E-2</v>
      </c>
      <c r="O125" s="54">
        <f t="shared" ref="O125:P125" si="137">S125-S124</f>
        <v>3378</v>
      </c>
      <c r="P125" s="54">
        <f t="shared" si="137"/>
        <v>44</v>
      </c>
      <c r="Q125" s="54">
        <f t="shared" si="7"/>
        <v>3334</v>
      </c>
      <c r="R125" s="50">
        <f t="shared" si="8"/>
        <v>1.3025458851391355E-2</v>
      </c>
      <c r="S125" s="52">
        <f t="shared" si="9"/>
        <v>240518</v>
      </c>
      <c r="T125" s="48">
        <f t="shared" si="10"/>
        <v>7493</v>
      </c>
      <c r="U125" s="48">
        <f t="shared" si="11"/>
        <v>233025</v>
      </c>
      <c r="V125" s="50">
        <f t="shared" si="12"/>
        <v>3.1153593494042026E-2</v>
      </c>
    </row>
    <row r="126" spans="1:22" ht="13.2" x14ac:dyDescent="0.25">
      <c r="A126" s="48">
        <f t="shared" si="60"/>
        <v>124</v>
      </c>
      <c r="B126" s="49">
        <v>44320</v>
      </c>
      <c r="C126" s="48">
        <v>3864</v>
      </c>
      <c r="D126" s="48">
        <v>65381</v>
      </c>
      <c r="E126" s="48">
        <f t="shared" si="0"/>
        <v>69245</v>
      </c>
      <c r="F126" s="50">
        <f t="shared" si="1"/>
        <v>5.5801862950393528E-2</v>
      </c>
      <c r="G126" s="48">
        <v>3662</v>
      </c>
      <c r="H126" s="48">
        <v>171270</v>
      </c>
      <c r="I126" s="48">
        <f t="shared" si="71"/>
        <v>174932</v>
      </c>
      <c r="J126" s="59">
        <f t="shared" si="72"/>
        <v>2.0933848581162966E-2</v>
      </c>
      <c r="K126" s="48">
        <v>42</v>
      </c>
      <c r="L126" s="48">
        <v>974</v>
      </c>
      <c r="M126" s="52">
        <f t="shared" si="4"/>
        <v>1016</v>
      </c>
      <c r="N126" s="50">
        <f t="shared" si="5"/>
        <v>4.1338582677165357E-2</v>
      </c>
      <c r="O126" s="54">
        <f t="shared" ref="O126:P126" si="138">S126-S125</f>
        <v>4675</v>
      </c>
      <c r="P126" s="54">
        <f t="shared" si="138"/>
        <v>75</v>
      </c>
      <c r="Q126" s="54">
        <f t="shared" si="7"/>
        <v>4600</v>
      </c>
      <c r="R126" s="50">
        <f t="shared" si="8"/>
        <v>1.6042780748663103E-2</v>
      </c>
      <c r="S126" s="52">
        <f t="shared" si="9"/>
        <v>245193</v>
      </c>
      <c r="T126" s="48">
        <f t="shared" si="10"/>
        <v>7568</v>
      </c>
      <c r="U126" s="48">
        <f t="shared" si="11"/>
        <v>237625</v>
      </c>
      <c r="V126" s="50">
        <f t="shared" si="12"/>
        <v>3.086548147785622E-2</v>
      </c>
    </row>
    <row r="127" spans="1:22" ht="13.2" x14ac:dyDescent="0.25">
      <c r="A127" s="48">
        <f t="shared" si="60"/>
        <v>125</v>
      </c>
      <c r="B127" s="49">
        <v>44321</v>
      </c>
      <c r="C127" s="48">
        <v>3878</v>
      </c>
      <c r="D127" s="48">
        <v>65977</v>
      </c>
      <c r="E127" s="48">
        <f t="shared" si="0"/>
        <v>69855</v>
      </c>
      <c r="F127" s="50">
        <f t="shared" si="1"/>
        <v>5.551499534750555E-2</v>
      </c>
      <c r="G127" s="48">
        <v>3716</v>
      </c>
      <c r="H127" s="48">
        <v>175645</v>
      </c>
      <c r="I127" s="48">
        <f t="shared" si="71"/>
        <v>179361</v>
      </c>
      <c r="J127" s="59">
        <f t="shared" si="72"/>
        <v>2.0717993320733048E-2</v>
      </c>
      <c r="K127" s="48">
        <v>42</v>
      </c>
      <c r="L127" s="48">
        <v>974</v>
      </c>
      <c r="M127" s="52">
        <f t="shared" si="4"/>
        <v>1016</v>
      </c>
      <c r="N127" s="50">
        <f t="shared" si="5"/>
        <v>4.1338582677165357E-2</v>
      </c>
      <c r="O127" s="54">
        <f t="shared" ref="O127:P127" si="139">S127-S126</f>
        <v>5039</v>
      </c>
      <c r="P127" s="54">
        <f t="shared" si="139"/>
        <v>68</v>
      </c>
      <c r="Q127" s="54">
        <f t="shared" si="7"/>
        <v>4971</v>
      </c>
      <c r="R127" s="50">
        <f t="shared" si="8"/>
        <v>1.3494741020043659E-2</v>
      </c>
      <c r="S127" s="52">
        <f t="shared" si="9"/>
        <v>250232</v>
      </c>
      <c r="T127" s="48">
        <f t="shared" si="10"/>
        <v>7636</v>
      </c>
      <c r="U127" s="48">
        <f t="shared" si="11"/>
        <v>242596</v>
      </c>
      <c r="V127" s="50">
        <f t="shared" si="12"/>
        <v>3.0515681447616613E-2</v>
      </c>
    </row>
    <row r="128" spans="1:22" ht="13.2" x14ac:dyDescent="0.25">
      <c r="A128" s="48">
        <f t="shared" si="60"/>
        <v>126</v>
      </c>
      <c r="B128" s="49">
        <v>44322</v>
      </c>
      <c r="C128" s="48">
        <v>3889</v>
      </c>
      <c r="D128" s="48">
        <v>66418</v>
      </c>
      <c r="E128" s="48">
        <f t="shared" si="0"/>
        <v>70307</v>
      </c>
      <c r="F128" s="50">
        <f t="shared" si="1"/>
        <v>5.5314549049170068E-2</v>
      </c>
      <c r="G128" s="48">
        <v>3766</v>
      </c>
      <c r="H128" s="48">
        <v>178987</v>
      </c>
      <c r="I128" s="48">
        <f t="shared" si="71"/>
        <v>182753</v>
      </c>
      <c r="J128" s="59">
        <f t="shared" si="72"/>
        <v>2.0607048858295077E-2</v>
      </c>
      <c r="K128" s="48">
        <v>42</v>
      </c>
      <c r="L128" s="48">
        <v>974</v>
      </c>
      <c r="M128" s="52">
        <f t="shared" si="4"/>
        <v>1016</v>
      </c>
      <c r="N128" s="50">
        <f t="shared" si="5"/>
        <v>4.1338582677165357E-2</v>
      </c>
      <c r="O128" s="54">
        <f t="shared" ref="O128:P128" si="140">S128-S127</f>
        <v>3844</v>
      </c>
      <c r="P128" s="54">
        <f t="shared" si="140"/>
        <v>61</v>
      </c>
      <c r="Q128" s="54">
        <f t="shared" si="7"/>
        <v>3783</v>
      </c>
      <c r="R128" s="50">
        <f t="shared" si="8"/>
        <v>1.5868886576482829E-2</v>
      </c>
      <c r="S128" s="52">
        <f t="shared" si="9"/>
        <v>254076</v>
      </c>
      <c r="T128" s="48">
        <f t="shared" si="10"/>
        <v>7697</v>
      </c>
      <c r="U128" s="48">
        <f t="shared" si="11"/>
        <v>246379</v>
      </c>
      <c r="V128" s="50">
        <f t="shared" si="12"/>
        <v>3.0294085234339331E-2</v>
      </c>
    </row>
    <row r="129" spans="1:22" ht="13.2" x14ac:dyDescent="0.25">
      <c r="A129" s="48">
        <f t="shared" si="60"/>
        <v>127</v>
      </c>
      <c r="B129" s="49">
        <v>44323</v>
      </c>
      <c r="C129" s="48">
        <v>3898</v>
      </c>
      <c r="D129" s="48">
        <v>67019</v>
      </c>
      <c r="E129" s="48">
        <f t="shared" si="0"/>
        <v>70917</v>
      </c>
      <c r="F129" s="50">
        <f t="shared" si="1"/>
        <v>5.4965664086185258E-2</v>
      </c>
      <c r="G129" s="48">
        <v>3843</v>
      </c>
      <c r="H129" s="48">
        <v>183749</v>
      </c>
      <c r="I129" s="48">
        <f t="shared" si="71"/>
        <v>187592</v>
      </c>
      <c r="J129" s="59">
        <f t="shared" si="72"/>
        <v>2.0485948228069428E-2</v>
      </c>
      <c r="K129" s="48">
        <v>42</v>
      </c>
      <c r="L129" s="48">
        <v>974</v>
      </c>
      <c r="M129" s="52">
        <f t="shared" si="4"/>
        <v>1016</v>
      </c>
      <c r="N129" s="50">
        <f t="shared" si="5"/>
        <v>4.1338582677165357E-2</v>
      </c>
      <c r="O129" s="54">
        <f t="shared" ref="O129:P129" si="141">S129-S128</f>
        <v>5449</v>
      </c>
      <c r="P129" s="54">
        <f t="shared" si="141"/>
        <v>86</v>
      </c>
      <c r="Q129" s="54">
        <f t="shared" si="7"/>
        <v>5363</v>
      </c>
      <c r="R129" s="50">
        <f t="shared" si="8"/>
        <v>1.5782712424298035E-2</v>
      </c>
      <c r="S129" s="52">
        <f t="shared" si="9"/>
        <v>259525</v>
      </c>
      <c r="T129" s="48">
        <f t="shared" si="10"/>
        <v>7783</v>
      </c>
      <c r="U129" s="48">
        <f t="shared" si="11"/>
        <v>251742</v>
      </c>
      <c r="V129" s="50">
        <f t="shared" si="12"/>
        <v>2.9989403718331566E-2</v>
      </c>
    </row>
    <row r="130" spans="1:22" ht="13.2" x14ac:dyDescent="0.25">
      <c r="A130" s="48">
        <f t="shared" si="60"/>
        <v>128</v>
      </c>
      <c r="B130" s="49">
        <v>44324</v>
      </c>
      <c r="C130" s="48">
        <v>3911</v>
      </c>
      <c r="D130" s="48">
        <v>67613</v>
      </c>
      <c r="E130" s="48">
        <f t="shared" si="0"/>
        <v>71524</v>
      </c>
      <c r="F130" s="50">
        <f t="shared" si="1"/>
        <v>5.4680946255802249E-2</v>
      </c>
      <c r="G130" s="48">
        <v>3912</v>
      </c>
      <c r="H130" s="48">
        <v>187852</v>
      </c>
      <c r="I130" s="48">
        <f t="shared" si="71"/>
        <v>191764</v>
      </c>
      <c r="J130" s="59">
        <f t="shared" si="72"/>
        <v>2.0400075092300952E-2</v>
      </c>
      <c r="K130" s="48">
        <v>42</v>
      </c>
      <c r="L130" s="48">
        <v>974</v>
      </c>
      <c r="M130" s="52">
        <f t="shared" si="4"/>
        <v>1016</v>
      </c>
      <c r="N130" s="50">
        <f t="shared" si="5"/>
        <v>4.1338582677165357E-2</v>
      </c>
      <c r="O130" s="54">
        <f t="shared" ref="O130:P130" si="142">S130-S129</f>
        <v>4779</v>
      </c>
      <c r="P130" s="54">
        <f t="shared" si="142"/>
        <v>82</v>
      </c>
      <c r="Q130" s="54">
        <f t="shared" si="7"/>
        <v>4697</v>
      </c>
      <c r="R130" s="50">
        <f t="shared" si="8"/>
        <v>1.7158401339192299E-2</v>
      </c>
      <c r="S130" s="52">
        <f t="shared" si="9"/>
        <v>264304</v>
      </c>
      <c r="T130" s="48">
        <f t="shared" si="10"/>
        <v>7865</v>
      </c>
      <c r="U130" s="48">
        <f t="shared" si="11"/>
        <v>256439</v>
      </c>
      <c r="V130" s="50">
        <f t="shared" si="12"/>
        <v>2.9757400569041709E-2</v>
      </c>
    </row>
    <row r="131" spans="1:22" ht="13.2" x14ac:dyDescent="0.25">
      <c r="A131" s="48">
        <f t="shared" si="60"/>
        <v>129</v>
      </c>
      <c r="B131" s="49">
        <v>44325</v>
      </c>
      <c r="C131" s="48">
        <v>3928</v>
      </c>
      <c r="D131" s="48">
        <v>68120</v>
      </c>
      <c r="E131" s="48">
        <f t="shared" si="0"/>
        <v>72048</v>
      </c>
      <c r="F131" s="50">
        <f t="shared" si="1"/>
        <v>5.4519209415944923E-2</v>
      </c>
      <c r="G131" s="48">
        <v>3950</v>
      </c>
      <c r="H131" s="48">
        <v>189766</v>
      </c>
      <c r="I131" s="48">
        <f t="shared" si="71"/>
        <v>193716</v>
      </c>
      <c r="J131" s="59">
        <f t="shared" si="72"/>
        <v>2.0390675008775734E-2</v>
      </c>
      <c r="K131" s="48">
        <v>42</v>
      </c>
      <c r="L131" s="48">
        <v>974</v>
      </c>
      <c r="M131" s="52">
        <f t="shared" si="4"/>
        <v>1016</v>
      </c>
      <c r="N131" s="50">
        <f t="shared" si="5"/>
        <v>4.1338582677165357E-2</v>
      </c>
      <c r="O131" s="54">
        <f t="shared" ref="O131:P131" si="143">S131-S130</f>
        <v>2476</v>
      </c>
      <c r="P131" s="54">
        <f t="shared" si="143"/>
        <v>55</v>
      </c>
      <c r="Q131" s="54">
        <f t="shared" si="7"/>
        <v>2421</v>
      </c>
      <c r="R131" s="50">
        <f t="shared" si="8"/>
        <v>2.2213247172859451E-2</v>
      </c>
      <c r="S131" s="52">
        <f t="shared" si="9"/>
        <v>266780</v>
      </c>
      <c r="T131" s="48">
        <f t="shared" si="10"/>
        <v>7920</v>
      </c>
      <c r="U131" s="48">
        <f t="shared" si="11"/>
        <v>258860</v>
      </c>
      <c r="V131" s="50">
        <f t="shared" si="12"/>
        <v>2.9687382862283531E-2</v>
      </c>
    </row>
    <row r="132" spans="1:22" ht="13.2" x14ac:dyDescent="0.25">
      <c r="A132" s="48">
        <f t="shared" si="60"/>
        <v>130</v>
      </c>
      <c r="B132" s="49">
        <v>44326</v>
      </c>
      <c r="C132" s="48">
        <v>3949</v>
      </c>
      <c r="D132" s="48">
        <v>68723</v>
      </c>
      <c r="E132" s="48">
        <f t="shared" si="0"/>
        <v>72672</v>
      </c>
      <c r="F132" s="50">
        <f t="shared" si="1"/>
        <v>5.4340048436811977E-2</v>
      </c>
      <c r="G132" s="48">
        <v>3962</v>
      </c>
      <c r="H132" s="48">
        <v>191359</v>
      </c>
      <c r="I132" s="48">
        <f t="shared" si="71"/>
        <v>195321</v>
      </c>
      <c r="J132" s="59">
        <f t="shared" si="72"/>
        <v>2.0284557216069955E-2</v>
      </c>
      <c r="K132" s="48">
        <v>42</v>
      </c>
      <c r="L132" s="48">
        <v>974</v>
      </c>
      <c r="M132" s="52">
        <f t="shared" si="4"/>
        <v>1016</v>
      </c>
      <c r="N132" s="50">
        <f t="shared" si="5"/>
        <v>4.1338582677165357E-2</v>
      </c>
      <c r="O132" s="54">
        <f t="shared" ref="O132:P132" si="144">S132-S131</f>
        <v>2229</v>
      </c>
      <c r="P132" s="54">
        <f t="shared" si="144"/>
        <v>33</v>
      </c>
      <c r="Q132" s="54">
        <f t="shared" si="7"/>
        <v>2196</v>
      </c>
      <c r="R132" s="50">
        <f t="shared" si="8"/>
        <v>1.4804845222072678E-2</v>
      </c>
      <c r="S132" s="52">
        <f t="shared" si="9"/>
        <v>269009</v>
      </c>
      <c r="T132" s="48">
        <f t="shared" si="10"/>
        <v>7953</v>
      </c>
      <c r="U132" s="48">
        <f t="shared" si="11"/>
        <v>261056</v>
      </c>
      <c r="V132" s="50">
        <f t="shared" si="12"/>
        <v>2.9564066629741013E-2</v>
      </c>
    </row>
    <row r="133" spans="1:22" ht="13.2" x14ac:dyDescent="0.25">
      <c r="A133" s="48">
        <f t="shared" si="60"/>
        <v>131</v>
      </c>
      <c r="B133" s="49">
        <v>44327</v>
      </c>
      <c r="C133" s="48">
        <v>3963</v>
      </c>
      <c r="D133" s="48">
        <v>69248</v>
      </c>
      <c r="E133" s="48">
        <f t="shared" si="0"/>
        <v>73211</v>
      </c>
      <c r="F133" s="50">
        <f t="shared" si="1"/>
        <v>5.4131209790878418E-2</v>
      </c>
      <c r="G133" s="48">
        <v>4027</v>
      </c>
      <c r="H133" s="48">
        <v>195542</v>
      </c>
      <c r="I133" s="48">
        <f t="shared" si="71"/>
        <v>199569</v>
      </c>
      <c r="J133" s="59">
        <f t="shared" si="72"/>
        <v>2.0178484634387105E-2</v>
      </c>
      <c r="K133" s="48">
        <v>42</v>
      </c>
      <c r="L133" s="48">
        <v>974</v>
      </c>
      <c r="M133" s="52">
        <f t="shared" si="4"/>
        <v>1016</v>
      </c>
      <c r="N133" s="50">
        <f t="shared" si="5"/>
        <v>4.1338582677165357E-2</v>
      </c>
      <c r="O133" s="54">
        <f t="shared" ref="O133:P133" si="145">S133-S132</f>
        <v>4787</v>
      </c>
      <c r="P133" s="54">
        <f t="shared" si="145"/>
        <v>79</v>
      </c>
      <c r="Q133" s="54">
        <f t="shared" si="7"/>
        <v>4708</v>
      </c>
      <c r="R133" s="50">
        <f t="shared" si="8"/>
        <v>1.6503029036975141E-2</v>
      </c>
      <c r="S133" s="52">
        <f t="shared" si="9"/>
        <v>273796</v>
      </c>
      <c r="T133" s="48">
        <f t="shared" si="10"/>
        <v>8032</v>
      </c>
      <c r="U133" s="48">
        <f t="shared" si="11"/>
        <v>265764</v>
      </c>
      <c r="V133" s="50">
        <f t="shared" si="12"/>
        <v>2.9335709798536138E-2</v>
      </c>
    </row>
    <row r="134" spans="1:22" ht="13.2" x14ac:dyDescent="0.25">
      <c r="A134" s="48">
        <f t="shared" si="60"/>
        <v>132</v>
      </c>
      <c r="B134" s="49">
        <v>44328</v>
      </c>
      <c r="C134" s="48">
        <v>3980</v>
      </c>
      <c r="D134" s="48">
        <v>69808</v>
      </c>
      <c r="E134" s="48">
        <f t="shared" si="0"/>
        <v>73788</v>
      </c>
      <c r="F134" s="50">
        <f t="shared" si="1"/>
        <v>5.3938309752263242E-2</v>
      </c>
      <c r="G134" s="48">
        <v>4078</v>
      </c>
      <c r="H134" s="48">
        <v>199372</v>
      </c>
      <c r="I134" s="48">
        <f t="shared" si="71"/>
        <v>203450</v>
      </c>
      <c r="J134" s="59">
        <f t="shared" si="72"/>
        <v>2.0044236913246499E-2</v>
      </c>
      <c r="K134" s="48">
        <v>42</v>
      </c>
      <c r="L134" s="48">
        <v>974</v>
      </c>
      <c r="M134" s="52">
        <f t="shared" si="4"/>
        <v>1016</v>
      </c>
      <c r="N134" s="50">
        <f t="shared" si="5"/>
        <v>4.1338582677165357E-2</v>
      </c>
      <c r="O134" s="54">
        <f t="shared" ref="O134:P134" si="146">S134-S133</f>
        <v>4458</v>
      </c>
      <c r="P134" s="54">
        <f t="shared" si="146"/>
        <v>68</v>
      </c>
      <c r="Q134" s="54">
        <f t="shared" si="7"/>
        <v>4390</v>
      </c>
      <c r="R134" s="50">
        <f t="shared" si="8"/>
        <v>1.5253476895468821E-2</v>
      </c>
      <c r="S134" s="52">
        <f t="shared" si="9"/>
        <v>278254</v>
      </c>
      <c r="T134" s="48">
        <f t="shared" si="10"/>
        <v>8100</v>
      </c>
      <c r="U134" s="48">
        <f t="shared" si="11"/>
        <v>270154</v>
      </c>
      <c r="V134" s="50">
        <f t="shared" si="12"/>
        <v>2.9110093655437118E-2</v>
      </c>
    </row>
    <row r="135" spans="1:22" ht="13.2" x14ac:dyDescent="0.25">
      <c r="A135" s="48">
        <f t="shared" si="60"/>
        <v>133</v>
      </c>
      <c r="B135" s="49">
        <v>44329</v>
      </c>
      <c r="C135" s="48">
        <v>3992</v>
      </c>
      <c r="D135" s="48">
        <v>70376</v>
      </c>
      <c r="E135" s="48">
        <f t="shared" si="0"/>
        <v>74368</v>
      </c>
      <c r="F135" s="50">
        <f t="shared" si="1"/>
        <v>5.3679001721170398E-2</v>
      </c>
      <c r="G135" s="48">
        <v>4134</v>
      </c>
      <c r="H135" s="48">
        <v>201256</v>
      </c>
      <c r="I135" s="48">
        <f t="shared" si="71"/>
        <v>205390</v>
      </c>
      <c r="J135" s="59">
        <f t="shared" si="72"/>
        <v>2.0127562198743853E-2</v>
      </c>
      <c r="K135" s="48">
        <v>42</v>
      </c>
      <c r="L135" s="48">
        <v>974</v>
      </c>
      <c r="M135" s="52">
        <f t="shared" si="4"/>
        <v>1016</v>
      </c>
      <c r="N135" s="50">
        <f t="shared" si="5"/>
        <v>4.1338582677165357E-2</v>
      </c>
      <c r="O135" s="54">
        <f t="shared" ref="O135:P135" si="147">S135-S134</f>
        <v>2520</v>
      </c>
      <c r="P135" s="54">
        <f t="shared" si="147"/>
        <v>68</v>
      </c>
      <c r="Q135" s="54">
        <f t="shared" si="7"/>
        <v>2452</v>
      </c>
      <c r="R135" s="50">
        <f t="shared" si="8"/>
        <v>2.6984126984126985E-2</v>
      </c>
      <c r="S135" s="52">
        <f t="shared" si="9"/>
        <v>280774</v>
      </c>
      <c r="T135" s="48">
        <f t="shared" si="10"/>
        <v>8168</v>
      </c>
      <c r="U135" s="48">
        <f t="shared" si="11"/>
        <v>272606</v>
      </c>
      <c r="V135" s="50">
        <f t="shared" si="12"/>
        <v>2.909101270060618E-2</v>
      </c>
    </row>
    <row r="136" spans="1:22" ht="13.2" x14ac:dyDescent="0.25">
      <c r="A136" s="48">
        <f t="shared" si="60"/>
        <v>134</v>
      </c>
      <c r="B136" s="49">
        <v>44330</v>
      </c>
      <c r="C136" s="48">
        <v>4007</v>
      </c>
      <c r="D136" s="48">
        <v>71063</v>
      </c>
      <c r="E136" s="48">
        <f t="shared" si="0"/>
        <v>75070</v>
      </c>
      <c r="F136" s="50">
        <f t="shared" si="1"/>
        <v>5.3376848274943385E-2</v>
      </c>
      <c r="G136" s="48">
        <v>4157</v>
      </c>
      <c r="H136" s="48">
        <v>201961</v>
      </c>
      <c r="I136" s="48">
        <f t="shared" si="71"/>
        <v>206118</v>
      </c>
      <c r="J136" s="59">
        <f t="shared" si="72"/>
        <v>2.0168059072958208E-2</v>
      </c>
      <c r="K136" s="48">
        <v>42</v>
      </c>
      <c r="L136" s="48">
        <v>974</v>
      </c>
      <c r="M136" s="52">
        <f t="shared" si="4"/>
        <v>1016</v>
      </c>
      <c r="N136" s="50">
        <f t="shared" si="5"/>
        <v>4.1338582677165357E-2</v>
      </c>
      <c r="O136" s="54">
        <f t="shared" ref="O136:P136" si="148">S136-S135</f>
        <v>1430</v>
      </c>
      <c r="P136" s="54">
        <f t="shared" si="148"/>
        <v>38</v>
      </c>
      <c r="Q136" s="54">
        <f t="shared" si="7"/>
        <v>1392</v>
      </c>
      <c r="R136" s="50">
        <f t="shared" si="8"/>
        <v>2.6573426573426574E-2</v>
      </c>
      <c r="S136" s="52">
        <f t="shared" si="9"/>
        <v>282204</v>
      </c>
      <c r="T136" s="48">
        <f t="shared" si="10"/>
        <v>8206</v>
      </c>
      <c r="U136" s="48">
        <f t="shared" si="11"/>
        <v>273998</v>
      </c>
      <c r="V136" s="50">
        <f t="shared" si="12"/>
        <v>2.9078255446414649E-2</v>
      </c>
    </row>
    <row r="137" spans="1:22" ht="13.2" x14ac:dyDescent="0.25">
      <c r="A137" s="48">
        <f t="shared" si="60"/>
        <v>135</v>
      </c>
      <c r="B137" s="49">
        <v>44331</v>
      </c>
      <c r="C137" s="48">
        <v>4013</v>
      </c>
      <c r="D137" s="48">
        <v>71305</v>
      </c>
      <c r="E137" s="48">
        <f t="shared" si="0"/>
        <v>75318</v>
      </c>
      <c r="F137" s="50">
        <f t="shared" si="1"/>
        <v>5.3280756260123741E-2</v>
      </c>
      <c r="G137" s="48">
        <v>4201</v>
      </c>
      <c r="H137" s="48">
        <v>203060</v>
      </c>
      <c r="I137" s="48">
        <f t="shared" si="71"/>
        <v>207261</v>
      </c>
      <c r="J137" s="59">
        <f t="shared" si="72"/>
        <v>2.0269129262138075E-2</v>
      </c>
      <c r="K137" s="48">
        <v>42</v>
      </c>
      <c r="L137" s="48">
        <v>974</v>
      </c>
      <c r="M137" s="52">
        <f t="shared" si="4"/>
        <v>1016</v>
      </c>
      <c r="N137" s="50">
        <f t="shared" si="5"/>
        <v>4.1338582677165357E-2</v>
      </c>
      <c r="O137" s="54">
        <f t="shared" ref="O137:P137" si="149">S137-S136</f>
        <v>1391</v>
      </c>
      <c r="P137" s="54">
        <f t="shared" si="149"/>
        <v>50</v>
      </c>
      <c r="Q137" s="54">
        <f t="shared" si="7"/>
        <v>1341</v>
      </c>
      <c r="R137" s="50">
        <f t="shared" si="8"/>
        <v>3.5945363048166784E-2</v>
      </c>
      <c r="S137" s="52">
        <f t="shared" si="9"/>
        <v>283595</v>
      </c>
      <c r="T137" s="48">
        <f t="shared" si="10"/>
        <v>8256</v>
      </c>
      <c r="U137" s="48">
        <f t="shared" si="11"/>
        <v>275339</v>
      </c>
      <c r="V137" s="50">
        <f t="shared" si="12"/>
        <v>2.9111937798621274E-2</v>
      </c>
    </row>
    <row r="138" spans="1:22" ht="13.2" x14ac:dyDescent="0.25">
      <c r="A138" s="48">
        <f t="shared" si="60"/>
        <v>136</v>
      </c>
      <c r="B138" s="49">
        <v>44332</v>
      </c>
      <c r="C138" s="48">
        <v>4027</v>
      </c>
      <c r="D138" s="48">
        <v>71944</v>
      </c>
      <c r="E138" s="48">
        <f t="shared" si="0"/>
        <v>75971</v>
      </c>
      <c r="F138" s="50">
        <f t="shared" si="1"/>
        <v>5.3007068486659384E-2</v>
      </c>
      <c r="G138" s="48">
        <v>4273</v>
      </c>
      <c r="H138" s="48">
        <v>205749</v>
      </c>
      <c r="I138" s="48">
        <f t="shared" si="71"/>
        <v>210022</v>
      </c>
      <c r="J138" s="59">
        <f t="shared" si="72"/>
        <v>2.0345487615583129E-2</v>
      </c>
      <c r="K138" s="48">
        <v>42</v>
      </c>
      <c r="L138" s="48">
        <v>974</v>
      </c>
      <c r="M138" s="52">
        <f t="shared" si="4"/>
        <v>1016</v>
      </c>
      <c r="N138" s="50">
        <f t="shared" si="5"/>
        <v>4.1338582677165357E-2</v>
      </c>
      <c r="O138" s="54">
        <f t="shared" ref="O138:P138" si="150">S138-S137</f>
        <v>3414</v>
      </c>
      <c r="P138" s="54">
        <f t="shared" si="150"/>
        <v>86</v>
      </c>
      <c r="Q138" s="54">
        <f t="shared" si="7"/>
        <v>3328</v>
      </c>
      <c r="R138" s="50">
        <f t="shared" si="8"/>
        <v>2.5190392501464556E-2</v>
      </c>
      <c r="S138" s="52">
        <f t="shared" si="9"/>
        <v>287009</v>
      </c>
      <c r="T138" s="48">
        <f t="shared" si="10"/>
        <v>8342</v>
      </c>
      <c r="U138" s="48">
        <f t="shared" si="11"/>
        <v>278667</v>
      </c>
      <c r="V138" s="50">
        <f t="shared" si="12"/>
        <v>2.9065290635485297E-2</v>
      </c>
    </row>
    <row r="139" spans="1:22" ht="13.2" x14ac:dyDescent="0.25">
      <c r="A139" s="48">
        <f t="shared" si="60"/>
        <v>137</v>
      </c>
      <c r="B139" s="49">
        <v>44333</v>
      </c>
      <c r="C139" s="48">
        <v>4030</v>
      </c>
      <c r="D139" s="48">
        <v>72425</v>
      </c>
      <c r="E139" s="48">
        <f t="shared" si="0"/>
        <v>76455</v>
      </c>
      <c r="F139" s="50">
        <f t="shared" si="1"/>
        <v>5.2710744882610683E-2</v>
      </c>
      <c r="G139" s="48">
        <v>4315</v>
      </c>
      <c r="H139" s="48">
        <v>207958</v>
      </c>
      <c r="I139" s="48">
        <f t="shared" si="71"/>
        <v>212273</v>
      </c>
      <c r="J139" s="59">
        <f t="shared" si="72"/>
        <v>2.0327597009511335E-2</v>
      </c>
      <c r="K139" s="48">
        <v>42</v>
      </c>
      <c r="L139" s="48">
        <v>974</v>
      </c>
      <c r="M139" s="52">
        <f t="shared" si="4"/>
        <v>1016</v>
      </c>
      <c r="N139" s="50">
        <f t="shared" si="5"/>
        <v>4.1338582677165357E-2</v>
      </c>
      <c r="O139" s="54">
        <f t="shared" ref="O139:P139" si="151">S139-S138</f>
        <v>2735</v>
      </c>
      <c r="P139" s="54">
        <f t="shared" si="151"/>
        <v>45</v>
      </c>
      <c r="Q139" s="54">
        <f t="shared" si="7"/>
        <v>2690</v>
      </c>
      <c r="R139" s="50">
        <f t="shared" si="8"/>
        <v>1.6453382084095063E-2</v>
      </c>
      <c r="S139" s="52">
        <f t="shared" si="9"/>
        <v>289744</v>
      </c>
      <c r="T139" s="48">
        <f t="shared" si="10"/>
        <v>8387</v>
      </c>
      <c r="U139" s="48">
        <f t="shared" si="11"/>
        <v>281357</v>
      </c>
      <c r="V139" s="50">
        <f t="shared" si="12"/>
        <v>2.8946242200011043E-2</v>
      </c>
    </row>
    <row r="140" spans="1:22" ht="13.2" x14ac:dyDescent="0.25">
      <c r="A140" s="48">
        <f t="shared" si="60"/>
        <v>138</v>
      </c>
      <c r="B140" s="49">
        <v>44334</v>
      </c>
      <c r="C140" s="48">
        <v>4032</v>
      </c>
      <c r="D140" s="48">
        <v>72618</v>
      </c>
      <c r="E140" s="48">
        <f t="shared" si="0"/>
        <v>76650</v>
      </c>
      <c r="F140" s="50">
        <f t="shared" si="1"/>
        <v>5.26027397260274E-2</v>
      </c>
      <c r="G140" s="48">
        <v>4381</v>
      </c>
      <c r="H140" s="48">
        <v>212799</v>
      </c>
      <c r="I140" s="48">
        <f t="shared" si="71"/>
        <v>217180</v>
      </c>
      <c r="J140" s="59">
        <f t="shared" si="72"/>
        <v>2.0172207385578782E-2</v>
      </c>
      <c r="K140" s="48">
        <v>42</v>
      </c>
      <c r="L140" s="48">
        <v>974</v>
      </c>
      <c r="M140" s="52">
        <f t="shared" si="4"/>
        <v>1016</v>
      </c>
      <c r="N140" s="50">
        <f t="shared" si="5"/>
        <v>4.1338582677165357E-2</v>
      </c>
      <c r="O140" s="54">
        <f t="shared" ref="O140:P140" si="152">S140-S139</f>
        <v>5102</v>
      </c>
      <c r="P140" s="54">
        <f t="shared" si="152"/>
        <v>68</v>
      </c>
      <c r="Q140" s="54">
        <f t="shared" si="7"/>
        <v>5034</v>
      </c>
      <c r="R140" s="50">
        <f t="shared" si="8"/>
        <v>1.3328106624852998E-2</v>
      </c>
      <c r="S140" s="52">
        <f t="shared" si="9"/>
        <v>294846</v>
      </c>
      <c r="T140" s="48">
        <f t="shared" si="10"/>
        <v>8455</v>
      </c>
      <c r="U140" s="48">
        <f t="shared" si="11"/>
        <v>286391</v>
      </c>
      <c r="V140" s="50">
        <f t="shared" si="12"/>
        <v>2.8675986786322352E-2</v>
      </c>
    </row>
    <row r="141" spans="1:22" ht="13.2" x14ac:dyDescent="0.25">
      <c r="A141" s="48">
        <f t="shared" si="60"/>
        <v>139</v>
      </c>
      <c r="B141" s="49">
        <v>44335</v>
      </c>
      <c r="C141" s="48">
        <v>4043</v>
      </c>
      <c r="D141" s="48">
        <v>73362</v>
      </c>
      <c r="E141" s="48">
        <f t="shared" si="0"/>
        <v>77405</v>
      </c>
      <c r="F141" s="50">
        <f t="shared" si="1"/>
        <v>5.2231767973645114E-2</v>
      </c>
      <c r="G141" s="48">
        <v>4484</v>
      </c>
      <c r="H141" s="48">
        <v>219035</v>
      </c>
      <c r="I141" s="48">
        <f t="shared" si="71"/>
        <v>223519</v>
      </c>
      <c r="J141" s="59">
        <f t="shared" si="72"/>
        <v>2.0060934417208381E-2</v>
      </c>
      <c r="K141" s="48">
        <v>42</v>
      </c>
      <c r="L141" s="48">
        <v>974</v>
      </c>
      <c r="M141" s="52">
        <f t="shared" si="4"/>
        <v>1016</v>
      </c>
      <c r="N141" s="50">
        <f t="shared" si="5"/>
        <v>4.1338582677165357E-2</v>
      </c>
      <c r="O141" s="54">
        <f t="shared" ref="O141:P141" si="153">S141-S140</f>
        <v>7094</v>
      </c>
      <c r="P141" s="54">
        <f t="shared" si="153"/>
        <v>114</v>
      </c>
      <c r="Q141" s="54">
        <f t="shared" si="7"/>
        <v>6980</v>
      </c>
      <c r="R141" s="50">
        <f t="shared" si="8"/>
        <v>1.6069918240766846E-2</v>
      </c>
      <c r="S141" s="52">
        <f t="shared" si="9"/>
        <v>301940</v>
      </c>
      <c r="T141" s="48">
        <f t="shared" si="10"/>
        <v>8569</v>
      </c>
      <c r="U141" s="48">
        <f t="shared" si="11"/>
        <v>293371</v>
      </c>
      <c r="V141" s="50">
        <f t="shared" si="12"/>
        <v>2.8379810558389083E-2</v>
      </c>
    </row>
    <row r="142" spans="1:22" ht="13.2" x14ac:dyDescent="0.25">
      <c r="A142" s="48">
        <f t="shared" si="60"/>
        <v>140</v>
      </c>
      <c r="B142" s="49">
        <v>44336</v>
      </c>
      <c r="C142" s="48">
        <v>4051</v>
      </c>
      <c r="D142" s="48">
        <v>74114</v>
      </c>
      <c r="E142" s="48">
        <f t="shared" si="0"/>
        <v>78165</v>
      </c>
      <c r="F142" s="50">
        <f t="shared" si="1"/>
        <v>5.1826264952344402E-2</v>
      </c>
      <c r="G142" s="48">
        <v>4552</v>
      </c>
      <c r="H142" s="48">
        <v>225368</v>
      </c>
      <c r="I142" s="48">
        <f t="shared" si="71"/>
        <v>229920</v>
      </c>
      <c r="J142" s="59">
        <f t="shared" si="72"/>
        <v>1.9798190675017396E-2</v>
      </c>
      <c r="K142" s="48">
        <v>42</v>
      </c>
      <c r="L142" s="48">
        <v>974</v>
      </c>
      <c r="M142" s="52">
        <f t="shared" si="4"/>
        <v>1016</v>
      </c>
      <c r="N142" s="50">
        <f t="shared" si="5"/>
        <v>4.1338582677165357E-2</v>
      </c>
      <c r="O142" s="54">
        <f t="shared" ref="O142:P142" si="154">S142-S141</f>
        <v>7161</v>
      </c>
      <c r="P142" s="54">
        <f t="shared" si="154"/>
        <v>76</v>
      </c>
      <c r="Q142" s="54">
        <f t="shared" si="7"/>
        <v>7085</v>
      </c>
      <c r="R142" s="50">
        <f t="shared" si="8"/>
        <v>1.0613042871107387E-2</v>
      </c>
      <c r="S142" s="52">
        <f t="shared" si="9"/>
        <v>309101</v>
      </c>
      <c r="T142" s="48">
        <f t="shared" si="10"/>
        <v>8645</v>
      </c>
      <c r="U142" s="48">
        <f t="shared" si="11"/>
        <v>300456</v>
      </c>
      <c r="V142" s="50">
        <f t="shared" si="12"/>
        <v>2.7968204567439123E-2</v>
      </c>
    </row>
    <row r="143" spans="1:22" ht="13.2" x14ac:dyDescent="0.25">
      <c r="A143" s="48">
        <f t="shared" si="60"/>
        <v>141</v>
      </c>
      <c r="B143" s="49">
        <v>44337</v>
      </c>
      <c r="C143" s="48">
        <v>4055</v>
      </c>
      <c r="D143" s="48">
        <v>74996</v>
      </c>
      <c r="E143" s="48">
        <f t="shared" si="0"/>
        <v>79051</v>
      </c>
      <c r="F143" s="50">
        <f t="shared" si="1"/>
        <v>5.1295998785594113E-2</v>
      </c>
      <c r="G143" s="48">
        <v>4631</v>
      </c>
      <c r="H143" s="48">
        <v>232017</v>
      </c>
      <c r="I143" s="48">
        <f t="shared" si="71"/>
        <v>236648</v>
      </c>
      <c r="J143" s="59">
        <f t="shared" si="72"/>
        <v>1.9569149115986614E-2</v>
      </c>
      <c r="K143" s="48">
        <v>42</v>
      </c>
      <c r="L143" s="48">
        <v>974</v>
      </c>
      <c r="M143" s="52">
        <f t="shared" si="4"/>
        <v>1016</v>
      </c>
      <c r="N143" s="50">
        <f t="shared" si="5"/>
        <v>4.1338582677165357E-2</v>
      </c>
      <c r="O143" s="54">
        <f t="shared" ref="O143:P143" si="155">S143-S142</f>
        <v>7614</v>
      </c>
      <c r="P143" s="54">
        <f t="shared" si="155"/>
        <v>83</v>
      </c>
      <c r="Q143" s="54">
        <f t="shared" si="7"/>
        <v>7531</v>
      </c>
      <c r="R143" s="50">
        <f t="shared" si="8"/>
        <v>1.0900971893879695E-2</v>
      </c>
      <c r="S143" s="52">
        <f t="shared" si="9"/>
        <v>316715</v>
      </c>
      <c r="T143" s="48">
        <f t="shared" si="10"/>
        <v>8728</v>
      </c>
      <c r="U143" s="48">
        <f t="shared" si="11"/>
        <v>307987</v>
      </c>
      <c r="V143" s="50">
        <f t="shared" si="12"/>
        <v>2.7557899057512273E-2</v>
      </c>
    </row>
    <row r="144" spans="1:22" ht="13.2" x14ac:dyDescent="0.25">
      <c r="A144" s="48">
        <f t="shared" si="60"/>
        <v>142</v>
      </c>
      <c r="B144" s="49">
        <v>44338</v>
      </c>
      <c r="C144" s="48">
        <v>4074</v>
      </c>
      <c r="D144" s="48">
        <v>75979</v>
      </c>
      <c r="E144" s="48">
        <f t="shared" si="0"/>
        <v>80053</v>
      </c>
      <c r="F144" s="50">
        <f t="shared" si="1"/>
        <v>5.089128452400285E-2</v>
      </c>
      <c r="G144" s="48">
        <v>4726</v>
      </c>
      <c r="H144" s="48">
        <v>240832</v>
      </c>
      <c r="I144" s="48">
        <f t="shared" si="71"/>
        <v>245558</v>
      </c>
      <c r="J144" s="59">
        <f t="shared" si="72"/>
        <v>1.9245962257389292E-2</v>
      </c>
      <c r="K144" s="48">
        <v>42</v>
      </c>
      <c r="L144" s="48">
        <v>974</v>
      </c>
      <c r="M144" s="52">
        <f t="shared" si="4"/>
        <v>1016</v>
      </c>
      <c r="N144" s="50">
        <f t="shared" si="5"/>
        <v>4.1338582677165357E-2</v>
      </c>
      <c r="O144" s="54">
        <f t="shared" ref="O144:P144" si="156">S144-S143</f>
        <v>9912</v>
      </c>
      <c r="P144" s="54">
        <f t="shared" si="156"/>
        <v>114</v>
      </c>
      <c r="Q144" s="54">
        <f t="shared" si="7"/>
        <v>9798</v>
      </c>
      <c r="R144" s="50">
        <f t="shared" si="8"/>
        <v>1.1501210653753027E-2</v>
      </c>
      <c r="S144" s="52">
        <f t="shared" si="9"/>
        <v>326627</v>
      </c>
      <c r="T144" s="48">
        <f t="shared" si="10"/>
        <v>8842</v>
      </c>
      <c r="U144" s="48">
        <f t="shared" si="11"/>
        <v>317785</v>
      </c>
      <c r="V144" s="50">
        <f t="shared" si="12"/>
        <v>2.7070634087200385E-2</v>
      </c>
    </row>
    <row r="145" spans="1:22" ht="13.2" x14ac:dyDescent="0.25">
      <c r="A145" s="48">
        <f t="shared" si="60"/>
        <v>143</v>
      </c>
      <c r="B145" s="49">
        <v>44339</v>
      </c>
      <c r="C145" s="48">
        <v>4111</v>
      </c>
      <c r="D145" s="48">
        <v>77230</v>
      </c>
      <c r="E145" s="48">
        <f t="shared" si="0"/>
        <v>81341</v>
      </c>
      <c r="F145" s="50">
        <f t="shared" si="1"/>
        <v>5.0540317920851723E-2</v>
      </c>
      <c r="G145" s="48">
        <v>4825</v>
      </c>
      <c r="H145" s="48">
        <v>249785</v>
      </c>
      <c r="I145" s="48">
        <f t="shared" si="71"/>
        <v>254610</v>
      </c>
      <c r="J145" s="59">
        <f t="shared" si="72"/>
        <v>1.8950551824358824E-2</v>
      </c>
      <c r="K145" s="48">
        <v>42</v>
      </c>
      <c r="L145" s="48">
        <v>974</v>
      </c>
      <c r="M145" s="52">
        <f t="shared" si="4"/>
        <v>1016</v>
      </c>
      <c r="N145" s="50">
        <f t="shared" si="5"/>
        <v>4.1338582677165357E-2</v>
      </c>
      <c r="O145" s="54">
        <f t="shared" ref="O145:P145" si="157">S145-S144</f>
        <v>10340</v>
      </c>
      <c r="P145" s="54">
        <f t="shared" si="157"/>
        <v>136</v>
      </c>
      <c r="Q145" s="54">
        <f t="shared" si="7"/>
        <v>10204</v>
      </c>
      <c r="R145" s="50">
        <f t="shared" si="8"/>
        <v>1.3152804642166345E-2</v>
      </c>
      <c r="S145" s="52">
        <f t="shared" si="9"/>
        <v>336967</v>
      </c>
      <c r="T145" s="48">
        <f t="shared" si="10"/>
        <v>8978</v>
      </c>
      <c r="U145" s="48">
        <f t="shared" si="11"/>
        <v>327989</v>
      </c>
      <c r="V145" s="50">
        <f t="shared" si="12"/>
        <v>2.6643558568049692E-2</v>
      </c>
    </row>
    <row r="146" spans="1:22" ht="13.2" x14ac:dyDescent="0.25">
      <c r="A146" s="48">
        <f t="shared" si="60"/>
        <v>144</v>
      </c>
      <c r="B146" s="49">
        <v>44340</v>
      </c>
      <c r="C146" s="48">
        <v>4113</v>
      </c>
      <c r="D146" s="48">
        <v>77584</v>
      </c>
      <c r="E146" s="48">
        <f t="shared" si="0"/>
        <v>81697</v>
      </c>
      <c r="F146" s="50">
        <f t="shared" si="1"/>
        <v>5.034456589593253E-2</v>
      </c>
      <c r="G146" s="48">
        <v>4949</v>
      </c>
      <c r="H146" s="48">
        <v>260215</v>
      </c>
      <c r="I146" s="48">
        <f t="shared" si="71"/>
        <v>265164</v>
      </c>
      <c r="J146" s="59">
        <f t="shared" si="72"/>
        <v>1.8663921195939116E-2</v>
      </c>
      <c r="K146" s="48">
        <v>42</v>
      </c>
      <c r="L146" s="48">
        <v>974</v>
      </c>
      <c r="M146" s="52">
        <f t="shared" si="4"/>
        <v>1016</v>
      </c>
      <c r="N146" s="50">
        <f t="shared" si="5"/>
        <v>4.1338582677165357E-2</v>
      </c>
      <c r="O146" s="54">
        <f t="shared" ref="O146:P146" si="158">S146-S145</f>
        <v>10910</v>
      </c>
      <c r="P146" s="54">
        <f t="shared" si="158"/>
        <v>126</v>
      </c>
      <c r="Q146" s="54">
        <f t="shared" si="7"/>
        <v>10784</v>
      </c>
      <c r="R146" s="50">
        <f t="shared" si="8"/>
        <v>1.154903758020165E-2</v>
      </c>
      <c r="S146" s="52">
        <f t="shared" si="9"/>
        <v>347877</v>
      </c>
      <c r="T146" s="48">
        <f t="shared" si="10"/>
        <v>9104</v>
      </c>
      <c r="U146" s="48">
        <f t="shared" si="11"/>
        <v>338773</v>
      </c>
      <c r="V146" s="50">
        <f t="shared" si="12"/>
        <v>2.6170169341462643E-2</v>
      </c>
    </row>
    <row r="147" spans="1:22" ht="13.2" x14ac:dyDescent="0.25">
      <c r="A147" s="48">
        <f t="shared" si="60"/>
        <v>145</v>
      </c>
      <c r="B147" s="49">
        <v>44341</v>
      </c>
      <c r="C147" s="48">
        <v>4113</v>
      </c>
      <c r="D147" s="48">
        <v>77934</v>
      </c>
      <c r="E147" s="48">
        <f t="shared" si="0"/>
        <v>82047</v>
      </c>
      <c r="F147" s="50">
        <f t="shared" si="1"/>
        <v>5.0129803649127939E-2</v>
      </c>
      <c r="G147" s="48">
        <v>5037</v>
      </c>
      <c r="H147" s="48">
        <v>267718</v>
      </c>
      <c r="I147" s="48">
        <f t="shared" si="71"/>
        <v>272755</v>
      </c>
      <c r="J147" s="59">
        <f t="shared" si="72"/>
        <v>1.8467122509211564E-2</v>
      </c>
      <c r="K147" s="48">
        <v>42</v>
      </c>
      <c r="L147" s="48">
        <v>974</v>
      </c>
      <c r="M147" s="52">
        <f t="shared" si="4"/>
        <v>1016</v>
      </c>
      <c r="N147" s="50">
        <f t="shared" si="5"/>
        <v>4.1338582677165357E-2</v>
      </c>
      <c r="O147" s="54">
        <f t="shared" ref="O147:P147" si="159">S147-S146</f>
        <v>7941</v>
      </c>
      <c r="P147" s="54">
        <f t="shared" si="159"/>
        <v>88</v>
      </c>
      <c r="Q147" s="54">
        <f t="shared" si="7"/>
        <v>7853</v>
      </c>
      <c r="R147" s="50">
        <f t="shared" si="8"/>
        <v>1.1081727742097973E-2</v>
      </c>
      <c r="S147" s="52">
        <f t="shared" si="9"/>
        <v>355818</v>
      </c>
      <c r="T147" s="48">
        <f t="shared" si="10"/>
        <v>9192</v>
      </c>
      <c r="U147" s="48">
        <f t="shared" si="11"/>
        <v>346626</v>
      </c>
      <c r="V147" s="50">
        <f t="shared" si="12"/>
        <v>2.5833431698227747E-2</v>
      </c>
    </row>
    <row r="148" spans="1:22" ht="13.2" x14ac:dyDescent="0.25">
      <c r="A148" s="48">
        <f t="shared" si="60"/>
        <v>146</v>
      </c>
      <c r="B148" s="49">
        <v>44342</v>
      </c>
      <c r="C148" s="48">
        <v>4125</v>
      </c>
      <c r="D148" s="48">
        <v>78888</v>
      </c>
      <c r="E148" s="48">
        <f t="shared" si="0"/>
        <v>83013</v>
      </c>
      <c r="F148" s="50">
        <f t="shared" si="1"/>
        <v>4.9691012251093201E-2</v>
      </c>
      <c r="G148" s="48">
        <v>5102</v>
      </c>
      <c r="H148" s="48">
        <v>272694</v>
      </c>
      <c r="I148" s="48">
        <f t="shared" si="71"/>
        <v>277796</v>
      </c>
      <c r="J148" s="59">
        <f t="shared" si="72"/>
        <v>1.8365995190715488E-2</v>
      </c>
      <c r="K148" s="48">
        <v>42</v>
      </c>
      <c r="L148" s="48">
        <v>974</v>
      </c>
      <c r="M148" s="52">
        <f t="shared" si="4"/>
        <v>1016</v>
      </c>
      <c r="N148" s="50">
        <f t="shared" si="5"/>
        <v>4.1338582677165357E-2</v>
      </c>
      <c r="O148" s="54">
        <f t="shared" ref="O148:P148" si="160">S148-S147</f>
        <v>6007</v>
      </c>
      <c r="P148" s="54">
        <f t="shared" si="160"/>
        <v>77</v>
      </c>
      <c r="Q148" s="54">
        <f t="shared" si="7"/>
        <v>5930</v>
      </c>
      <c r="R148" s="50">
        <f t="shared" si="8"/>
        <v>1.2818378558348593E-2</v>
      </c>
      <c r="S148" s="52">
        <f t="shared" si="9"/>
        <v>361825</v>
      </c>
      <c r="T148" s="48">
        <f t="shared" si="10"/>
        <v>9269</v>
      </c>
      <c r="U148" s="48">
        <f t="shared" si="11"/>
        <v>352556</v>
      </c>
      <c r="V148" s="50">
        <f t="shared" si="12"/>
        <v>2.5617356456850687E-2</v>
      </c>
    </row>
    <row r="149" spans="1:22" ht="13.2" x14ac:dyDescent="0.25">
      <c r="A149" s="48">
        <f t="shared" si="60"/>
        <v>147</v>
      </c>
      <c r="B149" s="49">
        <v>44343</v>
      </c>
      <c r="C149" s="48">
        <v>4143</v>
      </c>
      <c r="D149" s="48">
        <v>79974</v>
      </c>
      <c r="E149" s="48">
        <f t="shared" si="0"/>
        <v>84117</v>
      </c>
      <c r="F149" s="50">
        <f t="shared" si="1"/>
        <v>4.9252826420343093E-2</v>
      </c>
      <c r="G149" s="48">
        <v>5159</v>
      </c>
      <c r="H149" s="48">
        <v>278800</v>
      </c>
      <c r="I149" s="48">
        <f t="shared" si="71"/>
        <v>283959</v>
      </c>
      <c r="J149" s="59">
        <f t="shared" si="72"/>
        <v>1.8168115819537329E-2</v>
      </c>
      <c r="K149" s="48">
        <v>42</v>
      </c>
      <c r="L149" s="48">
        <v>974</v>
      </c>
      <c r="M149" s="52">
        <f t="shared" si="4"/>
        <v>1016</v>
      </c>
      <c r="N149" s="50">
        <f t="shared" si="5"/>
        <v>4.1338582677165357E-2</v>
      </c>
      <c r="O149" s="54">
        <f t="shared" ref="O149:P149" si="161">S149-S148</f>
        <v>7267</v>
      </c>
      <c r="P149" s="54">
        <f t="shared" si="161"/>
        <v>75</v>
      </c>
      <c r="Q149" s="54">
        <f t="shared" si="7"/>
        <v>7192</v>
      </c>
      <c r="R149" s="50">
        <f t="shared" si="8"/>
        <v>1.0320627494151644E-2</v>
      </c>
      <c r="S149" s="52">
        <f t="shared" si="9"/>
        <v>369092</v>
      </c>
      <c r="T149" s="48">
        <f t="shared" si="10"/>
        <v>9344</v>
      </c>
      <c r="U149" s="48">
        <f t="shared" si="11"/>
        <v>359748</v>
      </c>
      <c r="V149" s="50">
        <f t="shared" si="12"/>
        <v>2.531618133148375E-2</v>
      </c>
    </row>
    <row r="150" spans="1:22" ht="13.2" x14ac:dyDescent="0.25">
      <c r="A150" s="48">
        <f t="shared" si="60"/>
        <v>148</v>
      </c>
      <c r="B150" s="49">
        <v>44344</v>
      </c>
      <c r="C150" s="48">
        <v>4144</v>
      </c>
      <c r="D150" s="48">
        <v>80158</v>
      </c>
      <c r="E150" s="48">
        <f t="shared" si="0"/>
        <v>84302</v>
      </c>
      <c r="F150" s="50">
        <f t="shared" si="1"/>
        <v>4.9156603639296817E-2</v>
      </c>
      <c r="G150" s="48">
        <v>5306</v>
      </c>
      <c r="H150" s="48">
        <v>287040</v>
      </c>
      <c r="I150" s="48">
        <f t="shared" si="71"/>
        <v>292346</v>
      </c>
      <c r="J150" s="59">
        <f t="shared" si="72"/>
        <v>1.8149726693712245E-2</v>
      </c>
      <c r="K150" s="48">
        <v>42</v>
      </c>
      <c r="L150" s="48">
        <v>974</v>
      </c>
      <c r="M150" s="52">
        <f t="shared" si="4"/>
        <v>1016</v>
      </c>
      <c r="N150" s="50">
        <f t="shared" si="5"/>
        <v>4.1338582677165357E-2</v>
      </c>
      <c r="O150" s="54">
        <f t="shared" ref="O150:P150" si="162">S150-S149</f>
        <v>8572</v>
      </c>
      <c r="P150" s="54">
        <f t="shared" si="162"/>
        <v>148</v>
      </c>
      <c r="Q150" s="54">
        <f t="shared" si="7"/>
        <v>8424</v>
      </c>
      <c r="R150" s="50">
        <f t="shared" si="8"/>
        <v>1.726551563229118E-2</v>
      </c>
      <c r="S150" s="52">
        <f t="shared" si="9"/>
        <v>377664</v>
      </c>
      <c r="T150" s="48">
        <f t="shared" si="10"/>
        <v>9492</v>
      </c>
      <c r="U150" s="48">
        <f t="shared" si="11"/>
        <v>368172</v>
      </c>
      <c r="V150" s="50">
        <f t="shared" si="12"/>
        <v>2.5133451957295373E-2</v>
      </c>
    </row>
    <row r="151" spans="1:22" ht="13.2" x14ac:dyDescent="0.25">
      <c r="A151" s="48">
        <f t="shared" si="60"/>
        <v>149</v>
      </c>
      <c r="B151" s="49">
        <v>44345</v>
      </c>
      <c r="C151" s="48">
        <v>4153</v>
      </c>
      <c r="D151" s="48">
        <v>81075</v>
      </c>
      <c r="E151" s="48">
        <f t="shared" si="0"/>
        <v>85228</v>
      </c>
      <c r="F151" s="50">
        <f t="shared" si="1"/>
        <v>4.8728117520063827E-2</v>
      </c>
      <c r="G151" s="48">
        <v>5371</v>
      </c>
      <c r="H151" s="48">
        <v>291016</v>
      </c>
      <c r="I151" s="48">
        <f t="shared" si="71"/>
        <v>296387</v>
      </c>
      <c r="J151" s="59">
        <f t="shared" si="72"/>
        <v>1.8121577532077993E-2</v>
      </c>
      <c r="K151" s="48">
        <v>42</v>
      </c>
      <c r="L151" s="48">
        <v>974</v>
      </c>
      <c r="M151" s="52">
        <f t="shared" si="4"/>
        <v>1016</v>
      </c>
      <c r="N151" s="50">
        <f t="shared" si="5"/>
        <v>4.1338582677165357E-2</v>
      </c>
      <c r="O151" s="54">
        <f t="shared" ref="O151:P151" si="163">S151-S150</f>
        <v>4967</v>
      </c>
      <c r="P151" s="54">
        <f t="shared" si="163"/>
        <v>74</v>
      </c>
      <c r="Q151" s="54">
        <f t="shared" si="7"/>
        <v>4893</v>
      </c>
      <c r="R151" s="50">
        <f t="shared" si="8"/>
        <v>1.4898328971209986E-2</v>
      </c>
      <c r="S151" s="52">
        <f t="shared" si="9"/>
        <v>382631</v>
      </c>
      <c r="T151" s="48">
        <f t="shared" si="10"/>
        <v>9566</v>
      </c>
      <c r="U151" s="48">
        <f t="shared" si="11"/>
        <v>373065</v>
      </c>
      <c r="V151" s="50">
        <f t="shared" si="12"/>
        <v>2.5000588033902114E-2</v>
      </c>
    </row>
    <row r="152" spans="1:22" ht="13.2" x14ac:dyDescent="0.25">
      <c r="A152" s="48">
        <f t="shared" si="60"/>
        <v>150</v>
      </c>
      <c r="B152" s="49">
        <v>44346</v>
      </c>
      <c r="C152" s="48">
        <v>4168</v>
      </c>
      <c r="D152" s="48">
        <v>82247</v>
      </c>
      <c r="E152" s="48">
        <f t="shared" si="0"/>
        <v>86415</v>
      </c>
      <c r="F152" s="50">
        <f t="shared" si="1"/>
        <v>4.8232367065902913E-2</v>
      </c>
      <c r="G152" s="48">
        <v>5444</v>
      </c>
      <c r="H152" s="48">
        <v>297323</v>
      </c>
      <c r="I152" s="48">
        <f t="shared" si="71"/>
        <v>302767</v>
      </c>
      <c r="J152" s="59">
        <f t="shared" si="72"/>
        <v>1.7980823537571796E-2</v>
      </c>
      <c r="K152" s="48">
        <v>42</v>
      </c>
      <c r="L152" s="48">
        <v>974</v>
      </c>
      <c r="M152" s="52">
        <f t="shared" si="4"/>
        <v>1016</v>
      </c>
      <c r="N152" s="50">
        <f t="shared" si="5"/>
        <v>4.1338582677165357E-2</v>
      </c>
      <c r="O152" s="54">
        <f t="shared" ref="O152:P152" si="164">S152-S151</f>
        <v>7567</v>
      </c>
      <c r="P152" s="54">
        <f t="shared" si="164"/>
        <v>88</v>
      </c>
      <c r="Q152" s="54">
        <f t="shared" si="7"/>
        <v>7479</v>
      </c>
      <c r="R152" s="50">
        <f t="shared" si="8"/>
        <v>1.1629443636844192E-2</v>
      </c>
      <c r="S152" s="52">
        <f t="shared" si="9"/>
        <v>390198</v>
      </c>
      <c r="T152" s="48">
        <f t="shared" si="10"/>
        <v>9654</v>
      </c>
      <c r="U152" s="48">
        <f t="shared" si="11"/>
        <v>380544</v>
      </c>
      <c r="V152" s="50">
        <f t="shared" si="12"/>
        <v>2.4741285193670904E-2</v>
      </c>
    </row>
    <row r="153" spans="1:22" ht="13.2" x14ac:dyDescent="0.25">
      <c r="A153" s="48">
        <f t="shared" si="60"/>
        <v>151</v>
      </c>
      <c r="B153" s="49">
        <v>44347</v>
      </c>
      <c r="C153" s="48">
        <v>4192</v>
      </c>
      <c r="D153" s="48">
        <v>82985</v>
      </c>
      <c r="E153" s="48">
        <f t="shared" si="0"/>
        <v>87177</v>
      </c>
      <c r="F153" s="50">
        <f t="shared" si="1"/>
        <v>4.8086077749865216E-2</v>
      </c>
      <c r="G153" s="48">
        <v>5475</v>
      </c>
      <c r="H153" s="48">
        <v>299924</v>
      </c>
      <c r="I153" s="48">
        <f t="shared" si="71"/>
        <v>305399</v>
      </c>
      <c r="J153" s="59">
        <f t="shared" si="72"/>
        <v>1.7927367149204811E-2</v>
      </c>
      <c r="K153" s="48">
        <v>42</v>
      </c>
      <c r="L153" s="48">
        <v>974</v>
      </c>
      <c r="M153" s="52">
        <f t="shared" si="4"/>
        <v>1016</v>
      </c>
      <c r="N153" s="50">
        <f t="shared" si="5"/>
        <v>4.1338582677165357E-2</v>
      </c>
      <c r="O153" s="54">
        <f t="shared" ref="O153:P153" si="165">S153-S152</f>
        <v>3394</v>
      </c>
      <c r="P153" s="54">
        <f t="shared" si="165"/>
        <v>55</v>
      </c>
      <c r="Q153" s="54">
        <f t="shared" si="7"/>
        <v>3339</v>
      </c>
      <c r="R153" s="50">
        <f t="shared" si="8"/>
        <v>1.6205067766647024E-2</v>
      </c>
      <c r="S153" s="52">
        <f t="shared" si="9"/>
        <v>393592</v>
      </c>
      <c r="T153" s="48">
        <f t="shared" si="10"/>
        <v>9709</v>
      </c>
      <c r="U153" s="48">
        <f t="shared" si="11"/>
        <v>383883</v>
      </c>
      <c r="V153" s="50">
        <f t="shared" si="12"/>
        <v>2.4667676172279926E-2</v>
      </c>
    </row>
    <row r="154" spans="1:22" ht="13.2" x14ac:dyDescent="0.25">
      <c r="A154" s="48">
        <f t="shared" si="60"/>
        <v>152</v>
      </c>
      <c r="B154" s="49">
        <v>44348</v>
      </c>
      <c r="C154" s="48">
        <v>4194</v>
      </c>
      <c r="D154" s="48">
        <v>83396</v>
      </c>
      <c r="E154" s="48">
        <f t="shared" si="0"/>
        <v>87590</v>
      </c>
      <c r="F154" s="50">
        <f t="shared" si="1"/>
        <v>4.7882178330859684E-2</v>
      </c>
      <c r="G154" s="48">
        <v>5578</v>
      </c>
      <c r="H154" s="48">
        <v>306788</v>
      </c>
      <c r="I154" s="48">
        <f t="shared" si="71"/>
        <v>312366</v>
      </c>
      <c r="J154" s="59">
        <f t="shared" si="72"/>
        <v>1.7857257191883878E-2</v>
      </c>
      <c r="K154" s="48">
        <v>42</v>
      </c>
      <c r="L154" s="48">
        <v>974</v>
      </c>
      <c r="M154" s="52">
        <f t="shared" si="4"/>
        <v>1016</v>
      </c>
      <c r="N154" s="50">
        <f t="shared" si="5"/>
        <v>4.1338582677165357E-2</v>
      </c>
      <c r="O154" s="54">
        <f t="shared" ref="O154:P154" si="166">S154-S153</f>
        <v>7380</v>
      </c>
      <c r="P154" s="54">
        <f t="shared" si="166"/>
        <v>105</v>
      </c>
      <c r="Q154" s="54">
        <f t="shared" si="7"/>
        <v>7275</v>
      </c>
      <c r="R154" s="50">
        <f t="shared" si="8"/>
        <v>1.4227642276422764E-2</v>
      </c>
      <c r="S154" s="52">
        <f t="shared" si="9"/>
        <v>400972</v>
      </c>
      <c r="T154" s="48">
        <f t="shared" si="10"/>
        <v>9814</v>
      </c>
      <c r="U154" s="48">
        <f t="shared" si="11"/>
        <v>391158</v>
      </c>
      <c r="V154" s="50">
        <f t="shared" si="12"/>
        <v>2.4475524475524476E-2</v>
      </c>
    </row>
    <row r="155" spans="1:22" ht="13.2" x14ac:dyDescent="0.25">
      <c r="A155" s="48">
        <f t="shared" si="60"/>
        <v>153</v>
      </c>
      <c r="B155" s="49">
        <v>44349</v>
      </c>
      <c r="C155" s="48">
        <v>4207</v>
      </c>
      <c r="D155" s="48">
        <v>84136</v>
      </c>
      <c r="E155" s="48">
        <f t="shared" si="0"/>
        <v>88343</v>
      </c>
      <c r="F155" s="50">
        <f t="shared" si="1"/>
        <v>4.7621203717329044E-2</v>
      </c>
      <c r="G155" s="48">
        <v>5649</v>
      </c>
      <c r="H155" s="48">
        <v>311181</v>
      </c>
      <c r="I155" s="48">
        <f t="shared" si="71"/>
        <v>316830</v>
      </c>
      <c r="J155" s="59">
        <f t="shared" si="72"/>
        <v>1.7829750970552029E-2</v>
      </c>
      <c r="K155" s="48">
        <v>42</v>
      </c>
      <c r="L155" s="48">
        <v>974</v>
      </c>
      <c r="M155" s="52">
        <f t="shared" si="4"/>
        <v>1016</v>
      </c>
      <c r="N155" s="50">
        <f t="shared" si="5"/>
        <v>4.1338582677165357E-2</v>
      </c>
      <c r="O155" s="54">
        <f t="shared" ref="O155:P155" si="167">S155-S154</f>
        <v>5217</v>
      </c>
      <c r="P155" s="54">
        <f t="shared" si="167"/>
        <v>84</v>
      </c>
      <c r="Q155" s="54">
        <f t="shared" si="7"/>
        <v>5133</v>
      </c>
      <c r="R155" s="50">
        <f t="shared" si="8"/>
        <v>1.6101207590569294E-2</v>
      </c>
      <c r="S155" s="52">
        <f t="shared" si="9"/>
        <v>406189</v>
      </c>
      <c r="T155" s="48">
        <f t="shared" si="10"/>
        <v>9898</v>
      </c>
      <c r="U155" s="48">
        <f t="shared" si="11"/>
        <v>396291</v>
      </c>
      <c r="V155" s="50">
        <f t="shared" si="12"/>
        <v>2.436796663622107E-2</v>
      </c>
    </row>
    <row r="156" spans="1:22" ht="13.2" x14ac:dyDescent="0.25">
      <c r="A156" s="48">
        <f t="shared" si="60"/>
        <v>154</v>
      </c>
      <c r="B156" s="49">
        <v>44350</v>
      </c>
      <c r="C156" s="48">
        <v>4209</v>
      </c>
      <c r="D156" s="48">
        <v>84259</v>
      </c>
      <c r="E156" s="48">
        <f t="shared" si="0"/>
        <v>88468</v>
      </c>
      <c r="F156" s="50">
        <f t="shared" si="1"/>
        <v>4.7576524845141743E-2</v>
      </c>
      <c r="G156" s="48">
        <v>5803</v>
      </c>
      <c r="H156" s="48">
        <v>318546</v>
      </c>
      <c r="I156" s="48">
        <f t="shared" si="71"/>
        <v>324349</v>
      </c>
      <c r="J156" s="59">
        <f t="shared" si="72"/>
        <v>1.7891222109517834E-2</v>
      </c>
      <c r="K156" s="48">
        <v>42</v>
      </c>
      <c r="L156" s="48">
        <v>974</v>
      </c>
      <c r="M156" s="52">
        <f t="shared" si="4"/>
        <v>1016</v>
      </c>
      <c r="N156" s="50">
        <f t="shared" si="5"/>
        <v>4.1338582677165357E-2</v>
      </c>
      <c r="O156" s="54">
        <f t="shared" ref="O156:P156" si="168">S156-S155</f>
        <v>7644</v>
      </c>
      <c r="P156" s="54">
        <f t="shared" si="168"/>
        <v>156</v>
      </c>
      <c r="Q156" s="54">
        <f t="shared" si="7"/>
        <v>7488</v>
      </c>
      <c r="R156" s="50">
        <f t="shared" si="8"/>
        <v>2.0408163265306121E-2</v>
      </c>
      <c r="S156" s="52">
        <f t="shared" si="9"/>
        <v>413833</v>
      </c>
      <c r="T156" s="48">
        <f t="shared" si="10"/>
        <v>10054</v>
      </c>
      <c r="U156" s="48">
        <f t="shared" si="11"/>
        <v>403779</v>
      </c>
      <c r="V156" s="50">
        <f t="shared" si="12"/>
        <v>2.4294824240696126E-2</v>
      </c>
    </row>
    <row r="157" spans="1:22" ht="13.2" x14ac:dyDescent="0.25">
      <c r="A157" s="48">
        <f t="shared" si="60"/>
        <v>155</v>
      </c>
      <c r="B157" s="49">
        <v>44351</v>
      </c>
      <c r="C157" s="48">
        <v>4230</v>
      </c>
      <c r="D157" s="48">
        <v>85145</v>
      </c>
      <c r="E157" s="48">
        <f t="shared" si="0"/>
        <v>89375</v>
      </c>
      <c r="F157" s="50">
        <f t="shared" si="1"/>
        <v>4.7328671328671329E-2</v>
      </c>
      <c r="G157" s="48">
        <v>5926</v>
      </c>
      <c r="H157" s="48">
        <v>324090</v>
      </c>
      <c r="I157" s="48">
        <f t="shared" si="71"/>
        <v>330016</v>
      </c>
      <c r="J157" s="59">
        <f t="shared" si="72"/>
        <v>1.7956705129448268E-2</v>
      </c>
      <c r="K157" s="48">
        <v>42</v>
      </c>
      <c r="L157" s="48">
        <v>974</v>
      </c>
      <c r="M157" s="52">
        <f t="shared" si="4"/>
        <v>1016</v>
      </c>
      <c r="N157" s="50">
        <f t="shared" si="5"/>
        <v>4.1338582677165357E-2</v>
      </c>
      <c r="O157" s="54">
        <f t="shared" ref="O157:P157" si="169">S157-S156</f>
        <v>6574</v>
      </c>
      <c r="P157" s="54">
        <f t="shared" si="169"/>
        <v>144</v>
      </c>
      <c r="Q157" s="54">
        <f t="shared" si="7"/>
        <v>6430</v>
      </c>
      <c r="R157" s="50">
        <f t="shared" si="8"/>
        <v>2.1904472163066627E-2</v>
      </c>
      <c r="S157" s="52">
        <f t="shared" si="9"/>
        <v>420407</v>
      </c>
      <c r="T157" s="48">
        <f t="shared" si="10"/>
        <v>10198</v>
      </c>
      <c r="U157" s="48">
        <f t="shared" si="11"/>
        <v>410209</v>
      </c>
      <c r="V157" s="50">
        <f t="shared" si="12"/>
        <v>2.4257445760893611E-2</v>
      </c>
    </row>
    <row r="158" spans="1:22" ht="13.2" x14ac:dyDescent="0.25">
      <c r="A158" s="48">
        <f t="shared" si="60"/>
        <v>156</v>
      </c>
      <c r="B158" s="49">
        <v>44352</v>
      </c>
      <c r="C158" s="48">
        <v>4250</v>
      </c>
      <c r="D158" s="48">
        <v>85851</v>
      </c>
      <c r="E158" s="48">
        <f t="shared" si="0"/>
        <v>90101</v>
      </c>
      <c r="F158" s="50">
        <f t="shared" si="1"/>
        <v>4.7169287799247513E-2</v>
      </c>
      <c r="G158" s="48">
        <v>6076</v>
      </c>
      <c r="H158" s="48">
        <v>329732</v>
      </c>
      <c r="I158" s="48">
        <f t="shared" si="71"/>
        <v>335808</v>
      </c>
      <c r="J158" s="59">
        <f t="shared" si="72"/>
        <v>1.809367257480465E-2</v>
      </c>
      <c r="K158" s="48">
        <v>42</v>
      </c>
      <c r="L158" s="48">
        <v>974</v>
      </c>
      <c r="M158" s="52">
        <f t="shared" si="4"/>
        <v>1016</v>
      </c>
      <c r="N158" s="50">
        <f t="shared" si="5"/>
        <v>4.1338582677165357E-2</v>
      </c>
      <c r="O158" s="54">
        <f t="shared" ref="O158:P158" si="170">S158-S157</f>
        <v>6518</v>
      </c>
      <c r="P158" s="54">
        <f t="shared" si="170"/>
        <v>170</v>
      </c>
      <c r="Q158" s="54">
        <f t="shared" si="7"/>
        <v>6348</v>
      </c>
      <c r="R158" s="50">
        <f t="shared" si="8"/>
        <v>2.6081620128873887E-2</v>
      </c>
      <c r="S158" s="52">
        <f t="shared" si="9"/>
        <v>426925</v>
      </c>
      <c r="T158" s="48">
        <f t="shared" si="10"/>
        <v>10368</v>
      </c>
      <c r="U158" s="48">
        <f t="shared" si="11"/>
        <v>416557</v>
      </c>
      <c r="V158" s="50">
        <f t="shared" si="12"/>
        <v>2.4285296012180126E-2</v>
      </c>
    </row>
    <row r="159" spans="1:22" ht="13.2" x14ac:dyDescent="0.25">
      <c r="A159" s="48">
        <f t="shared" si="60"/>
        <v>157</v>
      </c>
      <c r="B159" s="49">
        <v>44353</v>
      </c>
      <c r="C159" s="48">
        <v>4269</v>
      </c>
      <c r="D159" s="48">
        <v>86322</v>
      </c>
      <c r="E159" s="48">
        <f t="shared" si="0"/>
        <v>90591</v>
      </c>
      <c r="F159" s="50">
        <f t="shared" si="1"/>
        <v>4.7123886478789283E-2</v>
      </c>
      <c r="G159" s="48">
        <v>6208</v>
      </c>
      <c r="H159" s="48">
        <v>333896</v>
      </c>
      <c r="I159" s="48">
        <f t="shared" si="71"/>
        <v>340104</v>
      </c>
      <c r="J159" s="59">
        <f t="shared" si="72"/>
        <v>1.8253240185355069E-2</v>
      </c>
      <c r="K159" s="48">
        <v>42</v>
      </c>
      <c r="L159" s="48">
        <v>974</v>
      </c>
      <c r="M159" s="52">
        <f t="shared" si="4"/>
        <v>1016</v>
      </c>
      <c r="N159" s="50">
        <f t="shared" si="5"/>
        <v>4.1338582677165357E-2</v>
      </c>
      <c r="O159" s="54">
        <f t="shared" ref="O159:P159" si="171">S159-S158</f>
        <v>4786</v>
      </c>
      <c r="P159" s="54">
        <f t="shared" si="171"/>
        <v>151</v>
      </c>
      <c r="Q159" s="54">
        <f t="shared" si="7"/>
        <v>4635</v>
      </c>
      <c r="R159" s="50">
        <f t="shared" si="8"/>
        <v>3.155035520267447E-2</v>
      </c>
      <c r="S159" s="52">
        <f t="shared" si="9"/>
        <v>431711</v>
      </c>
      <c r="T159" s="48">
        <f t="shared" si="10"/>
        <v>10519</v>
      </c>
      <c r="U159" s="48">
        <f t="shared" si="11"/>
        <v>421192</v>
      </c>
      <c r="V159" s="50">
        <f t="shared" si="12"/>
        <v>2.4365837330992263E-2</v>
      </c>
    </row>
    <row r="160" spans="1:22" ht="13.2" x14ac:dyDescent="0.25">
      <c r="A160" s="48">
        <f t="shared" si="60"/>
        <v>158</v>
      </c>
      <c r="B160" s="49">
        <v>44354</v>
      </c>
      <c r="C160" s="48">
        <v>4277</v>
      </c>
      <c r="D160" s="48">
        <v>86660</v>
      </c>
      <c r="E160" s="48">
        <f t="shared" si="0"/>
        <v>90937</v>
      </c>
      <c r="F160" s="50">
        <f t="shared" si="1"/>
        <v>4.7032561003771844E-2</v>
      </c>
      <c r="G160" s="48">
        <v>6303</v>
      </c>
      <c r="H160" s="48">
        <v>336755</v>
      </c>
      <c r="I160" s="48">
        <f t="shared" si="71"/>
        <v>343058</v>
      </c>
      <c r="J160" s="59">
        <f t="shared" si="72"/>
        <v>1.8372986492080058E-2</v>
      </c>
      <c r="K160" s="48">
        <v>42</v>
      </c>
      <c r="L160" s="48">
        <v>974</v>
      </c>
      <c r="M160" s="52">
        <f t="shared" si="4"/>
        <v>1016</v>
      </c>
      <c r="N160" s="50">
        <f t="shared" si="5"/>
        <v>4.1338582677165357E-2</v>
      </c>
      <c r="O160" s="54">
        <f t="shared" ref="O160:P160" si="172">S160-S159</f>
        <v>3300</v>
      </c>
      <c r="P160" s="54">
        <f t="shared" si="172"/>
        <v>103</v>
      </c>
      <c r="Q160" s="54">
        <f t="shared" si="7"/>
        <v>3197</v>
      </c>
      <c r="R160" s="50">
        <f t="shared" si="8"/>
        <v>3.1212121212121212E-2</v>
      </c>
      <c r="S160" s="52">
        <f t="shared" si="9"/>
        <v>435011</v>
      </c>
      <c r="T160" s="48">
        <f t="shared" si="10"/>
        <v>10622</v>
      </c>
      <c r="U160" s="48">
        <f t="shared" si="11"/>
        <v>424389</v>
      </c>
      <c r="V160" s="50">
        <f t="shared" si="12"/>
        <v>2.4417773343662574E-2</v>
      </c>
    </row>
    <row r="161" spans="1:22" ht="13.2" x14ac:dyDescent="0.25">
      <c r="A161" s="48">
        <f t="shared" si="60"/>
        <v>159</v>
      </c>
      <c r="B161" s="49">
        <v>44355</v>
      </c>
      <c r="C161" s="48">
        <v>4280</v>
      </c>
      <c r="D161" s="48">
        <v>87024</v>
      </c>
      <c r="E161" s="48">
        <f t="shared" si="0"/>
        <v>91304</v>
      </c>
      <c r="F161" s="50">
        <f t="shared" si="1"/>
        <v>4.6876369052834488E-2</v>
      </c>
      <c r="G161" s="48">
        <v>6533</v>
      </c>
      <c r="H161" s="48">
        <v>343835</v>
      </c>
      <c r="I161" s="48">
        <f t="shared" si="71"/>
        <v>350368</v>
      </c>
      <c r="J161" s="59">
        <f t="shared" si="72"/>
        <v>1.8646109233719975E-2</v>
      </c>
      <c r="K161" s="48">
        <v>42</v>
      </c>
      <c r="L161" s="48">
        <v>974</v>
      </c>
      <c r="M161" s="52">
        <f t="shared" si="4"/>
        <v>1016</v>
      </c>
      <c r="N161" s="50">
        <f t="shared" si="5"/>
        <v>4.1338582677165357E-2</v>
      </c>
      <c r="O161" s="54">
        <f t="shared" ref="O161:P161" si="173">S161-S160</f>
        <v>7677</v>
      </c>
      <c r="P161" s="54">
        <f t="shared" si="173"/>
        <v>233</v>
      </c>
      <c r="Q161" s="54">
        <f t="shared" si="7"/>
        <v>7444</v>
      </c>
      <c r="R161" s="50">
        <f t="shared" si="8"/>
        <v>3.0350397290608309E-2</v>
      </c>
      <c r="S161" s="52">
        <f t="shared" si="9"/>
        <v>442688</v>
      </c>
      <c r="T161" s="48">
        <f t="shared" si="10"/>
        <v>10855</v>
      </c>
      <c r="U161" s="48">
        <f t="shared" si="11"/>
        <v>431833</v>
      </c>
      <c r="V161" s="50">
        <f t="shared" si="12"/>
        <v>2.4520655631053927E-2</v>
      </c>
    </row>
    <row r="162" spans="1:22" ht="13.2" x14ac:dyDescent="0.25">
      <c r="A162" s="48">
        <f t="shared" si="60"/>
        <v>160</v>
      </c>
      <c r="B162" s="49">
        <v>44356</v>
      </c>
      <c r="C162" s="48">
        <v>4284</v>
      </c>
      <c r="D162" s="48">
        <v>87350</v>
      </c>
      <c r="E162" s="48">
        <f t="shared" si="0"/>
        <v>91634</v>
      </c>
      <c r="F162" s="50">
        <f t="shared" si="1"/>
        <v>4.6751205884278758E-2</v>
      </c>
      <c r="G162" s="48">
        <v>6766</v>
      </c>
      <c r="H162" s="48">
        <v>349404</v>
      </c>
      <c r="I162" s="48">
        <f t="shared" si="71"/>
        <v>356170</v>
      </c>
      <c r="J162" s="59">
        <f t="shared" si="72"/>
        <v>1.8996546592919113E-2</v>
      </c>
      <c r="K162" s="48">
        <v>42</v>
      </c>
      <c r="L162" s="48">
        <v>974</v>
      </c>
      <c r="M162" s="52">
        <f t="shared" si="4"/>
        <v>1016</v>
      </c>
      <c r="N162" s="50">
        <f t="shared" si="5"/>
        <v>4.1338582677165357E-2</v>
      </c>
      <c r="O162" s="54">
        <f t="shared" ref="O162:P162" si="174">S162-S161</f>
        <v>6132</v>
      </c>
      <c r="P162" s="54">
        <f t="shared" si="174"/>
        <v>237</v>
      </c>
      <c r="Q162" s="54">
        <f t="shared" si="7"/>
        <v>5895</v>
      </c>
      <c r="R162" s="50">
        <f t="shared" si="8"/>
        <v>3.8649706457925634E-2</v>
      </c>
      <c r="S162" s="52">
        <f t="shared" si="9"/>
        <v>448820</v>
      </c>
      <c r="T162" s="48">
        <f t="shared" si="10"/>
        <v>11092</v>
      </c>
      <c r="U162" s="48">
        <f t="shared" si="11"/>
        <v>437728</v>
      </c>
      <c r="V162" s="50">
        <f t="shared" si="12"/>
        <v>2.4713693685664631E-2</v>
      </c>
    </row>
    <row r="163" spans="1:22" ht="13.2" x14ac:dyDescent="0.25">
      <c r="A163" s="48">
        <f t="shared" si="60"/>
        <v>161</v>
      </c>
      <c r="B163" s="49">
        <v>44357</v>
      </c>
      <c r="C163" s="48">
        <v>4288</v>
      </c>
      <c r="D163" s="48">
        <v>87673</v>
      </c>
      <c r="E163" s="48">
        <f t="shared" si="0"/>
        <v>91961</v>
      </c>
      <c r="F163" s="50">
        <f t="shared" si="1"/>
        <v>4.6628462065440787E-2</v>
      </c>
      <c r="G163" s="48">
        <v>6992</v>
      </c>
      <c r="H163" s="48">
        <v>354247</v>
      </c>
      <c r="I163" s="48">
        <f t="shared" si="71"/>
        <v>361239</v>
      </c>
      <c r="J163" s="59">
        <f t="shared" si="72"/>
        <v>1.9355606675912622E-2</v>
      </c>
      <c r="K163" s="48">
        <v>42</v>
      </c>
      <c r="L163" s="48">
        <v>974</v>
      </c>
      <c r="M163" s="52">
        <f t="shared" si="4"/>
        <v>1016</v>
      </c>
      <c r="N163" s="50">
        <f t="shared" si="5"/>
        <v>4.1338582677165357E-2</v>
      </c>
      <c r="O163" s="54">
        <f t="shared" ref="O163:P163" si="175">S163-S162</f>
        <v>5396</v>
      </c>
      <c r="P163" s="54">
        <f t="shared" si="175"/>
        <v>230</v>
      </c>
      <c r="Q163" s="54">
        <f t="shared" si="7"/>
        <v>5166</v>
      </c>
      <c r="R163" s="50">
        <f t="shared" si="8"/>
        <v>4.2624166048925133E-2</v>
      </c>
      <c r="S163" s="52">
        <f t="shared" si="9"/>
        <v>454216</v>
      </c>
      <c r="T163" s="48">
        <f t="shared" si="10"/>
        <v>11322</v>
      </c>
      <c r="U163" s="48">
        <f t="shared" si="11"/>
        <v>442894</v>
      </c>
      <c r="V163" s="50">
        <f t="shared" si="12"/>
        <v>2.4926466703066384E-2</v>
      </c>
    </row>
    <row r="164" spans="1:22" ht="13.2" x14ac:dyDescent="0.25">
      <c r="A164" s="48">
        <f t="shared" si="60"/>
        <v>162</v>
      </c>
      <c r="B164" s="49">
        <v>44358</v>
      </c>
      <c r="C164" s="48">
        <v>4303</v>
      </c>
      <c r="D164" s="48">
        <v>88271</v>
      </c>
      <c r="E164" s="48">
        <f t="shared" si="0"/>
        <v>92574</v>
      </c>
      <c r="F164" s="50">
        <f t="shared" si="1"/>
        <v>4.6481733532093242E-2</v>
      </c>
      <c r="G164" s="48">
        <v>7193</v>
      </c>
      <c r="H164" s="48">
        <v>359659</v>
      </c>
      <c r="I164" s="48">
        <f t="shared" si="71"/>
        <v>366852</v>
      </c>
      <c r="J164" s="59">
        <f t="shared" si="72"/>
        <v>1.9607362096976437E-2</v>
      </c>
      <c r="K164" s="48">
        <v>42</v>
      </c>
      <c r="L164" s="48">
        <v>974</v>
      </c>
      <c r="M164" s="52">
        <f t="shared" si="4"/>
        <v>1016</v>
      </c>
      <c r="N164" s="50">
        <f t="shared" si="5"/>
        <v>4.1338582677165357E-2</v>
      </c>
      <c r="O164" s="54">
        <f t="shared" ref="O164:P164" si="176">S164-S163</f>
        <v>6226</v>
      </c>
      <c r="P164" s="54">
        <f t="shared" si="176"/>
        <v>216</v>
      </c>
      <c r="Q164" s="54">
        <f t="shared" si="7"/>
        <v>6010</v>
      </c>
      <c r="R164" s="50">
        <f t="shared" si="8"/>
        <v>3.4693221972373914E-2</v>
      </c>
      <c r="S164" s="52">
        <f t="shared" si="9"/>
        <v>460442</v>
      </c>
      <c r="T164" s="48">
        <f t="shared" si="10"/>
        <v>11538</v>
      </c>
      <c r="U164" s="48">
        <f t="shared" si="11"/>
        <v>448904</v>
      </c>
      <c r="V164" s="50">
        <f t="shared" si="12"/>
        <v>2.5058530716137971E-2</v>
      </c>
    </row>
    <row r="165" spans="1:22" ht="13.2" x14ac:dyDescent="0.25">
      <c r="A165" s="48">
        <f t="shared" si="60"/>
        <v>163</v>
      </c>
      <c r="B165" s="49">
        <v>44359</v>
      </c>
      <c r="C165" s="48">
        <v>4325</v>
      </c>
      <c r="D165" s="48">
        <v>88905</v>
      </c>
      <c r="E165" s="48">
        <f t="shared" si="0"/>
        <v>93230</v>
      </c>
      <c r="F165" s="50">
        <f t="shared" si="1"/>
        <v>4.6390646787514749E-2</v>
      </c>
      <c r="G165" s="48">
        <v>7481</v>
      </c>
      <c r="H165" s="48">
        <v>364204</v>
      </c>
      <c r="I165" s="48">
        <f t="shared" si="71"/>
        <v>371685</v>
      </c>
      <c r="J165" s="59">
        <f t="shared" si="72"/>
        <v>2.012725829667595E-2</v>
      </c>
      <c r="K165" s="48">
        <v>42</v>
      </c>
      <c r="L165" s="48">
        <v>974</v>
      </c>
      <c r="M165" s="52">
        <f t="shared" si="4"/>
        <v>1016</v>
      </c>
      <c r="N165" s="50">
        <f t="shared" si="5"/>
        <v>4.1338582677165357E-2</v>
      </c>
      <c r="O165" s="54">
        <f t="shared" ref="O165:P165" si="177">S165-S164</f>
        <v>5489</v>
      </c>
      <c r="P165" s="54">
        <f t="shared" si="177"/>
        <v>310</v>
      </c>
      <c r="Q165" s="54">
        <f t="shared" si="7"/>
        <v>5179</v>
      </c>
      <c r="R165" s="50">
        <f t="shared" si="8"/>
        <v>5.6476589542721806E-2</v>
      </c>
      <c r="S165" s="52">
        <f t="shared" si="9"/>
        <v>465931</v>
      </c>
      <c r="T165" s="48">
        <f t="shared" si="10"/>
        <v>11848</v>
      </c>
      <c r="U165" s="48">
        <f t="shared" si="11"/>
        <v>454083</v>
      </c>
      <c r="V165" s="50">
        <f t="shared" si="12"/>
        <v>2.542865789140452E-2</v>
      </c>
    </row>
    <row r="166" spans="1:22" ht="13.2" x14ac:dyDescent="0.25">
      <c r="A166" s="48">
        <f t="shared" si="60"/>
        <v>164</v>
      </c>
      <c r="B166" s="49">
        <v>44360</v>
      </c>
      <c r="C166" s="48">
        <v>4342</v>
      </c>
      <c r="D166" s="48">
        <v>89305</v>
      </c>
      <c r="E166" s="48">
        <f t="shared" si="0"/>
        <v>93647</v>
      </c>
      <c r="F166" s="50">
        <f t="shared" si="1"/>
        <v>4.6365607013572244E-2</v>
      </c>
      <c r="G166" s="48">
        <v>7713</v>
      </c>
      <c r="H166" s="48">
        <v>367162</v>
      </c>
      <c r="I166" s="48">
        <f t="shared" si="71"/>
        <v>374875</v>
      </c>
      <c r="J166" s="59">
        <f t="shared" si="72"/>
        <v>2.0574858286095364E-2</v>
      </c>
      <c r="K166" s="48">
        <v>42</v>
      </c>
      <c r="L166" s="48">
        <v>974</v>
      </c>
      <c r="M166" s="52">
        <f t="shared" si="4"/>
        <v>1016</v>
      </c>
      <c r="N166" s="50">
        <f t="shared" si="5"/>
        <v>4.1338582677165357E-2</v>
      </c>
      <c r="O166" s="54">
        <f t="shared" ref="O166:P166" si="178">S166-S165</f>
        <v>3607</v>
      </c>
      <c r="P166" s="54">
        <f t="shared" si="178"/>
        <v>249</v>
      </c>
      <c r="Q166" s="54">
        <f t="shared" si="7"/>
        <v>3358</v>
      </c>
      <c r="R166" s="50">
        <f t="shared" si="8"/>
        <v>6.9032436928195176E-2</v>
      </c>
      <c r="S166" s="52">
        <f t="shared" si="9"/>
        <v>469538</v>
      </c>
      <c r="T166" s="48">
        <f t="shared" si="10"/>
        <v>12097</v>
      </c>
      <c r="U166" s="48">
        <f t="shared" si="11"/>
        <v>457441</v>
      </c>
      <c r="V166" s="50">
        <f t="shared" si="12"/>
        <v>2.5763622965553373E-2</v>
      </c>
    </row>
    <row r="167" spans="1:22" ht="13.2" x14ac:dyDescent="0.25">
      <c r="A167" s="48">
        <f t="shared" si="60"/>
        <v>165</v>
      </c>
      <c r="B167" s="49">
        <v>44361</v>
      </c>
      <c r="C167" s="48">
        <v>4347</v>
      </c>
      <c r="D167" s="48">
        <v>89526</v>
      </c>
      <c r="E167" s="48">
        <f t="shared" si="0"/>
        <v>93873</v>
      </c>
      <c r="F167" s="50">
        <f t="shared" si="1"/>
        <v>4.6307244894698153E-2</v>
      </c>
      <c r="G167" s="48">
        <v>7909</v>
      </c>
      <c r="H167" s="48">
        <v>369718</v>
      </c>
      <c r="I167" s="48">
        <f t="shared" si="71"/>
        <v>377627</v>
      </c>
      <c r="J167" s="59">
        <f t="shared" si="72"/>
        <v>2.0943947334274297E-2</v>
      </c>
      <c r="K167" s="48">
        <v>42</v>
      </c>
      <c r="L167" s="48">
        <v>974</v>
      </c>
      <c r="M167" s="52">
        <f t="shared" si="4"/>
        <v>1016</v>
      </c>
      <c r="N167" s="50">
        <f t="shared" si="5"/>
        <v>4.1338582677165357E-2</v>
      </c>
      <c r="O167" s="54">
        <f t="shared" ref="O167:P167" si="179">S167-S166</f>
        <v>2978</v>
      </c>
      <c r="P167" s="54">
        <f t="shared" si="179"/>
        <v>201</v>
      </c>
      <c r="Q167" s="54">
        <f t="shared" si="7"/>
        <v>2777</v>
      </c>
      <c r="R167" s="50">
        <f t="shared" si="8"/>
        <v>6.749496306245803E-2</v>
      </c>
      <c r="S167" s="52">
        <f t="shared" si="9"/>
        <v>472516</v>
      </c>
      <c r="T167" s="48">
        <f t="shared" si="10"/>
        <v>12298</v>
      </c>
      <c r="U167" s="48">
        <f t="shared" si="11"/>
        <v>460218</v>
      </c>
      <c r="V167" s="50">
        <f t="shared" si="12"/>
        <v>2.6026631902411772E-2</v>
      </c>
    </row>
    <row r="168" spans="1:22" ht="13.2" x14ac:dyDescent="0.25">
      <c r="A168" s="48">
        <f t="shared" si="60"/>
        <v>166</v>
      </c>
      <c r="B168" s="49">
        <v>44362</v>
      </c>
      <c r="C168" s="48">
        <v>4349</v>
      </c>
      <c r="D168" s="48">
        <v>89609</v>
      </c>
      <c r="E168" s="48">
        <f t="shared" si="0"/>
        <v>93958</v>
      </c>
      <c r="F168" s="50">
        <f t="shared" si="1"/>
        <v>4.6286638710913389E-2</v>
      </c>
      <c r="G168" s="48">
        <v>8335</v>
      </c>
      <c r="H168" s="48">
        <v>374839</v>
      </c>
      <c r="I168" s="48">
        <f t="shared" si="71"/>
        <v>383174</v>
      </c>
      <c r="J168" s="59">
        <f t="shared" si="72"/>
        <v>2.1752519742988825E-2</v>
      </c>
      <c r="K168" s="48">
        <v>42</v>
      </c>
      <c r="L168" s="48">
        <v>974</v>
      </c>
      <c r="M168" s="52">
        <f t="shared" si="4"/>
        <v>1016</v>
      </c>
      <c r="N168" s="50">
        <f t="shared" si="5"/>
        <v>4.1338582677165357E-2</v>
      </c>
      <c r="O168" s="54">
        <f t="shared" ref="O168:P168" si="180">S168-S167</f>
        <v>5632</v>
      </c>
      <c r="P168" s="54">
        <f t="shared" si="180"/>
        <v>428</v>
      </c>
      <c r="Q168" s="54">
        <f t="shared" si="7"/>
        <v>5204</v>
      </c>
      <c r="R168" s="50">
        <f t="shared" si="8"/>
        <v>7.5994318181818177E-2</v>
      </c>
      <c r="S168" s="52">
        <f t="shared" si="9"/>
        <v>478148</v>
      </c>
      <c r="T168" s="48">
        <f t="shared" si="10"/>
        <v>12726</v>
      </c>
      <c r="U168" s="48">
        <f t="shared" si="11"/>
        <v>465422</v>
      </c>
      <c r="V168" s="50">
        <f t="shared" si="12"/>
        <v>2.6615190275814184E-2</v>
      </c>
    </row>
    <row r="169" spans="1:22" ht="13.2" x14ac:dyDescent="0.25">
      <c r="A169" s="48">
        <f t="shared" si="60"/>
        <v>167</v>
      </c>
      <c r="B169" s="49">
        <v>44363</v>
      </c>
      <c r="C169" s="48">
        <v>4354</v>
      </c>
      <c r="D169" s="48">
        <v>89796</v>
      </c>
      <c r="E169" s="48">
        <f t="shared" si="0"/>
        <v>94150</v>
      </c>
      <c r="F169" s="50">
        <f t="shared" si="1"/>
        <v>4.6245353159851302E-2</v>
      </c>
      <c r="G169" s="48">
        <v>8527</v>
      </c>
      <c r="H169" s="48">
        <v>377050</v>
      </c>
      <c r="I169" s="48">
        <f t="shared" si="71"/>
        <v>385577</v>
      </c>
      <c r="J169" s="59">
        <f t="shared" si="72"/>
        <v>2.2114908306252706E-2</v>
      </c>
      <c r="K169" s="48">
        <v>42</v>
      </c>
      <c r="L169" s="48">
        <v>974</v>
      </c>
      <c r="M169" s="52">
        <f t="shared" si="4"/>
        <v>1016</v>
      </c>
      <c r="N169" s="50">
        <f t="shared" si="5"/>
        <v>4.1338582677165357E-2</v>
      </c>
      <c r="O169" s="54">
        <f t="shared" ref="O169:P169" si="181">S169-S168</f>
        <v>2595</v>
      </c>
      <c r="P169" s="54">
        <f t="shared" si="181"/>
        <v>197</v>
      </c>
      <c r="Q169" s="54">
        <f t="shared" si="7"/>
        <v>2398</v>
      </c>
      <c r="R169" s="50">
        <f t="shared" si="8"/>
        <v>7.5915221579961459E-2</v>
      </c>
      <c r="S169" s="52">
        <f t="shared" si="9"/>
        <v>480743</v>
      </c>
      <c r="T169" s="48">
        <f t="shared" si="10"/>
        <v>12923</v>
      </c>
      <c r="U169" s="48">
        <f t="shared" si="11"/>
        <v>467820</v>
      </c>
      <c r="V169" s="50">
        <f t="shared" si="12"/>
        <v>2.68813066440905E-2</v>
      </c>
    </row>
    <row r="170" spans="1:22" ht="13.2" x14ac:dyDescent="0.25">
      <c r="A170" s="48">
        <f t="shared" si="60"/>
        <v>168</v>
      </c>
      <c r="B170" s="49">
        <v>44364</v>
      </c>
      <c r="C170" s="48">
        <v>4376</v>
      </c>
      <c r="D170" s="48">
        <v>90196</v>
      </c>
      <c r="E170" s="48">
        <f t="shared" si="0"/>
        <v>94572</v>
      </c>
      <c r="F170" s="50">
        <f t="shared" si="1"/>
        <v>4.6271623736412471E-2</v>
      </c>
      <c r="G170" s="48">
        <v>8875</v>
      </c>
      <c r="H170" s="48">
        <v>381192</v>
      </c>
      <c r="I170" s="48">
        <f t="shared" si="71"/>
        <v>390067</v>
      </c>
      <c r="J170" s="59">
        <f t="shared" si="72"/>
        <v>2.2752501493333195E-2</v>
      </c>
      <c r="K170" s="48">
        <v>42</v>
      </c>
      <c r="L170" s="48">
        <v>974</v>
      </c>
      <c r="M170" s="52">
        <f t="shared" si="4"/>
        <v>1016</v>
      </c>
      <c r="N170" s="50">
        <f t="shared" si="5"/>
        <v>4.1338582677165357E-2</v>
      </c>
      <c r="O170" s="54">
        <f t="shared" ref="O170:P170" si="182">S170-S169</f>
        <v>4912</v>
      </c>
      <c r="P170" s="54">
        <f t="shared" si="182"/>
        <v>370</v>
      </c>
      <c r="Q170" s="54">
        <f t="shared" si="7"/>
        <v>4542</v>
      </c>
      <c r="R170" s="50">
        <f t="shared" si="8"/>
        <v>7.5325732899022807E-2</v>
      </c>
      <c r="S170" s="52">
        <f t="shared" si="9"/>
        <v>485655</v>
      </c>
      <c r="T170" s="48">
        <f t="shared" si="10"/>
        <v>13293</v>
      </c>
      <c r="U170" s="48">
        <f t="shared" si="11"/>
        <v>472362</v>
      </c>
      <c r="V170" s="50">
        <f t="shared" si="12"/>
        <v>2.7371282082960125E-2</v>
      </c>
    </row>
    <row r="171" spans="1:22" ht="13.2" x14ac:dyDescent="0.25">
      <c r="A171" s="48">
        <f t="shared" si="60"/>
        <v>169</v>
      </c>
      <c r="B171" s="49">
        <v>44365</v>
      </c>
      <c r="C171" s="48">
        <v>4402</v>
      </c>
      <c r="D171" s="48">
        <v>90504</v>
      </c>
      <c r="E171" s="48">
        <f t="shared" si="0"/>
        <v>94906</v>
      </c>
      <c r="F171" s="50">
        <f t="shared" si="1"/>
        <v>4.6382736602533031E-2</v>
      </c>
      <c r="G171" s="48">
        <v>9304</v>
      </c>
      <c r="H171" s="48">
        <v>384983</v>
      </c>
      <c r="I171" s="48">
        <f t="shared" si="71"/>
        <v>394287</v>
      </c>
      <c r="J171" s="59">
        <f t="shared" si="72"/>
        <v>2.3597024502456331E-2</v>
      </c>
      <c r="K171" s="48">
        <v>42</v>
      </c>
      <c r="L171" s="48">
        <v>974</v>
      </c>
      <c r="M171" s="52">
        <f t="shared" si="4"/>
        <v>1016</v>
      </c>
      <c r="N171" s="50">
        <f t="shared" si="5"/>
        <v>4.1338582677165357E-2</v>
      </c>
      <c r="O171" s="54">
        <f t="shared" ref="O171:P171" si="183">S171-S170</f>
        <v>4554</v>
      </c>
      <c r="P171" s="54">
        <f t="shared" si="183"/>
        <v>455</v>
      </c>
      <c r="Q171" s="54">
        <f t="shared" si="7"/>
        <v>4099</v>
      </c>
      <c r="R171" s="50">
        <f t="shared" si="8"/>
        <v>9.9912165129556432E-2</v>
      </c>
      <c r="S171" s="52">
        <f t="shared" si="9"/>
        <v>490209</v>
      </c>
      <c r="T171" s="48">
        <f t="shared" si="10"/>
        <v>13748</v>
      </c>
      <c r="U171" s="48">
        <f t="shared" si="11"/>
        <v>476461</v>
      </c>
      <c r="V171" s="50">
        <f t="shared" si="12"/>
        <v>2.8045180729035984E-2</v>
      </c>
    </row>
    <row r="172" spans="1:22" ht="13.2" x14ac:dyDescent="0.25">
      <c r="A172" s="48">
        <f t="shared" si="60"/>
        <v>170</v>
      </c>
      <c r="B172" s="49">
        <v>44366</v>
      </c>
      <c r="C172" s="48">
        <v>4437</v>
      </c>
      <c r="D172" s="48">
        <v>91096</v>
      </c>
      <c r="E172" s="48">
        <f t="shared" si="0"/>
        <v>95533</v>
      </c>
      <c r="F172" s="50">
        <f t="shared" si="1"/>
        <v>4.6444684035882887E-2</v>
      </c>
      <c r="G172" s="48">
        <v>9703</v>
      </c>
      <c r="H172" s="48">
        <v>388765</v>
      </c>
      <c r="I172" s="48">
        <f t="shared" si="71"/>
        <v>398468</v>
      </c>
      <c r="J172" s="59">
        <f t="shared" si="72"/>
        <v>2.4350763423913589E-2</v>
      </c>
      <c r="K172" s="48">
        <v>42</v>
      </c>
      <c r="L172" s="48">
        <v>974</v>
      </c>
      <c r="M172" s="52">
        <f t="shared" si="4"/>
        <v>1016</v>
      </c>
      <c r="N172" s="50">
        <f t="shared" si="5"/>
        <v>4.1338582677165357E-2</v>
      </c>
      <c r="O172" s="54">
        <f t="shared" ref="O172:P172" si="184">S172-S171</f>
        <v>4808</v>
      </c>
      <c r="P172" s="54">
        <f t="shared" si="184"/>
        <v>434</v>
      </c>
      <c r="Q172" s="54">
        <f t="shared" si="7"/>
        <v>4374</v>
      </c>
      <c r="R172" s="50">
        <f t="shared" si="8"/>
        <v>9.0266222961730452E-2</v>
      </c>
      <c r="S172" s="52">
        <f t="shared" si="9"/>
        <v>495017</v>
      </c>
      <c r="T172" s="48">
        <f t="shared" si="10"/>
        <v>14182</v>
      </c>
      <c r="U172" s="48">
        <f t="shared" si="11"/>
        <v>480835</v>
      </c>
      <c r="V172" s="50">
        <f t="shared" si="12"/>
        <v>2.8649521127557236E-2</v>
      </c>
    </row>
    <row r="173" spans="1:22" ht="13.2" x14ac:dyDescent="0.25">
      <c r="A173" s="48">
        <f t="shared" si="60"/>
        <v>171</v>
      </c>
      <c r="B173" s="49">
        <v>44367</v>
      </c>
      <c r="C173" s="48">
        <v>4472</v>
      </c>
      <c r="D173" s="48">
        <v>91728</v>
      </c>
      <c r="E173" s="48">
        <f t="shared" si="0"/>
        <v>96200</v>
      </c>
      <c r="F173" s="50">
        <f t="shared" si="1"/>
        <v>4.6486486486486484E-2</v>
      </c>
      <c r="G173" s="48">
        <v>10202</v>
      </c>
      <c r="H173" s="48">
        <v>392234</v>
      </c>
      <c r="I173" s="48">
        <f t="shared" si="71"/>
        <v>402436</v>
      </c>
      <c r="J173" s="59">
        <f t="shared" si="72"/>
        <v>2.5350614756135138E-2</v>
      </c>
      <c r="K173" s="48">
        <v>42</v>
      </c>
      <c r="L173" s="48">
        <v>974</v>
      </c>
      <c r="M173" s="52">
        <f t="shared" si="4"/>
        <v>1016</v>
      </c>
      <c r="N173" s="50">
        <f t="shared" si="5"/>
        <v>4.1338582677165357E-2</v>
      </c>
      <c r="O173" s="54">
        <f t="shared" ref="O173:P173" si="185">S173-S172</f>
        <v>4635</v>
      </c>
      <c r="P173" s="54">
        <f t="shared" si="185"/>
        <v>534</v>
      </c>
      <c r="Q173" s="54">
        <f t="shared" si="7"/>
        <v>4101</v>
      </c>
      <c r="R173" s="50">
        <f t="shared" si="8"/>
        <v>0.11521035598705502</v>
      </c>
      <c r="S173" s="52">
        <f t="shared" si="9"/>
        <v>499652</v>
      </c>
      <c r="T173" s="48">
        <f t="shared" si="10"/>
        <v>14716</v>
      </c>
      <c r="U173" s="48">
        <f t="shared" si="11"/>
        <v>484936</v>
      </c>
      <c r="V173" s="50">
        <f t="shared" si="12"/>
        <v>2.9452498939261725E-2</v>
      </c>
    </row>
    <row r="174" spans="1:22" ht="13.2" x14ac:dyDescent="0.25">
      <c r="A174" s="48">
        <f t="shared" si="60"/>
        <v>172</v>
      </c>
      <c r="B174" s="49">
        <v>44368</v>
      </c>
      <c r="C174" s="48">
        <v>4508</v>
      </c>
      <c r="D174" s="48">
        <v>91987</v>
      </c>
      <c r="E174" s="48">
        <f t="shared" si="0"/>
        <v>96495</v>
      </c>
      <c r="F174" s="50">
        <f t="shared" si="1"/>
        <v>4.6717446499818641E-2</v>
      </c>
      <c r="G174" s="48">
        <v>10480</v>
      </c>
      <c r="H174" s="48">
        <v>394512</v>
      </c>
      <c r="I174" s="48">
        <f t="shared" si="71"/>
        <v>404992</v>
      </c>
      <c r="J174" s="59">
        <f t="shared" si="72"/>
        <v>2.5877054361567637E-2</v>
      </c>
      <c r="K174" s="48">
        <v>42</v>
      </c>
      <c r="L174" s="48">
        <v>974</v>
      </c>
      <c r="M174" s="52">
        <f t="shared" si="4"/>
        <v>1016</v>
      </c>
      <c r="N174" s="50">
        <f t="shared" si="5"/>
        <v>4.1338582677165357E-2</v>
      </c>
      <c r="O174" s="54">
        <f t="shared" ref="O174:P174" si="186">S174-S173</f>
        <v>2851</v>
      </c>
      <c r="P174" s="54">
        <f t="shared" si="186"/>
        <v>314</v>
      </c>
      <c r="Q174" s="54">
        <f t="shared" si="7"/>
        <v>2537</v>
      </c>
      <c r="R174" s="50">
        <f t="shared" si="8"/>
        <v>0.11013679410733077</v>
      </c>
      <c r="S174" s="52">
        <f t="shared" si="9"/>
        <v>502503</v>
      </c>
      <c r="T174" s="48">
        <f t="shared" si="10"/>
        <v>15030</v>
      </c>
      <c r="U174" s="48">
        <f t="shared" si="11"/>
        <v>487473</v>
      </c>
      <c r="V174" s="50">
        <f t="shared" si="12"/>
        <v>2.991026919242273E-2</v>
      </c>
    </row>
    <row r="175" spans="1:22" ht="13.2" x14ac:dyDescent="0.25">
      <c r="A175" s="48">
        <f t="shared" si="60"/>
        <v>173</v>
      </c>
      <c r="B175" s="49">
        <v>44369</v>
      </c>
      <c r="C175" s="48">
        <v>4547</v>
      </c>
      <c r="D175" s="48">
        <v>92169</v>
      </c>
      <c r="E175" s="48">
        <f t="shared" si="0"/>
        <v>96716</v>
      </c>
      <c r="F175" s="50">
        <f t="shared" si="1"/>
        <v>4.7013937714545678E-2</v>
      </c>
      <c r="G175" s="48">
        <v>11038</v>
      </c>
      <c r="H175" s="48">
        <v>398173</v>
      </c>
      <c r="I175" s="48">
        <f t="shared" si="71"/>
        <v>409211</v>
      </c>
      <c r="J175" s="59">
        <f t="shared" si="72"/>
        <v>2.6973859451481022E-2</v>
      </c>
      <c r="K175" s="48">
        <v>42</v>
      </c>
      <c r="L175" s="48">
        <v>974</v>
      </c>
      <c r="M175" s="52">
        <f t="shared" si="4"/>
        <v>1016</v>
      </c>
      <c r="N175" s="50">
        <f t="shared" si="5"/>
        <v>4.1338582677165357E-2</v>
      </c>
      <c r="O175" s="54">
        <f t="shared" ref="O175:P175" si="187">S175-S174</f>
        <v>4440</v>
      </c>
      <c r="P175" s="54">
        <f t="shared" si="187"/>
        <v>597</v>
      </c>
      <c r="Q175" s="54">
        <f t="shared" si="7"/>
        <v>3843</v>
      </c>
      <c r="R175" s="50">
        <f t="shared" si="8"/>
        <v>0.13445945945945945</v>
      </c>
      <c r="S175" s="52">
        <f t="shared" si="9"/>
        <v>506943</v>
      </c>
      <c r="T175" s="48">
        <f t="shared" si="10"/>
        <v>15627</v>
      </c>
      <c r="U175" s="48">
        <f t="shared" si="11"/>
        <v>491316</v>
      </c>
      <c r="V175" s="50">
        <f t="shared" si="12"/>
        <v>3.0825950846544877E-2</v>
      </c>
    </row>
    <row r="176" spans="1:22" ht="13.2" x14ac:dyDescent="0.25">
      <c r="A176" s="48">
        <f t="shared" si="60"/>
        <v>174</v>
      </c>
      <c r="B176" s="49">
        <v>44370</v>
      </c>
      <c r="C176" s="48">
        <v>4568</v>
      </c>
      <c r="D176" s="48">
        <v>92431</v>
      </c>
      <c r="E176" s="48">
        <f t="shared" si="0"/>
        <v>96999</v>
      </c>
      <c r="F176" s="50">
        <f t="shared" si="1"/>
        <v>4.7093269002773226E-2</v>
      </c>
      <c r="G176" s="48">
        <v>11742</v>
      </c>
      <c r="H176" s="48">
        <v>401322</v>
      </c>
      <c r="I176" s="48">
        <f t="shared" si="71"/>
        <v>413064</v>
      </c>
      <c r="J176" s="59">
        <f t="shared" si="72"/>
        <v>2.8426587647434779E-2</v>
      </c>
      <c r="K176" s="48">
        <v>42</v>
      </c>
      <c r="L176" s="48">
        <v>974</v>
      </c>
      <c r="M176" s="52">
        <f t="shared" si="4"/>
        <v>1016</v>
      </c>
      <c r="N176" s="50">
        <f t="shared" si="5"/>
        <v>4.1338582677165357E-2</v>
      </c>
      <c r="O176" s="54">
        <f t="shared" ref="O176:P176" si="188">S176-S175</f>
        <v>4136</v>
      </c>
      <c r="P176" s="54">
        <f t="shared" si="188"/>
        <v>725</v>
      </c>
      <c r="Q176" s="54">
        <f t="shared" si="7"/>
        <v>3411</v>
      </c>
      <c r="R176" s="50">
        <f t="shared" si="8"/>
        <v>0.17529013539651839</v>
      </c>
      <c r="S176" s="52">
        <f t="shared" si="9"/>
        <v>511079</v>
      </c>
      <c r="T176" s="48">
        <f t="shared" si="10"/>
        <v>16352</v>
      </c>
      <c r="U176" s="48">
        <f t="shared" si="11"/>
        <v>494727</v>
      </c>
      <c r="V176" s="50">
        <f t="shared" si="12"/>
        <v>3.1995053602280665E-2</v>
      </c>
    </row>
    <row r="177" spans="1:22" ht="13.2" x14ac:dyDescent="0.25">
      <c r="A177" s="48">
        <f t="shared" si="60"/>
        <v>175</v>
      </c>
      <c r="B177" s="49">
        <v>44371</v>
      </c>
      <c r="C177" s="48">
        <v>4629</v>
      </c>
      <c r="D177" s="48">
        <v>92831</v>
      </c>
      <c r="E177" s="48">
        <f t="shared" si="0"/>
        <v>97460</v>
      </c>
      <c r="F177" s="50">
        <f t="shared" si="1"/>
        <v>4.7496408783090499E-2</v>
      </c>
      <c r="G177" s="48">
        <v>12457</v>
      </c>
      <c r="H177" s="48">
        <v>405199</v>
      </c>
      <c r="I177" s="48">
        <f t="shared" si="71"/>
        <v>417656</v>
      </c>
      <c r="J177" s="59">
        <f t="shared" si="72"/>
        <v>2.9825981190261842E-2</v>
      </c>
      <c r="K177" s="48">
        <v>42</v>
      </c>
      <c r="L177" s="48">
        <v>974</v>
      </c>
      <c r="M177" s="52">
        <f t="shared" si="4"/>
        <v>1016</v>
      </c>
      <c r="N177" s="50">
        <f t="shared" si="5"/>
        <v>4.1338582677165357E-2</v>
      </c>
      <c r="O177" s="54">
        <f t="shared" ref="O177:P177" si="189">S177-S176</f>
        <v>5053</v>
      </c>
      <c r="P177" s="54">
        <f t="shared" si="189"/>
        <v>776</v>
      </c>
      <c r="Q177" s="54">
        <f t="shared" si="7"/>
        <v>4277</v>
      </c>
      <c r="R177" s="50">
        <f t="shared" si="8"/>
        <v>0.15357213536512962</v>
      </c>
      <c r="S177" s="52">
        <f t="shared" si="9"/>
        <v>516132</v>
      </c>
      <c r="T177" s="48">
        <f t="shared" si="10"/>
        <v>17128</v>
      </c>
      <c r="U177" s="48">
        <f t="shared" si="11"/>
        <v>499004</v>
      </c>
      <c r="V177" s="50">
        <f t="shared" si="12"/>
        <v>3.3185309184472191E-2</v>
      </c>
    </row>
    <row r="178" spans="1:22" ht="13.2" x14ac:dyDescent="0.25">
      <c r="A178" s="48">
        <f t="shared" si="60"/>
        <v>176</v>
      </c>
      <c r="B178" s="49">
        <v>44372</v>
      </c>
      <c r="C178" s="48">
        <v>4708</v>
      </c>
      <c r="D178" s="48">
        <v>93453</v>
      </c>
      <c r="E178" s="48">
        <f t="shared" si="0"/>
        <v>98161</v>
      </c>
      <c r="F178" s="50">
        <f t="shared" si="1"/>
        <v>4.7962021576797305E-2</v>
      </c>
      <c r="G178" s="48">
        <v>13117</v>
      </c>
      <c r="H178" s="48">
        <v>408235</v>
      </c>
      <c r="I178" s="48">
        <f t="shared" si="71"/>
        <v>421352</v>
      </c>
      <c r="J178" s="59">
        <f t="shared" si="72"/>
        <v>3.1130741043118342E-2</v>
      </c>
      <c r="K178" s="48">
        <v>42</v>
      </c>
      <c r="L178" s="48">
        <v>974</v>
      </c>
      <c r="M178" s="52">
        <f t="shared" si="4"/>
        <v>1016</v>
      </c>
      <c r="N178" s="50">
        <f t="shared" si="5"/>
        <v>4.1338582677165357E-2</v>
      </c>
      <c r="O178" s="54">
        <f t="shared" ref="O178:P178" si="190">S178-S177</f>
        <v>4397</v>
      </c>
      <c r="P178" s="54">
        <f t="shared" si="190"/>
        <v>739</v>
      </c>
      <c r="Q178" s="54">
        <f t="shared" si="7"/>
        <v>3658</v>
      </c>
      <c r="R178" s="50">
        <f t="shared" si="8"/>
        <v>0.16806913804866955</v>
      </c>
      <c r="S178" s="52">
        <f t="shared" si="9"/>
        <v>520529</v>
      </c>
      <c r="T178" s="48">
        <f t="shared" si="10"/>
        <v>17867</v>
      </c>
      <c r="U178" s="48">
        <f t="shared" si="11"/>
        <v>502662</v>
      </c>
      <c r="V178" s="50">
        <f t="shared" si="12"/>
        <v>3.4324696606721238E-2</v>
      </c>
    </row>
    <row r="179" spans="1:22" ht="13.2" x14ac:dyDescent="0.25">
      <c r="A179" s="48">
        <f t="shared" si="60"/>
        <v>177</v>
      </c>
      <c r="B179" s="49">
        <v>44373</v>
      </c>
      <c r="C179" s="48">
        <v>4767</v>
      </c>
      <c r="D179" s="48">
        <v>93890</v>
      </c>
      <c r="E179" s="48">
        <f t="shared" si="0"/>
        <v>98657</v>
      </c>
      <c r="F179" s="50">
        <f t="shared" si="1"/>
        <v>4.8318923137739847E-2</v>
      </c>
      <c r="G179" s="48">
        <v>13775</v>
      </c>
      <c r="H179" s="48">
        <v>411174</v>
      </c>
      <c r="I179" s="48">
        <f t="shared" si="71"/>
        <v>424949</v>
      </c>
      <c r="J179" s="59">
        <f t="shared" si="72"/>
        <v>3.2415654584432484E-2</v>
      </c>
      <c r="K179" s="48">
        <v>42</v>
      </c>
      <c r="L179" s="48">
        <v>974</v>
      </c>
      <c r="M179" s="52">
        <f t="shared" si="4"/>
        <v>1016</v>
      </c>
      <c r="N179" s="50">
        <f t="shared" si="5"/>
        <v>4.1338582677165357E-2</v>
      </c>
      <c r="O179" s="54">
        <f t="shared" ref="O179:P179" si="191">S179-S178</f>
        <v>4093</v>
      </c>
      <c r="P179" s="54">
        <f t="shared" si="191"/>
        <v>717</v>
      </c>
      <c r="Q179" s="54">
        <f t="shared" si="7"/>
        <v>3376</v>
      </c>
      <c r="R179" s="50">
        <f t="shared" si="8"/>
        <v>0.17517713168824822</v>
      </c>
      <c r="S179" s="52">
        <f t="shared" si="9"/>
        <v>524622</v>
      </c>
      <c r="T179" s="48">
        <f t="shared" si="10"/>
        <v>18584</v>
      </c>
      <c r="U179" s="48">
        <f t="shared" si="11"/>
        <v>506038</v>
      </c>
      <c r="V179" s="50">
        <f t="shared" si="12"/>
        <v>3.5423600230261025E-2</v>
      </c>
    </row>
    <row r="180" spans="1:22" ht="13.2" x14ac:dyDescent="0.25">
      <c r="A180" s="48">
        <f t="shared" si="60"/>
        <v>178</v>
      </c>
      <c r="B180" s="49">
        <v>44374</v>
      </c>
      <c r="C180" s="48">
        <v>4839</v>
      </c>
      <c r="D180" s="48">
        <v>94292</v>
      </c>
      <c r="E180" s="48">
        <f t="shared" si="0"/>
        <v>99131</v>
      </c>
      <c r="F180" s="50">
        <f t="shared" si="1"/>
        <v>4.8814195357658047E-2</v>
      </c>
      <c r="G180" s="48">
        <v>14431</v>
      </c>
      <c r="H180" s="48">
        <v>413745</v>
      </c>
      <c r="I180" s="48">
        <f t="shared" si="71"/>
        <v>428176</v>
      </c>
      <c r="J180" s="59">
        <f t="shared" si="72"/>
        <v>3.3703430365083518E-2</v>
      </c>
      <c r="K180" s="48">
        <v>42</v>
      </c>
      <c r="L180" s="48">
        <v>974</v>
      </c>
      <c r="M180" s="52">
        <f t="shared" si="4"/>
        <v>1016</v>
      </c>
      <c r="N180" s="50">
        <f t="shared" si="5"/>
        <v>4.1338582677165357E-2</v>
      </c>
      <c r="O180" s="54">
        <f t="shared" ref="O180:P180" si="192">S180-S179</f>
        <v>3701</v>
      </c>
      <c r="P180" s="54">
        <f t="shared" si="192"/>
        <v>728</v>
      </c>
      <c r="Q180" s="54">
        <f t="shared" si="7"/>
        <v>2973</v>
      </c>
      <c r="R180" s="50">
        <f t="shared" si="8"/>
        <v>0.19670359362334505</v>
      </c>
      <c r="S180" s="52">
        <f t="shared" si="9"/>
        <v>528323</v>
      </c>
      <c r="T180" s="48">
        <f t="shared" si="10"/>
        <v>19312</v>
      </c>
      <c r="U180" s="48">
        <f t="shared" si="11"/>
        <v>509011</v>
      </c>
      <c r="V180" s="50">
        <f t="shared" si="12"/>
        <v>3.6553396312483083E-2</v>
      </c>
    </row>
    <row r="181" spans="1:22" ht="13.2" x14ac:dyDescent="0.25">
      <c r="A181" s="48">
        <f t="shared" si="60"/>
        <v>179</v>
      </c>
      <c r="B181" s="49">
        <v>44375</v>
      </c>
      <c r="C181" s="48">
        <v>4906</v>
      </c>
      <c r="D181" s="48">
        <v>94505</v>
      </c>
      <c r="E181" s="48">
        <f t="shared" si="0"/>
        <v>99411</v>
      </c>
      <c r="F181" s="50">
        <f t="shared" si="1"/>
        <v>4.9350675478568772E-2</v>
      </c>
      <c r="G181" s="48">
        <v>15071</v>
      </c>
      <c r="H181" s="48">
        <v>415866</v>
      </c>
      <c r="I181" s="48">
        <f t="shared" si="71"/>
        <v>430937</v>
      </c>
      <c r="J181" s="59">
        <f t="shared" si="72"/>
        <v>3.4972629409867333E-2</v>
      </c>
      <c r="K181" s="48">
        <v>42</v>
      </c>
      <c r="L181" s="48">
        <v>974</v>
      </c>
      <c r="M181" s="52">
        <f t="shared" si="4"/>
        <v>1016</v>
      </c>
      <c r="N181" s="50">
        <f t="shared" si="5"/>
        <v>4.1338582677165357E-2</v>
      </c>
      <c r="O181" s="54">
        <f t="shared" ref="O181:P181" si="193">S181-S180</f>
        <v>3041</v>
      </c>
      <c r="P181" s="54">
        <f t="shared" si="193"/>
        <v>707</v>
      </c>
      <c r="Q181" s="54">
        <f t="shared" si="7"/>
        <v>2334</v>
      </c>
      <c r="R181" s="50">
        <f t="shared" si="8"/>
        <v>0.23248931272607695</v>
      </c>
      <c r="S181" s="52">
        <f t="shared" si="9"/>
        <v>531364</v>
      </c>
      <c r="T181" s="48">
        <f t="shared" si="10"/>
        <v>20019</v>
      </c>
      <c r="U181" s="48">
        <f t="shared" si="11"/>
        <v>511345</v>
      </c>
      <c r="V181" s="50">
        <f t="shared" si="12"/>
        <v>3.7674738973660242E-2</v>
      </c>
    </row>
    <row r="182" spans="1:22" ht="13.2" x14ac:dyDescent="0.25">
      <c r="A182" s="48">
        <f t="shared" si="60"/>
        <v>180</v>
      </c>
      <c r="B182" s="49">
        <v>44376</v>
      </c>
      <c r="C182" s="48">
        <v>4988</v>
      </c>
      <c r="D182" s="48">
        <v>94556</v>
      </c>
      <c r="E182" s="48">
        <f t="shared" si="0"/>
        <v>99544</v>
      </c>
      <c r="F182" s="50">
        <f t="shared" si="1"/>
        <v>5.0108494735996142E-2</v>
      </c>
      <c r="G182" s="48">
        <v>15799</v>
      </c>
      <c r="H182" s="48">
        <v>418744</v>
      </c>
      <c r="I182" s="48">
        <f t="shared" si="71"/>
        <v>434543</v>
      </c>
      <c r="J182" s="59">
        <f t="shared" si="72"/>
        <v>3.6357736748722218E-2</v>
      </c>
      <c r="K182" s="48">
        <v>42</v>
      </c>
      <c r="L182" s="48">
        <v>974</v>
      </c>
      <c r="M182" s="52">
        <f t="shared" si="4"/>
        <v>1016</v>
      </c>
      <c r="N182" s="50">
        <f t="shared" si="5"/>
        <v>4.1338582677165357E-2</v>
      </c>
      <c r="O182" s="54">
        <f t="shared" ref="O182:P182" si="194">S182-S181</f>
        <v>3739</v>
      </c>
      <c r="P182" s="54">
        <f t="shared" si="194"/>
        <v>810</v>
      </c>
      <c r="Q182" s="54">
        <f t="shared" si="7"/>
        <v>2929</v>
      </c>
      <c r="R182" s="50">
        <f t="shared" si="8"/>
        <v>0.21663546402781492</v>
      </c>
      <c r="S182" s="52">
        <f t="shared" si="9"/>
        <v>535103</v>
      </c>
      <c r="T182" s="48">
        <f t="shared" si="10"/>
        <v>20829</v>
      </c>
      <c r="U182" s="48">
        <f t="shared" si="11"/>
        <v>514274</v>
      </c>
      <c r="V182" s="50">
        <f t="shared" si="12"/>
        <v>3.8925216266774809E-2</v>
      </c>
    </row>
    <row r="183" spans="1:22" ht="13.2" x14ac:dyDescent="0.25">
      <c r="A183" s="48">
        <f t="shared" si="60"/>
        <v>181</v>
      </c>
      <c r="B183" s="49">
        <v>44377</v>
      </c>
      <c r="C183" s="48">
        <v>5071</v>
      </c>
      <c r="D183" s="48">
        <v>94911</v>
      </c>
      <c r="E183" s="48">
        <f t="shared" si="0"/>
        <v>99982</v>
      </c>
      <c r="F183" s="50">
        <f t="shared" si="1"/>
        <v>5.0719129443299794E-2</v>
      </c>
      <c r="G183" s="48">
        <v>16723</v>
      </c>
      <c r="H183" s="48">
        <v>422801</v>
      </c>
      <c r="I183" s="48">
        <f t="shared" si="71"/>
        <v>439524</v>
      </c>
      <c r="J183" s="59">
        <f t="shared" si="72"/>
        <v>3.8047979177473816E-2</v>
      </c>
      <c r="K183" s="48">
        <v>42</v>
      </c>
      <c r="L183" s="48">
        <v>974</v>
      </c>
      <c r="M183" s="52">
        <f t="shared" si="4"/>
        <v>1016</v>
      </c>
      <c r="N183" s="50">
        <f t="shared" si="5"/>
        <v>4.1338582677165357E-2</v>
      </c>
      <c r="O183" s="54">
        <f t="shared" ref="O183:P183" si="195">S183-S182</f>
        <v>5419</v>
      </c>
      <c r="P183" s="54">
        <f t="shared" si="195"/>
        <v>1007</v>
      </c>
      <c r="Q183" s="54">
        <f t="shared" si="7"/>
        <v>4412</v>
      </c>
      <c r="R183" s="50">
        <f t="shared" si="8"/>
        <v>0.1858276434766562</v>
      </c>
      <c r="S183" s="52">
        <f t="shared" si="9"/>
        <v>540522</v>
      </c>
      <c r="T183" s="48">
        <f t="shared" si="10"/>
        <v>21836</v>
      </c>
      <c r="U183" s="48">
        <f t="shared" si="11"/>
        <v>518686</v>
      </c>
      <c r="V183" s="50">
        <f t="shared" si="12"/>
        <v>4.0397985650907825E-2</v>
      </c>
    </row>
    <row r="184" spans="1:22" ht="13.2" x14ac:dyDescent="0.25">
      <c r="A184" s="48">
        <f t="shared" si="60"/>
        <v>182</v>
      </c>
      <c r="B184" s="49">
        <v>44378</v>
      </c>
      <c r="C184" s="48">
        <v>5131</v>
      </c>
      <c r="D184" s="48">
        <v>95293</v>
      </c>
      <c r="E184" s="48">
        <f t="shared" si="0"/>
        <v>100424</v>
      </c>
      <c r="F184" s="50">
        <f t="shared" si="1"/>
        <v>5.1093364136063094E-2</v>
      </c>
      <c r="G184" s="48">
        <v>17545</v>
      </c>
      <c r="H184" s="48">
        <v>426165</v>
      </c>
      <c r="I184" s="48">
        <f t="shared" si="71"/>
        <v>443710</v>
      </c>
      <c r="J184" s="59">
        <f t="shared" si="72"/>
        <v>3.9541592481575807E-2</v>
      </c>
      <c r="K184" s="48">
        <v>42</v>
      </c>
      <c r="L184" s="48">
        <v>974</v>
      </c>
      <c r="M184" s="52">
        <f t="shared" si="4"/>
        <v>1016</v>
      </c>
      <c r="N184" s="50">
        <f t="shared" si="5"/>
        <v>4.1338582677165357E-2</v>
      </c>
      <c r="O184" s="54">
        <f t="shared" ref="O184:P184" si="196">S184-S183</f>
        <v>4628</v>
      </c>
      <c r="P184" s="54">
        <f t="shared" si="196"/>
        <v>882</v>
      </c>
      <c r="Q184" s="54">
        <f t="shared" si="7"/>
        <v>3746</v>
      </c>
      <c r="R184" s="50">
        <f t="shared" si="8"/>
        <v>0.19057908383751079</v>
      </c>
      <c r="S184" s="52">
        <f t="shared" si="9"/>
        <v>545150</v>
      </c>
      <c r="T184" s="48">
        <f t="shared" si="10"/>
        <v>22718</v>
      </c>
      <c r="U184" s="48">
        <f t="shared" si="11"/>
        <v>522432</v>
      </c>
      <c r="V184" s="50">
        <f t="shared" si="12"/>
        <v>4.1672934054847288E-2</v>
      </c>
    </row>
    <row r="185" spans="1:22" ht="15" customHeight="1" x14ac:dyDescent="0.25">
      <c r="A185" s="48">
        <f t="shared" si="60"/>
        <v>183</v>
      </c>
      <c r="B185" s="49">
        <v>44379</v>
      </c>
      <c r="C185" s="48">
        <v>5301</v>
      </c>
      <c r="D185" s="48">
        <v>95837</v>
      </c>
      <c r="E185" s="48">
        <f t="shared" si="0"/>
        <v>101138</v>
      </c>
      <c r="F185" s="50">
        <f t="shared" si="1"/>
        <v>5.241353398327038E-2</v>
      </c>
      <c r="G185" s="48">
        <v>18408</v>
      </c>
      <c r="H185" s="48">
        <v>428882</v>
      </c>
      <c r="I185" s="48">
        <f t="shared" si="71"/>
        <v>447290</v>
      </c>
      <c r="J185" s="59">
        <f t="shared" si="72"/>
        <v>4.1154508260859847E-2</v>
      </c>
      <c r="K185" s="48">
        <v>42</v>
      </c>
      <c r="L185" s="48">
        <v>974</v>
      </c>
      <c r="M185" s="52">
        <f t="shared" si="4"/>
        <v>1016</v>
      </c>
      <c r="N185" s="50">
        <f t="shared" si="5"/>
        <v>4.1338582677165357E-2</v>
      </c>
      <c r="O185" s="54">
        <f t="shared" ref="O185:P185" si="197">S185-S184</f>
        <v>4294</v>
      </c>
      <c r="P185" s="54">
        <f t="shared" si="197"/>
        <v>1033</v>
      </c>
      <c r="Q185" s="54">
        <f t="shared" si="7"/>
        <v>3261</v>
      </c>
      <c r="R185" s="50">
        <f t="shared" si="8"/>
        <v>0.24056823474615743</v>
      </c>
      <c r="S185" s="52">
        <f t="shared" si="9"/>
        <v>549444</v>
      </c>
      <c r="T185" s="48">
        <f t="shared" si="10"/>
        <v>23751</v>
      </c>
      <c r="U185" s="48">
        <f t="shared" si="11"/>
        <v>525693</v>
      </c>
      <c r="V185" s="50">
        <f t="shared" si="12"/>
        <v>4.3227335269836416E-2</v>
      </c>
    </row>
    <row r="186" spans="1:22" ht="13.2" x14ac:dyDescent="0.25">
      <c r="A186" s="48">
        <f t="shared" si="60"/>
        <v>184</v>
      </c>
      <c r="B186" s="49">
        <v>44380</v>
      </c>
      <c r="C186" s="48">
        <v>5406</v>
      </c>
      <c r="D186" s="48">
        <v>96196</v>
      </c>
      <c r="E186" s="48">
        <f t="shared" si="0"/>
        <v>101602</v>
      </c>
      <c r="F186" s="50">
        <f t="shared" si="1"/>
        <v>5.3207614023345999E-2</v>
      </c>
      <c r="G186" s="48">
        <v>19193</v>
      </c>
      <c r="H186" s="48">
        <v>431990</v>
      </c>
      <c r="I186" s="48">
        <f t="shared" si="71"/>
        <v>451183</v>
      </c>
      <c r="J186" s="59">
        <f t="shared" si="72"/>
        <v>4.2539280070392725E-2</v>
      </c>
      <c r="K186" s="48">
        <v>42</v>
      </c>
      <c r="L186" s="48">
        <v>974</v>
      </c>
      <c r="M186" s="52">
        <f t="shared" si="4"/>
        <v>1016</v>
      </c>
      <c r="N186" s="50">
        <f t="shared" si="5"/>
        <v>4.1338582677165357E-2</v>
      </c>
      <c r="O186" s="54">
        <f t="shared" ref="O186:P186" si="198">S186-S185</f>
        <v>4357</v>
      </c>
      <c r="P186" s="54">
        <f t="shared" si="198"/>
        <v>890</v>
      </c>
      <c r="Q186" s="54">
        <f t="shared" si="7"/>
        <v>3467</v>
      </c>
      <c r="R186" s="50">
        <f t="shared" si="8"/>
        <v>0.20426899242598118</v>
      </c>
      <c r="S186" s="52">
        <f t="shared" si="9"/>
        <v>553801</v>
      </c>
      <c r="T186" s="48">
        <f t="shared" si="10"/>
        <v>24641</v>
      </c>
      <c r="U186" s="48">
        <f t="shared" si="11"/>
        <v>529160</v>
      </c>
      <c r="V186" s="50">
        <f t="shared" si="12"/>
        <v>4.4494321967638195E-2</v>
      </c>
    </row>
    <row r="187" spans="1:22" ht="13.2" x14ac:dyDescent="0.25">
      <c r="A187" s="48">
        <f t="shared" si="60"/>
        <v>185</v>
      </c>
      <c r="B187" s="49">
        <v>44381</v>
      </c>
      <c r="C187" s="48">
        <v>5537</v>
      </c>
      <c r="D187" s="48">
        <v>96537</v>
      </c>
      <c r="E187" s="48">
        <f t="shared" si="0"/>
        <v>102074</v>
      </c>
      <c r="F187" s="50">
        <f t="shared" si="1"/>
        <v>5.4244959539157867E-2</v>
      </c>
      <c r="G187" s="48">
        <v>20014</v>
      </c>
      <c r="H187" s="48">
        <v>433636</v>
      </c>
      <c r="I187" s="48">
        <f t="shared" si="71"/>
        <v>453650</v>
      </c>
      <c r="J187" s="59">
        <f t="shared" si="72"/>
        <v>4.4117711892428087E-2</v>
      </c>
      <c r="K187" s="48">
        <v>42</v>
      </c>
      <c r="L187" s="48">
        <v>974</v>
      </c>
      <c r="M187" s="52">
        <f t="shared" si="4"/>
        <v>1016</v>
      </c>
      <c r="N187" s="50">
        <f t="shared" si="5"/>
        <v>4.1338582677165357E-2</v>
      </c>
      <c r="O187" s="54">
        <f t="shared" ref="O187:P187" si="199">S187-S186</f>
        <v>2939</v>
      </c>
      <c r="P187" s="54">
        <f t="shared" si="199"/>
        <v>952</v>
      </c>
      <c r="Q187" s="54">
        <f t="shared" si="7"/>
        <v>1987</v>
      </c>
      <c r="R187" s="50">
        <f t="shared" si="8"/>
        <v>0.32391970057842806</v>
      </c>
      <c r="S187" s="52">
        <f t="shared" si="9"/>
        <v>556740</v>
      </c>
      <c r="T187" s="48">
        <f t="shared" si="10"/>
        <v>25593</v>
      </c>
      <c r="U187" s="48">
        <f t="shared" si="11"/>
        <v>531147</v>
      </c>
      <c r="V187" s="50">
        <f t="shared" si="12"/>
        <v>4.596939325358336E-2</v>
      </c>
    </row>
    <row r="188" spans="1:22" ht="13.2" x14ac:dyDescent="0.25">
      <c r="A188" s="48">
        <f t="shared" si="60"/>
        <v>186</v>
      </c>
      <c r="B188" s="49">
        <v>44382</v>
      </c>
      <c r="C188" s="48">
        <v>5603</v>
      </c>
      <c r="D188" s="48">
        <v>96980</v>
      </c>
      <c r="E188" s="48">
        <f t="shared" si="0"/>
        <v>102583</v>
      </c>
      <c r="F188" s="50">
        <f t="shared" si="1"/>
        <v>5.4619186414903056E-2</v>
      </c>
      <c r="G188" s="48">
        <v>20842</v>
      </c>
      <c r="H188" s="48">
        <v>436254</v>
      </c>
      <c r="I188" s="48">
        <f t="shared" si="71"/>
        <v>457096</v>
      </c>
      <c r="J188" s="59">
        <f t="shared" si="72"/>
        <v>4.5596548646236239E-2</v>
      </c>
      <c r="K188" s="48">
        <v>42</v>
      </c>
      <c r="L188" s="48">
        <v>974</v>
      </c>
      <c r="M188" s="52">
        <f t="shared" si="4"/>
        <v>1016</v>
      </c>
      <c r="N188" s="50">
        <f t="shared" si="5"/>
        <v>4.1338582677165357E-2</v>
      </c>
      <c r="O188" s="54">
        <f t="shared" ref="O188:P188" si="200">S188-S187</f>
        <v>3955</v>
      </c>
      <c r="P188" s="54">
        <f t="shared" si="200"/>
        <v>894</v>
      </c>
      <c r="Q188" s="54">
        <f t="shared" si="7"/>
        <v>3061</v>
      </c>
      <c r="R188" s="50">
        <f t="shared" si="8"/>
        <v>0.22604298356510746</v>
      </c>
      <c r="S188" s="52">
        <f t="shared" si="9"/>
        <v>560695</v>
      </c>
      <c r="T188" s="48">
        <f t="shared" si="10"/>
        <v>26487</v>
      </c>
      <c r="U188" s="48">
        <f t="shared" si="11"/>
        <v>534208</v>
      </c>
      <c r="V188" s="50">
        <f t="shared" si="12"/>
        <v>4.7239586584506728E-2</v>
      </c>
    </row>
    <row r="189" spans="1:22" ht="13.2" x14ac:dyDescent="0.25">
      <c r="A189" s="48">
        <f t="shared" si="60"/>
        <v>187</v>
      </c>
      <c r="B189" s="49">
        <v>44383</v>
      </c>
      <c r="C189" s="48">
        <v>5641</v>
      </c>
      <c r="D189" s="48">
        <v>97211</v>
      </c>
      <c r="E189" s="48">
        <f t="shared" si="0"/>
        <v>102852</v>
      </c>
      <c r="F189" s="50">
        <f t="shared" si="1"/>
        <v>5.4845797845447825E-2</v>
      </c>
      <c r="G189" s="48">
        <v>21624</v>
      </c>
      <c r="H189" s="48">
        <v>439169</v>
      </c>
      <c r="I189" s="48">
        <f t="shared" si="71"/>
        <v>460793</v>
      </c>
      <c r="J189" s="59">
        <f t="shared" si="72"/>
        <v>4.6927796212182044E-2</v>
      </c>
      <c r="K189" s="48">
        <v>42</v>
      </c>
      <c r="L189" s="48">
        <v>974</v>
      </c>
      <c r="M189" s="52">
        <f t="shared" si="4"/>
        <v>1016</v>
      </c>
      <c r="N189" s="50">
        <f t="shared" si="5"/>
        <v>4.1338582677165357E-2</v>
      </c>
      <c r="O189" s="54">
        <f t="shared" ref="O189:P189" si="201">S189-S188</f>
        <v>3966</v>
      </c>
      <c r="P189" s="54">
        <f t="shared" si="201"/>
        <v>820</v>
      </c>
      <c r="Q189" s="54">
        <f t="shared" si="7"/>
        <v>3146</v>
      </c>
      <c r="R189" s="50">
        <f t="shared" si="8"/>
        <v>0.20675743822491174</v>
      </c>
      <c r="S189" s="52">
        <f t="shared" si="9"/>
        <v>564661</v>
      </c>
      <c r="T189" s="48">
        <f t="shared" si="10"/>
        <v>27307</v>
      </c>
      <c r="U189" s="48">
        <f t="shared" si="11"/>
        <v>537354</v>
      </c>
      <c r="V189" s="50">
        <f t="shared" si="12"/>
        <v>4.8359989444994429E-2</v>
      </c>
    </row>
    <row r="190" spans="1:22" ht="13.2" x14ac:dyDescent="0.25">
      <c r="A190" s="48">
        <f t="shared" si="60"/>
        <v>188</v>
      </c>
      <c r="B190" s="49">
        <v>44384</v>
      </c>
      <c r="C190" s="48">
        <v>5748</v>
      </c>
      <c r="D190" s="48">
        <v>97787</v>
      </c>
      <c r="E190" s="48">
        <f t="shared" si="0"/>
        <v>103535</v>
      </c>
      <c r="F190" s="50">
        <f t="shared" si="1"/>
        <v>5.551745786449027E-2</v>
      </c>
      <c r="G190" s="48">
        <v>22663</v>
      </c>
      <c r="H190" s="48">
        <v>442865</v>
      </c>
      <c r="I190" s="48">
        <f t="shared" si="71"/>
        <v>465528</v>
      </c>
      <c r="J190" s="59">
        <f t="shared" si="72"/>
        <v>4.8682356378134076E-2</v>
      </c>
      <c r="K190" s="48">
        <v>42</v>
      </c>
      <c r="L190" s="48">
        <v>974</v>
      </c>
      <c r="M190" s="52">
        <f t="shared" si="4"/>
        <v>1016</v>
      </c>
      <c r="N190" s="50">
        <f t="shared" si="5"/>
        <v>4.1338582677165357E-2</v>
      </c>
      <c r="O190" s="54">
        <f t="shared" ref="O190:P190" si="202">S190-S189</f>
        <v>5418</v>
      </c>
      <c r="P190" s="54">
        <f t="shared" si="202"/>
        <v>1146</v>
      </c>
      <c r="Q190" s="54">
        <f t="shared" si="7"/>
        <v>4272</v>
      </c>
      <c r="R190" s="50">
        <f t="shared" si="8"/>
        <v>0.21151716500553711</v>
      </c>
      <c r="S190" s="52">
        <f t="shared" si="9"/>
        <v>570079</v>
      </c>
      <c r="T190" s="48">
        <f t="shared" si="10"/>
        <v>28453</v>
      </c>
      <c r="U190" s="48">
        <f t="shared" si="11"/>
        <v>541626</v>
      </c>
      <c r="V190" s="50">
        <f t="shared" si="12"/>
        <v>4.9910626421952042E-2</v>
      </c>
    </row>
    <row r="191" spans="1:22" ht="13.2" x14ac:dyDescent="0.25">
      <c r="A191" s="48">
        <f t="shared" si="60"/>
        <v>189</v>
      </c>
      <c r="B191" s="49">
        <v>44385</v>
      </c>
      <c r="C191" s="48">
        <v>5826</v>
      </c>
      <c r="D191" s="48">
        <v>98461</v>
      </c>
      <c r="E191" s="48">
        <f t="shared" si="0"/>
        <v>104287</v>
      </c>
      <c r="F191" s="50">
        <f t="shared" si="1"/>
        <v>5.5865064677284804E-2</v>
      </c>
      <c r="G191" s="48">
        <v>23704</v>
      </c>
      <c r="H191" s="48">
        <v>446157</v>
      </c>
      <c r="I191" s="48">
        <f t="shared" si="71"/>
        <v>469861</v>
      </c>
      <c r="J191" s="59">
        <f t="shared" si="72"/>
        <v>5.0448962565524696E-2</v>
      </c>
      <c r="K191" s="48">
        <v>42</v>
      </c>
      <c r="L191" s="48">
        <v>974</v>
      </c>
      <c r="M191" s="52">
        <f t="shared" si="4"/>
        <v>1016</v>
      </c>
      <c r="N191" s="50">
        <f t="shared" si="5"/>
        <v>4.1338582677165357E-2</v>
      </c>
      <c r="O191" s="54">
        <f t="shared" ref="O191:P191" si="203">S191-S190</f>
        <v>5085</v>
      </c>
      <c r="P191" s="54">
        <f t="shared" si="203"/>
        <v>1119</v>
      </c>
      <c r="Q191" s="54">
        <f t="shared" si="7"/>
        <v>3966</v>
      </c>
      <c r="R191" s="50">
        <f t="shared" si="8"/>
        <v>0.2200589970501475</v>
      </c>
      <c r="S191" s="52">
        <f t="shared" si="9"/>
        <v>575164</v>
      </c>
      <c r="T191" s="48">
        <f t="shared" si="10"/>
        <v>29572</v>
      </c>
      <c r="U191" s="48">
        <f t="shared" si="11"/>
        <v>545592</v>
      </c>
      <c r="V191" s="50">
        <f t="shared" si="12"/>
        <v>5.1414900793512804E-2</v>
      </c>
    </row>
    <row r="192" spans="1:22" ht="13.2" x14ac:dyDescent="0.25">
      <c r="A192" s="48">
        <f t="shared" si="60"/>
        <v>190</v>
      </c>
      <c r="B192" s="49">
        <v>44386</v>
      </c>
      <c r="C192" s="48">
        <v>5964</v>
      </c>
      <c r="D192" s="48">
        <v>99157</v>
      </c>
      <c r="E192" s="48">
        <f t="shared" si="0"/>
        <v>105121</v>
      </c>
      <c r="F192" s="50">
        <f t="shared" si="1"/>
        <v>5.6734620104451058E-2</v>
      </c>
      <c r="G192" s="48">
        <v>24503</v>
      </c>
      <c r="H192" s="48">
        <v>450163</v>
      </c>
      <c r="I192" s="48">
        <f t="shared" si="71"/>
        <v>474666</v>
      </c>
      <c r="J192" s="59">
        <f t="shared" si="72"/>
        <v>5.1621561266237737E-2</v>
      </c>
      <c r="K192" s="48">
        <v>42</v>
      </c>
      <c r="L192" s="48">
        <v>974</v>
      </c>
      <c r="M192" s="52">
        <f t="shared" si="4"/>
        <v>1016</v>
      </c>
      <c r="N192" s="50">
        <f t="shared" si="5"/>
        <v>4.1338582677165357E-2</v>
      </c>
      <c r="O192" s="54">
        <f t="shared" ref="O192:P192" si="204">S192-S191</f>
        <v>5639</v>
      </c>
      <c r="P192" s="54">
        <f t="shared" si="204"/>
        <v>937</v>
      </c>
      <c r="Q192" s="54">
        <f t="shared" si="7"/>
        <v>4702</v>
      </c>
      <c r="R192" s="50">
        <f t="shared" si="8"/>
        <v>0.16616421351303423</v>
      </c>
      <c r="S192" s="52">
        <f t="shared" si="9"/>
        <v>580803</v>
      </c>
      <c r="T192" s="48">
        <f t="shared" si="10"/>
        <v>30509</v>
      </c>
      <c r="U192" s="48">
        <f t="shared" si="11"/>
        <v>550294</v>
      </c>
      <c r="V192" s="50">
        <f t="shared" si="12"/>
        <v>5.2528998644979452E-2</v>
      </c>
    </row>
    <row r="193" spans="1:22" ht="13.2" x14ac:dyDescent="0.25">
      <c r="A193" s="48">
        <f t="shared" si="60"/>
        <v>191</v>
      </c>
      <c r="B193" s="49">
        <v>44387</v>
      </c>
      <c r="C193" s="48">
        <v>6104</v>
      </c>
      <c r="D193" s="48">
        <v>99914</v>
      </c>
      <c r="E193" s="48">
        <f t="shared" si="0"/>
        <v>106018</v>
      </c>
      <c r="F193" s="50">
        <f t="shared" si="1"/>
        <v>5.7575128751721404E-2</v>
      </c>
      <c r="G193" s="48">
        <v>25397</v>
      </c>
      <c r="H193" s="48">
        <v>454200</v>
      </c>
      <c r="I193" s="48">
        <f t="shared" si="71"/>
        <v>479597</v>
      </c>
      <c r="J193" s="59">
        <f t="shared" si="72"/>
        <v>5.2954876698561498E-2</v>
      </c>
      <c r="K193" s="48">
        <v>42</v>
      </c>
      <c r="L193" s="48">
        <v>974</v>
      </c>
      <c r="M193" s="52">
        <f t="shared" si="4"/>
        <v>1016</v>
      </c>
      <c r="N193" s="50">
        <f t="shared" si="5"/>
        <v>4.1338582677165357E-2</v>
      </c>
      <c r="O193" s="54">
        <f t="shared" ref="O193:P193" si="205">S193-S192</f>
        <v>5828</v>
      </c>
      <c r="P193" s="54">
        <f t="shared" si="205"/>
        <v>1034</v>
      </c>
      <c r="Q193" s="54">
        <f t="shared" si="7"/>
        <v>4794</v>
      </c>
      <c r="R193" s="50">
        <f t="shared" si="8"/>
        <v>0.17741935483870969</v>
      </c>
      <c r="S193" s="52">
        <f t="shared" si="9"/>
        <v>586631</v>
      </c>
      <c r="T193" s="48">
        <f t="shared" si="10"/>
        <v>31543</v>
      </c>
      <c r="U193" s="48">
        <f t="shared" si="11"/>
        <v>555088</v>
      </c>
      <c r="V193" s="50">
        <f t="shared" si="12"/>
        <v>5.3769746228890053E-2</v>
      </c>
    </row>
    <row r="194" spans="1:22" ht="13.2" x14ac:dyDescent="0.25">
      <c r="A194" s="48">
        <f t="shared" si="60"/>
        <v>192</v>
      </c>
      <c r="B194" s="49">
        <v>44388</v>
      </c>
      <c r="C194" s="48">
        <v>6203</v>
      </c>
      <c r="D194" s="48">
        <v>100618</v>
      </c>
      <c r="E194" s="48">
        <f t="shared" si="0"/>
        <v>106821</v>
      </c>
      <c r="F194" s="50">
        <f t="shared" si="1"/>
        <v>5.8069106261877348E-2</v>
      </c>
      <c r="G194" s="48">
        <v>26276</v>
      </c>
      <c r="H194" s="48">
        <v>458690</v>
      </c>
      <c r="I194" s="48">
        <f t="shared" si="71"/>
        <v>484966</v>
      </c>
      <c r="J194" s="59">
        <f t="shared" si="72"/>
        <v>5.4181117851560726E-2</v>
      </c>
      <c r="K194" s="48">
        <v>42</v>
      </c>
      <c r="L194" s="48">
        <v>974</v>
      </c>
      <c r="M194" s="52">
        <f t="shared" si="4"/>
        <v>1016</v>
      </c>
      <c r="N194" s="50">
        <f t="shared" si="5"/>
        <v>4.1338582677165357E-2</v>
      </c>
      <c r="O194" s="54">
        <f t="shared" ref="O194:P194" si="206">S194-S193</f>
        <v>6172</v>
      </c>
      <c r="P194" s="54">
        <f t="shared" si="206"/>
        <v>978</v>
      </c>
      <c r="Q194" s="54">
        <f t="shared" si="7"/>
        <v>5194</v>
      </c>
      <c r="R194" s="50">
        <f t="shared" si="8"/>
        <v>0.15845755022683086</v>
      </c>
      <c r="S194" s="52">
        <f t="shared" si="9"/>
        <v>592803</v>
      </c>
      <c r="T194" s="48">
        <f t="shared" si="10"/>
        <v>32521</v>
      </c>
      <c r="U194" s="48">
        <f t="shared" si="11"/>
        <v>560282</v>
      </c>
      <c r="V194" s="50">
        <f t="shared" si="12"/>
        <v>5.4859708874617705E-2</v>
      </c>
    </row>
    <row r="195" spans="1:22" ht="13.2" x14ac:dyDescent="0.25">
      <c r="A195" s="48">
        <f t="shared" si="60"/>
        <v>193</v>
      </c>
      <c r="B195" s="49">
        <v>44389</v>
      </c>
      <c r="C195" s="48">
        <v>6297</v>
      </c>
      <c r="D195" s="48">
        <v>101076</v>
      </c>
      <c r="E195" s="48">
        <f t="shared" si="0"/>
        <v>107373</v>
      </c>
      <c r="F195" s="50">
        <f t="shared" si="1"/>
        <v>5.8646028331144698E-2</v>
      </c>
      <c r="G195" s="48">
        <v>26803</v>
      </c>
      <c r="H195" s="48">
        <v>461384</v>
      </c>
      <c r="I195" s="48">
        <f t="shared" si="71"/>
        <v>488187</v>
      </c>
      <c r="J195" s="59">
        <f t="shared" si="72"/>
        <v>5.4903141624008833E-2</v>
      </c>
      <c r="K195" s="48">
        <v>42</v>
      </c>
      <c r="L195" s="48">
        <v>974</v>
      </c>
      <c r="M195" s="52">
        <f t="shared" si="4"/>
        <v>1016</v>
      </c>
      <c r="N195" s="50">
        <f t="shared" si="5"/>
        <v>4.1338582677165357E-2</v>
      </c>
      <c r="O195" s="54">
        <f t="shared" ref="O195:P195" si="207">S195-S194</f>
        <v>3773</v>
      </c>
      <c r="P195" s="54">
        <f t="shared" si="207"/>
        <v>621</v>
      </c>
      <c r="Q195" s="54">
        <f t="shared" si="7"/>
        <v>3152</v>
      </c>
      <c r="R195" s="50">
        <f t="shared" si="8"/>
        <v>0.16459051152928703</v>
      </c>
      <c r="S195" s="52">
        <f t="shared" si="9"/>
        <v>596576</v>
      </c>
      <c r="T195" s="48">
        <f t="shared" si="10"/>
        <v>33142</v>
      </c>
      <c r="U195" s="48">
        <f t="shared" si="11"/>
        <v>563434</v>
      </c>
      <c r="V195" s="50">
        <f t="shared" si="12"/>
        <v>5.5553693075148847E-2</v>
      </c>
    </row>
    <row r="196" spans="1:22" ht="13.2" x14ac:dyDescent="0.25">
      <c r="A196" s="48">
        <f t="shared" si="60"/>
        <v>194</v>
      </c>
      <c r="B196" s="49">
        <v>44390</v>
      </c>
      <c r="C196" s="48">
        <v>6427</v>
      </c>
      <c r="D196" s="48">
        <v>101603</v>
      </c>
      <c r="E196" s="48">
        <f t="shared" si="0"/>
        <v>108030</v>
      </c>
      <c r="F196" s="50">
        <f t="shared" si="1"/>
        <v>5.9492733499953716E-2</v>
      </c>
      <c r="G196" s="48">
        <v>27753</v>
      </c>
      <c r="H196" s="48">
        <v>467065</v>
      </c>
      <c r="I196" s="48">
        <f t="shared" si="71"/>
        <v>494818</v>
      </c>
      <c r="J196" s="59">
        <f t="shared" si="72"/>
        <v>5.6087288659668805E-2</v>
      </c>
      <c r="K196" s="48">
        <v>42</v>
      </c>
      <c r="L196" s="48">
        <v>974</v>
      </c>
      <c r="M196" s="52">
        <f t="shared" si="4"/>
        <v>1016</v>
      </c>
      <c r="N196" s="50">
        <f t="shared" si="5"/>
        <v>4.1338582677165357E-2</v>
      </c>
      <c r="O196" s="54">
        <f t="shared" ref="O196:P196" si="208">S196-S195</f>
        <v>7288</v>
      </c>
      <c r="P196" s="54">
        <f t="shared" si="208"/>
        <v>1080</v>
      </c>
      <c r="Q196" s="54">
        <f t="shared" si="7"/>
        <v>6208</v>
      </c>
      <c r="R196" s="50">
        <f t="shared" si="8"/>
        <v>0.14818880351262348</v>
      </c>
      <c r="S196" s="52">
        <f t="shared" si="9"/>
        <v>603864</v>
      </c>
      <c r="T196" s="48">
        <f t="shared" si="10"/>
        <v>34222</v>
      </c>
      <c r="U196" s="48">
        <f t="shared" si="11"/>
        <v>569642</v>
      </c>
      <c r="V196" s="50">
        <f t="shared" si="12"/>
        <v>5.6671700912788309E-2</v>
      </c>
    </row>
    <row r="197" spans="1:22" ht="13.2" x14ac:dyDescent="0.25">
      <c r="A197" s="48">
        <f t="shared" si="60"/>
        <v>195</v>
      </c>
      <c r="B197" s="49">
        <v>44391</v>
      </c>
      <c r="C197" s="48">
        <v>6547</v>
      </c>
      <c r="D197" s="48">
        <v>102042</v>
      </c>
      <c r="E197" s="48">
        <f t="shared" si="0"/>
        <v>108589</v>
      </c>
      <c r="F197" s="50">
        <f t="shared" si="1"/>
        <v>6.0291558076784942E-2</v>
      </c>
      <c r="G197" s="48">
        <v>28429</v>
      </c>
      <c r="H197" s="48">
        <v>471503</v>
      </c>
      <c r="I197" s="48">
        <f t="shared" si="71"/>
        <v>499932</v>
      </c>
      <c r="J197" s="59">
        <f t="shared" si="72"/>
        <v>5.6865733739788614E-2</v>
      </c>
      <c r="K197" s="48">
        <v>42</v>
      </c>
      <c r="L197" s="48">
        <v>974</v>
      </c>
      <c r="M197" s="52">
        <f t="shared" si="4"/>
        <v>1016</v>
      </c>
      <c r="N197" s="50">
        <f t="shared" si="5"/>
        <v>4.1338582677165357E-2</v>
      </c>
      <c r="O197" s="54">
        <f t="shared" ref="O197:P197" si="209">S197-S196</f>
        <v>5673</v>
      </c>
      <c r="P197" s="54">
        <f t="shared" si="209"/>
        <v>796</v>
      </c>
      <c r="Q197" s="54">
        <f t="shared" si="7"/>
        <v>4877</v>
      </c>
      <c r="R197" s="50">
        <f t="shared" si="8"/>
        <v>0.14031376696633174</v>
      </c>
      <c r="S197" s="52">
        <f t="shared" si="9"/>
        <v>609537</v>
      </c>
      <c r="T197" s="48">
        <f t="shared" si="10"/>
        <v>35018</v>
      </c>
      <c r="U197" s="48">
        <f t="shared" si="11"/>
        <v>574519</v>
      </c>
      <c r="V197" s="50">
        <f t="shared" si="12"/>
        <v>5.7450162992566486E-2</v>
      </c>
    </row>
    <row r="198" spans="1:22" ht="13.2" x14ac:dyDescent="0.25">
      <c r="A198" s="48">
        <f t="shared" si="60"/>
        <v>196</v>
      </c>
      <c r="B198" s="49">
        <v>44392</v>
      </c>
      <c r="C198" s="48">
        <v>6640</v>
      </c>
      <c r="D198" s="48">
        <v>102533</v>
      </c>
      <c r="E198" s="48">
        <f t="shared" si="0"/>
        <v>109173</v>
      </c>
      <c r="F198" s="50">
        <f t="shared" si="1"/>
        <v>6.0820898940214155E-2</v>
      </c>
      <c r="G198" s="48">
        <v>29117</v>
      </c>
      <c r="H198" s="48">
        <v>476288</v>
      </c>
      <c r="I198" s="48">
        <f t="shared" si="71"/>
        <v>505405</v>
      </c>
      <c r="J198" s="59">
        <f t="shared" si="72"/>
        <v>5.7611222682798946E-2</v>
      </c>
      <c r="K198" s="48">
        <v>42</v>
      </c>
      <c r="L198" s="48">
        <v>974</v>
      </c>
      <c r="M198" s="52">
        <f t="shared" si="4"/>
        <v>1016</v>
      </c>
      <c r="N198" s="50">
        <f t="shared" si="5"/>
        <v>4.1338582677165357E-2</v>
      </c>
      <c r="O198" s="54">
        <f t="shared" ref="O198:P198" si="210">S198-S197</f>
        <v>6057</v>
      </c>
      <c r="P198" s="54">
        <f t="shared" si="210"/>
        <v>781</v>
      </c>
      <c r="Q198" s="54">
        <f t="shared" si="7"/>
        <v>5276</v>
      </c>
      <c r="R198" s="50">
        <f t="shared" si="8"/>
        <v>0.12894172032359255</v>
      </c>
      <c r="S198" s="52">
        <f t="shared" si="9"/>
        <v>615594</v>
      </c>
      <c r="T198" s="48">
        <f t="shared" si="10"/>
        <v>35799</v>
      </c>
      <c r="U198" s="48">
        <f t="shared" si="11"/>
        <v>579795</v>
      </c>
      <c r="V198" s="50">
        <f t="shared" si="12"/>
        <v>5.8153588241600794E-2</v>
      </c>
    </row>
    <row r="199" spans="1:22" ht="13.2" x14ac:dyDescent="0.25">
      <c r="A199" s="48">
        <f t="shared" si="60"/>
        <v>197</v>
      </c>
      <c r="B199" s="49">
        <v>44393</v>
      </c>
      <c r="C199" s="48">
        <v>6725</v>
      </c>
      <c r="D199" s="48">
        <v>102821</v>
      </c>
      <c r="E199" s="48">
        <f t="shared" si="0"/>
        <v>109546</v>
      </c>
      <c r="F199" s="50">
        <f t="shared" si="1"/>
        <v>6.138973581874281E-2</v>
      </c>
      <c r="G199" s="48">
        <v>29942</v>
      </c>
      <c r="H199" s="48">
        <v>482374</v>
      </c>
      <c r="I199" s="48">
        <f t="shared" si="71"/>
        <v>512316</v>
      </c>
      <c r="J199" s="59">
        <f t="shared" si="72"/>
        <v>5.8444397598357262E-2</v>
      </c>
      <c r="K199" s="48">
        <v>42</v>
      </c>
      <c r="L199" s="48">
        <v>974</v>
      </c>
      <c r="M199" s="52">
        <f t="shared" si="4"/>
        <v>1016</v>
      </c>
      <c r="N199" s="50">
        <f t="shared" si="5"/>
        <v>4.1338582677165357E-2</v>
      </c>
      <c r="O199" s="54">
        <f t="shared" ref="O199:P199" si="211">S199-S198</f>
        <v>7284</v>
      </c>
      <c r="P199" s="54">
        <f t="shared" si="211"/>
        <v>910</v>
      </c>
      <c r="Q199" s="54">
        <f t="shared" si="7"/>
        <v>6374</v>
      </c>
      <c r="R199" s="50">
        <f t="shared" si="8"/>
        <v>0.12493135639758375</v>
      </c>
      <c r="S199" s="52">
        <f t="shared" si="9"/>
        <v>622878</v>
      </c>
      <c r="T199" s="48">
        <f t="shared" si="10"/>
        <v>36709</v>
      </c>
      <c r="U199" s="48">
        <f t="shared" si="11"/>
        <v>586169</v>
      </c>
      <c r="V199" s="50">
        <f t="shared" si="12"/>
        <v>5.8934494395371163E-2</v>
      </c>
    </row>
    <row r="200" spans="1:22" ht="13.2" x14ac:dyDescent="0.25">
      <c r="A200" s="48">
        <f t="shared" si="60"/>
        <v>198</v>
      </c>
      <c r="B200" s="49">
        <v>44394</v>
      </c>
      <c r="C200" s="48">
        <v>6827</v>
      </c>
      <c r="D200" s="48">
        <v>103215</v>
      </c>
      <c r="E200" s="48">
        <f t="shared" si="0"/>
        <v>110042</v>
      </c>
      <c r="F200" s="50">
        <f t="shared" si="1"/>
        <v>6.2039948383344541E-2</v>
      </c>
      <c r="G200" s="48">
        <v>30725</v>
      </c>
      <c r="H200" s="48">
        <v>489385</v>
      </c>
      <c r="I200" s="48">
        <f t="shared" si="71"/>
        <v>520110</v>
      </c>
      <c r="J200" s="59">
        <f t="shared" si="72"/>
        <v>5.9074042029570666E-2</v>
      </c>
      <c r="K200" s="48">
        <v>42</v>
      </c>
      <c r="L200" s="48">
        <v>974</v>
      </c>
      <c r="M200" s="52">
        <f t="shared" si="4"/>
        <v>1016</v>
      </c>
      <c r="N200" s="50">
        <f t="shared" si="5"/>
        <v>4.1338582677165357E-2</v>
      </c>
      <c r="O200" s="54">
        <f t="shared" ref="O200:P200" si="212">S200-S199</f>
        <v>8290</v>
      </c>
      <c r="P200" s="54">
        <f t="shared" si="212"/>
        <v>885</v>
      </c>
      <c r="Q200" s="54">
        <f t="shared" si="7"/>
        <v>7405</v>
      </c>
      <c r="R200" s="50">
        <f t="shared" si="8"/>
        <v>0.10675512665862485</v>
      </c>
      <c r="S200" s="52">
        <f t="shared" si="9"/>
        <v>631168</v>
      </c>
      <c r="T200" s="48">
        <f t="shared" si="10"/>
        <v>37594</v>
      </c>
      <c r="U200" s="48">
        <f t="shared" si="11"/>
        <v>593574</v>
      </c>
      <c r="V200" s="50">
        <f t="shared" si="12"/>
        <v>5.9562588724396674E-2</v>
      </c>
    </row>
    <row r="201" spans="1:22" ht="13.2" x14ac:dyDescent="0.25">
      <c r="A201" s="48">
        <f t="shared" si="60"/>
        <v>199</v>
      </c>
      <c r="B201" s="49">
        <v>44395</v>
      </c>
      <c r="C201" s="48">
        <v>6864</v>
      </c>
      <c r="D201" s="48">
        <v>103554</v>
      </c>
      <c r="E201" s="48">
        <f t="shared" si="0"/>
        <v>110418</v>
      </c>
      <c r="F201" s="50">
        <f t="shared" si="1"/>
        <v>6.2163777644949195E-2</v>
      </c>
      <c r="G201" s="48">
        <v>31365</v>
      </c>
      <c r="H201" s="48">
        <v>494085</v>
      </c>
      <c r="I201" s="48">
        <f t="shared" si="71"/>
        <v>525450</v>
      </c>
      <c r="J201" s="59">
        <f t="shared" si="72"/>
        <v>5.9691692834713102E-2</v>
      </c>
      <c r="K201" s="48">
        <v>42</v>
      </c>
      <c r="L201" s="48">
        <v>974</v>
      </c>
      <c r="M201" s="52">
        <f t="shared" si="4"/>
        <v>1016</v>
      </c>
      <c r="N201" s="50">
        <f t="shared" si="5"/>
        <v>4.1338582677165357E-2</v>
      </c>
      <c r="O201" s="54">
        <f t="shared" ref="O201:P201" si="213">S201-S200</f>
        <v>5716</v>
      </c>
      <c r="P201" s="54">
        <f t="shared" si="213"/>
        <v>677</v>
      </c>
      <c r="Q201" s="54">
        <f t="shared" si="7"/>
        <v>5039</v>
      </c>
      <c r="R201" s="50">
        <f t="shared" si="8"/>
        <v>0.11843946815955213</v>
      </c>
      <c r="S201" s="52">
        <f t="shared" si="9"/>
        <v>636884</v>
      </c>
      <c r="T201" s="48">
        <f t="shared" si="10"/>
        <v>38271</v>
      </c>
      <c r="U201" s="48">
        <f t="shared" si="11"/>
        <v>598613</v>
      </c>
      <c r="V201" s="50">
        <f t="shared" si="12"/>
        <v>6.0091005583434345E-2</v>
      </c>
    </row>
    <row r="202" spans="1:22" ht="13.2" x14ac:dyDescent="0.25">
      <c r="A202" s="48">
        <f t="shared" si="60"/>
        <v>200</v>
      </c>
      <c r="B202" s="49">
        <v>44396</v>
      </c>
      <c r="C202" s="48">
        <v>6939</v>
      </c>
      <c r="D202" s="48">
        <v>103794</v>
      </c>
      <c r="E202" s="48">
        <f t="shared" si="0"/>
        <v>110733</v>
      </c>
      <c r="F202" s="50">
        <f t="shared" si="1"/>
        <v>6.2664246430603338E-2</v>
      </c>
      <c r="G202" s="48">
        <v>31856</v>
      </c>
      <c r="H202" s="48">
        <v>498005</v>
      </c>
      <c r="I202" s="48">
        <f t="shared" si="71"/>
        <v>529861</v>
      </c>
      <c r="J202" s="59">
        <f t="shared" si="72"/>
        <v>6.0121428072645471E-2</v>
      </c>
      <c r="K202" s="48">
        <v>42</v>
      </c>
      <c r="L202" s="48">
        <v>974</v>
      </c>
      <c r="M202" s="52">
        <f t="shared" si="4"/>
        <v>1016</v>
      </c>
      <c r="N202" s="50">
        <f t="shared" si="5"/>
        <v>4.1338582677165357E-2</v>
      </c>
      <c r="O202" s="54">
        <f t="shared" ref="O202:P202" si="214">S202-S201</f>
        <v>4726</v>
      </c>
      <c r="P202" s="54">
        <f t="shared" si="214"/>
        <v>566</v>
      </c>
      <c r="Q202" s="54">
        <f t="shared" si="7"/>
        <v>4160</v>
      </c>
      <c r="R202" s="50">
        <f t="shared" si="8"/>
        <v>0.11976301311891663</v>
      </c>
      <c r="S202" s="52">
        <f t="shared" si="9"/>
        <v>641610</v>
      </c>
      <c r="T202" s="48">
        <f t="shared" si="10"/>
        <v>38837</v>
      </c>
      <c r="U202" s="48">
        <f t="shared" si="11"/>
        <v>602773</v>
      </c>
      <c r="V202" s="50">
        <f t="shared" si="12"/>
        <v>6.0530540359408365E-2</v>
      </c>
    </row>
    <row r="203" spans="1:22" ht="13.2" x14ac:dyDescent="0.25">
      <c r="A203" s="48">
        <f t="shared" si="60"/>
        <v>201</v>
      </c>
      <c r="B203" s="49">
        <v>44397</v>
      </c>
      <c r="C203" s="48">
        <v>6967</v>
      </c>
      <c r="D203" s="48">
        <v>103898</v>
      </c>
      <c r="E203" s="48">
        <f t="shared" si="0"/>
        <v>110865</v>
      </c>
      <c r="F203" s="50">
        <f t="shared" si="1"/>
        <v>6.2842195462950431E-2</v>
      </c>
      <c r="G203" s="48">
        <v>32469</v>
      </c>
      <c r="H203" s="48">
        <v>503891</v>
      </c>
      <c r="I203" s="48">
        <f t="shared" si="71"/>
        <v>536360</v>
      </c>
      <c r="J203" s="59">
        <f t="shared" si="72"/>
        <v>6.0535834141248412E-2</v>
      </c>
      <c r="K203" s="48">
        <v>42</v>
      </c>
      <c r="L203" s="48">
        <v>974</v>
      </c>
      <c r="M203" s="52">
        <f t="shared" si="4"/>
        <v>1016</v>
      </c>
      <c r="N203" s="50">
        <f t="shared" si="5"/>
        <v>4.1338582677165357E-2</v>
      </c>
      <c r="O203" s="54">
        <f t="shared" ref="O203:P203" si="215">S203-S202</f>
        <v>6631</v>
      </c>
      <c r="P203" s="54">
        <f t="shared" si="215"/>
        <v>641</v>
      </c>
      <c r="Q203" s="54">
        <f t="shared" si="7"/>
        <v>5990</v>
      </c>
      <c r="R203" s="50">
        <f t="shared" si="8"/>
        <v>9.6667169356054891E-2</v>
      </c>
      <c r="S203" s="52">
        <f t="shared" si="9"/>
        <v>648241</v>
      </c>
      <c r="T203" s="48">
        <f t="shared" si="10"/>
        <v>39478</v>
      </c>
      <c r="U203" s="48">
        <f t="shared" si="11"/>
        <v>608763</v>
      </c>
      <c r="V203" s="50">
        <f t="shared" si="12"/>
        <v>6.0900189898509968E-2</v>
      </c>
    </row>
    <row r="204" spans="1:22" ht="13.2" x14ac:dyDescent="0.25">
      <c r="A204" s="48">
        <f t="shared" si="60"/>
        <v>202</v>
      </c>
      <c r="B204" s="49">
        <v>44398</v>
      </c>
      <c r="C204" s="48">
        <v>7014</v>
      </c>
      <c r="D204" s="48">
        <v>104393</v>
      </c>
      <c r="E204" s="48">
        <f t="shared" si="0"/>
        <v>111407</v>
      </c>
      <c r="F204" s="50">
        <f t="shared" si="1"/>
        <v>6.295834193542596E-2</v>
      </c>
      <c r="G204" s="48">
        <v>32970</v>
      </c>
      <c r="H204" s="48">
        <v>508195</v>
      </c>
      <c r="I204" s="48">
        <f t="shared" si="71"/>
        <v>541165</v>
      </c>
      <c r="J204" s="59">
        <f t="shared" si="72"/>
        <v>6.0924117413358216E-2</v>
      </c>
      <c r="K204" s="48">
        <v>42</v>
      </c>
      <c r="L204" s="48">
        <v>974</v>
      </c>
      <c r="M204" s="52">
        <f t="shared" si="4"/>
        <v>1016</v>
      </c>
      <c r="N204" s="50">
        <f t="shared" si="5"/>
        <v>4.1338582677165357E-2</v>
      </c>
      <c r="O204" s="54">
        <f t="shared" ref="O204:P204" si="216">S204-S203</f>
        <v>5347</v>
      </c>
      <c r="P204" s="54">
        <f t="shared" si="216"/>
        <v>548</v>
      </c>
      <c r="Q204" s="54">
        <f t="shared" si="7"/>
        <v>4799</v>
      </c>
      <c r="R204" s="50">
        <f t="shared" si="8"/>
        <v>0.10248737609874696</v>
      </c>
      <c r="S204" s="52">
        <f t="shared" si="9"/>
        <v>653588</v>
      </c>
      <c r="T204" s="48">
        <f t="shared" si="10"/>
        <v>40026</v>
      </c>
      <c r="U204" s="48">
        <f t="shared" si="11"/>
        <v>613562</v>
      </c>
      <c r="V204" s="50">
        <f t="shared" si="12"/>
        <v>6.1240414450693711E-2</v>
      </c>
    </row>
    <row r="205" spans="1:22" ht="13.2" x14ac:dyDescent="0.25">
      <c r="A205" s="48">
        <f t="shared" si="60"/>
        <v>203</v>
      </c>
      <c r="B205" s="49">
        <v>44399</v>
      </c>
      <c r="C205" s="48">
        <v>7051</v>
      </c>
      <c r="D205" s="48">
        <v>104543</v>
      </c>
      <c r="E205" s="48">
        <f t="shared" si="0"/>
        <v>111594</v>
      </c>
      <c r="F205" s="50">
        <f t="shared" si="1"/>
        <v>6.3184400595014067E-2</v>
      </c>
      <c r="G205" s="48">
        <v>33742</v>
      </c>
      <c r="H205" s="48">
        <v>517544</v>
      </c>
      <c r="I205" s="48">
        <f t="shared" si="71"/>
        <v>551286</v>
      </c>
      <c r="J205" s="59">
        <f t="shared" si="72"/>
        <v>6.1205980199025553E-2</v>
      </c>
      <c r="K205" s="48">
        <v>42</v>
      </c>
      <c r="L205" s="48">
        <v>974</v>
      </c>
      <c r="M205" s="52">
        <f t="shared" si="4"/>
        <v>1016</v>
      </c>
      <c r="N205" s="50">
        <f t="shared" si="5"/>
        <v>4.1338582677165357E-2</v>
      </c>
      <c r="O205" s="54">
        <f t="shared" ref="O205:P205" si="217">S205-S204</f>
        <v>10308</v>
      </c>
      <c r="P205" s="54">
        <f t="shared" si="217"/>
        <v>809</v>
      </c>
      <c r="Q205" s="54">
        <f t="shared" si="7"/>
        <v>9499</v>
      </c>
      <c r="R205" s="50">
        <f t="shared" si="8"/>
        <v>7.8482731858750487E-2</v>
      </c>
      <c r="S205" s="52">
        <f t="shared" si="9"/>
        <v>663896</v>
      </c>
      <c r="T205" s="48">
        <f t="shared" si="10"/>
        <v>40835</v>
      </c>
      <c r="U205" s="48">
        <f t="shared" si="11"/>
        <v>623061</v>
      </c>
      <c r="V205" s="50">
        <f t="shared" si="12"/>
        <v>6.150812777904973E-2</v>
      </c>
    </row>
    <row r="206" spans="1:22" ht="13.2" x14ac:dyDescent="0.25">
      <c r="A206" s="48">
        <f t="shared" si="60"/>
        <v>204</v>
      </c>
      <c r="B206" s="49">
        <v>44400</v>
      </c>
      <c r="C206" s="48">
        <v>7078</v>
      </c>
      <c r="D206" s="48">
        <v>104963</v>
      </c>
      <c r="E206" s="48">
        <f t="shared" si="0"/>
        <v>112041</v>
      </c>
      <c r="F206" s="50">
        <f t="shared" si="1"/>
        <v>6.3173302630287129E-2</v>
      </c>
      <c r="G206" s="48">
        <v>34779</v>
      </c>
      <c r="H206" s="48">
        <v>527641</v>
      </c>
      <c r="I206" s="48">
        <f t="shared" si="71"/>
        <v>562420</v>
      </c>
      <c r="J206" s="59">
        <f t="shared" si="72"/>
        <v>6.1838128089328259E-2</v>
      </c>
      <c r="K206" s="48">
        <v>42</v>
      </c>
      <c r="L206" s="48">
        <v>974</v>
      </c>
      <c r="M206" s="52">
        <f t="shared" si="4"/>
        <v>1016</v>
      </c>
      <c r="N206" s="50">
        <f t="shared" si="5"/>
        <v>4.1338582677165357E-2</v>
      </c>
      <c r="O206" s="54">
        <f t="shared" ref="O206:P206" si="218">S206-S205</f>
        <v>11581</v>
      </c>
      <c r="P206" s="54">
        <f t="shared" si="218"/>
        <v>1064</v>
      </c>
      <c r="Q206" s="54">
        <f t="shared" si="7"/>
        <v>10517</v>
      </c>
      <c r="R206" s="50">
        <f t="shared" si="8"/>
        <v>9.1874622226059924E-2</v>
      </c>
      <c r="S206" s="52">
        <f t="shared" si="9"/>
        <v>675477</v>
      </c>
      <c r="T206" s="48">
        <f t="shared" si="10"/>
        <v>41899</v>
      </c>
      <c r="U206" s="48">
        <f t="shared" si="11"/>
        <v>633578</v>
      </c>
      <c r="V206" s="50">
        <f t="shared" si="12"/>
        <v>6.2028758936277621E-2</v>
      </c>
    </row>
    <row r="207" spans="1:22" ht="13.2" x14ac:dyDescent="0.25">
      <c r="A207" s="48">
        <f t="shared" si="60"/>
        <v>205</v>
      </c>
      <c r="B207" s="49">
        <v>44401</v>
      </c>
      <c r="C207" s="48">
        <v>7109</v>
      </c>
      <c r="D207" s="48">
        <v>105239</v>
      </c>
      <c r="E207" s="48">
        <f t="shared" si="0"/>
        <v>112348</v>
      </c>
      <c r="F207" s="50">
        <f t="shared" si="1"/>
        <v>6.3276604834977032E-2</v>
      </c>
      <c r="G207" s="48">
        <v>35489</v>
      </c>
      <c r="H207" s="48">
        <v>535375</v>
      </c>
      <c r="I207" s="48">
        <f t="shared" si="71"/>
        <v>570864</v>
      </c>
      <c r="J207" s="59">
        <f t="shared" si="72"/>
        <v>6.2167171165111126E-2</v>
      </c>
      <c r="K207" s="48">
        <v>42</v>
      </c>
      <c r="L207" s="48">
        <v>974</v>
      </c>
      <c r="M207" s="52">
        <f t="shared" si="4"/>
        <v>1016</v>
      </c>
      <c r="N207" s="50">
        <f t="shared" si="5"/>
        <v>4.1338582677165357E-2</v>
      </c>
      <c r="O207" s="54">
        <f t="shared" ref="O207:P207" si="219">S207-S206</f>
        <v>8751</v>
      </c>
      <c r="P207" s="54">
        <f t="shared" si="219"/>
        <v>741</v>
      </c>
      <c r="Q207" s="54">
        <f t="shared" si="7"/>
        <v>8010</v>
      </c>
      <c r="R207" s="50">
        <f t="shared" si="8"/>
        <v>8.4676037024340081E-2</v>
      </c>
      <c r="S207" s="52">
        <f t="shared" si="9"/>
        <v>684228</v>
      </c>
      <c r="T207" s="48">
        <f t="shared" si="10"/>
        <v>42640</v>
      </c>
      <c r="U207" s="48">
        <f t="shared" si="11"/>
        <v>641588</v>
      </c>
      <c r="V207" s="50">
        <f t="shared" si="12"/>
        <v>6.2318408483721797E-2</v>
      </c>
    </row>
    <row r="208" spans="1:22" ht="13.2" x14ac:dyDescent="0.25">
      <c r="A208" s="48">
        <f t="shared" si="60"/>
        <v>206</v>
      </c>
      <c r="B208" s="49">
        <v>44402</v>
      </c>
      <c r="C208" s="48">
        <v>7155</v>
      </c>
      <c r="D208" s="48">
        <v>105644</v>
      </c>
      <c r="E208" s="48">
        <f t="shared" si="0"/>
        <v>112799</v>
      </c>
      <c r="F208" s="50">
        <f t="shared" si="1"/>
        <v>6.3431413399054962E-2</v>
      </c>
      <c r="G208" s="48">
        <v>36009</v>
      </c>
      <c r="H208" s="48">
        <v>541839</v>
      </c>
      <c r="I208" s="48">
        <f t="shared" si="71"/>
        <v>577848</v>
      </c>
      <c r="J208" s="59">
        <f t="shared" si="72"/>
        <v>6.2315695477011254E-2</v>
      </c>
      <c r="K208" s="48">
        <v>42</v>
      </c>
      <c r="L208" s="48">
        <v>974</v>
      </c>
      <c r="M208" s="52">
        <f t="shared" si="4"/>
        <v>1016</v>
      </c>
      <c r="N208" s="50">
        <f t="shared" si="5"/>
        <v>4.1338582677165357E-2</v>
      </c>
      <c r="O208" s="54">
        <f t="shared" ref="O208:P208" si="220">S208-S207</f>
        <v>7435</v>
      </c>
      <c r="P208" s="54">
        <f t="shared" si="220"/>
        <v>566</v>
      </c>
      <c r="Q208" s="54">
        <f t="shared" si="7"/>
        <v>6869</v>
      </c>
      <c r="R208" s="50">
        <f t="shared" si="8"/>
        <v>7.6126429051782116E-2</v>
      </c>
      <c r="S208" s="52">
        <f t="shared" si="9"/>
        <v>691663</v>
      </c>
      <c r="T208" s="48">
        <f t="shared" si="10"/>
        <v>43206</v>
      </c>
      <c r="U208" s="48">
        <f t="shared" si="11"/>
        <v>648457</v>
      </c>
      <c r="V208" s="50">
        <f t="shared" si="12"/>
        <v>6.2466837173594657E-2</v>
      </c>
    </row>
    <row r="209" spans="1:22" ht="13.2" x14ac:dyDescent="0.25">
      <c r="A209" s="48">
        <f t="shared" si="60"/>
        <v>207</v>
      </c>
      <c r="B209" s="49">
        <v>44403</v>
      </c>
      <c r="C209" s="48">
        <v>7161</v>
      </c>
      <c r="D209" s="48">
        <v>105753</v>
      </c>
      <c r="E209" s="48">
        <f t="shared" si="0"/>
        <v>112914</v>
      </c>
      <c r="F209" s="50">
        <f t="shared" si="1"/>
        <v>6.3419947924969453E-2</v>
      </c>
      <c r="G209" s="48">
        <v>36325</v>
      </c>
      <c r="H209" s="48">
        <v>546466</v>
      </c>
      <c r="I209" s="48">
        <f t="shared" si="71"/>
        <v>582791</v>
      </c>
      <c r="J209" s="59">
        <f t="shared" si="72"/>
        <v>6.2329377083722978E-2</v>
      </c>
      <c r="K209" s="48">
        <v>42</v>
      </c>
      <c r="L209" s="48">
        <v>974</v>
      </c>
      <c r="M209" s="52">
        <f t="shared" si="4"/>
        <v>1016</v>
      </c>
      <c r="N209" s="50">
        <f t="shared" si="5"/>
        <v>4.1338582677165357E-2</v>
      </c>
      <c r="O209" s="54">
        <f t="shared" ref="O209:P209" si="221">S209-S208</f>
        <v>5058</v>
      </c>
      <c r="P209" s="54">
        <f t="shared" si="221"/>
        <v>322</v>
      </c>
      <c r="Q209" s="54">
        <f t="shared" si="7"/>
        <v>4736</v>
      </c>
      <c r="R209" s="50">
        <f t="shared" si="8"/>
        <v>6.3661526294978246E-2</v>
      </c>
      <c r="S209" s="52">
        <f t="shared" si="9"/>
        <v>696721</v>
      </c>
      <c r="T209" s="48">
        <f t="shared" si="10"/>
        <v>43528</v>
      </c>
      <c r="U209" s="48">
        <f t="shared" si="11"/>
        <v>653193</v>
      </c>
      <c r="V209" s="50">
        <f t="shared" si="12"/>
        <v>6.2475510283169305E-2</v>
      </c>
    </row>
    <row r="210" spans="1:22" ht="13.2" x14ac:dyDescent="0.25">
      <c r="A210" s="48">
        <f t="shared" si="60"/>
        <v>208</v>
      </c>
      <c r="B210" s="49">
        <v>44404</v>
      </c>
      <c r="C210" s="48">
        <v>7180</v>
      </c>
      <c r="D210" s="48">
        <v>106013</v>
      </c>
      <c r="E210" s="48">
        <f t="shared" si="0"/>
        <v>113193</v>
      </c>
      <c r="F210" s="50">
        <f t="shared" si="1"/>
        <v>6.3431484279063199E-2</v>
      </c>
      <c r="G210" s="48">
        <v>37304</v>
      </c>
      <c r="H210" s="48">
        <v>559153</v>
      </c>
      <c r="I210" s="48">
        <f t="shared" si="71"/>
        <v>596457</v>
      </c>
      <c r="J210" s="59">
        <f t="shared" si="72"/>
        <v>6.2542647667811757E-2</v>
      </c>
      <c r="K210" s="48">
        <v>42</v>
      </c>
      <c r="L210" s="48">
        <v>974</v>
      </c>
      <c r="M210" s="52">
        <f t="shared" si="4"/>
        <v>1016</v>
      </c>
      <c r="N210" s="50">
        <f t="shared" si="5"/>
        <v>4.1338582677165357E-2</v>
      </c>
      <c r="O210" s="54">
        <f t="shared" ref="O210:P210" si="222">S210-S209</f>
        <v>13945</v>
      </c>
      <c r="P210" s="54">
        <f t="shared" si="222"/>
        <v>998</v>
      </c>
      <c r="Q210" s="54">
        <f t="shared" si="7"/>
        <v>12947</v>
      </c>
      <c r="R210" s="50">
        <f t="shared" si="8"/>
        <v>7.1566869845822875E-2</v>
      </c>
      <c r="S210" s="52">
        <f t="shared" si="9"/>
        <v>710666</v>
      </c>
      <c r="T210" s="48">
        <f t="shared" si="10"/>
        <v>44526</v>
      </c>
      <c r="U210" s="48">
        <f t="shared" si="11"/>
        <v>666140</v>
      </c>
      <c r="V210" s="50">
        <f t="shared" si="12"/>
        <v>6.265390492861625E-2</v>
      </c>
    </row>
    <row r="211" spans="1:22" ht="13.2" x14ac:dyDescent="0.25">
      <c r="A211" s="48">
        <f t="shared" si="60"/>
        <v>209</v>
      </c>
      <c r="B211" s="49">
        <v>44405</v>
      </c>
      <c r="C211" s="48">
        <v>7213</v>
      </c>
      <c r="D211" s="48">
        <v>106254</v>
      </c>
      <c r="E211" s="48">
        <f t="shared" si="0"/>
        <v>113467</v>
      </c>
      <c r="F211" s="50">
        <f t="shared" si="1"/>
        <v>6.3569143451399968E-2</v>
      </c>
      <c r="G211" s="48">
        <v>38016</v>
      </c>
      <c r="H211" s="48">
        <v>567972</v>
      </c>
      <c r="I211" s="48">
        <f t="shared" si="71"/>
        <v>605988</v>
      </c>
      <c r="J211" s="59">
        <f t="shared" si="72"/>
        <v>6.2733915523079664E-2</v>
      </c>
      <c r="K211" s="48">
        <v>42</v>
      </c>
      <c r="L211" s="48">
        <v>974</v>
      </c>
      <c r="M211" s="52">
        <f t="shared" si="4"/>
        <v>1016</v>
      </c>
      <c r="N211" s="50">
        <f t="shared" si="5"/>
        <v>4.1338582677165357E-2</v>
      </c>
      <c r="O211" s="54">
        <f t="shared" ref="O211:P211" si="223">S211-S210</f>
        <v>9805</v>
      </c>
      <c r="P211" s="54">
        <f t="shared" si="223"/>
        <v>745</v>
      </c>
      <c r="Q211" s="54">
        <f t="shared" si="7"/>
        <v>9060</v>
      </c>
      <c r="R211" s="50">
        <f t="shared" si="8"/>
        <v>7.5981642019377862E-2</v>
      </c>
      <c r="S211" s="52">
        <f t="shared" si="9"/>
        <v>720471</v>
      </c>
      <c r="T211" s="48">
        <f t="shared" si="10"/>
        <v>45271</v>
      </c>
      <c r="U211" s="48">
        <f t="shared" si="11"/>
        <v>675200</v>
      </c>
      <c r="V211" s="50">
        <f t="shared" si="12"/>
        <v>6.2835284140513634E-2</v>
      </c>
    </row>
    <row r="212" spans="1:22" ht="13.2" x14ac:dyDescent="0.25">
      <c r="A212" s="48">
        <f t="shared" si="60"/>
        <v>210</v>
      </c>
      <c r="B212" s="49">
        <v>44406</v>
      </c>
      <c r="C212" s="48">
        <v>7240</v>
      </c>
      <c r="D212" s="48">
        <v>106684</v>
      </c>
      <c r="E212" s="48">
        <f t="shared" si="0"/>
        <v>113924</v>
      </c>
      <c r="F212" s="50">
        <f t="shared" si="1"/>
        <v>6.3551139356061936E-2</v>
      </c>
      <c r="G212" s="48">
        <v>38619</v>
      </c>
      <c r="H212" s="48">
        <v>576284</v>
      </c>
      <c r="I212" s="48">
        <f t="shared" si="71"/>
        <v>614903</v>
      </c>
      <c r="J212" s="59">
        <f t="shared" si="72"/>
        <v>6.280502778487014E-2</v>
      </c>
      <c r="K212" s="48">
        <v>42</v>
      </c>
      <c r="L212" s="48">
        <v>974</v>
      </c>
      <c r="M212" s="52">
        <f t="shared" si="4"/>
        <v>1016</v>
      </c>
      <c r="N212" s="50">
        <f t="shared" si="5"/>
        <v>4.1338582677165357E-2</v>
      </c>
      <c r="O212" s="54">
        <f t="shared" ref="O212:P212" si="224">S212-S211</f>
        <v>9372</v>
      </c>
      <c r="P212" s="54">
        <f t="shared" si="224"/>
        <v>630</v>
      </c>
      <c r="Q212" s="54">
        <f t="shared" si="7"/>
        <v>8742</v>
      </c>
      <c r="R212" s="50">
        <f t="shared" si="8"/>
        <v>6.7221510883482716E-2</v>
      </c>
      <c r="S212" s="52">
        <f t="shared" si="9"/>
        <v>729843</v>
      </c>
      <c r="T212" s="48">
        <f t="shared" si="10"/>
        <v>45901</v>
      </c>
      <c r="U212" s="48">
        <f t="shared" si="11"/>
        <v>683942</v>
      </c>
      <c r="V212" s="50">
        <f t="shared" si="12"/>
        <v>6.2891608195187187E-2</v>
      </c>
    </row>
    <row r="213" spans="1:22" ht="13.2" x14ac:dyDescent="0.25">
      <c r="A213" s="48">
        <f t="shared" si="60"/>
        <v>211</v>
      </c>
      <c r="B213" s="49">
        <v>44407</v>
      </c>
      <c r="C213" s="48">
        <v>7264</v>
      </c>
      <c r="D213" s="48">
        <v>107024</v>
      </c>
      <c r="E213" s="48">
        <f t="shared" si="0"/>
        <v>114288</v>
      </c>
      <c r="F213" s="50">
        <f t="shared" si="1"/>
        <v>6.3558728825423488E-2</v>
      </c>
      <c r="G213" s="48">
        <v>39082</v>
      </c>
      <c r="H213" s="48">
        <v>585525</v>
      </c>
      <c r="I213" s="48">
        <f t="shared" si="71"/>
        <v>624607</v>
      </c>
      <c r="J213" s="59">
        <f t="shared" si="72"/>
        <v>6.2570544358292499E-2</v>
      </c>
      <c r="K213" s="48">
        <v>42</v>
      </c>
      <c r="L213" s="48">
        <v>974</v>
      </c>
      <c r="M213" s="52">
        <f t="shared" si="4"/>
        <v>1016</v>
      </c>
      <c r="N213" s="50">
        <f t="shared" si="5"/>
        <v>4.1338582677165357E-2</v>
      </c>
      <c r="O213" s="54">
        <f t="shared" ref="O213:P213" si="225">S213-S212</f>
        <v>10068</v>
      </c>
      <c r="P213" s="54">
        <f t="shared" si="225"/>
        <v>487</v>
      </c>
      <c r="Q213" s="54">
        <f t="shared" si="7"/>
        <v>9581</v>
      </c>
      <c r="R213" s="50">
        <f t="shared" si="8"/>
        <v>4.8371076678585617E-2</v>
      </c>
      <c r="S213" s="52">
        <f t="shared" si="9"/>
        <v>739911</v>
      </c>
      <c r="T213" s="48">
        <f t="shared" si="10"/>
        <v>46388</v>
      </c>
      <c r="U213" s="48">
        <f t="shared" si="11"/>
        <v>693523</v>
      </c>
      <c r="V213" s="50">
        <f t="shared" si="12"/>
        <v>6.2694026714023715E-2</v>
      </c>
    </row>
    <row r="214" spans="1:22" ht="13.2" x14ac:dyDescent="0.25">
      <c r="A214" s="48">
        <f t="shared" si="60"/>
        <v>212</v>
      </c>
      <c r="B214" s="49">
        <v>44408</v>
      </c>
      <c r="C214" s="48">
        <v>7329</v>
      </c>
      <c r="D214" s="48">
        <v>107457</v>
      </c>
      <c r="E214" s="48">
        <f t="shared" si="0"/>
        <v>114786</v>
      </c>
      <c r="F214" s="50">
        <f t="shared" si="1"/>
        <v>6.3849249908525432E-2</v>
      </c>
      <c r="G214" s="48">
        <v>39444</v>
      </c>
      <c r="H214" s="48">
        <v>594616</v>
      </c>
      <c r="I214" s="48">
        <f t="shared" si="71"/>
        <v>634060</v>
      </c>
      <c r="J214" s="59">
        <f t="shared" si="72"/>
        <v>6.2208623789546731E-2</v>
      </c>
      <c r="K214" s="48">
        <v>42</v>
      </c>
      <c r="L214" s="48">
        <v>974</v>
      </c>
      <c r="M214" s="52">
        <f t="shared" si="4"/>
        <v>1016</v>
      </c>
      <c r="N214" s="50">
        <f t="shared" si="5"/>
        <v>4.1338582677165357E-2</v>
      </c>
      <c r="O214" s="54">
        <f t="shared" ref="O214:P214" si="226">S214-S213</f>
        <v>9951</v>
      </c>
      <c r="P214" s="54">
        <f t="shared" si="226"/>
        <v>427</v>
      </c>
      <c r="Q214" s="54">
        <f t="shared" si="7"/>
        <v>9524</v>
      </c>
      <c r="R214" s="50">
        <f t="shared" si="8"/>
        <v>4.2910260275349214E-2</v>
      </c>
      <c r="S214" s="52">
        <f t="shared" si="9"/>
        <v>749862</v>
      </c>
      <c r="T214" s="48">
        <f t="shared" si="10"/>
        <v>46815</v>
      </c>
      <c r="U214" s="48">
        <f t="shared" si="11"/>
        <v>703047</v>
      </c>
      <c r="V214" s="50">
        <f t="shared" si="12"/>
        <v>6.2431487393680436E-2</v>
      </c>
    </row>
    <row r="215" spans="1:22" ht="13.2" x14ac:dyDescent="0.25">
      <c r="A215" s="48">
        <f t="shared" si="60"/>
        <v>213</v>
      </c>
      <c r="B215" s="49">
        <v>44409</v>
      </c>
      <c r="C215" s="48">
        <v>7369</v>
      </c>
      <c r="D215" s="48">
        <v>107722</v>
      </c>
      <c r="E215" s="48">
        <f t="shared" si="0"/>
        <v>115091</v>
      </c>
      <c r="F215" s="50">
        <f t="shared" si="1"/>
        <v>6.4027595554821834E-2</v>
      </c>
      <c r="G215" s="48">
        <v>39770</v>
      </c>
      <c r="H215" s="48">
        <v>601822</v>
      </c>
      <c r="I215" s="48">
        <f t="shared" si="71"/>
        <v>641592</v>
      </c>
      <c r="J215" s="59">
        <f t="shared" si="72"/>
        <v>6.1986433746056682E-2</v>
      </c>
      <c r="K215" s="48">
        <v>42</v>
      </c>
      <c r="L215" s="48">
        <v>974</v>
      </c>
      <c r="M215" s="52">
        <f t="shared" si="4"/>
        <v>1016</v>
      </c>
      <c r="N215" s="50">
        <f t="shared" si="5"/>
        <v>4.1338582677165357E-2</v>
      </c>
      <c r="O215" s="54">
        <f t="shared" ref="O215:P215" si="227">S215-S214</f>
        <v>7837</v>
      </c>
      <c r="P215" s="54">
        <f t="shared" si="227"/>
        <v>366</v>
      </c>
      <c r="Q215" s="54">
        <f t="shared" si="7"/>
        <v>7471</v>
      </c>
      <c r="R215" s="50">
        <f t="shared" si="8"/>
        <v>4.6701543958147247E-2</v>
      </c>
      <c r="S215" s="52">
        <f t="shared" si="9"/>
        <v>757699</v>
      </c>
      <c r="T215" s="48">
        <f t="shared" si="10"/>
        <v>47181</v>
      </c>
      <c r="U215" s="48">
        <f t="shared" si="11"/>
        <v>710518</v>
      </c>
      <c r="V215" s="50">
        <f t="shared" si="12"/>
        <v>6.2268790113224379E-2</v>
      </c>
    </row>
    <row r="216" spans="1:22" ht="13.2" x14ac:dyDescent="0.25">
      <c r="A216" s="48">
        <f t="shared" si="60"/>
        <v>214</v>
      </c>
      <c r="B216" s="49">
        <v>44410</v>
      </c>
      <c r="C216" s="48">
        <v>7388</v>
      </c>
      <c r="D216" s="48">
        <v>107875</v>
      </c>
      <c r="E216" s="48">
        <f t="shared" si="0"/>
        <v>115263</v>
      </c>
      <c r="F216" s="50">
        <f t="shared" si="1"/>
        <v>6.4096891456928942E-2</v>
      </c>
      <c r="G216" s="48">
        <v>39998</v>
      </c>
      <c r="H216" s="48">
        <v>607967</v>
      </c>
      <c r="I216" s="48">
        <f t="shared" si="71"/>
        <v>647965</v>
      </c>
      <c r="J216" s="59">
        <f t="shared" si="72"/>
        <v>6.1728642750765859E-2</v>
      </c>
      <c r="K216" s="48">
        <v>42</v>
      </c>
      <c r="L216" s="48">
        <v>974</v>
      </c>
      <c r="M216" s="52">
        <f t="shared" si="4"/>
        <v>1016</v>
      </c>
      <c r="N216" s="50">
        <f t="shared" si="5"/>
        <v>4.1338582677165357E-2</v>
      </c>
      <c r="O216" s="54">
        <f t="shared" ref="O216:P216" si="228">S216-S215</f>
        <v>6545</v>
      </c>
      <c r="P216" s="54">
        <f t="shared" si="228"/>
        <v>247</v>
      </c>
      <c r="Q216" s="54">
        <f t="shared" si="7"/>
        <v>6298</v>
      </c>
      <c r="R216" s="50">
        <f t="shared" si="8"/>
        <v>3.7738731856378917E-2</v>
      </c>
      <c r="S216" s="52">
        <f t="shared" si="9"/>
        <v>764244</v>
      </c>
      <c r="T216" s="48">
        <f t="shared" si="10"/>
        <v>47428</v>
      </c>
      <c r="U216" s="48">
        <f t="shared" si="11"/>
        <v>716816</v>
      </c>
      <c r="V216" s="50">
        <f t="shared" si="12"/>
        <v>6.2058714232627279E-2</v>
      </c>
    </row>
    <row r="217" spans="1:22" ht="13.2" x14ac:dyDescent="0.25">
      <c r="A217" s="48">
        <f t="shared" si="60"/>
        <v>215</v>
      </c>
      <c r="B217" s="49">
        <v>44411</v>
      </c>
      <c r="C217" s="48">
        <v>7412</v>
      </c>
      <c r="D217" s="48">
        <v>107989</v>
      </c>
      <c r="E217" s="48">
        <f t="shared" si="0"/>
        <v>115401</v>
      </c>
      <c r="F217" s="50">
        <f t="shared" si="1"/>
        <v>6.4228212927097683E-2</v>
      </c>
      <c r="G217" s="48">
        <v>40548</v>
      </c>
      <c r="H217" s="48">
        <v>619966</v>
      </c>
      <c r="I217" s="48">
        <f t="shared" si="71"/>
        <v>660514</v>
      </c>
      <c r="J217" s="59">
        <f t="shared" si="72"/>
        <v>6.1388554973853697E-2</v>
      </c>
      <c r="K217" s="48">
        <v>42</v>
      </c>
      <c r="L217" s="48">
        <v>974</v>
      </c>
      <c r="M217" s="52">
        <f t="shared" si="4"/>
        <v>1016</v>
      </c>
      <c r="N217" s="50">
        <f t="shared" si="5"/>
        <v>4.1338582677165357E-2</v>
      </c>
      <c r="O217" s="54">
        <f t="shared" ref="O217:P217" si="229">S217-S216</f>
        <v>12687</v>
      </c>
      <c r="P217" s="54">
        <f t="shared" si="229"/>
        <v>574</v>
      </c>
      <c r="Q217" s="54">
        <f t="shared" si="7"/>
        <v>12113</v>
      </c>
      <c r="R217" s="50">
        <f t="shared" si="8"/>
        <v>4.5243162292110034E-2</v>
      </c>
      <c r="S217" s="52">
        <f t="shared" si="9"/>
        <v>776931</v>
      </c>
      <c r="T217" s="48">
        <f t="shared" si="10"/>
        <v>48002</v>
      </c>
      <c r="U217" s="48">
        <f t="shared" si="11"/>
        <v>728929</v>
      </c>
      <c r="V217" s="50">
        <f t="shared" si="12"/>
        <v>6.1784122399543846E-2</v>
      </c>
    </row>
    <row r="218" spans="1:22" ht="13.2" x14ac:dyDescent="0.25">
      <c r="A218" s="48">
        <f t="shared" si="60"/>
        <v>216</v>
      </c>
      <c r="B218" s="49">
        <v>44412</v>
      </c>
      <c r="C218" s="48">
        <v>7429</v>
      </c>
      <c r="D218" s="48">
        <v>107989</v>
      </c>
      <c r="E218" s="48">
        <f t="shared" si="0"/>
        <v>115418</v>
      </c>
      <c r="F218" s="50">
        <f t="shared" si="1"/>
        <v>6.4366043424769107E-2</v>
      </c>
      <c r="G218" s="48">
        <v>40940</v>
      </c>
      <c r="H218" s="48">
        <v>630359</v>
      </c>
      <c r="I218" s="48">
        <f t="shared" si="71"/>
        <v>671299</v>
      </c>
      <c r="J218" s="59">
        <f t="shared" si="72"/>
        <v>6.0986237131293211E-2</v>
      </c>
      <c r="K218" s="48">
        <v>42</v>
      </c>
      <c r="L218" s="48">
        <v>974</v>
      </c>
      <c r="M218" s="52">
        <f t="shared" si="4"/>
        <v>1016</v>
      </c>
      <c r="N218" s="50">
        <f t="shared" si="5"/>
        <v>4.1338582677165357E-2</v>
      </c>
      <c r="O218" s="54">
        <f t="shared" ref="O218:P218" si="230">S218-S217</f>
        <v>10802</v>
      </c>
      <c r="P218" s="54">
        <f t="shared" si="230"/>
        <v>409</v>
      </c>
      <c r="Q218" s="54">
        <f t="shared" si="7"/>
        <v>10393</v>
      </c>
      <c r="R218" s="50">
        <f t="shared" si="8"/>
        <v>3.7863358637289388E-2</v>
      </c>
      <c r="S218" s="52">
        <f t="shared" si="9"/>
        <v>787733</v>
      </c>
      <c r="T218" s="48">
        <f t="shared" si="10"/>
        <v>48411</v>
      </c>
      <c r="U218" s="48">
        <f t="shared" si="11"/>
        <v>739322</v>
      </c>
      <c r="V218" s="50">
        <f t="shared" si="12"/>
        <v>6.1456102511891722E-2</v>
      </c>
    </row>
    <row r="219" spans="1:22" ht="13.2" x14ac:dyDescent="0.25">
      <c r="A219" s="48">
        <f t="shared" si="60"/>
        <v>217</v>
      </c>
      <c r="B219" s="49">
        <v>44413</v>
      </c>
      <c r="C219" s="48">
        <v>7446</v>
      </c>
      <c r="D219" s="48">
        <v>108687</v>
      </c>
      <c r="E219" s="48">
        <f t="shared" si="0"/>
        <v>116133</v>
      </c>
      <c r="F219" s="50">
        <f t="shared" si="1"/>
        <v>6.4116142698457806E-2</v>
      </c>
      <c r="G219" s="48">
        <v>41320</v>
      </c>
      <c r="H219" s="48">
        <v>641099</v>
      </c>
      <c r="I219" s="48">
        <f t="shared" si="71"/>
        <v>682419</v>
      </c>
      <c r="J219" s="59">
        <f t="shared" si="72"/>
        <v>6.0549310614153473E-2</v>
      </c>
      <c r="K219" s="48">
        <v>42</v>
      </c>
      <c r="L219" s="48">
        <v>974</v>
      </c>
      <c r="M219" s="52">
        <f t="shared" si="4"/>
        <v>1016</v>
      </c>
      <c r="N219" s="50">
        <f t="shared" si="5"/>
        <v>4.1338582677165357E-2</v>
      </c>
      <c r="O219" s="54">
        <f t="shared" ref="O219:P219" si="231">S219-S218</f>
        <v>11835</v>
      </c>
      <c r="P219" s="54">
        <f t="shared" si="231"/>
        <v>397</v>
      </c>
      <c r="Q219" s="54">
        <f t="shared" si="7"/>
        <v>11438</v>
      </c>
      <c r="R219" s="50">
        <f t="shared" si="8"/>
        <v>3.3544571187156737E-2</v>
      </c>
      <c r="S219" s="52">
        <f t="shared" si="9"/>
        <v>799568</v>
      </c>
      <c r="T219" s="48">
        <f t="shared" si="10"/>
        <v>48808</v>
      </c>
      <c r="U219" s="48">
        <f t="shared" si="11"/>
        <v>750760</v>
      </c>
      <c r="V219" s="50">
        <f t="shared" si="12"/>
        <v>6.1042963200128073E-2</v>
      </c>
    </row>
    <row r="220" spans="1:22" ht="13.2" x14ac:dyDescent="0.25">
      <c r="A220" s="48">
        <f t="shared" si="60"/>
        <v>218</v>
      </c>
      <c r="B220" s="49">
        <v>44414</v>
      </c>
      <c r="C220" s="48">
        <v>7466</v>
      </c>
      <c r="D220" s="48">
        <v>109082</v>
      </c>
      <c r="E220" s="48">
        <f t="shared" si="0"/>
        <v>116548</v>
      </c>
      <c r="F220" s="50">
        <f t="shared" si="1"/>
        <v>6.4059443319490678E-2</v>
      </c>
      <c r="G220" s="48">
        <v>41684</v>
      </c>
      <c r="H220" s="48">
        <v>651622</v>
      </c>
      <c r="I220" s="48">
        <f t="shared" si="71"/>
        <v>693306</v>
      </c>
      <c r="J220" s="59">
        <f t="shared" si="72"/>
        <v>6.0123524100469346E-2</v>
      </c>
      <c r="K220" s="48">
        <v>42</v>
      </c>
      <c r="L220" s="48">
        <v>974</v>
      </c>
      <c r="M220" s="52">
        <f t="shared" si="4"/>
        <v>1016</v>
      </c>
      <c r="N220" s="50">
        <f t="shared" si="5"/>
        <v>4.1338582677165357E-2</v>
      </c>
      <c r="O220" s="54">
        <f t="shared" ref="O220:P220" si="232">S220-S219</f>
        <v>11302</v>
      </c>
      <c r="P220" s="54">
        <f t="shared" si="232"/>
        <v>384</v>
      </c>
      <c r="Q220" s="54">
        <f t="shared" si="7"/>
        <v>10918</v>
      </c>
      <c r="R220" s="50">
        <f t="shared" si="8"/>
        <v>3.3976287382764113E-2</v>
      </c>
      <c r="S220" s="52">
        <f t="shared" si="9"/>
        <v>810870</v>
      </c>
      <c r="T220" s="48">
        <f t="shared" si="10"/>
        <v>49192</v>
      </c>
      <c r="U220" s="48">
        <f t="shared" si="11"/>
        <v>761678</v>
      </c>
      <c r="V220" s="50">
        <f t="shared" si="12"/>
        <v>6.0665704736887538E-2</v>
      </c>
    </row>
    <row r="221" spans="1:22" ht="13.2" x14ac:dyDescent="0.25">
      <c r="A221" s="48">
        <f t="shared" si="60"/>
        <v>219</v>
      </c>
      <c r="B221" s="49">
        <v>44415</v>
      </c>
      <c r="C221" s="48">
        <v>7493</v>
      </c>
      <c r="D221" s="48">
        <v>109414</v>
      </c>
      <c r="E221" s="48">
        <f t="shared" si="0"/>
        <v>116907</v>
      </c>
      <c r="F221" s="50">
        <f t="shared" si="1"/>
        <v>6.4093681302231684E-2</v>
      </c>
      <c r="G221" s="48">
        <v>42114</v>
      </c>
      <c r="H221" s="48">
        <v>662597</v>
      </c>
      <c r="I221" s="48">
        <f t="shared" si="71"/>
        <v>704711</v>
      </c>
      <c r="J221" s="59">
        <f t="shared" si="72"/>
        <v>5.9760667848238497E-2</v>
      </c>
      <c r="K221" s="48">
        <v>42</v>
      </c>
      <c r="L221" s="48">
        <v>974</v>
      </c>
      <c r="M221" s="52">
        <f t="shared" si="4"/>
        <v>1016</v>
      </c>
      <c r="N221" s="50">
        <f t="shared" si="5"/>
        <v>4.1338582677165357E-2</v>
      </c>
      <c r="O221" s="54">
        <f t="shared" ref="O221:P221" si="233">S221-S220</f>
        <v>11764</v>
      </c>
      <c r="P221" s="54">
        <f t="shared" si="233"/>
        <v>457</v>
      </c>
      <c r="Q221" s="54">
        <f t="shared" si="7"/>
        <v>11307</v>
      </c>
      <c r="R221" s="50">
        <f t="shared" si="8"/>
        <v>3.884733083985039E-2</v>
      </c>
      <c r="S221" s="52">
        <f t="shared" si="9"/>
        <v>822634</v>
      </c>
      <c r="T221" s="48">
        <f t="shared" si="10"/>
        <v>49649</v>
      </c>
      <c r="U221" s="48">
        <f t="shared" si="11"/>
        <v>772985</v>
      </c>
      <c r="V221" s="50">
        <f t="shared" si="12"/>
        <v>6.035369313692359E-2</v>
      </c>
    </row>
    <row r="222" spans="1:22" ht="13.2" x14ac:dyDescent="0.25">
      <c r="A222" s="48">
        <f t="shared" si="60"/>
        <v>220</v>
      </c>
      <c r="B222" s="49">
        <v>44416</v>
      </c>
      <c r="C222" s="48">
        <v>7524</v>
      </c>
      <c r="D222" s="48">
        <v>109810</v>
      </c>
      <c r="E222" s="48">
        <f t="shared" si="0"/>
        <v>117334</v>
      </c>
      <c r="F222" s="50">
        <f t="shared" si="1"/>
        <v>6.4124635655479226E-2</v>
      </c>
      <c r="G222" s="48">
        <v>42361</v>
      </c>
      <c r="H222" s="48">
        <v>670181</v>
      </c>
      <c r="I222" s="48">
        <f t="shared" si="71"/>
        <v>712542</v>
      </c>
      <c r="J222" s="59">
        <f t="shared" si="72"/>
        <v>5.9450530635387105E-2</v>
      </c>
      <c r="K222" s="48">
        <v>42</v>
      </c>
      <c r="L222" s="48">
        <v>974</v>
      </c>
      <c r="M222" s="52">
        <f t="shared" si="4"/>
        <v>1016</v>
      </c>
      <c r="N222" s="50">
        <f t="shared" si="5"/>
        <v>4.1338582677165357E-2</v>
      </c>
      <c r="O222" s="54">
        <f t="shared" ref="O222:P222" si="234">S222-S221</f>
        <v>8258</v>
      </c>
      <c r="P222" s="54">
        <f t="shared" si="234"/>
        <v>278</v>
      </c>
      <c r="Q222" s="54">
        <f t="shared" si="7"/>
        <v>7980</v>
      </c>
      <c r="R222" s="50">
        <f t="shared" si="8"/>
        <v>3.3664325502542988E-2</v>
      </c>
      <c r="S222" s="52">
        <f t="shared" si="9"/>
        <v>830892</v>
      </c>
      <c r="T222" s="48">
        <f t="shared" si="10"/>
        <v>49927</v>
      </c>
      <c r="U222" s="48">
        <f t="shared" si="11"/>
        <v>780965</v>
      </c>
      <c r="V222" s="50">
        <f t="shared" si="12"/>
        <v>6.0088435079408635E-2</v>
      </c>
    </row>
    <row r="223" spans="1:22" ht="13.2" x14ac:dyDescent="0.25">
      <c r="A223" s="48">
        <f t="shared" si="60"/>
        <v>221</v>
      </c>
      <c r="B223" s="49">
        <v>44417</v>
      </c>
      <c r="C223" s="48">
        <v>7546</v>
      </c>
      <c r="D223" s="48">
        <v>109941</v>
      </c>
      <c r="E223" s="48">
        <f t="shared" si="0"/>
        <v>117487</v>
      </c>
      <c r="F223" s="50">
        <f t="shared" si="1"/>
        <v>6.4228382714683327E-2</v>
      </c>
      <c r="G223" s="48">
        <v>42635</v>
      </c>
      <c r="H223" s="48">
        <v>678402</v>
      </c>
      <c r="I223" s="48">
        <f t="shared" si="71"/>
        <v>721037</v>
      </c>
      <c r="J223" s="59">
        <f t="shared" si="72"/>
        <v>5.9130113988602524E-2</v>
      </c>
      <c r="K223" s="48">
        <v>42</v>
      </c>
      <c r="L223" s="48">
        <v>974</v>
      </c>
      <c r="M223" s="52">
        <f t="shared" si="4"/>
        <v>1016</v>
      </c>
      <c r="N223" s="50">
        <f t="shared" si="5"/>
        <v>4.1338582677165357E-2</v>
      </c>
      <c r="O223" s="54">
        <f t="shared" ref="O223:P223" si="235">S223-S222</f>
        <v>8648</v>
      </c>
      <c r="P223" s="54">
        <f t="shared" si="235"/>
        <v>296</v>
      </c>
      <c r="Q223" s="54">
        <f t="shared" si="7"/>
        <v>8352</v>
      </c>
      <c r="R223" s="50">
        <f t="shared" si="8"/>
        <v>3.4227567067530065E-2</v>
      </c>
      <c r="S223" s="52">
        <f t="shared" si="9"/>
        <v>839540</v>
      </c>
      <c r="T223" s="48">
        <f t="shared" si="10"/>
        <v>50223</v>
      </c>
      <c r="U223" s="48">
        <f t="shared" si="11"/>
        <v>789317</v>
      </c>
      <c r="V223" s="50">
        <f t="shared" si="12"/>
        <v>5.9822045405817474E-2</v>
      </c>
    </row>
    <row r="224" spans="1:22" ht="13.2" x14ac:dyDescent="0.25">
      <c r="A224" s="48">
        <f t="shared" si="60"/>
        <v>222</v>
      </c>
      <c r="B224" s="49">
        <v>44418</v>
      </c>
      <c r="C224" s="48">
        <v>7557</v>
      </c>
      <c r="D224" s="48">
        <v>110006</v>
      </c>
      <c r="E224" s="48">
        <f t="shared" si="0"/>
        <v>117563</v>
      </c>
      <c r="F224" s="50">
        <f t="shared" si="1"/>
        <v>6.4280428366067552E-2</v>
      </c>
      <c r="G224" s="48">
        <v>42882</v>
      </c>
      <c r="H224" s="48">
        <v>689833</v>
      </c>
      <c r="I224" s="48">
        <f t="shared" si="71"/>
        <v>732715</v>
      </c>
      <c r="J224" s="59">
        <f t="shared" si="72"/>
        <v>5.8524801594071363E-2</v>
      </c>
      <c r="K224" s="48">
        <v>42</v>
      </c>
      <c r="L224" s="48">
        <v>974</v>
      </c>
      <c r="M224" s="52">
        <f t="shared" si="4"/>
        <v>1016</v>
      </c>
      <c r="N224" s="50">
        <f t="shared" si="5"/>
        <v>4.1338582677165357E-2</v>
      </c>
      <c r="O224" s="54">
        <f t="shared" ref="O224:P224" si="236">S224-S223</f>
        <v>11754</v>
      </c>
      <c r="P224" s="54">
        <f t="shared" si="236"/>
        <v>258</v>
      </c>
      <c r="Q224" s="54">
        <f t="shared" si="7"/>
        <v>11496</v>
      </c>
      <c r="R224" s="50">
        <f t="shared" si="8"/>
        <v>2.1949974476773864E-2</v>
      </c>
      <c r="S224" s="52">
        <f t="shared" si="9"/>
        <v>851294</v>
      </c>
      <c r="T224" s="48">
        <f t="shared" si="10"/>
        <v>50481</v>
      </c>
      <c r="U224" s="48">
        <f t="shared" si="11"/>
        <v>800813</v>
      </c>
      <c r="V224" s="50">
        <f t="shared" si="12"/>
        <v>5.9299137548250079E-2</v>
      </c>
    </row>
    <row r="225" spans="1:22" ht="13.2" x14ac:dyDescent="0.25">
      <c r="A225" s="48">
        <f t="shared" si="60"/>
        <v>223</v>
      </c>
      <c r="B225" s="49">
        <v>44419</v>
      </c>
      <c r="C225" s="48">
        <v>7584</v>
      </c>
      <c r="D225" s="48">
        <v>110337</v>
      </c>
      <c r="E225" s="48">
        <f t="shared" si="0"/>
        <v>117921</v>
      </c>
      <c r="F225" s="50">
        <f t="shared" si="1"/>
        <v>6.4314244282188918E-2</v>
      </c>
      <c r="G225" s="48">
        <v>43128</v>
      </c>
      <c r="H225" s="48">
        <v>700531</v>
      </c>
      <c r="I225" s="48">
        <f t="shared" si="71"/>
        <v>743659</v>
      </c>
      <c r="J225" s="59">
        <f t="shared" si="72"/>
        <v>5.7994322666706108E-2</v>
      </c>
      <c r="K225" s="48">
        <v>42</v>
      </c>
      <c r="L225" s="48">
        <v>974</v>
      </c>
      <c r="M225" s="52">
        <f t="shared" si="4"/>
        <v>1016</v>
      </c>
      <c r="N225" s="50">
        <f t="shared" si="5"/>
        <v>4.1338582677165357E-2</v>
      </c>
      <c r="O225" s="54">
        <f t="shared" ref="O225:P225" si="237">S225-S224</f>
        <v>11302</v>
      </c>
      <c r="P225" s="54">
        <f t="shared" si="237"/>
        <v>273</v>
      </c>
      <c r="Q225" s="54">
        <f t="shared" si="7"/>
        <v>11029</v>
      </c>
      <c r="R225" s="50">
        <f t="shared" si="8"/>
        <v>2.4155016811183861E-2</v>
      </c>
      <c r="S225" s="52">
        <f t="shared" si="9"/>
        <v>862596</v>
      </c>
      <c r="T225" s="48">
        <f t="shared" si="10"/>
        <v>50754</v>
      </c>
      <c r="U225" s="48">
        <f t="shared" si="11"/>
        <v>811842</v>
      </c>
      <c r="V225" s="50">
        <f t="shared" si="12"/>
        <v>5.8838668391692057E-2</v>
      </c>
    </row>
    <row r="226" spans="1:22" ht="13.2" x14ac:dyDescent="0.25">
      <c r="A226" s="48">
        <f t="shared" si="60"/>
        <v>224</v>
      </c>
      <c r="B226" s="49">
        <v>44420</v>
      </c>
      <c r="C226" s="48">
        <v>7663</v>
      </c>
      <c r="D226" s="48">
        <v>110830</v>
      </c>
      <c r="E226" s="48">
        <f t="shared" si="0"/>
        <v>118493</v>
      </c>
      <c r="F226" s="50">
        <f t="shared" si="1"/>
        <v>6.4670486864202945E-2</v>
      </c>
      <c r="G226" s="48">
        <v>43205</v>
      </c>
      <c r="H226" s="48">
        <v>704145</v>
      </c>
      <c r="I226" s="48">
        <f t="shared" si="71"/>
        <v>747350</v>
      </c>
      <c r="J226" s="59">
        <f t="shared" si="72"/>
        <v>5.7810931959590556E-2</v>
      </c>
      <c r="K226" s="48">
        <v>42</v>
      </c>
      <c r="L226" s="48">
        <v>974</v>
      </c>
      <c r="M226" s="52">
        <f t="shared" si="4"/>
        <v>1016</v>
      </c>
      <c r="N226" s="50">
        <f t="shared" si="5"/>
        <v>4.1338582677165357E-2</v>
      </c>
      <c r="O226" s="54">
        <f t="shared" ref="O226:P226" si="238">S226-S225</f>
        <v>4263</v>
      </c>
      <c r="P226" s="54">
        <f t="shared" si="238"/>
        <v>156</v>
      </c>
      <c r="Q226" s="54">
        <f t="shared" si="7"/>
        <v>4107</v>
      </c>
      <c r="R226" s="50">
        <f t="shared" si="8"/>
        <v>3.6593947923997186E-2</v>
      </c>
      <c r="S226" s="52">
        <f t="shared" si="9"/>
        <v>866859</v>
      </c>
      <c r="T226" s="48">
        <f t="shared" si="10"/>
        <v>50910</v>
      </c>
      <c r="U226" s="48">
        <f t="shared" si="11"/>
        <v>815949</v>
      </c>
      <c r="V226" s="50">
        <f t="shared" si="12"/>
        <v>5.8729274311047124E-2</v>
      </c>
    </row>
    <row r="227" spans="1:22" ht="13.2" x14ac:dyDescent="0.25">
      <c r="A227" s="48">
        <f t="shared" si="60"/>
        <v>225</v>
      </c>
      <c r="B227" s="49">
        <v>44421</v>
      </c>
      <c r="C227" s="48">
        <v>7679</v>
      </c>
      <c r="D227" s="48">
        <v>110915</v>
      </c>
      <c r="E227" s="48">
        <f t="shared" si="0"/>
        <v>118594</v>
      </c>
      <c r="F227" s="50">
        <f t="shared" si="1"/>
        <v>6.4750324636996814E-2</v>
      </c>
      <c r="G227" s="48">
        <v>43551</v>
      </c>
      <c r="H227" s="48">
        <v>719005</v>
      </c>
      <c r="I227" s="48">
        <f t="shared" si="71"/>
        <v>762556</v>
      </c>
      <c r="J227" s="59">
        <f t="shared" si="72"/>
        <v>5.7111871128153212E-2</v>
      </c>
      <c r="K227" s="48">
        <v>42</v>
      </c>
      <c r="L227" s="48">
        <v>974</v>
      </c>
      <c r="M227" s="52">
        <f t="shared" si="4"/>
        <v>1016</v>
      </c>
      <c r="N227" s="50">
        <f t="shared" si="5"/>
        <v>4.1338582677165357E-2</v>
      </c>
      <c r="O227" s="54">
        <f t="shared" ref="O227:P227" si="239">S227-S226</f>
        <v>15307</v>
      </c>
      <c r="P227" s="54">
        <f t="shared" si="239"/>
        <v>362</v>
      </c>
      <c r="Q227" s="54">
        <f t="shared" si="7"/>
        <v>14945</v>
      </c>
      <c r="R227" s="50">
        <f t="shared" si="8"/>
        <v>2.3649310772849024E-2</v>
      </c>
      <c r="S227" s="52">
        <f t="shared" si="9"/>
        <v>882166</v>
      </c>
      <c r="T227" s="48">
        <f t="shared" si="10"/>
        <v>51272</v>
      </c>
      <c r="U227" s="48">
        <f t="shared" si="11"/>
        <v>830894</v>
      </c>
      <c r="V227" s="50">
        <f t="shared" si="12"/>
        <v>5.8120580480317763E-2</v>
      </c>
    </row>
    <row r="228" spans="1:22" ht="13.2" x14ac:dyDescent="0.25">
      <c r="A228" s="48">
        <f t="shared" si="60"/>
        <v>226</v>
      </c>
      <c r="B228" s="49">
        <v>44422</v>
      </c>
      <c r="C228" s="48">
        <v>7737</v>
      </c>
      <c r="D228" s="48">
        <v>111508</v>
      </c>
      <c r="E228" s="48">
        <f t="shared" si="0"/>
        <v>119245</v>
      </c>
      <c r="F228" s="50">
        <f t="shared" si="1"/>
        <v>6.4883223615245927E-2</v>
      </c>
      <c r="G228" s="48">
        <v>43806</v>
      </c>
      <c r="H228" s="48">
        <v>730084</v>
      </c>
      <c r="I228" s="48">
        <f t="shared" si="71"/>
        <v>773890</v>
      </c>
      <c r="J228" s="59">
        <f t="shared" si="72"/>
        <v>5.6604943855069839E-2</v>
      </c>
      <c r="K228" s="48">
        <v>42</v>
      </c>
      <c r="L228" s="48">
        <v>974</v>
      </c>
      <c r="M228" s="52">
        <f t="shared" si="4"/>
        <v>1016</v>
      </c>
      <c r="N228" s="50">
        <f t="shared" si="5"/>
        <v>4.1338582677165357E-2</v>
      </c>
      <c r="O228" s="54">
        <f t="shared" ref="O228:P228" si="240">S228-S227</f>
        <v>11985</v>
      </c>
      <c r="P228" s="54">
        <f t="shared" si="240"/>
        <v>313</v>
      </c>
      <c r="Q228" s="54">
        <f t="shared" si="7"/>
        <v>11672</v>
      </c>
      <c r="R228" s="50">
        <f t="shared" si="8"/>
        <v>2.6115978306216103E-2</v>
      </c>
      <c r="S228" s="52">
        <f t="shared" si="9"/>
        <v>894151</v>
      </c>
      <c r="T228" s="48">
        <f t="shared" si="10"/>
        <v>51585</v>
      </c>
      <c r="U228" s="48">
        <f t="shared" si="11"/>
        <v>842566</v>
      </c>
      <c r="V228" s="50">
        <f t="shared" si="12"/>
        <v>5.7691597951576412E-2</v>
      </c>
    </row>
    <row r="229" spans="1:22" ht="13.2" x14ac:dyDescent="0.25">
      <c r="A229" s="48">
        <f t="shared" si="60"/>
        <v>227</v>
      </c>
      <c r="B229" s="49">
        <v>44423</v>
      </c>
      <c r="C229" s="48">
        <v>7780</v>
      </c>
      <c r="D229" s="48">
        <v>112102</v>
      </c>
      <c r="E229" s="48">
        <f t="shared" si="0"/>
        <v>119882</v>
      </c>
      <c r="F229" s="50">
        <f t="shared" si="1"/>
        <v>6.4897148863048662E-2</v>
      </c>
      <c r="G229" s="48">
        <v>43912</v>
      </c>
      <c r="H229" s="48">
        <v>738702</v>
      </c>
      <c r="I229" s="48">
        <f t="shared" si="71"/>
        <v>782614</v>
      </c>
      <c r="J229" s="59">
        <f t="shared" si="72"/>
        <v>5.610939748075041E-2</v>
      </c>
      <c r="K229" s="48">
        <v>42</v>
      </c>
      <c r="L229" s="48">
        <v>974</v>
      </c>
      <c r="M229" s="52">
        <f t="shared" si="4"/>
        <v>1016</v>
      </c>
      <c r="N229" s="50">
        <f t="shared" si="5"/>
        <v>4.1338582677165357E-2</v>
      </c>
      <c r="O229" s="54">
        <f t="shared" ref="O229:P229" si="241">S229-S228</f>
        <v>9361</v>
      </c>
      <c r="P229" s="54">
        <f t="shared" si="241"/>
        <v>149</v>
      </c>
      <c r="Q229" s="54">
        <f t="shared" si="7"/>
        <v>9212</v>
      </c>
      <c r="R229" s="50">
        <f t="shared" si="8"/>
        <v>1.5917102873624613E-2</v>
      </c>
      <c r="S229" s="52">
        <f t="shared" si="9"/>
        <v>903512</v>
      </c>
      <c r="T229" s="48">
        <f t="shared" si="10"/>
        <v>51734</v>
      </c>
      <c r="U229" s="48">
        <f t="shared" si="11"/>
        <v>851778</v>
      </c>
      <c r="V229" s="50">
        <f t="shared" si="12"/>
        <v>5.7258785716183071E-2</v>
      </c>
    </row>
    <row r="230" spans="1:22" ht="13.2" x14ac:dyDescent="0.25">
      <c r="A230" s="48">
        <f t="shared" si="60"/>
        <v>228</v>
      </c>
      <c r="B230" s="49">
        <v>44424</v>
      </c>
      <c r="C230" s="48">
        <v>7826</v>
      </c>
      <c r="D230" s="48">
        <v>112387</v>
      </c>
      <c r="E230" s="48">
        <f t="shared" si="0"/>
        <v>120213</v>
      </c>
      <c r="F230" s="50">
        <f t="shared" si="1"/>
        <v>6.5101112192524929E-2</v>
      </c>
      <c r="G230" s="48">
        <v>44056</v>
      </c>
      <c r="H230" s="48">
        <v>746397</v>
      </c>
      <c r="I230" s="48">
        <f t="shared" si="71"/>
        <v>790453</v>
      </c>
      <c r="J230" s="59">
        <f t="shared" si="72"/>
        <v>5.5735129096859647E-2</v>
      </c>
      <c r="K230" s="48">
        <v>42</v>
      </c>
      <c r="L230" s="48">
        <v>974</v>
      </c>
      <c r="M230" s="52">
        <f t="shared" si="4"/>
        <v>1016</v>
      </c>
      <c r="N230" s="50">
        <f t="shared" si="5"/>
        <v>4.1338582677165357E-2</v>
      </c>
      <c r="O230" s="54">
        <f t="shared" ref="O230:P230" si="242">S230-S229</f>
        <v>8170</v>
      </c>
      <c r="P230" s="54">
        <f t="shared" si="242"/>
        <v>190</v>
      </c>
      <c r="Q230" s="54">
        <f t="shared" si="7"/>
        <v>7980</v>
      </c>
      <c r="R230" s="50">
        <f t="shared" si="8"/>
        <v>2.3255813953488372E-2</v>
      </c>
      <c r="S230" s="52">
        <f t="shared" si="9"/>
        <v>911682</v>
      </c>
      <c r="T230" s="48">
        <f t="shared" si="10"/>
        <v>51924</v>
      </c>
      <c r="U230" s="48">
        <f t="shared" si="11"/>
        <v>859758</v>
      </c>
      <c r="V230" s="50">
        <f t="shared" si="12"/>
        <v>5.6954069511079522E-2</v>
      </c>
    </row>
    <row r="231" spans="1:22" ht="13.2" x14ac:dyDescent="0.25">
      <c r="A231" s="48">
        <f t="shared" si="60"/>
        <v>229</v>
      </c>
      <c r="B231" s="49">
        <v>44425</v>
      </c>
      <c r="C231" s="48">
        <v>7827</v>
      </c>
      <c r="D231" s="48">
        <v>112429</v>
      </c>
      <c r="E231" s="48">
        <f t="shared" si="0"/>
        <v>120256</v>
      </c>
      <c r="F231" s="50">
        <f t="shared" si="1"/>
        <v>6.5086149547631714E-2</v>
      </c>
      <c r="G231" s="48">
        <v>44300</v>
      </c>
      <c r="H231" s="48">
        <v>758819</v>
      </c>
      <c r="I231" s="48">
        <f t="shared" si="71"/>
        <v>803119</v>
      </c>
      <c r="J231" s="59">
        <f t="shared" si="72"/>
        <v>5.5159945163792662E-2</v>
      </c>
      <c r="K231" s="48">
        <v>42</v>
      </c>
      <c r="L231" s="48">
        <v>974</v>
      </c>
      <c r="M231" s="52">
        <f t="shared" si="4"/>
        <v>1016</v>
      </c>
      <c r="N231" s="50">
        <f t="shared" si="5"/>
        <v>4.1338582677165357E-2</v>
      </c>
      <c r="O231" s="54">
        <f t="shared" ref="O231:P231" si="243">S231-S230</f>
        <v>12709</v>
      </c>
      <c r="P231" s="54">
        <f t="shared" si="243"/>
        <v>245</v>
      </c>
      <c r="Q231" s="54">
        <f t="shared" si="7"/>
        <v>12464</v>
      </c>
      <c r="R231" s="50">
        <f t="shared" si="8"/>
        <v>1.9277677236603983E-2</v>
      </c>
      <c r="S231" s="52">
        <f t="shared" si="9"/>
        <v>924391</v>
      </c>
      <c r="T231" s="48">
        <f t="shared" si="10"/>
        <v>52169</v>
      </c>
      <c r="U231" s="48">
        <f t="shared" si="11"/>
        <v>872222</v>
      </c>
      <c r="V231" s="50">
        <f t="shared" si="12"/>
        <v>5.6436075210598111E-2</v>
      </c>
    </row>
    <row r="232" spans="1:22" ht="13.2" x14ac:dyDescent="0.25">
      <c r="A232" s="48">
        <f t="shared" si="60"/>
        <v>230</v>
      </c>
      <c r="B232" s="49">
        <v>44426</v>
      </c>
      <c r="C232" s="48">
        <v>7839</v>
      </c>
      <c r="D232" s="48">
        <v>112820</v>
      </c>
      <c r="E232" s="48">
        <f t="shared" si="0"/>
        <v>120659</v>
      </c>
      <c r="F232" s="50">
        <f t="shared" si="1"/>
        <v>6.4968216212632296E-2</v>
      </c>
      <c r="G232" s="48">
        <v>44515</v>
      </c>
      <c r="H232" s="48">
        <v>766612</v>
      </c>
      <c r="I232" s="48">
        <f t="shared" si="71"/>
        <v>811127</v>
      </c>
      <c r="J232" s="59">
        <f t="shared" si="72"/>
        <v>5.4880431794281287E-2</v>
      </c>
      <c r="K232" s="48">
        <v>42</v>
      </c>
      <c r="L232" s="48">
        <v>974</v>
      </c>
      <c r="M232" s="52">
        <f t="shared" si="4"/>
        <v>1016</v>
      </c>
      <c r="N232" s="50">
        <f t="shared" si="5"/>
        <v>4.1338582677165357E-2</v>
      </c>
      <c r="O232" s="54">
        <f t="shared" ref="O232:P232" si="244">S232-S231</f>
        <v>8411</v>
      </c>
      <c r="P232" s="54">
        <f t="shared" si="244"/>
        <v>227</v>
      </c>
      <c r="Q232" s="54">
        <f t="shared" si="7"/>
        <v>8184</v>
      </c>
      <c r="R232" s="50">
        <f t="shared" si="8"/>
        <v>2.6988467483057901E-2</v>
      </c>
      <c r="S232" s="52">
        <f t="shared" si="9"/>
        <v>932802</v>
      </c>
      <c r="T232" s="48">
        <f t="shared" si="10"/>
        <v>52396</v>
      </c>
      <c r="U232" s="48">
        <f t="shared" si="11"/>
        <v>880406</v>
      </c>
      <c r="V232" s="50">
        <f t="shared" si="12"/>
        <v>5.6170548519407122E-2</v>
      </c>
    </row>
    <row r="233" spans="1:22" ht="13.2" x14ac:dyDescent="0.25">
      <c r="A233" s="48">
        <f t="shared" si="60"/>
        <v>231</v>
      </c>
      <c r="B233" s="49">
        <v>44427</v>
      </c>
      <c r="C233" s="48">
        <v>7839</v>
      </c>
      <c r="D233" s="48">
        <v>112865</v>
      </c>
      <c r="E233" s="48">
        <f t="shared" si="0"/>
        <v>120704</v>
      </c>
      <c r="F233" s="50">
        <f t="shared" si="1"/>
        <v>6.4943995227995752E-2</v>
      </c>
      <c r="G233" s="48">
        <v>44705</v>
      </c>
      <c r="H233" s="48">
        <v>774967</v>
      </c>
      <c r="I233" s="48">
        <f t="shared" si="71"/>
        <v>819672</v>
      </c>
      <c r="J233" s="59">
        <f t="shared" si="72"/>
        <v>5.4540108726417395E-2</v>
      </c>
      <c r="K233" s="48">
        <v>42</v>
      </c>
      <c r="L233" s="48">
        <v>974</v>
      </c>
      <c r="M233" s="52">
        <f t="shared" si="4"/>
        <v>1016</v>
      </c>
      <c r="N233" s="50">
        <f t="shared" si="5"/>
        <v>4.1338582677165357E-2</v>
      </c>
      <c r="O233" s="54">
        <f t="shared" ref="O233:P233" si="245">S233-S232</f>
        <v>8590</v>
      </c>
      <c r="P233" s="54">
        <f t="shared" si="245"/>
        <v>190</v>
      </c>
      <c r="Q233" s="54">
        <f t="shared" si="7"/>
        <v>8400</v>
      </c>
      <c r="R233" s="50">
        <f t="shared" si="8"/>
        <v>2.2118742724097789E-2</v>
      </c>
      <c r="S233" s="52">
        <f t="shared" si="9"/>
        <v>941392</v>
      </c>
      <c r="T233" s="48">
        <f t="shared" si="10"/>
        <v>52586</v>
      </c>
      <c r="U233" s="48">
        <f t="shared" si="11"/>
        <v>888806</v>
      </c>
      <c r="V233" s="50">
        <f t="shared" si="12"/>
        <v>5.5859833098220506E-2</v>
      </c>
    </row>
    <row r="234" spans="1:22" ht="13.2" x14ac:dyDescent="0.25">
      <c r="A234" s="48">
        <f t="shared" si="60"/>
        <v>232</v>
      </c>
      <c r="B234" s="49">
        <v>44428</v>
      </c>
      <c r="C234" s="48">
        <v>7866</v>
      </c>
      <c r="D234" s="48">
        <v>113252</v>
      </c>
      <c r="E234" s="48">
        <f t="shared" si="0"/>
        <v>121118</v>
      </c>
      <c r="F234" s="50">
        <f t="shared" si="1"/>
        <v>6.4944929737941512E-2</v>
      </c>
      <c r="G234" s="48">
        <v>44968</v>
      </c>
      <c r="H234" s="48">
        <v>790656</v>
      </c>
      <c r="I234" s="48">
        <f t="shared" si="71"/>
        <v>835624</v>
      </c>
      <c r="J234" s="59">
        <f t="shared" si="72"/>
        <v>5.381367696475927E-2</v>
      </c>
      <c r="K234" s="48">
        <v>42</v>
      </c>
      <c r="L234" s="48">
        <v>974</v>
      </c>
      <c r="M234" s="52">
        <f t="shared" si="4"/>
        <v>1016</v>
      </c>
      <c r="N234" s="50">
        <f t="shared" si="5"/>
        <v>4.1338582677165357E-2</v>
      </c>
      <c r="O234" s="54">
        <f t="shared" ref="O234:P234" si="246">S234-S233</f>
        <v>16366</v>
      </c>
      <c r="P234" s="54">
        <f t="shared" si="246"/>
        <v>290</v>
      </c>
      <c r="Q234" s="54">
        <f t="shared" si="7"/>
        <v>16076</v>
      </c>
      <c r="R234" s="50">
        <f t="shared" si="8"/>
        <v>1.7719662715385557E-2</v>
      </c>
      <c r="S234" s="52">
        <f t="shared" si="9"/>
        <v>957758</v>
      </c>
      <c r="T234" s="48">
        <f t="shared" si="10"/>
        <v>52876</v>
      </c>
      <c r="U234" s="48">
        <f t="shared" si="11"/>
        <v>904882</v>
      </c>
      <c r="V234" s="50">
        <f t="shared" si="12"/>
        <v>5.5208100584907667E-2</v>
      </c>
    </row>
    <row r="235" spans="1:22" ht="13.2" x14ac:dyDescent="0.25">
      <c r="A235" s="48">
        <f t="shared" si="60"/>
        <v>233</v>
      </c>
      <c r="B235" s="49">
        <v>44429</v>
      </c>
      <c r="C235" s="48">
        <v>7888</v>
      </c>
      <c r="D235" s="48">
        <v>113600</v>
      </c>
      <c r="E235" s="48">
        <f t="shared" si="0"/>
        <v>121488</v>
      </c>
      <c r="F235" s="50">
        <f t="shared" si="1"/>
        <v>6.4928223363624388E-2</v>
      </c>
      <c r="G235" s="48">
        <v>45102</v>
      </c>
      <c r="H235" s="48">
        <v>802742</v>
      </c>
      <c r="I235" s="48">
        <f t="shared" si="71"/>
        <v>847844</v>
      </c>
      <c r="J235" s="59">
        <f t="shared" si="72"/>
        <v>5.3196106830973623E-2</v>
      </c>
      <c r="K235" s="48">
        <v>42</v>
      </c>
      <c r="L235" s="48">
        <v>974</v>
      </c>
      <c r="M235" s="52">
        <f t="shared" si="4"/>
        <v>1016</v>
      </c>
      <c r="N235" s="50">
        <f t="shared" si="5"/>
        <v>4.1338582677165357E-2</v>
      </c>
      <c r="O235" s="54">
        <f t="shared" ref="O235:P235" si="247">S235-S234</f>
        <v>12590</v>
      </c>
      <c r="P235" s="54">
        <f t="shared" si="247"/>
        <v>156</v>
      </c>
      <c r="Q235" s="54">
        <f t="shared" si="7"/>
        <v>12434</v>
      </c>
      <c r="R235" s="50">
        <f t="shared" si="8"/>
        <v>1.2390786338363781E-2</v>
      </c>
      <c r="S235" s="52">
        <f t="shared" si="9"/>
        <v>970348</v>
      </c>
      <c r="T235" s="48">
        <f t="shared" si="10"/>
        <v>53032</v>
      </c>
      <c r="U235" s="48">
        <f t="shared" si="11"/>
        <v>917316</v>
      </c>
      <c r="V235" s="50">
        <f t="shared" si="12"/>
        <v>5.4652557639115036E-2</v>
      </c>
    </row>
    <row r="236" spans="1:22" ht="13.2" x14ac:dyDescent="0.25">
      <c r="A236" s="48">
        <f t="shared" si="60"/>
        <v>234</v>
      </c>
      <c r="B236" s="49">
        <v>44430</v>
      </c>
      <c r="C236" s="48">
        <v>7899</v>
      </c>
      <c r="D236" s="48">
        <v>113923</v>
      </c>
      <c r="E236" s="48">
        <f t="shared" si="0"/>
        <v>121822</v>
      </c>
      <c r="F236" s="50">
        <f t="shared" si="1"/>
        <v>6.4840504999097048E-2</v>
      </c>
      <c r="G236" s="48">
        <v>45158</v>
      </c>
      <c r="H236" s="48">
        <v>809350</v>
      </c>
      <c r="I236" s="48">
        <f t="shared" si="71"/>
        <v>854508</v>
      </c>
      <c r="J236" s="59">
        <f t="shared" si="72"/>
        <v>5.2846784348420377E-2</v>
      </c>
      <c r="K236" s="48">
        <v>42</v>
      </c>
      <c r="L236" s="48">
        <v>974</v>
      </c>
      <c r="M236" s="52">
        <f t="shared" si="4"/>
        <v>1016</v>
      </c>
      <c r="N236" s="50">
        <f t="shared" si="5"/>
        <v>4.1338582677165357E-2</v>
      </c>
      <c r="O236" s="54">
        <f t="shared" ref="O236:P236" si="248">S236-S235</f>
        <v>6998</v>
      </c>
      <c r="P236" s="54">
        <f t="shared" si="248"/>
        <v>67</v>
      </c>
      <c r="Q236" s="54">
        <f t="shared" si="7"/>
        <v>6931</v>
      </c>
      <c r="R236" s="50">
        <f t="shared" si="8"/>
        <v>9.5741640468705348E-3</v>
      </c>
      <c r="S236" s="52">
        <f t="shared" si="9"/>
        <v>977346</v>
      </c>
      <c r="T236" s="48">
        <f t="shared" si="10"/>
        <v>53099</v>
      </c>
      <c r="U236" s="48">
        <f t="shared" si="11"/>
        <v>924247</v>
      </c>
      <c r="V236" s="50">
        <f t="shared" si="12"/>
        <v>5.4329786994575108E-2</v>
      </c>
    </row>
    <row r="237" spans="1:22" ht="13.2" x14ac:dyDescent="0.25">
      <c r="A237" s="48">
        <f t="shared" si="60"/>
        <v>235</v>
      </c>
      <c r="B237" s="49">
        <v>44431</v>
      </c>
      <c r="C237" s="48">
        <v>7907</v>
      </c>
      <c r="D237" s="48">
        <v>114073</v>
      </c>
      <c r="E237" s="48">
        <f t="shared" si="0"/>
        <v>121980</v>
      </c>
      <c r="F237" s="50">
        <f t="shared" si="1"/>
        <v>6.482210198393179E-2</v>
      </c>
      <c r="G237" s="48">
        <v>45230</v>
      </c>
      <c r="H237" s="48">
        <v>816616</v>
      </c>
      <c r="I237" s="48">
        <f t="shared" si="71"/>
        <v>861846</v>
      </c>
      <c r="J237" s="59">
        <f t="shared" si="72"/>
        <v>5.2480373523808195E-2</v>
      </c>
      <c r="K237" s="48">
        <v>42</v>
      </c>
      <c r="L237" s="48">
        <v>974</v>
      </c>
      <c r="M237" s="52">
        <f t="shared" si="4"/>
        <v>1016</v>
      </c>
      <c r="N237" s="50">
        <f t="shared" si="5"/>
        <v>4.1338582677165357E-2</v>
      </c>
      <c r="O237" s="54">
        <f t="shared" ref="O237:P237" si="249">S237-S236</f>
        <v>7496</v>
      </c>
      <c r="P237" s="54">
        <f t="shared" si="249"/>
        <v>80</v>
      </c>
      <c r="Q237" s="54">
        <f t="shared" si="7"/>
        <v>7416</v>
      </c>
      <c r="R237" s="50">
        <f t="shared" si="8"/>
        <v>1.0672358591248666E-2</v>
      </c>
      <c r="S237" s="52">
        <f t="shared" si="9"/>
        <v>984842</v>
      </c>
      <c r="T237" s="48">
        <f t="shared" si="10"/>
        <v>53179</v>
      </c>
      <c r="U237" s="48">
        <f t="shared" si="11"/>
        <v>931663</v>
      </c>
      <c r="V237" s="50">
        <f t="shared" si="12"/>
        <v>5.3997494014268281E-2</v>
      </c>
    </row>
    <row r="238" spans="1:22" ht="13.2" x14ac:dyDescent="0.25">
      <c r="A238" s="48">
        <f t="shared" si="60"/>
        <v>236</v>
      </c>
      <c r="B238" s="49">
        <v>44432</v>
      </c>
      <c r="C238" s="48">
        <v>7907</v>
      </c>
      <c r="D238" s="48">
        <v>114156</v>
      </c>
      <c r="E238" s="48">
        <f t="shared" si="0"/>
        <v>122063</v>
      </c>
      <c r="F238" s="50">
        <f t="shared" si="1"/>
        <v>6.4778024462777417E-2</v>
      </c>
      <c r="G238" s="48">
        <v>45369</v>
      </c>
      <c r="H238" s="48">
        <v>828136</v>
      </c>
      <c r="I238" s="48">
        <f t="shared" si="71"/>
        <v>873505</v>
      </c>
      <c r="J238" s="59">
        <f t="shared" si="72"/>
        <v>5.1939027252276747E-2</v>
      </c>
      <c r="K238" s="48">
        <v>42</v>
      </c>
      <c r="L238" s="48">
        <v>974</v>
      </c>
      <c r="M238" s="52">
        <f t="shared" si="4"/>
        <v>1016</v>
      </c>
      <c r="N238" s="50">
        <f t="shared" si="5"/>
        <v>4.1338582677165357E-2</v>
      </c>
      <c r="O238" s="54">
        <f t="shared" ref="O238:P238" si="250">S238-S237</f>
        <v>11742</v>
      </c>
      <c r="P238" s="54">
        <f t="shared" si="250"/>
        <v>139</v>
      </c>
      <c r="Q238" s="54">
        <f t="shared" si="7"/>
        <v>11603</v>
      </c>
      <c r="R238" s="50">
        <f t="shared" si="8"/>
        <v>1.1837847044796457E-2</v>
      </c>
      <c r="S238" s="52">
        <f t="shared" si="9"/>
        <v>996584</v>
      </c>
      <c r="T238" s="48">
        <f t="shared" si="10"/>
        <v>53318</v>
      </c>
      <c r="U238" s="48">
        <f t="shared" si="11"/>
        <v>943266</v>
      </c>
      <c r="V238" s="50">
        <f t="shared" si="12"/>
        <v>5.3500758591348042E-2</v>
      </c>
    </row>
    <row r="239" spans="1:22" ht="13.2" x14ac:dyDescent="0.25">
      <c r="A239" s="48">
        <f t="shared" si="60"/>
        <v>237</v>
      </c>
      <c r="B239" s="49">
        <v>44433</v>
      </c>
      <c r="C239" s="48">
        <v>7913</v>
      </c>
      <c r="D239" s="48">
        <v>114433</v>
      </c>
      <c r="E239" s="48">
        <f t="shared" si="0"/>
        <v>122346</v>
      </c>
      <c r="F239" s="50">
        <f t="shared" si="1"/>
        <v>6.4677226881140373E-2</v>
      </c>
      <c r="G239" s="48">
        <v>45485</v>
      </c>
      <c r="H239" s="48">
        <v>840690</v>
      </c>
      <c r="I239" s="48">
        <f t="shared" si="71"/>
        <v>886175</v>
      </c>
      <c r="J239" s="59">
        <f t="shared" si="72"/>
        <v>5.1327333765904024E-2</v>
      </c>
      <c r="K239" s="48">
        <v>42</v>
      </c>
      <c r="L239" s="48">
        <v>974</v>
      </c>
      <c r="M239" s="52">
        <f t="shared" si="4"/>
        <v>1016</v>
      </c>
      <c r="N239" s="50">
        <f t="shared" si="5"/>
        <v>4.1338582677165357E-2</v>
      </c>
      <c r="O239" s="54">
        <f t="shared" ref="O239:P239" si="251">S239-S238</f>
        <v>12953</v>
      </c>
      <c r="P239" s="54">
        <f t="shared" si="251"/>
        <v>122</v>
      </c>
      <c r="Q239" s="54">
        <f t="shared" si="7"/>
        <v>12831</v>
      </c>
      <c r="R239" s="50">
        <f t="shared" si="8"/>
        <v>9.4186674901567211E-3</v>
      </c>
      <c r="S239" s="52">
        <f t="shared" si="9"/>
        <v>1009537</v>
      </c>
      <c r="T239" s="48">
        <f t="shared" si="10"/>
        <v>53440</v>
      </c>
      <c r="U239" s="48">
        <f t="shared" si="11"/>
        <v>956097</v>
      </c>
      <c r="V239" s="50">
        <f t="shared" si="12"/>
        <v>5.2935157403839583E-2</v>
      </c>
    </row>
    <row r="240" spans="1:22" ht="13.2" x14ac:dyDescent="0.25">
      <c r="A240" s="48">
        <f t="shared" si="60"/>
        <v>238</v>
      </c>
      <c r="B240" s="49">
        <v>44434</v>
      </c>
      <c r="C240" s="48">
        <v>7928</v>
      </c>
      <c r="D240" s="48">
        <v>114800</v>
      </c>
      <c r="E240" s="48">
        <f t="shared" si="0"/>
        <v>122728</v>
      </c>
      <c r="F240" s="50">
        <f t="shared" si="1"/>
        <v>6.4598135714751315E-2</v>
      </c>
      <c r="G240" s="48">
        <v>45606</v>
      </c>
      <c r="H240" s="48">
        <v>852285</v>
      </c>
      <c r="I240" s="48">
        <f t="shared" si="71"/>
        <v>897891</v>
      </c>
      <c r="J240" s="59">
        <f t="shared" si="72"/>
        <v>5.0792356755998219E-2</v>
      </c>
      <c r="K240" s="48">
        <v>42</v>
      </c>
      <c r="L240" s="48">
        <v>974</v>
      </c>
      <c r="M240" s="52">
        <f t="shared" si="4"/>
        <v>1016</v>
      </c>
      <c r="N240" s="50">
        <f t="shared" si="5"/>
        <v>4.1338582677165357E-2</v>
      </c>
      <c r="O240" s="54">
        <f t="shared" ref="O240:P240" si="252">S240-S239</f>
        <v>12098</v>
      </c>
      <c r="P240" s="54">
        <f t="shared" si="252"/>
        <v>136</v>
      </c>
      <c r="Q240" s="54">
        <f t="shared" si="7"/>
        <v>11962</v>
      </c>
      <c r="R240" s="50">
        <f t="shared" si="8"/>
        <v>1.1241527525210779E-2</v>
      </c>
      <c r="S240" s="52">
        <f t="shared" si="9"/>
        <v>1021635</v>
      </c>
      <c r="T240" s="48">
        <f t="shared" si="10"/>
        <v>53576</v>
      </c>
      <c r="U240" s="48">
        <f t="shared" si="11"/>
        <v>968059</v>
      </c>
      <c r="V240" s="50">
        <f t="shared" si="12"/>
        <v>5.2441429669108829E-2</v>
      </c>
    </row>
    <row r="241" spans="1:22" ht="13.2" x14ac:dyDescent="0.25">
      <c r="A241" s="48">
        <f t="shared" si="60"/>
        <v>239</v>
      </c>
      <c r="B241" s="49">
        <v>44435</v>
      </c>
      <c r="C241" s="48">
        <v>7951</v>
      </c>
      <c r="D241" s="48">
        <v>115054</v>
      </c>
      <c r="E241" s="48">
        <f t="shared" si="0"/>
        <v>123005</v>
      </c>
      <c r="F241" s="50">
        <f t="shared" si="1"/>
        <v>6.4639648794764443E-2</v>
      </c>
      <c r="G241" s="48">
        <v>45732</v>
      </c>
      <c r="H241" s="48">
        <v>864546</v>
      </c>
      <c r="I241" s="48">
        <f t="shared" si="71"/>
        <v>910278</v>
      </c>
      <c r="J241" s="59">
        <f t="shared" si="72"/>
        <v>5.0239597134062342E-2</v>
      </c>
      <c r="K241" s="48">
        <v>42</v>
      </c>
      <c r="L241" s="48">
        <v>974</v>
      </c>
      <c r="M241" s="52">
        <f t="shared" si="4"/>
        <v>1016</v>
      </c>
      <c r="N241" s="50">
        <f t="shared" si="5"/>
        <v>4.1338582677165357E-2</v>
      </c>
      <c r="O241" s="54">
        <f t="shared" ref="O241:P241" si="253">S241-S240</f>
        <v>12664</v>
      </c>
      <c r="P241" s="54">
        <f t="shared" si="253"/>
        <v>149</v>
      </c>
      <c r="Q241" s="54">
        <f t="shared" si="7"/>
        <v>12515</v>
      </c>
      <c r="R241" s="50">
        <f t="shared" si="8"/>
        <v>1.1765634870499052E-2</v>
      </c>
      <c r="S241" s="52">
        <f t="shared" si="9"/>
        <v>1034299</v>
      </c>
      <c r="T241" s="48">
        <f t="shared" si="10"/>
        <v>53725</v>
      </c>
      <c r="U241" s="48">
        <f t="shared" si="11"/>
        <v>980574</v>
      </c>
      <c r="V241" s="50">
        <f t="shared" si="12"/>
        <v>5.1943393544806676E-2</v>
      </c>
    </row>
    <row r="242" spans="1:22" ht="13.2" x14ac:dyDescent="0.25">
      <c r="A242" s="48">
        <f t="shared" si="60"/>
        <v>240</v>
      </c>
      <c r="B242" s="49">
        <v>44436</v>
      </c>
      <c r="C242" s="48">
        <v>7954</v>
      </c>
      <c r="D242" s="48">
        <v>115252</v>
      </c>
      <c r="E242" s="48">
        <f t="shared" si="0"/>
        <v>123206</v>
      </c>
      <c r="F242" s="50">
        <f t="shared" si="1"/>
        <v>6.4558544226742204E-2</v>
      </c>
      <c r="G242" s="48">
        <v>45801</v>
      </c>
      <c r="H242" s="48">
        <v>876796</v>
      </c>
      <c r="I242" s="48">
        <f t="shared" si="71"/>
        <v>922597</v>
      </c>
      <c r="J242" s="59">
        <f t="shared" si="72"/>
        <v>4.9643560514504165E-2</v>
      </c>
      <c r="K242" s="48">
        <v>42</v>
      </c>
      <c r="L242" s="48">
        <v>974</v>
      </c>
      <c r="M242" s="52">
        <f t="shared" si="4"/>
        <v>1016</v>
      </c>
      <c r="N242" s="50">
        <f t="shared" si="5"/>
        <v>4.1338582677165357E-2</v>
      </c>
      <c r="O242" s="54">
        <f t="shared" ref="O242:P242" si="254">S242-S241</f>
        <v>12520</v>
      </c>
      <c r="P242" s="54">
        <f t="shared" si="254"/>
        <v>72</v>
      </c>
      <c r="Q242" s="54">
        <f t="shared" si="7"/>
        <v>12448</v>
      </c>
      <c r="R242" s="50">
        <f t="shared" si="8"/>
        <v>5.7507987220447284E-3</v>
      </c>
      <c r="S242" s="52">
        <f t="shared" si="9"/>
        <v>1046819</v>
      </c>
      <c r="T242" s="48">
        <f t="shared" si="10"/>
        <v>53797</v>
      </c>
      <c r="U242" s="48">
        <f t="shared" si="11"/>
        <v>993022</v>
      </c>
      <c r="V242" s="50">
        <f t="shared" si="12"/>
        <v>5.1390928135618477E-2</v>
      </c>
    </row>
    <row r="243" spans="1:22" ht="13.2" x14ac:dyDescent="0.25">
      <c r="A243" s="48">
        <f t="shared" si="60"/>
        <v>241</v>
      </c>
      <c r="B243" s="49">
        <v>44437</v>
      </c>
      <c r="C243" s="48">
        <v>7962</v>
      </c>
      <c r="D243" s="48">
        <v>115506</v>
      </c>
      <c r="E243" s="48">
        <f t="shared" si="0"/>
        <v>123468</v>
      </c>
      <c r="F243" s="50">
        <f t="shared" si="1"/>
        <v>6.4486344639906698E-2</v>
      </c>
      <c r="G243" s="48">
        <v>45852</v>
      </c>
      <c r="H243" s="48">
        <v>885822</v>
      </c>
      <c r="I243" s="48">
        <f t="shared" si="71"/>
        <v>931674</v>
      </c>
      <c r="J243" s="59">
        <f t="shared" si="72"/>
        <v>4.9214639455431836E-2</v>
      </c>
      <c r="K243" s="48">
        <v>42</v>
      </c>
      <c r="L243" s="48">
        <v>974</v>
      </c>
      <c r="M243" s="52">
        <f t="shared" si="4"/>
        <v>1016</v>
      </c>
      <c r="N243" s="50">
        <f t="shared" si="5"/>
        <v>4.1338582677165357E-2</v>
      </c>
      <c r="O243" s="54">
        <f t="shared" ref="O243:P243" si="255">S243-S242</f>
        <v>9339</v>
      </c>
      <c r="P243" s="54">
        <f t="shared" si="255"/>
        <v>59</v>
      </c>
      <c r="Q243" s="54">
        <f t="shared" si="7"/>
        <v>9280</v>
      </c>
      <c r="R243" s="50">
        <f t="shared" si="8"/>
        <v>6.3175928900310527E-3</v>
      </c>
      <c r="S243" s="52">
        <f t="shared" si="9"/>
        <v>1056158</v>
      </c>
      <c r="T243" s="48">
        <f t="shared" si="10"/>
        <v>53856</v>
      </c>
      <c r="U243" s="48">
        <f t="shared" si="11"/>
        <v>1002302</v>
      </c>
      <c r="V243" s="50">
        <f t="shared" si="12"/>
        <v>5.099237045972288E-2</v>
      </c>
    </row>
    <row r="244" spans="1:22" ht="13.2" x14ac:dyDescent="0.25">
      <c r="A244" s="48">
        <f t="shared" si="60"/>
        <v>242</v>
      </c>
      <c r="B244" s="49">
        <v>44438</v>
      </c>
      <c r="C244" s="48">
        <v>7968</v>
      </c>
      <c r="D244" s="48">
        <v>115648</v>
      </c>
      <c r="E244" s="48">
        <f t="shared" si="0"/>
        <v>123616</v>
      </c>
      <c r="F244" s="50">
        <f t="shared" si="1"/>
        <v>6.4457675381827589E-2</v>
      </c>
      <c r="G244" s="48">
        <v>45903</v>
      </c>
      <c r="H244" s="48">
        <v>893641</v>
      </c>
      <c r="I244" s="48">
        <f t="shared" si="71"/>
        <v>939544</v>
      </c>
      <c r="J244" s="59">
        <f t="shared" si="72"/>
        <v>4.8856679410437406E-2</v>
      </c>
      <c r="K244" s="48">
        <v>42</v>
      </c>
      <c r="L244" s="48">
        <v>974</v>
      </c>
      <c r="M244" s="52">
        <f t="shared" si="4"/>
        <v>1016</v>
      </c>
      <c r="N244" s="50">
        <f t="shared" si="5"/>
        <v>4.1338582677165357E-2</v>
      </c>
      <c r="O244" s="54">
        <f t="shared" ref="O244:P244" si="256">S244-S243</f>
        <v>8018</v>
      </c>
      <c r="P244" s="54">
        <f t="shared" si="256"/>
        <v>57</v>
      </c>
      <c r="Q244" s="54">
        <f t="shared" si="7"/>
        <v>7961</v>
      </c>
      <c r="R244" s="50">
        <f t="shared" si="8"/>
        <v>7.1090047393364926E-3</v>
      </c>
      <c r="S244" s="52">
        <f t="shared" si="9"/>
        <v>1064176</v>
      </c>
      <c r="T244" s="48">
        <f t="shared" si="10"/>
        <v>53913</v>
      </c>
      <c r="U244" s="48">
        <f t="shared" si="11"/>
        <v>1010263</v>
      </c>
      <c r="V244" s="50">
        <f t="shared" si="12"/>
        <v>5.0661732645727778E-2</v>
      </c>
    </row>
    <row r="245" spans="1:22" ht="13.2" x14ac:dyDescent="0.25">
      <c r="A245" s="52"/>
      <c r="B245" s="52"/>
      <c r="C245" s="52"/>
      <c r="D245" s="52"/>
      <c r="E245" s="52"/>
      <c r="F245" s="50"/>
      <c r="G245" s="52"/>
      <c r="H245" s="52"/>
      <c r="I245" s="52"/>
      <c r="J245" s="51"/>
      <c r="K245" s="52"/>
      <c r="L245" s="52"/>
      <c r="M245" s="52"/>
      <c r="N245" s="50"/>
      <c r="O245" s="52"/>
      <c r="P245" s="54"/>
      <c r="Q245" s="54"/>
      <c r="R245" s="52"/>
      <c r="S245" s="52"/>
      <c r="T245" s="52"/>
      <c r="U245" s="52"/>
      <c r="V245" s="52"/>
    </row>
    <row r="246" spans="1:22" ht="13.2" x14ac:dyDescent="0.25">
      <c r="A246" s="52"/>
      <c r="B246" s="52"/>
      <c r="C246" s="52"/>
      <c r="D246" s="52"/>
      <c r="E246" s="52"/>
      <c r="F246" s="50"/>
      <c r="G246" s="52"/>
      <c r="H246" s="52"/>
      <c r="I246" s="52"/>
      <c r="J246" s="51"/>
      <c r="K246" s="52"/>
      <c r="L246" s="52"/>
      <c r="M246" s="52"/>
      <c r="N246" s="50"/>
      <c r="O246" s="52"/>
      <c r="P246" s="54"/>
      <c r="Q246" s="54"/>
      <c r="R246" s="52"/>
      <c r="S246" s="52"/>
      <c r="T246" s="52"/>
      <c r="U246" s="52"/>
      <c r="V246" s="52"/>
    </row>
    <row r="247" spans="1:22" ht="13.2" x14ac:dyDescent="0.25">
      <c r="A247" s="52"/>
      <c r="B247" s="52"/>
      <c r="C247" s="52"/>
      <c r="D247" s="52"/>
      <c r="E247" s="52"/>
      <c r="F247" s="50"/>
      <c r="G247" s="52"/>
      <c r="H247" s="52"/>
      <c r="I247" s="52"/>
      <c r="J247" s="51"/>
      <c r="K247" s="52"/>
      <c r="L247" s="52"/>
      <c r="M247" s="52"/>
      <c r="N247" s="50"/>
      <c r="O247" s="52"/>
      <c r="P247" s="54"/>
      <c r="Q247" s="54"/>
      <c r="R247" s="52"/>
      <c r="S247" s="52"/>
      <c r="T247" s="52"/>
      <c r="U247" s="52"/>
      <c r="V247" s="52"/>
    </row>
    <row r="248" spans="1:22" ht="13.2" x14ac:dyDescent="0.25">
      <c r="A248" s="52"/>
      <c r="B248" s="52"/>
      <c r="C248" s="52"/>
      <c r="D248" s="52"/>
      <c r="E248" s="52"/>
      <c r="F248" s="50"/>
      <c r="G248" s="52"/>
      <c r="H248" s="52"/>
      <c r="I248" s="52"/>
      <c r="J248" s="51"/>
      <c r="K248" s="52"/>
      <c r="L248" s="52"/>
      <c r="M248" s="52"/>
      <c r="N248" s="50"/>
      <c r="O248" s="52"/>
      <c r="P248" s="54"/>
      <c r="Q248" s="54"/>
      <c r="R248" s="52"/>
      <c r="S248" s="52"/>
      <c r="T248" s="52"/>
      <c r="U248" s="52"/>
      <c r="V248" s="52"/>
    </row>
    <row r="249" spans="1:22" ht="13.2" x14ac:dyDescent="0.25">
      <c r="A249" s="52"/>
      <c r="B249" s="52"/>
      <c r="C249" s="52"/>
      <c r="D249" s="52"/>
      <c r="E249" s="52"/>
      <c r="F249" s="50"/>
      <c r="G249" s="52"/>
      <c r="H249" s="52"/>
      <c r="I249" s="52"/>
      <c r="J249" s="51"/>
      <c r="K249" s="52"/>
      <c r="L249" s="52"/>
      <c r="M249" s="52"/>
      <c r="N249" s="50"/>
      <c r="O249" s="52"/>
      <c r="P249" s="54"/>
      <c r="Q249" s="54"/>
      <c r="R249" s="52"/>
      <c r="S249" s="52"/>
      <c r="T249" s="52"/>
      <c r="U249" s="52"/>
      <c r="V249" s="52"/>
    </row>
    <row r="250" spans="1:22" ht="13.2" x14ac:dyDescent="0.25">
      <c r="A250" s="52"/>
      <c r="B250" s="52"/>
      <c r="C250" s="52"/>
      <c r="D250" s="52"/>
      <c r="E250" s="52"/>
      <c r="F250" s="50"/>
      <c r="G250" s="52"/>
      <c r="H250" s="52"/>
      <c r="I250" s="52"/>
      <c r="J250" s="51"/>
      <c r="K250" s="52"/>
      <c r="L250" s="52"/>
      <c r="M250" s="52"/>
      <c r="N250" s="50"/>
      <c r="O250" s="52"/>
      <c r="P250" s="54"/>
      <c r="Q250" s="54"/>
      <c r="R250" s="52"/>
      <c r="S250" s="52"/>
      <c r="T250" s="52"/>
      <c r="U250" s="52"/>
      <c r="V250" s="52"/>
    </row>
    <row r="251" spans="1:22" ht="13.2" x14ac:dyDescent="0.25">
      <c r="A251" s="52"/>
      <c r="B251" s="52"/>
      <c r="C251" s="52"/>
      <c r="D251" s="52"/>
      <c r="E251" s="52"/>
      <c r="F251" s="50"/>
      <c r="G251" s="52"/>
      <c r="H251" s="52"/>
      <c r="I251" s="52"/>
      <c r="J251" s="51"/>
      <c r="K251" s="52"/>
      <c r="L251" s="52"/>
      <c r="M251" s="52"/>
      <c r="N251" s="50"/>
      <c r="O251" s="52"/>
      <c r="P251" s="54"/>
      <c r="Q251" s="54"/>
      <c r="R251" s="52"/>
      <c r="S251" s="52"/>
      <c r="T251" s="52"/>
      <c r="U251" s="52"/>
      <c r="V251" s="52"/>
    </row>
    <row r="252" spans="1:22" ht="13.2" x14ac:dyDescent="0.25">
      <c r="A252" s="52"/>
      <c r="B252" s="52"/>
      <c r="C252" s="52"/>
      <c r="D252" s="52"/>
      <c r="E252" s="52"/>
      <c r="F252" s="50"/>
      <c r="G252" s="52"/>
      <c r="H252" s="52"/>
      <c r="I252" s="52"/>
      <c r="J252" s="51"/>
      <c r="K252" s="52"/>
      <c r="L252" s="52"/>
      <c r="M252" s="52"/>
      <c r="N252" s="50"/>
      <c r="O252" s="52"/>
      <c r="P252" s="54"/>
      <c r="Q252" s="54"/>
      <c r="R252" s="52"/>
      <c r="S252" s="52"/>
      <c r="T252" s="52"/>
      <c r="U252" s="52"/>
      <c r="V252" s="52"/>
    </row>
    <row r="253" spans="1:22" ht="13.2" x14ac:dyDescent="0.25">
      <c r="A253" s="52"/>
      <c r="B253" s="52"/>
      <c r="C253" s="52"/>
      <c r="D253" s="52"/>
      <c r="E253" s="52"/>
      <c r="F253" s="50"/>
      <c r="G253" s="52"/>
      <c r="H253" s="52"/>
      <c r="I253" s="52"/>
      <c r="J253" s="51"/>
      <c r="K253" s="52"/>
      <c r="L253" s="52"/>
      <c r="M253" s="52"/>
      <c r="N253" s="50"/>
      <c r="O253" s="52"/>
      <c r="P253" s="54"/>
      <c r="Q253" s="54"/>
      <c r="R253" s="52"/>
      <c r="S253" s="52"/>
      <c r="T253" s="52"/>
      <c r="U253" s="52"/>
      <c r="V253" s="52"/>
    </row>
    <row r="254" spans="1:22" ht="13.2" x14ac:dyDescent="0.25">
      <c r="A254" s="52"/>
      <c r="B254" s="52"/>
      <c r="C254" s="52"/>
      <c r="D254" s="52"/>
      <c r="E254" s="52"/>
      <c r="F254" s="50"/>
      <c r="G254" s="52"/>
      <c r="H254" s="52"/>
      <c r="I254" s="52"/>
      <c r="J254" s="51"/>
      <c r="K254" s="52"/>
      <c r="L254" s="52"/>
      <c r="M254" s="52"/>
      <c r="N254" s="50"/>
      <c r="O254" s="52"/>
      <c r="P254" s="54"/>
      <c r="Q254" s="54"/>
      <c r="R254" s="52"/>
      <c r="S254" s="52"/>
      <c r="T254" s="52"/>
      <c r="U254" s="52"/>
      <c r="V254" s="52"/>
    </row>
    <row r="255" spans="1:22" ht="13.2" x14ac:dyDescent="0.25">
      <c r="A255" s="52"/>
      <c r="B255" s="52"/>
      <c r="C255" s="52"/>
      <c r="D255" s="52"/>
      <c r="E255" s="52"/>
      <c r="F255" s="50"/>
      <c r="G255" s="52"/>
      <c r="H255" s="52"/>
      <c r="I255" s="52"/>
      <c r="J255" s="51"/>
      <c r="K255" s="52"/>
      <c r="L255" s="52"/>
      <c r="M255" s="52"/>
      <c r="N255" s="50"/>
      <c r="O255" s="52"/>
      <c r="P255" s="54"/>
      <c r="Q255" s="54"/>
      <c r="R255" s="52"/>
      <c r="S255" s="52"/>
      <c r="T255" s="52"/>
      <c r="U255" s="52"/>
      <c r="V255" s="52"/>
    </row>
    <row r="256" spans="1:22" ht="13.2" x14ac:dyDescent="0.25">
      <c r="A256" s="52"/>
      <c r="B256" s="52"/>
      <c r="C256" s="52"/>
      <c r="D256" s="52"/>
      <c r="E256" s="52"/>
      <c r="F256" s="50"/>
      <c r="G256" s="52"/>
      <c r="H256" s="52"/>
      <c r="I256" s="52"/>
      <c r="J256" s="51"/>
      <c r="K256" s="52"/>
      <c r="L256" s="52"/>
      <c r="M256" s="52"/>
      <c r="N256" s="50"/>
      <c r="O256" s="52"/>
      <c r="P256" s="54"/>
      <c r="Q256" s="54"/>
      <c r="R256" s="52"/>
      <c r="S256" s="52"/>
      <c r="T256" s="52"/>
      <c r="U256" s="52"/>
      <c r="V256" s="52"/>
    </row>
    <row r="257" spans="1:22" ht="13.2" x14ac:dyDescent="0.25">
      <c r="A257" s="52"/>
      <c r="B257" s="52"/>
      <c r="C257" s="52"/>
      <c r="D257" s="52"/>
      <c r="E257" s="52"/>
      <c r="F257" s="50"/>
      <c r="G257" s="52"/>
      <c r="H257" s="52"/>
      <c r="I257" s="52"/>
      <c r="J257" s="51"/>
      <c r="K257" s="52"/>
      <c r="L257" s="52"/>
      <c r="M257" s="52"/>
      <c r="N257" s="50"/>
      <c r="O257" s="52"/>
      <c r="P257" s="54"/>
      <c r="Q257" s="54"/>
      <c r="R257" s="52"/>
      <c r="S257" s="52"/>
      <c r="T257" s="52"/>
      <c r="U257" s="52"/>
      <c r="V257" s="52"/>
    </row>
    <row r="258" spans="1:22" ht="13.2" x14ac:dyDescent="0.25">
      <c r="A258" s="52"/>
      <c r="B258" s="52"/>
      <c r="C258" s="52"/>
      <c r="D258" s="52"/>
      <c r="E258" s="52"/>
      <c r="F258" s="50"/>
      <c r="G258" s="52"/>
      <c r="H258" s="52"/>
      <c r="I258" s="52"/>
      <c r="J258" s="51"/>
      <c r="K258" s="52"/>
      <c r="L258" s="52"/>
      <c r="M258" s="52"/>
      <c r="N258" s="50"/>
      <c r="O258" s="52"/>
      <c r="P258" s="54"/>
      <c r="Q258" s="54"/>
      <c r="R258" s="52"/>
      <c r="S258" s="52"/>
      <c r="T258" s="52"/>
      <c r="U258" s="52"/>
      <c r="V258" s="52"/>
    </row>
    <row r="259" spans="1:22" ht="13.2" x14ac:dyDescent="0.25">
      <c r="A259" s="52"/>
      <c r="B259" s="52"/>
      <c r="C259" s="52"/>
      <c r="D259" s="52"/>
      <c r="E259" s="52"/>
      <c r="F259" s="50"/>
      <c r="G259" s="52"/>
      <c r="H259" s="52"/>
      <c r="I259" s="52"/>
      <c r="J259" s="51"/>
      <c r="K259" s="52"/>
      <c r="L259" s="52"/>
      <c r="M259" s="52"/>
      <c r="N259" s="50"/>
      <c r="O259" s="52"/>
      <c r="P259" s="54"/>
      <c r="Q259" s="54"/>
      <c r="R259" s="52"/>
      <c r="S259" s="52"/>
      <c r="T259" s="52"/>
      <c r="U259" s="52"/>
      <c r="V259" s="52"/>
    </row>
    <row r="260" spans="1:22" ht="13.2" x14ac:dyDescent="0.25">
      <c r="A260" s="52"/>
      <c r="B260" s="52"/>
      <c r="C260" s="52"/>
      <c r="D260" s="52"/>
      <c r="E260" s="52"/>
      <c r="F260" s="50"/>
      <c r="G260" s="52"/>
      <c r="H260" s="52"/>
      <c r="I260" s="52"/>
      <c r="J260" s="51"/>
      <c r="K260" s="52"/>
      <c r="L260" s="52"/>
      <c r="M260" s="52"/>
      <c r="N260" s="50"/>
      <c r="O260" s="52"/>
      <c r="P260" s="54"/>
      <c r="Q260" s="54"/>
      <c r="R260" s="52"/>
      <c r="S260" s="52"/>
      <c r="T260" s="52"/>
      <c r="U260" s="52"/>
      <c r="V260" s="52"/>
    </row>
    <row r="261" spans="1:22" ht="13.2" x14ac:dyDescent="0.25">
      <c r="A261" s="52"/>
      <c r="B261" s="52"/>
      <c r="C261" s="52"/>
      <c r="D261" s="52"/>
      <c r="E261" s="52"/>
      <c r="F261" s="50"/>
      <c r="G261" s="52"/>
      <c r="H261" s="52"/>
      <c r="I261" s="52"/>
      <c r="J261" s="51"/>
      <c r="K261" s="52"/>
      <c r="L261" s="52"/>
      <c r="M261" s="52"/>
      <c r="N261" s="50"/>
      <c r="O261" s="52"/>
      <c r="P261" s="54"/>
      <c r="Q261" s="54"/>
      <c r="R261" s="52"/>
      <c r="S261" s="52"/>
      <c r="T261" s="52"/>
      <c r="U261" s="52"/>
      <c r="V261" s="52"/>
    </row>
    <row r="262" spans="1:22" ht="13.2" x14ac:dyDescent="0.25">
      <c r="A262" s="52"/>
      <c r="B262" s="52"/>
      <c r="C262" s="52"/>
      <c r="D262" s="52"/>
      <c r="E262" s="52"/>
      <c r="F262" s="50"/>
      <c r="G262" s="52"/>
      <c r="H262" s="52"/>
      <c r="I262" s="52"/>
      <c r="J262" s="51"/>
      <c r="K262" s="52"/>
      <c r="L262" s="52"/>
      <c r="M262" s="52"/>
      <c r="N262" s="50"/>
      <c r="O262" s="52"/>
      <c r="P262" s="54"/>
      <c r="Q262" s="54"/>
      <c r="R262" s="52"/>
      <c r="S262" s="52"/>
      <c r="T262" s="52"/>
      <c r="U262" s="52"/>
      <c r="V262" s="52"/>
    </row>
    <row r="263" spans="1:22" ht="13.2" x14ac:dyDescent="0.25">
      <c r="A263" s="52"/>
      <c r="B263" s="52"/>
      <c r="C263" s="52"/>
      <c r="D263" s="52"/>
      <c r="E263" s="52"/>
      <c r="F263" s="50"/>
      <c r="G263" s="52"/>
      <c r="H263" s="52"/>
      <c r="I263" s="52"/>
      <c r="J263" s="51"/>
      <c r="K263" s="52"/>
      <c r="L263" s="52"/>
      <c r="M263" s="52"/>
      <c r="N263" s="50"/>
      <c r="O263" s="52"/>
      <c r="P263" s="54"/>
      <c r="Q263" s="54"/>
      <c r="R263" s="52"/>
      <c r="S263" s="52"/>
      <c r="T263" s="52"/>
      <c r="U263" s="52"/>
      <c r="V263" s="52"/>
    </row>
    <row r="264" spans="1:22" ht="13.2" x14ac:dyDescent="0.25">
      <c r="A264" s="52"/>
      <c r="B264" s="52"/>
      <c r="C264" s="52"/>
      <c r="D264" s="52"/>
      <c r="E264" s="52"/>
      <c r="F264" s="50"/>
      <c r="G264" s="52"/>
      <c r="H264" s="52"/>
      <c r="I264" s="52"/>
      <c r="J264" s="51"/>
      <c r="K264" s="52"/>
      <c r="L264" s="52"/>
      <c r="M264" s="52"/>
      <c r="N264" s="50"/>
      <c r="O264" s="52"/>
      <c r="P264" s="54"/>
      <c r="Q264" s="54"/>
      <c r="R264" s="52"/>
      <c r="S264" s="52"/>
      <c r="T264" s="52"/>
      <c r="U264" s="52"/>
      <c r="V264" s="52"/>
    </row>
    <row r="265" spans="1:22" ht="13.2" x14ac:dyDescent="0.25">
      <c r="A265" s="52"/>
      <c r="B265" s="52"/>
      <c r="C265" s="52"/>
      <c r="D265" s="52"/>
      <c r="E265" s="52"/>
      <c r="F265" s="50"/>
      <c r="G265" s="52"/>
      <c r="H265" s="52"/>
      <c r="I265" s="52"/>
      <c r="J265" s="51"/>
      <c r="K265" s="52"/>
      <c r="L265" s="52"/>
      <c r="M265" s="52"/>
      <c r="N265" s="50"/>
      <c r="O265" s="52"/>
      <c r="P265" s="54"/>
      <c r="Q265" s="54"/>
      <c r="R265" s="52"/>
      <c r="S265" s="52"/>
      <c r="T265" s="52"/>
      <c r="U265" s="52"/>
      <c r="V265" s="52"/>
    </row>
    <row r="266" spans="1:22" ht="13.2" x14ac:dyDescent="0.25">
      <c r="A266" s="52"/>
      <c r="B266" s="52"/>
      <c r="C266" s="52"/>
      <c r="D266" s="52"/>
      <c r="E266" s="52"/>
      <c r="F266" s="50"/>
      <c r="G266" s="52"/>
      <c r="H266" s="52"/>
      <c r="I266" s="52"/>
      <c r="J266" s="51"/>
      <c r="K266" s="52"/>
      <c r="L266" s="52"/>
      <c r="M266" s="52"/>
      <c r="N266" s="50"/>
      <c r="O266" s="52"/>
      <c r="P266" s="54"/>
      <c r="Q266" s="54"/>
      <c r="R266" s="52"/>
      <c r="S266" s="52"/>
      <c r="T266" s="52"/>
      <c r="U266" s="52"/>
      <c r="V266" s="52"/>
    </row>
    <row r="267" spans="1:22" ht="13.2" x14ac:dyDescent="0.25">
      <c r="A267" s="52"/>
      <c r="B267" s="52"/>
      <c r="C267" s="52"/>
      <c r="D267" s="52"/>
      <c r="E267" s="52"/>
      <c r="F267" s="50"/>
      <c r="G267" s="52"/>
      <c r="H267" s="52"/>
      <c r="I267" s="52"/>
      <c r="J267" s="51"/>
      <c r="K267" s="52"/>
      <c r="L267" s="52"/>
      <c r="M267" s="52"/>
      <c r="N267" s="50"/>
      <c r="O267" s="52"/>
      <c r="P267" s="54"/>
      <c r="Q267" s="54"/>
      <c r="R267" s="52"/>
      <c r="S267" s="52"/>
      <c r="T267" s="52"/>
      <c r="U267" s="52"/>
      <c r="V267" s="52"/>
    </row>
    <row r="268" spans="1:22" ht="13.2" x14ac:dyDescent="0.25">
      <c r="A268" s="52"/>
      <c r="B268" s="52"/>
      <c r="C268" s="52"/>
      <c r="D268" s="52"/>
      <c r="E268" s="52"/>
      <c r="F268" s="50"/>
      <c r="G268" s="52"/>
      <c r="H268" s="52"/>
      <c r="I268" s="52"/>
      <c r="J268" s="51"/>
      <c r="K268" s="52"/>
      <c r="L268" s="52"/>
      <c r="M268" s="52"/>
      <c r="N268" s="50"/>
      <c r="O268" s="52"/>
      <c r="P268" s="54"/>
      <c r="Q268" s="54"/>
      <c r="R268" s="52"/>
      <c r="S268" s="52"/>
      <c r="T268" s="52"/>
      <c r="U268" s="52"/>
      <c r="V268" s="52"/>
    </row>
    <row r="269" spans="1:22" ht="13.2" x14ac:dyDescent="0.25">
      <c r="A269" s="52"/>
      <c r="B269" s="52"/>
      <c r="C269" s="52"/>
      <c r="D269" s="52"/>
      <c r="E269" s="52"/>
      <c r="F269" s="50"/>
      <c r="G269" s="52"/>
      <c r="H269" s="52"/>
      <c r="I269" s="52"/>
      <c r="J269" s="51"/>
      <c r="K269" s="52"/>
      <c r="L269" s="52"/>
      <c r="M269" s="52"/>
      <c r="N269" s="50"/>
      <c r="O269" s="52"/>
      <c r="P269" s="54"/>
      <c r="Q269" s="54"/>
      <c r="R269" s="52"/>
      <c r="S269" s="52"/>
      <c r="T269" s="52"/>
      <c r="U269" s="52"/>
      <c r="V269" s="52"/>
    </row>
    <row r="270" spans="1:22" ht="13.2" x14ac:dyDescent="0.25">
      <c r="A270" s="52"/>
      <c r="B270" s="52"/>
      <c r="C270" s="52"/>
      <c r="D270" s="52"/>
      <c r="E270" s="52"/>
      <c r="F270" s="50"/>
      <c r="G270" s="52"/>
      <c r="H270" s="52"/>
      <c r="I270" s="52"/>
      <c r="J270" s="51"/>
      <c r="K270" s="52"/>
      <c r="L270" s="52"/>
      <c r="M270" s="52"/>
      <c r="N270" s="50"/>
      <c r="O270" s="52"/>
      <c r="P270" s="54"/>
      <c r="Q270" s="54"/>
      <c r="R270" s="52"/>
      <c r="S270" s="52"/>
      <c r="T270" s="52"/>
      <c r="U270" s="52"/>
      <c r="V270" s="52"/>
    </row>
    <row r="271" spans="1:22" ht="13.2" x14ac:dyDescent="0.25">
      <c r="A271" s="52"/>
      <c r="B271" s="52"/>
      <c r="C271" s="52"/>
      <c r="D271" s="52"/>
      <c r="E271" s="52"/>
      <c r="F271" s="50"/>
      <c r="G271" s="52"/>
      <c r="H271" s="52"/>
      <c r="I271" s="52"/>
      <c r="J271" s="51"/>
      <c r="K271" s="52"/>
      <c r="L271" s="52"/>
      <c r="M271" s="52"/>
      <c r="N271" s="50"/>
      <c r="O271" s="52"/>
      <c r="P271" s="54"/>
      <c r="Q271" s="54"/>
      <c r="R271" s="52"/>
      <c r="S271" s="52"/>
      <c r="T271" s="52"/>
      <c r="U271" s="52"/>
      <c r="V271" s="52"/>
    </row>
    <row r="272" spans="1:22" ht="13.2" x14ac:dyDescent="0.25">
      <c r="A272" s="52"/>
      <c r="B272" s="52"/>
      <c r="C272" s="52"/>
      <c r="D272" s="52"/>
      <c r="E272" s="52"/>
      <c r="F272" s="50"/>
      <c r="G272" s="52"/>
      <c r="H272" s="52"/>
      <c r="I272" s="52"/>
      <c r="J272" s="51"/>
      <c r="K272" s="52"/>
      <c r="L272" s="52"/>
      <c r="M272" s="52"/>
      <c r="N272" s="50"/>
      <c r="O272" s="52"/>
      <c r="P272" s="54"/>
      <c r="Q272" s="54"/>
      <c r="R272" s="52"/>
      <c r="S272" s="52"/>
      <c r="T272" s="52"/>
      <c r="U272" s="52"/>
      <c r="V272" s="52"/>
    </row>
    <row r="273" spans="1:22" ht="13.2" x14ac:dyDescent="0.25">
      <c r="A273" s="52"/>
      <c r="B273" s="52"/>
      <c r="C273" s="52"/>
      <c r="D273" s="52"/>
      <c r="E273" s="52"/>
      <c r="F273" s="50"/>
      <c r="G273" s="52"/>
      <c r="H273" s="52"/>
      <c r="I273" s="52"/>
      <c r="J273" s="51"/>
      <c r="K273" s="52"/>
      <c r="L273" s="52"/>
      <c r="M273" s="52"/>
      <c r="N273" s="50"/>
      <c r="O273" s="52"/>
      <c r="P273" s="54"/>
      <c r="Q273" s="54"/>
      <c r="R273" s="52"/>
      <c r="S273" s="52"/>
      <c r="T273" s="52"/>
      <c r="U273" s="52"/>
      <c r="V273" s="52"/>
    </row>
    <row r="274" spans="1:22" ht="13.2" x14ac:dyDescent="0.25">
      <c r="A274" s="52"/>
      <c r="B274" s="52"/>
      <c r="C274" s="52"/>
      <c r="D274" s="52"/>
      <c r="E274" s="52"/>
      <c r="F274" s="50"/>
      <c r="G274" s="52"/>
      <c r="H274" s="52"/>
      <c r="I274" s="52"/>
      <c r="J274" s="51"/>
      <c r="K274" s="52"/>
      <c r="L274" s="52"/>
      <c r="M274" s="52"/>
      <c r="N274" s="50"/>
      <c r="O274" s="52"/>
      <c r="P274" s="54"/>
      <c r="Q274" s="54"/>
      <c r="R274" s="52"/>
      <c r="S274" s="52"/>
      <c r="T274" s="52"/>
      <c r="U274" s="52"/>
      <c r="V274" s="52"/>
    </row>
    <row r="275" spans="1:22" ht="13.2" x14ac:dyDescent="0.25">
      <c r="A275" s="52"/>
      <c r="B275" s="52"/>
      <c r="C275" s="52"/>
      <c r="D275" s="52"/>
      <c r="E275" s="52"/>
      <c r="F275" s="50"/>
      <c r="G275" s="52"/>
      <c r="H275" s="52"/>
      <c r="I275" s="52"/>
      <c r="J275" s="51"/>
      <c r="K275" s="52"/>
      <c r="L275" s="52"/>
      <c r="M275" s="52"/>
      <c r="N275" s="50"/>
      <c r="O275" s="52"/>
      <c r="P275" s="54"/>
      <c r="Q275" s="54"/>
      <c r="R275" s="52"/>
      <c r="S275" s="52"/>
      <c r="T275" s="52"/>
      <c r="U275" s="52"/>
      <c r="V275" s="52"/>
    </row>
    <row r="276" spans="1:22" ht="13.2" x14ac:dyDescent="0.25">
      <c r="A276" s="52"/>
      <c r="B276" s="52"/>
      <c r="C276" s="52"/>
      <c r="D276" s="52"/>
      <c r="E276" s="52"/>
      <c r="F276" s="50"/>
      <c r="G276" s="52"/>
      <c r="H276" s="52"/>
      <c r="I276" s="52"/>
      <c r="J276" s="51"/>
      <c r="K276" s="52"/>
      <c r="L276" s="52"/>
      <c r="M276" s="52"/>
      <c r="N276" s="50"/>
      <c r="O276" s="52"/>
      <c r="P276" s="54"/>
      <c r="Q276" s="54"/>
      <c r="R276" s="52"/>
      <c r="S276" s="52"/>
      <c r="T276" s="52"/>
      <c r="U276" s="52"/>
      <c r="V276" s="52"/>
    </row>
    <row r="277" spans="1:22" ht="13.2" x14ac:dyDescent="0.25">
      <c r="A277" s="52"/>
      <c r="B277" s="52"/>
      <c r="C277" s="52"/>
      <c r="D277" s="52"/>
      <c r="E277" s="52"/>
      <c r="F277" s="50"/>
      <c r="G277" s="52"/>
      <c r="H277" s="52"/>
      <c r="I277" s="52"/>
      <c r="J277" s="51"/>
      <c r="K277" s="52"/>
      <c r="L277" s="52"/>
      <c r="M277" s="52"/>
      <c r="N277" s="50"/>
      <c r="O277" s="52"/>
      <c r="P277" s="54"/>
      <c r="Q277" s="54"/>
      <c r="R277" s="52"/>
      <c r="S277" s="52"/>
      <c r="T277" s="52"/>
      <c r="U277" s="52"/>
      <c r="V277" s="52"/>
    </row>
    <row r="278" spans="1:22" ht="13.2" x14ac:dyDescent="0.25">
      <c r="A278" s="52"/>
      <c r="B278" s="52"/>
      <c r="C278" s="52"/>
      <c r="D278" s="52"/>
      <c r="E278" s="52"/>
      <c r="F278" s="50"/>
      <c r="G278" s="52"/>
      <c r="H278" s="52"/>
      <c r="I278" s="52"/>
      <c r="J278" s="51"/>
      <c r="K278" s="52"/>
      <c r="L278" s="52"/>
      <c r="M278" s="52"/>
      <c r="N278" s="50"/>
      <c r="O278" s="52"/>
      <c r="P278" s="54"/>
      <c r="Q278" s="54"/>
      <c r="R278" s="52"/>
      <c r="S278" s="52"/>
      <c r="T278" s="52"/>
      <c r="U278" s="52"/>
      <c r="V278" s="52"/>
    </row>
    <row r="279" spans="1:22" ht="13.2" x14ac:dyDescent="0.25">
      <c r="A279" s="52"/>
      <c r="B279" s="52"/>
      <c r="C279" s="52"/>
      <c r="D279" s="52"/>
      <c r="E279" s="52"/>
      <c r="F279" s="50"/>
      <c r="G279" s="52"/>
      <c r="H279" s="52"/>
      <c r="I279" s="52"/>
      <c r="J279" s="51"/>
      <c r="K279" s="52"/>
      <c r="L279" s="52"/>
      <c r="M279" s="52"/>
      <c r="N279" s="50"/>
      <c r="O279" s="52"/>
      <c r="P279" s="54"/>
      <c r="Q279" s="54"/>
      <c r="R279" s="52"/>
      <c r="S279" s="52"/>
      <c r="T279" s="52"/>
      <c r="U279" s="52"/>
      <c r="V279" s="52"/>
    </row>
    <row r="280" spans="1:22" ht="13.2" x14ac:dyDescent="0.25">
      <c r="A280" s="52"/>
      <c r="B280" s="52"/>
      <c r="C280" s="52"/>
      <c r="D280" s="52"/>
      <c r="E280" s="52"/>
      <c r="F280" s="50"/>
      <c r="G280" s="52"/>
      <c r="H280" s="52"/>
      <c r="I280" s="52"/>
      <c r="J280" s="51"/>
      <c r="K280" s="52"/>
      <c r="L280" s="52"/>
      <c r="M280" s="52"/>
      <c r="N280" s="50"/>
      <c r="O280" s="52"/>
      <c r="P280" s="54"/>
      <c r="Q280" s="54"/>
      <c r="R280" s="52"/>
      <c r="S280" s="52"/>
      <c r="T280" s="52"/>
      <c r="U280" s="52"/>
      <c r="V280" s="52"/>
    </row>
    <row r="281" spans="1:22" ht="13.2" x14ac:dyDescent="0.25">
      <c r="A281" s="52"/>
      <c r="B281" s="52"/>
      <c r="C281" s="52"/>
      <c r="D281" s="52"/>
      <c r="E281" s="52"/>
      <c r="F281" s="50"/>
      <c r="G281" s="52"/>
      <c r="H281" s="52"/>
      <c r="I281" s="52"/>
      <c r="J281" s="51"/>
      <c r="K281" s="52"/>
      <c r="L281" s="52"/>
      <c r="M281" s="52"/>
      <c r="N281" s="50"/>
      <c r="O281" s="52"/>
      <c r="P281" s="54"/>
      <c r="Q281" s="54"/>
      <c r="R281" s="52"/>
      <c r="S281" s="52"/>
      <c r="T281" s="52"/>
      <c r="U281" s="52"/>
      <c r="V281" s="52"/>
    </row>
    <row r="282" spans="1:22" ht="13.2" x14ac:dyDescent="0.25">
      <c r="A282" s="52"/>
      <c r="B282" s="52"/>
      <c r="C282" s="52"/>
      <c r="D282" s="52"/>
      <c r="E282" s="52"/>
      <c r="F282" s="50"/>
      <c r="G282" s="52"/>
      <c r="H282" s="52"/>
      <c r="I282" s="52"/>
      <c r="J282" s="51"/>
      <c r="K282" s="52"/>
      <c r="L282" s="52"/>
      <c r="M282" s="52"/>
      <c r="N282" s="50"/>
      <c r="O282" s="52"/>
      <c r="P282" s="54"/>
      <c r="Q282" s="54"/>
      <c r="R282" s="52"/>
      <c r="S282" s="52"/>
      <c r="T282" s="52"/>
      <c r="U282" s="52"/>
      <c r="V282" s="52"/>
    </row>
    <row r="283" spans="1:22" ht="13.2" x14ac:dyDescent="0.25">
      <c r="A283" s="52"/>
      <c r="B283" s="52"/>
      <c r="C283" s="52"/>
      <c r="D283" s="52"/>
      <c r="E283" s="52"/>
      <c r="F283" s="50"/>
      <c r="G283" s="52"/>
      <c r="H283" s="52"/>
      <c r="I283" s="52"/>
      <c r="J283" s="51"/>
      <c r="K283" s="52"/>
      <c r="L283" s="52"/>
      <c r="M283" s="52"/>
      <c r="N283" s="50"/>
      <c r="O283" s="52"/>
      <c r="P283" s="54"/>
      <c r="Q283" s="54"/>
      <c r="R283" s="52"/>
      <c r="S283" s="52"/>
      <c r="T283" s="52"/>
      <c r="U283" s="52"/>
      <c r="V283" s="52"/>
    </row>
    <row r="284" spans="1:22" ht="13.2" x14ac:dyDescent="0.25">
      <c r="A284" s="52"/>
      <c r="B284" s="52"/>
      <c r="C284" s="52"/>
      <c r="D284" s="52"/>
      <c r="E284" s="52"/>
      <c r="F284" s="50"/>
      <c r="G284" s="52"/>
      <c r="H284" s="52"/>
      <c r="I284" s="52"/>
      <c r="J284" s="51"/>
      <c r="K284" s="52"/>
      <c r="L284" s="52"/>
      <c r="M284" s="52"/>
      <c r="N284" s="50"/>
      <c r="O284" s="52"/>
      <c r="P284" s="54"/>
      <c r="Q284" s="54"/>
      <c r="R284" s="52"/>
      <c r="S284" s="52"/>
      <c r="T284" s="52"/>
      <c r="U284" s="52"/>
      <c r="V284" s="52"/>
    </row>
    <row r="285" spans="1:22" ht="13.2" x14ac:dyDescent="0.25">
      <c r="A285" s="52"/>
      <c r="B285" s="52"/>
      <c r="C285" s="52"/>
      <c r="D285" s="52"/>
      <c r="E285" s="52"/>
      <c r="F285" s="50"/>
      <c r="G285" s="52"/>
      <c r="H285" s="52"/>
      <c r="I285" s="52"/>
      <c r="J285" s="51"/>
      <c r="K285" s="52"/>
      <c r="L285" s="52"/>
      <c r="M285" s="52"/>
      <c r="N285" s="50"/>
      <c r="O285" s="52"/>
      <c r="P285" s="54"/>
      <c r="Q285" s="54"/>
      <c r="R285" s="52"/>
      <c r="S285" s="52"/>
      <c r="T285" s="52"/>
      <c r="U285" s="52"/>
      <c r="V285" s="52"/>
    </row>
    <row r="286" spans="1:22" ht="13.2" x14ac:dyDescent="0.25">
      <c r="A286" s="52"/>
      <c r="B286" s="52"/>
      <c r="C286" s="52"/>
      <c r="D286" s="52"/>
      <c r="E286" s="52"/>
      <c r="F286" s="50"/>
      <c r="G286" s="52"/>
      <c r="H286" s="52"/>
      <c r="I286" s="52"/>
      <c r="J286" s="51"/>
      <c r="K286" s="52"/>
      <c r="L286" s="52"/>
      <c r="M286" s="52"/>
      <c r="N286" s="50"/>
      <c r="O286" s="52"/>
      <c r="P286" s="54"/>
      <c r="Q286" s="54"/>
      <c r="R286" s="52"/>
      <c r="S286" s="52"/>
      <c r="T286" s="52"/>
      <c r="U286" s="52"/>
      <c r="V286" s="52"/>
    </row>
    <row r="287" spans="1:22" ht="13.2" x14ac:dyDescent="0.25">
      <c r="A287" s="52"/>
      <c r="B287" s="52"/>
      <c r="C287" s="52"/>
      <c r="D287" s="52"/>
      <c r="E287" s="52"/>
      <c r="F287" s="50"/>
      <c r="G287" s="52"/>
      <c r="H287" s="52"/>
      <c r="I287" s="52"/>
      <c r="J287" s="51"/>
      <c r="K287" s="52"/>
      <c r="L287" s="52"/>
      <c r="M287" s="52"/>
      <c r="N287" s="50"/>
      <c r="O287" s="52"/>
      <c r="P287" s="54"/>
      <c r="Q287" s="54"/>
      <c r="R287" s="52"/>
      <c r="S287" s="52"/>
      <c r="T287" s="52"/>
      <c r="U287" s="52"/>
      <c r="V287" s="52"/>
    </row>
    <row r="288" spans="1:22" ht="13.2" x14ac:dyDescent="0.25">
      <c r="A288" s="52"/>
      <c r="B288" s="52"/>
      <c r="C288" s="52"/>
      <c r="D288" s="52"/>
      <c r="E288" s="52"/>
      <c r="F288" s="50"/>
      <c r="G288" s="52"/>
      <c r="H288" s="52"/>
      <c r="I288" s="52"/>
      <c r="J288" s="51"/>
      <c r="K288" s="52"/>
      <c r="L288" s="52"/>
      <c r="M288" s="52"/>
      <c r="N288" s="50"/>
      <c r="O288" s="52"/>
      <c r="P288" s="54"/>
      <c r="Q288" s="54"/>
      <c r="R288" s="52"/>
      <c r="S288" s="52"/>
      <c r="T288" s="52"/>
      <c r="U288" s="52"/>
      <c r="V288" s="52"/>
    </row>
    <row r="289" spans="1:22" ht="13.2" x14ac:dyDescent="0.25">
      <c r="A289" s="52"/>
      <c r="B289" s="52"/>
      <c r="C289" s="52"/>
      <c r="D289" s="52"/>
      <c r="E289" s="52"/>
      <c r="F289" s="50"/>
      <c r="G289" s="52"/>
      <c r="H289" s="52"/>
      <c r="I289" s="52"/>
      <c r="J289" s="51"/>
      <c r="K289" s="52"/>
      <c r="L289" s="52"/>
      <c r="M289" s="52"/>
      <c r="N289" s="50"/>
      <c r="O289" s="52"/>
      <c r="P289" s="54"/>
      <c r="Q289" s="54"/>
      <c r="R289" s="52"/>
      <c r="S289" s="52"/>
      <c r="T289" s="52"/>
      <c r="U289" s="52"/>
      <c r="V289" s="52"/>
    </row>
    <row r="290" spans="1:22" ht="13.2" x14ac:dyDescent="0.25">
      <c r="A290" s="52"/>
      <c r="B290" s="52"/>
      <c r="C290" s="52"/>
      <c r="D290" s="52"/>
      <c r="E290" s="52"/>
      <c r="F290" s="50"/>
      <c r="G290" s="52"/>
      <c r="H290" s="52"/>
      <c r="I290" s="52"/>
      <c r="J290" s="51"/>
      <c r="K290" s="52"/>
      <c r="L290" s="52"/>
      <c r="M290" s="52"/>
      <c r="N290" s="50"/>
      <c r="O290" s="52"/>
      <c r="P290" s="54"/>
      <c r="Q290" s="54"/>
      <c r="R290" s="52"/>
      <c r="S290" s="52"/>
      <c r="T290" s="52"/>
      <c r="U290" s="52"/>
      <c r="V290" s="52"/>
    </row>
    <row r="291" spans="1:22" ht="13.2" x14ac:dyDescent="0.25">
      <c r="A291" s="52"/>
      <c r="B291" s="52"/>
      <c r="C291" s="52"/>
      <c r="D291" s="52"/>
      <c r="E291" s="52"/>
      <c r="F291" s="50"/>
      <c r="G291" s="52"/>
      <c r="H291" s="52"/>
      <c r="I291" s="52"/>
      <c r="J291" s="51"/>
      <c r="K291" s="52"/>
      <c r="L291" s="52"/>
      <c r="M291" s="52"/>
      <c r="N291" s="50"/>
      <c r="O291" s="52"/>
      <c r="P291" s="54"/>
      <c r="Q291" s="54"/>
      <c r="R291" s="52"/>
      <c r="S291" s="52"/>
      <c r="T291" s="52"/>
      <c r="U291" s="52"/>
      <c r="V291" s="52"/>
    </row>
    <row r="292" spans="1:22" ht="13.2" x14ac:dyDescent="0.25">
      <c r="A292" s="52"/>
      <c r="B292" s="52"/>
      <c r="C292" s="52"/>
      <c r="D292" s="52"/>
      <c r="E292" s="52"/>
      <c r="F292" s="50"/>
      <c r="G292" s="52"/>
      <c r="H292" s="52"/>
      <c r="I292" s="52"/>
      <c r="J292" s="51"/>
      <c r="K292" s="52"/>
      <c r="L292" s="52"/>
      <c r="M292" s="52"/>
      <c r="N292" s="50"/>
      <c r="O292" s="52"/>
      <c r="P292" s="54"/>
      <c r="Q292" s="54"/>
      <c r="R292" s="52"/>
      <c r="S292" s="52"/>
      <c r="T292" s="52"/>
      <c r="U292" s="52"/>
      <c r="V292" s="52"/>
    </row>
    <row r="293" spans="1:22" ht="13.2" x14ac:dyDescent="0.25">
      <c r="A293" s="52"/>
      <c r="B293" s="52"/>
      <c r="C293" s="52"/>
      <c r="D293" s="52"/>
      <c r="E293" s="52"/>
      <c r="F293" s="50"/>
      <c r="G293" s="52"/>
      <c r="H293" s="52"/>
      <c r="I293" s="52"/>
      <c r="J293" s="51"/>
      <c r="K293" s="52"/>
      <c r="L293" s="52"/>
      <c r="M293" s="52"/>
      <c r="N293" s="50"/>
      <c r="O293" s="52"/>
      <c r="P293" s="54"/>
      <c r="Q293" s="54"/>
      <c r="R293" s="52"/>
      <c r="S293" s="52"/>
      <c r="T293" s="52"/>
      <c r="U293" s="52"/>
      <c r="V293" s="52"/>
    </row>
    <row r="294" spans="1:22" ht="13.2" x14ac:dyDescent="0.25">
      <c r="A294" s="52"/>
      <c r="B294" s="52"/>
      <c r="C294" s="52"/>
      <c r="D294" s="52"/>
      <c r="E294" s="52"/>
      <c r="F294" s="50"/>
      <c r="G294" s="52"/>
      <c r="H294" s="52"/>
      <c r="I294" s="52"/>
      <c r="J294" s="51"/>
      <c r="K294" s="52"/>
      <c r="L294" s="52"/>
      <c r="M294" s="52"/>
      <c r="N294" s="50"/>
      <c r="O294" s="52"/>
      <c r="P294" s="54"/>
      <c r="Q294" s="54"/>
      <c r="R294" s="52"/>
      <c r="S294" s="52"/>
      <c r="T294" s="52"/>
      <c r="U294" s="52"/>
      <c r="V294" s="52"/>
    </row>
    <row r="295" spans="1:22" ht="13.2" x14ac:dyDescent="0.25">
      <c r="A295" s="52"/>
      <c r="B295" s="52"/>
      <c r="C295" s="52"/>
      <c r="D295" s="52"/>
      <c r="E295" s="52"/>
      <c r="F295" s="50"/>
      <c r="G295" s="52"/>
      <c r="H295" s="52"/>
      <c r="I295" s="52"/>
      <c r="J295" s="51"/>
      <c r="K295" s="52"/>
      <c r="L295" s="52"/>
      <c r="M295" s="52"/>
      <c r="N295" s="50"/>
      <c r="O295" s="52"/>
      <c r="P295" s="54"/>
      <c r="Q295" s="54"/>
      <c r="R295" s="52"/>
      <c r="S295" s="52"/>
      <c r="T295" s="52"/>
      <c r="U295" s="52"/>
      <c r="V295" s="52"/>
    </row>
    <row r="296" spans="1:22" ht="13.2" x14ac:dyDescent="0.25">
      <c r="A296" s="52"/>
      <c r="B296" s="52"/>
      <c r="C296" s="52"/>
      <c r="D296" s="52"/>
      <c r="E296" s="52"/>
      <c r="F296" s="50"/>
      <c r="G296" s="52"/>
      <c r="H296" s="52"/>
      <c r="I296" s="52"/>
      <c r="J296" s="51"/>
      <c r="K296" s="52"/>
      <c r="L296" s="52"/>
      <c r="M296" s="52"/>
      <c r="N296" s="50"/>
      <c r="O296" s="52"/>
      <c r="P296" s="54"/>
      <c r="Q296" s="54"/>
      <c r="R296" s="52"/>
      <c r="S296" s="52"/>
      <c r="T296" s="52"/>
      <c r="U296" s="52"/>
      <c r="V296" s="52"/>
    </row>
    <row r="297" spans="1:22" ht="13.2" x14ac:dyDescent="0.25">
      <c r="A297" s="52"/>
      <c r="B297" s="52"/>
      <c r="C297" s="52"/>
      <c r="D297" s="52"/>
      <c r="E297" s="52"/>
      <c r="F297" s="50"/>
      <c r="G297" s="52"/>
      <c r="H297" s="52"/>
      <c r="I297" s="52"/>
      <c r="J297" s="51"/>
      <c r="K297" s="52"/>
      <c r="L297" s="52"/>
      <c r="M297" s="52"/>
      <c r="N297" s="50"/>
      <c r="O297" s="52"/>
      <c r="P297" s="54"/>
      <c r="Q297" s="54"/>
      <c r="R297" s="52"/>
      <c r="S297" s="52"/>
      <c r="T297" s="52"/>
      <c r="U297" s="52"/>
      <c r="V297" s="52"/>
    </row>
    <row r="298" spans="1:22" ht="13.2" x14ac:dyDescent="0.25">
      <c r="A298" s="52"/>
      <c r="B298" s="52"/>
      <c r="C298" s="52"/>
      <c r="D298" s="52"/>
      <c r="E298" s="52"/>
      <c r="F298" s="50"/>
      <c r="G298" s="52"/>
      <c r="H298" s="52"/>
      <c r="I298" s="52"/>
      <c r="J298" s="51"/>
      <c r="K298" s="52"/>
      <c r="L298" s="52"/>
      <c r="M298" s="52"/>
      <c r="N298" s="50"/>
      <c r="O298" s="52"/>
      <c r="P298" s="54"/>
      <c r="Q298" s="54"/>
      <c r="R298" s="52"/>
      <c r="S298" s="52"/>
      <c r="T298" s="52"/>
      <c r="U298" s="52"/>
      <c r="V298" s="52"/>
    </row>
    <row r="299" spans="1:22" ht="13.2" x14ac:dyDescent="0.25">
      <c r="A299" s="52"/>
      <c r="B299" s="52"/>
      <c r="C299" s="52"/>
      <c r="D299" s="52"/>
      <c r="E299" s="52"/>
      <c r="F299" s="50"/>
      <c r="G299" s="52"/>
      <c r="H299" s="52"/>
      <c r="I299" s="52"/>
      <c r="J299" s="51"/>
      <c r="K299" s="52"/>
      <c r="L299" s="52"/>
      <c r="M299" s="52"/>
      <c r="N299" s="50"/>
      <c r="O299" s="52"/>
      <c r="P299" s="54"/>
      <c r="Q299" s="54"/>
      <c r="R299" s="52"/>
      <c r="S299" s="52"/>
      <c r="T299" s="52"/>
      <c r="U299" s="52"/>
      <c r="V299" s="52"/>
    </row>
    <row r="300" spans="1:22" ht="13.2" x14ac:dyDescent="0.25">
      <c r="A300" s="52"/>
      <c r="B300" s="52"/>
      <c r="C300" s="52"/>
      <c r="D300" s="52"/>
      <c r="E300" s="52"/>
      <c r="F300" s="50"/>
      <c r="G300" s="52"/>
      <c r="H300" s="52"/>
      <c r="I300" s="52"/>
      <c r="J300" s="51"/>
      <c r="K300" s="52"/>
      <c r="L300" s="52"/>
      <c r="M300" s="52"/>
      <c r="N300" s="50"/>
      <c r="O300" s="52"/>
      <c r="P300" s="54"/>
      <c r="Q300" s="54"/>
      <c r="R300" s="52"/>
      <c r="S300" s="52"/>
      <c r="T300" s="52"/>
      <c r="U300" s="52"/>
      <c r="V300" s="52"/>
    </row>
    <row r="301" spans="1:22" ht="13.2" x14ac:dyDescent="0.25">
      <c r="A301" s="52"/>
      <c r="B301" s="52"/>
      <c r="C301" s="52"/>
      <c r="D301" s="52"/>
      <c r="E301" s="52"/>
      <c r="F301" s="50"/>
      <c r="G301" s="52"/>
      <c r="H301" s="52"/>
      <c r="I301" s="52"/>
      <c r="J301" s="51"/>
      <c r="K301" s="52"/>
      <c r="L301" s="52"/>
      <c r="M301" s="52"/>
      <c r="N301" s="50"/>
      <c r="O301" s="52"/>
      <c r="P301" s="54"/>
      <c r="Q301" s="54"/>
      <c r="R301" s="52"/>
      <c r="S301" s="52"/>
      <c r="T301" s="52"/>
      <c r="U301" s="52"/>
      <c r="V301" s="52"/>
    </row>
    <row r="302" spans="1:22" ht="13.2" x14ac:dyDescent="0.25">
      <c r="A302" s="52"/>
      <c r="B302" s="52"/>
      <c r="C302" s="52"/>
      <c r="D302" s="52"/>
      <c r="E302" s="52"/>
      <c r="F302" s="50"/>
      <c r="G302" s="52"/>
      <c r="H302" s="52"/>
      <c r="I302" s="52"/>
      <c r="J302" s="51"/>
      <c r="K302" s="52"/>
      <c r="L302" s="52"/>
      <c r="M302" s="52"/>
      <c r="N302" s="50"/>
      <c r="O302" s="52"/>
      <c r="P302" s="54"/>
      <c r="Q302" s="54"/>
      <c r="R302" s="52"/>
      <c r="S302" s="52"/>
      <c r="T302" s="52"/>
      <c r="U302" s="52"/>
      <c r="V302" s="52"/>
    </row>
    <row r="303" spans="1:22" ht="13.2" x14ac:dyDescent="0.25">
      <c r="A303" s="52"/>
      <c r="B303" s="52"/>
      <c r="C303" s="52"/>
      <c r="D303" s="52"/>
      <c r="E303" s="52"/>
      <c r="F303" s="50"/>
      <c r="G303" s="52"/>
      <c r="H303" s="52"/>
      <c r="I303" s="52"/>
      <c r="J303" s="51"/>
      <c r="K303" s="52"/>
      <c r="L303" s="52"/>
      <c r="M303" s="52"/>
      <c r="N303" s="50"/>
      <c r="O303" s="52"/>
      <c r="P303" s="54"/>
      <c r="Q303" s="54"/>
      <c r="R303" s="52"/>
      <c r="S303" s="52"/>
      <c r="T303" s="52"/>
      <c r="U303" s="52"/>
      <c r="V303" s="52"/>
    </row>
    <row r="304" spans="1:22" ht="13.2" x14ac:dyDescent="0.25">
      <c r="A304" s="52"/>
      <c r="B304" s="52"/>
      <c r="C304" s="52"/>
      <c r="D304" s="52"/>
      <c r="E304" s="52"/>
      <c r="F304" s="50"/>
      <c r="G304" s="52"/>
      <c r="H304" s="52"/>
      <c r="I304" s="52"/>
      <c r="J304" s="51"/>
      <c r="K304" s="52"/>
      <c r="L304" s="52"/>
      <c r="M304" s="52"/>
      <c r="N304" s="50"/>
      <c r="O304" s="52"/>
      <c r="P304" s="54"/>
      <c r="Q304" s="54"/>
      <c r="R304" s="52"/>
      <c r="S304" s="52"/>
      <c r="T304" s="52"/>
      <c r="U304" s="52"/>
      <c r="V304" s="52"/>
    </row>
    <row r="305" spans="1:22" ht="13.2" x14ac:dyDescent="0.25">
      <c r="A305" s="52"/>
      <c r="B305" s="52"/>
      <c r="C305" s="52"/>
      <c r="D305" s="52"/>
      <c r="E305" s="52"/>
      <c r="F305" s="50"/>
      <c r="G305" s="52"/>
      <c r="H305" s="52"/>
      <c r="I305" s="52"/>
      <c r="J305" s="51"/>
      <c r="K305" s="52"/>
      <c r="L305" s="52"/>
      <c r="M305" s="52"/>
      <c r="N305" s="50"/>
      <c r="O305" s="52"/>
      <c r="P305" s="54"/>
      <c r="Q305" s="54"/>
      <c r="R305" s="52"/>
      <c r="S305" s="52"/>
      <c r="T305" s="52"/>
      <c r="U305" s="52"/>
      <c r="V305" s="52"/>
    </row>
    <row r="306" spans="1:22" ht="13.2" x14ac:dyDescent="0.25">
      <c r="A306" s="52"/>
      <c r="B306" s="52"/>
      <c r="C306" s="52"/>
      <c r="D306" s="52"/>
      <c r="E306" s="52"/>
      <c r="F306" s="50"/>
      <c r="G306" s="52"/>
      <c r="H306" s="52"/>
      <c r="I306" s="52"/>
      <c r="J306" s="51"/>
      <c r="K306" s="52"/>
      <c r="L306" s="52"/>
      <c r="M306" s="52"/>
      <c r="N306" s="50"/>
      <c r="O306" s="52"/>
      <c r="P306" s="54"/>
      <c r="Q306" s="54"/>
      <c r="R306" s="52"/>
      <c r="S306" s="52"/>
      <c r="T306" s="52"/>
      <c r="U306" s="52"/>
      <c r="V306" s="52"/>
    </row>
    <row r="307" spans="1:22" ht="13.2" x14ac:dyDescent="0.25">
      <c r="A307" s="52"/>
      <c r="B307" s="52"/>
      <c r="C307" s="52"/>
      <c r="D307" s="52"/>
      <c r="E307" s="52"/>
      <c r="F307" s="50"/>
      <c r="G307" s="52"/>
      <c r="H307" s="52"/>
      <c r="I307" s="52"/>
      <c r="J307" s="51"/>
      <c r="K307" s="52"/>
      <c r="L307" s="52"/>
      <c r="M307" s="52"/>
      <c r="N307" s="50"/>
      <c r="O307" s="52"/>
      <c r="P307" s="54"/>
      <c r="Q307" s="54"/>
      <c r="R307" s="52"/>
      <c r="S307" s="52"/>
      <c r="T307" s="52"/>
      <c r="U307" s="52"/>
      <c r="V307" s="52"/>
    </row>
    <row r="308" spans="1:22" ht="13.2" x14ac:dyDescent="0.25">
      <c r="A308" s="52"/>
      <c r="B308" s="52"/>
      <c r="C308" s="52"/>
      <c r="D308" s="52"/>
      <c r="E308" s="52"/>
      <c r="F308" s="50"/>
      <c r="G308" s="52"/>
      <c r="H308" s="52"/>
      <c r="I308" s="52"/>
      <c r="J308" s="51"/>
      <c r="K308" s="52"/>
      <c r="L308" s="52"/>
      <c r="M308" s="52"/>
      <c r="N308" s="50"/>
      <c r="O308" s="52"/>
      <c r="P308" s="54"/>
      <c r="Q308" s="54"/>
      <c r="R308" s="52"/>
      <c r="S308" s="52"/>
      <c r="T308" s="52"/>
      <c r="U308" s="52"/>
      <c r="V308" s="52"/>
    </row>
    <row r="309" spans="1:22" ht="13.2" x14ac:dyDescent="0.25">
      <c r="A309" s="52"/>
      <c r="B309" s="52"/>
      <c r="C309" s="52"/>
      <c r="D309" s="52"/>
      <c r="E309" s="52"/>
      <c r="F309" s="50"/>
      <c r="G309" s="52"/>
      <c r="H309" s="52"/>
      <c r="I309" s="52"/>
      <c r="J309" s="51"/>
      <c r="K309" s="52"/>
      <c r="L309" s="52"/>
      <c r="M309" s="52"/>
      <c r="N309" s="50"/>
      <c r="O309" s="52"/>
      <c r="P309" s="54"/>
      <c r="Q309" s="54"/>
      <c r="R309" s="52"/>
      <c r="S309" s="52"/>
      <c r="T309" s="52"/>
      <c r="U309" s="52"/>
      <c r="V309" s="52"/>
    </row>
    <row r="310" spans="1:22" ht="13.2" x14ac:dyDescent="0.25">
      <c r="A310" s="52"/>
      <c r="B310" s="52"/>
      <c r="C310" s="52"/>
      <c r="D310" s="52"/>
      <c r="E310" s="52"/>
      <c r="F310" s="50"/>
      <c r="G310" s="52"/>
      <c r="H310" s="52"/>
      <c r="I310" s="52"/>
      <c r="J310" s="51"/>
      <c r="K310" s="52"/>
      <c r="L310" s="52"/>
      <c r="M310" s="52"/>
      <c r="N310" s="50"/>
      <c r="O310" s="52"/>
      <c r="P310" s="54"/>
      <c r="Q310" s="54"/>
      <c r="R310" s="52"/>
      <c r="S310" s="52"/>
      <c r="T310" s="52"/>
      <c r="U310" s="52"/>
      <c r="V310" s="52"/>
    </row>
    <row r="311" spans="1:22" ht="13.2" x14ac:dyDescent="0.25">
      <c r="A311" s="52"/>
      <c r="B311" s="52"/>
      <c r="C311" s="52"/>
      <c r="D311" s="52"/>
      <c r="E311" s="52"/>
      <c r="F311" s="50"/>
      <c r="G311" s="52"/>
      <c r="H311" s="52"/>
      <c r="I311" s="52"/>
      <c r="J311" s="51"/>
      <c r="K311" s="52"/>
      <c r="L311" s="52"/>
      <c r="M311" s="52"/>
      <c r="N311" s="50"/>
      <c r="O311" s="52"/>
      <c r="P311" s="54"/>
      <c r="Q311" s="54"/>
      <c r="R311" s="52"/>
      <c r="S311" s="52"/>
      <c r="T311" s="52"/>
      <c r="U311" s="52"/>
      <c r="V311" s="52"/>
    </row>
    <row r="312" spans="1:22" ht="13.2" x14ac:dyDescent="0.25">
      <c r="A312" s="52"/>
      <c r="B312" s="52"/>
      <c r="C312" s="52"/>
      <c r="D312" s="52"/>
      <c r="E312" s="52"/>
      <c r="F312" s="50"/>
      <c r="G312" s="52"/>
      <c r="H312" s="52"/>
      <c r="I312" s="52"/>
      <c r="J312" s="51"/>
      <c r="K312" s="52"/>
      <c r="L312" s="52"/>
      <c r="M312" s="52"/>
      <c r="N312" s="50"/>
      <c r="O312" s="52"/>
      <c r="P312" s="54"/>
      <c r="Q312" s="54"/>
      <c r="R312" s="52"/>
      <c r="S312" s="52"/>
      <c r="T312" s="52"/>
      <c r="U312" s="52"/>
      <c r="V312" s="52"/>
    </row>
    <row r="313" spans="1:22" ht="13.2" x14ac:dyDescent="0.25">
      <c r="A313" s="52"/>
      <c r="B313" s="52"/>
      <c r="C313" s="52"/>
      <c r="D313" s="52"/>
      <c r="E313" s="52"/>
      <c r="F313" s="50"/>
      <c r="G313" s="52"/>
      <c r="H313" s="52"/>
      <c r="I313" s="52"/>
      <c r="J313" s="51"/>
      <c r="K313" s="52"/>
      <c r="L313" s="52"/>
      <c r="M313" s="52"/>
      <c r="N313" s="50"/>
      <c r="O313" s="52"/>
      <c r="P313" s="54"/>
      <c r="Q313" s="54"/>
      <c r="R313" s="52"/>
      <c r="S313" s="52"/>
      <c r="T313" s="52"/>
      <c r="U313" s="52"/>
      <c r="V313" s="52"/>
    </row>
    <row r="314" spans="1:22" ht="13.2" x14ac:dyDescent="0.25">
      <c r="A314" s="52"/>
      <c r="B314" s="52"/>
      <c r="C314" s="52"/>
      <c r="D314" s="52"/>
      <c r="E314" s="52"/>
      <c r="F314" s="50"/>
      <c r="G314" s="52"/>
      <c r="H314" s="52"/>
      <c r="I314" s="52"/>
      <c r="J314" s="51"/>
      <c r="K314" s="52"/>
      <c r="L314" s="52"/>
      <c r="M314" s="52"/>
      <c r="N314" s="50"/>
      <c r="O314" s="52"/>
      <c r="P314" s="54"/>
      <c r="Q314" s="54"/>
      <c r="R314" s="52"/>
      <c r="S314" s="52"/>
      <c r="T314" s="52"/>
      <c r="U314" s="52"/>
      <c r="V314" s="52"/>
    </row>
    <row r="315" spans="1:22" ht="13.2" x14ac:dyDescent="0.25">
      <c r="A315" s="52"/>
      <c r="B315" s="52"/>
      <c r="C315" s="52"/>
      <c r="D315" s="52"/>
      <c r="E315" s="52"/>
      <c r="F315" s="50"/>
      <c r="G315" s="52"/>
      <c r="H315" s="52"/>
      <c r="I315" s="52"/>
      <c r="J315" s="51"/>
      <c r="K315" s="52"/>
      <c r="L315" s="52"/>
      <c r="M315" s="52"/>
      <c r="N315" s="50"/>
      <c r="O315" s="52"/>
      <c r="P315" s="54"/>
      <c r="Q315" s="54"/>
      <c r="R315" s="52"/>
      <c r="S315" s="52"/>
      <c r="T315" s="52"/>
      <c r="U315" s="52"/>
      <c r="V315" s="52"/>
    </row>
    <row r="316" spans="1:22" ht="13.2" x14ac:dyDescent="0.25">
      <c r="A316" s="52"/>
      <c r="B316" s="52"/>
      <c r="C316" s="52"/>
      <c r="D316" s="52"/>
      <c r="E316" s="52"/>
      <c r="F316" s="50"/>
      <c r="G316" s="52"/>
      <c r="H316" s="52"/>
      <c r="I316" s="52"/>
      <c r="J316" s="51"/>
      <c r="K316" s="52"/>
      <c r="L316" s="52"/>
      <c r="M316" s="52"/>
      <c r="N316" s="50"/>
      <c r="O316" s="52"/>
      <c r="P316" s="54"/>
      <c r="Q316" s="54"/>
      <c r="R316" s="52"/>
      <c r="S316" s="52"/>
      <c r="T316" s="52"/>
      <c r="U316" s="52"/>
      <c r="V316" s="52"/>
    </row>
    <row r="317" spans="1:22" ht="13.2" x14ac:dyDescent="0.25">
      <c r="A317" s="52"/>
      <c r="B317" s="52"/>
      <c r="C317" s="52"/>
      <c r="D317" s="52"/>
      <c r="E317" s="52"/>
      <c r="F317" s="50"/>
      <c r="G317" s="52"/>
      <c r="H317" s="52"/>
      <c r="I317" s="52"/>
      <c r="J317" s="51"/>
      <c r="K317" s="52"/>
      <c r="L317" s="52"/>
      <c r="M317" s="52"/>
      <c r="N317" s="50"/>
      <c r="O317" s="52"/>
      <c r="P317" s="54"/>
      <c r="Q317" s="54"/>
      <c r="R317" s="52"/>
      <c r="S317" s="52"/>
      <c r="T317" s="52"/>
      <c r="U317" s="52"/>
      <c r="V317" s="52"/>
    </row>
    <row r="318" spans="1:22" ht="13.2" x14ac:dyDescent="0.25">
      <c r="A318" s="52"/>
      <c r="B318" s="52"/>
      <c r="C318" s="52"/>
      <c r="D318" s="52"/>
      <c r="E318" s="52"/>
      <c r="F318" s="50"/>
      <c r="G318" s="52"/>
      <c r="H318" s="52"/>
      <c r="I318" s="52"/>
      <c r="J318" s="51"/>
      <c r="K318" s="52"/>
      <c r="L318" s="52"/>
      <c r="M318" s="52"/>
      <c r="N318" s="50"/>
      <c r="O318" s="52"/>
      <c r="P318" s="54"/>
      <c r="Q318" s="54"/>
      <c r="R318" s="52"/>
      <c r="S318" s="52"/>
      <c r="T318" s="52"/>
      <c r="U318" s="52"/>
      <c r="V318" s="52"/>
    </row>
    <row r="319" spans="1:22" ht="13.2" x14ac:dyDescent="0.25">
      <c r="A319" s="52"/>
      <c r="B319" s="52"/>
      <c r="C319" s="52"/>
      <c r="D319" s="52"/>
      <c r="E319" s="52"/>
      <c r="F319" s="50"/>
      <c r="G319" s="52"/>
      <c r="H319" s="52"/>
      <c r="I319" s="52"/>
      <c r="J319" s="51"/>
      <c r="K319" s="52"/>
      <c r="L319" s="52"/>
      <c r="M319" s="52"/>
      <c r="N319" s="50"/>
      <c r="O319" s="52"/>
      <c r="P319" s="54"/>
      <c r="Q319" s="54"/>
      <c r="R319" s="52"/>
      <c r="S319" s="52"/>
      <c r="T319" s="52"/>
      <c r="U319" s="52"/>
      <c r="V319" s="52"/>
    </row>
    <row r="320" spans="1:22" ht="13.2" x14ac:dyDescent="0.25">
      <c r="A320" s="52"/>
      <c r="B320" s="52"/>
      <c r="C320" s="52"/>
      <c r="D320" s="52"/>
      <c r="E320" s="52"/>
      <c r="F320" s="50"/>
      <c r="G320" s="52"/>
      <c r="H320" s="52"/>
      <c r="I320" s="52"/>
      <c r="J320" s="51"/>
      <c r="K320" s="52"/>
      <c r="L320" s="52"/>
      <c r="M320" s="52"/>
      <c r="N320" s="50"/>
      <c r="O320" s="52"/>
      <c r="P320" s="54"/>
      <c r="Q320" s="54"/>
      <c r="R320" s="52"/>
      <c r="S320" s="52"/>
      <c r="T320" s="52"/>
      <c r="U320" s="52"/>
      <c r="V320" s="52"/>
    </row>
    <row r="321" spans="1:22" ht="13.2" x14ac:dyDescent="0.25">
      <c r="A321" s="52"/>
      <c r="B321" s="52"/>
      <c r="C321" s="52"/>
      <c r="D321" s="52"/>
      <c r="E321" s="52"/>
      <c r="F321" s="50"/>
      <c r="G321" s="52"/>
      <c r="H321" s="52"/>
      <c r="I321" s="52"/>
      <c r="J321" s="51"/>
      <c r="K321" s="52"/>
      <c r="L321" s="52"/>
      <c r="M321" s="52"/>
      <c r="N321" s="50"/>
      <c r="O321" s="52"/>
      <c r="P321" s="54"/>
      <c r="Q321" s="54"/>
      <c r="R321" s="52"/>
      <c r="S321" s="52"/>
      <c r="T321" s="52"/>
      <c r="U321" s="52"/>
      <c r="V321" s="52"/>
    </row>
    <row r="322" spans="1:22" ht="13.2" x14ac:dyDescent="0.25">
      <c r="A322" s="52"/>
      <c r="B322" s="52"/>
      <c r="C322" s="52"/>
      <c r="D322" s="52"/>
      <c r="E322" s="52"/>
      <c r="F322" s="50"/>
      <c r="G322" s="52"/>
      <c r="H322" s="52"/>
      <c r="I322" s="52"/>
      <c r="J322" s="51"/>
      <c r="K322" s="52"/>
      <c r="L322" s="52"/>
      <c r="M322" s="52"/>
      <c r="N322" s="50"/>
      <c r="O322" s="52"/>
      <c r="P322" s="54"/>
      <c r="Q322" s="54"/>
      <c r="R322" s="52"/>
      <c r="S322" s="52"/>
      <c r="T322" s="52"/>
      <c r="U322" s="52"/>
      <c r="V322" s="52"/>
    </row>
    <row r="323" spans="1:22" ht="13.2" x14ac:dyDescent="0.25">
      <c r="A323" s="52"/>
      <c r="B323" s="52"/>
      <c r="C323" s="52"/>
      <c r="D323" s="52"/>
      <c r="E323" s="52"/>
      <c r="F323" s="50"/>
      <c r="G323" s="52"/>
      <c r="H323" s="52"/>
      <c r="I323" s="52"/>
      <c r="J323" s="51"/>
      <c r="K323" s="52"/>
      <c r="L323" s="52"/>
      <c r="M323" s="52"/>
      <c r="N323" s="50"/>
      <c r="O323" s="52"/>
      <c r="P323" s="54"/>
      <c r="Q323" s="54"/>
      <c r="R323" s="52"/>
      <c r="S323" s="52"/>
      <c r="T323" s="52"/>
      <c r="U323" s="52"/>
      <c r="V323" s="52"/>
    </row>
    <row r="324" spans="1:22" ht="13.2" x14ac:dyDescent="0.25">
      <c r="A324" s="52"/>
      <c r="B324" s="52"/>
      <c r="C324" s="52"/>
      <c r="D324" s="52"/>
      <c r="E324" s="52"/>
      <c r="F324" s="50"/>
      <c r="G324" s="52"/>
      <c r="H324" s="52"/>
      <c r="I324" s="52"/>
      <c r="J324" s="51"/>
      <c r="K324" s="52"/>
      <c r="L324" s="52"/>
      <c r="M324" s="52"/>
      <c r="N324" s="50"/>
      <c r="O324" s="52"/>
      <c r="P324" s="54"/>
      <c r="Q324" s="54"/>
      <c r="R324" s="52"/>
      <c r="S324" s="52"/>
      <c r="T324" s="52"/>
      <c r="U324" s="52"/>
      <c r="V324" s="52"/>
    </row>
    <row r="325" spans="1:22" ht="13.2" x14ac:dyDescent="0.25">
      <c r="A325" s="52"/>
      <c r="B325" s="52"/>
      <c r="C325" s="52"/>
      <c r="D325" s="52"/>
      <c r="E325" s="52"/>
      <c r="F325" s="50"/>
      <c r="G325" s="52"/>
      <c r="H325" s="52"/>
      <c r="I325" s="52"/>
      <c r="J325" s="51"/>
      <c r="K325" s="52"/>
      <c r="L325" s="52"/>
      <c r="M325" s="52"/>
      <c r="N325" s="50"/>
      <c r="O325" s="52"/>
      <c r="P325" s="54"/>
      <c r="Q325" s="54"/>
      <c r="R325" s="52"/>
      <c r="S325" s="52"/>
      <c r="T325" s="52"/>
      <c r="U325" s="52"/>
      <c r="V325" s="52"/>
    </row>
    <row r="326" spans="1:22" ht="13.2" x14ac:dyDescent="0.25">
      <c r="A326" s="52"/>
      <c r="B326" s="52"/>
      <c r="C326" s="52"/>
      <c r="D326" s="52"/>
      <c r="E326" s="52"/>
      <c r="F326" s="50"/>
      <c r="G326" s="52"/>
      <c r="H326" s="52"/>
      <c r="I326" s="52"/>
      <c r="J326" s="51"/>
      <c r="K326" s="52"/>
      <c r="L326" s="52"/>
      <c r="M326" s="52"/>
      <c r="N326" s="50"/>
      <c r="O326" s="52"/>
      <c r="P326" s="54"/>
      <c r="Q326" s="54"/>
      <c r="R326" s="52"/>
      <c r="S326" s="52"/>
      <c r="T326" s="52"/>
      <c r="U326" s="52"/>
      <c r="V326" s="52"/>
    </row>
    <row r="327" spans="1:22" ht="13.2" x14ac:dyDescent="0.25">
      <c r="A327" s="52"/>
      <c r="B327" s="52"/>
      <c r="C327" s="52"/>
      <c r="D327" s="52"/>
      <c r="E327" s="52"/>
      <c r="F327" s="50"/>
      <c r="G327" s="52"/>
      <c r="H327" s="52"/>
      <c r="I327" s="52"/>
      <c r="J327" s="51"/>
      <c r="K327" s="52"/>
      <c r="L327" s="52"/>
      <c r="M327" s="52"/>
      <c r="N327" s="50"/>
      <c r="O327" s="52"/>
      <c r="P327" s="54"/>
      <c r="Q327" s="54"/>
      <c r="R327" s="52"/>
      <c r="S327" s="52"/>
      <c r="T327" s="52"/>
      <c r="U327" s="52"/>
      <c r="V327" s="52"/>
    </row>
    <row r="328" spans="1:22" ht="13.2" x14ac:dyDescent="0.25">
      <c r="A328" s="52"/>
      <c r="B328" s="52"/>
      <c r="C328" s="52"/>
      <c r="D328" s="52"/>
      <c r="E328" s="52"/>
      <c r="F328" s="50"/>
      <c r="G328" s="52"/>
      <c r="H328" s="52"/>
      <c r="I328" s="52"/>
      <c r="J328" s="51"/>
      <c r="K328" s="52"/>
      <c r="L328" s="52"/>
      <c r="M328" s="52"/>
      <c r="N328" s="50"/>
      <c r="O328" s="52"/>
      <c r="P328" s="54"/>
      <c r="Q328" s="54"/>
      <c r="R328" s="52"/>
      <c r="S328" s="52"/>
      <c r="T328" s="52"/>
      <c r="U328" s="52"/>
      <c r="V328" s="52"/>
    </row>
    <row r="329" spans="1:22" ht="13.2" x14ac:dyDescent="0.25">
      <c r="A329" s="52"/>
      <c r="B329" s="52"/>
      <c r="C329" s="52"/>
      <c r="D329" s="52"/>
      <c r="E329" s="52"/>
      <c r="F329" s="50"/>
      <c r="G329" s="52"/>
      <c r="H329" s="52"/>
      <c r="I329" s="52"/>
      <c r="J329" s="51"/>
      <c r="K329" s="52"/>
      <c r="L329" s="52"/>
      <c r="M329" s="52"/>
      <c r="N329" s="50"/>
      <c r="O329" s="52"/>
      <c r="P329" s="54"/>
      <c r="Q329" s="54"/>
      <c r="R329" s="52"/>
      <c r="S329" s="52"/>
      <c r="T329" s="52"/>
      <c r="U329" s="52"/>
      <c r="V329" s="52"/>
    </row>
    <row r="330" spans="1:22" ht="13.2" x14ac:dyDescent="0.25">
      <c r="A330" s="52"/>
      <c r="B330" s="52"/>
      <c r="C330" s="52"/>
      <c r="D330" s="52"/>
      <c r="E330" s="52"/>
      <c r="F330" s="50"/>
      <c r="G330" s="52"/>
      <c r="H330" s="52"/>
      <c r="I330" s="52"/>
      <c r="J330" s="51"/>
      <c r="K330" s="52"/>
      <c r="L330" s="52"/>
      <c r="M330" s="52"/>
      <c r="N330" s="50"/>
      <c r="O330" s="52"/>
      <c r="P330" s="54"/>
      <c r="Q330" s="54"/>
      <c r="R330" s="52"/>
      <c r="S330" s="52"/>
      <c r="T330" s="52"/>
      <c r="U330" s="52"/>
      <c r="V330" s="52"/>
    </row>
    <row r="331" spans="1:22" ht="13.2" x14ac:dyDescent="0.25">
      <c r="A331" s="52"/>
      <c r="B331" s="52"/>
      <c r="C331" s="52"/>
      <c r="D331" s="52"/>
      <c r="E331" s="52"/>
      <c r="F331" s="50"/>
      <c r="G331" s="52"/>
      <c r="H331" s="52"/>
      <c r="I331" s="52"/>
      <c r="J331" s="51"/>
      <c r="K331" s="52"/>
      <c r="L331" s="52"/>
      <c r="M331" s="52"/>
      <c r="N331" s="50"/>
      <c r="O331" s="52"/>
      <c r="P331" s="54"/>
      <c r="Q331" s="54"/>
      <c r="R331" s="52"/>
      <c r="S331" s="52"/>
      <c r="T331" s="52"/>
      <c r="U331" s="52"/>
      <c r="V331" s="52"/>
    </row>
    <row r="332" spans="1:22" ht="13.2" x14ac:dyDescent="0.25">
      <c r="A332" s="52"/>
      <c r="B332" s="52"/>
      <c r="C332" s="52"/>
      <c r="D332" s="52"/>
      <c r="E332" s="52"/>
      <c r="F332" s="50"/>
      <c r="G332" s="52"/>
      <c r="H332" s="52"/>
      <c r="I332" s="52"/>
      <c r="J332" s="51"/>
      <c r="K332" s="52"/>
      <c r="L332" s="52"/>
      <c r="M332" s="52"/>
      <c r="N332" s="50"/>
      <c r="O332" s="52"/>
      <c r="P332" s="54"/>
      <c r="Q332" s="54"/>
      <c r="R332" s="52"/>
      <c r="S332" s="52"/>
      <c r="T332" s="52"/>
      <c r="U332" s="52"/>
      <c r="V332" s="52"/>
    </row>
    <row r="333" spans="1:22" ht="13.2" x14ac:dyDescent="0.25">
      <c r="A333" s="52"/>
      <c r="B333" s="52"/>
      <c r="C333" s="52"/>
      <c r="D333" s="52"/>
      <c r="E333" s="52"/>
      <c r="F333" s="50"/>
      <c r="G333" s="52"/>
      <c r="H333" s="52"/>
      <c r="I333" s="52"/>
      <c r="J333" s="51"/>
      <c r="K333" s="52"/>
      <c r="L333" s="52"/>
      <c r="M333" s="52"/>
      <c r="N333" s="50"/>
      <c r="O333" s="52"/>
      <c r="P333" s="54"/>
      <c r="Q333" s="54"/>
      <c r="R333" s="52"/>
      <c r="S333" s="52"/>
      <c r="T333" s="52"/>
      <c r="U333" s="52"/>
      <c r="V333" s="52"/>
    </row>
    <row r="334" spans="1:22" ht="13.2" x14ac:dyDescent="0.25">
      <c r="A334" s="52"/>
      <c r="B334" s="52"/>
      <c r="C334" s="52"/>
      <c r="D334" s="52"/>
      <c r="E334" s="52"/>
      <c r="F334" s="50"/>
      <c r="G334" s="52"/>
      <c r="H334" s="52"/>
      <c r="I334" s="52"/>
      <c r="J334" s="51"/>
      <c r="K334" s="52"/>
      <c r="L334" s="52"/>
      <c r="M334" s="52"/>
      <c r="N334" s="50"/>
      <c r="O334" s="52"/>
      <c r="P334" s="54"/>
      <c r="Q334" s="54"/>
      <c r="R334" s="52"/>
      <c r="S334" s="52"/>
      <c r="T334" s="52"/>
      <c r="U334" s="52"/>
      <c r="V334" s="52"/>
    </row>
    <row r="335" spans="1:22" ht="13.2" x14ac:dyDescent="0.25">
      <c r="A335" s="52"/>
      <c r="B335" s="52"/>
      <c r="C335" s="52"/>
      <c r="D335" s="52"/>
      <c r="E335" s="52"/>
      <c r="F335" s="50"/>
      <c r="G335" s="52"/>
      <c r="H335" s="52"/>
      <c r="I335" s="52"/>
      <c r="J335" s="51"/>
      <c r="K335" s="52"/>
      <c r="L335" s="52"/>
      <c r="M335" s="52"/>
      <c r="N335" s="50"/>
      <c r="O335" s="52"/>
      <c r="P335" s="54"/>
      <c r="Q335" s="54"/>
      <c r="R335" s="52"/>
      <c r="S335" s="52"/>
      <c r="T335" s="52"/>
      <c r="U335" s="52"/>
      <c r="V335" s="52"/>
    </row>
    <row r="336" spans="1:22" ht="13.2" x14ac:dyDescent="0.25">
      <c r="A336" s="52"/>
      <c r="B336" s="52"/>
      <c r="C336" s="52"/>
      <c r="D336" s="52"/>
      <c r="E336" s="52"/>
      <c r="F336" s="50"/>
      <c r="G336" s="52"/>
      <c r="H336" s="52"/>
      <c r="I336" s="52"/>
      <c r="J336" s="51"/>
      <c r="K336" s="52"/>
      <c r="L336" s="52"/>
      <c r="M336" s="52"/>
      <c r="N336" s="50"/>
      <c r="O336" s="52"/>
      <c r="P336" s="54"/>
      <c r="Q336" s="54"/>
      <c r="R336" s="52"/>
      <c r="S336" s="52"/>
      <c r="T336" s="52"/>
      <c r="U336" s="52"/>
      <c r="V336" s="52"/>
    </row>
    <row r="337" spans="1:22" ht="13.2" x14ac:dyDescent="0.25">
      <c r="A337" s="52"/>
      <c r="B337" s="52"/>
      <c r="C337" s="52"/>
      <c r="D337" s="52"/>
      <c r="E337" s="52"/>
      <c r="F337" s="50"/>
      <c r="G337" s="52"/>
      <c r="H337" s="52"/>
      <c r="I337" s="52"/>
      <c r="J337" s="51"/>
      <c r="K337" s="52"/>
      <c r="L337" s="52"/>
      <c r="M337" s="52"/>
      <c r="N337" s="50"/>
      <c r="O337" s="52"/>
      <c r="P337" s="54"/>
      <c r="Q337" s="54"/>
      <c r="R337" s="52"/>
      <c r="S337" s="52"/>
      <c r="T337" s="52"/>
      <c r="U337" s="52"/>
      <c r="V337" s="52"/>
    </row>
    <row r="338" spans="1:22" ht="13.2" x14ac:dyDescent="0.25">
      <c r="A338" s="52"/>
      <c r="B338" s="52"/>
      <c r="C338" s="52"/>
      <c r="D338" s="52"/>
      <c r="E338" s="52"/>
      <c r="F338" s="50"/>
      <c r="G338" s="52"/>
      <c r="H338" s="52"/>
      <c r="I338" s="52"/>
      <c r="J338" s="51"/>
      <c r="K338" s="52"/>
      <c r="L338" s="52"/>
      <c r="M338" s="52"/>
      <c r="N338" s="50"/>
      <c r="O338" s="52"/>
      <c r="P338" s="54"/>
      <c r="Q338" s="54"/>
      <c r="R338" s="52"/>
      <c r="S338" s="52"/>
      <c r="T338" s="52"/>
      <c r="U338" s="52"/>
      <c r="V338" s="52"/>
    </row>
    <row r="339" spans="1:22" ht="13.2" x14ac:dyDescent="0.25">
      <c r="A339" s="52"/>
      <c r="B339" s="52"/>
      <c r="C339" s="52"/>
      <c r="D339" s="52"/>
      <c r="E339" s="52"/>
      <c r="F339" s="50"/>
      <c r="G339" s="52"/>
      <c r="H339" s="52"/>
      <c r="I339" s="52"/>
      <c r="J339" s="51"/>
      <c r="K339" s="52"/>
      <c r="L339" s="52"/>
      <c r="M339" s="52"/>
      <c r="N339" s="50"/>
      <c r="O339" s="52"/>
      <c r="P339" s="54"/>
      <c r="Q339" s="54"/>
      <c r="R339" s="52"/>
      <c r="S339" s="52"/>
      <c r="T339" s="52"/>
      <c r="U339" s="52"/>
      <c r="V339" s="52"/>
    </row>
    <row r="340" spans="1:22" ht="13.2" x14ac:dyDescent="0.25">
      <c r="A340" s="52"/>
      <c r="B340" s="52"/>
      <c r="C340" s="52"/>
      <c r="D340" s="52"/>
      <c r="E340" s="52"/>
      <c r="F340" s="50"/>
      <c r="G340" s="52"/>
      <c r="H340" s="52"/>
      <c r="I340" s="52"/>
      <c r="J340" s="51"/>
      <c r="K340" s="52"/>
      <c r="L340" s="52"/>
      <c r="M340" s="52"/>
      <c r="N340" s="50"/>
      <c r="O340" s="52"/>
      <c r="P340" s="54"/>
      <c r="Q340" s="54"/>
      <c r="R340" s="52"/>
      <c r="S340" s="52"/>
      <c r="T340" s="52"/>
      <c r="U340" s="52"/>
      <c r="V340" s="52"/>
    </row>
    <row r="341" spans="1:22" ht="13.2" x14ac:dyDescent="0.25">
      <c r="A341" s="52"/>
      <c r="B341" s="52"/>
      <c r="C341" s="52"/>
      <c r="D341" s="52"/>
      <c r="E341" s="52"/>
      <c r="F341" s="50"/>
      <c r="G341" s="52"/>
      <c r="H341" s="52"/>
      <c r="I341" s="52"/>
      <c r="J341" s="51"/>
      <c r="K341" s="52"/>
      <c r="L341" s="52"/>
      <c r="M341" s="52"/>
      <c r="N341" s="50"/>
      <c r="O341" s="52"/>
      <c r="P341" s="54"/>
      <c r="Q341" s="54"/>
      <c r="R341" s="52"/>
      <c r="S341" s="52"/>
      <c r="T341" s="52"/>
      <c r="U341" s="52"/>
      <c r="V341" s="52"/>
    </row>
    <row r="342" spans="1:22" ht="13.2" x14ac:dyDescent="0.25">
      <c r="A342" s="52"/>
      <c r="B342" s="52"/>
      <c r="C342" s="52"/>
      <c r="D342" s="52"/>
      <c r="E342" s="52"/>
      <c r="F342" s="50"/>
      <c r="G342" s="52"/>
      <c r="H342" s="52"/>
      <c r="I342" s="52"/>
      <c r="J342" s="51"/>
      <c r="K342" s="52"/>
      <c r="L342" s="52"/>
      <c r="M342" s="52"/>
      <c r="N342" s="50"/>
      <c r="O342" s="52"/>
      <c r="P342" s="54"/>
      <c r="Q342" s="54"/>
      <c r="R342" s="52"/>
      <c r="S342" s="52"/>
      <c r="T342" s="52"/>
      <c r="U342" s="52"/>
      <c r="V342" s="52"/>
    </row>
    <row r="343" spans="1:22" ht="13.2" x14ac:dyDescent="0.25">
      <c r="A343" s="52"/>
      <c r="B343" s="52"/>
      <c r="C343" s="52"/>
      <c r="D343" s="52"/>
      <c r="E343" s="52"/>
      <c r="F343" s="50"/>
      <c r="G343" s="52"/>
      <c r="H343" s="52"/>
      <c r="I343" s="52"/>
      <c r="J343" s="51"/>
      <c r="K343" s="52"/>
      <c r="L343" s="52"/>
      <c r="M343" s="52"/>
      <c r="N343" s="50"/>
      <c r="O343" s="52"/>
      <c r="P343" s="54"/>
      <c r="Q343" s="54"/>
      <c r="R343" s="52"/>
      <c r="S343" s="52"/>
      <c r="T343" s="52"/>
      <c r="U343" s="52"/>
      <c r="V343" s="52"/>
    </row>
    <row r="344" spans="1:22" ht="13.2" x14ac:dyDescent="0.25">
      <c r="A344" s="52"/>
      <c r="B344" s="52"/>
      <c r="C344" s="52"/>
      <c r="D344" s="52"/>
      <c r="E344" s="52"/>
      <c r="F344" s="50"/>
      <c r="G344" s="52"/>
      <c r="H344" s="52"/>
      <c r="I344" s="52"/>
      <c r="J344" s="51"/>
      <c r="K344" s="52"/>
      <c r="L344" s="52"/>
      <c r="M344" s="52"/>
      <c r="N344" s="50"/>
      <c r="O344" s="52"/>
      <c r="P344" s="54"/>
      <c r="Q344" s="54"/>
      <c r="R344" s="52"/>
      <c r="S344" s="52"/>
      <c r="T344" s="52"/>
      <c r="U344" s="52"/>
      <c r="V344" s="52"/>
    </row>
    <row r="345" spans="1:22" ht="13.2" x14ac:dyDescent="0.25">
      <c r="A345" s="52"/>
      <c r="B345" s="52"/>
      <c r="C345" s="52"/>
      <c r="D345" s="52"/>
      <c r="E345" s="52"/>
      <c r="F345" s="50"/>
      <c r="G345" s="52"/>
      <c r="H345" s="52"/>
      <c r="I345" s="52"/>
      <c r="J345" s="51"/>
      <c r="K345" s="52"/>
      <c r="L345" s="52"/>
      <c r="M345" s="52"/>
      <c r="N345" s="50"/>
      <c r="O345" s="52"/>
      <c r="P345" s="54"/>
      <c r="Q345" s="54"/>
      <c r="R345" s="52"/>
      <c r="S345" s="52"/>
      <c r="T345" s="52"/>
      <c r="U345" s="52"/>
      <c r="V345" s="52"/>
    </row>
    <row r="346" spans="1:22" ht="13.2" x14ac:dyDescent="0.25">
      <c r="A346" s="52"/>
      <c r="B346" s="52"/>
      <c r="C346" s="52"/>
      <c r="D346" s="52"/>
      <c r="E346" s="52"/>
      <c r="F346" s="50"/>
      <c r="G346" s="52"/>
      <c r="H346" s="52"/>
      <c r="I346" s="52"/>
      <c r="J346" s="51"/>
      <c r="K346" s="52"/>
      <c r="L346" s="52"/>
      <c r="M346" s="52"/>
      <c r="N346" s="50"/>
      <c r="O346" s="52"/>
      <c r="P346" s="54"/>
      <c r="Q346" s="54"/>
      <c r="R346" s="52"/>
      <c r="S346" s="52"/>
      <c r="T346" s="52"/>
      <c r="U346" s="52"/>
      <c r="V346" s="52"/>
    </row>
    <row r="347" spans="1:22" ht="13.2" x14ac:dyDescent="0.25">
      <c r="A347" s="52"/>
      <c r="B347" s="52"/>
      <c r="C347" s="52"/>
      <c r="D347" s="52"/>
      <c r="E347" s="52"/>
      <c r="F347" s="50"/>
      <c r="G347" s="52"/>
      <c r="H347" s="52"/>
      <c r="I347" s="52"/>
      <c r="J347" s="51"/>
      <c r="K347" s="52"/>
      <c r="L347" s="52"/>
      <c r="M347" s="52"/>
      <c r="N347" s="50"/>
      <c r="O347" s="52"/>
      <c r="P347" s="54"/>
      <c r="Q347" s="54"/>
      <c r="R347" s="52"/>
      <c r="S347" s="52"/>
      <c r="T347" s="52"/>
      <c r="U347" s="52"/>
      <c r="V347" s="52"/>
    </row>
    <row r="348" spans="1:22" ht="13.2" x14ac:dyDescent="0.25">
      <c r="A348" s="52"/>
      <c r="B348" s="52"/>
      <c r="C348" s="52"/>
      <c r="D348" s="52"/>
      <c r="E348" s="52"/>
      <c r="F348" s="50"/>
      <c r="G348" s="52"/>
      <c r="H348" s="52"/>
      <c r="I348" s="52"/>
      <c r="J348" s="51"/>
      <c r="K348" s="52"/>
      <c r="L348" s="52"/>
      <c r="M348" s="52"/>
      <c r="N348" s="50"/>
      <c r="O348" s="52"/>
      <c r="P348" s="54"/>
      <c r="Q348" s="54"/>
      <c r="R348" s="52"/>
      <c r="S348" s="52"/>
      <c r="T348" s="52"/>
      <c r="U348" s="52"/>
      <c r="V348" s="52"/>
    </row>
    <row r="349" spans="1:22" ht="13.2" x14ac:dyDescent="0.25">
      <c r="A349" s="52"/>
      <c r="B349" s="52"/>
      <c r="C349" s="52"/>
      <c r="D349" s="52"/>
      <c r="E349" s="52"/>
      <c r="F349" s="50"/>
      <c r="G349" s="52"/>
      <c r="H349" s="52"/>
      <c r="I349" s="52"/>
      <c r="J349" s="51"/>
      <c r="K349" s="52"/>
      <c r="L349" s="52"/>
      <c r="M349" s="52"/>
      <c r="N349" s="50"/>
      <c r="O349" s="52"/>
      <c r="P349" s="54"/>
      <c r="Q349" s="54"/>
      <c r="R349" s="52"/>
      <c r="S349" s="52"/>
      <c r="T349" s="52"/>
      <c r="U349" s="52"/>
      <c r="V349" s="52"/>
    </row>
    <row r="350" spans="1:22" ht="13.2" x14ac:dyDescent="0.25">
      <c r="A350" s="52"/>
      <c r="B350" s="52"/>
      <c r="C350" s="52"/>
      <c r="D350" s="52"/>
      <c r="E350" s="52"/>
      <c r="F350" s="50"/>
      <c r="G350" s="52"/>
      <c r="H350" s="52"/>
      <c r="I350" s="52"/>
      <c r="J350" s="51"/>
      <c r="K350" s="52"/>
      <c r="L350" s="52"/>
      <c r="M350" s="52"/>
      <c r="N350" s="50"/>
      <c r="O350" s="52"/>
      <c r="P350" s="54"/>
      <c r="Q350" s="54"/>
      <c r="R350" s="52"/>
      <c r="S350" s="52"/>
      <c r="T350" s="52"/>
      <c r="U350" s="52"/>
      <c r="V350" s="52"/>
    </row>
    <row r="351" spans="1:22" ht="13.2" x14ac:dyDescent="0.25">
      <c r="A351" s="52"/>
      <c r="B351" s="52"/>
      <c r="C351" s="52"/>
      <c r="D351" s="52"/>
      <c r="E351" s="52"/>
      <c r="F351" s="50"/>
      <c r="G351" s="52"/>
      <c r="H351" s="52"/>
      <c r="I351" s="52"/>
      <c r="J351" s="51"/>
      <c r="K351" s="52"/>
      <c r="L351" s="52"/>
      <c r="M351" s="52"/>
      <c r="N351" s="50"/>
      <c r="O351" s="52"/>
      <c r="P351" s="54"/>
      <c r="Q351" s="54"/>
      <c r="R351" s="52"/>
      <c r="S351" s="52"/>
      <c r="T351" s="52"/>
      <c r="U351" s="52"/>
      <c r="V351" s="52"/>
    </row>
    <row r="352" spans="1:22" ht="13.2" x14ac:dyDescent="0.25">
      <c r="A352" s="52"/>
      <c r="B352" s="52"/>
      <c r="C352" s="52"/>
      <c r="D352" s="52"/>
      <c r="E352" s="52"/>
      <c r="F352" s="50"/>
      <c r="G352" s="52"/>
      <c r="H352" s="52"/>
      <c r="I352" s="52"/>
      <c r="J352" s="51"/>
      <c r="K352" s="52"/>
      <c r="L352" s="52"/>
      <c r="M352" s="52"/>
      <c r="N352" s="50"/>
      <c r="O352" s="52"/>
      <c r="P352" s="54"/>
      <c r="Q352" s="54"/>
      <c r="R352" s="52"/>
      <c r="S352" s="52"/>
      <c r="T352" s="52"/>
      <c r="U352" s="52"/>
      <c r="V352" s="52"/>
    </row>
    <row r="353" spans="1:22" ht="13.2" x14ac:dyDescent="0.25">
      <c r="A353" s="52"/>
      <c r="B353" s="52"/>
      <c r="C353" s="52"/>
      <c r="D353" s="52"/>
      <c r="E353" s="52"/>
      <c r="F353" s="50"/>
      <c r="G353" s="52"/>
      <c r="H353" s="52"/>
      <c r="I353" s="52"/>
      <c r="J353" s="51"/>
      <c r="K353" s="52"/>
      <c r="L353" s="52"/>
      <c r="M353" s="52"/>
      <c r="N353" s="50"/>
      <c r="O353" s="52"/>
      <c r="P353" s="54"/>
      <c r="Q353" s="54"/>
      <c r="R353" s="52"/>
      <c r="S353" s="52"/>
      <c r="T353" s="52"/>
      <c r="U353" s="52"/>
      <c r="V353" s="52"/>
    </row>
    <row r="354" spans="1:22" ht="13.2" x14ac:dyDescent="0.25">
      <c r="A354" s="52"/>
      <c r="B354" s="52"/>
      <c r="C354" s="52"/>
      <c r="D354" s="52"/>
      <c r="E354" s="52"/>
      <c r="F354" s="50"/>
      <c r="G354" s="52"/>
      <c r="H354" s="52"/>
      <c r="I354" s="52"/>
      <c r="J354" s="51"/>
      <c r="K354" s="52"/>
      <c r="L354" s="52"/>
      <c r="M354" s="52"/>
      <c r="N354" s="50"/>
      <c r="O354" s="52"/>
      <c r="P354" s="54"/>
      <c r="Q354" s="54"/>
      <c r="R354" s="52"/>
      <c r="S354" s="52"/>
      <c r="T354" s="52"/>
      <c r="U354" s="52"/>
      <c r="V354" s="52"/>
    </row>
    <row r="355" spans="1:22" ht="13.2" x14ac:dyDescent="0.25">
      <c r="A355" s="52"/>
      <c r="B355" s="52"/>
      <c r="C355" s="52"/>
      <c r="D355" s="52"/>
      <c r="E355" s="52"/>
      <c r="F355" s="50"/>
      <c r="G355" s="52"/>
      <c r="H355" s="52"/>
      <c r="I355" s="52"/>
      <c r="J355" s="51"/>
      <c r="K355" s="52"/>
      <c r="L355" s="52"/>
      <c r="M355" s="52"/>
      <c r="N355" s="50"/>
      <c r="O355" s="52"/>
      <c r="P355" s="54"/>
      <c r="Q355" s="54"/>
      <c r="R355" s="52"/>
      <c r="S355" s="52"/>
      <c r="T355" s="52"/>
      <c r="U355" s="52"/>
      <c r="V355" s="52"/>
    </row>
    <row r="356" spans="1:22" ht="13.2" x14ac:dyDescent="0.25">
      <c r="A356" s="52"/>
      <c r="B356" s="52"/>
      <c r="C356" s="52"/>
      <c r="D356" s="52"/>
      <c r="E356" s="52"/>
      <c r="F356" s="50"/>
      <c r="G356" s="52"/>
      <c r="H356" s="52"/>
      <c r="I356" s="52"/>
      <c r="J356" s="51"/>
      <c r="K356" s="52"/>
      <c r="L356" s="52"/>
      <c r="M356" s="52"/>
      <c r="N356" s="50"/>
      <c r="O356" s="52"/>
      <c r="P356" s="54"/>
      <c r="Q356" s="54"/>
      <c r="R356" s="52"/>
      <c r="S356" s="52"/>
      <c r="T356" s="52"/>
      <c r="U356" s="52"/>
      <c r="V356" s="52"/>
    </row>
    <row r="357" spans="1:22" ht="13.2" x14ac:dyDescent="0.25">
      <c r="A357" s="52"/>
      <c r="B357" s="52"/>
      <c r="C357" s="52"/>
      <c r="D357" s="52"/>
      <c r="E357" s="52"/>
      <c r="F357" s="50"/>
      <c r="G357" s="52"/>
      <c r="H357" s="52"/>
      <c r="I357" s="52"/>
      <c r="J357" s="51"/>
      <c r="K357" s="52"/>
      <c r="L357" s="52"/>
      <c r="M357" s="52"/>
      <c r="N357" s="50"/>
      <c r="O357" s="52"/>
      <c r="P357" s="54"/>
      <c r="Q357" s="54"/>
      <c r="R357" s="52"/>
      <c r="S357" s="52"/>
      <c r="T357" s="52"/>
      <c r="U357" s="52"/>
      <c r="V357" s="52"/>
    </row>
    <row r="358" spans="1:22" ht="13.2" x14ac:dyDescent="0.25">
      <c r="A358" s="52"/>
      <c r="B358" s="52"/>
      <c r="C358" s="52"/>
      <c r="D358" s="52"/>
      <c r="E358" s="52"/>
      <c r="F358" s="50"/>
      <c r="G358" s="52"/>
      <c r="H358" s="52"/>
      <c r="I358" s="52"/>
      <c r="J358" s="51"/>
      <c r="K358" s="52"/>
      <c r="L358" s="52"/>
      <c r="M358" s="52"/>
      <c r="N358" s="50"/>
      <c r="O358" s="52"/>
      <c r="P358" s="54"/>
      <c r="Q358" s="54"/>
      <c r="R358" s="52"/>
      <c r="S358" s="52"/>
      <c r="T358" s="52"/>
      <c r="U358" s="52"/>
      <c r="V358" s="52"/>
    </row>
    <row r="359" spans="1:22" ht="13.2" x14ac:dyDescent="0.25">
      <c r="A359" s="52"/>
      <c r="B359" s="52"/>
      <c r="C359" s="52"/>
      <c r="D359" s="52"/>
      <c r="E359" s="52"/>
      <c r="F359" s="50"/>
      <c r="G359" s="52"/>
      <c r="H359" s="52"/>
      <c r="I359" s="52"/>
      <c r="J359" s="51"/>
      <c r="K359" s="52"/>
      <c r="L359" s="52"/>
      <c r="M359" s="52"/>
      <c r="N359" s="50"/>
      <c r="O359" s="52"/>
      <c r="P359" s="54"/>
      <c r="Q359" s="54"/>
      <c r="R359" s="52"/>
      <c r="S359" s="52"/>
      <c r="T359" s="52"/>
      <c r="U359" s="52"/>
      <c r="V359" s="52"/>
    </row>
    <row r="360" spans="1:22" ht="13.2" x14ac:dyDescent="0.25">
      <c r="A360" s="52"/>
      <c r="B360" s="52"/>
      <c r="C360" s="52"/>
      <c r="D360" s="52"/>
      <c r="E360" s="52"/>
      <c r="F360" s="50"/>
      <c r="G360" s="52"/>
      <c r="H360" s="52"/>
      <c r="I360" s="52"/>
      <c r="J360" s="51"/>
      <c r="K360" s="52"/>
      <c r="L360" s="52"/>
      <c r="M360" s="52"/>
      <c r="N360" s="50"/>
      <c r="O360" s="52"/>
      <c r="P360" s="54"/>
      <c r="Q360" s="54"/>
      <c r="R360" s="52"/>
      <c r="S360" s="52"/>
      <c r="T360" s="52"/>
      <c r="U360" s="52"/>
      <c r="V360" s="52"/>
    </row>
    <row r="361" spans="1:22" ht="13.2" x14ac:dyDescent="0.25">
      <c r="A361" s="52"/>
      <c r="B361" s="52"/>
      <c r="C361" s="52"/>
      <c r="D361" s="52"/>
      <c r="E361" s="52"/>
      <c r="F361" s="50"/>
      <c r="G361" s="52"/>
      <c r="H361" s="52"/>
      <c r="I361" s="52"/>
      <c r="J361" s="51"/>
      <c r="K361" s="52"/>
      <c r="L361" s="52"/>
      <c r="M361" s="52"/>
      <c r="N361" s="50"/>
      <c r="O361" s="52"/>
      <c r="P361" s="54"/>
      <c r="Q361" s="54"/>
      <c r="R361" s="52"/>
      <c r="S361" s="52"/>
      <c r="T361" s="52"/>
      <c r="U361" s="52"/>
      <c r="V361" s="52"/>
    </row>
    <row r="362" spans="1:22" ht="13.2" x14ac:dyDescent="0.25">
      <c r="A362" s="52"/>
      <c r="B362" s="52"/>
      <c r="C362" s="52"/>
      <c r="D362" s="52"/>
      <c r="E362" s="52"/>
      <c r="F362" s="50"/>
      <c r="G362" s="52"/>
      <c r="H362" s="52"/>
      <c r="I362" s="52"/>
      <c r="J362" s="51"/>
      <c r="K362" s="52"/>
      <c r="L362" s="52"/>
      <c r="M362" s="52"/>
      <c r="N362" s="50"/>
      <c r="O362" s="52"/>
      <c r="P362" s="54"/>
      <c r="Q362" s="54"/>
      <c r="R362" s="52"/>
      <c r="S362" s="52"/>
      <c r="T362" s="52"/>
      <c r="U362" s="52"/>
      <c r="V362" s="52"/>
    </row>
    <row r="363" spans="1:22" ht="13.2" x14ac:dyDescent="0.25">
      <c r="A363" s="52"/>
      <c r="B363" s="52"/>
      <c r="C363" s="52"/>
      <c r="D363" s="52"/>
      <c r="E363" s="52"/>
      <c r="F363" s="50"/>
      <c r="G363" s="52"/>
      <c r="H363" s="52"/>
      <c r="I363" s="52"/>
      <c r="J363" s="51"/>
      <c r="K363" s="52"/>
      <c r="L363" s="52"/>
      <c r="M363" s="52"/>
      <c r="N363" s="50"/>
      <c r="O363" s="52"/>
      <c r="P363" s="54"/>
      <c r="Q363" s="54"/>
      <c r="R363" s="52"/>
      <c r="S363" s="52"/>
      <c r="T363" s="52"/>
      <c r="U363" s="52"/>
      <c r="V363" s="52"/>
    </row>
    <row r="364" spans="1:22" ht="13.2" x14ac:dyDescent="0.25">
      <c r="A364" s="52"/>
      <c r="B364" s="52"/>
      <c r="C364" s="52"/>
      <c r="D364" s="52"/>
      <c r="E364" s="52"/>
      <c r="F364" s="50"/>
      <c r="G364" s="52"/>
      <c r="H364" s="52"/>
      <c r="I364" s="52"/>
      <c r="J364" s="51"/>
      <c r="K364" s="52"/>
      <c r="L364" s="52"/>
      <c r="M364" s="52"/>
      <c r="N364" s="50"/>
      <c r="O364" s="52"/>
      <c r="P364" s="54"/>
      <c r="Q364" s="54"/>
      <c r="R364" s="52"/>
      <c r="S364" s="52"/>
      <c r="T364" s="52"/>
      <c r="U364" s="52"/>
      <c r="V364" s="52"/>
    </row>
    <row r="365" spans="1:22" ht="13.2" x14ac:dyDescent="0.25">
      <c r="A365" s="52"/>
      <c r="B365" s="52"/>
      <c r="C365" s="52"/>
      <c r="D365" s="52"/>
      <c r="E365" s="52"/>
      <c r="F365" s="50"/>
      <c r="G365" s="52"/>
      <c r="H365" s="52"/>
      <c r="I365" s="52"/>
      <c r="J365" s="51"/>
      <c r="K365" s="52"/>
      <c r="L365" s="52"/>
      <c r="M365" s="52"/>
      <c r="N365" s="50"/>
      <c r="O365" s="52"/>
      <c r="P365" s="54"/>
      <c r="Q365" s="54"/>
      <c r="R365" s="52"/>
      <c r="S365" s="52"/>
      <c r="T365" s="52"/>
      <c r="U365" s="52"/>
      <c r="V365" s="52"/>
    </row>
    <row r="366" spans="1:22" ht="13.2" x14ac:dyDescent="0.25">
      <c r="A366" s="52"/>
      <c r="B366" s="52"/>
      <c r="C366" s="52"/>
      <c r="D366" s="52"/>
      <c r="E366" s="52"/>
      <c r="F366" s="50"/>
      <c r="G366" s="52"/>
      <c r="H366" s="52"/>
      <c r="I366" s="52"/>
      <c r="J366" s="51"/>
      <c r="K366" s="52"/>
      <c r="L366" s="52"/>
      <c r="M366" s="52"/>
      <c r="N366" s="50"/>
      <c r="O366" s="52"/>
      <c r="P366" s="54"/>
      <c r="Q366" s="54"/>
      <c r="R366" s="52"/>
      <c r="S366" s="52"/>
      <c r="T366" s="52"/>
      <c r="U366" s="52"/>
      <c r="V366" s="52"/>
    </row>
    <row r="367" spans="1:22" ht="13.2" x14ac:dyDescent="0.25">
      <c r="A367" s="52"/>
      <c r="B367" s="52"/>
      <c r="C367" s="52"/>
      <c r="D367" s="52"/>
      <c r="E367" s="52"/>
      <c r="F367" s="50"/>
      <c r="G367" s="52"/>
      <c r="H367" s="52"/>
      <c r="I367" s="52"/>
      <c r="J367" s="51"/>
      <c r="K367" s="52"/>
      <c r="L367" s="52"/>
      <c r="M367" s="52"/>
      <c r="N367" s="50"/>
      <c r="O367" s="52"/>
      <c r="P367" s="54"/>
      <c r="Q367" s="54"/>
      <c r="R367" s="52"/>
      <c r="S367" s="52"/>
      <c r="T367" s="52"/>
      <c r="U367" s="52"/>
      <c r="V367" s="52"/>
    </row>
    <row r="368" spans="1:22" ht="13.2" x14ac:dyDescent="0.25">
      <c r="A368" s="52"/>
      <c r="B368" s="52"/>
      <c r="C368" s="52"/>
      <c r="D368" s="52"/>
      <c r="E368" s="52"/>
      <c r="F368" s="50"/>
      <c r="G368" s="52"/>
      <c r="H368" s="52"/>
      <c r="I368" s="52"/>
      <c r="J368" s="51"/>
      <c r="K368" s="52"/>
      <c r="L368" s="52"/>
      <c r="M368" s="52"/>
      <c r="N368" s="50"/>
      <c r="O368" s="52"/>
      <c r="P368" s="54"/>
      <c r="Q368" s="54"/>
      <c r="R368" s="52"/>
      <c r="S368" s="52"/>
      <c r="T368" s="52"/>
      <c r="U368" s="52"/>
      <c r="V368" s="52"/>
    </row>
    <row r="369" spans="1:22" ht="13.2" x14ac:dyDescent="0.25">
      <c r="A369" s="52"/>
      <c r="B369" s="52"/>
      <c r="C369" s="52"/>
      <c r="D369" s="52"/>
      <c r="E369" s="52"/>
      <c r="F369" s="50"/>
      <c r="G369" s="52"/>
      <c r="H369" s="52"/>
      <c r="I369" s="52"/>
      <c r="J369" s="51"/>
      <c r="K369" s="52"/>
      <c r="L369" s="52"/>
      <c r="M369" s="52"/>
      <c r="N369" s="50"/>
      <c r="O369" s="52"/>
      <c r="P369" s="54"/>
      <c r="Q369" s="54"/>
      <c r="R369" s="52"/>
      <c r="S369" s="52"/>
      <c r="T369" s="52"/>
      <c r="U369" s="52"/>
      <c r="V369" s="52"/>
    </row>
    <row r="370" spans="1:22" ht="13.2" x14ac:dyDescent="0.25">
      <c r="A370" s="52"/>
      <c r="B370" s="52"/>
      <c r="C370" s="52"/>
      <c r="D370" s="52"/>
      <c r="E370" s="52"/>
      <c r="F370" s="50"/>
      <c r="G370" s="52"/>
      <c r="H370" s="52"/>
      <c r="I370" s="52"/>
      <c r="J370" s="51"/>
      <c r="K370" s="52"/>
      <c r="L370" s="52"/>
      <c r="M370" s="52"/>
      <c r="N370" s="50"/>
      <c r="O370" s="52"/>
      <c r="P370" s="54"/>
      <c r="Q370" s="54"/>
      <c r="R370" s="52"/>
      <c r="S370" s="52"/>
      <c r="T370" s="52"/>
      <c r="U370" s="52"/>
      <c r="V370" s="52"/>
    </row>
    <row r="371" spans="1:22" ht="13.2" x14ac:dyDescent="0.25">
      <c r="A371" s="52"/>
      <c r="B371" s="52"/>
      <c r="C371" s="52"/>
      <c r="D371" s="52"/>
      <c r="E371" s="52"/>
      <c r="F371" s="50"/>
      <c r="G371" s="52"/>
      <c r="H371" s="52"/>
      <c r="I371" s="52"/>
      <c r="J371" s="51"/>
      <c r="K371" s="52"/>
      <c r="L371" s="52"/>
      <c r="M371" s="52"/>
      <c r="N371" s="50"/>
      <c r="O371" s="52"/>
      <c r="P371" s="54"/>
      <c r="Q371" s="54"/>
      <c r="R371" s="52"/>
      <c r="S371" s="52"/>
      <c r="T371" s="52"/>
      <c r="U371" s="52"/>
      <c r="V371" s="52"/>
    </row>
    <row r="372" spans="1:22" ht="13.2" x14ac:dyDescent="0.25">
      <c r="A372" s="52"/>
      <c r="B372" s="52"/>
      <c r="C372" s="52"/>
      <c r="D372" s="52"/>
      <c r="E372" s="52"/>
      <c r="F372" s="50"/>
      <c r="G372" s="52"/>
      <c r="H372" s="52"/>
      <c r="I372" s="52"/>
      <c r="J372" s="51"/>
      <c r="K372" s="52"/>
      <c r="L372" s="52"/>
      <c r="M372" s="52"/>
      <c r="N372" s="50"/>
      <c r="O372" s="52"/>
      <c r="P372" s="54"/>
      <c r="Q372" s="54"/>
      <c r="R372" s="52"/>
      <c r="S372" s="52"/>
      <c r="T372" s="52"/>
      <c r="U372" s="52"/>
      <c r="V372" s="52"/>
    </row>
    <row r="373" spans="1:22" ht="13.2" x14ac:dyDescent="0.25">
      <c r="A373" s="52"/>
      <c r="B373" s="52"/>
      <c r="C373" s="52"/>
      <c r="D373" s="52"/>
      <c r="E373" s="52"/>
      <c r="F373" s="50"/>
      <c r="G373" s="52"/>
      <c r="H373" s="52"/>
      <c r="I373" s="52"/>
      <c r="J373" s="51"/>
      <c r="K373" s="52"/>
      <c r="L373" s="52"/>
      <c r="M373" s="52"/>
      <c r="N373" s="50"/>
      <c r="O373" s="52"/>
      <c r="P373" s="54"/>
      <c r="Q373" s="54"/>
      <c r="R373" s="52"/>
      <c r="S373" s="52"/>
      <c r="T373" s="52"/>
      <c r="U373" s="52"/>
      <c r="V373" s="52"/>
    </row>
    <row r="374" spans="1:22" ht="13.2" x14ac:dyDescent="0.25">
      <c r="A374" s="52"/>
      <c r="B374" s="52"/>
      <c r="C374" s="52"/>
      <c r="D374" s="52"/>
      <c r="E374" s="52"/>
      <c r="F374" s="50"/>
      <c r="G374" s="52"/>
      <c r="H374" s="52"/>
      <c r="I374" s="52"/>
      <c r="J374" s="51"/>
      <c r="K374" s="52"/>
      <c r="L374" s="52"/>
      <c r="M374" s="52"/>
      <c r="N374" s="50"/>
      <c r="O374" s="52"/>
      <c r="P374" s="54"/>
      <c r="Q374" s="54"/>
      <c r="R374" s="52"/>
      <c r="S374" s="52"/>
      <c r="T374" s="52"/>
      <c r="U374" s="52"/>
      <c r="V374" s="52"/>
    </row>
    <row r="375" spans="1:22" ht="13.2" x14ac:dyDescent="0.25">
      <c r="A375" s="52"/>
      <c r="B375" s="52"/>
      <c r="C375" s="52"/>
      <c r="D375" s="52"/>
      <c r="E375" s="52"/>
      <c r="F375" s="50"/>
      <c r="G375" s="52"/>
      <c r="H375" s="52"/>
      <c r="I375" s="52"/>
      <c r="J375" s="51"/>
      <c r="K375" s="52"/>
      <c r="L375" s="52"/>
      <c r="M375" s="52"/>
      <c r="N375" s="50"/>
      <c r="O375" s="52"/>
      <c r="P375" s="54"/>
      <c r="Q375" s="54"/>
      <c r="R375" s="52"/>
      <c r="S375" s="52"/>
      <c r="T375" s="52"/>
      <c r="U375" s="52"/>
      <c r="V375" s="52"/>
    </row>
    <row r="376" spans="1:22" ht="13.2" x14ac:dyDescent="0.25">
      <c r="A376" s="52"/>
      <c r="B376" s="52"/>
      <c r="C376" s="52"/>
      <c r="D376" s="52"/>
      <c r="E376" s="52"/>
      <c r="F376" s="50"/>
      <c r="G376" s="52"/>
      <c r="H376" s="52"/>
      <c r="I376" s="52"/>
      <c r="J376" s="51"/>
      <c r="K376" s="52"/>
      <c r="L376" s="52"/>
      <c r="M376" s="52"/>
      <c r="N376" s="50"/>
      <c r="O376" s="52"/>
      <c r="P376" s="54"/>
      <c r="Q376" s="54"/>
      <c r="R376" s="52"/>
      <c r="S376" s="52"/>
      <c r="T376" s="52"/>
      <c r="U376" s="52"/>
      <c r="V376" s="52"/>
    </row>
    <row r="377" spans="1:22" ht="13.2" x14ac:dyDescent="0.25">
      <c r="A377" s="52"/>
      <c r="B377" s="52"/>
      <c r="C377" s="52"/>
      <c r="D377" s="52"/>
      <c r="E377" s="52"/>
      <c r="F377" s="50"/>
      <c r="G377" s="52"/>
      <c r="H377" s="52"/>
      <c r="I377" s="52"/>
      <c r="J377" s="51"/>
      <c r="K377" s="52"/>
      <c r="L377" s="52"/>
      <c r="M377" s="52"/>
      <c r="N377" s="50"/>
      <c r="O377" s="52"/>
      <c r="P377" s="54"/>
      <c r="Q377" s="54"/>
      <c r="R377" s="52"/>
      <c r="S377" s="52"/>
      <c r="T377" s="52"/>
      <c r="U377" s="52"/>
      <c r="V377" s="52"/>
    </row>
    <row r="378" spans="1:22" ht="13.2" x14ac:dyDescent="0.25">
      <c r="A378" s="52"/>
      <c r="B378" s="52"/>
      <c r="C378" s="52"/>
      <c r="D378" s="52"/>
      <c r="E378" s="52"/>
      <c r="F378" s="50"/>
      <c r="G378" s="52"/>
      <c r="H378" s="52"/>
      <c r="I378" s="52"/>
      <c r="J378" s="51"/>
      <c r="K378" s="52"/>
      <c r="L378" s="52"/>
      <c r="M378" s="52"/>
      <c r="N378" s="50"/>
      <c r="O378" s="52"/>
      <c r="P378" s="54"/>
      <c r="Q378" s="54"/>
      <c r="R378" s="52"/>
      <c r="S378" s="52"/>
      <c r="T378" s="52"/>
      <c r="U378" s="52"/>
      <c r="V378" s="52"/>
    </row>
    <row r="379" spans="1:22" ht="13.2" x14ac:dyDescent="0.25">
      <c r="A379" s="52"/>
      <c r="B379" s="52"/>
      <c r="C379" s="52"/>
      <c r="D379" s="52"/>
      <c r="E379" s="52"/>
      <c r="F379" s="50"/>
      <c r="G379" s="52"/>
      <c r="H379" s="52"/>
      <c r="I379" s="52"/>
      <c r="J379" s="51"/>
      <c r="K379" s="52"/>
      <c r="L379" s="52"/>
      <c r="M379" s="52"/>
      <c r="N379" s="50"/>
      <c r="O379" s="52"/>
      <c r="P379" s="54"/>
      <c r="Q379" s="54"/>
      <c r="R379" s="52"/>
      <c r="S379" s="52"/>
      <c r="T379" s="52"/>
      <c r="U379" s="52"/>
      <c r="V379" s="52"/>
    </row>
    <row r="380" spans="1:22" ht="13.2" x14ac:dyDescent="0.25">
      <c r="A380" s="52"/>
      <c r="B380" s="52"/>
      <c r="C380" s="52"/>
      <c r="D380" s="52"/>
      <c r="E380" s="52"/>
      <c r="F380" s="50"/>
      <c r="G380" s="52"/>
      <c r="H380" s="52"/>
      <c r="I380" s="52"/>
      <c r="J380" s="51"/>
      <c r="K380" s="52"/>
      <c r="L380" s="52"/>
      <c r="M380" s="52"/>
      <c r="N380" s="50"/>
      <c r="O380" s="52"/>
      <c r="P380" s="54"/>
      <c r="Q380" s="54"/>
      <c r="R380" s="52"/>
      <c r="S380" s="52"/>
      <c r="T380" s="52"/>
      <c r="U380" s="52"/>
      <c r="V380" s="52"/>
    </row>
    <row r="381" spans="1:22" ht="13.2" x14ac:dyDescent="0.25">
      <c r="A381" s="52"/>
      <c r="B381" s="52"/>
      <c r="C381" s="52"/>
      <c r="D381" s="52"/>
      <c r="E381" s="52"/>
      <c r="F381" s="50"/>
      <c r="G381" s="52"/>
      <c r="H381" s="52"/>
      <c r="I381" s="52"/>
      <c r="J381" s="51"/>
      <c r="K381" s="52"/>
      <c r="L381" s="52"/>
      <c r="M381" s="52"/>
      <c r="N381" s="50"/>
      <c r="O381" s="52"/>
      <c r="P381" s="54"/>
      <c r="Q381" s="54"/>
      <c r="R381" s="52"/>
      <c r="S381" s="52"/>
      <c r="T381" s="52"/>
      <c r="U381" s="52"/>
      <c r="V381" s="52"/>
    </row>
    <row r="382" spans="1:22" ht="13.2" x14ac:dyDescent="0.25">
      <c r="A382" s="52"/>
      <c r="B382" s="52"/>
      <c r="C382" s="52"/>
      <c r="D382" s="52"/>
      <c r="E382" s="52"/>
      <c r="F382" s="50"/>
      <c r="G382" s="52"/>
      <c r="H382" s="52"/>
      <c r="I382" s="52"/>
      <c r="J382" s="51"/>
      <c r="K382" s="52"/>
      <c r="L382" s="52"/>
      <c r="M382" s="52"/>
      <c r="N382" s="50"/>
      <c r="O382" s="52"/>
      <c r="P382" s="54"/>
      <c r="Q382" s="54"/>
      <c r="R382" s="52"/>
      <c r="S382" s="52"/>
      <c r="T382" s="52"/>
      <c r="U382" s="52"/>
      <c r="V382" s="52"/>
    </row>
    <row r="383" spans="1:22" ht="13.2" x14ac:dyDescent="0.25">
      <c r="A383" s="52"/>
      <c r="B383" s="52"/>
      <c r="C383" s="52"/>
      <c r="D383" s="52"/>
      <c r="E383" s="52"/>
      <c r="F383" s="50"/>
      <c r="G383" s="52"/>
      <c r="H383" s="52"/>
      <c r="I383" s="52"/>
      <c r="J383" s="51"/>
      <c r="K383" s="52"/>
      <c r="L383" s="52"/>
      <c r="M383" s="52"/>
      <c r="N383" s="50"/>
      <c r="O383" s="52"/>
      <c r="P383" s="54"/>
      <c r="Q383" s="54"/>
      <c r="R383" s="52"/>
      <c r="S383" s="52"/>
      <c r="T383" s="52"/>
      <c r="U383" s="52"/>
      <c r="V383" s="52"/>
    </row>
    <row r="384" spans="1:22" ht="13.2" x14ac:dyDescent="0.25">
      <c r="A384" s="52"/>
      <c r="B384" s="52"/>
      <c r="C384" s="52"/>
      <c r="D384" s="52"/>
      <c r="E384" s="52"/>
      <c r="F384" s="50"/>
      <c r="G384" s="52"/>
      <c r="H384" s="52"/>
      <c r="I384" s="52"/>
      <c r="J384" s="51"/>
      <c r="K384" s="52"/>
      <c r="L384" s="52"/>
      <c r="M384" s="52"/>
      <c r="N384" s="50"/>
      <c r="O384" s="52"/>
      <c r="P384" s="54"/>
      <c r="Q384" s="54"/>
      <c r="R384" s="52"/>
      <c r="S384" s="52"/>
      <c r="T384" s="52"/>
      <c r="U384" s="52"/>
      <c r="V384" s="52"/>
    </row>
    <row r="385" spans="1:22" ht="13.2" x14ac:dyDescent="0.25">
      <c r="A385" s="52"/>
      <c r="B385" s="52"/>
      <c r="C385" s="52"/>
      <c r="D385" s="52"/>
      <c r="E385" s="52"/>
      <c r="F385" s="50"/>
      <c r="G385" s="52"/>
      <c r="H385" s="52"/>
      <c r="I385" s="52"/>
      <c r="J385" s="51"/>
      <c r="K385" s="52"/>
      <c r="L385" s="52"/>
      <c r="M385" s="52"/>
      <c r="N385" s="50"/>
      <c r="O385" s="52"/>
      <c r="P385" s="54"/>
      <c r="Q385" s="54"/>
      <c r="R385" s="52"/>
      <c r="S385" s="52"/>
      <c r="T385" s="52"/>
      <c r="U385" s="52"/>
      <c r="V385" s="52"/>
    </row>
    <row r="386" spans="1:22" ht="13.2" x14ac:dyDescent="0.25">
      <c r="A386" s="52"/>
      <c r="B386" s="52"/>
      <c r="C386" s="52"/>
      <c r="D386" s="52"/>
      <c r="E386" s="52"/>
      <c r="F386" s="50"/>
      <c r="G386" s="52"/>
      <c r="H386" s="52"/>
      <c r="I386" s="52"/>
      <c r="J386" s="51"/>
      <c r="K386" s="52"/>
      <c r="L386" s="52"/>
      <c r="M386" s="52"/>
      <c r="N386" s="50"/>
      <c r="O386" s="52"/>
      <c r="P386" s="54"/>
      <c r="Q386" s="54"/>
      <c r="R386" s="52"/>
      <c r="S386" s="52"/>
      <c r="T386" s="52"/>
      <c r="U386" s="52"/>
      <c r="V386" s="52"/>
    </row>
    <row r="387" spans="1:22" ht="13.2" x14ac:dyDescent="0.25">
      <c r="A387" s="52"/>
      <c r="B387" s="52"/>
      <c r="C387" s="52"/>
      <c r="D387" s="52"/>
      <c r="E387" s="52"/>
      <c r="F387" s="50"/>
      <c r="G387" s="52"/>
      <c r="H387" s="52"/>
      <c r="I387" s="52"/>
      <c r="J387" s="51"/>
      <c r="K387" s="52"/>
      <c r="L387" s="52"/>
      <c r="M387" s="52"/>
      <c r="N387" s="50"/>
      <c r="O387" s="52"/>
      <c r="P387" s="54"/>
      <c r="Q387" s="54"/>
      <c r="R387" s="52"/>
      <c r="S387" s="52"/>
      <c r="T387" s="52"/>
      <c r="U387" s="52"/>
      <c r="V387" s="52"/>
    </row>
    <row r="388" spans="1:22" ht="13.2" x14ac:dyDescent="0.25">
      <c r="A388" s="52"/>
      <c r="B388" s="52"/>
      <c r="C388" s="52"/>
      <c r="D388" s="52"/>
      <c r="E388" s="52"/>
      <c r="F388" s="50"/>
      <c r="G388" s="52"/>
      <c r="H388" s="52"/>
      <c r="I388" s="52"/>
      <c r="J388" s="51"/>
      <c r="K388" s="52"/>
      <c r="L388" s="52"/>
      <c r="M388" s="52"/>
      <c r="N388" s="50"/>
      <c r="O388" s="52"/>
      <c r="P388" s="54"/>
      <c r="Q388" s="54"/>
      <c r="R388" s="52"/>
      <c r="S388" s="52"/>
      <c r="T388" s="52"/>
      <c r="U388" s="52"/>
      <c r="V388" s="52"/>
    </row>
    <row r="389" spans="1:22" ht="13.2" x14ac:dyDescent="0.25">
      <c r="A389" s="52"/>
      <c r="B389" s="52"/>
      <c r="C389" s="52"/>
      <c r="D389" s="52"/>
      <c r="E389" s="52"/>
      <c r="F389" s="50"/>
      <c r="G389" s="52"/>
      <c r="H389" s="52"/>
      <c r="I389" s="52"/>
      <c r="J389" s="51"/>
      <c r="K389" s="52"/>
      <c r="L389" s="52"/>
      <c r="M389" s="52"/>
      <c r="N389" s="50"/>
      <c r="O389" s="52"/>
      <c r="P389" s="54"/>
      <c r="Q389" s="54"/>
      <c r="R389" s="52"/>
      <c r="S389" s="52"/>
      <c r="T389" s="52"/>
      <c r="U389" s="52"/>
      <c r="V389" s="52"/>
    </row>
    <row r="390" spans="1:22" ht="13.2" x14ac:dyDescent="0.25">
      <c r="A390" s="52"/>
      <c r="B390" s="52"/>
      <c r="C390" s="52"/>
      <c r="D390" s="52"/>
      <c r="E390" s="52"/>
      <c r="F390" s="50"/>
      <c r="G390" s="52"/>
      <c r="H390" s="52"/>
      <c r="I390" s="52"/>
      <c r="J390" s="51"/>
      <c r="K390" s="52"/>
      <c r="L390" s="52"/>
      <c r="M390" s="52"/>
      <c r="N390" s="50"/>
      <c r="O390" s="52"/>
      <c r="P390" s="54"/>
      <c r="Q390" s="54"/>
      <c r="R390" s="52"/>
      <c r="S390" s="52"/>
      <c r="T390" s="52"/>
      <c r="U390" s="52"/>
      <c r="V390" s="52"/>
    </row>
    <row r="391" spans="1:22" ht="13.2" x14ac:dyDescent="0.25">
      <c r="A391" s="52"/>
      <c r="B391" s="52"/>
      <c r="C391" s="52"/>
      <c r="D391" s="52"/>
      <c r="E391" s="52"/>
      <c r="F391" s="50"/>
      <c r="G391" s="52"/>
      <c r="H391" s="52"/>
      <c r="I391" s="52"/>
      <c r="J391" s="51"/>
      <c r="K391" s="52"/>
      <c r="L391" s="52"/>
      <c r="M391" s="52"/>
      <c r="N391" s="50"/>
      <c r="O391" s="52"/>
      <c r="P391" s="54"/>
      <c r="Q391" s="54"/>
      <c r="R391" s="52"/>
      <c r="S391" s="52"/>
      <c r="T391" s="52"/>
      <c r="U391" s="52"/>
      <c r="V391" s="52"/>
    </row>
    <row r="392" spans="1:22" ht="13.2" x14ac:dyDescent="0.25">
      <c r="A392" s="52"/>
      <c r="B392" s="52"/>
      <c r="C392" s="52"/>
      <c r="D392" s="52"/>
      <c r="E392" s="52"/>
      <c r="F392" s="50"/>
      <c r="G392" s="52"/>
      <c r="H392" s="52"/>
      <c r="I392" s="52"/>
      <c r="J392" s="51"/>
      <c r="K392" s="52"/>
      <c r="L392" s="52"/>
      <c r="M392" s="52"/>
      <c r="N392" s="50"/>
      <c r="O392" s="52"/>
      <c r="P392" s="54"/>
      <c r="Q392" s="54"/>
      <c r="R392" s="52"/>
      <c r="S392" s="52"/>
      <c r="T392" s="52"/>
      <c r="U392" s="52"/>
      <c r="V392" s="52"/>
    </row>
    <row r="393" spans="1:22" ht="13.2" x14ac:dyDescent="0.25">
      <c r="A393" s="52"/>
      <c r="B393" s="52"/>
      <c r="C393" s="52"/>
      <c r="D393" s="52"/>
      <c r="E393" s="52"/>
      <c r="F393" s="50"/>
      <c r="G393" s="52"/>
      <c r="H393" s="52"/>
      <c r="I393" s="52"/>
      <c r="J393" s="51"/>
      <c r="K393" s="52"/>
      <c r="L393" s="52"/>
      <c r="M393" s="52"/>
      <c r="N393" s="50"/>
      <c r="O393" s="52"/>
      <c r="P393" s="54"/>
      <c r="Q393" s="54"/>
      <c r="R393" s="52"/>
      <c r="S393" s="52"/>
      <c r="T393" s="52"/>
      <c r="U393" s="52"/>
      <c r="V393" s="52"/>
    </row>
    <row r="394" spans="1:22" ht="13.2" x14ac:dyDescent="0.25">
      <c r="A394" s="52"/>
      <c r="B394" s="52"/>
      <c r="C394" s="52"/>
      <c r="D394" s="52"/>
      <c r="E394" s="52"/>
      <c r="F394" s="50"/>
      <c r="G394" s="52"/>
      <c r="H394" s="52"/>
      <c r="I394" s="52"/>
      <c r="J394" s="51"/>
      <c r="K394" s="52"/>
      <c r="L394" s="52"/>
      <c r="M394" s="52"/>
      <c r="N394" s="50"/>
      <c r="O394" s="52"/>
      <c r="P394" s="54"/>
      <c r="Q394" s="54"/>
      <c r="R394" s="52"/>
      <c r="S394" s="52"/>
      <c r="T394" s="52"/>
      <c r="U394" s="52"/>
      <c r="V394" s="52"/>
    </row>
    <row r="395" spans="1:22" ht="13.2" x14ac:dyDescent="0.25">
      <c r="A395" s="52"/>
      <c r="B395" s="52"/>
      <c r="C395" s="52"/>
      <c r="D395" s="52"/>
      <c r="E395" s="52"/>
      <c r="F395" s="50"/>
      <c r="G395" s="52"/>
      <c r="H395" s="52"/>
      <c r="I395" s="52"/>
      <c r="J395" s="51"/>
      <c r="K395" s="52"/>
      <c r="L395" s="52"/>
      <c r="M395" s="52"/>
      <c r="N395" s="50"/>
      <c r="O395" s="52"/>
      <c r="P395" s="54"/>
      <c r="Q395" s="54"/>
      <c r="R395" s="52"/>
      <c r="S395" s="52"/>
      <c r="T395" s="52"/>
      <c r="U395" s="52"/>
      <c r="V395" s="52"/>
    </row>
    <row r="396" spans="1:22" ht="13.2" x14ac:dyDescent="0.25">
      <c r="A396" s="52"/>
      <c r="B396" s="52"/>
      <c r="C396" s="52"/>
      <c r="D396" s="52"/>
      <c r="E396" s="52"/>
      <c r="F396" s="50"/>
      <c r="G396" s="52"/>
      <c r="H396" s="52"/>
      <c r="I396" s="52"/>
      <c r="J396" s="51"/>
      <c r="K396" s="52"/>
      <c r="L396" s="52"/>
      <c r="M396" s="52"/>
      <c r="N396" s="50"/>
      <c r="O396" s="52"/>
      <c r="P396" s="54"/>
      <c r="Q396" s="54"/>
      <c r="R396" s="52"/>
      <c r="S396" s="52"/>
      <c r="T396" s="52"/>
      <c r="U396" s="52"/>
      <c r="V396" s="52"/>
    </row>
    <row r="397" spans="1:22" ht="13.2" x14ac:dyDescent="0.25">
      <c r="A397" s="52"/>
      <c r="B397" s="52"/>
      <c r="C397" s="52"/>
      <c r="D397" s="52"/>
      <c r="E397" s="52"/>
      <c r="F397" s="50"/>
      <c r="G397" s="52"/>
      <c r="H397" s="52"/>
      <c r="I397" s="52"/>
      <c r="J397" s="51"/>
      <c r="K397" s="52"/>
      <c r="L397" s="52"/>
      <c r="M397" s="52"/>
      <c r="N397" s="50"/>
      <c r="O397" s="52"/>
      <c r="P397" s="54"/>
      <c r="Q397" s="54"/>
      <c r="R397" s="52"/>
      <c r="S397" s="52"/>
      <c r="T397" s="52"/>
      <c r="U397" s="52"/>
      <c r="V397" s="52"/>
    </row>
    <row r="398" spans="1:22" ht="13.2" x14ac:dyDescent="0.25">
      <c r="A398" s="52"/>
      <c r="B398" s="52"/>
      <c r="C398" s="52"/>
      <c r="D398" s="52"/>
      <c r="E398" s="52"/>
      <c r="F398" s="50"/>
      <c r="G398" s="52"/>
      <c r="H398" s="52"/>
      <c r="I398" s="52"/>
      <c r="J398" s="51"/>
      <c r="K398" s="52"/>
      <c r="L398" s="52"/>
      <c r="M398" s="52"/>
      <c r="N398" s="50"/>
      <c r="O398" s="52"/>
      <c r="P398" s="54"/>
      <c r="Q398" s="54"/>
      <c r="R398" s="52"/>
      <c r="S398" s="52"/>
      <c r="T398" s="52"/>
      <c r="U398" s="52"/>
      <c r="V398" s="52"/>
    </row>
    <row r="399" spans="1:22" ht="13.2" x14ac:dyDescent="0.25">
      <c r="A399" s="52"/>
      <c r="B399" s="52"/>
      <c r="C399" s="52"/>
      <c r="D399" s="52"/>
      <c r="E399" s="52"/>
      <c r="F399" s="50"/>
      <c r="G399" s="52"/>
      <c r="H399" s="52"/>
      <c r="I399" s="52"/>
      <c r="J399" s="51"/>
      <c r="K399" s="52"/>
      <c r="L399" s="52"/>
      <c r="M399" s="52"/>
      <c r="N399" s="50"/>
      <c r="O399" s="52"/>
      <c r="P399" s="54"/>
      <c r="Q399" s="54"/>
      <c r="R399" s="52"/>
      <c r="S399" s="52"/>
      <c r="T399" s="52"/>
      <c r="U399" s="52"/>
      <c r="V399" s="52"/>
    </row>
    <row r="400" spans="1:22" ht="13.2" x14ac:dyDescent="0.25">
      <c r="A400" s="52"/>
      <c r="B400" s="52"/>
      <c r="C400" s="52"/>
      <c r="D400" s="52"/>
      <c r="E400" s="52"/>
      <c r="F400" s="50"/>
      <c r="G400" s="52"/>
      <c r="H400" s="52"/>
      <c r="I400" s="52"/>
      <c r="J400" s="51"/>
      <c r="K400" s="52"/>
      <c r="L400" s="52"/>
      <c r="M400" s="52"/>
      <c r="N400" s="50"/>
      <c r="O400" s="52"/>
      <c r="P400" s="54"/>
      <c r="Q400" s="54"/>
      <c r="R400" s="52"/>
      <c r="S400" s="52"/>
      <c r="T400" s="52"/>
      <c r="U400" s="52"/>
      <c r="V400" s="52"/>
    </row>
    <row r="401" spans="1:22" ht="13.2" x14ac:dyDescent="0.25">
      <c r="A401" s="52"/>
      <c r="B401" s="52"/>
      <c r="C401" s="52"/>
      <c r="D401" s="52"/>
      <c r="E401" s="52"/>
      <c r="F401" s="50"/>
      <c r="G401" s="52"/>
      <c r="H401" s="52"/>
      <c r="I401" s="52"/>
      <c r="J401" s="51"/>
      <c r="K401" s="52"/>
      <c r="L401" s="52"/>
      <c r="M401" s="52"/>
      <c r="N401" s="50"/>
      <c r="O401" s="52"/>
      <c r="P401" s="54"/>
      <c r="Q401" s="54"/>
      <c r="R401" s="52"/>
      <c r="S401" s="52"/>
      <c r="T401" s="52"/>
      <c r="U401" s="52"/>
      <c r="V401" s="52"/>
    </row>
    <row r="402" spans="1:22" ht="13.2" x14ac:dyDescent="0.25">
      <c r="A402" s="52"/>
      <c r="B402" s="52"/>
      <c r="C402" s="52"/>
      <c r="D402" s="52"/>
      <c r="E402" s="52"/>
      <c r="F402" s="50"/>
      <c r="G402" s="52"/>
      <c r="H402" s="52"/>
      <c r="I402" s="52"/>
      <c r="J402" s="51"/>
      <c r="K402" s="52"/>
      <c r="L402" s="52"/>
      <c r="M402" s="52"/>
      <c r="N402" s="50"/>
      <c r="O402" s="52"/>
      <c r="P402" s="54"/>
      <c r="Q402" s="54"/>
      <c r="R402" s="52"/>
      <c r="S402" s="52"/>
      <c r="T402" s="52"/>
      <c r="U402" s="52"/>
      <c r="V402" s="52"/>
    </row>
    <row r="403" spans="1:22" ht="13.2" x14ac:dyDescent="0.25">
      <c r="A403" s="52"/>
      <c r="B403" s="52"/>
      <c r="C403" s="52"/>
      <c r="D403" s="52"/>
      <c r="E403" s="52"/>
      <c r="F403" s="50"/>
      <c r="G403" s="52"/>
      <c r="H403" s="52"/>
      <c r="I403" s="52"/>
      <c r="J403" s="51"/>
      <c r="K403" s="52"/>
      <c r="L403" s="52"/>
      <c r="M403" s="52"/>
      <c r="N403" s="50"/>
      <c r="O403" s="52"/>
      <c r="P403" s="54"/>
      <c r="Q403" s="54"/>
      <c r="R403" s="52"/>
      <c r="S403" s="52"/>
      <c r="T403" s="52"/>
      <c r="U403" s="52"/>
      <c r="V403" s="52"/>
    </row>
    <row r="404" spans="1:22" ht="13.2" x14ac:dyDescent="0.25">
      <c r="A404" s="52"/>
      <c r="B404" s="52"/>
      <c r="C404" s="52"/>
      <c r="D404" s="52"/>
      <c r="E404" s="52"/>
      <c r="F404" s="50"/>
      <c r="G404" s="52"/>
      <c r="H404" s="52"/>
      <c r="I404" s="52"/>
      <c r="J404" s="51"/>
      <c r="K404" s="52"/>
      <c r="L404" s="52"/>
      <c r="M404" s="52"/>
      <c r="N404" s="50"/>
      <c r="O404" s="52"/>
      <c r="P404" s="54"/>
      <c r="Q404" s="54"/>
      <c r="R404" s="52"/>
      <c r="S404" s="52"/>
      <c r="T404" s="52"/>
      <c r="U404" s="52"/>
      <c r="V404" s="52"/>
    </row>
    <row r="405" spans="1:22" ht="13.2" x14ac:dyDescent="0.25">
      <c r="A405" s="52"/>
      <c r="B405" s="52"/>
      <c r="C405" s="52"/>
      <c r="D405" s="52"/>
      <c r="E405" s="52"/>
      <c r="F405" s="50"/>
      <c r="G405" s="52"/>
      <c r="H405" s="52"/>
      <c r="I405" s="52"/>
      <c r="J405" s="51"/>
      <c r="K405" s="52"/>
      <c r="L405" s="52"/>
      <c r="M405" s="52"/>
      <c r="N405" s="50"/>
      <c r="O405" s="52"/>
      <c r="P405" s="54"/>
      <c r="Q405" s="54"/>
      <c r="R405" s="52"/>
      <c r="S405" s="52"/>
      <c r="T405" s="52"/>
      <c r="U405" s="52"/>
      <c r="V405" s="52"/>
    </row>
    <row r="406" spans="1:22" ht="13.2" x14ac:dyDescent="0.25">
      <c r="A406" s="52"/>
      <c r="B406" s="52"/>
      <c r="C406" s="52"/>
      <c r="D406" s="52"/>
      <c r="E406" s="52"/>
      <c r="F406" s="50"/>
      <c r="G406" s="52"/>
      <c r="H406" s="52"/>
      <c r="I406" s="52"/>
      <c r="J406" s="51"/>
      <c r="K406" s="52"/>
      <c r="L406" s="52"/>
      <c r="M406" s="52"/>
      <c r="N406" s="50"/>
      <c r="O406" s="52"/>
      <c r="P406" s="54"/>
      <c r="Q406" s="54"/>
      <c r="R406" s="52"/>
      <c r="S406" s="52"/>
      <c r="T406" s="52"/>
      <c r="U406" s="52"/>
      <c r="V406" s="52"/>
    </row>
    <row r="407" spans="1:22" ht="13.2" x14ac:dyDescent="0.25">
      <c r="A407" s="52"/>
      <c r="B407" s="52"/>
      <c r="C407" s="52"/>
      <c r="D407" s="52"/>
      <c r="E407" s="52"/>
      <c r="F407" s="50"/>
      <c r="G407" s="52"/>
      <c r="H407" s="52"/>
      <c r="I407" s="52"/>
      <c r="J407" s="51"/>
      <c r="K407" s="52"/>
      <c r="L407" s="52"/>
      <c r="M407" s="52"/>
      <c r="N407" s="50"/>
      <c r="O407" s="52"/>
      <c r="P407" s="54"/>
      <c r="Q407" s="54"/>
      <c r="R407" s="52"/>
      <c r="S407" s="52"/>
      <c r="T407" s="52"/>
      <c r="U407" s="52"/>
      <c r="V407" s="52"/>
    </row>
    <row r="408" spans="1:22" ht="13.2" x14ac:dyDescent="0.25">
      <c r="A408" s="52"/>
      <c r="B408" s="52"/>
      <c r="C408" s="52"/>
      <c r="D408" s="52"/>
      <c r="E408" s="52"/>
      <c r="F408" s="50"/>
      <c r="G408" s="52"/>
      <c r="H408" s="52"/>
      <c r="I408" s="52"/>
      <c r="J408" s="51"/>
      <c r="K408" s="52"/>
      <c r="L408" s="52"/>
      <c r="M408" s="52"/>
      <c r="N408" s="50"/>
      <c r="O408" s="52"/>
      <c r="P408" s="54"/>
      <c r="Q408" s="54"/>
      <c r="R408" s="52"/>
      <c r="S408" s="52"/>
      <c r="T408" s="52"/>
      <c r="U408" s="52"/>
      <c r="V408" s="52"/>
    </row>
    <row r="409" spans="1:22" ht="13.2" x14ac:dyDescent="0.25">
      <c r="A409" s="52"/>
      <c r="B409" s="52"/>
      <c r="C409" s="52"/>
      <c r="D409" s="52"/>
      <c r="E409" s="52"/>
      <c r="F409" s="50"/>
      <c r="G409" s="52"/>
      <c r="H409" s="52"/>
      <c r="I409" s="52"/>
      <c r="J409" s="51"/>
      <c r="K409" s="52"/>
      <c r="L409" s="52"/>
      <c r="M409" s="52"/>
      <c r="N409" s="50"/>
      <c r="O409" s="52"/>
      <c r="P409" s="54"/>
      <c r="Q409" s="54"/>
      <c r="R409" s="52"/>
      <c r="S409" s="52"/>
      <c r="T409" s="52"/>
      <c r="U409" s="52"/>
      <c r="V409" s="52"/>
    </row>
    <row r="410" spans="1:22" ht="13.2" x14ac:dyDescent="0.25">
      <c r="A410" s="52"/>
      <c r="B410" s="52"/>
      <c r="C410" s="52"/>
      <c r="D410" s="52"/>
      <c r="E410" s="52"/>
      <c r="F410" s="50"/>
      <c r="G410" s="52"/>
      <c r="H410" s="52"/>
      <c r="I410" s="52"/>
      <c r="J410" s="51"/>
      <c r="K410" s="52"/>
      <c r="L410" s="52"/>
      <c r="M410" s="52"/>
      <c r="N410" s="50"/>
      <c r="O410" s="52"/>
      <c r="P410" s="54"/>
      <c r="Q410" s="54"/>
      <c r="R410" s="52"/>
      <c r="S410" s="52"/>
      <c r="T410" s="52"/>
      <c r="U410" s="52"/>
      <c r="V410" s="52"/>
    </row>
    <row r="411" spans="1:22" ht="13.2" x14ac:dyDescent="0.25">
      <c r="A411" s="52"/>
      <c r="B411" s="52"/>
      <c r="C411" s="52"/>
      <c r="D411" s="52"/>
      <c r="E411" s="52"/>
      <c r="F411" s="50"/>
      <c r="G411" s="52"/>
      <c r="H411" s="52"/>
      <c r="I411" s="52"/>
      <c r="J411" s="51"/>
      <c r="K411" s="52"/>
      <c r="L411" s="52"/>
      <c r="M411" s="52"/>
      <c r="N411" s="50"/>
      <c r="O411" s="52"/>
      <c r="P411" s="54"/>
      <c r="Q411" s="54"/>
      <c r="R411" s="52"/>
      <c r="S411" s="52"/>
      <c r="T411" s="52"/>
      <c r="U411" s="52"/>
      <c r="V411" s="52"/>
    </row>
    <row r="412" spans="1:22" ht="13.2" x14ac:dyDescent="0.25">
      <c r="A412" s="52"/>
      <c r="B412" s="52"/>
      <c r="C412" s="52"/>
      <c r="D412" s="52"/>
      <c r="E412" s="52"/>
      <c r="F412" s="50"/>
      <c r="G412" s="52"/>
      <c r="H412" s="52"/>
      <c r="I412" s="52"/>
      <c r="J412" s="51"/>
      <c r="K412" s="52"/>
      <c r="L412" s="52"/>
      <c r="M412" s="52"/>
      <c r="N412" s="50"/>
      <c r="O412" s="52"/>
      <c r="P412" s="54"/>
      <c r="Q412" s="54"/>
      <c r="R412" s="52"/>
      <c r="S412" s="52"/>
      <c r="T412" s="52"/>
      <c r="U412" s="52"/>
      <c r="V412" s="52"/>
    </row>
    <row r="413" spans="1:22" ht="13.2" x14ac:dyDescent="0.25">
      <c r="A413" s="52"/>
      <c r="B413" s="52"/>
      <c r="C413" s="52"/>
      <c r="D413" s="52"/>
      <c r="E413" s="52"/>
      <c r="F413" s="50"/>
      <c r="G413" s="52"/>
      <c r="H413" s="52"/>
      <c r="I413" s="52"/>
      <c r="J413" s="51"/>
      <c r="K413" s="52"/>
      <c r="L413" s="52"/>
      <c r="M413" s="52"/>
      <c r="N413" s="50"/>
      <c r="O413" s="52"/>
      <c r="P413" s="54"/>
      <c r="Q413" s="54"/>
      <c r="R413" s="52"/>
      <c r="S413" s="52"/>
      <c r="T413" s="52"/>
      <c r="U413" s="52"/>
      <c r="V413" s="52"/>
    </row>
    <row r="414" spans="1:22" ht="13.2" x14ac:dyDescent="0.25">
      <c r="A414" s="52"/>
      <c r="B414" s="52"/>
      <c r="C414" s="52"/>
      <c r="D414" s="52"/>
      <c r="E414" s="52"/>
      <c r="F414" s="50"/>
      <c r="G414" s="52"/>
      <c r="H414" s="52"/>
      <c r="I414" s="52"/>
      <c r="J414" s="51"/>
      <c r="K414" s="52"/>
      <c r="L414" s="52"/>
      <c r="M414" s="52"/>
      <c r="N414" s="50"/>
      <c r="O414" s="52"/>
      <c r="P414" s="54"/>
      <c r="Q414" s="54"/>
      <c r="R414" s="52"/>
      <c r="S414" s="52"/>
      <c r="T414" s="52"/>
      <c r="U414" s="52"/>
      <c r="V414" s="52"/>
    </row>
    <row r="415" spans="1:22" ht="13.2" x14ac:dyDescent="0.25">
      <c r="A415" s="52"/>
      <c r="B415" s="52"/>
      <c r="C415" s="52"/>
      <c r="D415" s="52"/>
      <c r="E415" s="52"/>
      <c r="F415" s="50"/>
      <c r="G415" s="52"/>
      <c r="H415" s="52"/>
      <c r="I415" s="52"/>
      <c r="J415" s="51"/>
      <c r="K415" s="52"/>
      <c r="L415" s="52"/>
      <c r="M415" s="52"/>
      <c r="N415" s="50"/>
      <c r="O415" s="52"/>
      <c r="P415" s="54"/>
      <c r="Q415" s="54"/>
      <c r="R415" s="52"/>
      <c r="S415" s="52"/>
      <c r="T415" s="52"/>
      <c r="U415" s="52"/>
      <c r="V415" s="52"/>
    </row>
    <row r="416" spans="1:22" ht="13.2" x14ac:dyDescent="0.25">
      <c r="A416" s="52"/>
      <c r="B416" s="52"/>
      <c r="C416" s="52"/>
      <c r="D416" s="52"/>
      <c r="E416" s="52"/>
      <c r="F416" s="50"/>
      <c r="G416" s="52"/>
      <c r="H416" s="52"/>
      <c r="I416" s="52"/>
      <c r="J416" s="51"/>
      <c r="K416" s="52"/>
      <c r="L416" s="52"/>
      <c r="M416" s="52"/>
      <c r="N416" s="50"/>
      <c r="O416" s="52"/>
      <c r="P416" s="54"/>
      <c r="Q416" s="54"/>
      <c r="R416" s="52"/>
      <c r="S416" s="52"/>
      <c r="T416" s="52"/>
      <c r="U416" s="52"/>
      <c r="V416" s="52"/>
    </row>
    <row r="417" spans="1:22" ht="13.2" x14ac:dyDescent="0.25">
      <c r="A417" s="52"/>
      <c r="B417" s="52"/>
      <c r="C417" s="52"/>
      <c r="D417" s="52"/>
      <c r="E417" s="52"/>
      <c r="F417" s="50"/>
      <c r="G417" s="52"/>
      <c r="H417" s="52"/>
      <c r="I417" s="52"/>
      <c r="J417" s="51"/>
      <c r="K417" s="52"/>
      <c r="L417" s="52"/>
      <c r="M417" s="52"/>
      <c r="N417" s="50"/>
      <c r="O417" s="52"/>
      <c r="P417" s="54"/>
      <c r="Q417" s="54"/>
      <c r="R417" s="52"/>
      <c r="S417" s="52"/>
      <c r="T417" s="52"/>
      <c r="U417" s="52"/>
      <c r="V417" s="52"/>
    </row>
    <row r="418" spans="1:22" ht="13.2" x14ac:dyDescent="0.25">
      <c r="A418" s="52"/>
      <c r="B418" s="52"/>
      <c r="C418" s="52"/>
      <c r="D418" s="52"/>
      <c r="E418" s="52"/>
      <c r="F418" s="50"/>
      <c r="G418" s="52"/>
      <c r="H418" s="52"/>
      <c r="I418" s="52"/>
      <c r="J418" s="51"/>
      <c r="K418" s="52"/>
      <c r="L418" s="52"/>
      <c r="M418" s="52"/>
      <c r="N418" s="50"/>
      <c r="O418" s="52"/>
      <c r="P418" s="54"/>
      <c r="Q418" s="54"/>
      <c r="R418" s="52"/>
      <c r="S418" s="52"/>
      <c r="T418" s="52"/>
      <c r="U418" s="52"/>
      <c r="V418" s="52"/>
    </row>
    <row r="419" spans="1:22" ht="13.2" x14ac:dyDescent="0.25">
      <c r="A419" s="52"/>
      <c r="B419" s="52"/>
      <c r="C419" s="52"/>
      <c r="D419" s="52"/>
      <c r="E419" s="52"/>
      <c r="F419" s="50"/>
      <c r="G419" s="52"/>
      <c r="H419" s="52"/>
      <c r="I419" s="52"/>
      <c r="J419" s="51"/>
      <c r="K419" s="52"/>
      <c r="L419" s="52"/>
      <c r="M419" s="52"/>
      <c r="N419" s="50"/>
      <c r="O419" s="52"/>
      <c r="P419" s="54"/>
      <c r="Q419" s="54"/>
      <c r="R419" s="52"/>
      <c r="S419" s="52"/>
      <c r="T419" s="52"/>
      <c r="U419" s="52"/>
      <c r="V419" s="52"/>
    </row>
    <row r="420" spans="1:22" ht="13.2" x14ac:dyDescent="0.25">
      <c r="A420" s="52"/>
      <c r="B420" s="52"/>
      <c r="C420" s="52"/>
      <c r="D420" s="52"/>
      <c r="E420" s="52"/>
      <c r="F420" s="50"/>
      <c r="G420" s="52"/>
      <c r="H420" s="52"/>
      <c r="I420" s="52"/>
      <c r="J420" s="51"/>
      <c r="K420" s="52"/>
      <c r="L420" s="52"/>
      <c r="M420" s="52"/>
      <c r="N420" s="50"/>
      <c r="O420" s="52"/>
      <c r="P420" s="54"/>
      <c r="Q420" s="54"/>
      <c r="R420" s="52"/>
      <c r="S420" s="52"/>
      <c r="T420" s="52"/>
      <c r="U420" s="52"/>
      <c r="V420" s="52"/>
    </row>
    <row r="421" spans="1:22" ht="13.2" x14ac:dyDescent="0.25">
      <c r="A421" s="52"/>
      <c r="B421" s="52"/>
      <c r="C421" s="52"/>
      <c r="D421" s="52"/>
      <c r="E421" s="52"/>
      <c r="F421" s="50"/>
      <c r="G421" s="52"/>
      <c r="H421" s="52"/>
      <c r="I421" s="52"/>
      <c r="J421" s="51"/>
      <c r="K421" s="52"/>
      <c r="L421" s="52"/>
      <c r="M421" s="52"/>
      <c r="N421" s="50"/>
      <c r="O421" s="52"/>
      <c r="P421" s="54"/>
      <c r="Q421" s="54"/>
      <c r="R421" s="52"/>
      <c r="S421" s="52"/>
      <c r="T421" s="52"/>
      <c r="U421" s="52"/>
      <c r="V421" s="52"/>
    </row>
    <row r="422" spans="1:22" ht="13.2" x14ac:dyDescent="0.25">
      <c r="A422" s="52"/>
      <c r="B422" s="52"/>
      <c r="C422" s="52"/>
      <c r="D422" s="52"/>
      <c r="E422" s="52"/>
      <c r="F422" s="50"/>
      <c r="G422" s="52"/>
      <c r="H422" s="52"/>
      <c r="I422" s="52"/>
      <c r="J422" s="51"/>
      <c r="K422" s="52"/>
      <c r="L422" s="52"/>
      <c r="M422" s="52"/>
      <c r="N422" s="50"/>
      <c r="O422" s="52"/>
      <c r="P422" s="54"/>
      <c r="Q422" s="54"/>
      <c r="R422" s="52"/>
      <c r="S422" s="52"/>
      <c r="T422" s="52"/>
      <c r="U422" s="52"/>
      <c r="V422" s="52"/>
    </row>
    <row r="423" spans="1:22" ht="13.2" x14ac:dyDescent="0.25">
      <c r="A423" s="52"/>
      <c r="B423" s="52"/>
      <c r="C423" s="52"/>
      <c r="D423" s="52"/>
      <c r="E423" s="52"/>
      <c r="F423" s="50"/>
      <c r="G423" s="52"/>
      <c r="H423" s="52"/>
      <c r="I423" s="52"/>
      <c r="J423" s="51"/>
      <c r="K423" s="52"/>
      <c r="L423" s="52"/>
      <c r="M423" s="52"/>
      <c r="N423" s="50"/>
      <c r="O423" s="52"/>
      <c r="P423" s="54"/>
      <c r="Q423" s="54"/>
      <c r="R423" s="52"/>
      <c r="S423" s="52"/>
      <c r="T423" s="52"/>
      <c r="U423" s="52"/>
      <c r="V423" s="52"/>
    </row>
    <row r="424" spans="1:22" ht="13.2" x14ac:dyDescent="0.25">
      <c r="A424" s="52"/>
      <c r="B424" s="52"/>
      <c r="C424" s="52"/>
      <c r="D424" s="52"/>
      <c r="E424" s="52"/>
      <c r="F424" s="50"/>
      <c r="G424" s="52"/>
      <c r="H424" s="52"/>
      <c r="I424" s="52"/>
      <c r="J424" s="51"/>
      <c r="K424" s="52"/>
      <c r="L424" s="52"/>
      <c r="M424" s="52"/>
      <c r="N424" s="50"/>
      <c r="O424" s="52"/>
      <c r="P424" s="54"/>
      <c r="Q424" s="54"/>
      <c r="R424" s="52"/>
      <c r="S424" s="52"/>
      <c r="T424" s="52"/>
      <c r="U424" s="52"/>
      <c r="V424" s="52"/>
    </row>
    <row r="425" spans="1:22" ht="13.2" x14ac:dyDescent="0.25">
      <c r="A425" s="52"/>
      <c r="B425" s="52"/>
      <c r="C425" s="52"/>
      <c r="D425" s="52"/>
      <c r="E425" s="52"/>
      <c r="F425" s="50"/>
      <c r="G425" s="52"/>
      <c r="H425" s="52"/>
      <c r="I425" s="52"/>
      <c r="J425" s="51"/>
      <c r="K425" s="52"/>
      <c r="L425" s="52"/>
      <c r="M425" s="52"/>
      <c r="N425" s="50"/>
      <c r="O425" s="52"/>
      <c r="P425" s="54"/>
      <c r="Q425" s="54"/>
      <c r="R425" s="52"/>
      <c r="S425" s="52"/>
      <c r="T425" s="52"/>
      <c r="U425" s="52"/>
      <c r="V425" s="52"/>
    </row>
    <row r="426" spans="1:22" ht="13.2" x14ac:dyDescent="0.25">
      <c r="A426" s="52"/>
      <c r="B426" s="52"/>
      <c r="C426" s="52"/>
      <c r="D426" s="52"/>
      <c r="E426" s="52"/>
      <c r="F426" s="50"/>
      <c r="G426" s="52"/>
      <c r="H426" s="52"/>
      <c r="I426" s="52"/>
      <c r="J426" s="51"/>
      <c r="K426" s="52"/>
      <c r="L426" s="52"/>
      <c r="M426" s="52"/>
      <c r="N426" s="50"/>
      <c r="O426" s="52"/>
      <c r="P426" s="54"/>
      <c r="Q426" s="54"/>
      <c r="R426" s="52"/>
      <c r="S426" s="52"/>
      <c r="T426" s="52"/>
      <c r="U426" s="52"/>
      <c r="V426" s="52"/>
    </row>
    <row r="427" spans="1:22" ht="13.2" x14ac:dyDescent="0.25">
      <c r="A427" s="52"/>
      <c r="B427" s="52"/>
      <c r="C427" s="52"/>
      <c r="D427" s="52"/>
      <c r="E427" s="52"/>
      <c r="F427" s="50"/>
      <c r="G427" s="52"/>
      <c r="H427" s="52"/>
      <c r="I427" s="52"/>
      <c r="J427" s="51"/>
      <c r="K427" s="52"/>
      <c r="L427" s="52"/>
      <c r="M427" s="52"/>
      <c r="N427" s="50"/>
      <c r="O427" s="52"/>
      <c r="P427" s="54"/>
      <c r="Q427" s="54"/>
      <c r="R427" s="52"/>
      <c r="S427" s="52"/>
      <c r="T427" s="52"/>
      <c r="U427" s="52"/>
      <c r="V427" s="52"/>
    </row>
    <row r="428" spans="1:22" ht="13.2" x14ac:dyDescent="0.25">
      <c r="A428" s="52"/>
      <c r="B428" s="52"/>
      <c r="C428" s="52"/>
      <c r="D428" s="52"/>
      <c r="E428" s="52"/>
      <c r="F428" s="50"/>
      <c r="G428" s="52"/>
      <c r="H428" s="52"/>
      <c r="I428" s="52"/>
      <c r="J428" s="51"/>
      <c r="K428" s="52"/>
      <c r="L428" s="52"/>
      <c r="M428" s="52"/>
      <c r="N428" s="50"/>
      <c r="O428" s="52"/>
      <c r="P428" s="54"/>
      <c r="Q428" s="54"/>
      <c r="R428" s="52"/>
      <c r="S428" s="52"/>
      <c r="T428" s="52"/>
      <c r="U428" s="52"/>
      <c r="V428" s="52"/>
    </row>
    <row r="429" spans="1:22" ht="13.2" x14ac:dyDescent="0.25">
      <c r="A429" s="52"/>
      <c r="B429" s="52"/>
      <c r="C429" s="52"/>
      <c r="D429" s="52"/>
      <c r="E429" s="52"/>
      <c r="F429" s="50"/>
      <c r="G429" s="52"/>
      <c r="H429" s="52"/>
      <c r="I429" s="52"/>
      <c r="J429" s="51"/>
      <c r="K429" s="52"/>
      <c r="L429" s="52"/>
      <c r="M429" s="52"/>
      <c r="N429" s="50"/>
      <c r="O429" s="52"/>
      <c r="P429" s="54"/>
      <c r="Q429" s="54"/>
      <c r="R429" s="52"/>
      <c r="S429" s="52"/>
      <c r="T429" s="52"/>
      <c r="U429" s="52"/>
      <c r="V429" s="52"/>
    </row>
    <row r="430" spans="1:22" ht="13.2" x14ac:dyDescent="0.25">
      <c r="A430" s="52"/>
      <c r="B430" s="52"/>
      <c r="C430" s="52"/>
      <c r="D430" s="52"/>
      <c r="E430" s="52"/>
      <c r="F430" s="50"/>
      <c r="G430" s="52"/>
      <c r="H430" s="52"/>
      <c r="I430" s="52"/>
      <c r="J430" s="51"/>
      <c r="K430" s="52"/>
      <c r="L430" s="52"/>
      <c r="M430" s="52"/>
      <c r="N430" s="50"/>
      <c r="O430" s="52"/>
      <c r="P430" s="54"/>
      <c r="Q430" s="54"/>
      <c r="R430" s="52"/>
      <c r="S430" s="52"/>
      <c r="T430" s="52"/>
      <c r="U430" s="52"/>
      <c r="V430" s="52"/>
    </row>
    <row r="431" spans="1:22" ht="13.2" x14ac:dyDescent="0.25">
      <c r="A431" s="52"/>
      <c r="B431" s="52"/>
      <c r="C431" s="52"/>
      <c r="D431" s="52"/>
      <c r="E431" s="52"/>
      <c r="F431" s="50"/>
      <c r="G431" s="52"/>
      <c r="H431" s="52"/>
      <c r="I431" s="52"/>
      <c r="J431" s="51"/>
      <c r="K431" s="52"/>
      <c r="L431" s="52"/>
      <c r="M431" s="52"/>
      <c r="N431" s="50"/>
      <c r="O431" s="52"/>
      <c r="P431" s="54"/>
      <c r="Q431" s="54"/>
      <c r="R431" s="52"/>
      <c r="S431" s="52"/>
      <c r="T431" s="52"/>
      <c r="U431" s="52"/>
      <c r="V431" s="52"/>
    </row>
    <row r="432" spans="1:22" ht="13.2" x14ac:dyDescent="0.25">
      <c r="A432" s="52"/>
      <c r="B432" s="52"/>
      <c r="C432" s="52"/>
      <c r="D432" s="52"/>
      <c r="E432" s="52"/>
      <c r="F432" s="50"/>
      <c r="G432" s="52"/>
      <c r="H432" s="52"/>
      <c r="I432" s="52"/>
      <c r="J432" s="51"/>
      <c r="K432" s="52"/>
      <c r="L432" s="52"/>
      <c r="M432" s="52"/>
      <c r="N432" s="50"/>
      <c r="O432" s="52"/>
      <c r="P432" s="54"/>
      <c r="Q432" s="54"/>
      <c r="R432" s="52"/>
      <c r="S432" s="52"/>
      <c r="T432" s="52"/>
      <c r="U432" s="52"/>
      <c r="V432" s="52"/>
    </row>
    <row r="433" spans="1:22" ht="13.2" x14ac:dyDescent="0.25">
      <c r="A433" s="52"/>
      <c r="B433" s="52"/>
      <c r="C433" s="52"/>
      <c r="D433" s="52"/>
      <c r="E433" s="52"/>
      <c r="F433" s="50"/>
      <c r="G433" s="52"/>
      <c r="H433" s="52"/>
      <c r="I433" s="52"/>
      <c r="J433" s="51"/>
      <c r="K433" s="52"/>
      <c r="L433" s="52"/>
      <c r="M433" s="52"/>
      <c r="N433" s="50"/>
      <c r="O433" s="52"/>
      <c r="P433" s="54"/>
      <c r="Q433" s="54"/>
      <c r="R433" s="52"/>
      <c r="S433" s="52"/>
      <c r="T433" s="52"/>
      <c r="U433" s="52"/>
      <c r="V433" s="52"/>
    </row>
    <row r="434" spans="1:22" ht="13.2" x14ac:dyDescent="0.25">
      <c r="A434" s="52"/>
      <c r="B434" s="52"/>
      <c r="C434" s="52"/>
      <c r="D434" s="52"/>
      <c r="E434" s="52"/>
      <c r="F434" s="50"/>
      <c r="G434" s="52"/>
      <c r="H434" s="52"/>
      <c r="I434" s="52"/>
      <c r="J434" s="51"/>
      <c r="K434" s="52"/>
      <c r="L434" s="52"/>
      <c r="M434" s="52"/>
      <c r="N434" s="50"/>
      <c r="O434" s="52"/>
      <c r="P434" s="54"/>
      <c r="Q434" s="54"/>
      <c r="R434" s="52"/>
      <c r="S434" s="52"/>
      <c r="T434" s="52"/>
      <c r="U434" s="52"/>
      <c r="V434" s="52"/>
    </row>
    <row r="435" spans="1:22" ht="13.2" x14ac:dyDescent="0.25">
      <c r="A435" s="52"/>
      <c r="B435" s="52"/>
      <c r="C435" s="52"/>
      <c r="D435" s="52"/>
      <c r="E435" s="52"/>
      <c r="F435" s="50"/>
      <c r="G435" s="52"/>
      <c r="H435" s="52"/>
      <c r="I435" s="52"/>
      <c r="J435" s="51"/>
      <c r="K435" s="52"/>
      <c r="L435" s="52"/>
      <c r="M435" s="52"/>
      <c r="N435" s="50"/>
      <c r="O435" s="52"/>
      <c r="P435" s="54"/>
      <c r="Q435" s="54"/>
      <c r="R435" s="52"/>
      <c r="S435" s="52"/>
      <c r="T435" s="52"/>
      <c r="U435" s="52"/>
      <c r="V435" s="52"/>
    </row>
    <row r="436" spans="1:22" ht="13.2" x14ac:dyDescent="0.25">
      <c r="A436" s="52"/>
      <c r="B436" s="52"/>
      <c r="C436" s="52"/>
      <c r="D436" s="52"/>
      <c r="E436" s="52"/>
      <c r="F436" s="50"/>
      <c r="G436" s="52"/>
      <c r="H436" s="52"/>
      <c r="I436" s="52"/>
      <c r="J436" s="51"/>
      <c r="K436" s="52"/>
      <c r="L436" s="52"/>
      <c r="M436" s="52"/>
      <c r="N436" s="50"/>
      <c r="O436" s="52"/>
      <c r="P436" s="54"/>
      <c r="Q436" s="54"/>
      <c r="R436" s="52"/>
      <c r="S436" s="52"/>
      <c r="T436" s="52"/>
      <c r="U436" s="52"/>
      <c r="V436" s="52"/>
    </row>
    <row r="437" spans="1:22" ht="13.2" x14ac:dyDescent="0.25">
      <c r="A437" s="52"/>
      <c r="B437" s="52"/>
      <c r="C437" s="52"/>
      <c r="D437" s="52"/>
      <c r="E437" s="52"/>
      <c r="F437" s="50"/>
      <c r="G437" s="52"/>
      <c r="H437" s="52"/>
      <c r="I437" s="52"/>
      <c r="J437" s="51"/>
      <c r="K437" s="52"/>
      <c r="L437" s="52"/>
      <c r="M437" s="52"/>
      <c r="N437" s="50"/>
      <c r="O437" s="52"/>
      <c r="P437" s="54"/>
      <c r="Q437" s="54"/>
      <c r="R437" s="52"/>
      <c r="S437" s="52"/>
      <c r="T437" s="52"/>
      <c r="U437" s="52"/>
      <c r="V437" s="52"/>
    </row>
    <row r="438" spans="1:22" ht="13.2" x14ac:dyDescent="0.25">
      <c r="A438" s="52"/>
      <c r="B438" s="52"/>
      <c r="C438" s="52"/>
      <c r="D438" s="52"/>
      <c r="E438" s="52"/>
      <c r="F438" s="50"/>
      <c r="G438" s="52"/>
      <c r="H438" s="52"/>
      <c r="I438" s="52"/>
      <c r="J438" s="51"/>
      <c r="K438" s="52"/>
      <c r="L438" s="52"/>
      <c r="M438" s="52"/>
      <c r="N438" s="50"/>
      <c r="O438" s="52"/>
      <c r="P438" s="54"/>
      <c r="Q438" s="54"/>
      <c r="R438" s="52"/>
      <c r="S438" s="52"/>
      <c r="T438" s="52"/>
      <c r="U438" s="52"/>
      <c r="V438" s="52"/>
    </row>
    <row r="439" spans="1:22" ht="13.2" x14ac:dyDescent="0.25">
      <c r="A439" s="52"/>
      <c r="B439" s="52"/>
      <c r="C439" s="52"/>
      <c r="D439" s="52"/>
      <c r="E439" s="52"/>
      <c r="F439" s="50"/>
      <c r="G439" s="52"/>
      <c r="H439" s="52"/>
      <c r="I439" s="52"/>
      <c r="J439" s="51"/>
      <c r="K439" s="52"/>
      <c r="L439" s="52"/>
      <c r="M439" s="52"/>
      <c r="N439" s="50"/>
      <c r="O439" s="52"/>
      <c r="P439" s="54"/>
      <c r="Q439" s="54"/>
      <c r="R439" s="52"/>
      <c r="S439" s="52"/>
      <c r="T439" s="52"/>
      <c r="U439" s="52"/>
      <c r="V439" s="52"/>
    </row>
    <row r="440" spans="1:22" ht="13.2" x14ac:dyDescent="0.25">
      <c r="A440" s="52"/>
      <c r="B440" s="52"/>
      <c r="C440" s="52"/>
      <c r="D440" s="52"/>
      <c r="E440" s="52"/>
      <c r="F440" s="50"/>
      <c r="G440" s="52"/>
      <c r="H440" s="52"/>
      <c r="I440" s="52"/>
      <c r="J440" s="51"/>
      <c r="K440" s="52"/>
      <c r="L440" s="52"/>
      <c r="M440" s="52"/>
      <c r="N440" s="50"/>
      <c r="O440" s="52"/>
      <c r="P440" s="54"/>
      <c r="Q440" s="54"/>
      <c r="R440" s="52"/>
      <c r="S440" s="52"/>
      <c r="T440" s="52"/>
      <c r="U440" s="52"/>
      <c r="V440" s="52"/>
    </row>
    <row r="441" spans="1:22" ht="13.2" x14ac:dyDescent="0.25">
      <c r="A441" s="52"/>
      <c r="B441" s="52"/>
      <c r="C441" s="52"/>
      <c r="D441" s="52"/>
      <c r="E441" s="52"/>
      <c r="F441" s="50"/>
      <c r="G441" s="52"/>
      <c r="H441" s="52"/>
      <c r="I441" s="52"/>
      <c r="J441" s="51"/>
      <c r="K441" s="52"/>
      <c r="L441" s="52"/>
      <c r="M441" s="52"/>
      <c r="N441" s="50"/>
      <c r="O441" s="52"/>
      <c r="P441" s="54"/>
      <c r="Q441" s="54"/>
      <c r="R441" s="52"/>
      <c r="S441" s="52"/>
      <c r="T441" s="52"/>
      <c r="U441" s="52"/>
      <c r="V441" s="52"/>
    </row>
    <row r="442" spans="1:22" ht="13.2" x14ac:dyDescent="0.25">
      <c r="A442" s="52"/>
      <c r="B442" s="52"/>
      <c r="C442" s="52"/>
      <c r="D442" s="52"/>
      <c r="E442" s="52"/>
      <c r="F442" s="50"/>
      <c r="G442" s="52"/>
      <c r="H442" s="52"/>
      <c r="I442" s="52"/>
      <c r="J442" s="51"/>
      <c r="K442" s="52"/>
      <c r="L442" s="52"/>
      <c r="M442" s="52"/>
      <c r="N442" s="50"/>
      <c r="O442" s="52"/>
      <c r="P442" s="54"/>
      <c r="Q442" s="54"/>
      <c r="R442" s="52"/>
      <c r="S442" s="52"/>
      <c r="T442" s="52"/>
      <c r="U442" s="52"/>
      <c r="V442" s="52"/>
    </row>
    <row r="443" spans="1:22" ht="13.2" x14ac:dyDescent="0.25">
      <c r="A443" s="52"/>
      <c r="B443" s="52"/>
      <c r="C443" s="52"/>
      <c r="D443" s="52"/>
      <c r="E443" s="52"/>
      <c r="F443" s="50"/>
      <c r="G443" s="52"/>
      <c r="H443" s="52"/>
      <c r="I443" s="52"/>
      <c r="J443" s="51"/>
      <c r="K443" s="52"/>
      <c r="L443" s="52"/>
      <c r="M443" s="52"/>
      <c r="N443" s="50"/>
      <c r="O443" s="52"/>
      <c r="P443" s="54"/>
      <c r="Q443" s="54"/>
      <c r="R443" s="52"/>
      <c r="S443" s="52"/>
      <c r="T443" s="52"/>
      <c r="U443" s="52"/>
      <c r="V443" s="52"/>
    </row>
    <row r="444" spans="1:22" ht="13.2" x14ac:dyDescent="0.25">
      <c r="A444" s="52"/>
      <c r="B444" s="52"/>
      <c r="C444" s="52"/>
      <c r="D444" s="52"/>
      <c r="E444" s="52"/>
      <c r="F444" s="50"/>
      <c r="G444" s="52"/>
      <c r="H444" s="52"/>
      <c r="I444" s="52"/>
      <c r="J444" s="51"/>
      <c r="K444" s="52"/>
      <c r="L444" s="52"/>
      <c r="M444" s="52"/>
      <c r="N444" s="50"/>
      <c r="O444" s="52"/>
      <c r="P444" s="54"/>
      <c r="Q444" s="54"/>
      <c r="R444" s="52"/>
      <c r="S444" s="52"/>
      <c r="T444" s="52"/>
      <c r="U444" s="52"/>
      <c r="V444" s="52"/>
    </row>
    <row r="445" spans="1:22" ht="13.2" x14ac:dyDescent="0.25">
      <c r="A445" s="52"/>
      <c r="B445" s="52"/>
      <c r="C445" s="52"/>
      <c r="D445" s="52"/>
      <c r="E445" s="52"/>
      <c r="F445" s="50"/>
      <c r="G445" s="52"/>
      <c r="H445" s="52"/>
      <c r="I445" s="52"/>
      <c r="J445" s="51"/>
      <c r="K445" s="52"/>
      <c r="L445" s="52"/>
      <c r="M445" s="52"/>
      <c r="N445" s="50"/>
      <c r="O445" s="52"/>
      <c r="P445" s="54"/>
      <c r="Q445" s="54"/>
      <c r="R445" s="52"/>
      <c r="S445" s="52"/>
      <c r="T445" s="52"/>
      <c r="U445" s="52"/>
      <c r="V445" s="52"/>
    </row>
    <row r="446" spans="1:22" ht="13.2" x14ac:dyDescent="0.25">
      <c r="A446" s="52"/>
      <c r="B446" s="52"/>
      <c r="C446" s="52"/>
      <c r="D446" s="52"/>
      <c r="E446" s="52"/>
      <c r="F446" s="50"/>
      <c r="G446" s="52"/>
      <c r="H446" s="52"/>
      <c r="I446" s="52"/>
      <c r="J446" s="51"/>
      <c r="K446" s="52"/>
      <c r="L446" s="52"/>
      <c r="M446" s="52"/>
      <c r="N446" s="50"/>
      <c r="O446" s="52"/>
      <c r="P446" s="54"/>
      <c r="Q446" s="54"/>
      <c r="R446" s="52"/>
      <c r="S446" s="52"/>
      <c r="T446" s="52"/>
      <c r="U446" s="52"/>
      <c r="V446" s="52"/>
    </row>
    <row r="447" spans="1:22" ht="13.2" x14ac:dyDescent="0.25">
      <c r="A447" s="52"/>
      <c r="B447" s="52"/>
      <c r="C447" s="52"/>
      <c r="D447" s="52"/>
      <c r="E447" s="52"/>
      <c r="F447" s="50"/>
      <c r="G447" s="52"/>
      <c r="H447" s="52"/>
      <c r="I447" s="52"/>
      <c r="J447" s="51"/>
      <c r="K447" s="52"/>
      <c r="L447" s="52"/>
      <c r="M447" s="52"/>
      <c r="N447" s="50"/>
      <c r="O447" s="52"/>
      <c r="P447" s="54"/>
      <c r="Q447" s="54"/>
      <c r="R447" s="52"/>
      <c r="S447" s="52"/>
      <c r="T447" s="52"/>
      <c r="U447" s="52"/>
      <c r="V447" s="52"/>
    </row>
    <row r="448" spans="1:22" ht="13.2" x14ac:dyDescent="0.25">
      <c r="A448" s="52"/>
      <c r="B448" s="52"/>
      <c r="C448" s="52"/>
      <c r="D448" s="52"/>
      <c r="E448" s="52"/>
      <c r="F448" s="50"/>
      <c r="G448" s="52"/>
      <c r="H448" s="52"/>
      <c r="I448" s="52"/>
      <c r="J448" s="51"/>
      <c r="K448" s="52"/>
      <c r="L448" s="52"/>
      <c r="M448" s="52"/>
      <c r="N448" s="50"/>
      <c r="O448" s="52"/>
      <c r="P448" s="54"/>
      <c r="Q448" s="54"/>
      <c r="R448" s="52"/>
      <c r="S448" s="52"/>
      <c r="T448" s="52"/>
      <c r="U448" s="52"/>
      <c r="V448" s="52"/>
    </row>
    <row r="449" spans="1:22" ht="13.2" x14ac:dyDescent="0.25">
      <c r="A449" s="52"/>
      <c r="B449" s="52"/>
      <c r="C449" s="52"/>
      <c r="D449" s="52"/>
      <c r="E449" s="52"/>
      <c r="F449" s="50"/>
      <c r="G449" s="52"/>
      <c r="H449" s="52"/>
      <c r="I449" s="52"/>
      <c r="J449" s="51"/>
      <c r="K449" s="52"/>
      <c r="L449" s="52"/>
      <c r="M449" s="52"/>
      <c r="N449" s="50"/>
      <c r="O449" s="52"/>
      <c r="P449" s="54"/>
      <c r="Q449" s="54"/>
      <c r="R449" s="52"/>
      <c r="S449" s="52"/>
      <c r="T449" s="52"/>
      <c r="U449" s="52"/>
      <c r="V449" s="52"/>
    </row>
    <row r="450" spans="1:22" ht="13.2" x14ac:dyDescent="0.25">
      <c r="A450" s="52"/>
      <c r="B450" s="52"/>
      <c r="C450" s="52"/>
      <c r="D450" s="52"/>
      <c r="E450" s="52"/>
      <c r="F450" s="50"/>
      <c r="G450" s="52"/>
      <c r="H450" s="52"/>
      <c r="I450" s="52"/>
      <c r="J450" s="51"/>
      <c r="K450" s="52"/>
      <c r="L450" s="52"/>
      <c r="M450" s="52"/>
      <c r="N450" s="50"/>
      <c r="O450" s="52"/>
      <c r="P450" s="54"/>
      <c r="Q450" s="54"/>
      <c r="R450" s="52"/>
      <c r="S450" s="52"/>
      <c r="T450" s="52"/>
      <c r="U450" s="52"/>
      <c r="V450" s="52"/>
    </row>
    <row r="451" spans="1:22" ht="13.2" x14ac:dyDescent="0.25">
      <c r="A451" s="52"/>
      <c r="B451" s="52"/>
      <c r="C451" s="52"/>
      <c r="D451" s="52"/>
      <c r="E451" s="52"/>
      <c r="F451" s="50"/>
      <c r="G451" s="52"/>
      <c r="H451" s="52"/>
      <c r="I451" s="52"/>
      <c r="J451" s="51"/>
      <c r="K451" s="52"/>
      <c r="L451" s="52"/>
      <c r="M451" s="52"/>
      <c r="N451" s="50"/>
      <c r="O451" s="52"/>
      <c r="P451" s="54"/>
      <c r="Q451" s="54"/>
      <c r="R451" s="52"/>
      <c r="S451" s="52"/>
      <c r="T451" s="52"/>
      <c r="U451" s="52"/>
      <c r="V451" s="52"/>
    </row>
    <row r="452" spans="1:22" ht="13.2" x14ac:dyDescent="0.25">
      <c r="A452" s="52"/>
      <c r="B452" s="52"/>
      <c r="C452" s="52"/>
      <c r="D452" s="52"/>
      <c r="E452" s="52"/>
      <c r="F452" s="50"/>
      <c r="G452" s="52"/>
      <c r="H452" s="52"/>
      <c r="I452" s="52"/>
      <c r="J452" s="51"/>
      <c r="K452" s="52"/>
      <c r="L452" s="52"/>
      <c r="M452" s="52"/>
      <c r="N452" s="50"/>
      <c r="O452" s="52"/>
      <c r="P452" s="54"/>
      <c r="Q452" s="54"/>
      <c r="R452" s="52"/>
      <c r="S452" s="52"/>
      <c r="T452" s="52"/>
      <c r="U452" s="52"/>
      <c r="V452" s="52"/>
    </row>
    <row r="453" spans="1:22" ht="13.2" x14ac:dyDescent="0.25">
      <c r="A453" s="52"/>
      <c r="B453" s="52"/>
      <c r="C453" s="52"/>
      <c r="D453" s="52"/>
      <c r="E453" s="52"/>
      <c r="F453" s="50"/>
      <c r="G453" s="52"/>
      <c r="H453" s="52"/>
      <c r="I453" s="52"/>
      <c r="J453" s="51"/>
      <c r="K453" s="52"/>
      <c r="L453" s="52"/>
      <c r="M453" s="52"/>
      <c r="N453" s="50"/>
      <c r="O453" s="52"/>
      <c r="P453" s="54"/>
      <c r="Q453" s="54"/>
      <c r="R453" s="52"/>
      <c r="S453" s="52"/>
      <c r="T453" s="52"/>
      <c r="U453" s="52"/>
      <c r="V453" s="52"/>
    </row>
    <row r="454" spans="1:22" ht="13.2" x14ac:dyDescent="0.25">
      <c r="A454" s="52"/>
      <c r="B454" s="52"/>
      <c r="C454" s="52"/>
      <c r="D454" s="52"/>
      <c r="E454" s="52"/>
      <c r="F454" s="50"/>
      <c r="G454" s="52"/>
      <c r="H454" s="52"/>
      <c r="I454" s="52"/>
      <c r="J454" s="51"/>
      <c r="K454" s="52"/>
      <c r="L454" s="52"/>
      <c r="M454" s="52"/>
      <c r="N454" s="50"/>
      <c r="O454" s="52"/>
      <c r="P454" s="54"/>
      <c r="Q454" s="54"/>
      <c r="R454" s="52"/>
      <c r="S454" s="52"/>
      <c r="T454" s="52"/>
      <c r="U454" s="52"/>
      <c r="V454" s="52"/>
    </row>
    <row r="455" spans="1:22" ht="13.2" x14ac:dyDescent="0.25">
      <c r="A455" s="52"/>
      <c r="B455" s="52"/>
      <c r="C455" s="52"/>
      <c r="D455" s="52"/>
      <c r="E455" s="52"/>
      <c r="F455" s="50"/>
      <c r="G455" s="52"/>
      <c r="H455" s="52"/>
      <c r="I455" s="52"/>
      <c r="J455" s="51"/>
      <c r="K455" s="52"/>
      <c r="L455" s="52"/>
      <c r="M455" s="52"/>
      <c r="N455" s="50"/>
      <c r="O455" s="52"/>
      <c r="P455" s="54"/>
      <c r="Q455" s="54"/>
      <c r="R455" s="52"/>
      <c r="S455" s="52"/>
      <c r="T455" s="52"/>
      <c r="U455" s="52"/>
      <c r="V455" s="52"/>
    </row>
    <row r="456" spans="1:22" ht="13.2" x14ac:dyDescent="0.25">
      <c r="A456" s="52"/>
      <c r="B456" s="52"/>
      <c r="C456" s="52"/>
      <c r="D456" s="52"/>
      <c r="E456" s="52"/>
      <c r="F456" s="50"/>
      <c r="G456" s="52"/>
      <c r="H456" s="52"/>
      <c r="I456" s="52"/>
      <c r="J456" s="51"/>
      <c r="K456" s="52"/>
      <c r="L456" s="52"/>
      <c r="M456" s="52"/>
      <c r="N456" s="50"/>
      <c r="O456" s="52"/>
      <c r="P456" s="54"/>
      <c r="Q456" s="54"/>
      <c r="R456" s="52"/>
      <c r="S456" s="52"/>
      <c r="T456" s="52"/>
      <c r="U456" s="52"/>
      <c r="V456" s="52"/>
    </row>
    <row r="457" spans="1:22" ht="13.2" x14ac:dyDescent="0.25">
      <c r="A457" s="52"/>
      <c r="B457" s="52"/>
      <c r="C457" s="52"/>
      <c r="D457" s="52"/>
      <c r="E457" s="52"/>
      <c r="F457" s="50"/>
      <c r="G457" s="52"/>
      <c r="H457" s="52"/>
      <c r="I457" s="52"/>
      <c r="J457" s="51"/>
      <c r="K457" s="52"/>
      <c r="L457" s="52"/>
      <c r="M457" s="52"/>
      <c r="N457" s="50"/>
      <c r="O457" s="52"/>
      <c r="P457" s="54"/>
      <c r="Q457" s="54"/>
      <c r="R457" s="52"/>
      <c r="S457" s="52"/>
      <c r="T457" s="52"/>
      <c r="U457" s="52"/>
      <c r="V457" s="52"/>
    </row>
    <row r="458" spans="1:22" ht="13.2" x14ac:dyDescent="0.25">
      <c r="A458" s="52"/>
      <c r="B458" s="52"/>
      <c r="C458" s="52"/>
      <c r="D458" s="52"/>
      <c r="E458" s="52"/>
      <c r="F458" s="50"/>
      <c r="G458" s="52"/>
      <c r="H458" s="52"/>
      <c r="I458" s="52"/>
      <c r="J458" s="51"/>
      <c r="K458" s="52"/>
      <c r="L458" s="52"/>
      <c r="M458" s="52"/>
      <c r="N458" s="50"/>
      <c r="O458" s="52"/>
      <c r="P458" s="54"/>
      <c r="Q458" s="54"/>
      <c r="R458" s="52"/>
      <c r="S458" s="52"/>
      <c r="T458" s="52"/>
      <c r="U458" s="52"/>
      <c r="V458" s="52"/>
    </row>
    <row r="459" spans="1:22" ht="13.2" x14ac:dyDescent="0.25">
      <c r="A459" s="52"/>
      <c r="B459" s="52"/>
      <c r="C459" s="52"/>
      <c r="D459" s="52"/>
      <c r="E459" s="52"/>
      <c r="F459" s="50"/>
      <c r="G459" s="52"/>
      <c r="H459" s="52"/>
      <c r="I459" s="52"/>
      <c r="J459" s="51"/>
      <c r="K459" s="52"/>
      <c r="L459" s="52"/>
      <c r="M459" s="52"/>
      <c r="N459" s="50"/>
      <c r="O459" s="52"/>
      <c r="P459" s="54"/>
      <c r="Q459" s="54"/>
      <c r="R459" s="52"/>
      <c r="S459" s="52"/>
      <c r="T459" s="52"/>
      <c r="U459" s="52"/>
      <c r="V459" s="52"/>
    </row>
    <row r="460" spans="1:22" ht="13.2" x14ac:dyDescent="0.25">
      <c r="A460" s="52"/>
      <c r="B460" s="52"/>
      <c r="C460" s="52"/>
      <c r="D460" s="52"/>
      <c r="E460" s="52"/>
      <c r="F460" s="50"/>
      <c r="G460" s="52"/>
      <c r="H460" s="52"/>
      <c r="I460" s="52"/>
      <c r="J460" s="51"/>
      <c r="K460" s="52"/>
      <c r="L460" s="52"/>
      <c r="M460" s="52"/>
      <c r="N460" s="50"/>
      <c r="O460" s="52"/>
      <c r="P460" s="54"/>
      <c r="Q460" s="54"/>
      <c r="R460" s="52"/>
      <c r="S460" s="52"/>
      <c r="T460" s="52"/>
      <c r="U460" s="52"/>
      <c r="V460" s="52"/>
    </row>
    <row r="461" spans="1:22" ht="13.2" x14ac:dyDescent="0.25">
      <c r="A461" s="52"/>
      <c r="B461" s="52"/>
      <c r="C461" s="52"/>
      <c r="D461" s="52"/>
      <c r="E461" s="52"/>
      <c r="F461" s="50"/>
      <c r="G461" s="52"/>
      <c r="H461" s="52"/>
      <c r="I461" s="52"/>
      <c r="J461" s="51"/>
      <c r="K461" s="52"/>
      <c r="L461" s="52"/>
      <c r="M461" s="52"/>
      <c r="N461" s="50"/>
      <c r="O461" s="52"/>
      <c r="P461" s="54"/>
      <c r="Q461" s="54"/>
      <c r="R461" s="52"/>
      <c r="S461" s="52"/>
      <c r="T461" s="52"/>
      <c r="U461" s="52"/>
      <c r="V461" s="52"/>
    </row>
    <row r="462" spans="1:22" ht="13.2" x14ac:dyDescent="0.25">
      <c r="A462" s="52"/>
      <c r="B462" s="52"/>
      <c r="C462" s="52"/>
      <c r="D462" s="52"/>
      <c r="E462" s="52"/>
      <c r="F462" s="50"/>
      <c r="G462" s="52"/>
      <c r="H462" s="52"/>
      <c r="I462" s="52"/>
      <c r="J462" s="51"/>
      <c r="K462" s="52"/>
      <c r="L462" s="52"/>
      <c r="M462" s="52"/>
      <c r="N462" s="50"/>
      <c r="O462" s="52"/>
      <c r="P462" s="54"/>
      <c r="Q462" s="54"/>
      <c r="R462" s="52"/>
      <c r="S462" s="52"/>
      <c r="T462" s="52"/>
      <c r="U462" s="52"/>
      <c r="V462" s="52"/>
    </row>
    <row r="463" spans="1:22" ht="13.2" x14ac:dyDescent="0.25">
      <c r="A463" s="52"/>
      <c r="B463" s="52"/>
      <c r="C463" s="52"/>
      <c r="D463" s="52"/>
      <c r="E463" s="52"/>
      <c r="F463" s="50"/>
      <c r="G463" s="52"/>
      <c r="H463" s="52"/>
      <c r="I463" s="52"/>
      <c r="J463" s="51"/>
      <c r="K463" s="52"/>
      <c r="L463" s="52"/>
      <c r="M463" s="52"/>
      <c r="N463" s="50"/>
      <c r="O463" s="52"/>
      <c r="P463" s="54"/>
      <c r="Q463" s="54"/>
      <c r="R463" s="52"/>
      <c r="S463" s="52"/>
      <c r="T463" s="52"/>
      <c r="U463" s="52"/>
      <c r="V463" s="52"/>
    </row>
    <row r="464" spans="1:22" ht="13.2" x14ac:dyDescent="0.25">
      <c r="A464" s="52"/>
      <c r="B464" s="52"/>
      <c r="C464" s="52"/>
      <c r="D464" s="52"/>
      <c r="E464" s="52"/>
      <c r="F464" s="50"/>
      <c r="G464" s="52"/>
      <c r="H464" s="52"/>
      <c r="I464" s="52"/>
      <c r="J464" s="51"/>
      <c r="K464" s="52"/>
      <c r="L464" s="52"/>
      <c r="M464" s="52"/>
      <c r="N464" s="50"/>
      <c r="O464" s="52"/>
      <c r="P464" s="54"/>
      <c r="Q464" s="54"/>
      <c r="R464" s="52"/>
      <c r="S464" s="52"/>
      <c r="T464" s="52"/>
      <c r="U464" s="52"/>
      <c r="V464" s="52"/>
    </row>
    <row r="465" spans="1:22" ht="13.2" x14ac:dyDescent="0.25">
      <c r="A465" s="52"/>
      <c r="B465" s="52"/>
      <c r="C465" s="52"/>
      <c r="D465" s="52"/>
      <c r="E465" s="52"/>
      <c r="F465" s="50"/>
      <c r="G465" s="52"/>
      <c r="H465" s="52"/>
      <c r="I465" s="52"/>
      <c r="J465" s="51"/>
      <c r="K465" s="52"/>
      <c r="L465" s="52"/>
      <c r="M465" s="52"/>
      <c r="N465" s="50"/>
      <c r="O465" s="52"/>
      <c r="P465" s="54"/>
      <c r="Q465" s="54"/>
      <c r="R465" s="52"/>
      <c r="S465" s="52"/>
      <c r="T465" s="52"/>
      <c r="U465" s="52"/>
      <c r="V465" s="52"/>
    </row>
    <row r="466" spans="1:22" ht="13.2" x14ac:dyDescent="0.25">
      <c r="A466" s="52"/>
      <c r="B466" s="52"/>
      <c r="C466" s="52"/>
      <c r="D466" s="52"/>
      <c r="E466" s="52"/>
      <c r="F466" s="50"/>
      <c r="G466" s="52"/>
      <c r="H466" s="52"/>
      <c r="I466" s="52"/>
      <c r="J466" s="51"/>
      <c r="K466" s="52"/>
      <c r="L466" s="52"/>
      <c r="M466" s="52"/>
      <c r="N466" s="50"/>
      <c r="O466" s="52"/>
      <c r="P466" s="54"/>
      <c r="Q466" s="54"/>
      <c r="R466" s="52"/>
      <c r="S466" s="52"/>
      <c r="T466" s="52"/>
      <c r="U466" s="52"/>
      <c r="V466" s="52"/>
    </row>
    <row r="467" spans="1:22" ht="13.2" x14ac:dyDescent="0.25">
      <c r="A467" s="52"/>
      <c r="B467" s="52"/>
      <c r="C467" s="52"/>
      <c r="D467" s="52"/>
      <c r="E467" s="52"/>
      <c r="F467" s="50"/>
      <c r="G467" s="52"/>
      <c r="H467" s="52"/>
      <c r="I467" s="52"/>
      <c r="J467" s="51"/>
      <c r="K467" s="52"/>
      <c r="L467" s="52"/>
      <c r="M467" s="52"/>
      <c r="N467" s="50"/>
      <c r="O467" s="52"/>
      <c r="P467" s="54"/>
      <c r="Q467" s="54"/>
      <c r="R467" s="52"/>
      <c r="S467" s="52"/>
      <c r="T467" s="52"/>
      <c r="U467" s="52"/>
      <c r="V467" s="52"/>
    </row>
    <row r="468" spans="1:22" ht="13.2" x14ac:dyDescent="0.25">
      <c r="A468" s="52"/>
      <c r="B468" s="52"/>
      <c r="C468" s="52"/>
      <c r="D468" s="52"/>
      <c r="E468" s="52"/>
      <c r="F468" s="50"/>
      <c r="G468" s="52"/>
      <c r="H468" s="52"/>
      <c r="I468" s="52"/>
      <c r="J468" s="51"/>
      <c r="K468" s="52"/>
      <c r="L468" s="52"/>
      <c r="M468" s="52"/>
      <c r="N468" s="50"/>
      <c r="O468" s="52"/>
      <c r="P468" s="54"/>
      <c r="Q468" s="54"/>
      <c r="R468" s="52"/>
      <c r="S468" s="52"/>
      <c r="T468" s="52"/>
      <c r="U468" s="52"/>
      <c r="V468" s="52"/>
    </row>
    <row r="469" spans="1:22" ht="13.2" x14ac:dyDescent="0.25">
      <c r="A469" s="52"/>
      <c r="B469" s="52"/>
      <c r="C469" s="52"/>
      <c r="D469" s="52"/>
      <c r="E469" s="52"/>
      <c r="F469" s="50"/>
      <c r="G469" s="52"/>
      <c r="H469" s="52"/>
      <c r="I469" s="52"/>
      <c r="J469" s="51"/>
      <c r="K469" s="52"/>
      <c r="L469" s="52"/>
      <c r="M469" s="52"/>
      <c r="N469" s="50"/>
      <c r="O469" s="52"/>
      <c r="P469" s="54"/>
      <c r="Q469" s="54"/>
      <c r="R469" s="52"/>
      <c r="S469" s="52"/>
      <c r="T469" s="52"/>
      <c r="U469" s="52"/>
      <c r="V469" s="52"/>
    </row>
    <row r="470" spans="1:22" ht="13.2" x14ac:dyDescent="0.25">
      <c r="A470" s="52"/>
      <c r="B470" s="52"/>
      <c r="C470" s="52"/>
      <c r="D470" s="52"/>
      <c r="E470" s="52"/>
      <c r="F470" s="50"/>
      <c r="G470" s="52"/>
      <c r="H470" s="52"/>
      <c r="I470" s="52"/>
      <c r="J470" s="51"/>
      <c r="K470" s="52"/>
      <c r="L470" s="52"/>
      <c r="M470" s="52"/>
      <c r="N470" s="50"/>
      <c r="O470" s="52"/>
      <c r="P470" s="54"/>
      <c r="Q470" s="54"/>
      <c r="R470" s="52"/>
      <c r="S470" s="52"/>
      <c r="T470" s="52"/>
      <c r="U470" s="52"/>
      <c r="V470" s="52"/>
    </row>
    <row r="471" spans="1:22" ht="13.2" x14ac:dyDescent="0.25">
      <c r="A471" s="52"/>
      <c r="B471" s="52"/>
      <c r="C471" s="52"/>
      <c r="D471" s="52"/>
      <c r="E471" s="52"/>
      <c r="F471" s="50"/>
      <c r="G471" s="52"/>
      <c r="H471" s="52"/>
      <c r="I471" s="52"/>
      <c r="J471" s="51"/>
      <c r="K471" s="52"/>
      <c r="L471" s="52"/>
      <c r="M471" s="52"/>
      <c r="N471" s="50"/>
      <c r="O471" s="52"/>
      <c r="P471" s="54"/>
      <c r="Q471" s="54"/>
      <c r="R471" s="52"/>
      <c r="S471" s="52"/>
      <c r="T471" s="52"/>
      <c r="U471" s="52"/>
      <c r="V471" s="52"/>
    </row>
    <row r="472" spans="1:22" ht="13.2" x14ac:dyDescent="0.25">
      <c r="A472" s="52"/>
      <c r="B472" s="52"/>
      <c r="C472" s="52"/>
      <c r="D472" s="52"/>
      <c r="E472" s="52"/>
      <c r="F472" s="50"/>
      <c r="G472" s="52"/>
      <c r="H472" s="52"/>
      <c r="I472" s="52"/>
      <c r="J472" s="51"/>
      <c r="K472" s="52"/>
      <c r="L472" s="52"/>
      <c r="M472" s="52"/>
      <c r="N472" s="50"/>
      <c r="O472" s="52"/>
      <c r="P472" s="54"/>
      <c r="Q472" s="54"/>
      <c r="R472" s="52"/>
      <c r="S472" s="52"/>
      <c r="T472" s="52"/>
      <c r="U472" s="52"/>
      <c r="V472" s="52"/>
    </row>
    <row r="473" spans="1:22" ht="13.2" x14ac:dyDescent="0.25">
      <c r="A473" s="52"/>
      <c r="B473" s="52"/>
      <c r="C473" s="52"/>
      <c r="D473" s="52"/>
      <c r="E473" s="52"/>
      <c r="F473" s="50"/>
      <c r="G473" s="52"/>
      <c r="H473" s="52"/>
      <c r="I473" s="52"/>
      <c r="J473" s="51"/>
      <c r="K473" s="52"/>
      <c r="L473" s="52"/>
      <c r="M473" s="52"/>
      <c r="N473" s="50"/>
      <c r="O473" s="52"/>
      <c r="P473" s="54"/>
      <c r="Q473" s="54"/>
      <c r="R473" s="52"/>
      <c r="S473" s="52"/>
      <c r="T473" s="52"/>
      <c r="U473" s="52"/>
      <c r="V473" s="52"/>
    </row>
    <row r="474" spans="1:22" ht="13.2" x14ac:dyDescent="0.25">
      <c r="A474" s="52"/>
      <c r="B474" s="52"/>
      <c r="C474" s="52"/>
      <c r="D474" s="52"/>
      <c r="E474" s="52"/>
      <c r="F474" s="50"/>
      <c r="G474" s="52"/>
      <c r="H474" s="52"/>
      <c r="I474" s="52"/>
      <c r="J474" s="51"/>
      <c r="K474" s="52"/>
      <c r="L474" s="52"/>
      <c r="M474" s="52"/>
      <c r="N474" s="50"/>
      <c r="O474" s="52"/>
      <c r="P474" s="54"/>
      <c r="Q474" s="54"/>
      <c r="R474" s="52"/>
      <c r="S474" s="52"/>
      <c r="T474" s="52"/>
      <c r="U474" s="52"/>
      <c r="V474" s="52"/>
    </row>
    <row r="475" spans="1:22" ht="13.2" x14ac:dyDescent="0.25">
      <c r="A475" s="52"/>
      <c r="B475" s="52"/>
      <c r="C475" s="52"/>
      <c r="D475" s="52"/>
      <c r="E475" s="52"/>
      <c r="F475" s="50"/>
      <c r="G475" s="52"/>
      <c r="H475" s="52"/>
      <c r="I475" s="52"/>
      <c r="J475" s="51"/>
      <c r="K475" s="52"/>
      <c r="L475" s="52"/>
      <c r="M475" s="52"/>
      <c r="N475" s="50"/>
      <c r="O475" s="52"/>
      <c r="P475" s="54"/>
      <c r="Q475" s="54"/>
      <c r="R475" s="52"/>
      <c r="S475" s="52"/>
      <c r="T475" s="52"/>
      <c r="U475" s="52"/>
      <c r="V475" s="52"/>
    </row>
    <row r="476" spans="1:22" ht="13.2" x14ac:dyDescent="0.25">
      <c r="A476" s="52"/>
      <c r="B476" s="52"/>
      <c r="C476" s="52"/>
      <c r="D476" s="52"/>
      <c r="E476" s="52"/>
      <c r="F476" s="50"/>
      <c r="G476" s="52"/>
      <c r="H476" s="52"/>
      <c r="I476" s="52"/>
      <c r="J476" s="51"/>
      <c r="K476" s="52"/>
      <c r="L476" s="52"/>
      <c r="M476" s="52"/>
      <c r="N476" s="50"/>
      <c r="O476" s="52"/>
      <c r="P476" s="54"/>
      <c r="Q476" s="54"/>
      <c r="R476" s="52"/>
      <c r="S476" s="52"/>
      <c r="T476" s="52"/>
      <c r="U476" s="52"/>
      <c r="V476" s="52"/>
    </row>
    <row r="477" spans="1:22" ht="13.2" x14ac:dyDescent="0.25">
      <c r="A477" s="52"/>
      <c r="B477" s="52"/>
      <c r="C477" s="52"/>
      <c r="D477" s="52"/>
      <c r="E477" s="52"/>
      <c r="F477" s="50"/>
      <c r="G477" s="52"/>
      <c r="H477" s="52"/>
      <c r="I477" s="52"/>
      <c r="J477" s="51"/>
      <c r="K477" s="52"/>
      <c r="L477" s="52"/>
      <c r="M477" s="52"/>
      <c r="N477" s="50"/>
      <c r="O477" s="52"/>
      <c r="P477" s="54"/>
      <c r="Q477" s="54"/>
      <c r="R477" s="52"/>
      <c r="S477" s="52"/>
      <c r="T477" s="52"/>
      <c r="U477" s="52"/>
      <c r="V477" s="52"/>
    </row>
    <row r="478" spans="1:22" ht="13.2" x14ac:dyDescent="0.25">
      <c r="A478" s="52"/>
      <c r="B478" s="52"/>
      <c r="C478" s="52"/>
      <c r="D478" s="52"/>
      <c r="E478" s="52"/>
      <c r="F478" s="50"/>
      <c r="G478" s="52"/>
      <c r="H478" s="52"/>
      <c r="I478" s="52"/>
      <c r="J478" s="51"/>
      <c r="K478" s="52"/>
      <c r="L478" s="52"/>
      <c r="M478" s="52"/>
      <c r="N478" s="50"/>
      <c r="O478" s="52"/>
      <c r="P478" s="54"/>
      <c r="Q478" s="54"/>
      <c r="R478" s="52"/>
      <c r="S478" s="52"/>
      <c r="T478" s="52"/>
      <c r="U478" s="52"/>
      <c r="V478" s="52"/>
    </row>
    <row r="479" spans="1:22" ht="13.2" x14ac:dyDescent="0.25">
      <c r="A479" s="52"/>
      <c r="B479" s="52"/>
      <c r="C479" s="52"/>
      <c r="D479" s="52"/>
      <c r="E479" s="52"/>
      <c r="F479" s="50"/>
      <c r="G479" s="52"/>
      <c r="H479" s="52"/>
      <c r="I479" s="52"/>
      <c r="J479" s="51"/>
      <c r="K479" s="52"/>
      <c r="L479" s="52"/>
      <c r="M479" s="52"/>
      <c r="N479" s="50"/>
      <c r="O479" s="52"/>
      <c r="P479" s="54"/>
      <c r="Q479" s="54"/>
      <c r="R479" s="52"/>
      <c r="S479" s="52"/>
      <c r="T479" s="52"/>
      <c r="U479" s="52"/>
      <c r="V479" s="52"/>
    </row>
    <row r="480" spans="1:22" ht="13.2" x14ac:dyDescent="0.25">
      <c r="A480" s="52"/>
      <c r="B480" s="52"/>
      <c r="C480" s="52"/>
      <c r="D480" s="52"/>
      <c r="E480" s="52"/>
      <c r="F480" s="50"/>
      <c r="G480" s="52"/>
      <c r="H480" s="52"/>
      <c r="I480" s="52"/>
      <c r="J480" s="51"/>
      <c r="K480" s="52"/>
      <c r="L480" s="52"/>
      <c r="M480" s="52"/>
      <c r="N480" s="50"/>
      <c r="O480" s="52"/>
      <c r="P480" s="54"/>
      <c r="Q480" s="54"/>
      <c r="R480" s="52"/>
      <c r="S480" s="52"/>
      <c r="T480" s="52"/>
      <c r="U480" s="52"/>
      <c r="V480" s="52"/>
    </row>
    <row r="481" spans="1:22" ht="13.2" x14ac:dyDescent="0.25">
      <c r="A481" s="52"/>
      <c r="B481" s="52"/>
      <c r="C481" s="52"/>
      <c r="D481" s="52"/>
      <c r="E481" s="52"/>
      <c r="F481" s="50"/>
      <c r="G481" s="52"/>
      <c r="H481" s="52"/>
      <c r="I481" s="52"/>
      <c r="J481" s="51"/>
      <c r="K481" s="52"/>
      <c r="L481" s="52"/>
      <c r="M481" s="52"/>
      <c r="N481" s="50"/>
      <c r="O481" s="52"/>
      <c r="P481" s="54"/>
      <c r="Q481" s="54"/>
      <c r="R481" s="52"/>
      <c r="S481" s="52"/>
      <c r="T481" s="52"/>
      <c r="U481" s="52"/>
      <c r="V481" s="52"/>
    </row>
    <row r="482" spans="1:22" ht="13.2" x14ac:dyDescent="0.25">
      <c r="A482" s="52"/>
      <c r="B482" s="52"/>
      <c r="C482" s="52"/>
      <c r="D482" s="52"/>
      <c r="E482" s="52"/>
      <c r="F482" s="50"/>
      <c r="G482" s="52"/>
      <c r="H482" s="52"/>
      <c r="I482" s="52"/>
      <c r="J482" s="51"/>
      <c r="K482" s="52"/>
      <c r="L482" s="52"/>
      <c r="M482" s="52"/>
      <c r="N482" s="50"/>
      <c r="O482" s="52"/>
      <c r="P482" s="54"/>
      <c r="Q482" s="54"/>
      <c r="R482" s="52"/>
      <c r="S482" s="52"/>
      <c r="T482" s="52"/>
      <c r="U482" s="52"/>
      <c r="V482" s="52"/>
    </row>
    <row r="483" spans="1:22" ht="13.2" x14ac:dyDescent="0.25">
      <c r="A483" s="52"/>
      <c r="B483" s="52"/>
      <c r="C483" s="52"/>
      <c r="D483" s="52"/>
      <c r="E483" s="52"/>
      <c r="F483" s="50"/>
      <c r="G483" s="52"/>
      <c r="H483" s="52"/>
      <c r="I483" s="52"/>
      <c r="J483" s="51"/>
      <c r="K483" s="52"/>
      <c r="L483" s="52"/>
      <c r="M483" s="52"/>
      <c r="N483" s="50"/>
      <c r="O483" s="52"/>
      <c r="P483" s="54"/>
      <c r="Q483" s="54"/>
      <c r="R483" s="52"/>
      <c r="S483" s="52"/>
      <c r="T483" s="52"/>
      <c r="U483" s="52"/>
      <c r="V483" s="52"/>
    </row>
    <row r="484" spans="1:22" ht="13.2" x14ac:dyDescent="0.25">
      <c r="A484" s="52"/>
      <c r="B484" s="52"/>
      <c r="C484" s="52"/>
      <c r="D484" s="52"/>
      <c r="E484" s="52"/>
      <c r="F484" s="50"/>
      <c r="G484" s="52"/>
      <c r="H484" s="52"/>
      <c r="I484" s="52"/>
      <c r="J484" s="51"/>
      <c r="K484" s="52"/>
      <c r="L484" s="52"/>
      <c r="M484" s="52"/>
      <c r="N484" s="50"/>
      <c r="O484" s="52"/>
      <c r="P484" s="54"/>
      <c r="Q484" s="54"/>
      <c r="R484" s="52"/>
      <c r="S484" s="52"/>
      <c r="T484" s="52"/>
      <c r="U484" s="52"/>
      <c r="V484" s="52"/>
    </row>
    <row r="485" spans="1:22" ht="13.2" x14ac:dyDescent="0.25">
      <c r="A485" s="52"/>
      <c r="B485" s="52"/>
      <c r="C485" s="52"/>
      <c r="D485" s="52"/>
      <c r="E485" s="52"/>
      <c r="F485" s="50"/>
      <c r="G485" s="52"/>
      <c r="H485" s="52"/>
      <c r="I485" s="52"/>
      <c r="J485" s="51"/>
      <c r="K485" s="52"/>
      <c r="L485" s="52"/>
      <c r="M485" s="52"/>
      <c r="N485" s="50"/>
      <c r="O485" s="52"/>
      <c r="P485" s="54"/>
      <c r="Q485" s="54"/>
      <c r="R485" s="52"/>
      <c r="S485" s="52"/>
      <c r="T485" s="52"/>
      <c r="U485" s="52"/>
      <c r="V485" s="52"/>
    </row>
    <row r="486" spans="1:22" ht="13.2" x14ac:dyDescent="0.25">
      <c r="A486" s="52"/>
      <c r="B486" s="52"/>
      <c r="C486" s="52"/>
      <c r="D486" s="52"/>
      <c r="E486" s="52"/>
      <c r="F486" s="50"/>
      <c r="G486" s="52"/>
      <c r="H486" s="52"/>
      <c r="I486" s="52"/>
      <c r="J486" s="51"/>
      <c r="K486" s="52"/>
      <c r="L486" s="52"/>
      <c r="M486" s="52"/>
      <c r="N486" s="50"/>
      <c r="O486" s="52"/>
      <c r="P486" s="54"/>
      <c r="Q486" s="54"/>
      <c r="R486" s="52"/>
      <c r="S486" s="52"/>
      <c r="T486" s="52"/>
      <c r="U486" s="52"/>
      <c r="V486" s="52"/>
    </row>
    <row r="487" spans="1:22" ht="13.2" x14ac:dyDescent="0.25">
      <c r="A487" s="52"/>
      <c r="B487" s="52"/>
      <c r="C487" s="52"/>
      <c r="D487" s="52"/>
      <c r="E487" s="52"/>
      <c r="F487" s="50"/>
      <c r="G487" s="52"/>
      <c r="H487" s="52"/>
      <c r="I487" s="52"/>
      <c r="J487" s="51"/>
      <c r="K487" s="52"/>
      <c r="L487" s="52"/>
      <c r="M487" s="52"/>
      <c r="N487" s="50"/>
      <c r="O487" s="52"/>
      <c r="P487" s="54"/>
      <c r="Q487" s="54"/>
      <c r="R487" s="52"/>
      <c r="S487" s="52"/>
      <c r="T487" s="52"/>
      <c r="U487" s="52"/>
      <c r="V487" s="52"/>
    </row>
    <row r="488" spans="1:22" ht="13.2" x14ac:dyDescent="0.25">
      <c r="A488" s="52"/>
      <c r="B488" s="52"/>
      <c r="C488" s="52"/>
      <c r="D488" s="52"/>
      <c r="E488" s="52"/>
      <c r="F488" s="50"/>
      <c r="G488" s="52"/>
      <c r="H488" s="52"/>
      <c r="I488" s="52"/>
      <c r="J488" s="51"/>
      <c r="K488" s="52"/>
      <c r="L488" s="52"/>
      <c r="M488" s="52"/>
      <c r="N488" s="50"/>
      <c r="O488" s="52"/>
      <c r="P488" s="54"/>
      <c r="Q488" s="54"/>
      <c r="R488" s="52"/>
      <c r="S488" s="52"/>
      <c r="T488" s="52"/>
      <c r="U488" s="52"/>
      <c r="V488" s="52"/>
    </row>
    <row r="489" spans="1:22" ht="13.2" x14ac:dyDescent="0.25">
      <c r="A489" s="52"/>
      <c r="B489" s="52"/>
      <c r="C489" s="52"/>
      <c r="D489" s="52"/>
      <c r="E489" s="52"/>
      <c r="F489" s="50"/>
      <c r="G489" s="52"/>
      <c r="H489" s="52"/>
      <c r="I489" s="52"/>
      <c r="J489" s="51"/>
      <c r="K489" s="52"/>
      <c r="L489" s="52"/>
      <c r="M489" s="52"/>
      <c r="N489" s="50"/>
      <c r="O489" s="52"/>
      <c r="P489" s="54"/>
      <c r="Q489" s="54"/>
      <c r="R489" s="52"/>
      <c r="S489" s="52"/>
      <c r="T489" s="52"/>
      <c r="U489" s="52"/>
      <c r="V489" s="52"/>
    </row>
    <row r="490" spans="1:22" ht="13.2" x14ac:dyDescent="0.25">
      <c r="A490" s="52"/>
      <c r="B490" s="52"/>
      <c r="C490" s="52"/>
      <c r="D490" s="52"/>
      <c r="E490" s="52"/>
      <c r="F490" s="50"/>
      <c r="G490" s="52"/>
      <c r="H490" s="52"/>
      <c r="I490" s="52"/>
      <c r="J490" s="51"/>
      <c r="K490" s="52"/>
      <c r="L490" s="52"/>
      <c r="M490" s="52"/>
      <c r="N490" s="50"/>
      <c r="O490" s="52"/>
      <c r="P490" s="54"/>
      <c r="Q490" s="54"/>
      <c r="R490" s="52"/>
      <c r="S490" s="52"/>
      <c r="T490" s="52"/>
      <c r="U490" s="52"/>
      <c r="V490" s="52"/>
    </row>
    <row r="491" spans="1:22" ht="13.2" x14ac:dyDescent="0.25">
      <c r="A491" s="52"/>
      <c r="B491" s="52"/>
      <c r="C491" s="52"/>
      <c r="D491" s="52"/>
      <c r="E491" s="52"/>
      <c r="F491" s="50"/>
      <c r="G491" s="52"/>
      <c r="H491" s="52"/>
      <c r="I491" s="52"/>
      <c r="J491" s="51"/>
      <c r="K491" s="52"/>
      <c r="L491" s="52"/>
      <c r="M491" s="52"/>
      <c r="N491" s="50"/>
      <c r="O491" s="52"/>
      <c r="P491" s="54"/>
      <c r="Q491" s="54"/>
      <c r="R491" s="52"/>
      <c r="S491" s="52"/>
      <c r="T491" s="52"/>
      <c r="U491" s="52"/>
      <c r="V491" s="52"/>
    </row>
    <row r="492" spans="1:22" ht="13.2" x14ac:dyDescent="0.25">
      <c r="A492" s="52"/>
      <c r="B492" s="52"/>
      <c r="C492" s="52"/>
      <c r="D492" s="52"/>
      <c r="E492" s="52"/>
      <c r="F492" s="50"/>
      <c r="G492" s="52"/>
      <c r="H492" s="52"/>
      <c r="I492" s="52"/>
      <c r="J492" s="51"/>
      <c r="K492" s="52"/>
      <c r="L492" s="52"/>
      <c r="M492" s="52"/>
      <c r="N492" s="50"/>
      <c r="O492" s="52"/>
      <c r="P492" s="54"/>
      <c r="Q492" s="54"/>
      <c r="R492" s="52"/>
      <c r="S492" s="52"/>
      <c r="T492" s="52"/>
      <c r="U492" s="52"/>
      <c r="V492" s="52"/>
    </row>
    <row r="493" spans="1:22" ht="13.2" x14ac:dyDescent="0.25">
      <c r="A493" s="52"/>
      <c r="B493" s="52"/>
      <c r="C493" s="52"/>
      <c r="D493" s="52"/>
      <c r="E493" s="52"/>
      <c r="F493" s="50"/>
      <c r="G493" s="52"/>
      <c r="H493" s="52"/>
      <c r="I493" s="52"/>
      <c r="J493" s="51"/>
      <c r="K493" s="52"/>
      <c r="L493" s="52"/>
      <c r="M493" s="52"/>
      <c r="N493" s="50"/>
      <c r="O493" s="52"/>
      <c r="P493" s="54"/>
      <c r="Q493" s="54"/>
      <c r="R493" s="52"/>
      <c r="S493" s="52"/>
      <c r="T493" s="52"/>
      <c r="U493" s="52"/>
      <c r="V493" s="52"/>
    </row>
    <row r="494" spans="1:22" ht="13.2" x14ac:dyDescent="0.25">
      <c r="A494" s="52"/>
      <c r="B494" s="52"/>
      <c r="C494" s="52"/>
      <c r="D494" s="52"/>
      <c r="E494" s="52"/>
      <c r="F494" s="50"/>
      <c r="G494" s="52"/>
      <c r="H494" s="52"/>
      <c r="I494" s="52"/>
      <c r="J494" s="51"/>
      <c r="K494" s="52"/>
      <c r="L494" s="52"/>
      <c r="M494" s="52"/>
      <c r="N494" s="50"/>
      <c r="O494" s="52"/>
      <c r="P494" s="54"/>
      <c r="Q494" s="54"/>
      <c r="R494" s="52"/>
      <c r="S494" s="52"/>
      <c r="T494" s="52"/>
      <c r="U494" s="52"/>
      <c r="V494" s="52"/>
    </row>
    <row r="495" spans="1:22" ht="13.2" x14ac:dyDescent="0.25">
      <c r="A495" s="52"/>
      <c r="B495" s="52"/>
      <c r="C495" s="52"/>
      <c r="D495" s="52"/>
      <c r="E495" s="52"/>
      <c r="F495" s="50"/>
      <c r="G495" s="52"/>
      <c r="H495" s="52"/>
      <c r="I495" s="52"/>
      <c r="J495" s="51"/>
      <c r="K495" s="52"/>
      <c r="L495" s="52"/>
      <c r="M495" s="52"/>
      <c r="N495" s="50"/>
      <c r="O495" s="52"/>
      <c r="P495" s="54"/>
      <c r="Q495" s="54"/>
      <c r="R495" s="52"/>
      <c r="S495" s="52"/>
      <c r="T495" s="52"/>
      <c r="U495" s="52"/>
      <c r="V495" s="52"/>
    </row>
    <row r="496" spans="1:22" ht="13.2" x14ac:dyDescent="0.25">
      <c r="A496" s="52"/>
      <c r="B496" s="52"/>
      <c r="C496" s="52"/>
      <c r="D496" s="52"/>
      <c r="E496" s="52"/>
      <c r="F496" s="50"/>
      <c r="G496" s="52"/>
      <c r="H496" s="52"/>
      <c r="I496" s="52"/>
      <c r="J496" s="51"/>
      <c r="K496" s="52"/>
      <c r="L496" s="52"/>
      <c r="M496" s="52"/>
      <c r="N496" s="50"/>
      <c r="O496" s="52"/>
      <c r="P496" s="54"/>
      <c r="Q496" s="54"/>
      <c r="R496" s="52"/>
      <c r="S496" s="52"/>
      <c r="T496" s="52"/>
      <c r="U496" s="52"/>
      <c r="V496" s="52"/>
    </row>
    <row r="497" spans="1:22" ht="13.2" x14ac:dyDescent="0.25">
      <c r="A497" s="52"/>
      <c r="B497" s="52"/>
      <c r="C497" s="52"/>
      <c r="D497" s="52"/>
      <c r="E497" s="52"/>
      <c r="F497" s="50"/>
      <c r="G497" s="52"/>
      <c r="H497" s="52"/>
      <c r="I497" s="52"/>
      <c r="J497" s="51"/>
      <c r="K497" s="52"/>
      <c r="L497" s="52"/>
      <c r="M497" s="52"/>
      <c r="N497" s="50"/>
      <c r="O497" s="52"/>
      <c r="P497" s="54"/>
      <c r="Q497" s="54"/>
      <c r="R497" s="52"/>
      <c r="S497" s="52"/>
      <c r="T497" s="52"/>
      <c r="U497" s="52"/>
      <c r="V497" s="52"/>
    </row>
    <row r="498" spans="1:22" ht="13.2" x14ac:dyDescent="0.25">
      <c r="A498" s="52"/>
      <c r="B498" s="52"/>
      <c r="C498" s="52"/>
      <c r="D498" s="52"/>
      <c r="E498" s="52"/>
      <c r="F498" s="50"/>
      <c r="G498" s="52"/>
      <c r="H498" s="52"/>
      <c r="I498" s="52"/>
      <c r="J498" s="51"/>
      <c r="K498" s="52"/>
      <c r="L498" s="52"/>
      <c r="M498" s="52"/>
      <c r="N498" s="50"/>
      <c r="O498" s="52"/>
      <c r="P498" s="54"/>
      <c r="Q498" s="54"/>
      <c r="R498" s="52"/>
      <c r="S498" s="52"/>
      <c r="T498" s="52"/>
      <c r="U498" s="52"/>
      <c r="V498" s="52"/>
    </row>
    <row r="499" spans="1:22" ht="13.2" x14ac:dyDescent="0.25">
      <c r="A499" s="52"/>
      <c r="B499" s="52"/>
      <c r="C499" s="52"/>
      <c r="D499" s="52"/>
      <c r="E499" s="52"/>
      <c r="F499" s="50"/>
      <c r="G499" s="52"/>
      <c r="H499" s="52"/>
      <c r="I499" s="52"/>
      <c r="J499" s="51"/>
      <c r="K499" s="52"/>
      <c r="L499" s="52"/>
      <c r="M499" s="52"/>
      <c r="N499" s="50"/>
      <c r="O499" s="52"/>
      <c r="P499" s="54"/>
      <c r="Q499" s="54"/>
      <c r="R499" s="52"/>
      <c r="S499" s="52"/>
      <c r="T499" s="52"/>
      <c r="U499" s="52"/>
      <c r="V499" s="52"/>
    </row>
    <row r="500" spans="1:22" ht="13.2" x14ac:dyDescent="0.25">
      <c r="A500" s="52"/>
      <c r="B500" s="52"/>
      <c r="C500" s="52"/>
      <c r="D500" s="52"/>
      <c r="E500" s="52"/>
      <c r="F500" s="50"/>
      <c r="G500" s="52"/>
      <c r="H500" s="52"/>
      <c r="I500" s="52"/>
      <c r="J500" s="51"/>
      <c r="K500" s="52"/>
      <c r="L500" s="52"/>
      <c r="M500" s="52"/>
      <c r="N500" s="50"/>
      <c r="O500" s="52"/>
      <c r="P500" s="54"/>
      <c r="Q500" s="54"/>
      <c r="R500" s="52"/>
      <c r="S500" s="52"/>
      <c r="T500" s="52"/>
      <c r="U500" s="52"/>
      <c r="V500" s="52"/>
    </row>
    <row r="501" spans="1:22" ht="13.2" x14ac:dyDescent="0.25">
      <c r="A501" s="52"/>
      <c r="B501" s="52"/>
      <c r="C501" s="52"/>
      <c r="D501" s="52"/>
      <c r="E501" s="52"/>
      <c r="F501" s="50"/>
      <c r="G501" s="52"/>
      <c r="H501" s="52"/>
      <c r="I501" s="52"/>
      <c r="J501" s="51"/>
      <c r="K501" s="52"/>
      <c r="L501" s="52"/>
      <c r="M501" s="52"/>
      <c r="N501" s="50"/>
      <c r="O501" s="52"/>
      <c r="P501" s="54"/>
      <c r="Q501" s="54"/>
      <c r="R501" s="52"/>
      <c r="S501" s="52"/>
      <c r="T501" s="52"/>
      <c r="U501" s="52"/>
      <c r="V501" s="52"/>
    </row>
    <row r="502" spans="1:22" ht="13.2" x14ac:dyDescent="0.25">
      <c r="A502" s="52"/>
      <c r="B502" s="52"/>
      <c r="C502" s="52"/>
      <c r="D502" s="52"/>
      <c r="E502" s="52"/>
      <c r="F502" s="50"/>
      <c r="G502" s="52"/>
      <c r="H502" s="52"/>
      <c r="I502" s="52"/>
      <c r="J502" s="51"/>
      <c r="K502" s="52"/>
      <c r="L502" s="52"/>
      <c r="M502" s="52"/>
      <c r="N502" s="50"/>
      <c r="O502" s="52"/>
      <c r="P502" s="54"/>
      <c r="Q502" s="54"/>
      <c r="R502" s="52"/>
      <c r="S502" s="52"/>
      <c r="T502" s="52"/>
      <c r="U502" s="52"/>
      <c r="V502" s="52"/>
    </row>
    <row r="503" spans="1:22" ht="13.2" x14ac:dyDescent="0.25">
      <c r="A503" s="52"/>
      <c r="B503" s="52"/>
      <c r="C503" s="52"/>
      <c r="D503" s="52"/>
      <c r="E503" s="52"/>
      <c r="F503" s="50"/>
      <c r="G503" s="52"/>
      <c r="H503" s="52"/>
      <c r="I503" s="52"/>
      <c r="J503" s="51"/>
      <c r="K503" s="52"/>
      <c r="L503" s="52"/>
      <c r="M503" s="52"/>
      <c r="N503" s="50"/>
      <c r="O503" s="52"/>
      <c r="P503" s="54"/>
      <c r="Q503" s="54"/>
      <c r="R503" s="52"/>
      <c r="S503" s="52"/>
      <c r="T503" s="52"/>
      <c r="U503" s="52"/>
      <c r="V503" s="52"/>
    </row>
    <row r="504" spans="1:22" ht="13.2" x14ac:dyDescent="0.25">
      <c r="A504" s="52"/>
      <c r="B504" s="52"/>
      <c r="C504" s="52"/>
      <c r="D504" s="52"/>
      <c r="E504" s="52"/>
      <c r="F504" s="50"/>
      <c r="G504" s="52"/>
      <c r="H504" s="52"/>
      <c r="I504" s="52"/>
      <c r="J504" s="51"/>
      <c r="K504" s="52"/>
      <c r="L504" s="52"/>
      <c r="M504" s="52"/>
      <c r="N504" s="50"/>
      <c r="O504" s="52"/>
      <c r="P504" s="54"/>
      <c r="Q504" s="54"/>
      <c r="R504" s="52"/>
      <c r="S504" s="52"/>
      <c r="T504" s="52"/>
      <c r="U504" s="52"/>
      <c r="V504" s="52"/>
    </row>
    <row r="505" spans="1:22" ht="13.2" x14ac:dyDescent="0.25">
      <c r="A505" s="52"/>
      <c r="B505" s="52"/>
      <c r="C505" s="52"/>
      <c r="D505" s="52"/>
      <c r="E505" s="52"/>
      <c r="F505" s="50"/>
      <c r="G505" s="52"/>
      <c r="H505" s="52"/>
      <c r="I505" s="52"/>
      <c r="J505" s="51"/>
      <c r="K505" s="52"/>
      <c r="L505" s="52"/>
      <c r="M505" s="52"/>
      <c r="N505" s="50"/>
      <c r="O505" s="52"/>
      <c r="P505" s="54"/>
      <c r="Q505" s="54"/>
      <c r="R505" s="52"/>
      <c r="S505" s="52"/>
      <c r="T505" s="52"/>
      <c r="U505" s="52"/>
      <c r="V505" s="52"/>
    </row>
    <row r="506" spans="1:22" ht="13.2" x14ac:dyDescent="0.25">
      <c r="A506" s="52"/>
      <c r="B506" s="52"/>
      <c r="C506" s="52"/>
      <c r="D506" s="52"/>
      <c r="E506" s="52"/>
      <c r="F506" s="50"/>
      <c r="G506" s="52"/>
      <c r="H506" s="52"/>
      <c r="I506" s="52"/>
      <c r="J506" s="51"/>
      <c r="K506" s="52"/>
      <c r="L506" s="52"/>
      <c r="M506" s="52"/>
      <c r="N506" s="50"/>
      <c r="O506" s="52"/>
      <c r="P506" s="54"/>
      <c r="Q506" s="54"/>
      <c r="R506" s="52"/>
      <c r="S506" s="52"/>
      <c r="T506" s="52"/>
      <c r="U506" s="52"/>
      <c r="V506" s="52"/>
    </row>
    <row r="507" spans="1:22" ht="13.2" x14ac:dyDescent="0.25">
      <c r="A507" s="52"/>
      <c r="B507" s="52"/>
      <c r="C507" s="52"/>
      <c r="D507" s="52"/>
      <c r="E507" s="52"/>
      <c r="F507" s="50"/>
      <c r="G507" s="52"/>
      <c r="H507" s="52"/>
      <c r="I507" s="52"/>
      <c r="J507" s="51"/>
      <c r="K507" s="52"/>
      <c r="L507" s="52"/>
      <c r="M507" s="52"/>
      <c r="N507" s="50"/>
      <c r="O507" s="52"/>
      <c r="P507" s="54"/>
      <c r="Q507" s="54"/>
      <c r="R507" s="52"/>
      <c r="S507" s="52"/>
      <c r="T507" s="52"/>
      <c r="U507" s="52"/>
      <c r="V507" s="52"/>
    </row>
    <row r="508" spans="1:22" ht="13.2" x14ac:dyDescent="0.25">
      <c r="A508" s="52"/>
      <c r="B508" s="52"/>
      <c r="C508" s="52"/>
      <c r="D508" s="52"/>
      <c r="E508" s="52"/>
      <c r="F508" s="50"/>
      <c r="G508" s="52"/>
      <c r="H508" s="52"/>
      <c r="I508" s="52"/>
      <c r="J508" s="51"/>
      <c r="K508" s="52"/>
      <c r="L508" s="52"/>
      <c r="M508" s="52"/>
      <c r="N508" s="50"/>
      <c r="O508" s="52"/>
      <c r="P508" s="54"/>
      <c r="Q508" s="54"/>
      <c r="R508" s="52"/>
      <c r="S508" s="52"/>
      <c r="T508" s="52"/>
      <c r="U508" s="52"/>
      <c r="V508" s="52"/>
    </row>
    <row r="509" spans="1:22" ht="13.2" x14ac:dyDescent="0.25">
      <c r="A509" s="52"/>
      <c r="B509" s="52"/>
      <c r="C509" s="52"/>
      <c r="D509" s="52"/>
      <c r="E509" s="52"/>
      <c r="F509" s="50"/>
      <c r="G509" s="52"/>
      <c r="H509" s="52"/>
      <c r="I509" s="52"/>
      <c r="J509" s="51"/>
      <c r="K509" s="52"/>
      <c r="L509" s="52"/>
      <c r="M509" s="52"/>
      <c r="N509" s="50"/>
      <c r="O509" s="52"/>
      <c r="P509" s="54"/>
      <c r="Q509" s="54"/>
      <c r="R509" s="52"/>
      <c r="S509" s="52"/>
      <c r="T509" s="52"/>
      <c r="U509" s="52"/>
      <c r="V509" s="52"/>
    </row>
    <row r="510" spans="1:22" ht="13.2" x14ac:dyDescent="0.25">
      <c r="A510" s="52"/>
      <c r="B510" s="52"/>
      <c r="C510" s="52"/>
      <c r="D510" s="52"/>
      <c r="E510" s="52"/>
      <c r="F510" s="50"/>
      <c r="G510" s="52"/>
      <c r="H510" s="52"/>
      <c r="I510" s="52"/>
      <c r="J510" s="51"/>
      <c r="K510" s="52"/>
      <c r="L510" s="52"/>
      <c r="M510" s="52"/>
      <c r="N510" s="50"/>
      <c r="O510" s="52"/>
      <c r="P510" s="54"/>
      <c r="Q510" s="54"/>
      <c r="R510" s="52"/>
      <c r="S510" s="52"/>
      <c r="T510" s="52"/>
      <c r="U510" s="52"/>
      <c r="V510" s="52"/>
    </row>
    <row r="511" spans="1:22" ht="13.2" x14ac:dyDescent="0.25">
      <c r="A511" s="52"/>
      <c r="B511" s="52"/>
      <c r="C511" s="52"/>
      <c r="D511" s="52"/>
      <c r="E511" s="52"/>
      <c r="F511" s="50"/>
      <c r="G511" s="52"/>
      <c r="H511" s="52"/>
      <c r="I511" s="52"/>
      <c r="J511" s="51"/>
      <c r="K511" s="52"/>
      <c r="L511" s="52"/>
      <c r="M511" s="52"/>
      <c r="N511" s="50"/>
      <c r="O511" s="52"/>
      <c r="P511" s="54"/>
      <c r="Q511" s="54"/>
      <c r="R511" s="52"/>
      <c r="S511" s="52"/>
      <c r="T511" s="52"/>
      <c r="U511" s="52"/>
      <c r="V511" s="52"/>
    </row>
    <row r="512" spans="1:22" ht="13.2" x14ac:dyDescent="0.25">
      <c r="A512" s="52"/>
      <c r="B512" s="52"/>
      <c r="C512" s="52"/>
      <c r="D512" s="52"/>
      <c r="E512" s="52"/>
      <c r="F512" s="50"/>
      <c r="G512" s="52"/>
      <c r="H512" s="52"/>
      <c r="I512" s="52"/>
      <c r="J512" s="51"/>
      <c r="K512" s="52"/>
      <c r="L512" s="52"/>
      <c r="M512" s="52"/>
      <c r="N512" s="50"/>
      <c r="O512" s="52"/>
      <c r="P512" s="54"/>
      <c r="Q512" s="54"/>
      <c r="R512" s="52"/>
      <c r="S512" s="52"/>
      <c r="T512" s="52"/>
      <c r="U512" s="52"/>
      <c r="V512" s="52"/>
    </row>
    <row r="513" spans="1:22" ht="13.2" x14ac:dyDescent="0.25">
      <c r="A513" s="52"/>
      <c r="B513" s="52"/>
      <c r="C513" s="52"/>
      <c r="D513" s="52"/>
      <c r="E513" s="52"/>
      <c r="F513" s="50"/>
      <c r="G513" s="52"/>
      <c r="H513" s="52"/>
      <c r="I513" s="52"/>
      <c r="J513" s="51"/>
      <c r="K513" s="52"/>
      <c r="L513" s="52"/>
      <c r="M513" s="52"/>
      <c r="N513" s="50"/>
      <c r="O513" s="52"/>
      <c r="P513" s="54"/>
      <c r="Q513" s="54"/>
      <c r="R513" s="52"/>
      <c r="S513" s="52"/>
      <c r="T513" s="52"/>
      <c r="U513" s="52"/>
      <c r="V513" s="52"/>
    </row>
    <row r="514" spans="1:22" ht="13.2" x14ac:dyDescent="0.25">
      <c r="A514" s="52"/>
      <c r="B514" s="52"/>
      <c r="C514" s="52"/>
      <c r="D514" s="52"/>
      <c r="E514" s="52"/>
      <c r="F514" s="50"/>
      <c r="G514" s="52"/>
      <c r="H514" s="52"/>
      <c r="I514" s="52"/>
      <c r="J514" s="51"/>
      <c r="K514" s="52"/>
      <c r="L514" s="52"/>
      <c r="M514" s="52"/>
      <c r="N514" s="50"/>
      <c r="O514" s="52"/>
      <c r="P514" s="54"/>
      <c r="Q514" s="54"/>
      <c r="R514" s="52"/>
      <c r="S514" s="52"/>
      <c r="T514" s="52"/>
      <c r="U514" s="52"/>
      <c r="V514" s="52"/>
    </row>
    <row r="515" spans="1:22" ht="13.2" x14ac:dyDescent="0.25">
      <c r="A515" s="52"/>
      <c r="B515" s="52"/>
      <c r="C515" s="52"/>
      <c r="D515" s="52"/>
      <c r="E515" s="52"/>
      <c r="F515" s="50"/>
      <c r="G515" s="52"/>
      <c r="H515" s="52"/>
      <c r="I515" s="52"/>
      <c r="J515" s="51"/>
      <c r="K515" s="52"/>
      <c r="L515" s="52"/>
      <c r="M515" s="52"/>
      <c r="N515" s="50"/>
      <c r="O515" s="52"/>
      <c r="P515" s="54"/>
      <c r="Q515" s="54"/>
      <c r="R515" s="52"/>
      <c r="S515" s="52"/>
      <c r="T515" s="52"/>
      <c r="U515" s="52"/>
      <c r="V515" s="52"/>
    </row>
    <row r="516" spans="1:22" ht="13.2" x14ac:dyDescent="0.25">
      <c r="A516" s="52"/>
      <c r="B516" s="52"/>
      <c r="C516" s="52"/>
      <c r="D516" s="52"/>
      <c r="E516" s="52"/>
      <c r="F516" s="50"/>
      <c r="G516" s="52"/>
      <c r="H516" s="52"/>
      <c r="I516" s="52"/>
      <c r="J516" s="51"/>
      <c r="K516" s="52"/>
      <c r="L516" s="52"/>
      <c r="M516" s="52"/>
      <c r="N516" s="50"/>
      <c r="O516" s="52"/>
      <c r="P516" s="54"/>
      <c r="Q516" s="54"/>
      <c r="R516" s="52"/>
      <c r="S516" s="52"/>
      <c r="T516" s="52"/>
      <c r="U516" s="52"/>
      <c r="V516" s="52"/>
    </row>
    <row r="517" spans="1:22" ht="13.2" x14ac:dyDescent="0.25">
      <c r="A517" s="52"/>
      <c r="B517" s="52"/>
      <c r="C517" s="52"/>
      <c r="D517" s="52"/>
      <c r="E517" s="52"/>
      <c r="F517" s="50"/>
      <c r="G517" s="52"/>
      <c r="H517" s="52"/>
      <c r="I517" s="52"/>
      <c r="J517" s="51"/>
      <c r="K517" s="52"/>
      <c r="L517" s="52"/>
      <c r="M517" s="52"/>
      <c r="N517" s="50"/>
      <c r="O517" s="52"/>
      <c r="P517" s="54"/>
      <c r="Q517" s="54"/>
      <c r="R517" s="52"/>
      <c r="S517" s="52"/>
      <c r="T517" s="52"/>
      <c r="U517" s="52"/>
      <c r="V517" s="52"/>
    </row>
    <row r="518" spans="1:22" ht="13.2" x14ac:dyDescent="0.25">
      <c r="A518" s="52"/>
      <c r="B518" s="52"/>
      <c r="C518" s="52"/>
      <c r="D518" s="52"/>
      <c r="E518" s="52"/>
      <c r="F518" s="50"/>
      <c r="G518" s="52"/>
      <c r="H518" s="52"/>
      <c r="I518" s="52"/>
      <c r="J518" s="51"/>
      <c r="K518" s="52"/>
      <c r="L518" s="52"/>
      <c r="M518" s="52"/>
      <c r="N518" s="50"/>
      <c r="O518" s="52"/>
      <c r="P518" s="54"/>
      <c r="Q518" s="54"/>
      <c r="R518" s="52"/>
      <c r="S518" s="52"/>
      <c r="T518" s="52"/>
      <c r="U518" s="52"/>
      <c r="V518" s="52"/>
    </row>
    <row r="519" spans="1:22" ht="13.2" x14ac:dyDescent="0.25">
      <c r="A519" s="52"/>
      <c r="B519" s="52"/>
      <c r="C519" s="52"/>
      <c r="D519" s="52"/>
      <c r="E519" s="52"/>
      <c r="F519" s="50"/>
      <c r="G519" s="52"/>
      <c r="H519" s="52"/>
      <c r="I519" s="52"/>
      <c r="J519" s="51"/>
      <c r="K519" s="52"/>
      <c r="L519" s="52"/>
      <c r="M519" s="52"/>
      <c r="N519" s="50"/>
      <c r="O519" s="52"/>
      <c r="P519" s="54"/>
      <c r="Q519" s="54"/>
      <c r="R519" s="52"/>
      <c r="S519" s="52"/>
      <c r="T519" s="52"/>
      <c r="U519" s="52"/>
      <c r="V519" s="52"/>
    </row>
    <row r="520" spans="1:22" ht="13.2" x14ac:dyDescent="0.25">
      <c r="A520" s="52"/>
      <c r="B520" s="52"/>
      <c r="C520" s="52"/>
      <c r="D520" s="52"/>
      <c r="E520" s="52"/>
      <c r="F520" s="50"/>
      <c r="G520" s="52"/>
      <c r="H520" s="52"/>
      <c r="I520" s="52"/>
      <c r="J520" s="51"/>
      <c r="K520" s="52"/>
      <c r="L520" s="52"/>
      <c r="M520" s="52"/>
      <c r="N520" s="50"/>
      <c r="O520" s="52"/>
      <c r="P520" s="54"/>
      <c r="Q520" s="54"/>
      <c r="R520" s="52"/>
      <c r="S520" s="52"/>
      <c r="T520" s="52"/>
      <c r="U520" s="52"/>
      <c r="V520" s="52"/>
    </row>
    <row r="521" spans="1:22" ht="13.2" x14ac:dyDescent="0.25">
      <c r="A521" s="52"/>
      <c r="B521" s="52"/>
      <c r="C521" s="52"/>
      <c r="D521" s="52"/>
      <c r="E521" s="52"/>
      <c r="F521" s="50"/>
      <c r="G521" s="52"/>
      <c r="H521" s="52"/>
      <c r="I521" s="52"/>
      <c r="J521" s="51"/>
      <c r="K521" s="52"/>
      <c r="L521" s="52"/>
      <c r="M521" s="52"/>
      <c r="N521" s="50"/>
      <c r="O521" s="52"/>
      <c r="P521" s="54"/>
      <c r="Q521" s="54"/>
      <c r="R521" s="52"/>
      <c r="S521" s="52"/>
      <c r="T521" s="52"/>
      <c r="U521" s="52"/>
      <c r="V521" s="52"/>
    </row>
    <row r="522" spans="1:22" ht="13.2" x14ac:dyDescent="0.25">
      <c r="A522" s="52"/>
      <c r="B522" s="52"/>
      <c r="C522" s="52"/>
      <c r="D522" s="52"/>
      <c r="E522" s="52"/>
      <c r="F522" s="50"/>
      <c r="G522" s="52"/>
      <c r="H522" s="52"/>
      <c r="I522" s="52"/>
      <c r="J522" s="51"/>
      <c r="K522" s="52"/>
      <c r="L522" s="52"/>
      <c r="M522" s="52"/>
      <c r="N522" s="50"/>
      <c r="O522" s="52"/>
      <c r="P522" s="54"/>
      <c r="Q522" s="54"/>
      <c r="R522" s="52"/>
      <c r="S522" s="52"/>
      <c r="T522" s="52"/>
      <c r="U522" s="52"/>
      <c r="V522" s="52"/>
    </row>
    <row r="523" spans="1:22" ht="13.2" x14ac:dyDescent="0.25">
      <c r="A523" s="52"/>
      <c r="B523" s="52"/>
      <c r="C523" s="52"/>
      <c r="D523" s="52"/>
      <c r="E523" s="52"/>
      <c r="F523" s="50"/>
      <c r="G523" s="52"/>
      <c r="H523" s="52"/>
      <c r="I523" s="52"/>
      <c r="J523" s="51"/>
      <c r="K523" s="52"/>
      <c r="L523" s="52"/>
      <c r="M523" s="52"/>
      <c r="N523" s="50"/>
      <c r="O523" s="52"/>
      <c r="P523" s="54"/>
      <c r="Q523" s="54"/>
      <c r="R523" s="52"/>
      <c r="S523" s="52"/>
      <c r="T523" s="52"/>
      <c r="U523" s="52"/>
      <c r="V523" s="52"/>
    </row>
    <row r="524" spans="1:22" ht="13.2" x14ac:dyDescent="0.25">
      <c r="A524" s="52"/>
      <c r="B524" s="52"/>
      <c r="C524" s="52"/>
      <c r="D524" s="52"/>
      <c r="E524" s="52"/>
      <c r="F524" s="50"/>
      <c r="G524" s="52"/>
      <c r="H524" s="52"/>
      <c r="I524" s="52"/>
      <c r="J524" s="51"/>
      <c r="K524" s="52"/>
      <c r="L524" s="52"/>
      <c r="M524" s="52"/>
      <c r="N524" s="50"/>
      <c r="O524" s="52"/>
      <c r="P524" s="54"/>
      <c r="Q524" s="54"/>
      <c r="R524" s="52"/>
      <c r="S524" s="52"/>
      <c r="T524" s="52"/>
      <c r="U524" s="52"/>
      <c r="V524" s="52"/>
    </row>
    <row r="525" spans="1:22" ht="13.2" x14ac:dyDescent="0.25">
      <c r="A525" s="52"/>
      <c r="B525" s="52"/>
      <c r="C525" s="52"/>
      <c r="D525" s="52"/>
      <c r="E525" s="52"/>
      <c r="F525" s="50"/>
      <c r="G525" s="52"/>
      <c r="H525" s="52"/>
      <c r="I525" s="52"/>
      <c r="J525" s="51"/>
      <c r="K525" s="52"/>
      <c r="L525" s="52"/>
      <c r="M525" s="52"/>
      <c r="N525" s="50"/>
      <c r="O525" s="52"/>
      <c r="P525" s="54"/>
      <c r="Q525" s="54"/>
      <c r="R525" s="52"/>
      <c r="S525" s="52"/>
      <c r="T525" s="52"/>
      <c r="U525" s="52"/>
      <c r="V525" s="52"/>
    </row>
    <row r="526" spans="1:22" ht="13.2" x14ac:dyDescent="0.25">
      <c r="A526" s="52"/>
      <c r="B526" s="52"/>
      <c r="C526" s="52"/>
      <c r="D526" s="52"/>
      <c r="E526" s="52"/>
      <c r="F526" s="50"/>
      <c r="G526" s="52"/>
      <c r="H526" s="52"/>
      <c r="I526" s="52"/>
      <c r="J526" s="51"/>
      <c r="K526" s="52"/>
      <c r="L526" s="52"/>
      <c r="M526" s="52"/>
      <c r="N526" s="50"/>
      <c r="O526" s="52"/>
      <c r="P526" s="54"/>
      <c r="Q526" s="54"/>
      <c r="R526" s="52"/>
      <c r="S526" s="52"/>
      <c r="T526" s="52"/>
      <c r="U526" s="52"/>
      <c r="V526" s="52"/>
    </row>
    <row r="527" spans="1:22" ht="13.2" x14ac:dyDescent="0.25">
      <c r="A527" s="52"/>
      <c r="B527" s="52"/>
      <c r="C527" s="52"/>
      <c r="D527" s="52"/>
      <c r="E527" s="52"/>
      <c r="F527" s="50"/>
      <c r="G527" s="52"/>
      <c r="H527" s="52"/>
      <c r="I527" s="52"/>
      <c r="J527" s="51"/>
      <c r="K527" s="52"/>
      <c r="L527" s="52"/>
      <c r="M527" s="52"/>
      <c r="N527" s="50"/>
      <c r="O527" s="52"/>
      <c r="P527" s="54"/>
      <c r="Q527" s="54"/>
      <c r="R527" s="52"/>
      <c r="S527" s="52"/>
      <c r="T527" s="52"/>
      <c r="U527" s="52"/>
      <c r="V527" s="52"/>
    </row>
    <row r="528" spans="1:22" ht="13.2" x14ac:dyDescent="0.25">
      <c r="A528" s="52"/>
      <c r="B528" s="52"/>
      <c r="C528" s="52"/>
      <c r="D528" s="52"/>
      <c r="E528" s="52"/>
      <c r="F528" s="50"/>
      <c r="G528" s="52"/>
      <c r="H528" s="52"/>
      <c r="I528" s="52"/>
      <c r="J528" s="51"/>
      <c r="K528" s="52"/>
      <c r="L528" s="52"/>
      <c r="M528" s="52"/>
      <c r="N528" s="50"/>
      <c r="O528" s="52"/>
      <c r="P528" s="54"/>
      <c r="Q528" s="54"/>
      <c r="R528" s="52"/>
      <c r="S528" s="52"/>
      <c r="T528" s="52"/>
      <c r="U528" s="52"/>
      <c r="V528" s="52"/>
    </row>
    <row r="529" spans="1:22" ht="13.2" x14ac:dyDescent="0.25">
      <c r="A529" s="52"/>
      <c r="B529" s="52"/>
      <c r="C529" s="52"/>
      <c r="D529" s="52"/>
      <c r="E529" s="52"/>
      <c r="F529" s="50"/>
      <c r="G529" s="52"/>
      <c r="H529" s="52"/>
      <c r="I529" s="52"/>
      <c r="J529" s="51"/>
      <c r="K529" s="52"/>
      <c r="L529" s="52"/>
      <c r="M529" s="52"/>
      <c r="N529" s="50"/>
      <c r="O529" s="52"/>
      <c r="P529" s="54"/>
      <c r="Q529" s="54"/>
      <c r="R529" s="52"/>
      <c r="S529" s="52"/>
      <c r="T529" s="52"/>
      <c r="U529" s="52"/>
      <c r="V529" s="52"/>
    </row>
    <row r="530" spans="1:22" ht="13.2" x14ac:dyDescent="0.25">
      <c r="A530" s="52"/>
      <c r="B530" s="52"/>
      <c r="C530" s="52"/>
      <c r="D530" s="52"/>
      <c r="E530" s="52"/>
      <c r="F530" s="50"/>
      <c r="G530" s="52"/>
      <c r="H530" s="52"/>
      <c r="I530" s="52"/>
      <c r="J530" s="51"/>
      <c r="K530" s="52"/>
      <c r="L530" s="52"/>
      <c r="M530" s="52"/>
      <c r="N530" s="50"/>
      <c r="O530" s="52"/>
      <c r="P530" s="54"/>
      <c r="Q530" s="54"/>
      <c r="R530" s="52"/>
      <c r="S530" s="52"/>
      <c r="T530" s="52"/>
      <c r="U530" s="52"/>
      <c r="V530" s="52"/>
    </row>
    <row r="531" spans="1:22" ht="13.2" x14ac:dyDescent="0.25">
      <c r="A531" s="52"/>
      <c r="B531" s="52"/>
      <c r="C531" s="52"/>
      <c r="D531" s="52"/>
      <c r="E531" s="52"/>
      <c r="F531" s="50"/>
      <c r="G531" s="52"/>
      <c r="H531" s="52"/>
      <c r="I531" s="52"/>
      <c r="J531" s="51"/>
      <c r="K531" s="52"/>
      <c r="L531" s="52"/>
      <c r="M531" s="52"/>
      <c r="N531" s="50"/>
      <c r="O531" s="52"/>
      <c r="P531" s="54"/>
      <c r="Q531" s="54"/>
      <c r="R531" s="52"/>
      <c r="S531" s="52"/>
      <c r="T531" s="52"/>
      <c r="U531" s="52"/>
      <c r="V531" s="52"/>
    </row>
    <row r="532" spans="1:22" ht="13.2" x14ac:dyDescent="0.25">
      <c r="A532" s="52"/>
      <c r="B532" s="52"/>
      <c r="C532" s="52"/>
      <c r="D532" s="52"/>
      <c r="E532" s="52"/>
      <c r="F532" s="50"/>
      <c r="G532" s="52"/>
      <c r="H532" s="52"/>
      <c r="I532" s="52"/>
      <c r="J532" s="51"/>
      <c r="K532" s="52"/>
      <c r="L532" s="52"/>
      <c r="M532" s="52"/>
      <c r="N532" s="50"/>
      <c r="O532" s="52"/>
      <c r="P532" s="54"/>
      <c r="Q532" s="54"/>
      <c r="R532" s="52"/>
      <c r="S532" s="52"/>
      <c r="T532" s="52"/>
      <c r="U532" s="52"/>
      <c r="V532" s="52"/>
    </row>
    <row r="533" spans="1:22" ht="13.2" x14ac:dyDescent="0.25">
      <c r="A533" s="52"/>
      <c r="B533" s="52"/>
      <c r="C533" s="52"/>
      <c r="D533" s="52"/>
      <c r="E533" s="52"/>
      <c r="F533" s="50"/>
      <c r="G533" s="52"/>
      <c r="H533" s="52"/>
      <c r="I533" s="52"/>
      <c r="J533" s="51"/>
      <c r="K533" s="52"/>
      <c r="L533" s="52"/>
      <c r="M533" s="52"/>
      <c r="N533" s="50"/>
      <c r="O533" s="52"/>
      <c r="P533" s="54"/>
      <c r="Q533" s="54"/>
      <c r="R533" s="52"/>
      <c r="S533" s="52"/>
      <c r="T533" s="52"/>
      <c r="U533" s="52"/>
      <c r="V533" s="52"/>
    </row>
    <row r="534" spans="1:22" ht="13.2" x14ac:dyDescent="0.25">
      <c r="A534" s="52"/>
      <c r="B534" s="52"/>
      <c r="C534" s="52"/>
      <c r="D534" s="52"/>
      <c r="E534" s="52"/>
      <c r="F534" s="50"/>
      <c r="G534" s="52"/>
      <c r="H534" s="52"/>
      <c r="I534" s="52"/>
      <c r="J534" s="51"/>
      <c r="K534" s="52"/>
      <c r="L534" s="52"/>
      <c r="M534" s="52"/>
      <c r="N534" s="50"/>
      <c r="O534" s="52"/>
      <c r="P534" s="54"/>
      <c r="Q534" s="54"/>
      <c r="R534" s="52"/>
      <c r="S534" s="52"/>
      <c r="T534" s="52"/>
      <c r="U534" s="52"/>
      <c r="V534" s="52"/>
    </row>
    <row r="535" spans="1:22" ht="13.2" x14ac:dyDescent="0.25">
      <c r="A535" s="52"/>
      <c r="B535" s="52"/>
      <c r="C535" s="52"/>
      <c r="D535" s="52"/>
      <c r="E535" s="52"/>
      <c r="F535" s="50"/>
      <c r="G535" s="52"/>
      <c r="H535" s="52"/>
      <c r="I535" s="52"/>
      <c r="J535" s="51"/>
      <c r="K535" s="52"/>
      <c r="L535" s="52"/>
      <c r="M535" s="52"/>
      <c r="N535" s="50"/>
      <c r="O535" s="52"/>
      <c r="P535" s="54"/>
      <c r="Q535" s="54"/>
      <c r="R535" s="52"/>
      <c r="S535" s="52"/>
      <c r="T535" s="52"/>
      <c r="U535" s="52"/>
      <c r="V535" s="52"/>
    </row>
    <row r="536" spans="1:22" ht="13.2" x14ac:dyDescent="0.25">
      <c r="A536" s="52"/>
      <c r="B536" s="52"/>
      <c r="C536" s="52"/>
      <c r="D536" s="52"/>
      <c r="E536" s="52"/>
      <c r="F536" s="50"/>
      <c r="G536" s="52"/>
      <c r="H536" s="52"/>
      <c r="I536" s="52"/>
      <c r="J536" s="51"/>
      <c r="K536" s="52"/>
      <c r="L536" s="52"/>
      <c r="M536" s="52"/>
      <c r="N536" s="50"/>
      <c r="O536" s="52"/>
      <c r="P536" s="54"/>
      <c r="Q536" s="54"/>
      <c r="R536" s="52"/>
      <c r="S536" s="52"/>
      <c r="T536" s="52"/>
      <c r="U536" s="52"/>
      <c r="V536" s="52"/>
    </row>
    <row r="537" spans="1:22" ht="13.2" x14ac:dyDescent="0.25">
      <c r="A537" s="52"/>
      <c r="B537" s="52"/>
      <c r="C537" s="52"/>
      <c r="D537" s="52"/>
      <c r="E537" s="52"/>
      <c r="F537" s="50"/>
      <c r="G537" s="52"/>
      <c r="H537" s="52"/>
      <c r="I537" s="52"/>
      <c r="J537" s="51"/>
      <c r="K537" s="52"/>
      <c r="L537" s="52"/>
      <c r="M537" s="52"/>
      <c r="N537" s="50"/>
      <c r="O537" s="52"/>
      <c r="P537" s="54"/>
      <c r="Q537" s="54"/>
      <c r="R537" s="52"/>
      <c r="S537" s="52"/>
      <c r="T537" s="52"/>
      <c r="U537" s="52"/>
      <c r="V537" s="52"/>
    </row>
    <row r="538" spans="1:22" ht="13.2" x14ac:dyDescent="0.25">
      <c r="A538" s="52"/>
      <c r="B538" s="52"/>
      <c r="C538" s="52"/>
      <c r="D538" s="52"/>
      <c r="E538" s="52"/>
      <c r="F538" s="50"/>
      <c r="G538" s="52"/>
      <c r="H538" s="52"/>
      <c r="I538" s="52"/>
      <c r="J538" s="51"/>
      <c r="K538" s="52"/>
      <c r="L538" s="52"/>
      <c r="M538" s="52"/>
      <c r="N538" s="50"/>
      <c r="O538" s="52"/>
      <c r="P538" s="54"/>
      <c r="Q538" s="54"/>
      <c r="R538" s="52"/>
      <c r="S538" s="52"/>
      <c r="T538" s="52"/>
      <c r="U538" s="52"/>
      <c r="V538" s="52"/>
    </row>
    <row r="539" spans="1:22" ht="13.2" x14ac:dyDescent="0.25">
      <c r="A539" s="52"/>
      <c r="B539" s="52"/>
      <c r="C539" s="52"/>
      <c r="D539" s="52"/>
      <c r="E539" s="52"/>
      <c r="F539" s="50"/>
      <c r="G539" s="52"/>
      <c r="H539" s="52"/>
      <c r="I539" s="52"/>
      <c r="J539" s="51"/>
      <c r="K539" s="52"/>
      <c r="L539" s="52"/>
      <c r="M539" s="52"/>
      <c r="N539" s="50"/>
      <c r="O539" s="52"/>
      <c r="P539" s="54"/>
      <c r="Q539" s="54"/>
      <c r="R539" s="52"/>
      <c r="S539" s="52"/>
      <c r="T539" s="52"/>
      <c r="U539" s="52"/>
      <c r="V539" s="52"/>
    </row>
    <row r="540" spans="1:22" ht="13.2" x14ac:dyDescent="0.25">
      <c r="A540" s="52"/>
      <c r="B540" s="52"/>
      <c r="C540" s="52"/>
      <c r="D540" s="52"/>
      <c r="E540" s="52"/>
      <c r="F540" s="50"/>
      <c r="G540" s="52"/>
      <c r="H540" s="52"/>
      <c r="I540" s="52"/>
      <c r="J540" s="51"/>
      <c r="K540" s="52"/>
      <c r="L540" s="52"/>
      <c r="M540" s="52"/>
      <c r="N540" s="50"/>
      <c r="O540" s="52"/>
      <c r="P540" s="54"/>
      <c r="Q540" s="54"/>
      <c r="R540" s="52"/>
      <c r="S540" s="52"/>
      <c r="T540" s="52"/>
      <c r="U540" s="52"/>
      <c r="V540" s="52"/>
    </row>
    <row r="541" spans="1:22" ht="13.2" x14ac:dyDescent="0.25">
      <c r="A541" s="52"/>
      <c r="B541" s="52"/>
      <c r="C541" s="52"/>
      <c r="D541" s="52"/>
      <c r="E541" s="52"/>
      <c r="F541" s="50"/>
      <c r="G541" s="52"/>
      <c r="H541" s="52"/>
      <c r="I541" s="52"/>
      <c r="J541" s="51"/>
      <c r="K541" s="52"/>
      <c r="L541" s="52"/>
      <c r="M541" s="52"/>
      <c r="N541" s="50"/>
      <c r="O541" s="52"/>
      <c r="P541" s="54"/>
      <c r="Q541" s="54"/>
      <c r="R541" s="52"/>
      <c r="S541" s="52"/>
      <c r="T541" s="52"/>
      <c r="U541" s="52"/>
      <c r="V541" s="52"/>
    </row>
    <row r="542" spans="1:22" ht="13.2" x14ac:dyDescent="0.25">
      <c r="A542" s="52"/>
      <c r="B542" s="52"/>
      <c r="C542" s="52"/>
      <c r="D542" s="52"/>
      <c r="E542" s="52"/>
      <c r="F542" s="50"/>
      <c r="G542" s="52"/>
      <c r="H542" s="52"/>
      <c r="I542" s="52"/>
      <c r="J542" s="51"/>
      <c r="K542" s="52"/>
      <c r="L542" s="52"/>
      <c r="M542" s="52"/>
      <c r="N542" s="50"/>
      <c r="O542" s="52"/>
      <c r="P542" s="54"/>
      <c r="Q542" s="54"/>
      <c r="R542" s="52"/>
      <c r="S542" s="52"/>
      <c r="T542" s="52"/>
      <c r="U542" s="52"/>
      <c r="V542" s="52"/>
    </row>
    <row r="543" spans="1:22" ht="13.2" x14ac:dyDescent="0.25">
      <c r="A543" s="52"/>
      <c r="B543" s="52"/>
      <c r="C543" s="52"/>
      <c r="D543" s="52"/>
      <c r="E543" s="52"/>
      <c r="F543" s="50"/>
      <c r="G543" s="52"/>
      <c r="H543" s="52"/>
      <c r="I543" s="52"/>
      <c r="J543" s="51"/>
      <c r="K543" s="52"/>
      <c r="L543" s="52"/>
      <c r="M543" s="52"/>
      <c r="N543" s="50"/>
      <c r="O543" s="52"/>
      <c r="P543" s="54"/>
      <c r="Q543" s="54"/>
      <c r="R543" s="52"/>
      <c r="S543" s="52"/>
      <c r="T543" s="52"/>
      <c r="U543" s="52"/>
      <c r="V543" s="52"/>
    </row>
    <row r="544" spans="1:22" ht="13.2" x14ac:dyDescent="0.25">
      <c r="A544" s="52"/>
      <c r="B544" s="52"/>
      <c r="C544" s="52"/>
      <c r="D544" s="52"/>
      <c r="E544" s="52"/>
      <c r="F544" s="50"/>
      <c r="G544" s="52"/>
      <c r="H544" s="52"/>
      <c r="I544" s="52"/>
      <c r="J544" s="51"/>
      <c r="K544" s="52"/>
      <c r="L544" s="52"/>
      <c r="M544" s="52"/>
      <c r="N544" s="50"/>
      <c r="O544" s="52"/>
      <c r="P544" s="54"/>
      <c r="Q544" s="54"/>
      <c r="R544" s="52"/>
      <c r="S544" s="52"/>
      <c r="T544" s="52"/>
      <c r="U544" s="52"/>
      <c r="V544" s="52"/>
    </row>
    <row r="545" spans="1:22" ht="13.2" x14ac:dyDescent="0.25">
      <c r="A545" s="52"/>
      <c r="B545" s="52"/>
      <c r="C545" s="52"/>
      <c r="D545" s="52"/>
      <c r="E545" s="52"/>
      <c r="F545" s="50"/>
      <c r="G545" s="52"/>
      <c r="H545" s="52"/>
      <c r="I545" s="52"/>
      <c r="J545" s="51"/>
      <c r="K545" s="52"/>
      <c r="L545" s="52"/>
      <c r="M545" s="52"/>
      <c r="N545" s="50"/>
      <c r="O545" s="52"/>
      <c r="P545" s="54"/>
      <c r="Q545" s="54"/>
      <c r="R545" s="52"/>
      <c r="S545" s="52"/>
      <c r="T545" s="52"/>
      <c r="U545" s="52"/>
      <c r="V545" s="52"/>
    </row>
    <row r="546" spans="1:22" ht="13.2" x14ac:dyDescent="0.25">
      <c r="A546" s="52"/>
      <c r="B546" s="52"/>
      <c r="C546" s="52"/>
      <c r="D546" s="52"/>
      <c r="E546" s="52"/>
      <c r="F546" s="50"/>
      <c r="G546" s="52"/>
      <c r="H546" s="52"/>
      <c r="I546" s="52"/>
      <c r="J546" s="51"/>
      <c r="K546" s="52"/>
      <c r="L546" s="52"/>
      <c r="M546" s="52"/>
      <c r="N546" s="50"/>
      <c r="O546" s="52"/>
      <c r="P546" s="54"/>
      <c r="Q546" s="54"/>
      <c r="R546" s="52"/>
      <c r="S546" s="52"/>
      <c r="T546" s="52"/>
      <c r="U546" s="52"/>
      <c r="V546" s="52"/>
    </row>
    <row r="547" spans="1:22" ht="13.2" x14ac:dyDescent="0.25">
      <c r="A547" s="52"/>
      <c r="B547" s="52"/>
      <c r="C547" s="52"/>
      <c r="D547" s="52"/>
      <c r="E547" s="52"/>
      <c r="F547" s="50"/>
      <c r="G547" s="52"/>
      <c r="H547" s="52"/>
      <c r="I547" s="52"/>
      <c r="J547" s="51"/>
      <c r="K547" s="52"/>
      <c r="L547" s="52"/>
      <c r="M547" s="52"/>
      <c r="N547" s="50"/>
      <c r="O547" s="52"/>
      <c r="P547" s="54"/>
      <c r="Q547" s="54"/>
      <c r="R547" s="52"/>
      <c r="S547" s="52"/>
      <c r="T547" s="52"/>
      <c r="U547" s="52"/>
      <c r="V547" s="52"/>
    </row>
    <row r="548" spans="1:22" ht="13.2" x14ac:dyDescent="0.25">
      <c r="A548" s="52"/>
      <c r="B548" s="52"/>
      <c r="C548" s="52"/>
      <c r="D548" s="52"/>
      <c r="E548" s="52"/>
      <c r="F548" s="50"/>
      <c r="G548" s="52"/>
      <c r="H548" s="52"/>
      <c r="I548" s="52"/>
      <c r="J548" s="51"/>
      <c r="K548" s="52"/>
      <c r="L548" s="52"/>
      <c r="M548" s="52"/>
      <c r="N548" s="50"/>
      <c r="O548" s="52"/>
      <c r="P548" s="54"/>
      <c r="Q548" s="54"/>
      <c r="R548" s="52"/>
      <c r="S548" s="52"/>
      <c r="T548" s="52"/>
      <c r="U548" s="52"/>
      <c r="V548" s="52"/>
    </row>
    <row r="549" spans="1:22" ht="13.2" x14ac:dyDescent="0.25">
      <c r="A549" s="52"/>
      <c r="B549" s="52"/>
      <c r="C549" s="52"/>
      <c r="D549" s="52"/>
      <c r="E549" s="52"/>
      <c r="F549" s="50"/>
      <c r="G549" s="52"/>
      <c r="H549" s="52"/>
      <c r="I549" s="52"/>
      <c r="J549" s="51"/>
      <c r="K549" s="52"/>
      <c r="L549" s="52"/>
      <c r="M549" s="52"/>
      <c r="N549" s="50"/>
      <c r="O549" s="52"/>
      <c r="P549" s="54"/>
      <c r="Q549" s="54"/>
      <c r="R549" s="52"/>
      <c r="S549" s="52"/>
      <c r="T549" s="52"/>
      <c r="U549" s="52"/>
      <c r="V549" s="52"/>
    </row>
    <row r="550" spans="1:22" ht="13.2" x14ac:dyDescent="0.25">
      <c r="A550" s="52"/>
      <c r="B550" s="52"/>
      <c r="C550" s="52"/>
      <c r="D550" s="52"/>
      <c r="E550" s="52"/>
      <c r="F550" s="50"/>
      <c r="G550" s="52"/>
      <c r="H550" s="52"/>
      <c r="I550" s="52"/>
      <c r="J550" s="51"/>
      <c r="K550" s="52"/>
      <c r="L550" s="52"/>
      <c r="M550" s="52"/>
      <c r="N550" s="50"/>
      <c r="O550" s="52"/>
      <c r="P550" s="54"/>
      <c r="Q550" s="54"/>
      <c r="R550" s="52"/>
      <c r="S550" s="52"/>
      <c r="T550" s="52"/>
      <c r="U550" s="52"/>
      <c r="V550" s="52"/>
    </row>
    <row r="551" spans="1:22" ht="13.2" x14ac:dyDescent="0.25">
      <c r="A551" s="52"/>
      <c r="B551" s="52"/>
      <c r="C551" s="52"/>
      <c r="D551" s="52"/>
      <c r="E551" s="52"/>
      <c r="F551" s="50"/>
      <c r="G551" s="52"/>
      <c r="H551" s="52"/>
      <c r="I551" s="52"/>
      <c r="J551" s="51"/>
      <c r="K551" s="52"/>
      <c r="L551" s="52"/>
      <c r="M551" s="52"/>
      <c r="N551" s="50"/>
      <c r="O551" s="52"/>
      <c r="P551" s="54"/>
      <c r="Q551" s="54"/>
      <c r="R551" s="52"/>
      <c r="S551" s="52"/>
      <c r="T551" s="52"/>
      <c r="U551" s="52"/>
      <c r="V551" s="52"/>
    </row>
    <row r="552" spans="1:22" ht="13.2" x14ac:dyDescent="0.25">
      <c r="A552" s="52"/>
      <c r="B552" s="52"/>
      <c r="C552" s="52"/>
      <c r="D552" s="52"/>
      <c r="E552" s="52"/>
      <c r="F552" s="50"/>
      <c r="G552" s="52"/>
      <c r="H552" s="52"/>
      <c r="I552" s="52"/>
      <c r="J552" s="51"/>
      <c r="K552" s="52"/>
      <c r="L552" s="52"/>
      <c r="M552" s="52"/>
      <c r="N552" s="50"/>
      <c r="O552" s="52"/>
      <c r="P552" s="54"/>
      <c r="Q552" s="54"/>
      <c r="R552" s="52"/>
      <c r="S552" s="52"/>
      <c r="T552" s="52"/>
      <c r="U552" s="52"/>
      <c r="V552" s="52"/>
    </row>
    <row r="553" spans="1:22" ht="13.2" x14ac:dyDescent="0.25">
      <c r="A553" s="52"/>
      <c r="B553" s="52"/>
      <c r="C553" s="52"/>
      <c r="D553" s="52"/>
      <c r="E553" s="52"/>
      <c r="F553" s="50"/>
      <c r="G553" s="52"/>
      <c r="H553" s="52"/>
      <c r="I553" s="52"/>
      <c r="J553" s="51"/>
      <c r="K553" s="52"/>
      <c r="L553" s="52"/>
      <c r="M553" s="52"/>
      <c r="N553" s="50"/>
      <c r="O553" s="52"/>
      <c r="P553" s="54"/>
      <c r="Q553" s="54"/>
      <c r="R553" s="52"/>
      <c r="S553" s="52"/>
      <c r="T553" s="52"/>
      <c r="U553" s="52"/>
      <c r="V553" s="52"/>
    </row>
    <row r="554" spans="1:22" ht="13.2" x14ac:dyDescent="0.25">
      <c r="A554" s="52"/>
      <c r="B554" s="52"/>
      <c r="C554" s="52"/>
      <c r="D554" s="52"/>
      <c r="E554" s="52"/>
      <c r="F554" s="50"/>
      <c r="G554" s="52"/>
      <c r="H554" s="52"/>
      <c r="I554" s="52"/>
      <c r="J554" s="51"/>
      <c r="K554" s="52"/>
      <c r="L554" s="52"/>
      <c r="M554" s="52"/>
      <c r="N554" s="50"/>
      <c r="O554" s="52"/>
      <c r="P554" s="54"/>
      <c r="Q554" s="54"/>
      <c r="R554" s="52"/>
      <c r="S554" s="52"/>
      <c r="T554" s="52"/>
      <c r="U554" s="52"/>
      <c r="V554" s="52"/>
    </row>
    <row r="555" spans="1:22" ht="13.2" x14ac:dyDescent="0.25">
      <c r="A555" s="52"/>
      <c r="B555" s="52"/>
      <c r="C555" s="52"/>
      <c r="D555" s="52"/>
      <c r="E555" s="52"/>
      <c r="F555" s="50"/>
      <c r="G555" s="52"/>
      <c r="H555" s="52"/>
      <c r="I555" s="52"/>
      <c r="J555" s="51"/>
      <c r="K555" s="52"/>
      <c r="L555" s="52"/>
      <c r="M555" s="52"/>
      <c r="N555" s="50"/>
      <c r="O555" s="52"/>
      <c r="P555" s="54"/>
      <c r="Q555" s="54"/>
      <c r="R555" s="52"/>
      <c r="S555" s="52"/>
      <c r="T555" s="52"/>
      <c r="U555" s="52"/>
      <c r="V555" s="52"/>
    </row>
    <row r="556" spans="1:22" ht="13.2" x14ac:dyDescent="0.25">
      <c r="A556" s="52"/>
      <c r="B556" s="52"/>
      <c r="C556" s="52"/>
      <c r="D556" s="52"/>
      <c r="E556" s="52"/>
      <c r="F556" s="50"/>
      <c r="G556" s="52"/>
      <c r="H556" s="52"/>
      <c r="I556" s="52"/>
      <c r="J556" s="51"/>
      <c r="K556" s="52"/>
      <c r="L556" s="52"/>
      <c r="M556" s="52"/>
      <c r="N556" s="50"/>
      <c r="O556" s="52"/>
      <c r="P556" s="54"/>
      <c r="Q556" s="54"/>
      <c r="R556" s="52"/>
      <c r="S556" s="52"/>
      <c r="T556" s="52"/>
      <c r="U556" s="52"/>
      <c r="V556" s="52"/>
    </row>
    <row r="557" spans="1:22" ht="13.2" x14ac:dyDescent="0.25">
      <c r="A557" s="52"/>
      <c r="B557" s="52"/>
      <c r="C557" s="52"/>
      <c r="D557" s="52"/>
      <c r="E557" s="52"/>
      <c r="F557" s="50"/>
      <c r="G557" s="52"/>
      <c r="H557" s="52"/>
      <c r="I557" s="52"/>
      <c r="J557" s="51"/>
      <c r="K557" s="52"/>
      <c r="L557" s="52"/>
      <c r="M557" s="52"/>
      <c r="N557" s="50"/>
      <c r="O557" s="52"/>
      <c r="P557" s="54"/>
      <c r="Q557" s="54"/>
      <c r="R557" s="52"/>
      <c r="S557" s="52"/>
      <c r="T557" s="52"/>
      <c r="U557" s="52"/>
      <c r="V557" s="52"/>
    </row>
    <row r="558" spans="1:22" ht="13.2" x14ac:dyDescent="0.25">
      <c r="A558" s="52"/>
      <c r="B558" s="52"/>
      <c r="C558" s="52"/>
      <c r="D558" s="52"/>
      <c r="E558" s="52"/>
      <c r="F558" s="50"/>
      <c r="G558" s="52"/>
      <c r="H558" s="52"/>
      <c r="I558" s="52"/>
      <c r="J558" s="51"/>
      <c r="K558" s="52"/>
      <c r="L558" s="52"/>
      <c r="M558" s="52"/>
      <c r="N558" s="50"/>
      <c r="O558" s="52"/>
      <c r="P558" s="54"/>
      <c r="Q558" s="54"/>
      <c r="R558" s="52"/>
      <c r="S558" s="52"/>
      <c r="T558" s="52"/>
      <c r="U558" s="52"/>
      <c r="V558" s="52"/>
    </row>
    <row r="559" spans="1:22" ht="13.2" x14ac:dyDescent="0.25">
      <c r="A559" s="52"/>
      <c r="B559" s="52"/>
      <c r="C559" s="52"/>
      <c r="D559" s="52"/>
      <c r="E559" s="52"/>
      <c r="F559" s="50"/>
      <c r="G559" s="52"/>
      <c r="H559" s="52"/>
      <c r="I559" s="52"/>
      <c r="J559" s="51"/>
      <c r="K559" s="52"/>
      <c r="L559" s="52"/>
      <c r="M559" s="52"/>
      <c r="N559" s="50"/>
      <c r="O559" s="52"/>
      <c r="P559" s="54"/>
      <c r="Q559" s="54"/>
      <c r="R559" s="52"/>
      <c r="S559" s="52"/>
      <c r="T559" s="52"/>
      <c r="U559" s="52"/>
      <c r="V559" s="52"/>
    </row>
    <row r="560" spans="1:22" ht="13.2" x14ac:dyDescent="0.25">
      <c r="A560" s="52"/>
      <c r="B560" s="52"/>
      <c r="C560" s="52"/>
      <c r="D560" s="52"/>
      <c r="E560" s="52"/>
      <c r="F560" s="50"/>
      <c r="G560" s="52"/>
      <c r="H560" s="52"/>
      <c r="I560" s="52"/>
      <c r="J560" s="51"/>
      <c r="K560" s="52"/>
      <c r="L560" s="52"/>
      <c r="M560" s="52"/>
      <c r="N560" s="50"/>
      <c r="O560" s="52"/>
      <c r="P560" s="54"/>
      <c r="Q560" s="54"/>
      <c r="R560" s="52"/>
      <c r="S560" s="52"/>
      <c r="T560" s="52"/>
      <c r="U560" s="52"/>
      <c r="V560" s="52"/>
    </row>
    <row r="561" spans="1:22" ht="13.2" x14ac:dyDescent="0.25">
      <c r="A561" s="52"/>
      <c r="B561" s="52"/>
      <c r="C561" s="52"/>
      <c r="D561" s="52"/>
      <c r="E561" s="52"/>
      <c r="F561" s="50"/>
      <c r="G561" s="52"/>
      <c r="H561" s="52"/>
      <c r="I561" s="52"/>
      <c r="J561" s="51"/>
      <c r="K561" s="52"/>
      <c r="L561" s="52"/>
      <c r="M561" s="52"/>
      <c r="N561" s="50"/>
      <c r="O561" s="52"/>
      <c r="P561" s="54"/>
      <c r="Q561" s="54"/>
      <c r="R561" s="52"/>
      <c r="S561" s="52"/>
      <c r="T561" s="52"/>
      <c r="U561" s="52"/>
      <c r="V561" s="52"/>
    </row>
    <row r="562" spans="1:22" ht="13.2" x14ac:dyDescent="0.25">
      <c r="A562" s="52"/>
      <c r="B562" s="52"/>
      <c r="C562" s="52"/>
      <c r="D562" s="52"/>
      <c r="E562" s="52"/>
      <c r="F562" s="50"/>
      <c r="G562" s="52"/>
      <c r="H562" s="52"/>
      <c r="I562" s="52"/>
      <c r="J562" s="51"/>
      <c r="K562" s="52"/>
      <c r="L562" s="52"/>
      <c r="M562" s="52"/>
      <c r="N562" s="50"/>
      <c r="O562" s="52"/>
      <c r="P562" s="54"/>
      <c r="Q562" s="54"/>
      <c r="R562" s="52"/>
      <c r="S562" s="52"/>
      <c r="T562" s="52"/>
      <c r="U562" s="52"/>
      <c r="V562" s="52"/>
    </row>
    <row r="563" spans="1:22" ht="13.2" x14ac:dyDescent="0.25">
      <c r="A563" s="52"/>
      <c r="B563" s="52"/>
      <c r="C563" s="52"/>
      <c r="D563" s="52"/>
      <c r="E563" s="52"/>
      <c r="F563" s="50"/>
      <c r="G563" s="52"/>
      <c r="H563" s="52"/>
      <c r="I563" s="52"/>
      <c r="J563" s="51"/>
      <c r="K563" s="52"/>
      <c r="L563" s="52"/>
      <c r="M563" s="52"/>
      <c r="N563" s="50"/>
      <c r="O563" s="52"/>
      <c r="P563" s="54"/>
      <c r="Q563" s="54"/>
      <c r="R563" s="52"/>
      <c r="S563" s="52"/>
      <c r="T563" s="52"/>
      <c r="U563" s="52"/>
      <c r="V563" s="52"/>
    </row>
    <row r="564" spans="1:22" ht="13.2" x14ac:dyDescent="0.25">
      <c r="A564" s="52"/>
      <c r="B564" s="52"/>
      <c r="C564" s="52"/>
      <c r="D564" s="52"/>
      <c r="E564" s="52"/>
      <c r="F564" s="50"/>
      <c r="G564" s="52"/>
      <c r="H564" s="52"/>
      <c r="I564" s="52"/>
      <c r="J564" s="51"/>
      <c r="K564" s="52"/>
      <c r="L564" s="52"/>
      <c r="M564" s="52"/>
      <c r="N564" s="50"/>
      <c r="O564" s="52"/>
      <c r="P564" s="54"/>
      <c r="Q564" s="54"/>
      <c r="R564" s="52"/>
      <c r="S564" s="52"/>
      <c r="T564" s="52"/>
      <c r="U564" s="52"/>
      <c r="V564" s="52"/>
    </row>
    <row r="565" spans="1:22" ht="13.2" x14ac:dyDescent="0.25">
      <c r="A565" s="52"/>
      <c r="B565" s="52"/>
      <c r="C565" s="52"/>
      <c r="D565" s="52"/>
      <c r="E565" s="52"/>
      <c r="F565" s="50"/>
      <c r="G565" s="52"/>
      <c r="H565" s="52"/>
      <c r="I565" s="52"/>
      <c r="J565" s="51"/>
      <c r="K565" s="52"/>
      <c r="L565" s="52"/>
      <c r="M565" s="52"/>
      <c r="N565" s="50"/>
      <c r="O565" s="52"/>
      <c r="P565" s="54"/>
      <c r="Q565" s="54"/>
      <c r="R565" s="52"/>
      <c r="S565" s="52"/>
      <c r="T565" s="52"/>
      <c r="U565" s="52"/>
      <c r="V565" s="52"/>
    </row>
    <row r="566" spans="1:22" ht="13.2" x14ac:dyDescent="0.25">
      <c r="A566" s="52"/>
      <c r="B566" s="52"/>
      <c r="C566" s="52"/>
      <c r="D566" s="52"/>
      <c r="E566" s="52"/>
      <c r="F566" s="50"/>
      <c r="G566" s="52"/>
      <c r="H566" s="52"/>
      <c r="I566" s="52"/>
      <c r="J566" s="51"/>
      <c r="K566" s="52"/>
      <c r="L566" s="52"/>
      <c r="M566" s="52"/>
      <c r="N566" s="50"/>
      <c r="O566" s="52"/>
      <c r="P566" s="54"/>
      <c r="Q566" s="54"/>
      <c r="R566" s="52"/>
      <c r="S566" s="52"/>
      <c r="T566" s="52"/>
      <c r="U566" s="52"/>
      <c r="V566" s="52"/>
    </row>
    <row r="567" spans="1:22" ht="13.2" x14ac:dyDescent="0.25">
      <c r="A567" s="52"/>
      <c r="B567" s="52"/>
      <c r="C567" s="52"/>
      <c r="D567" s="52"/>
      <c r="E567" s="52"/>
      <c r="F567" s="50"/>
      <c r="G567" s="52"/>
      <c r="H567" s="52"/>
      <c r="I567" s="52"/>
      <c r="J567" s="51"/>
      <c r="K567" s="52"/>
      <c r="L567" s="52"/>
      <c r="M567" s="52"/>
      <c r="N567" s="50"/>
      <c r="O567" s="52"/>
      <c r="P567" s="54"/>
      <c r="Q567" s="54"/>
      <c r="R567" s="52"/>
      <c r="S567" s="52"/>
      <c r="T567" s="52"/>
      <c r="U567" s="52"/>
      <c r="V567" s="52"/>
    </row>
    <row r="568" spans="1:22" ht="13.2" x14ac:dyDescent="0.25">
      <c r="A568" s="52"/>
      <c r="B568" s="52"/>
      <c r="C568" s="52"/>
      <c r="D568" s="52"/>
      <c r="E568" s="52"/>
      <c r="F568" s="50"/>
      <c r="G568" s="52"/>
      <c r="H568" s="52"/>
      <c r="I568" s="52"/>
      <c r="J568" s="51"/>
      <c r="K568" s="52"/>
      <c r="L568" s="52"/>
      <c r="M568" s="52"/>
      <c r="N568" s="50"/>
      <c r="O568" s="52"/>
      <c r="P568" s="54"/>
      <c r="Q568" s="54"/>
      <c r="R568" s="52"/>
      <c r="S568" s="52"/>
      <c r="T568" s="52"/>
      <c r="U568" s="52"/>
      <c r="V568" s="52"/>
    </row>
    <row r="569" spans="1:22" ht="13.2" x14ac:dyDescent="0.25">
      <c r="A569" s="52"/>
      <c r="B569" s="52"/>
      <c r="C569" s="52"/>
      <c r="D569" s="52"/>
      <c r="E569" s="52"/>
      <c r="F569" s="50"/>
      <c r="G569" s="52"/>
      <c r="H569" s="52"/>
      <c r="I569" s="52"/>
      <c r="J569" s="51"/>
      <c r="K569" s="52"/>
      <c r="L569" s="52"/>
      <c r="M569" s="52"/>
      <c r="N569" s="50"/>
      <c r="O569" s="52"/>
      <c r="P569" s="54"/>
      <c r="Q569" s="54"/>
      <c r="R569" s="52"/>
      <c r="S569" s="52"/>
      <c r="T569" s="52"/>
      <c r="U569" s="52"/>
      <c r="V569" s="52"/>
    </row>
    <row r="570" spans="1:22" ht="13.2" x14ac:dyDescent="0.25">
      <c r="A570" s="52"/>
      <c r="B570" s="52"/>
      <c r="C570" s="52"/>
      <c r="D570" s="52"/>
      <c r="E570" s="52"/>
      <c r="F570" s="50"/>
      <c r="G570" s="52"/>
      <c r="H570" s="52"/>
      <c r="I570" s="52"/>
      <c r="J570" s="51"/>
      <c r="K570" s="52"/>
      <c r="L570" s="52"/>
      <c r="M570" s="52"/>
      <c r="N570" s="50"/>
      <c r="O570" s="52"/>
      <c r="P570" s="54"/>
      <c r="Q570" s="54"/>
      <c r="R570" s="52"/>
      <c r="S570" s="52"/>
      <c r="T570" s="52"/>
      <c r="U570" s="52"/>
      <c r="V570" s="52"/>
    </row>
    <row r="571" spans="1:22" ht="13.2" x14ac:dyDescent="0.25">
      <c r="A571" s="52"/>
      <c r="B571" s="52"/>
      <c r="C571" s="52"/>
      <c r="D571" s="52"/>
      <c r="E571" s="52"/>
      <c r="F571" s="50"/>
      <c r="G571" s="52"/>
      <c r="H571" s="52"/>
      <c r="I571" s="52"/>
      <c r="J571" s="51"/>
      <c r="K571" s="52"/>
      <c r="L571" s="52"/>
      <c r="M571" s="52"/>
      <c r="N571" s="50"/>
      <c r="O571" s="52"/>
      <c r="P571" s="54"/>
      <c r="Q571" s="54"/>
      <c r="R571" s="52"/>
      <c r="S571" s="52"/>
      <c r="T571" s="52"/>
      <c r="U571" s="52"/>
      <c r="V571" s="52"/>
    </row>
    <row r="572" spans="1:22" ht="13.2" x14ac:dyDescent="0.25">
      <c r="A572" s="52"/>
      <c r="B572" s="52"/>
      <c r="C572" s="52"/>
      <c r="D572" s="52"/>
      <c r="E572" s="52"/>
      <c r="F572" s="50"/>
      <c r="G572" s="52"/>
      <c r="H572" s="52"/>
      <c r="I572" s="52"/>
      <c r="J572" s="51"/>
      <c r="K572" s="52"/>
      <c r="L572" s="52"/>
      <c r="M572" s="52"/>
      <c r="N572" s="50"/>
      <c r="O572" s="52"/>
      <c r="P572" s="54"/>
      <c r="Q572" s="54"/>
      <c r="R572" s="52"/>
      <c r="S572" s="52"/>
      <c r="T572" s="52"/>
      <c r="U572" s="52"/>
      <c r="V572" s="52"/>
    </row>
    <row r="573" spans="1:22" ht="13.2" x14ac:dyDescent="0.25">
      <c r="A573" s="52"/>
      <c r="B573" s="52"/>
      <c r="C573" s="52"/>
      <c r="D573" s="52"/>
      <c r="E573" s="52"/>
      <c r="F573" s="50"/>
      <c r="G573" s="52"/>
      <c r="H573" s="52"/>
      <c r="I573" s="52"/>
      <c r="J573" s="51"/>
      <c r="K573" s="52"/>
      <c r="L573" s="52"/>
      <c r="M573" s="52"/>
      <c r="N573" s="50"/>
      <c r="O573" s="52"/>
      <c r="P573" s="54"/>
      <c r="Q573" s="54"/>
      <c r="R573" s="52"/>
      <c r="S573" s="52"/>
      <c r="T573" s="52"/>
      <c r="U573" s="52"/>
      <c r="V573" s="52"/>
    </row>
    <row r="574" spans="1:22" ht="13.2" x14ac:dyDescent="0.25">
      <c r="A574" s="52"/>
      <c r="B574" s="52"/>
      <c r="C574" s="52"/>
      <c r="D574" s="52"/>
      <c r="E574" s="52"/>
      <c r="F574" s="50"/>
      <c r="G574" s="52"/>
      <c r="H574" s="52"/>
      <c r="I574" s="52"/>
      <c r="J574" s="51"/>
      <c r="K574" s="52"/>
      <c r="L574" s="52"/>
      <c r="M574" s="52"/>
      <c r="N574" s="50"/>
      <c r="O574" s="52"/>
      <c r="P574" s="54"/>
      <c r="Q574" s="54"/>
      <c r="R574" s="52"/>
      <c r="S574" s="52"/>
      <c r="T574" s="52"/>
      <c r="U574" s="52"/>
      <c r="V574" s="52"/>
    </row>
    <row r="575" spans="1:22" ht="13.2" x14ac:dyDescent="0.25">
      <c r="A575" s="52"/>
      <c r="B575" s="52"/>
      <c r="C575" s="52"/>
      <c r="D575" s="52"/>
      <c r="E575" s="52"/>
      <c r="F575" s="50"/>
      <c r="G575" s="52"/>
      <c r="H575" s="52"/>
      <c r="I575" s="52"/>
      <c r="J575" s="51"/>
      <c r="K575" s="52"/>
      <c r="L575" s="52"/>
      <c r="M575" s="52"/>
      <c r="N575" s="50"/>
      <c r="O575" s="52"/>
      <c r="P575" s="54"/>
      <c r="Q575" s="54"/>
      <c r="R575" s="52"/>
      <c r="S575" s="52"/>
      <c r="T575" s="52"/>
      <c r="U575" s="52"/>
      <c r="V575" s="52"/>
    </row>
    <row r="576" spans="1:22" ht="13.2" x14ac:dyDescent="0.25">
      <c r="A576" s="52"/>
      <c r="B576" s="52"/>
      <c r="C576" s="52"/>
      <c r="D576" s="52"/>
      <c r="E576" s="52"/>
      <c r="F576" s="50"/>
      <c r="G576" s="52"/>
      <c r="H576" s="52"/>
      <c r="I576" s="52"/>
      <c r="J576" s="51"/>
      <c r="K576" s="52"/>
      <c r="L576" s="52"/>
      <c r="M576" s="52"/>
      <c r="N576" s="50"/>
      <c r="O576" s="52"/>
      <c r="P576" s="54"/>
      <c r="Q576" s="54"/>
      <c r="R576" s="52"/>
      <c r="S576" s="52"/>
      <c r="T576" s="52"/>
      <c r="U576" s="52"/>
      <c r="V576" s="52"/>
    </row>
    <row r="577" spans="1:22" ht="13.2" x14ac:dyDescent="0.25">
      <c r="A577" s="52"/>
      <c r="B577" s="52"/>
      <c r="C577" s="52"/>
      <c r="D577" s="52"/>
      <c r="E577" s="52"/>
      <c r="F577" s="50"/>
      <c r="G577" s="52"/>
      <c r="H577" s="52"/>
      <c r="I577" s="52"/>
      <c r="J577" s="51"/>
      <c r="K577" s="52"/>
      <c r="L577" s="52"/>
      <c r="M577" s="52"/>
      <c r="N577" s="50"/>
      <c r="O577" s="52"/>
      <c r="P577" s="54"/>
      <c r="Q577" s="54"/>
      <c r="R577" s="52"/>
      <c r="S577" s="52"/>
      <c r="T577" s="52"/>
      <c r="U577" s="52"/>
      <c r="V577" s="52"/>
    </row>
    <row r="578" spans="1:22" ht="13.2" x14ac:dyDescent="0.25">
      <c r="A578" s="52"/>
      <c r="B578" s="52"/>
      <c r="C578" s="52"/>
      <c r="D578" s="52"/>
      <c r="E578" s="52"/>
      <c r="F578" s="50"/>
      <c r="G578" s="52"/>
      <c r="H578" s="52"/>
      <c r="I578" s="52"/>
      <c r="J578" s="51"/>
      <c r="K578" s="52"/>
      <c r="L578" s="52"/>
      <c r="M578" s="52"/>
      <c r="N578" s="50"/>
      <c r="O578" s="52"/>
      <c r="P578" s="54"/>
      <c r="Q578" s="54"/>
      <c r="R578" s="52"/>
      <c r="S578" s="52"/>
      <c r="T578" s="52"/>
      <c r="U578" s="52"/>
      <c r="V578" s="52"/>
    </row>
    <row r="579" spans="1:22" ht="13.2" x14ac:dyDescent="0.25">
      <c r="A579" s="52"/>
      <c r="B579" s="52"/>
      <c r="C579" s="52"/>
      <c r="D579" s="52"/>
      <c r="E579" s="52"/>
      <c r="F579" s="50"/>
      <c r="G579" s="52"/>
      <c r="H579" s="52"/>
      <c r="I579" s="52"/>
      <c r="J579" s="51"/>
      <c r="K579" s="52"/>
      <c r="L579" s="52"/>
      <c r="M579" s="52"/>
      <c r="N579" s="50"/>
      <c r="O579" s="52"/>
      <c r="P579" s="54"/>
      <c r="Q579" s="54"/>
      <c r="R579" s="52"/>
      <c r="S579" s="52"/>
      <c r="T579" s="52"/>
      <c r="U579" s="52"/>
      <c r="V579" s="52"/>
    </row>
    <row r="580" spans="1:22" ht="13.2" x14ac:dyDescent="0.25">
      <c r="A580" s="52"/>
      <c r="B580" s="52"/>
      <c r="C580" s="52"/>
      <c r="D580" s="52"/>
      <c r="E580" s="52"/>
      <c r="F580" s="50"/>
      <c r="G580" s="52"/>
      <c r="H580" s="52"/>
      <c r="I580" s="52"/>
      <c r="J580" s="51"/>
      <c r="K580" s="52"/>
      <c r="L580" s="52"/>
      <c r="M580" s="52"/>
      <c r="N580" s="50"/>
      <c r="O580" s="52"/>
      <c r="P580" s="54"/>
      <c r="Q580" s="54"/>
      <c r="R580" s="52"/>
      <c r="S580" s="52"/>
      <c r="T580" s="52"/>
      <c r="U580" s="52"/>
      <c r="V580" s="52"/>
    </row>
    <row r="581" spans="1:22" ht="13.2" x14ac:dyDescent="0.25">
      <c r="A581" s="52"/>
      <c r="B581" s="52"/>
      <c r="C581" s="52"/>
      <c r="D581" s="52"/>
      <c r="E581" s="52"/>
      <c r="F581" s="50"/>
      <c r="G581" s="52"/>
      <c r="H581" s="52"/>
      <c r="I581" s="52"/>
      <c r="J581" s="51"/>
      <c r="K581" s="52"/>
      <c r="L581" s="52"/>
      <c r="M581" s="52"/>
      <c r="N581" s="50"/>
      <c r="O581" s="52"/>
      <c r="P581" s="54"/>
      <c r="Q581" s="54"/>
      <c r="R581" s="52"/>
      <c r="S581" s="52"/>
      <c r="T581" s="52"/>
      <c r="U581" s="52"/>
      <c r="V581" s="52"/>
    </row>
    <row r="582" spans="1:22" ht="13.2" x14ac:dyDescent="0.25">
      <c r="A582" s="52"/>
      <c r="B582" s="52"/>
      <c r="C582" s="52"/>
      <c r="D582" s="52"/>
      <c r="E582" s="52"/>
      <c r="F582" s="50"/>
      <c r="G582" s="52"/>
      <c r="H582" s="52"/>
      <c r="I582" s="52"/>
      <c r="J582" s="51"/>
      <c r="K582" s="52"/>
      <c r="L582" s="52"/>
      <c r="M582" s="52"/>
      <c r="N582" s="50"/>
      <c r="O582" s="52"/>
      <c r="P582" s="54"/>
      <c r="Q582" s="54"/>
      <c r="R582" s="52"/>
      <c r="S582" s="52"/>
      <c r="T582" s="52"/>
      <c r="U582" s="52"/>
      <c r="V582" s="52"/>
    </row>
    <row r="583" spans="1:22" ht="13.2" x14ac:dyDescent="0.25">
      <c r="A583" s="52"/>
      <c r="B583" s="52"/>
      <c r="C583" s="52"/>
      <c r="D583" s="52"/>
      <c r="E583" s="52"/>
      <c r="F583" s="50"/>
      <c r="G583" s="52"/>
      <c r="H583" s="52"/>
      <c r="I583" s="52"/>
      <c r="J583" s="51"/>
      <c r="K583" s="52"/>
      <c r="L583" s="52"/>
      <c r="M583" s="52"/>
      <c r="N583" s="50"/>
      <c r="O583" s="52"/>
      <c r="P583" s="54"/>
      <c r="Q583" s="54"/>
      <c r="R583" s="52"/>
      <c r="S583" s="52"/>
      <c r="T583" s="52"/>
      <c r="U583" s="52"/>
      <c r="V583" s="52"/>
    </row>
    <row r="584" spans="1:22" ht="13.2" x14ac:dyDescent="0.25">
      <c r="A584" s="52"/>
      <c r="B584" s="52"/>
      <c r="C584" s="52"/>
      <c r="D584" s="52"/>
      <c r="E584" s="52"/>
      <c r="F584" s="50"/>
      <c r="G584" s="52"/>
      <c r="H584" s="52"/>
      <c r="I584" s="52"/>
      <c r="J584" s="51"/>
      <c r="K584" s="52"/>
      <c r="L584" s="52"/>
      <c r="M584" s="52"/>
      <c r="N584" s="50"/>
      <c r="O584" s="52"/>
      <c r="P584" s="54"/>
      <c r="Q584" s="54"/>
      <c r="R584" s="52"/>
      <c r="S584" s="52"/>
      <c r="T584" s="52"/>
      <c r="U584" s="52"/>
      <c r="V584" s="52"/>
    </row>
    <row r="585" spans="1:22" ht="13.2" x14ac:dyDescent="0.25">
      <c r="A585" s="52"/>
      <c r="B585" s="52"/>
      <c r="C585" s="52"/>
      <c r="D585" s="52"/>
      <c r="E585" s="52"/>
      <c r="F585" s="50"/>
      <c r="G585" s="52"/>
      <c r="H585" s="52"/>
      <c r="I585" s="52"/>
      <c r="J585" s="51"/>
      <c r="K585" s="52"/>
      <c r="L585" s="52"/>
      <c r="M585" s="52"/>
      <c r="N585" s="50"/>
      <c r="O585" s="52"/>
      <c r="P585" s="54"/>
      <c r="Q585" s="54"/>
      <c r="R585" s="52"/>
      <c r="S585" s="52"/>
      <c r="T585" s="52"/>
      <c r="U585" s="52"/>
      <c r="V585" s="52"/>
    </row>
    <row r="586" spans="1:22" ht="13.2" x14ac:dyDescent="0.25">
      <c r="A586" s="52"/>
      <c r="B586" s="52"/>
      <c r="C586" s="52"/>
      <c r="D586" s="52"/>
      <c r="E586" s="52"/>
      <c r="F586" s="50"/>
      <c r="G586" s="52"/>
      <c r="H586" s="52"/>
      <c r="I586" s="52"/>
      <c r="J586" s="51"/>
      <c r="K586" s="52"/>
      <c r="L586" s="52"/>
      <c r="M586" s="52"/>
      <c r="N586" s="50"/>
      <c r="O586" s="52"/>
      <c r="P586" s="54"/>
      <c r="Q586" s="54"/>
      <c r="R586" s="52"/>
      <c r="S586" s="52"/>
      <c r="T586" s="52"/>
      <c r="U586" s="52"/>
      <c r="V586" s="52"/>
    </row>
    <row r="587" spans="1:22" ht="13.2" x14ac:dyDescent="0.25">
      <c r="A587" s="52"/>
      <c r="B587" s="52"/>
      <c r="C587" s="52"/>
      <c r="D587" s="52"/>
      <c r="E587" s="52"/>
      <c r="F587" s="50"/>
      <c r="G587" s="52"/>
      <c r="H587" s="52"/>
      <c r="I587" s="52"/>
      <c r="J587" s="51"/>
      <c r="K587" s="52"/>
      <c r="L587" s="52"/>
      <c r="M587" s="52"/>
      <c r="N587" s="50"/>
      <c r="O587" s="52"/>
      <c r="P587" s="54"/>
      <c r="Q587" s="54"/>
      <c r="R587" s="52"/>
      <c r="S587" s="52"/>
      <c r="T587" s="52"/>
      <c r="U587" s="52"/>
      <c r="V587" s="52"/>
    </row>
    <row r="588" spans="1:22" ht="13.2" x14ac:dyDescent="0.25">
      <c r="A588" s="52"/>
      <c r="B588" s="52"/>
      <c r="C588" s="52"/>
      <c r="D588" s="52"/>
      <c r="E588" s="52"/>
      <c r="F588" s="50"/>
      <c r="G588" s="52"/>
      <c r="H588" s="52"/>
      <c r="I588" s="52"/>
      <c r="J588" s="51"/>
      <c r="K588" s="52"/>
      <c r="L588" s="52"/>
      <c r="M588" s="52"/>
      <c r="N588" s="50"/>
      <c r="O588" s="52"/>
      <c r="P588" s="54"/>
      <c r="Q588" s="54"/>
      <c r="R588" s="52"/>
      <c r="S588" s="52"/>
      <c r="T588" s="52"/>
      <c r="U588" s="52"/>
      <c r="V588" s="52"/>
    </row>
    <row r="589" spans="1:22" ht="13.2" x14ac:dyDescent="0.25">
      <c r="A589" s="52"/>
      <c r="B589" s="52"/>
      <c r="C589" s="52"/>
      <c r="D589" s="52"/>
      <c r="E589" s="52"/>
      <c r="F589" s="50"/>
      <c r="G589" s="52"/>
      <c r="H589" s="52"/>
      <c r="I589" s="52"/>
      <c r="J589" s="51"/>
      <c r="K589" s="52"/>
      <c r="L589" s="52"/>
      <c r="M589" s="52"/>
      <c r="N589" s="50"/>
      <c r="O589" s="52"/>
      <c r="P589" s="54"/>
      <c r="Q589" s="54"/>
      <c r="R589" s="52"/>
      <c r="S589" s="52"/>
      <c r="T589" s="52"/>
      <c r="U589" s="52"/>
      <c r="V589" s="52"/>
    </row>
    <row r="590" spans="1:22" ht="13.2" x14ac:dyDescent="0.25">
      <c r="A590" s="52"/>
      <c r="B590" s="52"/>
      <c r="C590" s="52"/>
      <c r="D590" s="52"/>
      <c r="E590" s="52"/>
      <c r="F590" s="50"/>
      <c r="G590" s="52"/>
      <c r="H590" s="52"/>
      <c r="I590" s="52"/>
      <c r="J590" s="51"/>
      <c r="K590" s="52"/>
      <c r="L590" s="52"/>
      <c r="M590" s="52"/>
      <c r="N590" s="50"/>
      <c r="O590" s="52"/>
      <c r="P590" s="54"/>
      <c r="Q590" s="54"/>
      <c r="R590" s="52"/>
      <c r="S590" s="52"/>
      <c r="T590" s="52"/>
      <c r="U590" s="52"/>
      <c r="V590" s="52"/>
    </row>
    <row r="591" spans="1:22" ht="13.2" x14ac:dyDescent="0.25">
      <c r="A591" s="52"/>
      <c r="B591" s="52"/>
      <c r="C591" s="52"/>
      <c r="D591" s="52"/>
      <c r="E591" s="52"/>
      <c r="F591" s="50"/>
      <c r="G591" s="52"/>
      <c r="H591" s="52"/>
      <c r="I591" s="52"/>
      <c r="J591" s="51"/>
      <c r="K591" s="52"/>
      <c r="L591" s="52"/>
      <c r="M591" s="52"/>
      <c r="N591" s="50"/>
      <c r="O591" s="52"/>
      <c r="P591" s="54"/>
      <c r="Q591" s="54"/>
      <c r="R591" s="52"/>
      <c r="S591" s="52"/>
      <c r="T591" s="52"/>
      <c r="U591" s="52"/>
      <c r="V591" s="52"/>
    </row>
    <row r="592" spans="1:22" ht="13.2" x14ac:dyDescent="0.25">
      <c r="A592" s="52"/>
      <c r="B592" s="52"/>
      <c r="C592" s="52"/>
      <c r="D592" s="52"/>
      <c r="E592" s="52"/>
      <c r="F592" s="50"/>
      <c r="G592" s="52"/>
      <c r="H592" s="52"/>
      <c r="I592" s="52"/>
      <c r="J592" s="51"/>
      <c r="K592" s="52"/>
      <c r="L592" s="52"/>
      <c r="M592" s="52"/>
      <c r="N592" s="50"/>
      <c r="O592" s="52"/>
      <c r="P592" s="54"/>
      <c r="Q592" s="54"/>
      <c r="R592" s="52"/>
      <c r="S592" s="52"/>
      <c r="T592" s="52"/>
      <c r="U592" s="52"/>
      <c r="V592" s="52"/>
    </row>
    <row r="593" spans="1:22" ht="13.2" x14ac:dyDescent="0.25">
      <c r="A593" s="52"/>
      <c r="B593" s="52"/>
      <c r="C593" s="52"/>
      <c r="D593" s="52"/>
      <c r="E593" s="52"/>
      <c r="F593" s="50"/>
      <c r="G593" s="52"/>
      <c r="H593" s="52"/>
      <c r="I593" s="52"/>
      <c r="J593" s="51"/>
      <c r="K593" s="52"/>
      <c r="L593" s="52"/>
      <c r="M593" s="52"/>
      <c r="N593" s="50"/>
      <c r="O593" s="52"/>
      <c r="P593" s="54"/>
      <c r="Q593" s="54"/>
      <c r="R593" s="52"/>
      <c r="S593" s="52"/>
      <c r="T593" s="52"/>
      <c r="U593" s="52"/>
      <c r="V593" s="52"/>
    </row>
    <row r="594" spans="1:22" ht="13.2" x14ac:dyDescent="0.25">
      <c r="A594" s="52"/>
      <c r="B594" s="52"/>
      <c r="C594" s="52"/>
      <c r="D594" s="52"/>
      <c r="E594" s="52"/>
      <c r="F594" s="50"/>
      <c r="G594" s="52"/>
      <c r="H594" s="52"/>
      <c r="I594" s="52"/>
      <c r="J594" s="51"/>
      <c r="K594" s="52"/>
      <c r="L594" s="52"/>
      <c r="M594" s="52"/>
      <c r="N594" s="50"/>
      <c r="O594" s="52"/>
      <c r="P594" s="54"/>
      <c r="Q594" s="54"/>
      <c r="R594" s="52"/>
      <c r="S594" s="52"/>
      <c r="T594" s="52"/>
      <c r="U594" s="52"/>
      <c r="V594" s="52"/>
    </row>
    <row r="595" spans="1:22" ht="13.2" x14ac:dyDescent="0.25">
      <c r="A595" s="52"/>
      <c r="B595" s="52"/>
      <c r="C595" s="52"/>
      <c r="D595" s="52"/>
      <c r="E595" s="52"/>
      <c r="F595" s="50"/>
      <c r="G595" s="52"/>
      <c r="H595" s="52"/>
      <c r="I595" s="52"/>
      <c r="J595" s="51"/>
      <c r="K595" s="52"/>
      <c r="L595" s="52"/>
      <c r="M595" s="52"/>
      <c r="N595" s="50"/>
      <c r="O595" s="52"/>
      <c r="P595" s="54"/>
      <c r="Q595" s="54"/>
      <c r="R595" s="52"/>
      <c r="S595" s="52"/>
      <c r="T595" s="52"/>
      <c r="U595" s="52"/>
      <c r="V595" s="52"/>
    </row>
    <row r="596" spans="1:22" ht="13.2" x14ac:dyDescent="0.25">
      <c r="A596" s="52"/>
      <c r="B596" s="52"/>
      <c r="C596" s="52"/>
      <c r="D596" s="52"/>
      <c r="E596" s="52"/>
      <c r="F596" s="50"/>
      <c r="G596" s="52"/>
      <c r="H596" s="52"/>
      <c r="I596" s="52"/>
      <c r="J596" s="51"/>
      <c r="K596" s="52"/>
      <c r="L596" s="52"/>
      <c r="M596" s="52"/>
      <c r="N596" s="50"/>
      <c r="O596" s="52"/>
      <c r="P596" s="54"/>
      <c r="Q596" s="54"/>
      <c r="R596" s="52"/>
      <c r="S596" s="52"/>
      <c r="T596" s="52"/>
      <c r="U596" s="52"/>
      <c r="V596" s="52"/>
    </row>
    <row r="597" spans="1:22" ht="13.2" x14ac:dyDescent="0.25">
      <c r="A597" s="52"/>
      <c r="B597" s="52"/>
      <c r="C597" s="52"/>
      <c r="D597" s="52"/>
      <c r="E597" s="52"/>
      <c r="F597" s="50"/>
      <c r="G597" s="52"/>
      <c r="H597" s="52"/>
      <c r="I597" s="52"/>
      <c r="J597" s="51"/>
      <c r="K597" s="52"/>
      <c r="L597" s="52"/>
      <c r="M597" s="52"/>
      <c r="N597" s="50"/>
      <c r="O597" s="52"/>
      <c r="P597" s="54"/>
      <c r="Q597" s="54"/>
      <c r="R597" s="52"/>
      <c r="S597" s="52"/>
      <c r="T597" s="52"/>
      <c r="U597" s="52"/>
      <c r="V597" s="52"/>
    </row>
    <row r="598" spans="1:22" ht="13.2" x14ac:dyDescent="0.25">
      <c r="A598" s="52"/>
      <c r="B598" s="52"/>
      <c r="C598" s="52"/>
      <c r="D598" s="52"/>
      <c r="E598" s="52"/>
      <c r="F598" s="50"/>
      <c r="G598" s="52"/>
      <c r="H598" s="52"/>
      <c r="I598" s="52"/>
      <c r="J598" s="51"/>
      <c r="K598" s="52"/>
      <c r="L598" s="52"/>
      <c r="M598" s="52"/>
      <c r="N598" s="50"/>
      <c r="O598" s="52"/>
      <c r="P598" s="54"/>
      <c r="Q598" s="54"/>
      <c r="R598" s="52"/>
      <c r="S598" s="52"/>
      <c r="T598" s="52"/>
      <c r="U598" s="52"/>
      <c r="V598" s="52"/>
    </row>
    <row r="599" spans="1:22" ht="13.2" x14ac:dyDescent="0.25">
      <c r="A599" s="52"/>
      <c r="B599" s="52"/>
      <c r="C599" s="52"/>
      <c r="D599" s="52"/>
      <c r="E599" s="52"/>
      <c r="F599" s="50"/>
      <c r="G599" s="52"/>
      <c r="H599" s="52"/>
      <c r="I599" s="52"/>
      <c r="J599" s="51"/>
      <c r="K599" s="52"/>
      <c r="L599" s="52"/>
      <c r="M599" s="52"/>
      <c r="N599" s="50"/>
      <c r="O599" s="52"/>
      <c r="P599" s="54"/>
      <c r="Q599" s="54"/>
      <c r="R599" s="52"/>
      <c r="S599" s="52"/>
      <c r="T599" s="52"/>
      <c r="U599" s="52"/>
      <c r="V599" s="52"/>
    </row>
    <row r="600" spans="1:22" ht="13.2" x14ac:dyDescent="0.25">
      <c r="A600" s="52"/>
      <c r="B600" s="52"/>
      <c r="C600" s="52"/>
      <c r="D600" s="52"/>
      <c r="E600" s="52"/>
      <c r="F600" s="50"/>
      <c r="G600" s="52"/>
      <c r="H600" s="52"/>
      <c r="I600" s="52"/>
      <c r="J600" s="51"/>
      <c r="K600" s="52"/>
      <c r="L600" s="52"/>
      <c r="M600" s="52"/>
      <c r="N600" s="50"/>
      <c r="O600" s="52"/>
      <c r="P600" s="54"/>
      <c r="Q600" s="54"/>
      <c r="R600" s="52"/>
      <c r="S600" s="52"/>
      <c r="T600" s="52"/>
      <c r="U600" s="52"/>
      <c r="V600" s="52"/>
    </row>
    <row r="601" spans="1:22" ht="13.2" x14ac:dyDescent="0.25">
      <c r="A601" s="52"/>
      <c r="B601" s="52"/>
      <c r="C601" s="52"/>
      <c r="D601" s="52"/>
      <c r="E601" s="52"/>
      <c r="F601" s="50"/>
      <c r="G601" s="52"/>
      <c r="H601" s="52"/>
      <c r="I601" s="52"/>
      <c r="J601" s="51"/>
      <c r="K601" s="52"/>
      <c r="L601" s="52"/>
      <c r="M601" s="52"/>
      <c r="N601" s="50"/>
      <c r="O601" s="52"/>
      <c r="P601" s="54"/>
      <c r="Q601" s="54"/>
      <c r="R601" s="52"/>
      <c r="S601" s="52"/>
      <c r="T601" s="52"/>
      <c r="U601" s="52"/>
      <c r="V601" s="52"/>
    </row>
    <row r="602" spans="1:22" ht="13.2" x14ac:dyDescent="0.25">
      <c r="A602" s="52"/>
      <c r="B602" s="52"/>
      <c r="C602" s="52"/>
      <c r="D602" s="52"/>
      <c r="E602" s="52"/>
      <c r="F602" s="50"/>
      <c r="G602" s="52"/>
      <c r="H602" s="52"/>
      <c r="I602" s="52"/>
      <c r="J602" s="51"/>
      <c r="K602" s="52"/>
      <c r="L602" s="52"/>
      <c r="M602" s="52"/>
      <c r="N602" s="50"/>
      <c r="O602" s="52"/>
      <c r="P602" s="54"/>
      <c r="Q602" s="54"/>
      <c r="R602" s="52"/>
      <c r="S602" s="52"/>
      <c r="T602" s="52"/>
      <c r="U602" s="52"/>
      <c r="V602" s="52"/>
    </row>
    <row r="603" spans="1:22" ht="13.2" x14ac:dyDescent="0.25">
      <c r="A603" s="52"/>
      <c r="B603" s="52"/>
      <c r="C603" s="52"/>
      <c r="D603" s="52"/>
      <c r="E603" s="52"/>
      <c r="F603" s="50"/>
      <c r="G603" s="52"/>
      <c r="H603" s="52"/>
      <c r="I603" s="52"/>
      <c r="J603" s="51"/>
      <c r="K603" s="52"/>
      <c r="L603" s="52"/>
      <c r="M603" s="52"/>
      <c r="N603" s="50"/>
      <c r="O603" s="52"/>
      <c r="P603" s="54"/>
      <c r="Q603" s="54"/>
      <c r="R603" s="52"/>
      <c r="S603" s="52"/>
      <c r="T603" s="52"/>
      <c r="U603" s="52"/>
      <c r="V603" s="52"/>
    </row>
    <row r="604" spans="1:22" ht="13.2" x14ac:dyDescent="0.25">
      <c r="A604" s="52"/>
      <c r="B604" s="52"/>
      <c r="C604" s="52"/>
      <c r="D604" s="52"/>
      <c r="E604" s="52"/>
      <c r="F604" s="50"/>
      <c r="G604" s="52"/>
      <c r="H604" s="52"/>
      <c r="I604" s="52"/>
      <c r="J604" s="51"/>
      <c r="K604" s="52"/>
      <c r="L604" s="52"/>
      <c r="M604" s="52"/>
      <c r="N604" s="50"/>
      <c r="O604" s="52"/>
      <c r="P604" s="54"/>
      <c r="Q604" s="54"/>
      <c r="R604" s="52"/>
      <c r="S604" s="52"/>
      <c r="T604" s="52"/>
      <c r="U604" s="52"/>
      <c r="V604" s="52"/>
    </row>
    <row r="605" spans="1:22" ht="13.2" x14ac:dyDescent="0.25">
      <c r="A605" s="52"/>
      <c r="B605" s="52"/>
      <c r="C605" s="52"/>
      <c r="D605" s="52"/>
      <c r="E605" s="52"/>
      <c r="F605" s="50"/>
      <c r="G605" s="52"/>
      <c r="H605" s="52"/>
      <c r="I605" s="52"/>
      <c r="J605" s="51"/>
      <c r="K605" s="52"/>
      <c r="L605" s="52"/>
      <c r="M605" s="52"/>
      <c r="N605" s="50"/>
      <c r="O605" s="52"/>
      <c r="P605" s="54"/>
      <c r="Q605" s="54"/>
      <c r="R605" s="52"/>
      <c r="S605" s="52"/>
      <c r="T605" s="52"/>
      <c r="U605" s="52"/>
      <c r="V605" s="52"/>
    </row>
    <row r="606" spans="1:22" ht="13.2" x14ac:dyDescent="0.25">
      <c r="A606" s="52"/>
      <c r="B606" s="52"/>
      <c r="C606" s="52"/>
      <c r="D606" s="52"/>
      <c r="E606" s="52"/>
      <c r="F606" s="50"/>
      <c r="G606" s="52"/>
      <c r="H606" s="52"/>
      <c r="I606" s="52"/>
      <c r="J606" s="51"/>
      <c r="K606" s="52"/>
      <c r="L606" s="52"/>
      <c r="M606" s="52"/>
      <c r="N606" s="50"/>
      <c r="O606" s="52"/>
      <c r="P606" s="54"/>
      <c r="Q606" s="54"/>
      <c r="R606" s="52"/>
      <c r="S606" s="52"/>
      <c r="T606" s="52"/>
      <c r="U606" s="52"/>
      <c r="V606" s="52"/>
    </row>
    <row r="607" spans="1:22" ht="13.2" x14ac:dyDescent="0.25">
      <c r="A607" s="52"/>
      <c r="B607" s="52"/>
      <c r="C607" s="52"/>
      <c r="D607" s="52"/>
      <c r="E607" s="52"/>
      <c r="F607" s="50"/>
      <c r="G607" s="52"/>
      <c r="H607" s="52"/>
      <c r="I607" s="52"/>
      <c r="J607" s="51"/>
      <c r="K607" s="52"/>
      <c r="L607" s="52"/>
      <c r="M607" s="52"/>
      <c r="N607" s="50"/>
      <c r="O607" s="52"/>
      <c r="P607" s="54"/>
      <c r="Q607" s="54"/>
      <c r="R607" s="52"/>
      <c r="S607" s="52"/>
      <c r="T607" s="52"/>
      <c r="U607" s="52"/>
      <c r="V607" s="52"/>
    </row>
    <row r="608" spans="1:22" ht="13.2" x14ac:dyDescent="0.25">
      <c r="A608" s="52"/>
      <c r="B608" s="52"/>
      <c r="C608" s="52"/>
      <c r="D608" s="52"/>
      <c r="E608" s="52"/>
      <c r="F608" s="50"/>
      <c r="G608" s="52"/>
      <c r="H608" s="52"/>
      <c r="I608" s="52"/>
      <c r="J608" s="51"/>
      <c r="K608" s="52"/>
      <c r="L608" s="52"/>
      <c r="M608" s="52"/>
      <c r="N608" s="50"/>
      <c r="O608" s="52"/>
      <c r="P608" s="54"/>
      <c r="Q608" s="54"/>
      <c r="R608" s="52"/>
      <c r="S608" s="52"/>
      <c r="T608" s="52"/>
      <c r="U608" s="52"/>
      <c r="V608" s="52"/>
    </row>
    <row r="609" spans="1:22" ht="13.2" x14ac:dyDescent="0.25">
      <c r="A609" s="52"/>
      <c r="B609" s="52"/>
      <c r="C609" s="52"/>
      <c r="D609" s="52"/>
      <c r="E609" s="52"/>
      <c r="F609" s="50"/>
      <c r="G609" s="52"/>
      <c r="H609" s="52"/>
      <c r="I609" s="52"/>
      <c r="J609" s="51"/>
      <c r="K609" s="52"/>
      <c r="L609" s="52"/>
      <c r="M609" s="52"/>
      <c r="N609" s="50"/>
      <c r="O609" s="52"/>
      <c r="P609" s="54"/>
      <c r="Q609" s="54"/>
      <c r="R609" s="52"/>
      <c r="S609" s="52"/>
      <c r="T609" s="52"/>
      <c r="U609" s="52"/>
      <c r="V609" s="52"/>
    </row>
    <row r="610" spans="1:22" ht="13.2" x14ac:dyDescent="0.25">
      <c r="A610" s="52"/>
      <c r="B610" s="52"/>
      <c r="C610" s="52"/>
      <c r="D610" s="52"/>
      <c r="E610" s="52"/>
      <c r="F610" s="50"/>
      <c r="G610" s="52"/>
      <c r="H610" s="52"/>
      <c r="I610" s="52"/>
      <c r="J610" s="51"/>
      <c r="K610" s="52"/>
      <c r="L610" s="52"/>
      <c r="M610" s="52"/>
      <c r="N610" s="50"/>
      <c r="O610" s="52"/>
      <c r="P610" s="54"/>
      <c r="Q610" s="54"/>
      <c r="R610" s="52"/>
      <c r="S610" s="52"/>
      <c r="T610" s="52"/>
      <c r="U610" s="52"/>
      <c r="V610" s="52"/>
    </row>
    <row r="611" spans="1:22" ht="13.2" x14ac:dyDescent="0.25">
      <c r="A611" s="52"/>
      <c r="B611" s="52"/>
      <c r="C611" s="52"/>
      <c r="D611" s="52"/>
      <c r="E611" s="52"/>
      <c r="F611" s="50"/>
      <c r="G611" s="52"/>
      <c r="H611" s="52"/>
      <c r="I611" s="52"/>
      <c r="J611" s="51"/>
      <c r="K611" s="52"/>
      <c r="L611" s="52"/>
      <c r="M611" s="52"/>
      <c r="N611" s="50"/>
      <c r="O611" s="52"/>
      <c r="P611" s="54"/>
      <c r="Q611" s="54"/>
      <c r="R611" s="52"/>
      <c r="S611" s="52"/>
      <c r="T611" s="52"/>
      <c r="U611" s="52"/>
      <c r="V611" s="52"/>
    </row>
    <row r="612" spans="1:22" ht="13.2" x14ac:dyDescent="0.25">
      <c r="A612" s="52"/>
      <c r="B612" s="52"/>
      <c r="C612" s="52"/>
      <c r="D612" s="52"/>
      <c r="E612" s="52"/>
      <c r="F612" s="50"/>
      <c r="G612" s="52"/>
      <c r="H612" s="52"/>
      <c r="I612" s="52"/>
      <c r="J612" s="51"/>
      <c r="K612" s="52"/>
      <c r="L612" s="52"/>
      <c r="M612" s="52"/>
      <c r="N612" s="50"/>
      <c r="O612" s="52"/>
      <c r="P612" s="54"/>
      <c r="Q612" s="54"/>
      <c r="R612" s="52"/>
      <c r="S612" s="52"/>
      <c r="T612" s="52"/>
      <c r="U612" s="52"/>
      <c r="V612" s="52"/>
    </row>
    <row r="613" spans="1:22" ht="13.2" x14ac:dyDescent="0.25">
      <c r="A613" s="52"/>
      <c r="B613" s="52"/>
      <c r="C613" s="52"/>
      <c r="D613" s="52"/>
      <c r="E613" s="52"/>
      <c r="F613" s="50"/>
      <c r="G613" s="52"/>
      <c r="H613" s="52"/>
      <c r="I613" s="52"/>
      <c r="J613" s="51"/>
      <c r="K613" s="52"/>
      <c r="L613" s="52"/>
      <c r="M613" s="52"/>
      <c r="N613" s="50"/>
      <c r="O613" s="52"/>
      <c r="P613" s="54"/>
      <c r="Q613" s="54"/>
      <c r="R613" s="52"/>
      <c r="S613" s="52"/>
      <c r="T613" s="52"/>
      <c r="U613" s="52"/>
      <c r="V613" s="52"/>
    </row>
    <row r="614" spans="1:22" ht="13.2" x14ac:dyDescent="0.25">
      <c r="A614" s="52"/>
      <c r="B614" s="52"/>
      <c r="C614" s="52"/>
      <c r="D614" s="52"/>
      <c r="E614" s="52"/>
      <c r="F614" s="50"/>
      <c r="G614" s="52"/>
      <c r="H614" s="52"/>
      <c r="I614" s="52"/>
      <c r="J614" s="51"/>
      <c r="K614" s="52"/>
      <c r="L614" s="52"/>
      <c r="M614" s="52"/>
      <c r="N614" s="50"/>
      <c r="O614" s="52"/>
      <c r="P614" s="54"/>
      <c r="Q614" s="54"/>
      <c r="R614" s="52"/>
      <c r="S614" s="52"/>
      <c r="T614" s="52"/>
      <c r="U614" s="52"/>
      <c r="V614" s="52"/>
    </row>
    <row r="615" spans="1:22" ht="13.2" x14ac:dyDescent="0.25">
      <c r="A615" s="52"/>
      <c r="B615" s="52"/>
      <c r="C615" s="52"/>
      <c r="D615" s="52"/>
      <c r="E615" s="52"/>
      <c r="F615" s="50"/>
      <c r="G615" s="52"/>
      <c r="H615" s="52"/>
      <c r="I615" s="52"/>
      <c r="J615" s="51"/>
      <c r="K615" s="52"/>
      <c r="L615" s="52"/>
      <c r="M615" s="52"/>
      <c r="N615" s="50"/>
      <c r="O615" s="52"/>
      <c r="P615" s="54"/>
      <c r="Q615" s="54"/>
      <c r="R615" s="52"/>
      <c r="S615" s="52"/>
      <c r="T615" s="52"/>
      <c r="U615" s="52"/>
      <c r="V615" s="52"/>
    </row>
    <row r="616" spans="1:22" ht="13.2" x14ac:dyDescent="0.25">
      <c r="A616" s="52"/>
      <c r="B616" s="52"/>
      <c r="C616" s="52"/>
      <c r="D616" s="52"/>
      <c r="E616" s="52"/>
      <c r="F616" s="50"/>
      <c r="G616" s="52"/>
      <c r="H616" s="52"/>
      <c r="I616" s="52"/>
      <c r="J616" s="51"/>
      <c r="K616" s="52"/>
      <c r="L616" s="52"/>
      <c r="M616" s="52"/>
      <c r="N616" s="50"/>
      <c r="O616" s="52"/>
      <c r="P616" s="54"/>
      <c r="Q616" s="54"/>
      <c r="R616" s="52"/>
      <c r="S616" s="52"/>
      <c r="T616" s="52"/>
      <c r="U616" s="52"/>
      <c r="V616" s="52"/>
    </row>
    <row r="617" spans="1:22" ht="13.2" x14ac:dyDescent="0.25">
      <c r="A617" s="52"/>
      <c r="B617" s="52"/>
      <c r="C617" s="52"/>
      <c r="D617" s="52"/>
      <c r="E617" s="52"/>
      <c r="F617" s="50"/>
      <c r="G617" s="52"/>
      <c r="H617" s="52"/>
      <c r="I617" s="52"/>
      <c r="J617" s="51"/>
      <c r="K617" s="52"/>
      <c r="L617" s="52"/>
      <c r="M617" s="52"/>
      <c r="N617" s="50"/>
      <c r="O617" s="52"/>
      <c r="P617" s="54"/>
      <c r="Q617" s="54"/>
      <c r="R617" s="52"/>
      <c r="S617" s="52"/>
      <c r="T617" s="52"/>
      <c r="U617" s="52"/>
      <c r="V617" s="52"/>
    </row>
    <row r="618" spans="1:22" ht="13.2" x14ac:dyDescent="0.25">
      <c r="A618" s="52"/>
      <c r="B618" s="52"/>
      <c r="C618" s="52"/>
      <c r="D618" s="52"/>
      <c r="E618" s="52"/>
      <c r="F618" s="50"/>
      <c r="G618" s="52"/>
      <c r="H618" s="52"/>
      <c r="I618" s="52"/>
      <c r="J618" s="51"/>
      <c r="K618" s="52"/>
      <c r="L618" s="52"/>
      <c r="M618" s="52"/>
      <c r="N618" s="50"/>
      <c r="O618" s="52"/>
      <c r="P618" s="54"/>
      <c r="Q618" s="54"/>
      <c r="R618" s="52"/>
      <c r="S618" s="52"/>
      <c r="T618" s="52"/>
      <c r="U618" s="52"/>
      <c r="V618" s="52"/>
    </row>
    <row r="619" spans="1:22" ht="13.2" x14ac:dyDescent="0.25">
      <c r="A619" s="52"/>
      <c r="B619" s="52"/>
      <c r="C619" s="52"/>
      <c r="D619" s="52"/>
      <c r="E619" s="52"/>
      <c r="F619" s="50"/>
      <c r="G619" s="52"/>
      <c r="H619" s="52"/>
      <c r="I619" s="52"/>
      <c r="J619" s="51"/>
      <c r="K619" s="52"/>
      <c r="L619" s="52"/>
      <c r="M619" s="52"/>
      <c r="N619" s="50"/>
      <c r="O619" s="52"/>
      <c r="P619" s="54"/>
      <c r="Q619" s="54"/>
      <c r="R619" s="52"/>
      <c r="S619" s="52"/>
      <c r="T619" s="52"/>
      <c r="U619" s="52"/>
      <c r="V619" s="52"/>
    </row>
    <row r="620" spans="1:22" ht="13.2" x14ac:dyDescent="0.25">
      <c r="A620" s="52"/>
      <c r="B620" s="52"/>
      <c r="C620" s="52"/>
      <c r="D620" s="52"/>
      <c r="E620" s="52"/>
      <c r="F620" s="50"/>
      <c r="G620" s="52"/>
      <c r="H620" s="52"/>
      <c r="I620" s="52"/>
      <c r="J620" s="51"/>
      <c r="K620" s="52"/>
      <c r="L620" s="52"/>
      <c r="M620" s="52"/>
      <c r="N620" s="50"/>
      <c r="O620" s="52"/>
      <c r="P620" s="54"/>
      <c r="Q620" s="54"/>
      <c r="R620" s="52"/>
      <c r="S620" s="52"/>
      <c r="T620" s="52"/>
      <c r="U620" s="52"/>
      <c r="V620" s="52"/>
    </row>
    <row r="621" spans="1:22" ht="13.2" x14ac:dyDescent="0.25">
      <c r="A621" s="52"/>
      <c r="B621" s="52"/>
      <c r="C621" s="52"/>
      <c r="D621" s="52"/>
      <c r="E621" s="52"/>
      <c r="F621" s="50"/>
      <c r="G621" s="52"/>
      <c r="H621" s="52"/>
      <c r="I621" s="52"/>
      <c r="J621" s="51"/>
      <c r="K621" s="52"/>
      <c r="L621" s="52"/>
      <c r="M621" s="52"/>
      <c r="N621" s="50"/>
      <c r="O621" s="52"/>
      <c r="P621" s="54"/>
      <c r="Q621" s="54"/>
      <c r="R621" s="52"/>
      <c r="S621" s="52"/>
      <c r="T621" s="52"/>
      <c r="U621" s="52"/>
      <c r="V621" s="52"/>
    </row>
    <row r="622" spans="1:22" ht="13.2" x14ac:dyDescent="0.25">
      <c r="A622" s="52"/>
      <c r="B622" s="52"/>
      <c r="C622" s="52"/>
      <c r="D622" s="52"/>
      <c r="E622" s="52"/>
      <c r="F622" s="50"/>
      <c r="G622" s="52"/>
      <c r="H622" s="52"/>
      <c r="I622" s="52"/>
      <c r="J622" s="51"/>
      <c r="K622" s="52"/>
      <c r="L622" s="52"/>
      <c r="M622" s="52"/>
      <c r="N622" s="50"/>
      <c r="O622" s="52"/>
      <c r="P622" s="54"/>
      <c r="Q622" s="54"/>
      <c r="R622" s="52"/>
      <c r="S622" s="52"/>
      <c r="T622" s="52"/>
      <c r="U622" s="52"/>
      <c r="V622" s="52"/>
    </row>
    <row r="623" spans="1:22" ht="13.2" x14ac:dyDescent="0.25">
      <c r="A623" s="52"/>
      <c r="B623" s="52"/>
      <c r="C623" s="52"/>
      <c r="D623" s="52"/>
      <c r="E623" s="52"/>
      <c r="F623" s="50"/>
      <c r="G623" s="52"/>
      <c r="H623" s="52"/>
      <c r="I623" s="52"/>
      <c r="J623" s="51"/>
      <c r="K623" s="52"/>
      <c r="L623" s="52"/>
      <c r="M623" s="52"/>
      <c r="N623" s="50"/>
      <c r="O623" s="52"/>
      <c r="P623" s="54"/>
      <c r="Q623" s="54"/>
      <c r="R623" s="52"/>
      <c r="S623" s="52"/>
      <c r="T623" s="52"/>
      <c r="U623" s="52"/>
      <c r="V623" s="52"/>
    </row>
    <row r="624" spans="1:22" ht="13.2" x14ac:dyDescent="0.25">
      <c r="A624" s="52"/>
      <c r="B624" s="52"/>
      <c r="C624" s="52"/>
      <c r="D624" s="52"/>
      <c r="E624" s="52"/>
      <c r="F624" s="50"/>
      <c r="G624" s="52"/>
      <c r="H624" s="52"/>
      <c r="I624" s="52"/>
      <c r="J624" s="51"/>
      <c r="K624" s="52"/>
      <c r="L624" s="52"/>
      <c r="M624" s="52"/>
      <c r="N624" s="50"/>
      <c r="O624" s="52"/>
      <c r="P624" s="54"/>
      <c r="Q624" s="54"/>
      <c r="R624" s="52"/>
      <c r="S624" s="52"/>
      <c r="T624" s="52"/>
      <c r="U624" s="52"/>
      <c r="V624" s="52"/>
    </row>
    <row r="625" spans="1:22" ht="13.2" x14ac:dyDescent="0.25">
      <c r="A625" s="52"/>
      <c r="B625" s="52"/>
      <c r="C625" s="52"/>
      <c r="D625" s="52"/>
      <c r="E625" s="52"/>
      <c r="F625" s="50"/>
      <c r="G625" s="52"/>
      <c r="H625" s="52"/>
      <c r="I625" s="52"/>
      <c r="J625" s="51"/>
      <c r="K625" s="52"/>
      <c r="L625" s="52"/>
      <c r="M625" s="52"/>
      <c r="N625" s="50"/>
      <c r="O625" s="52"/>
      <c r="P625" s="54"/>
      <c r="Q625" s="54"/>
      <c r="R625" s="52"/>
      <c r="S625" s="52"/>
      <c r="T625" s="52"/>
      <c r="U625" s="52"/>
      <c r="V625" s="52"/>
    </row>
    <row r="626" spans="1:22" ht="13.2" x14ac:dyDescent="0.25">
      <c r="A626" s="52"/>
      <c r="B626" s="52"/>
      <c r="C626" s="52"/>
      <c r="D626" s="52"/>
      <c r="E626" s="52"/>
      <c r="F626" s="50"/>
      <c r="G626" s="52"/>
      <c r="H626" s="52"/>
      <c r="I626" s="52"/>
      <c r="J626" s="51"/>
      <c r="K626" s="52"/>
      <c r="L626" s="52"/>
      <c r="M626" s="52"/>
      <c r="N626" s="50"/>
      <c r="O626" s="52"/>
      <c r="P626" s="54"/>
      <c r="Q626" s="54"/>
      <c r="R626" s="52"/>
      <c r="S626" s="52"/>
      <c r="T626" s="52"/>
      <c r="U626" s="52"/>
      <c r="V626" s="52"/>
    </row>
    <row r="627" spans="1:22" ht="13.2" x14ac:dyDescent="0.25">
      <c r="A627" s="52"/>
      <c r="B627" s="52"/>
      <c r="C627" s="52"/>
      <c r="D627" s="52"/>
      <c r="E627" s="52"/>
      <c r="F627" s="50"/>
      <c r="G627" s="52"/>
      <c r="H627" s="52"/>
      <c r="I627" s="52"/>
      <c r="J627" s="51"/>
      <c r="K627" s="52"/>
      <c r="L627" s="52"/>
      <c r="M627" s="52"/>
      <c r="N627" s="50"/>
      <c r="O627" s="52"/>
      <c r="P627" s="54"/>
      <c r="Q627" s="54"/>
      <c r="R627" s="52"/>
      <c r="S627" s="52"/>
      <c r="T627" s="52"/>
      <c r="U627" s="52"/>
      <c r="V627" s="52"/>
    </row>
    <row r="628" spans="1:22" ht="13.2" x14ac:dyDescent="0.25">
      <c r="A628" s="52"/>
      <c r="B628" s="52"/>
      <c r="C628" s="52"/>
      <c r="D628" s="52"/>
      <c r="E628" s="52"/>
      <c r="F628" s="50"/>
      <c r="G628" s="52"/>
      <c r="H628" s="52"/>
      <c r="I628" s="52"/>
      <c r="J628" s="51"/>
      <c r="K628" s="52"/>
      <c r="L628" s="52"/>
      <c r="M628" s="52"/>
      <c r="N628" s="50"/>
      <c r="O628" s="52"/>
      <c r="P628" s="54"/>
      <c r="Q628" s="54"/>
      <c r="R628" s="52"/>
      <c r="S628" s="52"/>
      <c r="T628" s="52"/>
      <c r="U628" s="52"/>
      <c r="V628" s="52"/>
    </row>
    <row r="629" spans="1:22" ht="13.2" x14ac:dyDescent="0.25">
      <c r="A629" s="52"/>
      <c r="B629" s="52"/>
      <c r="C629" s="52"/>
      <c r="D629" s="52"/>
      <c r="E629" s="52"/>
      <c r="F629" s="50"/>
      <c r="G629" s="52"/>
      <c r="H629" s="52"/>
      <c r="I629" s="52"/>
      <c r="J629" s="51"/>
      <c r="K629" s="52"/>
      <c r="L629" s="52"/>
      <c r="M629" s="52"/>
      <c r="N629" s="50"/>
      <c r="O629" s="52"/>
      <c r="P629" s="54"/>
      <c r="Q629" s="54"/>
      <c r="R629" s="52"/>
      <c r="S629" s="52"/>
      <c r="T629" s="52"/>
      <c r="U629" s="52"/>
      <c r="V629" s="52"/>
    </row>
    <row r="630" spans="1:22" ht="13.2" x14ac:dyDescent="0.25">
      <c r="A630" s="52"/>
      <c r="B630" s="52"/>
      <c r="C630" s="52"/>
      <c r="D630" s="52"/>
      <c r="E630" s="52"/>
      <c r="F630" s="50"/>
      <c r="G630" s="52"/>
      <c r="H630" s="52"/>
      <c r="I630" s="52"/>
      <c r="J630" s="51"/>
      <c r="K630" s="52"/>
      <c r="L630" s="52"/>
      <c r="M630" s="52"/>
      <c r="N630" s="50"/>
      <c r="O630" s="52"/>
      <c r="P630" s="54"/>
      <c r="Q630" s="54"/>
      <c r="R630" s="52"/>
      <c r="S630" s="52"/>
      <c r="T630" s="52"/>
      <c r="U630" s="52"/>
      <c r="V630" s="52"/>
    </row>
    <row r="631" spans="1:22" ht="13.2" x14ac:dyDescent="0.25">
      <c r="A631" s="52"/>
      <c r="B631" s="52"/>
      <c r="C631" s="52"/>
      <c r="D631" s="52"/>
      <c r="E631" s="52"/>
      <c r="F631" s="50"/>
      <c r="G631" s="52"/>
      <c r="H631" s="52"/>
      <c r="I631" s="52"/>
      <c r="J631" s="51"/>
      <c r="K631" s="52"/>
      <c r="L631" s="52"/>
      <c r="M631" s="52"/>
      <c r="N631" s="50"/>
      <c r="O631" s="52"/>
      <c r="P631" s="54"/>
      <c r="Q631" s="54"/>
      <c r="R631" s="52"/>
      <c r="S631" s="52"/>
      <c r="T631" s="52"/>
      <c r="U631" s="52"/>
      <c r="V631" s="52"/>
    </row>
    <row r="632" spans="1:22" ht="13.2" x14ac:dyDescent="0.25">
      <c r="A632" s="52"/>
      <c r="B632" s="52"/>
      <c r="C632" s="52"/>
      <c r="D632" s="52"/>
      <c r="E632" s="52"/>
      <c r="F632" s="50"/>
      <c r="G632" s="52"/>
      <c r="H632" s="52"/>
      <c r="I632" s="52"/>
      <c r="J632" s="51"/>
      <c r="K632" s="52"/>
      <c r="L632" s="52"/>
      <c r="M632" s="52"/>
      <c r="N632" s="50"/>
      <c r="O632" s="52"/>
      <c r="P632" s="54"/>
      <c r="Q632" s="54"/>
      <c r="R632" s="52"/>
      <c r="S632" s="52"/>
      <c r="T632" s="52"/>
      <c r="U632" s="52"/>
      <c r="V632" s="52"/>
    </row>
    <row r="633" spans="1:22" ht="13.2" x14ac:dyDescent="0.25">
      <c r="A633" s="52"/>
      <c r="B633" s="52"/>
      <c r="C633" s="52"/>
      <c r="D633" s="52"/>
      <c r="E633" s="52"/>
      <c r="F633" s="50"/>
      <c r="G633" s="52"/>
      <c r="H633" s="52"/>
      <c r="I633" s="52"/>
      <c r="J633" s="51"/>
      <c r="K633" s="52"/>
      <c r="L633" s="52"/>
      <c r="M633" s="52"/>
      <c r="N633" s="50"/>
      <c r="O633" s="52"/>
      <c r="P633" s="54"/>
      <c r="Q633" s="54"/>
      <c r="R633" s="52"/>
      <c r="S633" s="52"/>
      <c r="T633" s="52"/>
      <c r="U633" s="52"/>
      <c r="V633" s="52"/>
    </row>
    <row r="634" spans="1:22" ht="13.2" x14ac:dyDescent="0.25">
      <c r="A634" s="52"/>
      <c r="B634" s="52"/>
      <c r="C634" s="52"/>
      <c r="D634" s="52"/>
      <c r="E634" s="52"/>
      <c r="F634" s="50"/>
      <c r="G634" s="52"/>
      <c r="H634" s="52"/>
      <c r="I634" s="52"/>
      <c r="J634" s="51"/>
      <c r="K634" s="52"/>
      <c r="L634" s="52"/>
      <c r="M634" s="52"/>
      <c r="N634" s="50"/>
      <c r="O634" s="52"/>
      <c r="P634" s="54"/>
      <c r="Q634" s="54"/>
      <c r="R634" s="52"/>
      <c r="S634" s="52"/>
      <c r="T634" s="52"/>
      <c r="U634" s="52"/>
      <c r="V634" s="52"/>
    </row>
    <row r="635" spans="1:22" ht="13.2" x14ac:dyDescent="0.25">
      <c r="A635" s="52"/>
      <c r="B635" s="52"/>
      <c r="C635" s="52"/>
      <c r="D635" s="52"/>
      <c r="E635" s="52"/>
      <c r="F635" s="50"/>
      <c r="G635" s="52"/>
      <c r="H635" s="52"/>
      <c r="I635" s="52"/>
      <c r="J635" s="51"/>
      <c r="K635" s="52"/>
      <c r="L635" s="52"/>
      <c r="M635" s="52"/>
      <c r="N635" s="50"/>
      <c r="O635" s="52"/>
      <c r="P635" s="54"/>
      <c r="Q635" s="54"/>
      <c r="R635" s="52"/>
      <c r="S635" s="52"/>
      <c r="T635" s="52"/>
      <c r="U635" s="52"/>
      <c r="V635" s="52"/>
    </row>
    <row r="636" spans="1:22" ht="13.2" x14ac:dyDescent="0.25">
      <c r="A636" s="52"/>
      <c r="B636" s="52"/>
      <c r="C636" s="52"/>
      <c r="D636" s="52"/>
      <c r="E636" s="52"/>
      <c r="F636" s="50"/>
      <c r="G636" s="52"/>
      <c r="H636" s="52"/>
      <c r="I636" s="52"/>
      <c r="J636" s="51"/>
      <c r="K636" s="52"/>
      <c r="L636" s="52"/>
      <c r="M636" s="52"/>
      <c r="N636" s="50"/>
      <c r="O636" s="52"/>
      <c r="P636" s="54"/>
      <c r="Q636" s="54"/>
      <c r="R636" s="52"/>
      <c r="S636" s="52"/>
      <c r="T636" s="52"/>
      <c r="U636" s="52"/>
      <c r="V636" s="52"/>
    </row>
    <row r="637" spans="1:22" ht="13.2" x14ac:dyDescent="0.25">
      <c r="A637" s="52"/>
      <c r="B637" s="52"/>
      <c r="C637" s="52"/>
      <c r="D637" s="52"/>
      <c r="E637" s="52"/>
      <c r="F637" s="50"/>
      <c r="G637" s="52"/>
      <c r="H637" s="52"/>
      <c r="I637" s="52"/>
      <c r="J637" s="51"/>
      <c r="K637" s="52"/>
      <c r="L637" s="52"/>
      <c r="M637" s="52"/>
      <c r="N637" s="50"/>
      <c r="O637" s="52"/>
      <c r="P637" s="54"/>
      <c r="Q637" s="54"/>
      <c r="R637" s="52"/>
      <c r="S637" s="52"/>
      <c r="T637" s="52"/>
      <c r="U637" s="52"/>
      <c r="V637" s="52"/>
    </row>
    <row r="638" spans="1:22" ht="13.2" x14ac:dyDescent="0.25">
      <c r="A638" s="52"/>
      <c r="B638" s="52"/>
      <c r="C638" s="52"/>
      <c r="D638" s="52"/>
      <c r="E638" s="52"/>
      <c r="F638" s="50"/>
      <c r="G638" s="52"/>
      <c r="H638" s="52"/>
      <c r="I638" s="52"/>
      <c r="J638" s="51"/>
      <c r="K638" s="52"/>
      <c r="L638" s="52"/>
      <c r="M638" s="52"/>
      <c r="N638" s="50"/>
      <c r="O638" s="52"/>
      <c r="P638" s="54"/>
      <c r="Q638" s="54"/>
      <c r="R638" s="52"/>
      <c r="S638" s="52"/>
      <c r="T638" s="52"/>
      <c r="U638" s="52"/>
      <c r="V638" s="52"/>
    </row>
    <row r="639" spans="1:22" ht="13.2" x14ac:dyDescent="0.25">
      <c r="A639" s="52"/>
      <c r="B639" s="52"/>
      <c r="C639" s="52"/>
      <c r="D639" s="52"/>
      <c r="E639" s="52"/>
      <c r="F639" s="50"/>
      <c r="G639" s="52"/>
      <c r="H639" s="52"/>
      <c r="I639" s="52"/>
      <c r="J639" s="51"/>
      <c r="K639" s="52"/>
      <c r="L639" s="52"/>
      <c r="M639" s="52"/>
      <c r="N639" s="50"/>
      <c r="O639" s="52"/>
      <c r="P639" s="54"/>
      <c r="Q639" s="54"/>
      <c r="R639" s="52"/>
      <c r="S639" s="52"/>
      <c r="T639" s="52"/>
      <c r="U639" s="52"/>
      <c r="V639" s="52"/>
    </row>
    <row r="640" spans="1:22" ht="13.2" x14ac:dyDescent="0.25">
      <c r="A640" s="52"/>
      <c r="B640" s="52"/>
      <c r="C640" s="52"/>
      <c r="D640" s="52"/>
      <c r="E640" s="52"/>
      <c r="F640" s="50"/>
      <c r="G640" s="52"/>
      <c r="H640" s="52"/>
      <c r="I640" s="52"/>
      <c r="J640" s="51"/>
      <c r="K640" s="52"/>
      <c r="L640" s="52"/>
      <c r="M640" s="52"/>
      <c r="N640" s="50"/>
      <c r="O640" s="52"/>
      <c r="P640" s="54"/>
      <c r="Q640" s="54"/>
      <c r="R640" s="52"/>
      <c r="S640" s="52"/>
      <c r="T640" s="52"/>
      <c r="U640" s="52"/>
      <c r="V640" s="52"/>
    </row>
    <row r="641" spans="1:22" ht="13.2" x14ac:dyDescent="0.25">
      <c r="A641" s="52"/>
      <c r="B641" s="52"/>
      <c r="C641" s="52"/>
      <c r="D641" s="52"/>
      <c r="E641" s="52"/>
      <c r="F641" s="50"/>
      <c r="G641" s="52"/>
      <c r="H641" s="52"/>
      <c r="I641" s="52"/>
      <c r="J641" s="51"/>
      <c r="K641" s="52"/>
      <c r="L641" s="52"/>
      <c r="M641" s="52"/>
      <c r="N641" s="50"/>
      <c r="O641" s="52"/>
      <c r="P641" s="54"/>
      <c r="Q641" s="54"/>
      <c r="R641" s="52"/>
      <c r="S641" s="52"/>
      <c r="T641" s="52"/>
      <c r="U641" s="52"/>
      <c r="V641" s="52"/>
    </row>
    <row r="642" spans="1:22" ht="13.2" x14ac:dyDescent="0.25">
      <c r="A642" s="52"/>
      <c r="B642" s="52"/>
      <c r="C642" s="52"/>
      <c r="D642" s="52"/>
      <c r="E642" s="52"/>
      <c r="F642" s="50"/>
      <c r="G642" s="52"/>
      <c r="H642" s="52"/>
      <c r="I642" s="52"/>
      <c r="J642" s="51"/>
      <c r="K642" s="52"/>
      <c r="L642" s="52"/>
      <c r="M642" s="52"/>
      <c r="N642" s="50"/>
      <c r="O642" s="52"/>
      <c r="P642" s="54"/>
      <c r="Q642" s="54"/>
      <c r="R642" s="52"/>
      <c r="S642" s="52"/>
      <c r="T642" s="52"/>
      <c r="U642" s="52"/>
      <c r="V642" s="52"/>
    </row>
    <row r="643" spans="1:22" ht="13.2" x14ac:dyDescent="0.25">
      <c r="A643" s="52"/>
      <c r="B643" s="52"/>
      <c r="C643" s="52"/>
      <c r="D643" s="52"/>
      <c r="E643" s="52"/>
      <c r="F643" s="50"/>
      <c r="G643" s="52"/>
      <c r="H643" s="52"/>
      <c r="I643" s="52"/>
      <c r="J643" s="51"/>
      <c r="K643" s="52"/>
      <c r="L643" s="52"/>
      <c r="M643" s="52"/>
      <c r="N643" s="50"/>
      <c r="O643" s="52"/>
      <c r="P643" s="54"/>
      <c r="Q643" s="54"/>
      <c r="R643" s="52"/>
      <c r="S643" s="52"/>
      <c r="T643" s="52"/>
      <c r="U643" s="52"/>
      <c r="V643" s="52"/>
    </row>
    <row r="644" spans="1:22" ht="13.2" x14ac:dyDescent="0.25">
      <c r="A644" s="52"/>
      <c r="B644" s="52"/>
      <c r="C644" s="52"/>
      <c r="D644" s="52"/>
      <c r="E644" s="52"/>
      <c r="F644" s="50"/>
      <c r="G644" s="52"/>
      <c r="H644" s="52"/>
      <c r="I644" s="52"/>
      <c r="J644" s="51"/>
      <c r="K644" s="52"/>
      <c r="L644" s="52"/>
      <c r="M644" s="52"/>
      <c r="N644" s="50"/>
      <c r="O644" s="52"/>
      <c r="P644" s="54"/>
      <c r="Q644" s="54"/>
      <c r="R644" s="52"/>
      <c r="S644" s="52"/>
      <c r="T644" s="52"/>
      <c r="U644" s="52"/>
      <c r="V644" s="52"/>
    </row>
    <row r="645" spans="1:22" ht="13.2" x14ac:dyDescent="0.25">
      <c r="A645" s="52"/>
      <c r="B645" s="52"/>
      <c r="C645" s="52"/>
      <c r="D645" s="52"/>
      <c r="E645" s="52"/>
      <c r="F645" s="50"/>
      <c r="G645" s="52"/>
      <c r="H645" s="52"/>
      <c r="I645" s="52"/>
      <c r="J645" s="51"/>
      <c r="K645" s="52"/>
      <c r="L645" s="52"/>
      <c r="M645" s="52"/>
      <c r="N645" s="50"/>
      <c r="O645" s="52"/>
      <c r="P645" s="54"/>
      <c r="Q645" s="54"/>
      <c r="R645" s="52"/>
      <c r="S645" s="52"/>
      <c r="T645" s="52"/>
      <c r="U645" s="52"/>
      <c r="V645" s="52"/>
    </row>
    <row r="646" spans="1:22" ht="13.2" x14ac:dyDescent="0.25">
      <c r="A646" s="52"/>
      <c r="B646" s="52"/>
      <c r="C646" s="52"/>
      <c r="D646" s="52"/>
      <c r="E646" s="52"/>
      <c r="F646" s="50"/>
      <c r="G646" s="52"/>
      <c r="H646" s="52"/>
      <c r="I646" s="52"/>
      <c r="J646" s="51"/>
      <c r="K646" s="52"/>
      <c r="L646" s="52"/>
      <c r="M646" s="52"/>
      <c r="N646" s="50"/>
      <c r="O646" s="52"/>
      <c r="P646" s="54"/>
      <c r="Q646" s="54"/>
      <c r="R646" s="52"/>
      <c r="S646" s="52"/>
      <c r="T646" s="52"/>
      <c r="U646" s="52"/>
      <c r="V646" s="52"/>
    </row>
    <row r="647" spans="1:22" ht="13.2" x14ac:dyDescent="0.25">
      <c r="A647" s="52"/>
      <c r="B647" s="52"/>
      <c r="C647" s="52"/>
      <c r="D647" s="52"/>
      <c r="E647" s="52"/>
      <c r="F647" s="50"/>
      <c r="G647" s="52"/>
      <c r="H647" s="52"/>
      <c r="I647" s="52"/>
      <c r="J647" s="51"/>
      <c r="K647" s="52"/>
      <c r="L647" s="52"/>
      <c r="M647" s="52"/>
      <c r="N647" s="50"/>
      <c r="O647" s="52"/>
      <c r="P647" s="54"/>
      <c r="Q647" s="54"/>
      <c r="R647" s="52"/>
      <c r="S647" s="52"/>
      <c r="T647" s="52"/>
      <c r="U647" s="52"/>
      <c r="V647" s="52"/>
    </row>
    <row r="648" spans="1:22" ht="13.2" x14ac:dyDescent="0.25">
      <c r="A648" s="52"/>
      <c r="B648" s="52"/>
      <c r="C648" s="52"/>
      <c r="D648" s="52"/>
      <c r="E648" s="52"/>
      <c r="F648" s="50"/>
      <c r="G648" s="52"/>
      <c r="H648" s="52"/>
      <c r="I648" s="52"/>
      <c r="J648" s="51"/>
      <c r="K648" s="52"/>
      <c r="L648" s="52"/>
      <c r="M648" s="52"/>
      <c r="N648" s="50"/>
      <c r="O648" s="52"/>
      <c r="P648" s="54"/>
      <c r="Q648" s="54"/>
      <c r="R648" s="52"/>
      <c r="S648" s="52"/>
      <c r="T648" s="52"/>
      <c r="U648" s="52"/>
      <c r="V648" s="52"/>
    </row>
    <row r="649" spans="1:22" ht="13.2" x14ac:dyDescent="0.25">
      <c r="A649" s="52"/>
      <c r="B649" s="52"/>
      <c r="C649" s="52"/>
      <c r="D649" s="52"/>
      <c r="E649" s="52"/>
      <c r="F649" s="50"/>
      <c r="G649" s="52"/>
      <c r="H649" s="52"/>
      <c r="I649" s="52"/>
      <c r="J649" s="51"/>
      <c r="K649" s="52"/>
      <c r="L649" s="52"/>
      <c r="M649" s="52"/>
      <c r="N649" s="50"/>
      <c r="O649" s="52"/>
      <c r="P649" s="54"/>
      <c r="Q649" s="54"/>
      <c r="R649" s="52"/>
      <c r="S649" s="52"/>
      <c r="T649" s="52"/>
      <c r="U649" s="52"/>
      <c r="V649" s="52"/>
    </row>
    <row r="650" spans="1:22" ht="13.2" x14ac:dyDescent="0.25">
      <c r="A650" s="52"/>
      <c r="B650" s="52"/>
      <c r="C650" s="52"/>
      <c r="D650" s="52"/>
      <c r="E650" s="52"/>
      <c r="F650" s="50"/>
      <c r="G650" s="52"/>
      <c r="H650" s="52"/>
      <c r="I650" s="52"/>
      <c r="J650" s="51"/>
      <c r="K650" s="52"/>
      <c r="L650" s="52"/>
      <c r="M650" s="52"/>
      <c r="N650" s="50"/>
      <c r="O650" s="52"/>
      <c r="P650" s="54"/>
      <c r="Q650" s="54"/>
      <c r="R650" s="52"/>
      <c r="S650" s="52"/>
      <c r="T650" s="52"/>
      <c r="U650" s="52"/>
      <c r="V650" s="52"/>
    </row>
    <row r="651" spans="1:22" ht="13.2" x14ac:dyDescent="0.25">
      <c r="A651" s="52"/>
      <c r="B651" s="52"/>
      <c r="C651" s="52"/>
      <c r="D651" s="52"/>
      <c r="E651" s="52"/>
      <c r="F651" s="50"/>
      <c r="G651" s="52"/>
      <c r="H651" s="52"/>
      <c r="I651" s="52"/>
      <c r="J651" s="51"/>
      <c r="K651" s="52"/>
      <c r="L651" s="52"/>
      <c r="M651" s="52"/>
      <c r="N651" s="50"/>
      <c r="O651" s="52"/>
      <c r="P651" s="54"/>
      <c r="Q651" s="54"/>
      <c r="R651" s="52"/>
      <c r="S651" s="52"/>
      <c r="T651" s="52"/>
      <c r="U651" s="52"/>
      <c r="V651" s="52"/>
    </row>
    <row r="652" spans="1:22" ht="13.2" x14ac:dyDescent="0.25">
      <c r="A652" s="52"/>
      <c r="B652" s="52"/>
      <c r="C652" s="52"/>
      <c r="D652" s="52"/>
      <c r="E652" s="52"/>
      <c r="F652" s="50"/>
      <c r="G652" s="52"/>
      <c r="H652" s="52"/>
      <c r="I652" s="52"/>
      <c r="J652" s="51"/>
      <c r="K652" s="52"/>
      <c r="L652" s="52"/>
      <c r="M652" s="52"/>
      <c r="N652" s="50"/>
      <c r="O652" s="52"/>
      <c r="P652" s="54"/>
      <c r="Q652" s="54"/>
      <c r="R652" s="52"/>
      <c r="S652" s="52"/>
      <c r="T652" s="52"/>
      <c r="U652" s="52"/>
      <c r="V652" s="52"/>
    </row>
    <row r="653" spans="1:22" ht="13.2" x14ac:dyDescent="0.25">
      <c r="A653" s="52"/>
      <c r="B653" s="52"/>
      <c r="C653" s="52"/>
      <c r="D653" s="52"/>
      <c r="E653" s="52"/>
      <c r="F653" s="50"/>
      <c r="G653" s="52"/>
      <c r="H653" s="52"/>
      <c r="I653" s="52"/>
      <c r="J653" s="51"/>
      <c r="K653" s="52"/>
      <c r="L653" s="52"/>
      <c r="M653" s="52"/>
      <c r="N653" s="50"/>
      <c r="O653" s="52"/>
      <c r="P653" s="54"/>
      <c r="Q653" s="54"/>
      <c r="R653" s="52"/>
      <c r="S653" s="52"/>
      <c r="T653" s="52"/>
      <c r="U653" s="52"/>
      <c r="V653" s="52"/>
    </row>
    <row r="654" spans="1:22" ht="13.2" x14ac:dyDescent="0.25">
      <c r="A654" s="52"/>
      <c r="B654" s="52"/>
      <c r="C654" s="52"/>
      <c r="D654" s="52"/>
      <c r="E654" s="52"/>
      <c r="F654" s="50"/>
      <c r="G654" s="52"/>
      <c r="H654" s="52"/>
      <c r="I654" s="52"/>
      <c r="J654" s="51"/>
      <c r="K654" s="52"/>
      <c r="L654" s="52"/>
      <c r="M654" s="52"/>
      <c r="N654" s="50"/>
      <c r="O654" s="52"/>
      <c r="P654" s="54"/>
      <c r="Q654" s="54"/>
      <c r="R654" s="52"/>
      <c r="S654" s="52"/>
      <c r="T654" s="52"/>
      <c r="U654" s="52"/>
      <c r="V654" s="52"/>
    </row>
    <row r="655" spans="1:22" ht="13.2" x14ac:dyDescent="0.25">
      <c r="A655" s="52"/>
      <c r="B655" s="52"/>
      <c r="C655" s="52"/>
      <c r="D655" s="52"/>
      <c r="E655" s="52"/>
      <c r="F655" s="50"/>
      <c r="G655" s="52"/>
      <c r="H655" s="52"/>
      <c r="I655" s="52"/>
      <c r="J655" s="51"/>
      <c r="K655" s="52"/>
      <c r="L655" s="52"/>
      <c r="M655" s="52"/>
      <c r="N655" s="50"/>
      <c r="O655" s="52"/>
      <c r="P655" s="54"/>
      <c r="Q655" s="54"/>
      <c r="R655" s="52"/>
      <c r="S655" s="52"/>
      <c r="T655" s="52"/>
      <c r="U655" s="52"/>
      <c r="V655" s="52"/>
    </row>
    <row r="656" spans="1:22" ht="13.2" x14ac:dyDescent="0.25">
      <c r="A656" s="52"/>
      <c r="B656" s="52"/>
      <c r="C656" s="52"/>
      <c r="D656" s="52"/>
      <c r="E656" s="52"/>
      <c r="F656" s="50"/>
      <c r="G656" s="52"/>
      <c r="H656" s="52"/>
      <c r="I656" s="52"/>
      <c r="J656" s="51"/>
      <c r="K656" s="52"/>
      <c r="L656" s="52"/>
      <c r="M656" s="52"/>
      <c r="N656" s="50"/>
      <c r="O656" s="52"/>
      <c r="P656" s="54"/>
      <c r="Q656" s="54"/>
      <c r="R656" s="52"/>
      <c r="S656" s="52"/>
      <c r="T656" s="52"/>
      <c r="U656" s="52"/>
      <c r="V656" s="52"/>
    </row>
    <row r="657" spans="1:22" ht="13.2" x14ac:dyDescent="0.25">
      <c r="A657" s="52"/>
      <c r="B657" s="52"/>
      <c r="C657" s="52"/>
      <c r="D657" s="52"/>
      <c r="E657" s="52"/>
      <c r="F657" s="50"/>
      <c r="G657" s="52"/>
      <c r="H657" s="52"/>
      <c r="I657" s="52"/>
      <c r="J657" s="51"/>
      <c r="K657" s="52"/>
      <c r="L657" s="52"/>
      <c r="M657" s="52"/>
      <c r="N657" s="50"/>
      <c r="O657" s="52"/>
      <c r="P657" s="54"/>
      <c r="Q657" s="54"/>
      <c r="R657" s="52"/>
      <c r="S657" s="52"/>
      <c r="T657" s="52"/>
      <c r="U657" s="52"/>
      <c r="V657" s="52"/>
    </row>
    <row r="658" spans="1:22" ht="13.2" x14ac:dyDescent="0.25">
      <c r="A658" s="52"/>
      <c r="B658" s="52"/>
      <c r="C658" s="52"/>
      <c r="D658" s="52"/>
      <c r="E658" s="52"/>
      <c r="F658" s="50"/>
      <c r="G658" s="52"/>
      <c r="H658" s="52"/>
      <c r="I658" s="52"/>
      <c r="J658" s="51"/>
      <c r="K658" s="52"/>
      <c r="L658" s="52"/>
      <c r="M658" s="52"/>
      <c r="N658" s="50"/>
      <c r="O658" s="52"/>
      <c r="P658" s="54"/>
      <c r="Q658" s="54"/>
      <c r="R658" s="52"/>
      <c r="S658" s="52"/>
      <c r="T658" s="52"/>
      <c r="U658" s="52"/>
      <c r="V658" s="52"/>
    </row>
    <row r="659" spans="1:22" ht="13.2" x14ac:dyDescent="0.25">
      <c r="A659" s="52"/>
      <c r="B659" s="52"/>
      <c r="C659" s="52"/>
      <c r="D659" s="52"/>
      <c r="E659" s="52"/>
      <c r="F659" s="50"/>
      <c r="G659" s="52"/>
      <c r="H659" s="52"/>
      <c r="I659" s="52"/>
      <c r="J659" s="51"/>
      <c r="K659" s="52"/>
      <c r="L659" s="52"/>
      <c r="M659" s="52"/>
      <c r="N659" s="50"/>
      <c r="O659" s="52"/>
      <c r="P659" s="54"/>
      <c r="Q659" s="54"/>
      <c r="R659" s="52"/>
      <c r="S659" s="52"/>
      <c r="T659" s="52"/>
      <c r="U659" s="52"/>
      <c r="V659" s="52"/>
    </row>
    <row r="660" spans="1:22" ht="13.2" x14ac:dyDescent="0.25">
      <c r="A660" s="52"/>
      <c r="B660" s="52"/>
      <c r="C660" s="52"/>
      <c r="D660" s="52"/>
      <c r="E660" s="52"/>
      <c r="F660" s="50"/>
      <c r="G660" s="52"/>
      <c r="H660" s="52"/>
      <c r="I660" s="52"/>
      <c r="J660" s="51"/>
      <c r="K660" s="52"/>
      <c r="L660" s="52"/>
      <c r="M660" s="52"/>
      <c r="N660" s="50"/>
      <c r="O660" s="52"/>
      <c r="P660" s="54"/>
      <c r="Q660" s="54"/>
      <c r="R660" s="52"/>
      <c r="S660" s="52"/>
      <c r="T660" s="52"/>
      <c r="U660" s="52"/>
      <c r="V660" s="52"/>
    </row>
    <row r="661" spans="1:22" ht="13.2" x14ac:dyDescent="0.25">
      <c r="A661" s="52"/>
      <c r="B661" s="52"/>
      <c r="C661" s="52"/>
      <c r="D661" s="52"/>
      <c r="E661" s="52"/>
      <c r="F661" s="50"/>
      <c r="G661" s="52"/>
      <c r="H661" s="52"/>
      <c r="I661" s="52"/>
      <c r="J661" s="51"/>
      <c r="K661" s="52"/>
      <c r="L661" s="52"/>
      <c r="M661" s="52"/>
      <c r="N661" s="50"/>
      <c r="O661" s="52"/>
      <c r="P661" s="54"/>
      <c r="Q661" s="54"/>
      <c r="R661" s="52"/>
      <c r="S661" s="52"/>
      <c r="T661" s="52"/>
      <c r="U661" s="52"/>
      <c r="V661" s="52"/>
    </row>
    <row r="662" spans="1:22" ht="13.2" x14ac:dyDescent="0.25">
      <c r="A662" s="52"/>
      <c r="B662" s="52"/>
      <c r="C662" s="52"/>
      <c r="D662" s="52"/>
      <c r="E662" s="52"/>
      <c r="F662" s="50"/>
      <c r="G662" s="52"/>
      <c r="H662" s="52"/>
      <c r="I662" s="52"/>
      <c r="J662" s="51"/>
      <c r="K662" s="52"/>
      <c r="L662" s="52"/>
      <c r="M662" s="52"/>
      <c r="N662" s="50"/>
      <c r="O662" s="52"/>
      <c r="P662" s="54"/>
      <c r="Q662" s="54"/>
      <c r="R662" s="52"/>
      <c r="S662" s="52"/>
      <c r="T662" s="52"/>
      <c r="U662" s="52"/>
      <c r="V662" s="52"/>
    </row>
    <row r="663" spans="1:22" ht="13.2" x14ac:dyDescent="0.25">
      <c r="A663" s="52"/>
      <c r="B663" s="52"/>
      <c r="C663" s="52"/>
      <c r="D663" s="52"/>
      <c r="E663" s="52"/>
      <c r="F663" s="50"/>
      <c r="G663" s="52"/>
      <c r="H663" s="52"/>
      <c r="I663" s="52"/>
      <c r="J663" s="51"/>
      <c r="K663" s="52"/>
      <c r="L663" s="52"/>
      <c r="M663" s="52"/>
      <c r="N663" s="50"/>
      <c r="O663" s="52"/>
      <c r="P663" s="54"/>
      <c r="Q663" s="54"/>
      <c r="R663" s="52"/>
      <c r="S663" s="52"/>
      <c r="T663" s="52"/>
      <c r="U663" s="52"/>
      <c r="V663" s="52"/>
    </row>
    <row r="664" spans="1:22" ht="13.2" x14ac:dyDescent="0.25">
      <c r="A664" s="52"/>
      <c r="B664" s="52"/>
      <c r="C664" s="52"/>
      <c r="D664" s="52"/>
      <c r="E664" s="52"/>
      <c r="F664" s="50"/>
      <c r="G664" s="52"/>
      <c r="H664" s="52"/>
      <c r="I664" s="52"/>
      <c r="J664" s="51"/>
      <c r="K664" s="52"/>
      <c r="L664" s="52"/>
      <c r="M664" s="52"/>
      <c r="N664" s="50"/>
      <c r="O664" s="52"/>
      <c r="P664" s="54"/>
      <c r="Q664" s="54"/>
      <c r="R664" s="52"/>
      <c r="S664" s="52"/>
      <c r="T664" s="52"/>
      <c r="U664" s="52"/>
      <c r="V664" s="52"/>
    </row>
    <row r="665" spans="1:22" ht="13.2" x14ac:dyDescent="0.25">
      <c r="A665" s="52"/>
      <c r="B665" s="52"/>
      <c r="C665" s="52"/>
      <c r="D665" s="52"/>
      <c r="E665" s="52"/>
      <c r="F665" s="50"/>
      <c r="G665" s="52"/>
      <c r="H665" s="52"/>
      <c r="I665" s="52"/>
      <c r="J665" s="51"/>
      <c r="K665" s="52"/>
      <c r="L665" s="52"/>
      <c r="M665" s="52"/>
      <c r="N665" s="50"/>
      <c r="O665" s="52"/>
      <c r="P665" s="54"/>
      <c r="Q665" s="54"/>
      <c r="R665" s="52"/>
      <c r="S665" s="52"/>
      <c r="T665" s="52"/>
      <c r="U665" s="52"/>
      <c r="V665" s="52"/>
    </row>
    <row r="666" spans="1:22" ht="13.2" x14ac:dyDescent="0.25">
      <c r="A666" s="52"/>
      <c r="B666" s="52"/>
      <c r="C666" s="52"/>
      <c r="D666" s="52"/>
      <c r="E666" s="52"/>
      <c r="F666" s="50"/>
      <c r="G666" s="52"/>
      <c r="H666" s="52"/>
      <c r="I666" s="52"/>
      <c r="J666" s="51"/>
      <c r="K666" s="52"/>
      <c r="L666" s="52"/>
      <c r="M666" s="52"/>
      <c r="N666" s="50"/>
      <c r="O666" s="52"/>
      <c r="P666" s="54"/>
      <c r="Q666" s="54"/>
      <c r="R666" s="52"/>
      <c r="S666" s="52"/>
      <c r="T666" s="52"/>
      <c r="U666" s="52"/>
      <c r="V666" s="52"/>
    </row>
    <row r="667" spans="1:22" ht="13.2" x14ac:dyDescent="0.25">
      <c r="A667" s="52"/>
      <c r="B667" s="52"/>
      <c r="C667" s="52"/>
      <c r="D667" s="52"/>
      <c r="E667" s="52"/>
      <c r="F667" s="50"/>
      <c r="G667" s="52"/>
      <c r="H667" s="52"/>
      <c r="I667" s="52"/>
      <c r="J667" s="51"/>
      <c r="K667" s="52"/>
      <c r="L667" s="52"/>
      <c r="M667" s="52"/>
      <c r="N667" s="50"/>
      <c r="O667" s="52"/>
      <c r="P667" s="54"/>
      <c r="Q667" s="54"/>
      <c r="R667" s="52"/>
      <c r="S667" s="52"/>
      <c r="T667" s="52"/>
      <c r="U667" s="52"/>
      <c r="V667" s="52"/>
    </row>
    <row r="668" spans="1:22" ht="13.2" x14ac:dyDescent="0.25">
      <c r="A668" s="52"/>
      <c r="B668" s="52"/>
      <c r="C668" s="52"/>
      <c r="D668" s="52"/>
      <c r="E668" s="52"/>
      <c r="F668" s="50"/>
      <c r="G668" s="52"/>
      <c r="H668" s="52"/>
      <c r="I668" s="52"/>
      <c r="J668" s="51"/>
      <c r="K668" s="52"/>
      <c r="L668" s="52"/>
      <c r="M668" s="52"/>
      <c r="N668" s="50"/>
      <c r="O668" s="52"/>
      <c r="P668" s="54"/>
      <c r="Q668" s="54"/>
      <c r="R668" s="52"/>
      <c r="S668" s="52"/>
      <c r="T668" s="52"/>
      <c r="U668" s="52"/>
      <c r="V668" s="52"/>
    </row>
    <row r="669" spans="1:22" ht="13.2" x14ac:dyDescent="0.25">
      <c r="A669" s="52"/>
      <c r="B669" s="52"/>
      <c r="C669" s="52"/>
      <c r="D669" s="52"/>
      <c r="E669" s="52"/>
      <c r="F669" s="50"/>
      <c r="G669" s="52"/>
      <c r="H669" s="52"/>
      <c r="I669" s="52"/>
      <c r="J669" s="51"/>
      <c r="K669" s="52"/>
      <c r="L669" s="52"/>
      <c r="M669" s="52"/>
      <c r="N669" s="50"/>
      <c r="O669" s="52"/>
      <c r="P669" s="54"/>
      <c r="Q669" s="54"/>
      <c r="R669" s="52"/>
      <c r="S669" s="52"/>
      <c r="T669" s="52"/>
      <c r="U669" s="52"/>
      <c r="V669" s="52"/>
    </row>
    <row r="670" spans="1:22" ht="13.2" x14ac:dyDescent="0.25">
      <c r="A670" s="52"/>
      <c r="B670" s="52"/>
      <c r="C670" s="52"/>
      <c r="D670" s="52"/>
      <c r="E670" s="52"/>
      <c r="F670" s="50"/>
      <c r="G670" s="52"/>
      <c r="H670" s="52"/>
      <c r="I670" s="52"/>
      <c r="J670" s="51"/>
      <c r="K670" s="52"/>
      <c r="L670" s="52"/>
      <c r="M670" s="52"/>
      <c r="N670" s="50"/>
      <c r="O670" s="52"/>
      <c r="P670" s="54"/>
      <c r="Q670" s="54"/>
      <c r="R670" s="52"/>
      <c r="S670" s="52"/>
      <c r="T670" s="52"/>
      <c r="U670" s="52"/>
      <c r="V670" s="52"/>
    </row>
    <row r="671" spans="1:22" ht="13.2" x14ac:dyDescent="0.25">
      <c r="A671" s="52"/>
      <c r="B671" s="52"/>
      <c r="C671" s="52"/>
      <c r="D671" s="52"/>
      <c r="E671" s="52"/>
      <c r="F671" s="50"/>
      <c r="G671" s="52"/>
      <c r="H671" s="52"/>
      <c r="I671" s="52"/>
      <c r="J671" s="51"/>
      <c r="K671" s="52"/>
      <c r="L671" s="52"/>
      <c r="M671" s="52"/>
      <c r="N671" s="50"/>
      <c r="O671" s="52"/>
      <c r="P671" s="54"/>
      <c r="Q671" s="54"/>
      <c r="R671" s="52"/>
      <c r="S671" s="52"/>
      <c r="T671" s="52"/>
      <c r="U671" s="52"/>
      <c r="V671" s="52"/>
    </row>
    <row r="672" spans="1:22" ht="13.2" x14ac:dyDescent="0.25">
      <c r="A672" s="52"/>
      <c r="B672" s="52"/>
      <c r="C672" s="52"/>
      <c r="D672" s="52"/>
      <c r="E672" s="52"/>
      <c r="F672" s="50"/>
      <c r="G672" s="52"/>
      <c r="H672" s="52"/>
      <c r="I672" s="52"/>
      <c r="J672" s="51"/>
      <c r="K672" s="52"/>
      <c r="L672" s="52"/>
      <c r="M672" s="52"/>
      <c r="N672" s="50"/>
      <c r="O672" s="52"/>
      <c r="P672" s="54"/>
      <c r="Q672" s="54"/>
      <c r="R672" s="52"/>
      <c r="S672" s="52"/>
      <c r="T672" s="52"/>
      <c r="U672" s="52"/>
      <c r="V672" s="52"/>
    </row>
    <row r="673" spans="1:22" ht="13.2" x14ac:dyDescent="0.25">
      <c r="A673" s="52"/>
      <c r="B673" s="52"/>
      <c r="C673" s="52"/>
      <c r="D673" s="52"/>
      <c r="E673" s="52"/>
      <c r="F673" s="50"/>
      <c r="G673" s="52"/>
      <c r="H673" s="52"/>
      <c r="I673" s="52"/>
      <c r="J673" s="51"/>
      <c r="K673" s="52"/>
      <c r="L673" s="52"/>
      <c r="M673" s="52"/>
      <c r="N673" s="50"/>
      <c r="O673" s="52"/>
      <c r="P673" s="54"/>
      <c r="Q673" s="54"/>
      <c r="R673" s="52"/>
      <c r="S673" s="52"/>
      <c r="T673" s="52"/>
      <c r="U673" s="52"/>
      <c r="V673" s="52"/>
    </row>
    <row r="674" spans="1:22" ht="13.2" x14ac:dyDescent="0.25">
      <c r="A674" s="52"/>
      <c r="B674" s="52"/>
      <c r="C674" s="52"/>
      <c r="D674" s="52"/>
      <c r="E674" s="52"/>
      <c r="F674" s="50"/>
      <c r="G674" s="52"/>
      <c r="H674" s="52"/>
      <c r="I674" s="52"/>
      <c r="J674" s="51"/>
      <c r="K674" s="52"/>
      <c r="L674" s="52"/>
      <c r="M674" s="52"/>
      <c r="N674" s="50"/>
      <c r="O674" s="52"/>
      <c r="P674" s="54"/>
      <c r="Q674" s="54"/>
      <c r="R674" s="52"/>
      <c r="S674" s="52"/>
      <c r="T674" s="52"/>
      <c r="U674" s="52"/>
      <c r="V674" s="52"/>
    </row>
    <row r="675" spans="1:22" ht="13.2" x14ac:dyDescent="0.25">
      <c r="A675" s="52"/>
      <c r="B675" s="52"/>
      <c r="C675" s="52"/>
      <c r="D675" s="52"/>
      <c r="E675" s="52"/>
      <c r="F675" s="50"/>
      <c r="G675" s="52"/>
      <c r="H675" s="52"/>
      <c r="I675" s="52"/>
      <c r="J675" s="51"/>
      <c r="K675" s="52"/>
      <c r="L675" s="52"/>
      <c r="M675" s="52"/>
      <c r="N675" s="50"/>
      <c r="O675" s="52"/>
      <c r="P675" s="54"/>
      <c r="Q675" s="54"/>
      <c r="R675" s="52"/>
      <c r="S675" s="52"/>
      <c r="T675" s="52"/>
      <c r="U675" s="52"/>
      <c r="V675" s="52"/>
    </row>
    <row r="676" spans="1:22" ht="13.2" x14ac:dyDescent="0.25">
      <c r="A676" s="52"/>
      <c r="B676" s="52"/>
      <c r="C676" s="52"/>
      <c r="D676" s="52"/>
      <c r="E676" s="52"/>
      <c r="F676" s="50"/>
      <c r="G676" s="52"/>
      <c r="H676" s="52"/>
      <c r="I676" s="52"/>
      <c r="J676" s="51"/>
      <c r="K676" s="52"/>
      <c r="L676" s="52"/>
      <c r="M676" s="52"/>
      <c r="N676" s="50"/>
      <c r="O676" s="52"/>
      <c r="P676" s="54"/>
      <c r="Q676" s="54"/>
      <c r="R676" s="52"/>
      <c r="S676" s="52"/>
      <c r="T676" s="52"/>
      <c r="U676" s="52"/>
      <c r="V676" s="52"/>
    </row>
    <row r="677" spans="1:22" ht="13.2" x14ac:dyDescent="0.25">
      <c r="A677" s="52"/>
      <c r="B677" s="52"/>
      <c r="C677" s="52"/>
      <c r="D677" s="52"/>
      <c r="E677" s="52"/>
      <c r="F677" s="50"/>
      <c r="G677" s="52"/>
      <c r="H677" s="52"/>
      <c r="I677" s="52"/>
      <c r="J677" s="51"/>
      <c r="K677" s="52"/>
      <c r="L677" s="52"/>
      <c r="M677" s="52"/>
      <c r="N677" s="50"/>
      <c r="O677" s="52"/>
      <c r="P677" s="54"/>
      <c r="Q677" s="54"/>
      <c r="R677" s="52"/>
      <c r="S677" s="52"/>
      <c r="T677" s="52"/>
      <c r="U677" s="52"/>
      <c r="V677" s="52"/>
    </row>
    <row r="678" spans="1:22" ht="13.2" x14ac:dyDescent="0.25">
      <c r="A678" s="52"/>
      <c r="B678" s="52"/>
      <c r="C678" s="52"/>
      <c r="D678" s="52"/>
      <c r="E678" s="52"/>
      <c r="F678" s="50"/>
      <c r="G678" s="52"/>
      <c r="H678" s="52"/>
      <c r="I678" s="52"/>
      <c r="J678" s="51"/>
      <c r="K678" s="52"/>
      <c r="L678" s="52"/>
      <c r="M678" s="52"/>
      <c r="N678" s="50"/>
      <c r="O678" s="52"/>
      <c r="P678" s="54"/>
      <c r="Q678" s="54"/>
      <c r="R678" s="52"/>
      <c r="S678" s="52"/>
      <c r="T678" s="52"/>
      <c r="U678" s="52"/>
      <c r="V678" s="52"/>
    </row>
    <row r="679" spans="1:22" ht="13.2" x14ac:dyDescent="0.25">
      <c r="A679" s="52"/>
      <c r="B679" s="52"/>
      <c r="C679" s="52"/>
      <c r="D679" s="52"/>
      <c r="E679" s="52"/>
      <c r="F679" s="50"/>
      <c r="G679" s="52"/>
      <c r="H679" s="52"/>
      <c r="I679" s="52"/>
      <c r="J679" s="51"/>
      <c r="K679" s="52"/>
      <c r="L679" s="52"/>
      <c r="M679" s="52"/>
      <c r="N679" s="50"/>
      <c r="O679" s="52"/>
      <c r="P679" s="54"/>
      <c r="Q679" s="54"/>
      <c r="R679" s="52"/>
      <c r="S679" s="52"/>
      <c r="T679" s="52"/>
      <c r="U679" s="52"/>
      <c r="V679" s="52"/>
    </row>
    <row r="680" spans="1:22" ht="13.2" x14ac:dyDescent="0.25">
      <c r="A680" s="52"/>
      <c r="B680" s="52"/>
      <c r="C680" s="52"/>
      <c r="D680" s="52"/>
      <c r="E680" s="52"/>
      <c r="F680" s="50"/>
      <c r="G680" s="52"/>
      <c r="H680" s="52"/>
      <c r="I680" s="52"/>
      <c r="J680" s="51"/>
      <c r="K680" s="52"/>
      <c r="L680" s="52"/>
      <c r="M680" s="52"/>
      <c r="N680" s="50"/>
      <c r="O680" s="52"/>
      <c r="P680" s="54"/>
      <c r="Q680" s="54"/>
      <c r="R680" s="52"/>
      <c r="S680" s="52"/>
      <c r="T680" s="52"/>
      <c r="U680" s="52"/>
      <c r="V680" s="52"/>
    </row>
    <row r="681" spans="1:22" ht="13.2" x14ac:dyDescent="0.25">
      <c r="A681" s="52"/>
      <c r="B681" s="52"/>
      <c r="C681" s="52"/>
      <c r="D681" s="52"/>
      <c r="E681" s="52"/>
      <c r="F681" s="50"/>
      <c r="G681" s="52"/>
      <c r="H681" s="52"/>
      <c r="I681" s="52"/>
      <c r="J681" s="51"/>
      <c r="K681" s="52"/>
      <c r="L681" s="52"/>
      <c r="M681" s="52"/>
      <c r="N681" s="50"/>
      <c r="O681" s="52"/>
      <c r="P681" s="54"/>
      <c r="Q681" s="54"/>
      <c r="R681" s="52"/>
      <c r="S681" s="52"/>
      <c r="T681" s="52"/>
      <c r="U681" s="52"/>
      <c r="V681" s="52"/>
    </row>
    <row r="682" spans="1:22" ht="13.2" x14ac:dyDescent="0.25">
      <c r="A682" s="52"/>
      <c r="B682" s="52"/>
      <c r="C682" s="52"/>
      <c r="D682" s="52"/>
      <c r="E682" s="52"/>
      <c r="F682" s="50"/>
      <c r="G682" s="52"/>
      <c r="H682" s="52"/>
      <c r="I682" s="52"/>
      <c r="J682" s="51"/>
      <c r="K682" s="52"/>
      <c r="L682" s="52"/>
      <c r="M682" s="52"/>
      <c r="N682" s="50"/>
      <c r="O682" s="52"/>
      <c r="P682" s="54"/>
      <c r="Q682" s="54"/>
      <c r="R682" s="52"/>
      <c r="S682" s="52"/>
      <c r="T682" s="52"/>
      <c r="U682" s="52"/>
      <c r="V682" s="52"/>
    </row>
    <row r="683" spans="1:22" ht="13.2" x14ac:dyDescent="0.25">
      <c r="A683" s="52"/>
      <c r="B683" s="52"/>
      <c r="C683" s="52"/>
      <c r="D683" s="52"/>
      <c r="E683" s="52"/>
      <c r="F683" s="50"/>
      <c r="G683" s="52"/>
      <c r="H683" s="52"/>
      <c r="I683" s="52"/>
      <c r="J683" s="51"/>
      <c r="K683" s="52"/>
      <c r="L683" s="52"/>
      <c r="M683" s="52"/>
      <c r="N683" s="50"/>
      <c r="O683" s="52"/>
      <c r="P683" s="54"/>
      <c r="Q683" s="54"/>
      <c r="R683" s="52"/>
      <c r="S683" s="52"/>
      <c r="T683" s="52"/>
      <c r="U683" s="52"/>
      <c r="V683" s="52"/>
    </row>
    <row r="684" spans="1:22" ht="13.2" x14ac:dyDescent="0.25">
      <c r="A684" s="52"/>
      <c r="B684" s="52"/>
      <c r="C684" s="52"/>
      <c r="D684" s="52"/>
      <c r="E684" s="52"/>
      <c r="F684" s="50"/>
      <c r="G684" s="52"/>
      <c r="H684" s="52"/>
      <c r="I684" s="52"/>
      <c r="J684" s="51"/>
      <c r="K684" s="52"/>
      <c r="L684" s="52"/>
      <c r="M684" s="52"/>
      <c r="N684" s="50"/>
      <c r="O684" s="52"/>
      <c r="P684" s="54"/>
      <c r="Q684" s="54"/>
      <c r="R684" s="52"/>
      <c r="S684" s="52"/>
      <c r="T684" s="52"/>
      <c r="U684" s="52"/>
      <c r="V684" s="52"/>
    </row>
    <row r="685" spans="1:22" ht="13.2" x14ac:dyDescent="0.25">
      <c r="A685" s="52"/>
      <c r="B685" s="52"/>
      <c r="C685" s="52"/>
      <c r="D685" s="52"/>
      <c r="E685" s="52"/>
      <c r="F685" s="50"/>
      <c r="G685" s="52"/>
      <c r="H685" s="52"/>
      <c r="I685" s="52"/>
      <c r="J685" s="51"/>
      <c r="K685" s="52"/>
      <c r="L685" s="52"/>
      <c r="M685" s="52"/>
      <c r="N685" s="50"/>
      <c r="O685" s="52"/>
      <c r="P685" s="54"/>
      <c r="Q685" s="54"/>
      <c r="R685" s="52"/>
      <c r="S685" s="52"/>
      <c r="T685" s="52"/>
      <c r="U685" s="52"/>
      <c r="V685" s="52"/>
    </row>
    <row r="686" spans="1:22" ht="13.2" x14ac:dyDescent="0.25">
      <c r="A686" s="52"/>
      <c r="B686" s="52"/>
      <c r="C686" s="52"/>
      <c r="D686" s="52"/>
      <c r="E686" s="52"/>
      <c r="F686" s="50"/>
      <c r="G686" s="52"/>
      <c r="H686" s="52"/>
      <c r="I686" s="52"/>
      <c r="J686" s="51"/>
      <c r="K686" s="52"/>
      <c r="L686" s="52"/>
      <c r="M686" s="52"/>
      <c r="N686" s="50"/>
      <c r="O686" s="52"/>
      <c r="P686" s="54"/>
      <c r="Q686" s="54"/>
      <c r="R686" s="52"/>
      <c r="S686" s="52"/>
      <c r="T686" s="52"/>
      <c r="U686" s="52"/>
      <c r="V686" s="52"/>
    </row>
    <row r="687" spans="1:22" ht="13.2" x14ac:dyDescent="0.25">
      <c r="A687" s="52"/>
      <c r="B687" s="52"/>
      <c r="C687" s="52"/>
      <c r="D687" s="52"/>
      <c r="E687" s="52"/>
      <c r="F687" s="50"/>
      <c r="G687" s="52"/>
      <c r="H687" s="52"/>
      <c r="I687" s="52"/>
      <c r="J687" s="51"/>
      <c r="K687" s="52"/>
      <c r="L687" s="52"/>
      <c r="M687" s="52"/>
      <c r="N687" s="50"/>
      <c r="O687" s="52"/>
      <c r="P687" s="54"/>
      <c r="Q687" s="54"/>
      <c r="R687" s="52"/>
      <c r="S687" s="52"/>
      <c r="T687" s="52"/>
      <c r="U687" s="52"/>
      <c r="V687" s="52"/>
    </row>
    <row r="688" spans="1:22" ht="13.2" x14ac:dyDescent="0.25">
      <c r="A688" s="52"/>
      <c r="B688" s="52"/>
      <c r="C688" s="52"/>
      <c r="D688" s="52"/>
      <c r="E688" s="52"/>
      <c r="F688" s="50"/>
      <c r="G688" s="52"/>
      <c r="H688" s="52"/>
      <c r="I688" s="52"/>
      <c r="J688" s="51"/>
      <c r="K688" s="52"/>
      <c r="L688" s="52"/>
      <c r="M688" s="52"/>
      <c r="N688" s="50"/>
      <c r="O688" s="52"/>
      <c r="P688" s="54"/>
      <c r="Q688" s="54"/>
      <c r="R688" s="52"/>
      <c r="S688" s="52"/>
      <c r="T688" s="52"/>
      <c r="U688" s="52"/>
      <c r="V688" s="52"/>
    </row>
    <row r="689" spans="1:22" ht="13.2" x14ac:dyDescent="0.25">
      <c r="A689" s="52"/>
      <c r="B689" s="52"/>
      <c r="C689" s="52"/>
      <c r="D689" s="52"/>
      <c r="E689" s="52"/>
      <c r="F689" s="50"/>
      <c r="G689" s="52"/>
      <c r="H689" s="52"/>
      <c r="I689" s="52"/>
      <c r="J689" s="51"/>
      <c r="K689" s="52"/>
      <c r="L689" s="52"/>
      <c r="M689" s="52"/>
      <c r="N689" s="50"/>
      <c r="O689" s="52"/>
      <c r="P689" s="54"/>
      <c r="Q689" s="54"/>
      <c r="R689" s="52"/>
      <c r="S689" s="52"/>
      <c r="T689" s="52"/>
      <c r="U689" s="52"/>
      <c r="V689" s="52"/>
    </row>
    <row r="690" spans="1:22" ht="13.2" x14ac:dyDescent="0.25">
      <c r="A690" s="52"/>
      <c r="B690" s="52"/>
      <c r="C690" s="52"/>
      <c r="D690" s="52"/>
      <c r="E690" s="52"/>
      <c r="F690" s="50"/>
      <c r="G690" s="52"/>
      <c r="H690" s="52"/>
      <c r="I690" s="52"/>
      <c r="J690" s="51"/>
      <c r="K690" s="52"/>
      <c r="L690" s="52"/>
      <c r="M690" s="52"/>
      <c r="N690" s="50"/>
      <c r="O690" s="52"/>
      <c r="P690" s="54"/>
      <c r="Q690" s="54"/>
      <c r="R690" s="52"/>
      <c r="S690" s="52"/>
      <c r="T690" s="52"/>
      <c r="U690" s="52"/>
      <c r="V690" s="52"/>
    </row>
    <row r="691" spans="1:22" ht="13.2" x14ac:dyDescent="0.25">
      <c r="A691" s="52"/>
      <c r="B691" s="52"/>
      <c r="C691" s="52"/>
      <c r="D691" s="52"/>
      <c r="E691" s="52"/>
      <c r="F691" s="50"/>
      <c r="G691" s="52"/>
      <c r="H691" s="52"/>
      <c r="I691" s="52"/>
      <c r="J691" s="51"/>
      <c r="K691" s="52"/>
      <c r="L691" s="52"/>
      <c r="M691" s="52"/>
      <c r="N691" s="50"/>
      <c r="O691" s="52"/>
      <c r="P691" s="54"/>
      <c r="Q691" s="54"/>
      <c r="R691" s="52"/>
      <c r="S691" s="52"/>
      <c r="T691" s="52"/>
      <c r="U691" s="52"/>
      <c r="V691" s="52"/>
    </row>
    <row r="692" spans="1:22" ht="13.2" x14ac:dyDescent="0.25">
      <c r="A692" s="52"/>
      <c r="B692" s="52"/>
      <c r="C692" s="52"/>
      <c r="D692" s="52"/>
      <c r="E692" s="52"/>
      <c r="F692" s="50"/>
      <c r="G692" s="52"/>
      <c r="H692" s="52"/>
      <c r="I692" s="52"/>
      <c r="J692" s="51"/>
      <c r="K692" s="52"/>
      <c r="L692" s="52"/>
      <c r="M692" s="52"/>
      <c r="N692" s="50"/>
      <c r="O692" s="52"/>
      <c r="P692" s="54"/>
      <c r="Q692" s="54"/>
      <c r="R692" s="52"/>
      <c r="S692" s="52"/>
      <c r="T692" s="52"/>
      <c r="U692" s="52"/>
      <c r="V692" s="52"/>
    </row>
    <row r="693" spans="1:22" ht="13.2" x14ac:dyDescent="0.25">
      <c r="A693" s="52"/>
      <c r="B693" s="52"/>
      <c r="C693" s="52"/>
      <c r="D693" s="52"/>
      <c r="E693" s="52"/>
      <c r="F693" s="50"/>
      <c r="G693" s="52"/>
      <c r="H693" s="52"/>
      <c r="I693" s="52"/>
      <c r="J693" s="51"/>
      <c r="K693" s="52"/>
      <c r="L693" s="52"/>
      <c r="M693" s="52"/>
      <c r="N693" s="50"/>
      <c r="O693" s="52"/>
      <c r="P693" s="54"/>
      <c r="Q693" s="54"/>
      <c r="R693" s="52"/>
      <c r="S693" s="52"/>
      <c r="T693" s="52"/>
      <c r="U693" s="52"/>
      <c r="V693" s="52"/>
    </row>
    <row r="694" spans="1:22" ht="13.2" x14ac:dyDescent="0.25">
      <c r="A694" s="52"/>
      <c r="B694" s="52"/>
      <c r="C694" s="52"/>
      <c r="D694" s="52"/>
      <c r="E694" s="52"/>
      <c r="F694" s="50"/>
      <c r="G694" s="52"/>
      <c r="H694" s="52"/>
      <c r="I694" s="52"/>
      <c r="J694" s="51"/>
      <c r="K694" s="52"/>
      <c r="L694" s="52"/>
      <c r="M694" s="52"/>
      <c r="N694" s="50"/>
      <c r="O694" s="52"/>
      <c r="P694" s="54"/>
      <c r="Q694" s="54"/>
      <c r="R694" s="52"/>
      <c r="S694" s="52"/>
      <c r="T694" s="52"/>
      <c r="U694" s="52"/>
      <c r="V694" s="52"/>
    </row>
    <row r="695" spans="1:22" ht="13.2" x14ac:dyDescent="0.25">
      <c r="A695" s="52"/>
      <c r="B695" s="52"/>
      <c r="C695" s="52"/>
      <c r="D695" s="52"/>
      <c r="E695" s="52"/>
      <c r="F695" s="50"/>
      <c r="G695" s="52"/>
      <c r="H695" s="52"/>
      <c r="I695" s="52"/>
      <c r="J695" s="51"/>
      <c r="K695" s="52"/>
      <c r="L695" s="52"/>
      <c r="M695" s="52"/>
      <c r="N695" s="50"/>
      <c r="O695" s="52"/>
      <c r="P695" s="54"/>
      <c r="Q695" s="54"/>
      <c r="R695" s="52"/>
      <c r="S695" s="52"/>
      <c r="T695" s="52"/>
      <c r="U695" s="52"/>
      <c r="V695" s="52"/>
    </row>
    <row r="696" spans="1:22" ht="13.2" x14ac:dyDescent="0.25">
      <c r="A696" s="52"/>
      <c r="B696" s="52"/>
      <c r="C696" s="52"/>
      <c r="D696" s="52"/>
      <c r="E696" s="52"/>
      <c r="F696" s="50"/>
      <c r="G696" s="52"/>
      <c r="H696" s="52"/>
      <c r="I696" s="52"/>
      <c r="J696" s="51"/>
      <c r="K696" s="52"/>
      <c r="L696" s="52"/>
      <c r="M696" s="52"/>
      <c r="N696" s="50"/>
      <c r="O696" s="52"/>
      <c r="P696" s="54"/>
      <c r="Q696" s="54"/>
      <c r="R696" s="52"/>
      <c r="S696" s="52"/>
      <c r="T696" s="52"/>
      <c r="U696" s="52"/>
      <c r="V696" s="52"/>
    </row>
    <row r="697" spans="1:22" ht="13.2" x14ac:dyDescent="0.25">
      <c r="A697" s="52"/>
      <c r="B697" s="52"/>
      <c r="C697" s="52"/>
      <c r="D697" s="52"/>
      <c r="E697" s="52"/>
      <c r="F697" s="50"/>
      <c r="G697" s="52"/>
      <c r="H697" s="52"/>
      <c r="I697" s="52"/>
      <c r="J697" s="51"/>
      <c r="K697" s="52"/>
      <c r="L697" s="52"/>
      <c r="M697" s="52"/>
      <c r="N697" s="50"/>
      <c r="O697" s="52"/>
      <c r="P697" s="54"/>
      <c r="Q697" s="54"/>
      <c r="R697" s="52"/>
      <c r="S697" s="52"/>
      <c r="T697" s="52"/>
      <c r="U697" s="52"/>
      <c r="V697" s="52"/>
    </row>
    <row r="698" spans="1:22" ht="13.2" x14ac:dyDescent="0.25">
      <c r="A698" s="52"/>
      <c r="B698" s="52"/>
      <c r="C698" s="52"/>
      <c r="D698" s="52"/>
      <c r="E698" s="52"/>
      <c r="F698" s="50"/>
      <c r="G698" s="52"/>
      <c r="H698" s="52"/>
      <c r="I698" s="52"/>
      <c r="J698" s="51"/>
      <c r="K698" s="52"/>
      <c r="L698" s="52"/>
      <c r="M698" s="52"/>
      <c r="N698" s="50"/>
      <c r="O698" s="52"/>
      <c r="P698" s="54"/>
      <c r="Q698" s="54"/>
      <c r="R698" s="52"/>
      <c r="S698" s="52"/>
      <c r="T698" s="52"/>
      <c r="U698" s="52"/>
      <c r="V698" s="52"/>
    </row>
    <row r="699" spans="1:22" ht="13.2" x14ac:dyDescent="0.25">
      <c r="A699" s="52"/>
      <c r="B699" s="52"/>
      <c r="C699" s="52"/>
      <c r="D699" s="52"/>
      <c r="E699" s="52"/>
      <c r="F699" s="50"/>
      <c r="G699" s="52"/>
      <c r="H699" s="52"/>
      <c r="I699" s="52"/>
      <c r="J699" s="51"/>
      <c r="K699" s="52"/>
      <c r="L699" s="52"/>
      <c r="M699" s="52"/>
      <c r="N699" s="50"/>
      <c r="O699" s="52"/>
      <c r="P699" s="54"/>
      <c r="Q699" s="54"/>
      <c r="R699" s="52"/>
      <c r="S699" s="52"/>
      <c r="T699" s="52"/>
      <c r="U699" s="52"/>
      <c r="V699" s="52"/>
    </row>
    <row r="700" spans="1:22" ht="13.2" x14ac:dyDescent="0.25">
      <c r="A700" s="52"/>
      <c r="B700" s="52"/>
      <c r="C700" s="52"/>
      <c r="D700" s="52"/>
      <c r="E700" s="52"/>
      <c r="F700" s="50"/>
      <c r="G700" s="52"/>
      <c r="H700" s="52"/>
      <c r="I700" s="52"/>
      <c r="J700" s="51"/>
      <c r="K700" s="52"/>
      <c r="L700" s="52"/>
      <c r="M700" s="52"/>
      <c r="N700" s="50"/>
      <c r="O700" s="52"/>
      <c r="P700" s="54"/>
      <c r="Q700" s="54"/>
      <c r="R700" s="52"/>
      <c r="S700" s="52"/>
      <c r="T700" s="52"/>
      <c r="U700" s="52"/>
      <c r="V700" s="52"/>
    </row>
    <row r="701" spans="1:22" ht="13.2" x14ac:dyDescent="0.25">
      <c r="A701" s="52"/>
      <c r="B701" s="52"/>
      <c r="C701" s="52"/>
      <c r="D701" s="52"/>
      <c r="E701" s="52"/>
      <c r="F701" s="50"/>
      <c r="G701" s="52"/>
      <c r="H701" s="52"/>
      <c r="I701" s="52"/>
      <c r="J701" s="51"/>
      <c r="K701" s="52"/>
      <c r="L701" s="52"/>
      <c r="M701" s="52"/>
      <c r="N701" s="50"/>
      <c r="O701" s="52"/>
      <c r="P701" s="54"/>
      <c r="Q701" s="54"/>
      <c r="R701" s="52"/>
      <c r="S701" s="52"/>
      <c r="T701" s="52"/>
      <c r="U701" s="52"/>
      <c r="V701" s="52"/>
    </row>
    <row r="702" spans="1:22" ht="13.2" x14ac:dyDescent="0.25">
      <c r="A702" s="52"/>
      <c r="B702" s="52"/>
      <c r="C702" s="52"/>
      <c r="D702" s="52"/>
      <c r="E702" s="52"/>
      <c r="F702" s="50"/>
      <c r="G702" s="52"/>
      <c r="H702" s="52"/>
      <c r="I702" s="52"/>
      <c r="J702" s="51"/>
      <c r="K702" s="52"/>
      <c r="L702" s="52"/>
      <c r="M702" s="52"/>
      <c r="N702" s="50"/>
      <c r="O702" s="52"/>
      <c r="P702" s="54"/>
      <c r="Q702" s="54"/>
      <c r="R702" s="52"/>
      <c r="S702" s="52"/>
      <c r="T702" s="52"/>
      <c r="U702" s="52"/>
      <c r="V702" s="52"/>
    </row>
    <row r="703" spans="1:22" ht="13.2" x14ac:dyDescent="0.25">
      <c r="A703" s="52"/>
      <c r="B703" s="52"/>
      <c r="C703" s="52"/>
      <c r="D703" s="52"/>
      <c r="E703" s="52"/>
      <c r="F703" s="50"/>
      <c r="G703" s="52"/>
      <c r="H703" s="52"/>
      <c r="I703" s="52"/>
      <c r="J703" s="51"/>
      <c r="K703" s="52"/>
      <c r="L703" s="52"/>
      <c r="M703" s="52"/>
      <c r="N703" s="50"/>
      <c r="O703" s="52"/>
      <c r="P703" s="54"/>
      <c r="Q703" s="54"/>
      <c r="R703" s="52"/>
      <c r="S703" s="52"/>
      <c r="T703" s="52"/>
      <c r="U703" s="52"/>
      <c r="V703" s="52"/>
    </row>
    <row r="704" spans="1:22" ht="13.2" x14ac:dyDescent="0.25">
      <c r="A704" s="52"/>
      <c r="B704" s="52"/>
      <c r="C704" s="52"/>
      <c r="D704" s="52"/>
      <c r="E704" s="52"/>
      <c r="F704" s="50"/>
      <c r="G704" s="52"/>
      <c r="H704" s="52"/>
      <c r="I704" s="52"/>
      <c r="J704" s="51"/>
      <c r="K704" s="52"/>
      <c r="L704" s="52"/>
      <c r="M704" s="52"/>
      <c r="N704" s="50"/>
      <c r="O704" s="52"/>
      <c r="P704" s="54"/>
      <c r="Q704" s="54"/>
      <c r="R704" s="52"/>
      <c r="S704" s="52"/>
      <c r="T704" s="52"/>
      <c r="U704" s="52"/>
      <c r="V704" s="52"/>
    </row>
    <row r="705" spans="1:22" ht="13.2" x14ac:dyDescent="0.25">
      <c r="A705" s="52"/>
      <c r="B705" s="52"/>
      <c r="C705" s="52"/>
      <c r="D705" s="52"/>
      <c r="E705" s="52"/>
      <c r="F705" s="50"/>
      <c r="G705" s="52"/>
      <c r="H705" s="52"/>
      <c r="I705" s="52"/>
      <c r="J705" s="51"/>
      <c r="K705" s="52"/>
      <c r="L705" s="52"/>
      <c r="M705" s="52"/>
      <c r="N705" s="50"/>
      <c r="O705" s="52"/>
      <c r="P705" s="54"/>
      <c r="Q705" s="54"/>
      <c r="R705" s="52"/>
      <c r="S705" s="52"/>
      <c r="T705" s="52"/>
      <c r="U705" s="52"/>
      <c r="V705" s="52"/>
    </row>
    <row r="706" spans="1:22" ht="13.2" x14ac:dyDescent="0.25">
      <c r="A706" s="52"/>
      <c r="B706" s="52"/>
      <c r="C706" s="52"/>
      <c r="D706" s="52"/>
      <c r="E706" s="52"/>
      <c r="F706" s="50"/>
      <c r="G706" s="52"/>
      <c r="H706" s="52"/>
      <c r="I706" s="52"/>
      <c r="J706" s="51"/>
      <c r="K706" s="52"/>
      <c r="L706" s="52"/>
      <c r="M706" s="52"/>
      <c r="N706" s="50"/>
      <c r="O706" s="52"/>
      <c r="P706" s="54"/>
      <c r="Q706" s="54"/>
      <c r="R706" s="52"/>
      <c r="S706" s="52"/>
      <c r="T706" s="52"/>
      <c r="U706" s="52"/>
      <c r="V706" s="52"/>
    </row>
    <row r="707" spans="1:22" ht="13.2" x14ac:dyDescent="0.25">
      <c r="A707" s="52"/>
      <c r="B707" s="52"/>
      <c r="C707" s="52"/>
      <c r="D707" s="52"/>
      <c r="E707" s="52"/>
      <c r="F707" s="50"/>
      <c r="G707" s="52"/>
      <c r="H707" s="52"/>
      <c r="I707" s="52"/>
      <c r="J707" s="51"/>
      <c r="K707" s="52"/>
      <c r="L707" s="52"/>
      <c r="M707" s="52"/>
      <c r="N707" s="50"/>
      <c r="O707" s="52"/>
      <c r="P707" s="54"/>
      <c r="Q707" s="54"/>
      <c r="R707" s="52"/>
      <c r="S707" s="52"/>
      <c r="T707" s="52"/>
      <c r="U707" s="52"/>
      <c r="V707" s="52"/>
    </row>
    <row r="708" spans="1:22" ht="13.2" x14ac:dyDescent="0.25">
      <c r="A708" s="52"/>
      <c r="B708" s="52"/>
      <c r="C708" s="52"/>
      <c r="D708" s="52"/>
      <c r="E708" s="52"/>
      <c r="F708" s="50"/>
      <c r="G708" s="52"/>
      <c r="H708" s="52"/>
      <c r="I708" s="52"/>
      <c r="J708" s="51"/>
      <c r="K708" s="52"/>
      <c r="L708" s="52"/>
      <c r="M708" s="52"/>
      <c r="N708" s="50"/>
      <c r="O708" s="52"/>
      <c r="P708" s="54"/>
      <c r="Q708" s="54"/>
      <c r="R708" s="52"/>
      <c r="S708" s="52"/>
      <c r="T708" s="52"/>
      <c r="U708" s="52"/>
      <c r="V708" s="52"/>
    </row>
    <row r="709" spans="1:22" ht="13.2" x14ac:dyDescent="0.25">
      <c r="A709" s="52"/>
      <c r="B709" s="52"/>
      <c r="C709" s="52"/>
      <c r="D709" s="52"/>
      <c r="E709" s="52"/>
      <c r="F709" s="50"/>
      <c r="G709" s="52"/>
      <c r="H709" s="52"/>
      <c r="I709" s="52"/>
      <c r="J709" s="51"/>
      <c r="K709" s="52"/>
      <c r="L709" s="52"/>
      <c r="M709" s="52"/>
      <c r="N709" s="50"/>
      <c r="O709" s="52"/>
      <c r="P709" s="54"/>
      <c r="Q709" s="54"/>
      <c r="R709" s="52"/>
      <c r="S709" s="52"/>
      <c r="T709" s="52"/>
      <c r="U709" s="52"/>
      <c r="V709" s="52"/>
    </row>
    <row r="710" spans="1:22" ht="13.2" x14ac:dyDescent="0.25">
      <c r="A710" s="52"/>
      <c r="B710" s="52"/>
      <c r="C710" s="52"/>
      <c r="D710" s="52"/>
      <c r="E710" s="52"/>
      <c r="F710" s="50"/>
      <c r="G710" s="52"/>
      <c r="H710" s="52"/>
      <c r="I710" s="52"/>
      <c r="J710" s="51"/>
      <c r="K710" s="52"/>
      <c r="L710" s="52"/>
      <c r="M710" s="52"/>
      <c r="N710" s="50"/>
      <c r="O710" s="52"/>
      <c r="P710" s="54"/>
      <c r="Q710" s="54"/>
      <c r="R710" s="52"/>
      <c r="S710" s="52"/>
      <c r="T710" s="52"/>
      <c r="U710" s="52"/>
      <c r="V710" s="52"/>
    </row>
    <row r="711" spans="1:22" ht="13.2" x14ac:dyDescent="0.25">
      <c r="A711" s="52"/>
      <c r="B711" s="52"/>
      <c r="C711" s="52"/>
      <c r="D711" s="52"/>
      <c r="E711" s="52"/>
      <c r="F711" s="50"/>
      <c r="G711" s="52"/>
      <c r="H711" s="52"/>
      <c r="I711" s="52"/>
      <c r="J711" s="51"/>
      <c r="K711" s="52"/>
      <c r="L711" s="52"/>
      <c r="M711" s="52"/>
      <c r="N711" s="50"/>
      <c r="O711" s="52"/>
      <c r="P711" s="54"/>
      <c r="Q711" s="54"/>
      <c r="R711" s="52"/>
      <c r="S711" s="52"/>
      <c r="T711" s="52"/>
      <c r="U711" s="52"/>
      <c r="V711" s="52"/>
    </row>
    <row r="712" spans="1:22" ht="13.2" x14ac:dyDescent="0.25">
      <c r="A712" s="52"/>
      <c r="B712" s="52"/>
      <c r="C712" s="52"/>
      <c r="D712" s="52"/>
      <c r="E712" s="52"/>
      <c r="F712" s="50"/>
      <c r="G712" s="52"/>
      <c r="H712" s="52"/>
      <c r="I712" s="52"/>
      <c r="J712" s="51"/>
      <c r="K712" s="52"/>
      <c r="L712" s="52"/>
      <c r="M712" s="52"/>
      <c r="N712" s="50"/>
      <c r="O712" s="52"/>
      <c r="P712" s="54"/>
      <c r="Q712" s="54"/>
      <c r="R712" s="52"/>
      <c r="S712" s="52"/>
      <c r="T712" s="52"/>
      <c r="U712" s="52"/>
      <c r="V712" s="52"/>
    </row>
    <row r="713" spans="1:22" ht="13.2" x14ac:dyDescent="0.25">
      <c r="A713" s="52"/>
      <c r="B713" s="52"/>
      <c r="C713" s="52"/>
      <c r="D713" s="52"/>
      <c r="E713" s="52"/>
      <c r="F713" s="50"/>
      <c r="G713" s="52"/>
      <c r="H713" s="52"/>
      <c r="I713" s="52"/>
      <c r="J713" s="51"/>
      <c r="K713" s="52"/>
      <c r="L713" s="52"/>
      <c r="M713" s="52"/>
      <c r="N713" s="50"/>
      <c r="O713" s="52"/>
      <c r="P713" s="54"/>
      <c r="Q713" s="54"/>
      <c r="R713" s="52"/>
      <c r="S713" s="52"/>
      <c r="T713" s="52"/>
      <c r="U713" s="52"/>
      <c r="V713" s="52"/>
    </row>
    <row r="714" spans="1:22" ht="13.2" x14ac:dyDescent="0.25">
      <c r="A714" s="52"/>
      <c r="B714" s="52"/>
      <c r="C714" s="52"/>
      <c r="D714" s="52"/>
      <c r="E714" s="52"/>
      <c r="F714" s="50"/>
      <c r="G714" s="52"/>
      <c r="H714" s="52"/>
      <c r="I714" s="52"/>
      <c r="J714" s="51"/>
      <c r="K714" s="52"/>
      <c r="L714" s="52"/>
      <c r="M714" s="52"/>
      <c r="N714" s="50"/>
      <c r="O714" s="52"/>
      <c r="P714" s="54"/>
      <c r="Q714" s="54"/>
      <c r="R714" s="52"/>
      <c r="S714" s="52"/>
      <c r="T714" s="52"/>
      <c r="U714" s="52"/>
      <c r="V714" s="52"/>
    </row>
    <row r="715" spans="1:22" ht="13.2" x14ac:dyDescent="0.25">
      <c r="A715" s="52"/>
      <c r="B715" s="52"/>
      <c r="C715" s="52"/>
      <c r="D715" s="52"/>
      <c r="E715" s="52"/>
      <c r="F715" s="50"/>
      <c r="G715" s="52"/>
      <c r="H715" s="52"/>
      <c r="I715" s="52"/>
      <c r="J715" s="51"/>
      <c r="K715" s="52"/>
      <c r="L715" s="52"/>
      <c r="M715" s="52"/>
      <c r="N715" s="50"/>
      <c r="O715" s="52"/>
      <c r="P715" s="54"/>
      <c r="Q715" s="54"/>
      <c r="R715" s="52"/>
      <c r="S715" s="52"/>
      <c r="T715" s="52"/>
      <c r="U715" s="52"/>
      <c r="V715" s="52"/>
    </row>
    <row r="716" spans="1:22" ht="13.2" x14ac:dyDescent="0.25">
      <c r="A716" s="52"/>
      <c r="B716" s="52"/>
      <c r="C716" s="52"/>
      <c r="D716" s="52"/>
      <c r="E716" s="52"/>
      <c r="F716" s="50"/>
      <c r="G716" s="52"/>
      <c r="H716" s="52"/>
      <c r="I716" s="52"/>
      <c r="J716" s="51"/>
      <c r="K716" s="52"/>
      <c r="L716" s="52"/>
      <c r="M716" s="52"/>
      <c r="N716" s="50"/>
      <c r="O716" s="52"/>
      <c r="P716" s="54"/>
      <c r="Q716" s="54"/>
      <c r="R716" s="52"/>
      <c r="S716" s="52"/>
      <c r="T716" s="52"/>
      <c r="U716" s="52"/>
      <c r="V716" s="52"/>
    </row>
    <row r="717" spans="1:22" ht="13.2" x14ac:dyDescent="0.25">
      <c r="A717" s="52"/>
      <c r="B717" s="52"/>
      <c r="C717" s="52"/>
      <c r="D717" s="52"/>
      <c r="E717" s="52"/>
      <c r="F717" s="50"/>
      <c r="G717" s="52"/>
      <c r="H717" s="52"/>
      <c r="I717" s="52"/>
      <c r="J717" s="51"/>
      <c r="K717" s="52"/>
      <c r="L717" s="52"/>
      <c r="M717" s="52"/>
      <c r="N717" s="50"/>
      <c r="O717" s="52"/>
      <c r="P717" s="54"/>
      <c r="Q717" s="54"/>
      <c r="R717" s="52"/>
      <c r="S717" s="52"/>
      <c r="T717" s="52"/>
      <c r="U717" s="52"/>
      <c r="V717" s="52"/>
    </row>
    <row r="718" spans="1:22" ht="13.2" x14ac:dyDescent="0.25">
      <c r="A718" s="52"/>
      <c r="B718" s="52"/>
      <c r="C718" s="52"/>
      <c r="D718" s="52"/>
      <c r="E718" s="52"/>
      <c r="F718" s="50"/>
      <c r="G718" s="52"/>
      <c r="H718" s="52"/>
      <c r="I718" s="52"/>
      <c r="J718" s="51"/>
      <c r="K718" s="52"/>
      <c r="L718" s="52"/>
      <c r="M718" s="52"/>
      <c r="N718" s="50"/>
      <c r="O718" s="52"/>
      <c r="P718" s="54"/>
      <c r="Q718" s="54"/>
      <c r="R718" s="52"/>
      <c r="S718" s="52"/>
      <c r="T718" s="52"/>
      <c r="U718" s="52"/>
      <c r="V718" s="52"/>
    </row>
    <row r="719" spans="1:22" ht="13.2" x14ac:dyDescent="0.25">
      <c r="A719" s="52"/>
      <c r="B719" s="52"/>
      <c r="C719" s="52"/>
      <c r="D719" s="52"/>
      <c r="E719" s="52"/>
      <c r="F719" s="50"/>
      <c r="G719" s="52"/>
      <c r="H719" s="52"/>
      <c r="I719" s="52"/>
      <c r="J719" s="51"/>
      <c r="K719" s="52"/>
      <c r="L719" s="52"/>
      <c r="M719" s="52"/>
      <c r="N719" s="50"/>
      <c r="O719" s="52"/>
      <c r="P719" s="54"/>
      <c r="Q719" s="54"/>
      <c r="R719" s="52"/>
      <c r="S719" s="52"/>
      <c r="T719" s="52"/>
      <c r="U719" s="52"/>
      <c r="V719" s="52"/>
    </row>
    <row r="720" spans="1:22" ht="13.2" x14ac:dyDescent="0.25">
      <c r="A720" s="52"/>
      <c r="B720" s="52"/>
      <c r="C720" s="52"/>
      <c r="D720" s="52"/>
      <c r="E720" s="52"/>
      <c r="F720" s="50"/>
      <c r="G720" s="52"/>
      <c r="H720" s="52"/>
      <c r="I720" s="52"/>
      <c r="J720" s="51"/>
      <c r="K720" s="52"/>
      <c r="L720" s="52"/>
      <c r="M720" s="52"/>
      <c r="N720" s="50"/>
      <c r="O720" s="52"/>
      <c r="P720" s="54"/>
      <c r="Q720" s="54"/>
      <c r="R720" s="52"/>
      <c r="S720" s="52"/>
      <c r="T720" s="52"/>
      <c r="U720" s="52"/>
      <c r="V720" s="52"/>
    </row>
    <row r="721" spans="1:22" ht="13.2" x14ac:dyDescent="0.25">
      <c r="A721" s="52"/>
      <c r="B721" s="52"/>
      <c r="C721" s="52"/>
      <c r="D721" s="52"/>
      <c r="E721" s="52"/>
      <c r="F721" s="50"/>
      <c r="G721" s="52"/>
      <c r="H721" s="52"/>
      <c r="I721" s="52"/>
      <c r="J721" s="51"/>
      <c r="K721" s="52"/>
      <c r="L721" s="52"/>
      <c r="M721" s="52"/>
      <c r="N721" s="50"/>
      <c r="O721" s="52"/>
      <c r="P721" s="54"/>
      <c r="Q721" s="54"/>
      <c r="R721" s="52"/>
      <c r="S721" s="52"/>
      <c r="T721" s="52"/>
      <c r="U721" s="52"/>
      <c r="V721" s="52"/>
    </row>
    <row r="722" spans="1:22" ht="13.2" x14ac:dyDescent="0.25">
      <c r="A722" s="52"/>
      <c r="B722" s="52"/>
      <c r="C722" s="52"/>
      <c r="D722" s="52"/>
      <c r="E722" s="52"/>
      <c r="F722" s="50"/>
      <c r="G722" s="52"/>
      <c r="H722" s="52"/>
      <c r="I722" s="52"/>
      <c r="J722" s="51"/>
      <c r="K722" s="52"/>
      <c r="L722" s="52"/>
      <c r="M722" s="52"/>
      <c r="N722" s="50"/>
      <c r="O722" s="52"/>
      <c r="P722" s="54"/>
      <c r="Q722" s="54"/>
      <c r="R722" s="52"/>
      <c r="S722" s="52"/>
      <c r="T722" s="52"/>
      <c r="U722" s="52"/>
      <c r="V722" s="52"/>
    </row>
    <row r="723" spans="1:22" ht="13.2" x14ac:dyDescent="0.25">
      <c r="A723" s="52"/>
      <c r="B723" s="52"/>
      <c r="C723" s="52"/>
      <c r="D723" s="52"/>
      <c r="E723" s="52"/>
      <c r="F723" s="50"/>
      <c r="G723" s="52"/>
      <c r="H723" s="52"/>
      <c r="I723" s="52"/>
      <c r="J723" s="51"/>
      <c r="K723" s="52"/>
      <c r="L723" s="52"/>
      <c r="M723" s="52"/>
      <c r="N723" s="50"/>
      <c r="O723" s="52"/>
      <c r="P723" s="54"/>
      <c r="Q723" s="54"/>
      <c r="R723" s="52"/>
      <c r="S723" s="52"/>
      <c r="T723" s="52"/>
      <c r="U723" s="52"/>
      <c r="V723" s="52"/>
    </row>
    <row r="724" spans="1:22" ht="13.2" x14ac:dyDescent="0.25">
      <c r="A724" s="52"/>
      <c r="B724" s="52"/>
      <c r="C724" s="52"/>
      <c r="D724" s="52"/>
      <c r="E724" s="52"/>
      <c r="F724" s="50"/>
      <c r="G724" s="52"/>
      <c r="H724" s="52"/>
      <c r="I724" s="52"/>
      <c r="J724" s="51"/>
      <c r="K724" s="52"/>
      <c r="L724" s="52"/>
      <c r="M724" s="52"/>
      <c r="N724" s="50"/>
      <c r="O724" s="52"/>
      <c r="P724" s="54"/>
      <c r="Q724" s="54"/>
      <c r="R724" s="52"/>
      <c r="S724" s="52"/>
      <c r="T724" s="52"/>
      <c r="U724" s="52"/>
      <c r="V724" s="52"/>
    </row>
    <row r="725" spans="1:22" ht="13.2" x14ac:dyDescent="0.25">
      <c r="A725" s="52"/>
      <c r="B725" s="52"/>
      <c r="C725" s="52"/>
      <c r="D725" s="52"/>
      <c r="E725" s="52"/>
      <c r="F725" s="50"/>
      <c r="G725" s="52"/>
      <c r="H725" s="52"/>
      <c r="I725" s="52"/>
      <c r="J725" s="51"/>
      <c r="K725" s="52"/>
      <c r="L725" s="52"/>
      <c r="M725" s="52"/>
      <c r="N725" s="50"/>
      <c r="O725" s="52"/>
      <c r="P725" s="54"/>
      <c r="Q725" s="54"/>
      <c r="R725" s="52"/>
      <c r="S725" s="52"/>
      <c r="T725" s="52"/>
      <c r="U725" s="52"/>
      <c r="V725" s="52"/>
    </row>
    <row r="726" spans="1:22" ht="13.2" x14ac:dyDescent="0.25">
      <c r="A726" s="52"/>
      <c r="B726" s="52"/>
      <c r="C726" s="52"/>
      <c r="D726" s="52"/>
      <c r="E726" s="52"/>
      <c r="F726" s="50"/>
      <c r="G726" s="52"/>
      <c r="H726" s="52"/>
      <c r="I726" s="52"/>
      <c r="J726" s="51"/>
      <c r="K726" s="52"/>
      <c r="L726" s="52"/>
      <c r="M726" s="52"/>
      <c r="N726" s="50"/>
      <c r="O726" s="52"/>
      <c r="P726" s="54"/>
      <c r="Q726" s="54"/>
      <c r="R726" s="52"/>
      <c r="S726" s="52"/>
      <c r="T726" s="52"/>
      <c r="U726" s="52"/>
      <c r="V726" s="52"/>
    </row>
    <row r="727" spans="1:22" ht="13.2" x14ac:dyDescent="0.25">
      <c r="A727" s="52"/>
      <c r="B727" s="52"/>
      <c r="C727" s="52"/>
      <c r="D727" s="52"/>
      <c r="E727" s="52"/>
      <c r="F727" s="50"/>
      <c r="G727" s="52"/>
      <c r="H727" s="52"/>
      <c r="I727" s="52"/>
      <c r="J727" s="51"/>
      <c r="K727" s="52"/>
      <c r="L727" s="52"/>
      <c r="M727" s="52"/>
      <c r="N727" s="50"/>
      <c r="O727" s="52"/>
      <c r="P727" s="54"/>
      <c r="Q727" s="54"/>
      <c r="R727" s="52"/>
      <c r="S727" s="52"/>
      <c r="T727" s="52"/>
      <c r="U727" s="52"/>
      <c r="V727" s="52"/>
    </row>
    <row r="728" spans="1:22" ht="13.2" x14ac:dyDescent="0.25">
      <c r="A728" s="52"/>
      <c r="B728" s="52"/>
      <c r="C728" s="52"/>
      <c r="D728" s="52"/>
      <c r="E728" s="52"/>
      <c r="F728" s="50"/>
      <c r="G728" s="52"/>
      <c r="H728" s="52"/>
      <c r="I728" s="52"/>
      <c r="J728" s="51"/>
      <c r="K728" s="52"/>
      <c r="L728" s="52"/>
      <c r="M728" s="52"/>
      <c r="N728" s="50"/>
      <c r="O728" s="52"/>
      <c r="P728" s="54"/>
      <c r="Q728" s="54"/>
      <c r="R728" s="52"/>
      <c r="S728" s="52"/>
      <c r="T728" s="52"/>
      <c r="U728" s="52"/>
      <c r="V728" s="52"/>
    </row>
    <row r="729" spans="1:22" ht="13.2" x14ac:dyDescent="0.25">
      <c r="A729" s="52"/>
      <c r="B729" s="52"/>
      <c r="C729" s="52"/>
      <c r="D729" s="52"/>
      <c r="E729" s="52"/>
      <c r="F729" s="50"/>
      <c r="G729" s="52"/>
      <c r="H729" s="52"/>
      <c r="I729" s="52"/>
      <c r="J729" s="51"/>
      <c r="K729" s="52"/>
      <c r="L729" s="52"/>
      <c r="M729" s="52"/>
      <c r="N729" s="50"/>
      <c r="O729" s="52"/>
      <c r="P729" s="54"/>
      <c r="Q729" s="54"/>
      <c r="R729" s="52"/>
      <c r="S729" s="52"/>
      <c r="T729" s="52"/>
      <c r="U729" s="52"/>
      <c r="V729" s="52"/>
    </row>
    <row r="730" spans="1:22" ht="13.2" x14ac:dyDescent="0.25">
      <c r="A730" s="52"/>
      <c r="B730" s="52"/>
      <c r="C730" s="52"/>
      <c r="D730" s="52"/>
      <c r="E730" s="52"/>
      <c r="F730" s="50"/>
      <c r="G730" s="52"/>
      <c r="H730" s="52"/>
      <c r="I730" s="52"/>
      <c r="J730" s="51"/>
      <c r="K730" s="52"/>
      <c r="L730" s="52"/>
      <c r="M730" s="52"/>
      <c r="N730" s="50"/>
      <c r="O730" s="52"/>
      <c r="P730" s="54"/>
      <c r="Q730" s="54"/>
      <c r="R730" s="52"/>
      <c r="S730" s="52"/>
      <c r="T730" s="52"/>
      <c r="U730" s="52"/>
      <c r="V730" s="52"/>
    </row>
    <row r="731" spans="1:22" ht="13.2" x14ac:dyDescent="0.25">
      <c r="A731" s="52"/>
      <c r="B731" s="52"/>
      <c r="C731" s="52"/>
      <c r="D731" s="52"/>
      <c r="E731" s="52"/>
      <c r="F731" s="50"/>
      <c r="G731" s="52"/>
      <c r="H731" s="52"/>
      <c r="I731" s="52"/>
      <c r="J731" s="51"/>
      <c r="K731" s="52"/>
      <c r="L731" s="52"/>
      <c r="M731" s="52"/>
      <c r="N731" s="50"/>
      <c r="O731" s="52"/>
      <c r="P731" s="54"/>
      <c r="Q731" s="54"/>
      <c r="R731" s="52"/>
      <c r="S731" s="52"/>
      <c r="T731" s="52"/>
      <c r="U731" s="52"/>
      <c r="V731" s="52"/>
    </row>
    <row r="732" spans="1:22" ht="13.2" x14ac:dyDescent="0.25">
      <c r="A732" s="52"/>
      <c r="B732" s="52"/>
      <c r="C732" s="52"/>
      <c r="D732" s="52"/>
      <c r="E732" s="52"/>
      <c r="F732" s="50"/>
      <c r="G732" s="52"/>
      <c r="H732" s="52"/>
      <c r="I732" s="52"/>
      <c r="J732" s="51"/>
      <c r="K732" s="52"/>
      <c r="L732" s="52"/>
      <c r="M732" s="52"/>
      <c r="N732" s="50"/>
      <c r="O732" s="52"/>
      <c r="P732" s="54"/>
      <c r="Q732" s="54"/>
      <c r="R732" s="52"/>
      <c r="S732" s="52"/>
      <c r="T732" s="52"/>
      <c r="U732" s="52"/>
      <c r="V732" s="52"/>
    </row>
    <row r="733" spans="1:22" ht="13.2" x14ac:dyDescent="0.25">
      <c r="A733" s="52"/>
      <c r="B733" s="52"/>
      <c r="C733" s="52"/>
      <c r="D733" s="52"/>
      <c r="E733" s="52"/>
      <c r="F733" s="50"/>
      <c r="G733" s="52"/>
      <c r="H733" s="52"/>
      <c r="I733" s="52"/>
      <c r="J733" s="51"/>
      <c r="K733" s="52"/>
      <c r="L733" s="52"/>
      <c r="M733" s="52"/>
      <c r="N733" s="50"/>
      <c r="O733" s="52"/>
      <c r="P733" s="54"/>
      <c r="Q733" s="54"/>
      <c r="R733" s="52"/>
      <c r="S733" s="52"/>
      <c r="T733" s="52"/>
      <c r="U733" s="52"/>
      <c r="V733" s="52"/>
    </row>
    <row r="734" spans="1:22" ht="13.2" x14ac:dyDescent="0.25">
      <c r="A734" s="52"/>
      <c r="B734" s="52"/>
      <c r="C734" s="52"/>
      <c r="D734" s="52"/>
      <c r="E734" s="52"/>
      <c r="F734" s="50"/>
      <c r="G734" s="52"/>
      <c r="H734" s="52"/>
      <c r="I734" s="52"/>
      <c r="J734" s="51"/>
      <c r="K734" s="52"/>
      <c r="L734" s="52"/>
      <c r="M734" s="52"/>
      <c r="N734" s="50"/>
      <c r="O734" s="52"/>
      <c r="P734" s="54"/>
      <c r="Q734" s="54"/>
      <c r="R734" s="52"/>
      <c r="S734" s="52"/>
      <c r="T734" s="52"/>
      <c r="U734" s="52"/>
      <c r="V734" s="52"/>
    </row>
    <row r="735" spans="1:22" ht="13.2" x14ac:dyDescent="0.25">
      <c r="A735" s="52"/>
      <c r="B735" s="52"/>
      <c r="C735" s="52"/>
      <c r="D735" s="52"/>
      <c r="E735" s="52"/>
      <c r="F735" s="50"/>
      <c r="G735" s="52"/>
      <c r="H735" s="52"/>
      <c r="I735" s="52"/>
      <c r="J735" s="51"/>
      <c r="K735" s="52"/>
      <c r="L735" s="52"/>
      <c r="M735" s="52"/>
      <c r="N735" s="50"/>
      <c r="O735" s="52"/>
      <c r="P735" s="54"/>
      <c r="Q735" s="54"/>
      <c r="R735" s="52"/>
      <c r="S735" s="52"/>
      <c r="T735" s="52"/>
      <c r="U735" s="52"/>
      <c r="V735" s="52"/>
    </row>
    <row r="736" spans="1:22" ht="13.2" x14ac:dyDescent="0.25">
      <c r="A736" s="52"/>
      <c r="B736" s="52"/>
      <c r="C736" s="52"/>
      <c r="D736" s="52"/>
      <c r="E736" s="52"/>
      <c r="F736" s="50"/>
      <c r="G736" s="52"/>
      <c r="H736" s="52"/>
      <c r="I736" s="52"/>
      <c r="J736" s="51"/>
      <c r="K736" s="52"/>
      <c r="L736" s="52"/>
      <c r="M736" s="52"/>
      <c r="N736" s="50"/>
      <c r="O736" s="52"/>
      <c r="P736" s="54"/>
      <c r="Q736" s="54"/>
      <c r="R736" s="52"/>
      <c r="S736" s="52"/>
      <c r="T736" s="52"/>
      <c r="U736" s="52"/>
      <c r="V736" s="52"/>
    </row>
    <row r="737" spans="1:22" ht="13.2" x14ac:dyDescent="0.25">
      <c r="A737" s="52"/>
      <c r="B737" s="52"/>
      <c r="C737" s="52"/>
      <c r="D737" s="52"/>
      <c r="E737" s="52"/>
      <c r="F737" s="50"/>
      <c r="G737" s="52"/>
      <c r="H737" s="52"/>
      <c r="I737" s="52"/>
      <c r="J737" s="51"/>
      <c r="K737" s="52"/>
      <c r="L737" s="52"/>
      <c r="M737" s="52"/>
      <c r="N737" s="50"/>
      <c r="O737" s="52"/>
      <c r="P737" s="54"/>
      <c r="Q737" s="54"/>
      <c r="R737" s="52"/>
      <c r="S737" s="52"/>
      <c r="T737" s="52"/>
      <c r="U737" s="52"/>
      <c r="V737" s="52"/>
    </row>
    <row r="738" spans="1:22" ht="13.2" x14ac:dyDescent="0.25">
      <c r="A738" s="52"/>
      <c r="B738" s="52"/>
      <c r="C738" s="52"/>
      <c r="D738" s="52"/>
      <c r="E738" s="52"/>
      <c r="F738" s="50"/>
      <c r="G738" s="52"/>
      <c r="H738" s="52"/>
      <c r="I738" s="52"/>
      <c r="J738" s="51"/>
      <c r="K738" s="52"/>
      <c r="L738" s="52"/>
      <c r="M738" s="52"/>
      <c r="N738" s="50"/>
      <c r="O738" s="52"/>
      <c r="P738" s="54"/>
      <c r="Q738" s="54"/>
      <c r="R738" s="52"/>
      <c r="S738" s="52"/>
      <c r="T738" s="52"/>
      <c r="U738" s="52"/>
      <c r="V738" s="52"/>
    </row>
    <row r="739" spans="1:22" ht="13.2" x14ac:dyDescent="0.25">
      <c r="A739" s="52"/>
      <c r="B739" s="52"/>
      <c r="C739" s="52"/>
      <c r="D739" s="52"/>
      <c r="E739" s="52"/>
      <c r="F739" s="50"/>
      <c r="G739" s="52"/>
      <c r="H739" s="52"/>
      <c r="I739" s="52"/>
      <c r="J739" s="51"/>
      <c r="K739" s="52"/>
      <c r="L739" s="52"/>
      <c r="M739" s="52"/>
      <c r="N739" s="50"/>
      <c r="O739" s="52"/>
      <c r="P739" s="54"/>
      <c r="Q739" s="54"/>
      <c r="R739" s="52"/>
      <c r="S739" s="52"/>
      <c r="T739" s="52"/>
      <c r="U739" s="52"/>
      <c r="V739" s="52"/>
    </row>
    <row r="740" spans="1:22" ht="13.2" x14ac:dyDescent="0.25">
      <c r="A740" s="52"/>
      <c r="B740" s="52"/>
      <c r="C740" s="52"/>
      <c r="D740" s="52"/>
      <c r="E740" s="52"/>
      <c r="F740" s="50"/>
      <c r="G740" s="52"/>
      <c r="H740" s="52"/>
      <c r="I740" s="52"/>
      <c r="J740" s="51"/>
      <c r="K740" s="52"/>
      <c r="L740" s="52"/>
      <c r="M740" s="52"/>
      <c r="N740" s="50"/>
      <c r="O740" s="52"/>
      <c r="P740" s="54"/>
      <c r="Q740" s="54"/>
      <c r="R740" s="52"/>
      <c r="S740" s="52"/>
      <c r="T740" s="52"/>
      <c r="U740" s="52"/>
      <c r="V740" s="52"/>
    </row>
    <row r="741" spans="1:22" ht="13.2" x14ac:dyDescent="0.25">
      <c r="A741" s="52"/>
      <c r="B741" s="52"/>
      <c r="C741" s="52"/>
      <c r="D741" s="52"/>
      <c r="E741" s="52"/>
      <c r="F741" s="50"/>
      <c r="G741" s="52"/>
      <c r="H741" s="52"/>
      <c r="I741" s="52"/>
      <c r="J741" s="51"/>
      <c r="K741" s="52"/>
      <c r="L741" s="52"/>
      <c r="M741" s="52"/>
      <c r="N741" s="50"/>
      <c r="O741" s="52"/>
      <c r="P741" s="54"/>
      <c r="Q741" s="54"/>
      <c r="R741" s="52"/>
      <c r="S741" s="52"/>
      <c r="T741" s="52"/>
      <c r="U741" s="52"/>
      <c r="V741" s="52"/>
    </row>
    <row r="742" spans="1:22" ht="13.2" x14ac:dyDescent="0.25">
      <c r="A742" s="52"/>
      <c r="B742" s="52"/>
      <c r="C742" s="52"/>
      <c r="D742" s="52"/>
      <c r="E742" s="52"/>
      <c r="F742" s="50"/>
      <c r="G742" s="52"/>
      <c r="H742" s="52"/>
      <c r="I742" s="52"/>
      <c r="J742" s="51"/>
      <c r="K742" s="52"/>
      <c r="L742" s="52"/>
      <c r="M742" s="52"/>
      <c r="N742" s="50"/>
      <c r="O742" s="52"/>
      <c r="P742" s="54"/>
      <c r="Q742" s="54"/>
      <c r="R742" s="52"/>
      <c r="S742" s="52"/>
      <c r="T742" s="52"/>
      <c r="U742" s="52"/>
      <c r="V742" s="52"/>
    </row>
    <row r="743" spans="1:22" ht="13.2" x14ac:dyDescent="0.25">
      <c r="A743" s="52"/>
      <c r="B743" s="52"/>
      <c r="C743" s="52"/>
      <c r="D743" s="52"/>
      <c r="E743" s="52"/>
      <c r="F743" s="50"/>
      <c r="G743" s="52"/>
      <c r="H743" s="52"/>
      <c r="I743" s="52"/>
      <c r="J743" s="51"/>
      <c r="K743" s="52"/>
      <c r="L743" s="52"/>
      <c r="M743" s="52"/>
      <c r="N743" s="50"/>
      <c r="O743" s="52"/>
      <c r="P743" s="54"/>
      <c r="Q743" s="54"/>
      <c r="R743" s="52"/>
      <c r="S743" s="52"/>
      <c r="T743" s="52"/>
      <c r="U743" s="52"/>
      <c r="V743" s="52"/>
    </row>
    <row r="744" spans="1:22" ht="13.2" x14ac:dyDescent="0.25">
      <c r="A744" s="52"/>
      <c r="B744" s="52"/>
      <c r="C744" s="52"/>
      <c r="D744" s="52"/>
      <c r="E744" s="52"/>
      <c r="F744" s="50"/>
      <c r="G744" s="52"/>
      <c r="H744" s="52"/>
      <c r="I744" s="52"/>
      <c r="J744" s="51"/>
      <c r="K744" s="52"/>
      <c r="L744" s="52"/>
      <c r="M744" s="52"/>
      <c r="N744" s="50"/>
      <c r="O744" s="52"/>
      <c r="P744" s="54"/>
      <c r="Q744" s="54"/>
      <c r="R744" s="52"/>
      <c r="S744" s="52"/>
      <c r="T744" s="52"/>
      <c r="U744" s="52"/>
      <c r="V744" s="52"/>
    </row>
    <row r="745" spans="1:22" ht="13.2" x14ac:dyDescent="0.25">
      <c r="A745" s="52"/>
      <c r="B745" s="52"/>
      <c r="C745" s="52"/>
      <c r="D745" s="52"/>
      <c r="E745" s="52"/>
      <c r="F745" s="50"/>
      <c r="G745" s="52"/>
      <c r="H745" s="52"/>
      <c r="I745" s="52"/>
      <c r="J745" s="51"/>
      <c r="K745" s="52"/>
      <c r="L745" s="52"/>
      <c r="M745" s="52"/>
      <c r="N745" s="50"/>
      <c r="O745" s="52"/>
      <c r="P745" s="54"/>
      <c r="Q745" s="54"/>
      <c r="R745" s="52"/>
      <c r="S745" s="52"/>
      <c r="T745" s="52"/>
      <c r="U745" s="52"/>
      <c r="V745" s="52"/>
    </row>
    <row r="746" spans="1:22" ht="13.2" x14ac:dyDescent="0.25">
      <c r="A746" s="52"/>
      <c r="B746" s="52"/>
      <c r="C746" s="52"/>
      <c r="D746" s="52"/>
      <c r="E746" s="52"/>
      <c r="F746" s="50"/>
      <c r="G746" s="52"/>
      <c r="H746" s="52"/>
      <c r="I746" s="52"/>
      <c r="J746" s="51"/>
      <c r="K746" s="52"/>
      <c r="L746" s="52"/>
      <c r="M746" s="52"/>
      <c r="N746" s="50"/>
      <c r="O746" s="52"/>
      <c r="P746" s="54"/>
      <c r="Q746" s="54"/>
      <c r="R746" s="52"/>
      <c r="S746" s="52"/>
      <c r="T746" s="52"/>
      <c r="U746" s="52"/>
      <c r="V746" s="52"/>
    </row>
    <row r="747" spans="1:22" ht="13.2" x14ac:dyDescent="0.25">
      <c r="A747" s="52"/>
      <c r="B747" s="52"/>
      <c r="C747" s="52"/>
      <c r="D747" s="52"/>
      <c r="E747" s="52"/>
      <c r="F747" s="50"/>
      <c r="G747" s="52"/>
      <c r="H747" s="52"/>
      <c r="I747" s="52"/>
      <c r="J747" s="51"/>
      <c r="K747" s="52"/>
      <c r="L747" s="52"/>
      <c r="M747" s="52"/>
      <c r="N747" s="50"/>
      <c r="O747" s="52"/>
      <c r="P747" s="54"/>
      <c r="Q747" s="54"/>
      <c r="R747" s="52"/>
      <c r="S747" s="52"/>
      <c r="T747" s="52"/>
      <c r="U747" s="52"/>
      <c r="V747" s="52"/>
    </row>
    <row r="748" spans="1:22" ht="13.2" x14ac:dyDescent="0.25">
      <c r="A748" s="52"/>
      <c r="B748" s="52"/>
      <c r="C748" s="52"/>
      <c r="D748" s="52"/>
      <c r="E748" s="52"/>
      <c r="F748" s="50"/>
      <c r="G748" s="52"/>
      <c r="H748" s="52"/>
      <c r="I748" s="52"/>
      <c r="J748" s="51"/>
      <c r="K748" s="52"/>
      <c r="L748" s="52"/>
      <c r="M748" s="52"/>
      <c r="N748" s="50"/>
      <c r="O748" s="52"/>
      <c r="P748" s="54"/>
      <c r="Q748" s="54"/>
      <c r="R748" s="52"/>
      <c r="S748" s="52"/>
      <c r="T748" s="52"/>
      <c r="U748" s="52"/>
      <c r="V748" s="52"/>
    </row>
    <row r="749" spans="1:22" ht="13.2" x14ac:dyDescent="0.25">
      <c r="A749" s="52"/>
      <c r="B749" s="52"/>
      <c r="C749" s="52"/>
      <c r="D749" s="52"/>
      <c r="E749" s="52"/>
      <c r="F749" s="50"/>
      <c r="G749" s="52"/>
      <c r="H749" s="52"/>
      <c r="I749" s="52"/>
      <c r="J749" s="51"/>
      <c r="K749" s="52"/>
      <c r="L749" s="52"/>
      <c r="M749" s="52"/>
      <c r="N749" s="50"/>
      <c r="O749" s="52"/>
      <c r="P749" s="54"/>
      <c r="Q749" s="54"/>
      <c r="R749" s="52"/>
      <c r="S749" s="52"/>
      <c r="T749" s="52"/>
      <c r="U749" s="52"/>
      <c r="V749" s="52"/>
    </row>
    <row r="750" spans="1:22" ht="13.2" x14ac:dyDescent="0.25">
      <c r="A750" s="52"/>
      <c r="B750" s="52"/>
      <c r="C750" s="52"/>
      <c r="D750" s="52"/>
      <c r="E750" s="52"/>
      <c r="F750" s="50"/>
      <c r="G750" s="52"/>
      <c r="H750" s="52"/>
      <c r="I750" s="52"/>
      <c r="J750" s="51"/>
      <c r="K750" s="52"/>
      <c r="L750" s="52"/>
      <c r="M750" s="52"/>
      <c r="N750" s="50"/>
      <c r="O750" s="52"/>
      <c r="P750" s="54"/>
      <c r="Q750" s="54"/>
      <c r="R750" s="52"/>
      <c r="S750" s="52"/>
      <c r="T750" s="52"/>
      <c r="U750" s="52"/>
      <c r="V750" s="52"/>
    </row>
    <row r="751" spans="1:22" ht="13.2" x14ac:dyDescent="0.25">
      <c r="A751" s="52"/>
      <c r="B751" s="52"/>
      <c r="C751" s="52"/>
      <c r="D751" s="52"/>
      <c r="E751" s="52"/>
      <c r="F751" s="50"/>
      <c r="G751" s="52"/>
      <c r="H751" s="52"/>
      <c r="I751" s="52"/>
      <c r="J751" s="51"/>
      <c r="K751" s="52"/>
      <c r="L751" s="52"/>
      <c r="M751" s="52"/>
      <c r="N751" s="50"/>
      <c r="O751" s="52"/>
      <c r="P751" s="54"/>
      <c r="Q751" s="54"/>
      <c r="R751" s="52"/>
      <c r="S751" s="52"/>
      <c r="T751" s="52"/>
      <c r="U751" s="52"/>
      <c r="V751" s="52"/>
    </row>
    <row r="752" spans="1:22" ht="13.2" x14ac:dyDescent="0.25">
      <c r="A752" s="52"/>
      <c r="B752" s="52"/>
      <c r="C752" s="52"/>
      <c r="D752" s="52"/>
      <c r="E752" s="52"/>
      <c r="F752" s="50"/>
      <c r="G752" s="52"/>
      <c r="H752" s="52"/>
      <c r="I752" s="52"/>
      <c r="J752" s="51"/>
      <c r="K752" s="52"/>
      <c r="L752" s="52"/>
      <c r="M752" s="52"/>
      <c r="N752" s="50"/>
      <c r="O752" s="52"/>
      <c r="P752" s="54"/>
      <c r="Q752" s="54"/>
      <c r="R752" s="52"/>
      <c r="S752" s="52"/>
      <c r="T752" s="52"/>
      <c r="U752" s="52"/>
      <c r="V752" s="52"/>
    </row>
    <row r="753" spans="1:22" ht="13.2" x14ac:dyDescent="0.25">
      <c r="A753" s="52"/>
      <c r="B753" s="52"/>
      <c r="C753" s="52"/>
      <c r="D753" s="52"/>
      <c r="E753" s="52"/>
      <c r="F753" s="50"/>
      <c r="G753" s="52"/>
      <c r="H753" s="52"/>
      <c r="I753" s="52"/>
      <c r="J753" s="51"/>
      <c r="K753" s="52"/>
      <c r="L753" s="52"/>
      <c r="M753" s="52"/>
      <c r="N753" s="50"/>
      <c r="O753" s="52"/>
      <c r="P753" s="54"/>
      <c r="Q753" s="54"/>
      <c r="R753" s="52"/>
      <c r="S753" s="52"/>
      <c r="T753" s="52"/>
      <c r="U753" s="52"/>
      <c r="V753" s="52"/>
    </row>
    <row r="754" spans="1:22" ht="13.2" x14ac:dyDescent="0.25">
      <c r="A754" s="52"/>
      <c r="B754" s="52"/>
      <c r="C754" s="52"/>
      <c r="D754" s="52"/>
      <c r="E754" s="52"/>
      <c r="F754" s="50"/>
      <c r="G754" s="52"/>
      <c r="H754" s="52"/>
      <c r="I754" s="52"/>
      <c r="J754" s="51"/>
      <c r="K754" s="52"/>
      <c r="L754" s="52"/>
      <c r="M754" s="52"/>
      <c r="N754" s="50"/>
      <c r="O754" s="52"/>
      <c r="P754" s="54"/>
      <c r="Q754" s="54"/>
      <c r="R754" s="52"/>
      <c r="S754" s="52"/>
      <c r="T754" s="52"/>
      <c r="U754" s="52"/>
      <c r="V754" s="52"/>
    </row>
    <row r="755" spans="1:22" ht="13.2" x14ac:dyDescent="0.25">
      <c r="A755" s="52"/>
      <c r="B755" s="52"/>
      <c r="C755" s="52"/>
      <c r="D755" s="52"/>
      <c r="E755" s="52"/>
      <c r="F755" s="50"/>
      <c r="G755" s="52"/>
      <c r="H755" s="52"/>
      <c r="I755" s="52"/>
      <c r="J755" s="51"/>
      <c r="K755" s="52"/>
      <c r="L755" s="52"/>
      <c r="M755" s="52"/>
      <c r="N755" s="50"/>
      <c r="O755" s="52"/>
      <c r="P755" s="54"/>
      <c r="Q755" s="54"/>
      <c r="R755" s="52"/>
      <c r="S755" s="52"/>
      <c r="T755" s="52"/>
      <c r="U755" s="52"/>
      <c r="V755" s="52"/>
    </row>
    <row r="756" spans="1:22" ht="13.2" x14ac:dyDescent="0.25">
      <c r="A756" s="52"/>
      <c r="B756" s="52"/>
      <c r="C756" s="52"/>
      <c r="D756" s="52"/>
      <c r="E756" s="52"/>
      <c r="F756" s="50"/>
      <c r="G756" s="52"/>
      <c r="H756" s="52"/>
      <c r="I756" s="52"/>
      <c r="J756" s="51"/>
      <c r="K756" s="52"/>
      <c r="L756" s="52"/>
      <c r="M756" s="52"/>
      <c r="N756" s="50"/>
      <c r="O756" s="52"/>
      <c r="P756" s="54"/>
      <c r="Q756" s="54"/>
      <c r="R756" s="52"/>
      <c r="S756" s="52"/>
      <c r="T756" s="52"/>
      <c r="U756" s="52"/>
      <c r="V756" s="52"/>
    </row>
    <row r="757" spans="1:22" ht="13.2" x14ac:dyDescent="0.25">
      <c r="A757" s="52"/>
      <c r="B757" s="52"/>
      <c r="C757" s="52"/>
      <c r="D757" s="52"/>
      <c r="E757" s="52"/>
      <c r="F757" s="50"/>
      <c r="G757" s="52"/>
      <c r="H757" s="52"/>
      <c r="I757" s="52"/>
      <c r="J757" s="51"/>
      <c r="K757" s="52"/>
      <c r="L757" s="52"/>
      <c r="M757" s="52"/>
      <c r="N757" s="50"/>
      <c r="O757" s="52"/>
      <c r="P757" s="54"/>
      <c r="Q757" s="54"/>
      <c r="R757" s="52"/>
      <c r="S757" s="52"/>
      <c r="T757" s="52"/>
      <c r="U757" s="52"/>
      <c r="V757" s="52"/>
    </row>
    <row r="758" spans="1:22" ht="13.2" x14ac:dyDescent="0.25">
      <c r="A758" s="52"/>
      <c r="B758" s="52"/>
      <c r="C758" s="52"/>
      <c r="D758" s="52"/>
      <c r="E758" s="52"/>
      <c r="F758" s="50"/>
      <c r="G758" s="52"/>
      <c r="H758" s="52"/>
      <c r="I758" s="52"/>
      <c r="J758" s="51"/>
      <c r="K758" s="52"/>
      <c r="L758" s="52"/>
      <c r="M758" s="52"/>
      <c r="N758" s="50"/>
      <c r="O758" s="52"/>
      <c r="P758" s="54"/>
      <c r="Q758" s="54"/>
      <c r="R758" s="52"/>
      <c r="S758" s="52"/>
      <c r="T758" s="52"/>
      <c r="U758" s="52"/>
      <c r="V758" s="52"/>
    </row>
    <row r="759" spans="1:22" ht="13.2" x14ac:dyDescent="0.25">
      <c r="A759" s="52"/>
      <c r="B759" s="52"/>
      <c r="C759" s="52"/>
      <c r="D759" s="52"/>
      <c r="E759" s="52"/>
      <c r="F759" s="50"/>
      <c r="G759" s="52"/>
      <c r="H759" s="52"/>
      <c r="I759" s="52"/>
      <c r="J759" s="51"/>
      <c r="K759" s="52"/>
      <c r="L759" s="52"/>
      <c r="M759" s="52"/>
      <c r="N759" s="50"/>
      <c r="O759" s="52"/>
      <c r="P759" s="54"/>
      <c r="Q759" s="54"/>
      <c r="R759" s="52"/>
      <c r="S759" s="52"/>
      <c r="T759" s="52"/>
      <c r="U759" s="52"/>
      <c r="V759" s="52"/>
    </row>
    <row r="760" spans="1:22" ht="13.2" x14ac:dyDescent="0.25">
      <c r="A760" s="52"/>
      <c r="B760" s="52"/>
      <c r="C760" s="52"/>
      <c r="D760" s="52"/>
      <c r="E760" s="52"/>
      <c r="F760" s="50"/>
      <c r="G760" s="52"/>
      <c r="H760" s="52"/>
      <c r="I760" s="52"/>
      <c r="J760" s="51"/>
      <c r="K760" s="52"/>
      <c r="L760" s="52"/>
      <c r="M760" s="52"/>
      <c r="N760" s="50"/>
      <c r="O760" s="52"/>
      <c r="P760" s="54"/>
      <c r="Q760" s="54"/>
      <c r="R760" s="52"/>
      <c r="S760" s="52"/>
      <c r="T760" s="52"/>
      <c r="U760" s="52"/>
      <c r="V760" s="52"/>
    </row>
    <row r="761" spans="1:22" ht="13.2" x14ac:dyDescent="0.25">
      <c r="A761" s="52"/>
      <c r="B761" s="52"/>
      <c r="C761" s="52"/>
      <c r="D761" s="52"/>
      <c r="E761" s="52"/>
      <c r="F761" s="50"/>
      <c r="G761" s="52"/>
      <c r="H761" s="52"/>
      <c r="I761" s="52"/>
      <c r="J761" s="51"/>
      <c r="K761" s="52"/>
      <c r="L761" s="52"/>
      <c r="M761" s="52"/>
      <c r="N761" s="50"/>
      <c r="O761" s="52"/>
      <c r="P761" s="54"/>
      <c r="Q761" s="54"/>
      <c r="R761" s="52"/>
      <c r="S761" s="52"/>
      <c r="T761" s="52"/>
      <c r="U761" s="52"/>
      <c r="V761" s="52"/>
    </row>
    <row r="762" spans="1:22" ht="13.2" x14ac:dyDescent="0.25">
      <c r="A762" s="52"/>
      <c r="B762" s="52"/>
      <c r="C762" s="52"/>
      <c r="D762" s="52"/>
      <c r="E762" s="52"/>
      <c r="F762" s="50"/>
      <c r="G762" s="52"/>
      <c r="H762" s="52"/>
      <c r="I762" s="52"/>
      <c r="J762" s="51"/>
      <c r="K762" s="52"/>
      <c r="L762" s="52"/>
      <c r="M762" s="52"/>
      <c r="N762" s="50"/>
      <c r="O762" s="52"/>
      <c r="P762" s="54"/>
      <c r="Q762" s="54"/>
      <c r="R762" s="52"/>
      <c r="S762" s="52"/>
      <c r="T762" s="52"/>
      <c r="U762" s="52"/>
      <c r="V762" s="52"/>
    </row>
    <row r="763" spans="1:22" ht="13.2" x14ac:dyDescent="0.25">
      <c r="A763" s="52"/>
      <c r="B763" s="52"/>
      <c r="C763" s="52"/>
      <c r="D763" s="52"/>
      <c r="E763" s="52"/>
      <c r="F763" s="50"/>
      <c r="G763" s="52"/>
      <c r="H763" s="52"/>
      <c r="I763" s="52"/>
      <c r="J763" s="51"/>
      <c r="K763" s="52"/>
      <c r="L763" s="52"/>
      <c r="M763" s="52"/>
      <c r="N763" s="50"/>
      <c r="O763" s="52"/>
      <c r="P763" s="54"/>
      <c r="Q763" s="54"/>
      <c r="R763" s="52"/>
      <c r="S763" s="52"/>
      <c r="T763" s="52"/>
      <c r="U763" s="52"/>
      <c r="V763" s="52"/>
    </row>
    <row r="764" spans="1:22" ht="13.2" x14ac:dyDescent="0.25">
      <c r="A764" s="52"/>
      <c r="B764" s="52"/>
      <c r="C764" s="52"/>
      <c r="D764" s="52"/>
      <c r="E764" s="52"/>
      <c r="F764" s="50"/>
      <c r="G764" s="52"/>
      <c r="H764" s="52"/>
      <c r="I764" s="52"/>
      <c r="J764" s="51"/>
      <c r="K764" s="52"/>
      <c r="L764" s="52"/>
      <c r="M764" s="52"/>
      <c r="N764" s="50"/>
      <c r="O764" s="52"/>
      <c r="P764" s="54"/>
      <c r="Q764" s="54"/>
      <c r="R764" s="52"/>
      <c r="S764" s="52"/>
      <c r="T764" s="52"/>
      <c r="U764" s="52"/>
      <c r="V764" s="52"/>
    </row>
    <row r="765" spans="1:22" ht="13.2" x14ac:dyDescent="0.25">
      <c r="A765" s="52"/>
      <c r="B765" s="52"/>
      <c r="C765" s="52"/>
      <c r="D765" s="52"/>
      <c r="E765" s="52"/>
      <c r="F765" s="50"/>
      <c r="G765" s="52"/>
      <c r="H765" s="52"/>
      <c r="I765" s="52"/>
      <c r="J765" s="51"/>
      <c r="K765" s="52"/>
      <c r="L765" s="52"/>
      <c r="M765" s="52"/>
      <c r="N765" s="50"/>
      <c r="O765" s="52"/>
      <c r="P765" s="54"/>
      <c r="Q765" s="54"/>
      <c r="R765" s="52"/>
      <c r="S765" s="52"/>
      <c r="T765" s="52"/>
      <c r="U765" s="52"/>
      <c r="V765" s="52"/>
    </row>
    <row r="766" spans="1:22" ht="13.2" x14ac:dyDescent="0.25">
      <c r="A766" s="52"/>
      <c r="B766" s="52"/>
      <c r="C766" s="52"/>
      <c r="D766" s="52"/>
      <c r="E766" s="52"/>
      <c r="F766" s="50"/>
      <c r="G766" s="52"/>
      <c r="H766" s="52"/>
      <c r="I766" s="52"/>
      <c r="J766" s="51"/>
      <c r="K766" s="52"/>
      <c r="L766" s="52"/>
      <c r="M766" s="52"/>
      <c r="N766" s="50"/>
      <c r="O766" s="52"/>
      <c r="P766" s="54"/>
      <c r="Q766" s="54"/>
      <c r="R766" s="52"/>
      <c r="S766" s="52"/>
      <c r="T766" s="52"/>
      <c r="U766" s="52"/>
      <c r="V766" s="52"/>
    </row>
    <row r="767" spans="1:22" ht="13.2" x14ac:dyDescent="0.25">
      <c r="A767" s="52"/>
      <c r="B767" s="52"/>
      <c r="C767" s="52"/>
      <c r="D767" s="52"/>
      <c r="E767" s="52"/>
      <c r="F767" s="50"/>
      <c r="G767" s="52"/>
      <c r="H767" s="52"/>
      <c r="I767" s="52"/>
      <c r="J767" s="51"/>
      <c r="K767" s="52"/>
      <c r="L767" s="52"/>
      <c r="M767" s="52"/>
      <c r="N767" s="50"/>
      <c r="O767" s="52"/>
      <c r="P767" s="54"/>
      <c r="Q767" s="54"/>
      <c r="R767" s="52"/>
      <c r="S767" s="52"/>
      <c r="T767" s="52"/>
      <c r="U767" s="52"/>
      <c r="V767" s="52"/>
    </row>
    <row r="768" spans="1:22" ht="13.2" x14ac:dyDescent="0.25">
      <c r="A768" s="52"/>
      <c r="B768" s="52"/>
      <c r="C768" s="52"/>
      <c r="D768" s="52"/>
      <c r="E768" s="52"/>
      <c r="F768" s="50"/>
      <c r="G768" s="52"/>
      <c r="H768" s="52"/>
      <c r="I768" s="52"/>
      <c r="J768" s="51"/>
      <c r="K768" s="52"/>
      <c r="L768" s="52"/>
      <c r="M768" s="52"/>
      <c r="N768" s="50"/>
      <c r="O768" s="52"/>
      <c r="P768" s="54"/>
      <c r="Q768" s="54"/>
      <c r="R768" s="52"/>
      <c r="S768" s="52"/>
      <c r="T768" s="52"/>
      <c r="U768" s="52"/>
      <c r="V768" s="52"/>
    </row>
    <row r="769" spans="1:22" ht="13.2" x14ac:dyDescent="0.25">
      <c r="A769" s="52"/>
      <c r="B769" s="52"/>
      <c r="C769" s="52"/>
      <c r="D769" s="52"/>
      <c r="E769" s="52"/>
      <c r="F769" s="50"/>
      <c r="G769" s="52"/>
      <c r="H769" s="52"/>
      <c r="I769" s="52"/>
      <c r="J769" s="51"/>
      <c r="K769" s="52"/>
      <c r="L769" s="52"/>
      <c r="M769" s="52"/>
      <c r="N769" s="50"/>
      <c r="O769" s="52"/>
      <c r="P769" s="54"/>
      <c r="Q769" s="54"/>
      <c r="R769" s="52"/>
      <c r="S769" s="52"/>
      <c r="T769" s="52"/>
      <c r="U769" s="52"/>
      <c r="V769" s="52"/>
    </row>
    <row r="770" spans="1:22" ht="13.2" x14ac:dyDescent="0.25">
      <c r="A770" s="52"/>
      <c r="B770" s="52"/>
      <c r="C770" s="52"/>
      <c r="D770" s="52"/>
      <c r="E770" s="52"/>
      <c r="F770" s="50"/>
      <c r="G770" s="52"/>
      <c r="H770" s="52"/>
      <c r="I770" s="52"/>
      <c r="J770" s="51"/>
      <c r="K770" s="52"/>
      <c r="L770" s="52"/>
      <c r="M770" s="52"/>
      <c r="N770" s="50"/>
      <c r="O770" s="52"/>
      <c r="P770" s="54"/>
      <c r="Q770" s="54"/>
      <c r="R770" s="52"/>
      <c r="S770" s="52"/>
      <c r="T770" s="52"/>
      <c r="U770" s="52"/>
      <c r="V770" s="52"/>
    </row>
    <row r="771" spans="1:22" ht="13.2" x14ac:dyDescent="0.25">
      <c r="A771" s="52"/>
      <c r="B771" s="52"/>
      <c r="C771" s="52"/>
      <c r="D771" s="52"/>
      <c r="E771" s="52"/>
      <c r="F771" s="50"/>
      <c r="G771" s="52"/>
      <c r="H771" s="52"/>
      <c r="I771" s="52"/>
      <c r="J771" s="51"/>
      <c r="K771" s="52"/>
      <c r="L771" s="52"/>
      <c r="M771" s="52"/>
      <c r="N771" s="50"/>
      <c r="O771" s="52"/>
      <c r="P771" s="54"/>
      <c r="Q771" s="54"/>
      <c r="R771" s="52"/>
      <c r="S771" s="52"/>
      <c r="T771" s="52"/>
      <c r="U771" s="52"/>
      <c r="V771" s="52"/>
    </row>
    <row r="772" spans="1:22" ht="13.2" x14ac:dyDescent="0.25">
      <c r="A772" s="52"/>
      <c r="B772" s="52"/>
      <c r="C772" s="52"/>
      <c r="D772" s="52"/>
      <c r="E772" s="52"/>
      <c r="F772" s="50"/>
      <c r="G772" s="52"/>
      <c r="H772" s="52"/>
      <c r="I772" s="52"/>
      <c r="J772" s="51"/>
      <c r="K772" s="52"/>
      <c r="L772" s="52"/>
      <c r="M772" s="52"/>
      <c r="N772" s="50"/>
      <c r="O772" s="52"/>
      <c r="P772" s="54"/>
      <c r="Q772" s="54"/>
      <c r="R772" s="52"/>
      <c r="S772" s="52"/>
      <c r="T772" s="52"/>
      <c r="U772" s="52"/>
      <c r="V772" s="52"/>
    </row>
    <row r="773" spans="1:22" ht="13.2" x14ac:dyDescent="0.25">
      <c r="A773" s="52"/>
      <c r="B773" s="52"/>
      <c r="C773" s="52"/>
      <c r="D773" s="52"/>
      <c r="E773" s="52"/>
      <c r="F773" s="50"/>
      <c r="G773" s="52"/>
      <c r="H773" s="52"/>
      <c r="I773" s="52"/>
      <c r="J773" s="51"/>
      <c r="K773" s="52"/>
      <c r="L773" s="52"/>
      <c r="M773" s="52"/>
      <c r="N773" s="50"/>
      <c r="O773" s="52"/>
      <c r="P773" s="54"/>
      <c r="Q773" s="54"/>
      <c r="R773" s="52"/>
      <c r="S773" s="52"/>
      <c r="T773" s="52"/>
      <c r="U773" s="52"/>
      <c r="V773" s="52"/>
    </row>
    <row r="774" spans="1:22" ht="13.2" x14ac:dyDescent="0.25">
      <c r="A774" s="52"/>
      <c r="B774" s="52"/>
      <c r="C774" s="52"/>
      <c r="D774" s="52"/>
      <c r="E774" s="52"/>
      <c r="F774" s="50"/>
      <c r="G774" s="52"/>
      <c r="H774" s="52"/>
      <c r="I774" s="52"/>
      <c r="J774" s="51"/>
      <c r="K774" s="52"/>
      <c r="L774" s="52"/>
      <c r="M774" s="52"/>
      <c r="N774" s="50"/>
      <c r="O774" s="52"/>
      <c r="P774" s="54"/>
      <c r="Q774" s="54"/>
      <c r="R774" s="52"/>
      <c r="S774" s="52"/>
      <c r="T774" s="52"/>
      <c r="U774" s="52"/>
      <c r="V774" s="52"/>
    </row>
    <row r="775" spans="1:22" ht="13.2" x14ac:dyDescent="0.25">
      <c r="A775" s="52"/>
      <c r="B775" s="52"/>
      <c r="C775" s="52"/>
      <c r="D775" s="52"/>
      <c r="E775" s="52"/>
      <c r="F775" s="50"/>
      <c r="G775" s="52"/>
      <c r="H775" s="52"/>
      <c r="I775" s="52"/>
      <c r="J775" s="51"/>
      <c r="K775" s="52"/>
      <c r="L775" s="52"/>
      <c r="M775" s="52"/>
      <c r="N775" s="50"/>
      <c r="O775" s="52"/>
      <c r="P775" s="54"/>
      <c r="Q775" s="54"/>
      <c r="R775" s="52"/>
      <c r="S775" s="52"/>
      <c r="T775" s="52"/>
      <c r="U775" s="52"/>
      <c r="V775" s="52"/>
    </row>
    <row r="776" spans="1:22" ht="13.2" x14ac:dyDescent="0.25">
      <c r="A776" s="52"/>
      <c r="B776" s="52"/>
      <c r="C776" s="52"/>
      <c r="D776" s="52"/>
      <c r="E776" s="52"/>
      <c r="F776" s="50"/>
      <c r="G776" s="52"/>
      <c r="H776" s="52"/>
      <c r="I776" s="52"/>
      <c r="J776" s="51"/>
      <c r="K776" s="52"/>
      <c r="L776" s="52"/>
      <c r="M776" s="52"/>
      <c r="N776" s="50"/>
      <c r="O776" s="52"/>
      <c r="P776" s="54"/>
      <c r="Q776" s="54"/>
      <c r="R776" s="52"/>
      <c r="S776" s="52"/>
      <c r="T776" s="52"/>
      <c r="U776" s="52"/>
      <c r="V776" s="52"/>
    </row>
    <row r="777" spans="1:22" ht="13.2" x14ac:dyDescent="0.25">
      <c r="A777" s="52"/>
      <c r="B777" s="52"/>
      <c r="C777" s="52"/>
      <c r="D777" s="52"/>
      <c r="E777" s="52"/>
      <c r="F777" s="50"/>
      <c r="G777" s="52"/>
      <c r="H777" s="52"/>
      <c r="I777" s="52"/>
      <c r="J777" s="51"/>
      <c r="K777" s="52"/>
      <c r="L777" s="52"/>
      <c r="M777" s="52"/>
      <c r="N777" s="50"/>
      <c r="O777" s="52"/>
      <c r="P777" s="54"/>
      <c r="Q777" s="54"/>
      <c r="R777" s="52"/>
      <c r="S777" s="52"/>
      <c r="T777" s="52"/>
      <c r="U777" s="52"/>
      <c r="V777" s="52"/>
    </row>
    <row r="778" spans="1:22" ht="13.2" x14ac:dyDescent="0.25">
      <c r="A778" s="52"/>
      <c r="B778" s="52"/>
      <c r="C778" s="52"/>
      <c r="D778" s="52"/>
      <c r="E778" s="52"/>
      <c r="F778" s="50"/>
      <c r="G778" s="52"/>
      <c r="H778" s="52"/>
      <c r="I778" s="52"/>
      <c r="J778" s="51"/>
      <c r="K778" s="52"/>
      <c r="L778" s="52"/>
      <c r="M778" s="52"/>
      <c r="N778" s="50"/>
      <c r="O778" s="52"/>
      <c r="P778" s="54"/>
      <c r="Q778" s="54"/>
      <c r="R778" s="52"/>
      <c r="S778" s="52"/>
      <c r="T778" s="52"/>
      <c r="U778" s="52"/>
      <c r="V778" s="52"/>
    </row>
    <row r="779" spans="1:22" ht="13.2" x14ac:dyDescent="0.25">
      <c r="A779" s="52"/>
      <c r="B779" s="52"/>
      <c r="C779" s="52"/>
      <c r="D779" s="52"/>
      <c r="E779" s="52"/>
      <c r="F779" s="50"/>
      <c r="G779" s="52"/>
      <c r="H779" s="52"/>
      <c r="I779" s="52"/>
      <c r="J779" s="51"/>
      <c r="K779" s="52"/>
      <c r="L779" s="52"/>
      <c r="M779" s="52"/>
      <c r="N779" s="50"/>
      <c r="O779" s="52"/>
      <c r="P779" s="54"/>
      <c r="Q779" s="54"/>
      <c r="R779" s="52"/>
      <c r="S779" s="52"/>
      <c r="T779" s="52"/>
      <c r="U779" s="52"/>
      <c r="V779" s="52"/>
    </row>
    <row r="780" spans="1:22" ht="13.2" x14ac:dyDescent="0.25">
      <c r="A780" s="52"/>
      <c r="B780" s="52"/>
      <c r="C780" s="52"/>
      <c r="D780" s="52"/>
      <c r="E780" s="52"/>
      <c r="F780" s="50"/>
      <c r="G780" s="52"/>
      <c r="H780" s="52"/>
      <c r="I780" s="52"/>
      <c r="J780" s="51"/>
      <c r="K780" s="52"/>
      <c r="L780" s="52"/>
      <c r="M780" s="52"/>
      <c r="N780" s="50"/>
      <c r="O780" s="52"/>
      <c r="P780" s="54"/>
      <c r="Q780" s="54"/>
      <c r="R780" s="52"/>
      <c r="S780" s="52"/>
      <c r="T780" s="52"/>
      <c r="U780" s="52"/>
      <c r="V780" s="52"/>
    </row>
    <row r="781" spans="1:22" ht="13.2" x14ac:dyDescent="0.25">
      <c r="A781" s="52"/>
      <c r="B781" s="52"/>
      <c r="C781" s="52"/>
      <c r="D781" s="52"/>
      <c r="E781" s="52"/>
      <c r="F781" s="50"/>
      <c r="G781" s="52"/>
      <c r="H781" s="52"/>
      <c r="I781" s="52"/>
      <c r="J781" s="51"/>
      <c r="K781" s="52"/>
      <c r="L781" s="52"/>
      <c r="M781" s="52"/>
      <c r="N781" s="50"/>
      <c r="O781" s="52"/>
      <c r="P781" s="54"/>
      <c r="Q781" s="54"/>
      <c r="R781" s="52"/>
      <c r="S781" s="52"/>
      <c r="T781" s="52"/>
      <c r="U781" s="52"/>
      <c r="V781" s="52"/>
    </row>
    <row r="782" spans="1:22" ht="13.2" x14ac:dyDescent="0.25">
      <c r="A782" s="52"/>
      <c r="B782" s="52"/>
      <c r="C782" s="52"/>
      <c r="D782" s="52"/>
      <c r="E782" s="52"/>
      <c r="F782" s="50"/>
      <c r="G782" s="52"/>
      <c r="H782" s="52"/>
      <c r="I782" s="52"/>
      <c r="J782" s="51"/>
      <c r="K782" s="52"/>
      <c r="L782" s="52"/>
      <c r="M782" s="52"/>
      <c r="N782" s="50"/>
      <c r="O782" s="52"/>
      <c r="P782" s="54"/>
      <c r="Q782" s="54"/>
      <c r="R782" s="52"/>
      <c r="S782" s="52"/>
      <c r="T782" s="52"/>
      <c r="U782" s="52"/>
      <c r="V782" s="52"/>
    </row>
    <row r="783" spans="1:22" ht="13.2" x14ac:dyDescent="0.25">
      <c r="A783" s="52"/>
      <c r="B783" s="52"/>
      <c r="C783" s="52"/>
      <c r="D783" s="52"/>
      <c r="E783" s="52"/>
      <c r="F783" s="50"/>
      <c r="G783" s="52"/>
      <c r="H783" s="52"/>
      <c r="I783" s="52"/>
      <c r="J783" s="51"/>
      <c r="K783" s="52"/>
      <c r="L783" s="52"/>
      <c r="M783" s="52"/>
      <c r="N783" s="50"/>
      <c r="O783" s="52"/>
      <c r="P783" s="54"/>
      <c r="Q783" s="54"/>
      <c r="R783" s="52"/>
      <c r="S783" s="52"/>
      <c r="T783" s="52"/>
      <c r="U783" s="52"/>
      <c r="V783" s="52"/>
    </row>
    <row r="784" spans="1:22" ht="13.2" x14ac:dyDescent="0.25">
      <c r="A784" s="52"/>
      <c r="B784" s="52"/>
      <c r="C784" s="52"/>
      <c r="D784" s="52"/>
      <c r="E784" s="52"/>
      <c r="F784" s="50"/>
      <c r="G784" s="52"/>
      <c r="H784" s="52"/>
      <c r="I784" s="52"/>
      <c r="J784" s="51"/>
      <c r="K784" s="52"/>
      <c r="L784" s="52"/>
      <c r="M784" s="52"/>
      <c r="N784" s="50"/>
      <c r="O784" s="52"/>
      <c r="P784" s="54"/>
      <c r="Q784" s="54"/>
      <c r="R784" s="52"/>
      <c r="S784" s="52"/>
      <c r="T784" s="52"/>
      <c r="U784" s="52"/>
      <c r="V784" s="52"/>
    </row>
    <row r="785" spans="1:22" ht="13.2" x14ac:dyDescent="0.25">
      <c r="A785" s="52"/>
      <c r="B785" s="52"/>
      <c r="C785" s="52"/>
      <c r="D785" s="52"/>
      <c r="E785" s="52"/>
      <c r="F785" s="50"/>
      <c r="G785" s="52"/>
      <c r="H785" s="52"/>
      <c r="I785" s="52"/>
      <c r="J785" s="51"/>
      <c r="K785" s="52"/>
      <c r="L785" s="52"/>
      <c r="M785" s="52"/>
      <c r="N785" s="50"/>
      <c r="O785" s="52"/>
      <c r="P785" s="54"/>
      <c r="Q785" s="54"/>
      <c r="R785" s="52"/>
      <c r="S785" s="52"/>
      <c r="T785" s="52"/>
      <c r="U785" s="52"/>
      <c r="V785" s="52"/>
    </row>
    <row r="786" spans="1:22" ht="13.2" x14ac:dyDescent="0.25">
      <c r="A786" s="52"/>
      <c r="B786" s="52"/>
      <c r="C786" s="52"/>
      <c r="D786" s="52"/>
      <c r="E786" s="52"/>
      <c r="F786" s="50"/>
      <c r="G786" s="52"/>
      <c r="H786" s="52"/>
      <c r="I786" s="52"/>
      <c r="J786" s="51"/>
      <c r="K786" s="52"/>
      <c r="L786" s="52"/>
      <c r="M786" s="52"/>
      <c r="N786" s="50"/>
      <c r="O786" s="52"/>
      <c r="P786" s="54"/>
      <c r="Q786" s="54"/>
      <c r="R786" s="52"/>
      <c r="S786" s="52"/>
      <c r="T786" s="52"/>
      <c r="U786" s="52"/>
      <c r="V786" s="52"/>
    </row>
    <row r="787" spans="1:22" ht="13.2" x14ac:dyDescent="0.25">
      <c r="A787" s="52"/>
      <c r="B787" s="52"/>
      <c r="C787" s="52"/>
      <c r="D787" s="52"/>
      <c r="E787" s="52"/>
      <c r="F787" s="50"/>
      <c r="G787" s="52"/>
      <c r="H787" s="52"/>
      <c r="I787" s="52"/>
      <c r="J787" s="51"/>
      <c r="K787" s="52"/>
      <c r="L787" s="52"/>
      <c r="M787" s="52"/>
      <c r="N787" s="50"/>
      <c r="O787" s="52"/>
      <c r="P787" s="54"/>
      <c r="Q787" s="54"/>
      <c r="R787" s="52"/>
      <c r="S787" s="52"/>
      <c r="T787" s="52"/>
      <c r="U787" s="52"/>
      <c r="V787" s="52"/>
    </row>
    <row r="788" spans="1:22" ht="13.2" x14ac:dyDescent="0.25">
      <c r="A788" s="52"/>
      <c r="B788" s="52"/>
      <c r="C788" s="52"/>
      <c r="D788" s="52"/>
      <c r="E788" s="52"/>
      <c r="F788" s="50"/>
      <c r="G788" s="52"/>
      <c r="H788" s="52"/>
      <c r="I788" s="52"/>
      <c r="J788" s="51"/>
      <c r="K788" s="52"/>
      <c r="L788" s="52"/>
      <c r="M788" s="52"/>
      <c r="N788" s="50"/>
      <c r="O788" s="52"/>
      <c r="P788" s="54"/>
      <c r="Q788" s="54"/>
      <c r="R788" s="52"/>
      <c r="S788" s="52"/>
      <c r="T788" s="52"/>
      <c r="U788" s="52"/>
      <c r="V788" s="52"/>
    </row>
    <row r="789" spans="1:22" ht="13.2" x14ac:dyDescent="0.25">
      <c r="A789" s="52"/>
      <c r="B789" s="52"/>
      <c r="C789" s="52"/>
      <c r="D789" s="52"/>
      <c r="E789" s="52"/>
      <c r="F789" s="50"/>
      <c r="G789" s="52"/>
      <c r="H789" s="52"/>
      <c r="I789" s="52"/>
      <c r="J789" s="51"/>
      <c r="K789" s="52"/>
      <c r="L789" s="52"/>
      <c r="M789" s="52"/>
      <c r="N789" s="50"/>
      <c r="O789" s="52"/>
      <c r="P789" s="54"/>
      <c r="Q789" s="54"/>
      <c r="R789" s="52"/>
      <c r="S789" s="52"/>
      <c r="T789" s="52"/>
      <c r="U789" s="52"/>
      <c r="V789" s="52"/>
    </row>
    <row r="790" spans="1:22" ht="13.2" x14ac:dyDescent="0.25">
      <c r="A790" s="52"/>
      <c r="B790" s="52"/>
      <c r="C790" s="52"/>
      <c r="D790" s="52"/>
      <c r="E790" s="52"/>
      <c r="F790" s="50"/>
      <c r="G790" s="52"/>
      <c r="H790" s="52"/>
      <c r="I790" s="52"/>
      <c r="J790" s="51"/>
      <c r="K790" s="52"/>
      <c r="L790" s="52"/>
      <c r="M790" s="52"/>
      <c r="N790" s="50"/>
      <c r="O790" s="52"/>
      <c r="P790" s="54"/>
      <c r="Q790" s="54"/>
      <c r="R790" s="52"/>
      <c r="S790" s="52"/>
      <c r="T790" s="52"/>
      <c r="U790" s="52"/>
      <c r="V790" s="52"/>
    </row>
    <row r="791" spans="1:22" ht="13.2" x14ac:dyDescent="0.25">
      <c r="A791" s="52"/>
      <c r="B791" s="52"/>
      <c r="C791" s="52"/>
      <c r="D791" s="52"/>
      <c r="E791" s="52"/>
      <c r="F791" s="50"/>
      <c r="G791" s="52"/>
      <c r="H791" s="52"/>
      <c r="I791" s="52"/>
      <c r="J791" s="51"/>
      <c r="K791" s="52"/>
      <c r="L791" s="52"/>
      <c r="M791" s="52"/>
      <c r="N791" s="50"/>
      <c r="O791" s="52"/>
      <c r="P791" s="54"/>
      <c r="Q791" s="54"/>
      <c r="R791" s="52"/>
      <c r="S791" s="52"/>
      <c r="T791" s="52"/>
      <c r="U791" s="52"/>
      <c r="V791" s="52"/>
    </row>
    <row r="792" spans="1:22" ht="13.2" x14ac:dyDescent="0.25">
      <c r="A792" s="52"/>
      <c r="B792" s="52"/>
      <c r="C792" s="52"/>
      <c r="D792" s="52"/>
      <c r="E792" s="52"/>
      <c r="F792" s="50"/>
      <c r="G792" s="52"/>
      <c r="H792" s="52"/>
      <c r="I792" s="52"/>
      <c r="J792" s="51"/>
      <c r="K792" s="52"/>
      <c r="L792" s="52"/>
      <c r="M792" s="52"/>
      <c r="N792" s="50"/>
      <c r="O792" s="52"/>
      <c r="P792" s="54"/>
      <c r="Q792" s="54"/>
      <c r="R792" s="52"/>
      <c r="S792" s="52"/>
      <c r="T792" s="52"/>
      <c r="U792" s="52"/>
      <c r="V792" s="52"/>
    </row>
    <row r="793" spans="1:22" ht="13.2" x14ac:dyDescent="0.25">
      <c r="A793" s="52"/>
      <c r="B793" s="52"/>
      <c r="C793" s="52"/>
      <c r="D793" s="52"/>
      <c r="E793" s="52"/>
      <c r="F793" s="50"/>
      <c r="G793" s="52"/>
      <c r="H793" s="52"/>
      <c r="I793" s="52"/>
      <c r="J793" s="51"/>
      <c r="K793" s="52"/>
      <c r="L793" s="52"/>
      <c r="M793" s="52"/>
      <c r="N793" s="50"/>
      <c r="O793" s="52"/>
      <c r="P793" s="54"/>
      <c r="Q793" s="54"/>
      <c r="R793" s="52"/>
      <c r="S793" s="52"/>
      <c r="T793" s="52"/>
      <c r="U793" s="52"/>
      <c r="V793" s="52"/>
    </row>
    <row r="794" spans="1:22" ht="13.2" x14ac:dyDescent="0.25">
      <c r="A794" s="52"/>
      <c r="B794" s="52"/>
      <c r="C794" s="52"/>
      <c r="D794" s="52"/>
      <c r="E794" s="52"/>
      <c r="F794" s="50"/>
      <c r="G794" s="52"/>
      <c r="H794" s="52"/>
      <c r="I794" s="52"/>
      <c r="J794" s="51"/>
      <c r="K794" s="52"/>
      <c r="L794" s="52"/>
      <c r="M794" s="52"/>
      <c r="N794" s="50"/>
      <c r="O794" s="52"/>
      <c r="P794" s="54"/>
      <c r="Q794" s="54"/>
      <c r="R794" s="52"/>
      <c r="S794" s="52"/>
      <c r="T794" s="52"/>
      <c r="U794" s="52"/>
      <c r="V794" s="52"/>
    </row>
    <row r="795" spans="1:22" ht="13.2" x14ac:dyDescent="0.25">
      <c r="A795" s="52"/>
      <c r="B795" s="52"/>
      <c r="C795" s="52"/>
      <c r="D795" s="52"/>
      <c r="E795" s="52"/>
      <c r="F795" s="50"/>
      <c r="G795" s="52"/>
      <c r="H795" s="52"/>
      <c r="I795" s="52"/>
      <c r="J795" s="51"/>
      <c r="K795" s="52"/>
      <c r="L795" s="52"/>
      <c r="M795" s="52"/>
      <c r="N795" s="50"/>
      <c r="O795" s="52"/>
      <c r="P795" s="54"/>
      <c r="Q795" s="54"/>
      <c r="R795" s="52"/>
      <c r="S795" s="52"/>
      <c r="T795" s="52"/>
      <c r="U795" s="52"/>
      <c r="V795" s="52"/>
    </row>
    <row r="796" spans="1:22" ht="13.2" x14ac:dyDescent="0.25">
      <c r="A796" s="52"/>
      <c r="B796" s="52"/>
      <c r="C796" s="52"/>
      <c r="D796" s="52"/>
      <c r="E796" s="52"/>
      <c r="F796" s="50"/>
      <c r="G796" s="52"/>
      <c r="H796" s="52"/>
      <c r="I796" s="52"/>
      <c r="J796" s="51"/>
      <c r="K796" s="52"/>
      <c r="L796" s="52"/>
      <c r="M796" s="52"/>
      <c r="N796" s="50"/>
      <c r="O796" s="52"/>
      <c r="P796" s="54"/>
      <c r="Q796" s="54"/>
      <c r="R796" s="52"/>
      <c r="S796" s="52"/>
      <c r="T796" s="52"/>
      <c r="U796" s="52"/>
      <c r="V796" s="52"/>
    </row>
    <row r="797" spans="1:22" ht="13.2" x14ac:dyDescent="0.25">
      <c r="A797" s="52"/>
      <c r="B797" s="52"/>
      <c r="C797" s="52"/>
      <c r="D797" s="52"/>
      <c r="E797" s="52"/>
      <c r="F797" s="50"/>
      <c r="G797" s="52"/>
      <c r="H797" s="52"/>
      <c r="I797" s="52"/>
      <c r="J797" s="51"/>
      <c r="K797" s="52"/>
      <c r="L797" s="52"/>
      <c r="M797" s="52"/>
      <c r="N797" s="50"/>
      <c r="O797" s="52"/>
      <c r="P797" s="54"/>
      <c r="Q797" s="54"/>
      <c r="R797" s="52"/>
      <c r="S797" s="52"/>
      <c r="T797" s="52"/>
      <c r="U797" s="52"/>
      <c r="V797" s="52"/>
    </row>
    <row r="798" spans="1:22" ht="13.2" x14ac:dyDescent="0.25">
      <c r="A798" s="52"/>
      <c r="B798" s="52"/>
      <c r="C798" s="52"/>
      <c r="D798" s="52"/>
      <c r="E798" s="52"/>
      <c r="F798" s="50"/>
      <c r="G798" s="52"/>
      <c r="H798" s="52"/>
      <c r="I798" s="52"/>
      <c r="J798" s="51"/>
      <c r="K798" s="52"/>
      <c r="L798" s="52"/>
      <c r="M798" s="52"/>
      <c r="N798" s="50"/>
      <c r="O798" s="52"/>
      <c r="P798" s="54"/>
      <c r="Q798" s="54"/>
      <c r="R798" s="52"/>
      <c r="S798" s="52"/>
      <c r="T798" s="52"/>
      <c r="U798" s="52"/>
      <c r="V798" s="52"/>
    </row>
    <row r="799" spans="1:22" ht="13.2" x14ac:dyDescent="0.25">
      <c r="A799" s="52"/>
      <c r="B799" s="52"/>
      <c r="C799" s="52"/>
      <c r="D799" s="52"/>
      <c r="E799" s="52"/>
      <c r="F799" s="50"/>
      <c r="G799" s="52"/>
      <c r="H799" s="52"/>
      <c r="I799" s="52"/>
      <c r="J799" s="51"/>
      <c r="K799" s="52"/>
      <c r="L799" s="52"/>
      <c r="M799" s="52"/>
      <c r="N799" s="50"/>
      <c r="O799" s="52"/>
      <c r="P799" s="54"/>
      <c r="Q799" s="54"/>
      <c r="R799" s="52"/>
      <c r="S799" s="52"/>
      <c r="T799" s="52"/>
      <c r="U799" s="52"/>
      <c r="V799" s="52"/>
    </row>
    <row r="800" spans="1:22" ht="13.2" x14ac:dyDescent="0.25">
      <c r="A800" s="52"/>
      <c r="B800" s="52"/>
      <c r="C800" s="52"/>
      <c r="D800" s="52"/>
      <c r="E800" s="52"/>
      <c r="F800" s="50"/>
      <c r="G800" s="52"/>
      <c r="H800" s="52"/>
      <c r="I800" s="52"/>
      <c r="J800" s="51"/>
      <c r="K800" s="52"/>
      <c r="L800" s="52"/>
      <c r="M800" s="52"/>
      <c r="N800" s="50"/>
      <c r="O800" s="52"/>
      <c r="P800" s="54"/>
      <c r="Q800" s="54"/>
      <c r="R800" s="52"/>
      <c r="S800" s="52"/>
      <c r="T800" s="52"/>
      <c r="U800" s="52"/>
      <c r="V800" s="52"/>
    </row>
    <row r="801" spans="1:22" ht="13.2" x14ac:dyDescent="0.25">
      <c r="A801" s="52"/>
      <c r="B801" s="52"/>
      <c r="C801" s="52"/>
      <c r="D801" s="52"/>
      <c r="E801" s="52"/>
      <c r="F801" s="50"/>
      <c r="G801" s="52"/>
      <c r="H801" s="52"/>
      <c r="I801" s="52"/>
      <c r="J801" s="51"/>
      <c r="K801" s="52"/>
      <c r="L801" s="52"/>
      <c r="M801" s="52"/>
      <c r="N801" s="50"/>
      <c r="O801" s="52"/>
      <c r="P801" s="54"/>
      <c r="Q801" s="54"/>
      <c r="R801" s="52"/>
      <c r="S801" s="52"/>
      <c r="T801" s="52"/>
      <c r="U801" s="52"/>
      <c r="V801" s="52"/>
    </row>
    <row r="802" spans="1:22" ht="13.2" x14ac:dyDescent="0.25">
      <c r="A802" s="52"/>
      <c r="B802" s="52"/>
      <c r="C802" s="52"/>
      <c r="D802" s="52"/>
      <c r="E802" s="52"/>
      <c r="F802" s="50"/>
      <c r="G802" s="52"/>
      <c r="H802" s="52"/>
      <c r="I802" s="52"/>
      <c r="J802" s="51"/>
      <c r="K802" s="52"/>
      <c r="L802" s="52"/>
      <c r="M802" s="52"/>
      <c r="N802" s="50"/>
      <c r="O802" s="52"/>
      <c r="P802" s="54"/>
      <c r="Q802" s="54"/>
      <c r="R802" s="52"/>
      <c r="S802" s="52"/>
      <c r="T802" s="52"/>
      <c r="U802" s="52"/>
      <c r="V802" s="52"/>
    </row>
    <row r="803" spans="1:22" ht="13.2" x14ac:dyDescent="0.25">
      <c r="A803" s="52"/>
      <c r="B803" s="52"/>
      <c r="C803" s="52"/>
      <c r="D803" s="52"/>
      <c r="E803" s="52"/>
      <c r="F803" s="50"/>
      <c r="G803" s="52"/>
      <c r="H803" s="52"/>
      <c r="I803" s="52"/>
      <c r="J803" s="51"/>
      <c r="K803" s="52"/>
      <c r="L803" s="52"/>
      <c r="M803" s="52"/>
      <c r="N803" s="50"/>
      <c r="O803" s="52"/>
      <c r="P803" s="54"/>
      <c r="Q803" s="54"/>
      <c r="R803" s="52"/>
      <c r="S803" s="52"/>
      <c r="T803" s="52"/>
      <c r="U803" s="52"/>
      <c r="V803" s="52"/>
    </row>
    <row r="804" spans="1:22" ht="13.2" x14ac:dyDescent="0.25">
      <c r="A804" s="52"/>
      <c r="B804" s="52"/>
      <c r="C804" s="52"/>
      <c r="D804" s="52"/>
      <c r="E804" s="52"/>
      <c r="F804" s="50"/>
      <c r="G804" s="52"/>
      <c r="H804" s="52"/>
      <c r="I804" s="52"/>
      <c r="J804" s="51"/>
      <c r="K804" s="52"/>
      <c r="L804" s="52"/>
      <c r="M804" s="52"/>
      <c r="N804" s="50"/>
      <c r="O804" s="52"/>
      <c r="P804" s="54"/>
      <c r="Q804" s="54"/>
      <c r="R804" s="52"/>
      <c r="S804" s="52"/>
      <c r="T804" s="52"/>
      <c r="U804" s="52"/>
      <c r="V804" s="52"/>
    </row>
    <row r="805" spans="1:22" ht="13.2" x14ac:dyDescent="0.25">
      <c r="A805" s="52"/>
      <c r="B805" s="52"/>
      <c r="C805" s="52"/>
      <c r="D805" s="52"/>
      <c r="E805" s="52"/>
      <c r="F805" s="50"/>
      <c r="G805" s="52"/>
      <c r="H805" s="52"/>
      <c r="I805" s="52"/>
      <c r="J805" s="51"/>
      <c r="K805" s="52"/>
      <c r="L805" s="52"/>
      <c r="M805" s="52"/>
      <c r="N805" s="50"/>
      <c r="O805" s="52"/>
      <c r="P805" s="54"/>
      <c r="Q805" s="54"/>
      <c r="R805" s="52"/>
      <c r="S805" s="52"/>
      <c r="T805" s="52"/>
      <c r="U805" s="52"/>
      <c r="V805" s="52"/>
    </row>
    <row r="806" spans="1:22" ht="13.2" x14ac:dyDescent="0.25">
      <c r="A806" s="52"/>
      <c r="B806" s="52"/>
      <c r="C806" s="52"/>
      <c r="D806" s="52"/>
      <c r="E806" s="52"/>
      <c r="F806" s="50"/>
      <c r="G806" s="52"/>
      <c r="H806" s="52"/>
      <c r="I806" s="52"/>
      <c r="J806" s="51"/>
      <c r="K806" s="52"/>
      <c r="L806" s="52"/>
      <c r="M806" s="52"/>
      <c r="N806" s="50"/>
      <c r="O806" s="52"/>
      <c r="P806" s="54"/>
      <c r="Q806" s="54"/>
      <c r="R806" s="52"/>
      <c r="S806" s="52"/>
      <c r="T806" s="52"/>
      <c r="U806" s="52"/>
      <c r="V806" s="52"/>
    </row>
    <row r="807" spans="1:22" ht="13.2" x14ac:dyDescent="0.25">
      <c r="A807" s="52"/>
      <c r="B807" s="52"/>
      <c r="C807" s="52"/>
      <c r="D807" s="52"/>
      <c r="E807" s="52"/>
      <c r="F807" s="50"/>
      <c r="G807" s="52"/>
      <c r="H807" s="52"/>
      <c r="I807" s="52"/>
      <c r="J807" s="51"/>
      <c r="K807" s="52"/>
      <c r="L807" s="52"/>
      <c r="M807" s="52"/>
      <c r="N807" s="50"/>
      <c r="O807" s="52"/>
      <c r="P807" s="54"/>
      <c r="Q807" s="54"/>
      <c r="R807" s="52"/>
      <c r="S807" s="52"/>
      <c r="T807" s="52"/>
      <c r="U807" s="52"/>
      <c r="V807" s="52"/>
    </row>
    <row r="808" spans="1:22" ht="13.2" x14ac:dyDescent="0.25">
      <c r="A808" s="52"/>
      <c r="B808" s="52"/>
      <c r="C808" s="52"/>
      <c r="D808" s="52"/>
      <c r="E808" s="52"/>
      <c r="F808" s="50"/>
      <c r="G808" s="52"/>
      <c r="H808" s="52"/>
      <c r="I808" s="52"/>
      <c r="J808" s="51"/>
      <c r="K808" s="52"/>
      <c r="L808" s="52"/>
      <c r="M808" s="52"/>
      <c r="N808" s="50"/>
      <c r="O808" s="52"/>
      <c r="P808" s="54"/>
      <c r="Q808" s="54"/>
      <c r="R808" s="52"/>
      <c r="S808" s="52"/>
      <c r="T808" s="52"/>
      <c r="U808" s="52"/>
      <c r="V808" s="52"/>
    </row>
    <row r="809" spans="1:22" ht="13.2" x14ac:dyDescent="0.25">
      <c r="A809" s="52"/>
      <c r="B809" s="52"/>
      <c r="C809" s="52"/>
      <c r="D809" s="52"/>
      <c r="E809" s="52"/>
      <c r="F809" s="50"/>
      <c r="G809" s="52"/>
      <c r="H809" s="52"/>
      <c r="I809" s="52"/>
      <c r="J809" s="51"/>
      <c r="K809" s="52"/>
      <c r="L809" s="52"/>
      <c r="M809" s="52"/>
      <c r="N809" s="50"/>
      <c r="O809" s="52"/>
      <c r="P809" s="54"/>
      <c r="Q809" s="54"/>
      <c r="R809" s="52"/>
      <c r="S809" s="52"/>
      <c r="T809" s="52"/>
      <c r="U809" s="52"/>
      <c r="V809" s="52"/>
    </row>
    <row r="810" spans="1:22" ht="13.2" x14ac:dyDescent="0.25">
      <c r="A810" s="52"/>
      <c r="B810" s="52"/>
      <c r="C810" s="52"/>
      <c r="D810" s="52"/>
      <c r="E810" s="52"/>
      <c r="F810" s="50"/>
      <c r="G810" s="52"/>
      <c r="H810" s="52"/>
      <c r="I810" s="52"/>
      <c r="J810" s="51"/>
      <c r="K810" s="52"/>
      <c r="L810" s="52"/>
      <c r="M810" s="52"/>
      <c r="N810" s="50"/>
      <c r="O810" s="52"/>
      <c r="P810" s="54"/>
      <c r="Q810" s="54"/>
      <c r="R810" s="52"/>
      <c r="S810" s="52"/>
      <c r="T810" s="52"/>
      <c r="U810" s="52"/>
      <c r="V810" s="52"/>
    </row>
    <row r="811" spans="1:22" ht="13.2" x14ac:dyDescent="0.25">
      <c r="A811" s="52"/>
      <c r="B811" s="52"/>
      <c r="C811" s="52"/>
      <c r="D811" s="52"/>
      <c r="E811" s="52"/>
      <c r="F811" s="50"/>
      <c r="G811" s="52"/>
      <c r="H811" s="52"/>
      <c r="I811" s="52"/>
      <c r="J811" s="51"/>
      <c r="K811" s="52"/>
      <c r="L811" s="52"/>
      <c r="M811" s="52"/>
      <c r="N811" s="50"/>
      <c r="O811" s="52"/>
      <c r="P811" s="54"/>
      <c r="Q811" s="54"/>
      <c r="R811" s="52"/>
      <c r="S811" s="52"/>
      <c r="T811" s="52"/>
      <c r="U811" s="52"/>
      <c r="V811" s="52"/>
    </row>
    <row r="812" spans="1:22" ht="13.2" x14ac:dyDescent="0.25">
      <c r="A812" s="52"/>
      <c r="B812" s="52"/>
      <c r="C812" s="52"/>
      <c r="D812" s="52"/>
      <c r="E812" s="52"/>
      <c r="F812" s="50"/>
      <c r="G812" s="52"/>
      <c r="H812" s="52"/>
      <c r="I812" s="52"/>
      <c r="J812" s="51"/>
      <c r="K812" s="52"/>
      <c r="L812" s="52"/>
      <c r="M812" s="52"/>
      <c r="N812" s="50"/>
      <c r="O812" s="52"/>
      <c r="P812" s="54"/>
      <c r="Q812" s="54"/>
      <c r="R812" s="52"/>
      <c r="S812" s="52"/>
      <c r="T812" s="52"/>
      <c r="U812" s="52"/>
      <c r="V812" s="52"/>
    </row>
    <row r="813" spans="1:22" ht="13.2" x14ac:dyDescent="0.25">
      <c r="A813" s="52"/>
      <c r="B813" s="52"/>
      <c r="C813" s="52"/>
      <c r="D813" s="52"/>
      <c r="E813" s="52"/>
      <c r="F813" s="50"/>
      <c r="G813" s="52"/>
      <c r="H813" s="52"/>
      <c r="I813" s="52"/>
      <c r="J813" s="51"/>
      <c r="K813" s="52"/>
      <c r="L813" s="52"/>
      <c r="M813" s="52"/>
      <c r="N813" s="50"/>
      <c r="O813" s="52"/>
      <c r="P813" s="54"/>
      <c r="Q813" s="54"/>
      <c r="R813" s="52"/>
      <c r="S813" s="52"/>
      <c r="T813" s="52"/>
      <c r="U813" s="52"/>
      <c r="V813" s="52"/>
    </row>
    <row r="814" spans="1:22" ht="13.2" x14ac:dyDescent="0.25">
      <c r="A814" s="52"/>
      <c r="B814" s="52"/>
      <c r="C814" s="52"/>
      <c r="D814" s="52"/>
      <c r="E814" s="52"/>
      <c r="F814" s="50"/>
      <c r="G814" s="52"/>
      <c r="H814" s="52"/>
      <c r="I814" s="52"/>
      <c r="J814" s="51"/>
      <c r="K814" s="52"/>
      <c r="L814" s="52"/>
      <c r="M814" s="52"/>
      <c r="N814" s="50"/>
      <c r="O814" s="52"/>
      <c r="P814" s="54"/>
      <c r="Q814" s="54"/>
      <c r="R814" s="52"/>
      <c r="S814" s="52"/>
      <c r="T814" s="52"/>
      <c r="U814" s="52"/>
      <c r="V814" s="52"/>
    </row>
    <row r="815" spans="1:22" ht="13.2" x14ac:dyDescent="0.25">
      <c r="A815" s="52"/>
      <c r="B815" s="52"/>
      <c r="C815" s="52"/>
      <c r="D815" s="52"/>
      <c r="E815" s="52"/>
      <c r="F815" s="50"/>
      <c r="G815" s="52"/>
      <c r="H815" s="52"/>
      <c r="I815" s="52"/>
      <c r="J815" s="51"/>
      <c r="K815" s="52"/>
      <c r="L815" s="52"/>
      <c r="M815" s="52"/>
      <c r="N815" s="50"/>
      <c r="O815" s="52"/>
      <c r="P815" s="54"/>
      <c r="Q815" s="54"/>
      <c r="R815" s="52"/>
      <c r="S815" s="52"/>
      <c r="T815" s="52"/>
      <c r="U815" s="52"/>
      <c r="V815" s="52"/>
    </row>
    <row r="816" spans="1:22" ht="13.2" x14ac:dyDescent="0.25">
      <c r="A816" s="52"/>
      <c r="B816" s="52"/>
      <c r="C816" s="52"/>
      <c r="D816" s="52"/>
      <c r="E816" s="52"/>
      <c r="F816" s="50"/>
      <c r="G816" s="52"/>
      <c r="H816" s="52"/>
      <c r="I816" s="52"/>
      <c r="J816" s="51"/>
      <c r="K816" s="52"/>
      <c r="L816" s="52"/>
      <c r="M816" s="52"/>
      <c r="N816" s="50"/>
      <c r="O816" s="52"/>
      <c r="P816" s="54"/>
      <c r="Q816" s="54"/>
      <c r="R816" s="52"/>
      <c r="S816" s="52"/>
      <c r="T816" s="52"/>
      <c r="U816" s="52"/>
      <c r="V816" s="52"/>
    </row>
    <row r="817" spans="1:22" ht="13.2" x14ac:dyDescent="0.25">
      <c r="A817" s="52"/>
      <c r="B817" s="52"/>
      <c r="C817" s="52"/>
      <c r="D817" s="52"/>
      <c r="E817" s="52"/>
      <c r="F817" s="50"/>
      <c r="G817" s="52"/>
      <c r="H817" s="52"/>
      <c r="I817" s="52"/>
      <c r="J817" s="51"/>
      <c r="K817" s="52"/>
      <c r="L817" s="52"/>
      <c r="M817" s="52"/>
      <c r="N817" s="50"/>
      <c r="O817" s="52"/>
      <c r="P817" s="54"/>
      <c r="Q817" s="54"/>
      <c r="R817" s="52"/>
      <c r="S817" s="52"/>
      <c r="T817" s="52"/>
      <c r="U817" s="52"/>
      <c r="V817" s="52"/>
    </row>
    <row r="818" spans="1:22" ht="13.2" x14ac:dyDescent="0.25">
      <c r="A818" s="52"/>
      <c r="B818" s="52"/>
      <c r="C818" s="52"/>
      <c r="D818" s="52"/>
      <c r="E818" s="52"/>
      <c r="F818" s="50"/>
      <c r="G818" s="52"/>
      <c r="H818" s="52"/>
      <c r="I818" s="52"/>
      <c r="J818" s="51"/>
      <c r="K818" s="52"/>
      <c r="L818" s="52"/>
      <c r="M818" s="52"/>
      <c r="N818" s="50"/>
      <c r="O818" s="52"/>
      <c r="P818" s="54"/>
      <c r="Q818" s="54"/>
      <c r="R818" s="52"/>
      <c r="S818" s="52"/>
      <c r="T818" s="52"/>
      <c r="U818" s="52"/>
      <c r="V818" s="52"/>
    </row>
    <row r="819" spans="1:22" ht="13.2" x14ac:dyDescent="0.25">
      <c r="A819" s="52"/>
      <c r="B819" s="52"/>
      <c r="C819" s="52"/>
      <c r="D819" s="52"/>
      <c r="E819" s="52"/>
      <c r="F819" s="50"/>
      <c r="G819" s="52"/>
      <c r="H819" s="52"/>
      <c r="I819" s="52"/>
      <c r="J819" s="51"/>
      <c r="K819" s="52"/>
      <c r="L819" s="52"/>
      <c r="M819" s="52"/>
      <c r="N819" s="50"/>
      <c r="O819" s="52"/>
      <c r="P819" s="54"/>
      <c r="Q819" s="54"/>
      <c r="R819" s="52"/>
      <c r="S819" s="52"/>
      <c r="T819" s="52"/>
      <c r="U819" s="52"/>
      <c r="V819" s="52"/>
    </row>
    <row r="820" spans="1:22" ht="13.2" x14ac:dyDescent="0.25">
      <c r="A820" s="52"/>
      <c r="B820" s="52"/>
      <c r="C820" s="52"/>
      <c r="D820" s="52"/>
      <c r="E820" s="52"/>
      <c r="F820" s="50"/>
      <c r="G820" s="52"/>
      <c r="H820" s="52"/>
      <c r="I820" s="52"/>
      <c r="J820" s="51"/>
      <c r="K820" s="52"/>
      <c r="L820" s="52"/>
      <c r="M820" s="52"/>
      <c r="N820" s="50"/>
      <c r="O820" s="52"/>
      <c r="P820" s="54"/>
      <c r="Q820" s="54"/>
      <c r="R820" s="52"/>
      <c r="S820" s="52"/>
      <c r="T820" s="52"/>
      <c r="U820" s="52"/>
      <c r="V820" s="52"/>
    </row>
    <row r="821" spans="1:22" ht="13.2" x14ac:dyDescent="0.25">
      <c r="A821" s="52"/>
      <c r="B821" s="52"/>
      <c r="C821" s="52"/>
      <c r="D821" s="52"/>
      <c r="E821" s="52"/>
      <c r="F821" s="50"/>
      <c r="G821" s="52"/>
      <c r="H821" s="52"/>
      <c r="I821" s="52"/>
      <c r="J821" s="51"/>
      <c r="K821" s="52"/>
      <c r="L821" s="52"/>
      <c r="M821" s="52"/>
      <c r="N821" s="50"/>
      <c r="O821" s="52"/>
      <c r="P821" s="54"/>
      <c r="Q821" s="54"/>
      <c r="R821" s="52"/>
      <c r="S821" s="52"/>
      <c r="T821" s="52"/>
      <c r="U821" s="52"/>
      <c r="V821" s="52"/>
    </row>
    <row r="822" spans="1:22" ht="13.2" x14ac:dyDescent="0.25">
      <c r="A822" s="52"/>
      <c r="B822" s="52"/>
      <c r="C822" s="52"/>
      <c r="D822" s="52"/>
      <c r="E822" s="52"/>
      <c r="F822" s="50"/>
      <c r="G822" s="52"/>
      <c r="H822" s="52"/>
      <c r="I822" s="52"/>
      <c r="J822" s="51"/>
      <c r="K822" s="52"/>
      <c r="L822" s="52"/>
      <c r="M822" s="52"/>
      <c r="N822" s="50"/>
      <c r="O822" s="52"/>
      <c r="P822" s="54"/>
      <c r="Q822" s="54"/>
      <c r="R822" s="52"/>
      <c r="S822" s="52"/>
      <c r="T822" s="52"/>
      <c r="U822" s="52"/>
      <c r="V822" s="52"/>
    </row>
    <row r="823" spans="1:22" ht="13.2" x14ac:dyDescent="0.25">
      <c r="A823" s="52"/>
      <c r="B823" s="52"/>
      <c r="C823" s="52"/>
      <c r="D823" s="52"/>
      <c r="E823" s="52"/>
      <c r="F823" s="50"/>
      <c r="G823" s="52"/>
      <c r="H823" s="52"/>
      <c r="I823" s="52"/>
      <c r="J823" s="51"/>
      <c r="K823" s="52"/>
      <c r="L823" s="52"/>
      <c r="M823" s="52"/>
      <c r="N823" s="50"/>
      <c r="O823" s="52"/>
      <c r="P823" s="54"/>
      <c r="Q823" s="54"/>
      <c r="R823" s="52"/>
      <c r="S823" s="52"/>
      <c r="T823" s="52"/>
      <c r="U823" s="52"/>
      <c r="V823" s="52"/>
    </row>
    <row r="824" spans="1:22" ht="13.2" x14ac:dyDescent="0.25">
      <c r="A824" s="52"/>
      <c r="B824" s="52"/>
      <c r="C824" s="52"/>
      <c r="D824" s="52"/>
      <c r="E824" s="52"/>
      <c r="F824" s="50"/>
      <c r="G824" s="52"/>
      <c r="H824" s="52"/>
      <c r="I824" s="52"/>
      <c r="J824" s="51"/>
      <c r="K824" s="52"/>
      <c r="L824" s="52"/>
      <c r="M824" s="52"/>
      <c r="N824" s="50"/>
      <c r="O824" s="52"/>
      <c r="P824" s="54"/>
      <c r="Q824" s="54"/>
      <c r="R824" s="52"/>
      <c r="S824" s="52"/>
      <c r="T824" s="52"/>
      <c r="U824" s="52"/>
      <c r="V824" s="52"/>
    </row>
    <row r="825" spans="1:22" ht="13.2" x14ac:dyDescent="0.25">
      <c r="A825" s="52"/>
      <c r="B825" s="52"/>
      <c r="C825" s="52"/>
      <c r="D825" s="52"/>
      <c r="E825" s="52"/>
      <c r="F825" s="50"/>
      <c r="G825" s="52"/>
      <c r="H825" s="52"/>
      <c r="I825" s="52"/>
      <c r="J825" s="51"/>
      <c r="K825" s="52"/>
      <c r="L825" s="52"/>
      <c r="M825" s="52"/>
      <c r="N825" s="50"/>
      <c r="O825" s="52"/>
      <c r="P825" s="54"/>
      <c r="Q825" s="54"/>
      <c r="R825" s="52"/>
      <c r="S825" s="52"/>
      <c r="T825" s="52"/>
      <c r="U825" s="52"/>
      <c r="V825" s="52"/>
    </row>
    <row r="826" spans="1:22" ht="13.2" x14ac:dyDescent="0.25">
      <c r="A826" s="52"/>
      <c r="B826" s="52"/>
      <c r="C826" s="52"/>
      <c r="D826" s="52"/>
      <c r="E826" s="52"/>
      <c r="F826" s="50"/>
      <c r="G826" s="52"/>
      <c r="H826" s="52"/>
      <c r="I826" s="52"/>
      <c r="J826" s="51"/>
      <c r="K826" s="52"/>
      <c r="L826" s="52"/>
      <c r="M826" s="52"/>
      <c r="N826" s="50"/>
      <c r="O826" s="52"/>
      <c r="P826" s="54"/>
      <c r="Q826" s="54"/>
      <c r="R826" s="52"/>
      <c r="S826" s="52"/>
      <c r="T826" s="52"/>
      <c r="U826" s="52"/>
      <c r="V826" s="52"/>
    </row>
    <row r="827" spans="1:22" ht="13.2" x14ac:dyDescent="0.25">
      <c r="A827" s="52"/>
      <c r="B827" s="52"/>
      <c r="C827" s="52"/>
      <c r="D827" s="52"/>
      <c r="E827" s="52"/>
      <c r="F827" s="50"/>
      <c r="G827" s="52"/>
      <c r="H827" s="52"/>
      <c r="I827" s="52"/>
      <c r="J827" s="51"/>
      <c r="K827" s="52"/>
      <c r="L827" s="52"/>
      <c r="M827" s="52"/>
      <c r="N827" s="50"/>
      <c r="O827" s="52"/>
      <c r="P827" s="54"/>
      <c r="Q827" s="54"/>
      <c r="R827" s="52"/>
      <c r="S827" s="52"/>
      <c r="T827" s="52"/>
      <c r="U827" s="52"/>
      <c r="V827" s="52"/>
    </row>
    <row r="828" spans="1:22" ht="13.2" x14ac:dyDescent="0.25">
      <c r="A828" s="52"/>
      <c r="B828" s="52"/>
      <c r="C828" s="52"/>
      <c r="D828" s="52"/>
      <c r="E828" s="52"/>
      <c r="F828" s="50"/>
      <c r="G828" s="52"/>
      <c r="H828" s="52"/>
      <c r="I828" s="52"/>
      <c r="J828" s="51"/>
      <c r="K828" s="52"/>
      <c r="L828" s="52"/>
      <c r="M828" s="52"/>
      <c r="N828" s="50"/>
      <c r="O828" s="52"/>
      <c r="P828" s="54"/>
      <c r="Q828" s="54"/>
      <c r="R828" s="52"/>
      <c r="S828" s="52"/>
      <c r="T828" s="52"/>
      <c r="U828" s="52"/>
      <c r="V828" s="52"/>
    </row>
    <row r="829" spans="1:22" ht="13.2" x14ac:dyDescent="0.25">
      <c r="A829" s="52"/>
      <c r="B829" s="52"/>
      <c r="C829" s="52"/>
      <c r="D829" s="52"/>
      <c r="E829" s="52"/>
      <c r="F829" s="50"/>
      <c r="G829" s="52"/>
      <c r="H829" s="52"/>
      <c r="I829" s="52"/>
      <c r="J829" s="51"/>
      <c r="K829" s="52"/>
      <c r="L829" s="52"/>
      <c r="M829" s="52"/>
      <c r="N829" s="50"/>
      <c r="O829" s="52"/>
      <c r="P829" s="54"/>
      <c r="Q829" s="54"/>
      <c r="R829" s="52"/>
      <c r="S829" s="52"/>
      <c r="T829" s="52"/>
      <c r="U829" s="52"/>
      <c r="V829" s="52"/>
    </row>
    <row r="830" spans="1:22" ht="13.2" x14ac:dyDescent="0.25">
      <c r="A830" s="52"/>
      <c r="B830" s="52"/>
      <c r="C830" s="52"/>
      <c r="D830" s="52"/>
      <c r="E830" s="52"/>
      <c r="F830" s="50"/>
      <c r="G830" s="52"/>
      <c r="H830" s="52"/>
      <c r="I830" s="52"/>
      <c r="J830" s="51"/>
      <c r="K830" s="52"/>
      <c r="L830" s="52"/>
      <c r="M830" s="52"/>
      <c r="N830" s="50"/>
      <c r="O830" s="52"/>
      <c r="P830" s="54"/>
      <c r="Q830" s="54"/>
      <c r="R830" s="52"/>
      <c r="S830" s="52"/>
      <c r="T830" s="52"/>
      <c r="U830" s="52"/>
      <c r="V830" s="52"/>
    </row>
    <row r="831" spans="1:22" ht="13.2" x14ac:dyDescent="0.25">
      <c r="A831" s="52"/>
      <c r="B831" s="52"/>
      <c r="C831" s="52"/>
      <c r="D831" s="52"/>
      <c r="E831" s="52"/>
      <c r="F831" s="50"/>
      <c r="G831" s="52"/>
      <c r="H831" s="52"/>
      <c r="I831" s="52"/>
      <c r="J831" s="51"/>
      <c r="K831" s="52"/>
      <c r="L831" s="52"/>
      <c r="M831" s="52"/>
      <c r="N831" s="50"/>
      <c r="O831" s="52"/>
      <c r="P831" s="54"/>
      <c r="Q831" s="54"/>
      <c r="R831" s="52"/>
      <c r="S831" s="52"/>
      <c r="T831" s="52"/>
      <c r="U831" s="52"/>
      <c r="V831" s="52"/>
    </row>
    <row r="832" spans="1:22" ht="13.2" x14ac:dyDescent="0.25">
      <c r="A832" s="52"/>
      <c r="B832" s="52"/>
      <c r="C832" s="52"/>
      <c r="D832" s="52"/>
      <c r="E832" s="52"/>
      <c r="F832" s="50"/>
      <c r="G832" s="52"/>
      <c r="H832" s="52"/>
      <c r="I832" s="52"/>
      <c r="J832" s="51"/>
      <c r="K832" s="52"/>
      <c r="L832" s="52"/>
      <c r="M832" s="52"/>
      <c r="N832" s="50"/>
      <c r="O832" s="52"/>
      <c r="P832" s="54"/>
      <c r="Q832" s="54"/>
      <c r="R832" s="52"/>
      <c r="S832" s="52"/>
      <c r="T832" s="52"/>
      <c r="U832" s="52"/>
      <c r="V832" s="52"/>
    </row>
    <row r="833" spans="1:22" ht="13.2" x14ac:dyDescent="0.25">
      <c r="A833" s="52"/>
      <c r="B833" s="52"/>
      <c r="C833" s="52"/>
      <c r="D833" s="52"/>
      <c r="E833" s="52"/>
      <c r="F833" s="50"/>
      <c r="G833" s="52"/>
      <c r="H833" s="52"/>
      <c r="I833" s="52"/>
      <c r="J833" s="51"/>
      <c r="K833" s="52"/>
      <c r="L833" s="52"/>
      <c r="M833" s="52"/>
      <c r="N833" s="50"/>
      <c r="O833" s="52"/>
      <c r="P833" s="54"/>
      <c r="Q833" s="54"/>
      <c r="R833" s="52"/>
      <c r="S833" s="52"/>
      <c r="T833" s="52"/>
      <c r="U833" s="52"/>
      <c r="V833" s="52"/>
    </row>
    <row r="834" spans="1:22" ht="13.2" x14ac:dyDescent="0.25">
      <c r="A834" s="52"/>
      <c r="B834" s="52"/>
      <c r="C834" s="52"/>
      <c r="D834" s="52"/>
      <c r="E834" s="52"/>
      <c r="F834" s="50"/>
      <c r="G834" s="52"/>
      <c r="H834" s="52"/>
      <c r="I834" s="52"/>
      <c r="J834" s="51"/>
      <c r="K834" s="52"/>
      <c r="L834" s="52"/>
      <c r="M834" s="52"/>
      <c r="N834" s="50"/>
      <c r="O834" s="52"/>
      <c r="P834" s="54"/>
      <c r="Q834" s="54"/>
      <c r="R834" s="52"/>
      <c r="S834" s="52"/>
      <c r="T834" s="52"/>
      <c r="U834" s="52"/>
      <c r="V834" s="52"/>
    </row>
    <row r="835" spans="1:22" ht="13.2" x14ac:dyDescent="0.25">
      <c r="A835" s="52"/>
      <c r="B835" s="52"/>
      <c r="C835" s="52"/>
      <c r="D835" s="52"/>
      <c r="E835" s="52"/>
      <c r="F835" s="50"/>
      <c r="G835" s="52"/>
      <c r="H835" s="52"/>
      <c r="I835" s="52"/>
      <c r="J835" s="51"/>
      <c r="K835" s="52"/>
      <c r="L835" s="52"/>
      <c r="M835" s="52"/>
      <c r="N835" s="50"/>
      <c r="O835" s="52"/>
      <c r="P835" s="54"/>
      <c r="Q835" s="54"/>
      <c r="R835" s="52"/>
      <c r="S835" s="52"/>
      <c r="T835" s="52"/>
      <c r="U835" s="52"/>
      <c r="V835" s="52"/>
    </row>
    <row r="836" spans="1:22" ht="13.2" x14ac:dyDescent="0.25">
      <c r="A836" s="52"/>
      <c r="B836" s="52"/>
      <c r="C836" s="52"/>
      <c r="D836" s="52"/>
      <c r="E836" s="52"/>
      <c r="F836" s="50"/>
      <c r="G836" s="52"/>
      <c r="H836" s="52"/>
      <c r="I836" s="52"/>
      <c r="J836" s="51"/>
      <c r="K836" s="52"/>
      <c r="L836" s="52"/>
      <c r="M836" s="52"/>
      <c r="N836" s="50"/>
      <c r="O836" s="52"/>
      <c r="P836" s="54"/>
      <c r="Q836" s="54"/>
      <c r="R836" s="52"/>
      <c r="S836" s="52"/>
      <c r="T836" s="52"/>
      <c r="U836" s="52"/>
      <c r="V836" s="52"/>
    </row>
    <row r="837" spans="1:22" ht="13.2" x14ac:dyDescent="0.25">
      <c r="A837" s="52"/>
      <c r="B837" s="52"/>
      <c r="C837" s="52"/>
      <c r="D837" s="52"/>
      <c r="E837" s="52"/>
      <c r="F837" s="50"/>
      <c r="G837" s="52"/>
      <c r="H837" s="52"/>
      <c r="I837" s="52"/>
      <c r="J837" s="51"/>
      <c r="K837" s="52"/>
      <c r="L837" s="52"/>
      <c r="M837" s="52"/>
      <c r="N837" s="50"/>
      <c r="O837" s="52"/>
      <c r="P837" s="54"/>
      <c r="Q837" s="54"/>
      <c r="R837" s="52"/>
      <c r="S837" s="52"/>
      <c r="T837" s="52"/>
      <c r="U837" s="52"/>
      <c r="V837" s="52"/>
    </row>
    <row r="838" spans="1:22" ht="13.2" x14ac:dyDescent="0.25">
      <c r="A838" s="52"/>
      <c r="B838" s="52"/>
      <c r="C838" s="52"/>
      <c r="D838" s="52"/>
      <c r="E838" s="52"/>
      <c r="F838" s="50"/>
      <c r="G838" s="52"/>
      <c r="H838" s="52"/>
      <c r="I838" s="52"/>
      <c r="J838" s="51"/>
      <c r="K838" s="52"/>
      <c r="L838" s="52"/>
      <c r="M838" s="52"/>
      <c r="N838" s="50"/>
      <c r="O838" s="52"/>
      <c r="P838" s="54"/>
      <c r="Q838" s="54"/>
      <c r="R838" s="52"/>
      <c r="S838" s="52"/>
      <c r="T838" s="52"/>
      <c r="U838" s="52"/>
      <c r="V838" s="52"/>
    </row>
    <row r="839" spans="1:22" ht="13.2" x14ac:dyDescent="0.25">
      <c r="A839" s="52"/>
      <c r="B839" s="52"/>
      <c r="C839" s="52"/>
      <c r="D839" s="52"/>
      <c r="E839" s="52"/>
      <c r="F839" s="50"/>
      <c r="G839" s="52"/>
      <c r="H839" s="52"/>
      <c r="I839" s="52"/>
      <c r="J839" s="51"/>
      <c r="K839" s="52"/>
      <c r="L839" s="52"/>
      <c r="M839" s="52"/>
      <c r="N839" s="50"/>
      <c r="O839" s="52"/>
      <c r="P839" s="54"/>
      <c r="Q839" s="54"/>
      <c r="R839" s="52"/>
      <c r="S839" s="52"/>
      <c r="T839" s="52"/>
      <c r="U839" s="52"/>
      <c r="V839" s="52"/>
    </row>
    <row r="840" spans="1:22" ht="13.2" x14ac:dyDescent="0.25">
      <c r="A840" s="52"/>
      <c r="B840" s="52"/>
      <c r="C840" s="52"/>
      <c r="D840" s="52"/>
      <c r="E840" s="52"/>
      <c r="F840" s="50"/>
      <c r="G840" s="52"/>
      <c r="H840" s="52"/>
      <c r="I840" s="52"/>
      <c r="J840" s="51"/>
      <c r="K840" s="52"/>
      <c r="L840" s="52"/>
      <c r="M840" s="52"/>
      <c r="N840" s="50"/>
      <c r="O840" s="52"/>
      <c r="P840" s="54"/>
      <c r="Q840" s="54"/>
      <c r="R840" s="52"/>
      <c r="S840" s="52"/>
      <c r="T840" s="52"/>
      <c r="U840" s="52"/>
      <c r="V840" s="52"/>
    </row>
    <row r="841" spans="1:22" ht="13.2" x14ac:dyDescent="0.25">
      <c r="A841" s="52"/>
      <c r="B841" s="52"/>
      <c r="C841" s="52"/>
      <c r="D841" s="52"/>
      <c r="E841" s="52"/>
      <c r="F841" s="50"/>
      <c r="G841" s="52"/>
      <c r="H841" s="52"/>
      <c r="I841" s="52"/>
      <c r="J841" s="51"/>
      <c r="K841" s="52"/>
      <c r="L841" s="52"/>
      <c r="M841" s="52"/>
      <c r="N841" s="50"/>
      <c r="O841" s="52"/>
      <c r="P841" s="54"/>
      <c r="Q841" s="54"/>
      <c r="R841" s="52"/>
      <c r="S841" s="52"/>
      <c r="T841" s="52"/>
      <c r="U841" s="52"/>
      <c r="V841" s="52"/>
    </row>
    <row r="842" spans="1:22" ht="13.2" x14ac:dyDescent="0.25">
      <c r="A842" s="52"/>
      <c r="B842" s="52"/>
      <c r="C842" s="52"/>
      <c r="D842" s="52"/>
      <c r="E842" s="52"/>
      <c r="F842" s="50"/>
      <c r="G842" s="52"/>
      <c r="H842" s="52"/>
      <c r="I842" s="52"/>
      <c r="J842" s="51"/>
      <c r="K842" s="52"/>
      <c r="L842" s="52"/>
      <c r="M842" s="52"/>
      <c r="N842" s="50"/>
      <c r="O842" s="52"/>
      <c r="P842" s="54"/>
      <c r="Q842" s="54"/>
      <c r="R842" s="52"/>
      <c r="S842" s="52"/>
      <c r="T842" s="52"/>
      <c r="U842" s="52"/>
      <c r="V842" s="52"/>
    </row>
    <row r="843" spans="1:22" ht="13.2" x14ac:dyDescent="0.25">
      <c r="A843" s="52"/>
      <c r="B843" s="52"/>
      <c r="C843" s="52"/>
      <c r="D843" s="52"/>
      <c r="E843" s="52"/>
      <c r="F843" s="50"/>
      <c r="G843" s="52"/>
      <c r="H843" s="52"/>
      <c r="I843" s="52"/>
      <c r="J843" s="51"/>
      <c r="K843" s="52"/>
      <c r="L843" s="52"/>
      <c r="M843" s="52"/>
      <c r="N843" s="50"/>
      <c r="O843" s="52"/>
      <c r="P843" s="54"/>
      <c r="Q843" s="54"/>
      <c r="R843" s="52"/>
      <c r="S843" s="52"/>
      <c r="T843" s="52"/>
      <c r="U843" s="52"/>
      <c r="V843" s="52"/>
    </row>
    <row r="844" spans="1:22" ht="13.2" x14ac:dyDescent="0.25">
      <c r="A844" s="52"/>
      <c r="B844" s="52"/>
      <c r="C844" s="52"/>
      <c r="D844" s="52"/>
      <c r="E844" s="52"/>
      <c r="F844" s="50"/>
      <c r="G844" s="52"/>
      <c r="H844" s="52"/>
      <c r="I844" s="52"/>
      <c r="J844" s="51"/>
      <c r="K844" s="52"/>
      <c r="L844" s="52"/>
      <c r="M844" s="52"/>
      <c r="N844" s="50"/>
      <c r="O844" s="52"/>
      <c r="P844" s="54"/>
      <c r="Q844" s="54"/>
      <c r="R844" s="52"/>
      <c r="S844" s="52"/>
      <c r="T844" s="52"/>
      <c r="U844" s="52"/>
      <c r="V844" s="52"/>
    </row>
    <row r="845" spans="1:22" ht="13.2" x14ac:dyDescent="0.25">
      <c r="A845" s="52"/>
      <c r="B845" s="52"/>
      <c r="C845" s="52"/>
      <c r="D845" s="52"/>
      <c r="E845" s="52"/>
      <c r="F845" s="50"/>
      <c r="G845" s="52"/>
      <c r="H845" s="52"/>
      <c r="I845" s="52"/>
      <c r="J845" s="51"/>
      <c r="K845" s="52"/>
      <c r="L845" s="52"/>
      <c r="M845" s="52"/>
      <c r="N845" s="50"/>
      <c r="O845" s="52"/>
      <c r="P845" s="54"/>
      <c r="Q845" s="54"/>
      <c r="R845" s="52"/>
      <c r="S845" s="52"/>
      <c r="T845" s="52"/>
      <c r="U845" s="52"/>
      <c r="V845" s="52"/>
    </row>
    <row r="846" spans="1:22" ht="13.2" x14ac:dyDescent="0.25">
      <c r="A846" s="52"/>
      <c r="B846" s="52"/>
      <c r="C846" s="52"/>
      <c r="D846" s="52"/>
      <c r="E846" s="52"/>
      <c r="F846" s="50"/>
      <c r="G846" s="52"/>
      <c r="H846" s="52"/>
      <c r="I846" s="52"/>
      <c r="J846" s="51"/>
      <c r="K846" s="52"/>
      <c r="L846" s="52"/>
      <c r="M846" s="52"/>
      <c r="N846" s="50"/>
      <c r="O846" s="52"/>
      <c r="P846" s="54"/>
      <c r="Q846" s="54"/>
      <c r="R846" s="52"/>
      <c r="S846" s="52"/>
      <c r="T846" s="52"/>
      <c r="U846" s="52"/>
      <c r="V846" s="52"/>
    </row>
    <row r="847" spans="1:22" ht="13.2" x14ac:dyDescent="0.25">
      <c r="A847" s="52"/>
      <c r="B847" s="52"/>
      <c r="C847" s="52"/>
      <c r="D847" s="52"/>
      <c r="E847" s="52"/>
      <c r="F847" s="50"/>
      <c r="G847" s="52"/>
      <c r="H847" s="52"/>
      <c r="I847" s="52"/>
      <c r="J847" s="51"/>
      <c r="K847" s="52"/>
      <c r="L847" s="52"/>
      <c r="M847" s="52"/>
      <c r="N847" s="50"/>
      <c r="O847" s="52"/>
      <c r="P847" s="54"/>
      <c r="Q847" s="54"/>
      <c r="R847" s="52"/>
      <c r="S847" s="52"/>
      <c r="T847" s="52"/>
      <c r="U847" s="52"/>
      <c r="V847" s="52"/>
    </row>
    <row r="848" spans="1:22" ht="13.2" x14ac:dyDescent="0.25">
      <c r="A848" s="52"/>
      <c r="B848" s="52"/>
      <c r="C848" s="52"/>
      <c r="D848" s="52"/>
      <c r="E848" s="52"/>
      <c r="F848" s="50"/>
      <c r="G848" s="52"/>
      <c r="H848" s="52"/>
      <c r="I848" s="52"/>
      <c r="J848" s="51"/>
      <c r="K848" s="52"/>
      <c r="L848" s="52"/>
      <c r="M848" s="52"/>
      <c r="N848" s="50"/>
      <c r="O848" s="52"/>
      <c r="P848" s="54"/>
      <c r="Q848" s="54"/>
      <c r="R848" s="52"/>
      <c r="S848" s="52"/>
      <c r="T848" s="52"/>
      <c r="U848" s="52"/>
      <c r="V848" s="52"/>
    </row>
    <row r="849" spans="1:22" ht="13.2" x14ac:dyDescent="0.25">
      <c r="A849" s="52"/>
      <c r="B849" s="52"/>
      <c r="C849" s="52"/>
      <c r="D849" s="52"/>
      <c r="E849" s="52"/>
      <c r="F849" s="50"/>
      <c r="G849" s="52"/>
      <c r="H849" s="52"/>
      <c r="I849" s="52"/>
      <c r="J849" s="51"/>
      <c r="K849" s="52"/>
      <c r="L849" s="52"/>
      <c r="M849" s="52"/>
      <c r="N849" s="50"/>
      <c r="O849" s="52"/>
      <c r="P849" s="54"/>
      <c r="Q849" s="54"/>
      <c r="R849" s="52"/>
      <c r="S849" s="52"/>
      <c r="T849" s="52"/>
      <c r="U849" s="52"/>
      <c r="V849" s="52"/>
    </row>
    <row r="850" spans="1:22" ht="13.2" x14ac:dyDescent="0.25">
      <c r="A850" s="52"/>
      <c r="B850" s="52"/>
      <c r="C850" s="52"/>
      <c r="D850" s="52"/>
      <c r="E850" s="52"/>
      <c r="F850" s="50"/>
      <c r="G850" s="52"/>
      <c r="H850" s="52"/>
      <c r="I850" s="52"/>
      <c r="J850" s="51"/>
      <c r="K850" s="52"/>
      <c r="L850" s="52"/>
      <c r="M850" s="52"/>
      <c r="N850" s="50"/>
      <c r="O850" s="52"/>
      <c r="P850" s="54"/>
      <c r="Q850" s="54"/>
      <c r="R850" s="52"/>
      <c r="S850" s="52"/>
      <c r="T850" s="52"/>
      <c r="U850" s="52"/>
      <c r="V850" s="52"/>
    </row>
    <row r="851" spans="1:22" ht="13.2" x14ac:dyDescent="0.25">
      <c r="A851" s="52"/>
      <c r="B851" s="52"/>
      <c r="C851" s="52"/>
      <c r="D851" s="52"/>
      <c r="E851" s="52"/>
      <c r="F851" s="50"/>
      <c r="G851" s="52"/>
      <c r="H851" s="52"/>
      <c r="I851" s="52"/>
      <c r="J851" s="51"/>
      <c r="K851" s="52"/>
      <c r="L851" s="52"/>
      <c r="M851" s="52"/>
      <c r="N851" s="50"/>
      <c r="O851" s="52"/>
      <c r="P851" s="54"/>
      <c r="Q851" s="54"/>
      <c r="R851" s="52"/>
      <c r="S851" s="52"/>
      <c r="T851" s="52"/>
      <c r="U851" s="52"/>
      <c r="V851" s="52"/>
    </row>
    <row r="852" spans="1:22" ht="13.2" x14ac:dyDescent="0.25">
      <c r="A852" s="52"/>
      <c r="B852" s="52"/>
      <c r="C852" s="52"/>
      <c r="D852" s="52"/>
      <c r="E852" s="52"/>
      <c r="F852" s="50"/>
      <c r="G852" s="52"/>
      <c r="H852" s="52"/>
      <c r="I852" s="52"/>
      <c r="J852" s="51"/>
      <c r="K852" s="52"/>
      <c r="L852" s="52"/>
      <c r="M852" s="52"/>
      <c r="N852" s="50"/>
      <c r="O852" s="52"/>
      <c r="P852" s="54"/>
      <c r="Q852" s="54"/>
      <c r="R852" s="52"/>
      <c r="S852" s="52"/>
      <c r="T852" s="52"/>
      <c r="U852" s="52"/>
      <c r="V852" s="52"/>
    </row>
    <row r="853" spans="1:22" ht="13.2" x14ac:dyDescent="0.25">
      <c r="A853" s="52"/>
      <c r="B853" s="52"/>
      <c r="C853" s="52"/>
      <c r="D853" s="52"/>
      <c r="E853" s="52"/>
      <c r="F853" s="50"/>
      <c r="G853" s="52"/>
      <c r="H853" s="52"/>
      <c r="I853" s="52"/>
      <c r="J853" s="51"/>
      <c r="K853" s="52"/>
      <c r="L853" s="52"/>
      <c r="M853" s="52"/>
      <c r="N853" s="50"/>
      <c r="O853" s="52"/>
      <c r="P853" s="54"/>
      <c r="Q853" s="54"/>
      <c r="R853" s="52"/>
      <c r="S853" s="52"/>
      <c r="T853" s="52"/>
      <c r="U853" s="52"/>
      <c r="V853" s="52"/>
    </row>
    <row r="854" spans="1:22" ht="13.2" x14ac:dyDescent="0.25">
      <c r="A854" s="52"/>
      <c r="B854" s="52"/>
      <c r="C854" s="52"/>
      <c r="D854" s="52"/>
      <c r="E854" s="52"/>
      <c r="F854" s="50"/>
      <c r="G854" s="52"/>
      <c r="H854" s="52"/>
      <c r="I854" s="52"/>
      <c r="J854" s="51"/>
      <c r="K854" s="52"/>
      <c r="L854" s="52"/>
      <c r="M854" s="52"/>
      <c r="N854" s="50"/>
      <c r="O854" s="52"/>
      <c r="P854" s="54"/>
      <c r="Q854" s="54"/>
      <c r="R854" s="52"/>
      <c r="S854" s="52"/>
      <c r="T854" s="52"/>
      <c r="U854" s="52"/>
      <c r="V854" s="52"/>
    </row>
    <row r="855" spans="1:22" ht="13.2" x14ac:dyDescent="0.25">
      <c r="A855" s="52"/>
      <c r="B855" s="52"/>
      <c r="C855" s="52"/>
      <c r="D855" s="52"/>
      <c r="E855" s="52"/>
      <c r="F855" s="50"/>
      <c r="G855" s="52"/>
      <c r="H855" s="52"/>
      <c r="I855" s="52"/>
      <c r="J855" s="51"/>
      <c r="K855" s="52"/>
      <c r="L855" s="52"/>
      <c r="M855" s="52"/>
      <c r="N855" s="50"/>
      <c r="O855" s="52"/>
      <c r="P855" s="54"/>
      <c r="Q855" s="54"/>
      <c r="R855" s="52"/>
      <c r="S855" s="52"/>
      <c r="T855" s="52"/>
      <c r="U855" s="52"/>
      <c r="V855" s="52"/>
    </row>
    <row r="856" spans="1:22" ht="13.2" x14ac:dyDescent="0.25">
      <c r="A856" s="52"/>
      <c r="B856" s="52"/>
      <c r="C856" s="52"/>
      <c r="D856" s="52"/>
      <c r="E856" s="52"/>
      <c r="F856" s="50"/>
      <c r="G856" s="52"/>
      <c r="H856" s="52"/>
      <c r="I856" s="52"/>
      <c r="J856" s="51"/>
      <c r="K856" s="52"/>
      <c r="L856" s="52"/>
      <c r="M856" s="52"/>
      <c r="N856" s="50"/>
      <c r="O856" s="52"/>
      <c r="P856" s="54"/>
      <c r="Q856" s="54"/>
      <c r="R856" s="52"/>
      <c r="S856" s="52"/>
      <c r="T856" s="52"/>
      <c r="U856" s="52"/>
      <c r="V856" s="52"/>
    </row>
    <row r="857" spans="1:22" ht="13.2" x14ac:dyDescent="0.25">
      <c r="A857" s="52"/>
      <c r="B857" s="52"/>
      <c r="C857" s="52"/>
      <c r="D857" s="52"/>
      <c r="E857" s="52"/>
      <c r="F857" s="50"/>
      <c r="G857" s="52"/>
      <c r="H857" s="52"/>
      <c r="I857" s="52"/>
      <c r="J857" s="51"/>
      <c r="K857" s="52"/>
      <c r="L857" s="52"/>
      <c r="M857" s="52"/>
      <c r="N857" s="50"/>
      <c r="O857" s="52"/>
      <c r="P857" s="54"/>
      <c r="Q857" s="54"/>
      <c r="R857" s="52"/>
      <c r="S857" s="52"/>
      <c r="T857" s="52"/>
      <c r="U857" s="52"/>
      <c r="V857" s="52"/>
    </row>
    <row r="858" spans="1:22" ht="13.2" x14ac:dyDescent="0.25">
      <c r="A858" s="52"/>
      <c r="B858" s="52"/>
      <c r="C858" s="52"/>
      <c r="D858" s="52"/>
      <c r="E858" s="52"/>
      <c r="F858" s="50"/>
      <c r="G858" s="52"/>
      <c r="H858" s="52"/>
      <c r="I858" s="52"/>
      <c r="J858" s="51"/>
      <c r="K858" s="52"/>
      <c r="L858" s="52"/>
      <c r="M858" s="52"/>
      <c r="N858" s="50"/>
      <c r="O858" s="52"/>
      <c r="P858" s="54"/>
      <c r="Q858" s="54"/>
      <c r="R858" s="52"/>
      <c r="S858" s="52"/>
      <c r="T858" s="52"/>
      <c r="U858" s="52"/>
      <c r="V858" s="52"/>
    </row>
    <row r="859" spans="1:22" ht="13.2" x14ac:dyDescent="0.25">
      <c r="A859" s="52"/>
      <c r="B859" s="52"/>
      <c r="C859" s="52"/>
      <c r="D859" s="52"/>
      <c r="E859" s="52"/>
      <c r="F859" s="50"/>
      <c r="G859" s="52"/>
      <c r="H859" s="52"/>
      <c r="I859" s="52"/>
      <c r="J859" s="51"/>
      <c r="K859" s="52"/>
      <c r="L859" s="52"/>
      <c r="M859" s="52"/>
      <c r="N859" s="50"/>
      <c r="O859" s="52"/>
      <c r="P859" s="54"/>
      <c r="Q859" s="54"/>
      <c r="R859" s="52"/>
      <c r="S859" s="52"/>
      <c r="T859" s="52"/>
      <c r="U859" s="52"/>
      <c r="V859" s="52"/>
    </row>
    <row r="860" spans="1:22" ht="13.2" x14ac:dyDescent="0.25">
      <c r="A860" s="52"/>
      <c r="B860" s="52"/>
      <c r="C860" s="52"/>
      <c r="D860" s="52"/>
      <c r="E860" s="52"/>
      <c r="F860" s="50"/>
      <c r="G860" s="52"/>
      <c r="H860" s="52"/>
      <c r="I860" s="52"/>
      <c r="J860" s="51"/>
      <c r="K860" s="52"/>
      <c r="L860" s="52"/>
      <c r="M860" s="52"/>
      <c r="N860" s="50"/>
      <c r="O860" s="52"/>
      <c r="P860" s="54"/>
      <c r="Q860" s="54"/>
      <c r="R860" s="52"/>
      <c r="S860" s="52"/>
      <c r="T860" s="52"/>
      <c r="U860" s="52"/>
      <c r="V860" s="52"/>
    </row>
    <row r="861" spans="1:22" ht="13.2" x14ac:dyDescent="0.25">
      <c r="A861" s="52"/>
      <c r="B861" s="52"/>
      <c r="C861" s="52"/>
      <c r="D861" s="52"/>
      <c r="E861" s="52"/>
      <c r="F861" s="50"/>
      <c r="G861" s="52"/>
      <c r="H861" s="52"/>
      <c r="I861" s="52"/>
      <c r="J861" s="51"/>
      <c r="K861" s="52"/>
      <c r="L861" s="52"/>
      <c r="M861" s="52"/>
      <c r="N861" s="50"/>
      <c r="O861" s="52"/>
      <c r="P861" s="54"/>
      <c r="Q861" s="54"/>
      <c r="R861" s="52"/>
      <c r="S861" s="52"/>
      <c r="T861" s="52"/>
      <c r="U861" s="52"/>
      <c r="V861" s="52"/>
    </row>
    <row r="862" spans="1:22" ht="13.2" x14ac:dyDescent="0.25">
      <c r="A862" s="52"/>
      <c r="B862" s="52"/>
      <c r="C862" s="52"/>
      <c r="D862" s="52"/>
      <c r="E862" s="52"/>
      <c r="F862" s="50"/>
      <c r="G862" s="52"/>
      <c r="H862" s="52"/>
      <c r="I862" s="52"/>
      <c r="J862" s="51"/>
      <c r="K862" s="52"/>
      <c r="L862" s="52"/>
      <c r="M862" s="52"/>
      <c r="N862" s="50"/>
      <c r="O862" s="52"/>
      <c r="P862" s="54"/>
      <c r="Q862" s="54"/>
      <c r="R862" s="52"/>
      <c r="S862" s="52"/>
      <c r="T862" s="52"/>
      <c r="U862" s="52"/>
      <c r="V862" s="52"/>
    </row>
    <row r="863" spans="1:22" ht="13.2" x14ac:dyDescent="0.25">
      <c r="A863" s="52"/>
      <c r="B863" s="52"/>
      <c r="C863" s="52"/>
      <c r="D863" s="52"/>
      <c r="E863" s="52"/>
      <c r="F863" s="50"/>
      <c r="G863" s="52"/>
      <c r="H863" s="52"/>
      <c r="I863" s="52"/>
      <c r="J863" s="51"/>
      <c r="K863" s="52"/>
      <c r="L863" s="52"/>
      <c r="M863" s="52"/>
      <c r="N863" s="50"/>
      <c r="O863" s="52"/>
      <c r="P863" s="54"/>
      <c r="Q863" s="54"/>
      <c r="R863" s="52"/>
      <c r="S863" s="52"/>
      <c r="T863" s="52"/>
      <c r="U863" s="52"/>
      <c r="V863" s="52"/>
    </row>
    <row r="864" spans="1:22" ht="13.2" x14ac:dyDescent="0.25">
      <c r="A864" s="52"/>
      <c r="B864" s="52"/>
      <c r="C864" s="52"/>
      <c r="D864" s="52"/>
      <c r="E864" s="52"/>
      <c r="F864" s="50"/>
      <c r="G864" s="52"/>
      <c r="H864" s="52"/>
      <c r="I864" s="52"/>
      <c r="J864" s="51"/>
      <c r="K864" s="52"/>
      <c r="L864" s="52"/>
      <c r="M864" s="52"/>
      <c r="N864" s="50"/>
      <c r="O864" s="52"/>
      <c r="P864" s="54"/>
      <c r="Q864" s="54"/>
      <c r="R864" s="52"/>
      <c r="S864" s="52"/>
      <c r="T864" s="52"/>
      <c r="U864" s="52"/>
      <c r="V864" s="52"/>
    </row>
    <row r="865" spans="1:22" ht="13.2" x14ac:dyDescent="0.25">
      <c r="A865" s="52"/>
      <c r="B865" s="52"/>
      <c r="C865" s="52"/>
      <c r="D865" s="52"/>
      <c r="E865" s="52"/>
      <c r="F865" s="50"/>
      <c r="G865" s="52"/>
      <c r="H865" s="52"/>
      <c r="I865" s="52"/>
      <c r="J865" s="51"/>
      <c r="K865" s="52"/>
      <c r="L865" s="52"/>
      <c r="M865" s="52"/>
      <c r="N865" s="50"/>
      <c r="O865" s="52"/>
      <c r="P865" s="54"/>
      <c r="Q865" s="54"/>
      <c r="R865" s="52"/>
      <c r="S865" s="52"/>
      <c r="T865" s="52"/>
      <c r="U865" s="52"/>
      <c r="V865" s="52"/>
    </row>
    <row r="866" spans="1:22" ht="13.2" x14ac:dyDescent="0.25">
      <c r="A866" s="52"/>
      <c r="B866" s="52"/>
      <c r="C866" s="52"/>
      <c r="D866" s="52"/>
      <c r="E866" s="52"/>
      <c r="F866" s="50"/>
      <c r="G866" s="52"/>
      <c r="H866" s="52"/>
      <c r="I866" s="52"/>
      <c r="J866" s="51"/>
      <c r="K866" s="52"/>
      <c r="L866" s="52"/>
      <c r="M866" s="52"/>
      <c r="N866" s="50"/>
      <c r="O866" s="52"/>
      <c r="P866" s="54"/>
      <c r="Q866" s="54"/>
      <c r="R866" s="52"/>
      <c r="S866" s="52"/>
      <c r="T866" s="52"/>
      <c r="U866" s="52"/>
      <c r="V866" s="52"/>
    </row>
    <row r="867" spans="1:22" ht="13.2" x14ac:dyDescent="0.25">
      <c r="A867" s="52"/>
      <c r="B867" s="52"/>
      <c r="C867" s="52"/>
      <c r="D867" s="52"/>
      <c r="E867" s="52"/>
      <c r="F867" s="50"/>
      <c r="G867" s="52"/>
      <c r="H867" s="52"/>
      <c r="I867" s="52"/>
      <c r="J867" s="51"/>
      <c r="K867" s="52"/>
      <c r="L867" s="52"/>
      <c r="M867" s="52"/>
      <c r="N867" s="50"/>
      <c r="O867" s="52"/>
      <c r="P867" s="54"/>
      <c r="Q867" s="54"/>
      <c r="R867" s="52"/>
      <c r="S867" s="52"/>
      <c r="T867" s="52"/>
      <c r="U867" s="52"/>
      <c r="V867" s="52"/>
    </row>
    <row r="868" spans="1:22" ht="13.2" x14ac:dyDescent="0.25">
      <c r="A868" s="52"/>
      <c r="B868" s="52"/>
      <c r="C868" s="52"/>
      <c r="D868" s="52"/>
      <c r="E868" s="52"/>
      <c r="F868" s="50"/>
      <c r="G868" s="52"/>
      <c r="H868" s="52"/>
      <c r="I868" s="52"/>
      <c r="J868" s="51"/>
      <c r="K868" s="52"/>
      <c r="L868" s="52"/>
      <c r="M868" s="52"/>
      <c r="N868" s="50"/>
      <c r="O868" s="52"/>
      <c r="P868" s="54"/>
      <c r="Q868" s="54"/>
      <c r="R868" s="52"/>
      <c r="S868" s="52"/>
      <c r="T868" s="52"/>
      <c r="U868" s="52"/>
      <c r="V868" s="52"/>
    </row>
    <row r="869" spans="1:22" ht="13.2" x14ac:dyDescent="0.25">
      <c r="A869" s="52"/>
      <c r="B869" s="52"/>
      <c r="C869" s="52"/>
      <c r="D869" s="52"/>
      <c r="E869" s="52"/>
      <c r="F869" s="50"/>
      <c r="G869" s="52"/>
      <c r="H869" s="52"/>
      <c r="I869" s="52"/>
      <c r="J869" s="51"/>
      <c r="K869" s="52"/>
      <c r="L869" s="52"/>
      <c r="M869" s="52"/>
      <c r="N869" s="50"/>
      <c r="O869" s="52"/>
      <c r="P869" s="54"/>
      <c r="Q869" s="54"/>
      <c r="R869" s="52"/>
      <c r="S869" s="52"/>
      <c r="T869" s="52"/>
      <c r="U869" s="52"/>
      <c r="V869" s="52"/>
    </row>
    <row r="870" spans="1:22" ht="13.2" x14ac:dyDescent="0.25">
      <c r="A870" s="52"/>
      <c r="B870" s="52"/>
      <c r="C870" s="52"/>
      <c r="D870" s="52"/>
      <c r="E870" s="52"/>
      <c r="F870" s="50"/>
      <c r="G870" s="52"/>
      <c r="H870" s="52"/>
      <c r="I870" s="52"/>
      <c r="J870" s="51"/>
      <c r="K870" s="52"/>
      <c r="L870" s="52"/>
      <c r="M870" s="52"/>
      <c r="N870" s="50"/>
      <c r="O870" s="52"/>
      <c r="P870" s="54"/>
      <c r="Q870" s="54"/>
      <c r="R870" s="52"/>
      <c r="S870" s="52"/>
      <c r="T870" s="52"/>
      <c r="U870" s="52"/>
      <c r="V870" s="52"/>
    </row>
    <row r="871" spans="1:22" ht="13.2" x14ac:dyDescent="0.25">
      <c r="A871" s="52"/>
      <c r="B871" s="52"/>
      <c r="C871" s="52"/>
      <c r="D871" s="52"/>
      <c r="E871" s="52"/>
      <c r="F871" s="50"/>
      <c r="G871" s="52"/>
      <c r="H871" s="52"/>
      <c r="I871" s="52"/>
      <c r="J871" s="51"/>
      <c r="K871" s="52"/>
      <c r="L871" s="52"/>
      <c r="M871" s="52"/>
      <c r="N871" s="50"/>
      <c r="O871" s="52"/>
      <c r="P871" s="54"/>
      <c r="Q871" s="54"/>
      <c r="R871" s="52"/>
      <c r="S871" s="52"/>
      <c r="T871" s="52"/>
      <c r="U871" s="52"/>
      <c r="V871" s="52"/>
    </row>
    <row r="872" spans="1:22" ht="13.2" x14ac:dyDescent="0.25">
      <c r="A872" s="52"/>
      <c r="B872" s="52"/>
      <c r="C872" s="52"/>
      <c r="D872" s="52"/>
      <c r="E872" s="52"/>
      <c r="F872" s="50"/>
      <c r="G872" s="52"/>
      <c r="H872" s="52"/>
      <c r="I872" s="52"/>
      <c r="J872" s="51"/>
      <c r="K872" s="52"/>
      <c r="L872" s="52"/>
      <c r="M872" s="52"/>
      <c r="N872" s="50"/>
      <c r="O872" s="52"/>
      <c r="P872" s="54"/>
      <c r="Q872" s="54"/>
      <c r="R872" s="52"/>
      <c r="S872" s="52"/>
      <c r="T872" s="52"/>
      <c r="U872" s="52"/>
      <c r="V872" s="52"/>
    </row>
    <row r="873" spans="1:22" ht="13.2" x14ac:dyDescent="0.25">
      <c r="A873" s="52"/>
      <c r="B873" s="52"/>
      <c r="C873" s="52"/>
      <c r="D873" s="52"/>
      <c r="E873" s="52"/>
      <c r="F873" s="50"/>
      <c r="G873" s="52"/>
      <c r="H873" s="52"/>
      <c r="I873" s="52"/>
      <c r="J873" s="51"/>
      <c r="K873" s="52"/>
      <c r="L873" s="52"/>
      <c r="M873" s="52"/>
      <c r="N873" s="50"/>
      <c r="O873" s="52"/>
      <c r="P873" s="54"/>
      <c r="Q873" s="54"/>
      <c r="R873" s="52"/>
      <c r="S873" s="52"/>
      <c r="T873" s="52"/>
      <c r="U873" s="52"/>
      <c r="V873" s="52"/>
    </row>
    <row r="874" spans="1:22" ht="13.2" x14ac:dyDescent="0.25">
      <c r="A874" s="52"/>
      <c r="B874" s="52"/>
      <c r="C874" s="52"/>
      <c r="D874" s="52"/>
      <c r="E874" s="52"/>
      <c r="F874" s="50"/>
      <c r="G874" s="52"/>
      <c r="H874" s="52"/>
      <c r="I874" s="52"/>
      <c r="J874" s="51"/>
      <c r="K874" s="52"/>
      <c r="L874" s="52"/>
      <c r="M874" s="52"/>
      <c r="N874" s="50"/>
      <c r="O874" s="52"/>
      <c r="P874" s="54"/>
      <c r="Q874" s="54"/>
      <c r="R874" s="52"/>
      <c r="S874" s="52"/>
      <c r="T874" s="52"/>
      <c r="U874" s="52"/>
      <c r="V874" s="52"/>
    </row>
    <row r="875" spans="1:22" ht="13.2" x14ac:dyDescent="0.25">
      <c r="A875" s="52"/>
      <c r="B875" s="52"/>
      <c r="C875" s="52"/>
      <c r="D875" s="52"/>
      <c r="E875" s="52"/>
      <c r="F875" s="50"/>
      <c r="G875" s="52"/>
      <c r="H875" s="52"/>
      <c r="I875" s="52"/>
      <c r="J875" s="51"/>
      <c r="K875" s="52"/>
      <c r="L875" s="52"/>
      <c r="M875" s="52"/>
      <c r="N875" s="50"/>
      <c r="O875" s="52"/>
      <c r="P875" s="54"/>
      <c r="Q875" s="54"/>
      <c r="R875" s="52"/>
      <c r="S875" s="52"/>
      <c r="T875" s="52"/>
      <c r="U875" s="52"/>
      <c r="V875" s="52"/>
    </row>
    <row r="876" spans="1:22" ht="13.2" x14ac:dyDescent="0.25">
      <c r="A876" s="52"/>
      <c r="B876" s="52"/>
      <c r="C876" s="52"/>
      <c r="D876" s="52"/>
      <c r="E876" s="52"/>
      <c r="F876" s="50"/>
      <c r="G876" s="52"/>
      <c r="H876" s="52"/>
      <c r="I876" s="52"/>
      <c r="J876" s="51"/>
      <c r="K876" s="52"/>
      <c r="L876" s="52"/>
      <c r="M876" s="52"/>
      <c r="N876" s="50"/>
      <c r="O876" s="52"/>
      <c r="P876" s="54"/>
      <c r="Q876" s="54"/>
      <c r="R876" s="52"/>
      <c r="S876" s="52"/>
      <c r="T876" s="52"/>
      <c r="U876" s="52"/>
      <c r="V876" s="52"/>
    </row>
    <row r="877" spans="1:22" ht="13.2" x14ac:dyDescent="0.25">
      <c r="A877" s="52"/>
      <c r="B877" s="52"/>
      <c r="C877" s="52"/>
      <c r="D877" s="52"/>
      <c r="E877" s="52"/>
      <c r="F877" s="50"/>
      <c r="G877" s="52"/>
      <c r="H877" s="52"/>
      <c r="I877" s="52"/>
      <c r="J877" s="51"/>
      <c r="K877" s="52"/>
      <c r="L877" s="52"/>
      <c r="M877" s="52"/>
      <c r="N877" s="50"/>
      <c r="O877" s="52"/>
      <c r="P877" s="54"/>
      <c r="Q877" s="54"/>
      <c r="R877" s="52"/>
      <c r="S877" s="52"/>
      <c r="T877" s="52"/>
      <c r="U877" s="52"/>
      <c r="V877" s="52"/>
    </row>
    <row r="878" spans="1:22" ht="13.2" x14ac:dyDescent="0.25">
      <c r="A878" s="52"/>
      <c r="B878" s="52"/>
      <c r="C878" s="52"/>
      <c r="D878" s="52"/>
      <c r="E878" s="52"/>
      <c r="F878" s="50"/>
      <c r="G878" s="52"/>
      <c r="H878" s="52"/>
      <c r="I878" s="52"/>
      <c r="J878" s="51"/>
      <c r="K878" s="52"/>
      <c r="L878" s="52"/>
      <c r="M878" s="52"/>
      <c r="N878" s="50"/>
      <c r="O878" s="52"/>
      <c r="P878" s="54"/>
      <c r="Q878" s="54"/>
      <c r="R878" s="52"/>
      <c r="S878" s="52"/>
      <c r="T878" s="52"/>
      <c r="U878" s="52"/>
      <c r="V878" s="52"/>
    </row>
    <row r="879" spans="1:22" ht="13.2" x14ac:dyDescent="0.25">
      <c r="A879" s="52"/>
      <c r="B879" s="52"/>
      <c r="C879" s="52"/>
      <c r="D879" s="52"/>
      <c r="E879" s="52"/>
      <c r="F879" s="50"/>
      <c r="G879" s="52"/>
      <c r="H879" s="52"/>
      <c r="I879" s="52"/>
      <c r="J879" s="51"/>
      <c r="K879" s="52"/>
      <c r="L879" s="52"/>
      <c r="M879" s="52"/>
      <c r="N879" s="50"/>
      <c r="O879" s="52"/>
      <c r="P879" s="54"/>
      <c r="Q879" s="54"/>
      <c r="R879" s="52"/>
      <c r="S879" s="52"/>
      <c r="T879" s="52"/>
      <c r="U879" s="52"/>
      <c r="V879" s="52"/>
    </row>
    <row r="880" spans="1:22" ht="13.2" x14ac:dyDescent="0.25">
      <c r="A880" s="52"/>
      <c r="B880" s="52"/>
      <c r="C880" s="52"/>
      <c r="D880" s="52"/>
      <c r="E880" s="52"/>
      <c r="F880" s="50"/>
      <c r="G880" s="52"/>
      <c r="H880" s="52"/>
      <c r="I880" s="52"/>
      <c r="J880" s="51"/>
      <c r="K880" s="52"/>
      <c r="L880" s="52"/>
      <c r="M880" s="52"/>
      <c r="N880" s="50"/>
      <c r="O880" s="52"/>
      <c r="P880" s="54"/>
      <c r="Q880" s="54"/>
      <c r="R880" s="52"/>
      <c r="S880" s="52"/>
      <c r="T880" s="52"/>
      <c r="U880" s="52"/>
      <c r="V880" s="52"/>
    </row>
    <row r="881" spans="1:22" ht="13.2" x14ac:dyDescent="0.25">
      <c r="A881" s="52"/>
      <c r="B881" s="52"/>
      <c r="C881" s="52"/>
      <c r="D881" s="52"/>
      <c r="E881" s="52"/>
      <c r="F881" s="50"/>
      <c r="G881" s="52"/>
      <c r="H881" s="52"/>
      <c r="I881" s="52"/>
      <c r="J881" s="51"/>
      <c r="K881" s="52"/>
      <c r="L881" s="52"/>
      <c r="M881" s="52"/>
      <c r="N881" s="50"/>
      <c r="O881" s="52"/>
      <c r="P881" s="54"/>
      <c r="Q881" s="54"/>
      <c r="R881" s="52"/>
      <c r="S881" s="52"/>
      <c r="T881" s="52"/>
      <c r="U881" s="52"/>
      <c r="V881" s="52"/>
    </row>
    <row r="882" spans="1:22" ht="13.2" x14ac:dyDescent="0.25">
      <c r="A882" s="52"/>
      <c r="B882" s="52"/>
      <c r="C882" s="52"/>
      <c r="D882" s="52"/>
      <c r="E882" s="52"/>
      <c r="F882" s="50"/>
      <c r="G882" s="52"/>
      <c r="H882" s="52"/>
      <c r="I882" s="52"/>
      <c r="J882" s="51"/>
      <c r="K882" s="52"/>
      <c r="L882" s="52"/>
      <c r="M882" s="52"/>
      <c r="N882" s="50"/>
      <c r="O882" s="52"/>
      <c r="P882" s="54"/>
      <c r="Q882" s="54"/>
      <c r="R882" s="52"/>
      <c r="S882" s="52"/>
      <c r="T882" s="52"/>
      <c r="U882" s="52"/>
      <c r="V882" s="52"/>
    </row>
    <row r="883" spans="1:22" ht="13.2" x14ac:dyDescent="0.25">
      <c r="A883" s="52"/>
      <c r="B883" s="52"/>
      <c r="C883" s="52"/>
      <c r="D883" s="52"/>
      <c r="E883" s="52"/>
      <c r="F883" s="50"/>
      <c r="G883" s="52"/>
      <c r="H883" s="52"/>
      <c r="I883" s="52"/>
      <c r="J883" s="51"/>
      <c r="K883" s="52"/>
      <c r="L883" s="52"/>
      <c r="M883" s="52"/>
      <c r="N883" s="50"/>
      <c r="O883" s="52"/>
      <c r="P883" s="54"/>
      <c r="Q883" s="54"/>
      <c r="R883" s="52"/>
      <c r="S883" s="52"/>
      <c r="T883" s="52"/>
      <c r="U883" s="52"/>
      <c r="V883" s="52"/>
    </row>
    <row r="884" spans="1:22" ht="13.2" x14ac:dyDescent="0.25">
      <c r="A884" s="52"/>
      <c r="B884" s="52"/>
      <c r="C884" s="52"/>
      <c r="D884" s="52"/>
      <c r="E884" s="52"/>
      <c r="F884" s="50"/>
      <c r="G884" s="52"/>
      <c r="H884" s="52"/>
      <c r="I884" s="52"/>
      <c r="J884" s="51"/>
      <c r="K884" s="52"/>
      <c r="L884" s="52"/>
      <c r="M884" s="52"/>
      <c r="N884" s="50"/>
      <c r="O884" s="52"/>
      <c r="P884" s="54"/>
      <c r="Q884" s="54"/>
      <c r="R884" s="52"/>
      <c r="S884" s="52"/>
      <c r="T884" s="52"/>
      <c r="U884" s="52"/>
      <c r="V884" s="52"/>
    </row>
    <row r="885" spans="1:22" ht="13.2" x14ac:dyDescent="0.25">
      <c r="A885" s="52"/>
      <c r="B885" s="52"/>
      <c r="C885" s="52"/>
      <c r="D885" s="52"/>
      <c r="E885" s="52"/>
      <c r="F885" s="50"/>
      <c r="G885" s="52"/>
      <c r="H885" s="52"/>
      <c r="I885" s="52"/>
      <c r="J885" s="51"/>
      <c r="K885" s="52"/>
      <c r="L885" s="52"/>
      <c r="M885" s="52"/>
      <c r="N885" s="50"/>
      <c r="O885" s="52"/>
      <c r="P885" s="54"/>
      <c r="Q885" s="54"/>
      <c r="R885" s="52"/>
      <c r="S885" s="52"/>
      <c r="T885" s="52"/>
      <c r="U885" s="52"/>
      <c r="V885" s="52"/>
    </row>
    <row r="886" spans="1:22" ht="13.2" x14ac:dyDescent="0.25">
      <c r="A886" s="52"/>
      <c r="B886" s="52"/>
      <c r="C886" s="52"/>
      <c r="D886" s="52"/>
      <c r="E886" s="52"/>
      <c r="F886" s="50"/>
      <c r="G886" s="52"/>
      <c r="H886" s="52"/>
      <c r="I886" s="52"/>
      <c r="J886" s="51"/>
      <c r="K886" s="52"/>
      <c r="L886" s="52"/>
      <c r="M886" s="52"/>
      <c r="N886" s="50"/>
      <c r="O886" s="52"/>
      <c r="P886" s="54"/>
      <c r="Q886" s="54"/>
      <c r="R886" s="52"/>
      <c r="S886" s="52"/>
      <c r="T886" s="52"/>
      <c r="U886" s="52"/>
      <c r="V886" s="52"/>
    </row>
    <row r="887" spans="1:22" ht="13.2" x14ac:dyDescent="0.25">
      <c r="A887" s="52"/>
      <c r="B887" s="52"/>
      <c r="C887" s="52"/>
      <c r="D887" s="52"/>
      <c r="E887" s="52"/>
      <c r="F887" s="50"/>
      <c r="G887" s="52"/>
      <c r="H887" s="52"/>
      <c r="I887" s="52"/>
      <c r="J887" s="51"/>
      <c r="K887" s="52"/>
      <c r="L887" s="52"/>
      <c r="M887" s="52"/>
      <c r="N887" s="50"/>
      <c r="O887" s="52"/>
      <c r="P887" s="54"/>
      <c r="Q887" s="54"/>
      <c r="R887" s="52"/>
      <c r="S887" s="52"/>
      <c r="T887" s="52"/>
      <c r="U887" s="52"/>
      <c r="V887" s="52"/>
    </row>
    <row r="888" spans="1:22" ht="13.2" x14ac:dyDescent="0.25">
      <c r="A888" s="52"/>
      <c r="B888" s="52"/>
      <c r="C888" s="52"/>
      <c r="D888" s="52"/>
      <c r="E888" s="52"/>
      <c r="F888" s="50"/>
      <c r="G888" s="52"/>
      <c r="H888" s="52"/>
      <c r="I888" s="52"/>
      <c r="J888" s="51"/>
      <c r="K888" s="52"/>
      <c r="L888" s="52"/>
      <c r="M888" s="52"/>
      <c r="N888" s="50"/>
      <c r="O888" s="52"/>
      <c r="P888" s="54"/>
      <c r="Q888" s="54"/>
      <c r="R888" s="52"/>
      <c r="S888" s="52"/>
      <c r="T888" s="52"/>
      <c r="U888" s="52"/>
      <c r="V888" s="52"/>
    </row>
    <row r="889" spans="1:22" ht="13.2" x14ac:dyDescent="0.25">
      <c r="A889" s="52"/>
      <c r="B889" s="52"/>
      <c r="C889" s="52"/>
      <c r="D889" s="52"/>
      <c r="E889" s="52"/>
      <c r="F889" s="50"/>
      <c r="G889" s="52"/>
      <c r="H889" s="52"/>
      <c r="I889" s="52"/>
      <c r="J889" s="51"/>
      <c r="K889" s="52"/>
      <c r="L889" s="52"/>
      <c r="M889" s="52"/>
      <c r="N889" s="50"/>
      <c r="O889" s="52"/>
      <c r="P889" s="54"/>
      <c r="Q889" s="54"/>
      <c r="R889" s="52"/>
      <c r="S889" s="52"/>
      <c r="T889" s="52"/>
      <c r="U889" s="52"/>
      <c r="V889" s="52"/>
    </row>
    <row r="890" spans="1:22" ht="13.2" x14ac:dyDescent="0.25">
      <c r="A890" s="52"/>
      <c r="B890" s="52"/>
      <c r="C890" s="52"/>
      <c r="D890" s="52"/>
      <c r="E890" s="52"/>
      <c r="F890" s="50"/>
      <c r="G890" s="52"/>
      <c r="H890" s="52"/>
      <c r="I890" s="52"/>
      <c r="J890" s="51"/>
      <c r="K890" s="52"/>
      <c r="L890" s="52"/>
      <c r="M890" s="52"/>
      <c r="N890" s="50"/>
      <c r="O890" s="52"/>
      <c r="P890" s="54"/>
      <c r="Q890" s="54"/>
      <c r="R890" s="52"/>
      <c r="S890" s="52"/>
      <c r="T890" s="52"/>
      <c r="U890" s="52"/>
      <c r="V890" s="52"/>
    </row>
    <row r="891" spans="1:22" ht="13.2" x14ac:dyDescent="0.25">
      <c r="A891" s="52"/>
      <c r="B891" s="52"/>
      <c r="C891" s="52"/>
      <c r="D891" s="52"/>
      <c r="E891" s="52"/>
      <c r="F891" s="50"/>
      <c r="G891" s="52"/>
      <c r="H891" s="52"/>
      <c r="I891" s="52"/>
      <c r="J891" s="51"/>
      <c r="K891" s="52"/>
      <c r="L891" s="52"/>
      <c r="M891" s="52"/>
      <c r="N891" s="50"/>
      <c r="O891" s="52"/>
      <c r="P891" s="54"/>
      <c r="Q891" s="54"/>
      <c r="R891" s="52"/>
      <c r="S891" s="52"/>
      <c r="T891" s="52"/>
      <c r="U891" s="52"/>
      <c r="V891" s="52"/>
    </row>
    <row r="892" spans="1:22" ht="13.2" x14ac:dyDescent="0.25">
      <c r="A892" s="52"/>
      <c r="B892" s="52"/>
      <c r="C892" s="52"/>
      <c r="D892" s="52"/>
      <c r="E892" s="52"/>
      <c r="F892" s="50"/>
      <c r="G892" s="52"/>
      <c r="H892" s="52"/>
      <c r="I892" s="52"/>
      <c r="J892" s="51"/>
      <c r="K892" s="52"/>
      <c r="L892" s="52"/>
      <c r="M892" s="52"/>
      <c r="N892" s="50"/>
      <c r="O892" s="52"/>
      <c r="P892" s="54"/>
      <c r="Q892" s="54"/>
      <c r="R892" s="52"/>
      <c r="S892" s="52"/>
      <c r="T892" s="52"/>
      <c r="U892" s="52"/>
      <c r="V892" s="52"/>
    </row>
    <row r="893" spans="1:22" ht="13.2" x14ac:dyDescent="0.25">
      <c r="A893" s="52"/>
      <c r="B893" s="52"/>
      <c r="C893" s="52"/>
      <c r="D893" s="52"/>
      <c r="E893" s="52"/>
      <c r="F893" s="50"/>
      <c r="G893" s="52"/>
      <c r="H893" s="52"/>
      <c r="I893" s="52"/>
      <c r="J893" s="51"/>
      <c r="K893" s="52"/>
      <c r="L893" s="52"/>
      <c r="M893" s="52"/>
      <c r="N893" s="50"/>
      <c r="O893" s="52"/>
      <c r="P893" s="54"/>
      <c r="Q893" s="54"/>
      <c r="R893" s="52"/>
      <c r="S893" s="52"/>
      <c r="T893" s="52"/>
      <c r="U893" s="52"/>
      <c r="V893" s="52"/>
    </row>
    <row r="894" spans="1:22" ht="13.2" x14ac:dyDescent="0.25">
      <c r="A894" s="52"/>
      <c r="B894" s="52"/>
      <c r="C894" s="52"/>
      <c r="D894" s="52"/>
      <c r="E894" s="52"/>
      <c r="F894" s="50"/>
      <c r="G894" s="52"/>
      <c r="H894" s="52"/>
      <c r="I894" s="52"/>
      <c r="J894" s="51"/>
      <c r="K894" s="52"/>
      <c r="L894" s="52"/>
      <c r="M894" s="52"/>
      <c r="N894" s="50"/>
      <c r="O894" s="52"/>
      <c r="P894" s="54"/>
      <c r="Q894" s="54"/>
      <c r="R894" s="52"/>
      <c r="S894" s="52"/>
      <c r="T894" s="52"/>
      <c r="U894" s="52"/>
      <c r="V894" s="52"/>
    </row>
    <row r="895" spans="1:22" ht="13.2" x14ac:dyDescent="0.25">
      <c r="A895" s="52"/>
      <c r="B895" s="52"/>
      <c r="C895" s="52"/>
      <c r="D895" s="52"/>
      <c r="E895" s="52"/>
      <c r="F895" s="50"/>
      <c r="G895" s="52"/>
      <c r="H895" s="52"/>
      <c r="I895" s="52"/>
      <c r="J895" s="51"/>
      <c r="K895" s="52"/>
      <c r="L895" s="52"/>
      <c r="M895" s="52"/>
      <c r="N895" s="50"/>
      <c r="O895" s="52"/>
      <c r="P895" s="54"/>
      <c r="Q895" s="54"/>
      <c r="R895" s="52"/>
      <c r="S895" s="52"/>
      <c r="T895" s="52"/>
      <c r="U895" s="52"/>
      <c r="V895" s="52"/>
    </row>
    <row r="896" spans="1:22" ht="13.2" x14ac:dyDescent="0.25">
      <c r="A896" s="52"/>
      <c r="B896" s="52"/>
      <c r="C896" s="52"/>
      <c r="D896" s="52"/>
      <c r="E896" s="52"/>
      <c r="F896" s="50"/>
      <c r="G896" s="52"/>
      <c r="H896" s="52"/>
      <c r="I896" s="52"/>
      <c r="J896" s="51"/>
      <c r="K896" s="52"/>
      <c r="L896" s="52"/>
      <c r="M896" s="52"/>
      <c r="N896" s="50"/>
      <c r="O896" s="52"/>
      <c r="P896" s="54"/>
      <c r="Q896" s="54"/>
      <c r="R896" s="52"/>
      <c r="S896" s="52"/>
      <c r="T896" s="52"/>
      <c r="U896" s="52"/>
      <c r="V896" s="52"/>
    </row>
    <row r="897" spans="1:22" ht="13.2" x14ac:dyDescent="0.25">
      <c r="A897" s="52"/>
      <c r="B897" s="52"/>
      <c r="C897" s="52"/>
      <c r="D897" s="52"/>
      <c r="E897" s="52"/>
      <c r="F897" s="50"/>
      <c r="G897" s="52"/>
      <c r="H897" s="52"/>
      <c r="I897" s="52"/>
      <c r="J897" s="51"/>
      <c r="K897" s="52"/>
      <c r="L897" s="52"/>
      <c r="M897" s="52"/>
      <c r="N897" s="50"/>
      <c r="O897" s="52"/>
      <c r="P897" s="54"/>
      <c r="Q897" s="54"/>
      <c r="R897" s="52"/>
      <c r="S897" s="52"/>
      <c r="T897" s="52"/>
      <c r="U897" s="52"/>
      <c r="V897" s="52"/>
    </row>
    <row r="898" spans="1:22" ht="13.2" x14ac:dyDescent="0.25">
      <c r="A898" s="52"/>
      <c r="B898" s="52"/>
      <c r="C898" s="52"/>
      <c r="D898" s="52"/>
      <c r="E898" s="52"/>
      <c r="F898" s="50"/>
      <c r="G898" s="52"/>
      <c r="H898" s="52"/>
      <c r="I898" s="52"/>
      <c r="J898" s="51"/>
      <c r="K898" s="52"/>
      <c r="L898" s="52"/>
      <c r="M898" s="52"/>
      <c r="N898" s="50"/>
      <c r="O898" s="52"/>
      <c r="P898" s="54"/>
      <c r="Q898" s="54"/>
      <c r="R898" s="52"/>
      <c r="S898" s="52"/>
      <c r="T898" s="52"/>
      <c r="U898" s="52"/>
      <c r="V898" s="52"/>
    </row>
    <row r="899" spans="1:22" ht="13.2" x14ac:dyDescent="0.25">
      <c r="A899" s="52"/>
      <c r="B899" s="52"/>
      <c r="C899" s="52"/>
      <c r="D899" s="52"/>
      <c r="E899" s="52"/>
      <c r="F899" s="50"/>
      <c r="G899" s="52"/>
      <c r="H899" s="52"/>
      <c r="I899" s="52"/>
      <c r="J899" s="51"/>
      <c r="K899" s="52"/>
      <c r="L899" s="52"/>
      <c r="M899" s="52"/>
      <c r="N899" s="50"/>
      <c r="O899" s="52"/>
      <c r="P899" s="54"/>
      <c r="Q899" s="54"/>
      <c r="R899" s="52"/>
      <c r="S899" s="52"/>
      <c r="T899" s="52"/>
      <c r="U899" s="52"/>
      <c r="V899" s="52"/>
    </row>
    <row r="900" spans="1:22" ht="13.2" x14ac:dyDescent="0.25">
      <c r="A900" s="52"/>
      <c r="B900" s="52"/>
      <c r="C900" s="52"/>
      <c r="D900" s="52"/>
      <c r="E900" s="52"/>
      <c r="F900" s="50"/>
      <c r="G900" s="52"/>
      <c r="H900" s="52"/>
      <c r="I900" s="52"/>
      <c r="J900" s="51"/>
      <c r="K900" s="52"/>
      <c r="L900" s="52"/>
      <c r="M900" s="52"/>
      <c r="N900" s="50"/>
      <c r="O900" s="52"/>
      <c r="P900" s="54"/>
      <c r="Q900" s="54"/>
      <c r="R900" s="52"/>
      <c r="S900" s="52"/>
      <c r="T900" s="52"/>
      <c r="U900" s="52"/>
      <c r="V900" s="52"/>
    </row>
    <row r="901" spans="1:22" ht="13.2" x14ac:dyDescent="0.25">
      <c r="A901" s="52"/>
      <c r="B901" s="52"/>
      <c r="C901" s="52"/>
      <c r="D901" s="52"/>
      <c r="E901" s="52"/>
      <c r="F901" s="50"/>
      <c r="G901" s="52"/>
      <c r="H901" s="52"/>
      <c r="I901" s="52"/>
      <c r="J901" s="51"/>
      <c r="K901" s="52"/>
      <c r="L901" s="52"/>
      <c r="M901" s="52"/>
      <c r="N901" s="50"/>
      <c r="O901" s="52"/>
      <c r="P901" s="54"/>
      <c r="Q901" s="54"/>
      <c r="R901" s="52"/>
      <c r="S901" s="52"/>
      <c r="T901" s="52"/>
      <c r="U901" s="52"/>
      <c r="V901" s="52"/>
    </row>
    <row r="902" spans="1:22" ht="13.2" x14ac:dyDescent="0.25">
      <c r="A902" s="52"/>
      <c r="B902" s="52"/>
      <c r="C902" s="52"/>
      <c r="D902" s="52"/>
      <c r="E902" s="52"/>
      <c r="F902" s="50"/>
      <c r="G902" s="52"/>
      <c r="H902" s="52"/>
      <c r="I902" s="52"/>
      <c r="J902" s="51"/>
      <c r="K902" s="52"/>
      <c r="L902" s="52"/>
      <c r="M902" s="52"/>
      <c r="N902" s="50"/>
      <c r="O902" s="52"/>
      <c r="P902" s="54"/>
      <c r="Q902" s="54"/>
      <c r="R902" s="52"/>
      <c r="S902" s="52"/>
      <c r="T902" s="52"/>
      <c r="U902" s="52"/>
      <c r="V902" s="52"/>
    </row>
    <row r="903" spans="1:22" ht="13.2" x14ac:dyDescent="0.25">
      <c r="A903" s="52"/>
      <c r="B903" s="52"/>
      <c r="C903" s="52"/>
      <c r="D903" s="52"/>
      <c r="E903" s="52"/>
      <c r="F903" s="50"/>
      <c r="G903" s="52"/>
      <c r="H903" s="52"/>
      <c r="I903" s="52"/>
      <c r="J903" s="51"/>
      <c r="K903" s="52"/>
      <c r="L903" s="52"/>
      <c r="M903" s="52"/>
      <c r="N903" s="50"/>
      <c r="O903" s="52"/>
      <c r="P903" s="54"/>
      <c r="Q903" s="54"/>
      <c r="R903" s="52"/>
      <c r="S903" s="52"/>
      <c r="T903" s="52"/>
      <c r="U903" s="52"/>
      <c r="V903" s="52"/>
    </row>
    <row r="904" spans="1:22" ht="13.2" x14ac:dyDescent="0.25">
      <c r="A904" s="52"/>
      <c r="B904" s="52"/>
      <c r="C904" s="52"/>
      <c r="D904" s="52"/>
      <c r="E904" s="52"/>
      <c r="F904" s="50"/>
      <c r="G904" s="52"/>
      <c r="H904" s="52"/>
      <c r="I904" s="52"/>
      <c r="J904" s="51"/>
      <c r="K904" s="52"/>
      <c r="L904" s="52"/>
      <c r="M904" s="52"/>
      <c r="N904" s="50"/>
      <c r="O904" s="52"/>
      <c r="P904" s="54"/>
      <c r="Q904" s="54"/>
      <c r="R904" s="52"/>
      <c r="S904" s="52"/>
      <c r="T904" s="52"/>
      <c r="U904" s="52"/>
      <c r="V904" s="52"/>
    </row>
    <row r="905" spans="1:22" ht="13.2" x14ac:dyDescent="0.25">
      <c r="A905" s="52"/>
      <c r="B905" s="52"/>
      <c r="C905" s="52"/>
      <c r="D905" s="52"/>
      <c r="E905" s="52"/>
      <c r="F905" s="50"/>
      <c r="G905" s="52"/>
      <c r="H905" s="52"/>
      <c r="I905" s="52"/>
      <c r="J905" s="51"/>
      <c r="K905" s="52"/>
      <c r="L905" s="52"/>
      <c r="M905" s="52"/>
      <c r="N905" s="50"/>
      <c r="O905" s="52"/>
      <c r="P905" s="54"/>
      <c r="Q905" s="54"/>
      <c r="R905" s="52"/>
      <c r="S905" s="52"/>
      <c r="T905" s="52"/>
      <c r="U905" s="52"/>
      <c r="V905" s="52"/>
    </row>
    <row r="906" spans="1:22" ht="13.2" x14ac:dyDescent="0.25">
      <c r="A906" s="52"/>
      <c r="B906" s="52"/>
      <c r="C906" s="52"/>
      <c r="D906" s="52"/>
      <c r="E906" s="52"/>
      <c r="F906" s="50"/>
      <c r="G906" s="52"/>
      <c r="H906" s="52"/>
      <c r="I906" s="52"/>
      <c r="J906" s="51"/>
      <c r="K906" s="52"/>
      <c r="L906" s="52"/>
      <c r="M906" s="52"/>
      <c r="N906" s="50"/>
      <c r="O906" s="52"/>
      <c r="P906" s="54"/>
      <c r="Q906" s="54"/>
      <c r="R906" s="52"/>
      <c r="S906" s="52"/>
      <c r="T906" s="52"/>
      <c r="U906" s="52"/>
      <c r="V906" s="52"/>
    </row>
    <row r="907" spans="1:22" ht="13.2" x14ac:dyDescent="0.25">
      <c r="A907" s="52"/>
      <c r="B907" s="52"/>
      <c r="C907" s="52"/>
      <c r="D907" s="52"/>
      <c r="E907" s="52"/>
      <c r="F907" s="50"/>
      <c r="G907" s="52"/>
      <c r="H907" s="52"/>
      <c r="I907" s="52"/>
      <c r="J907" s="51"/>
      <c r="K907" s="52"/>
      <c r="L907" s="52"/>
      <c r="M907" s="52"/>
      <c r="N907" s="50"/>
      <c r="O907" s="52"/>
      <c r="P907" s="54"/>
      <c r="Q907" s="54"/>
      <c r="R907" s="52"/>
      <c r="S907" s="52"/>
      <c r="T907" s="52"/>
      <c r="U907" s="52"/>
      <c r="V907" s="52"/>
    </row>
    <row r="908" spans="1:22" ht="13.2" x14ac:dyDescent="0.25">
      <c r="A908" s="52"/>
      <c r="B908" s="52"/>
      <c r="C908" s="52"/>
      <c r="D908" s="52"/>
      <c r="E908" s="52"/>
      <c r="F908" s="50"/>
      <c r="G908" s="52"/>
      <c r="H908" s="52"/>
      <c r="I908" s="52"/>
      <c r="J908" s="51"/>
      <c r="K908" s="52"/>
      <c r="L908" s="52"/>
      <c r="M908" s="52"/>
      <c r="N908" s="50"/>
      <c r="O908" s="52"/>
      <c r="P908" s="54"/>
      <c r="Q908" s="54"/>
      <c r="R908" s="52"/>
      <c r="S908" s="52"/>
      <c r="T908" s="52"/>
      <c r="U908" s="52"/>
      <c r="V908" s="52"/>
    </row>
    <row r="909" spans="1:22" ht="13.2" x14ac:dyDescent="0.25">
      <c r="A909" s="52"/>
      <c r="B909" s="52"/>
      <c r="C909" s="52"/>
      <c r="D909" s="52"/>
      <c r="E909" s="52"/>
      <c r="F909" s="50"/>
      <c r="G909" s="52"/>
      <c r="H909" s="52"/>
      <c r="I909" s="52"/>
      <c r="J909" s="51"/>
      <c r="K909" s="52"/>
      <c r="L909" s="52"/>
      <c r="M909" s="52"/>
      <c r="N909" s="50"/>
      <c r="O909" s="52"/>
      <c r="P909" s="54"/>
      <c r="Q909" s="54"/>
      <c r="R909" s="52"/>
      <c r="S909" s="52"/>
      <c r="T909" s="52"/>
      <c r="U909" s="52"/>
      <c r="V909" s="52"/>
    </row>
    <row r="910" spans="1:22" ht="13.2" x14ac:dyDescent="0.25">
      <c r="A910" s="52"/>
      <c r="B910" s="52"/>
      <c r="C910" s="52"/>
      <c r="D910" s="52"/>
      <c r="E910" s="52"/>
      <c r="F910" s="50"/>
      <c r="G910" s="52"/>
      <c r="H910" s="52"/>
      <c r="I910" s="52"/>
      <c r="J910" s="51"/>
      <c r="K910" s="52"/>
      <c r="L910" s="52"/>
      <c r="M910" s="52"/>
      <c r="N910" s="50"/>
      <c r="O910" s="52"/>
      <c r="P910" s="54"/>
      <c r="Q910" s="54"/>
      <c r="R910" s="52"/>
      <c r="S910" s="52"/>
      <c r="T910" s="52"/>
      <c r="U910" s="52"/>
      <c r="V910" s="52"/>
    </row>
    <row r="911" spans="1:22" ht="13.2" x14ac:dyDescent="0.25">
      <c r="A911" s="52"/>
      <c r="B911" s="52"/>
      <c r="C911" s="52"/>
      <c r="D911" s="52"/>
      <c r="E911" s="52"/>
      <c r="F911" s="50"/>
      <c r="G911" s="52"/>
      <c r="H911" s="52"/>
      <c r="I911" s="52"/>
      <c r="J911" s="51"/>
      <c r="K911" s="52"/>
      <c r="L911" s="52"/>
      <c r="M911" s="52"/>
      <c r="N911" s="50"/>
      <c r="O911" s="52"/>
      <c r="P911" s="54"/>
      <c r="Q911" s="54"/>
      <c r="R911" s="52"/>
      <c r="S911" s="52"/>
      <c r="T911" s="52"/>
      <c r="U911" s="52"/>
      <c r="V911" s="52"/>
    </row>
    <row r="912" spans="1:22" ht="13.2" x14ac:dyDescent="0.25">
      <c r="A912" s="52"/>
      <c r="B912" s="52"/>
      <c r="C912" s="52"/>
      <c r="D912" s="52"/>
      <c r="E912" s="52"/>
      <c r="F912" s="50"/>
      <c r="G912" s="52"/>
      <c r="H912" s="52"/>
      <c r="I912" s="52"/>
      <c r="J912" s="51"/>
      <c r="K912" s="52"/>
      <c r="L912" s="52"/>
      <c r="M912" s="52"/>
      <c r="N912" s="50"/>
      <c r="O912" s="52"/>
      <c r="P912" s="54"/>
      <c r="Q912" s="54"/>
      <c r="R912" s="52"/>
      <c r="S912" s="52"/>
      <c r="T912" s="52"/>
      <c r="U912" s="52"/>
      <c r="V912" s="52"/>
    </row>
    <row r="913" spans="1:22" ht="13.2" x14ac:dyDescent="0.25">
      <c r="A913" s="52"/>
      <c r="B913" s="52"/>
      <c r="C913" s="52"/>
      <c r="D913" s="52"/>
      <c r="E913" s="52"/>
      <c r="F913" s="50"/>
      <c r="G913" s="52"/>
      <c r="H913" s="52"/>
      <c r="I913" s="52"/>
      <c r="J913" s="51"/>
      <c r="K913" s="52"/>
      <c r="L913" s="52"/>
      <c r="M913" s="52"/>
      <c r="N913" s="50"/>
      <c r="O913" s="52"/>
      <c r="P913" s="54"/>
      <c r="Q913" s="54"/>
      <c r="R913" s="52"/>
      <c r="S913" s="52"/>
      <c r="T913" s="52"/>
      <c r="U913" s="52"/>
      <c r="V913" s="52"/>
    </row>
    <row r="914" spans="1:22" ht="13.2" x14ac:dyDescent="0.25">
      <c r="A914" s="52"/>
      <c r="B914" s="52"/>
      <c r="C914" s="52"/>
      <c r="D914" s="52"/>
      <c r="E914" s="52"/>
      <c r="F914" s="50"/>
      <c r="G914" s="52"/>
      <c r="H914" s="52"/>
      <c r="I914" s="52"/>
      <c r="J914" s="51"/>
      <c r="K914" s="52"/>
      <c r="L914" s="52"/>
      <c r="M914" s="52"/>
      <c r="N914" s="50"/>
      <c r="O914" s="52"/>
      <c r="P914" s="54"/>
      <c r="Q914" s="54"/>
      <c r="R914" s="52"/>
      <c r="S914" s="52"/>
      <c r="T914" s="52"/>
      <c r="U914" s="52"/>
      <c r="V914" s="52"/>
    </row>
    <row r="915" spans="1:22" ht="13.2" x14ac:dyDescent="0.25">
      <c r="A915" s="52"/>
      <c r="B915" s="52"/>
      <c r="C915" s="52"/>
      <c r="D915" s="52"/>
      <c r="E915" s="52"/>
      <c r="F915" s="50"/>
      <c r="G915" s="52"/>
      <c r="H915" s="52"/>
      <c r="I915" s="52"/>
      <c r="J915" s="51"/>
      <c r="K915" s="52"/>
      <c r="L915" s="52"/>
      <c r="M915" s="52"/>
      <c r="N915" s="50"/>
      <c r="O915" s="52"/>
      <c r="P915" s="54"/>
      <c r="Q915" s="54"/>
      <c r="R915" s="52"/>
      <c r="S915" s="52"/>
      <c r="T915" s="52"/>
      <c r="U915" s="52"/>
      <c r="V915" s="52"/>
    </row>
    <row r="916" spans="1:22" ht="13.2" x14ac:dyDescent="0.25">
      <c r="A916" s="52"/>
      <c r="B916" s="52"/>
      <c r="C916" s="52"/>
      <c r="D916" s="52"/>
      <c r="E916" s="52"/>
      <c r="F916" s="50"/>
      <c r="G916" s="52"/>
      <c r="H916" s="52"/>
      <c r="I916" s="52"/>
      <c r="J916" s="51"/>
      <c r="K916" s="52"/>
      <c r="L916" s="52"/>
      <c r="M916" s="52"/>
      <c r="N916" s="50"/>
      <c r="O916" s="52"/>
      <c r="P916" s="54"/>
      <c r="Q916" s="54"/>
      <c r="R916" s="52"/>
      <c r="S916" s="52"/>
      <c r="T916" s="52"/>
      <c r="U916" s="52"/>
      <c r="V916" s="52"/>
    </row>
    <row r="917" spans="1:22" ht="13.2" x14ac:dyDescent="0.25">
      <c r="A917" s="52"/>
      <c r="B917" s="52"/>
      <c r="C917" s="52"/>
      <c r="D917" s="52"/>
      <c r="E917" s="52"/>
      <c r="F917" s="50"/>
      <c r="G917" s="52"/>
      <c r="H917" s="52"/>
      <c r="I917" s="52"/>
      <c r="J917" s="51"/>
      <c r="K917" s="52"/>
      <c r="L917" s="52"/>
      <c r="M917" s="52"/>
      <c r="N917" s="50"/>
      <c r="O917" s="52"/>
      <c r="P917" s="54"/>
      <c r="Q917" s="54"/>
      <c r="R917" s="52"/>
      <c r="S917" s="52"/>
      <c r="T917" s="52"/>
      <c r="U917" s="52"/>
      <c r="V917" s="52"/>
    </row>
    <row r="918" spans="1:22" ht="13.2" x14ac:dyDescent="0.25">
      <c r="A918" s="52"/>
      <c r="B918" s="52"/>
      <c r="C918" s="52"/>
      <c r="D918" s="52"/>
      <c r="E918" s="52"/>
      <c r="F918" s="50"/>
      <c r="G918" s="52"/>
      <c r="H918" s="52"/>
      <c r="I918" s="52"/>
      <c r="J918" s="51"/>
      <c r="K918" s="52"/>
      <c r="L918" s="52"/>
      <c r="M918" s="52"/>
      <c r="N918" s="50"/>
      <c r="O918" s="52"/>
      <c r="P918" s="54"/>
      <c r="Q918" s="54"/>
      <c r="R918" s="52"/>
      <c r="S918" s="52"/>
      <c r="T918" s="52"/>
      <c r="U918" s="52"/>
      <c r="V918" s="52"/>
    </row>
    <row r="919" spans="1:22" ht="13.2" x14ac:dyDescent="0.25">
      <c r="A919" s="52"/>
      <c r="B919" s="52"/>
      <c r="C919" s="52"/>
      <c r="D919" s="52"/>
      <c r="E919" s="52"/>
      <c r="F919" s="50"/>
      <c r="G919" s="52"/>
      <c r="H919" s="52"/>
      <c r="I919" s="52"/>
      <c r="J919" s="51"/>
      <c r="K919" s="52"/>
      <c r="L919" s="52"/>
      <c r="M919" s="52"/>
      <c r="N919" s="50"/>
      <c r="O919" s="52"/>
      <c r="P919" s="54"/>
      <c r="Q919" s="54"/>
      <c r="R919" s="52"/>
      <c r="S919" s="52"/>
      <c r="T919" s="52"/>
      <c r="U919" s="52"/>
      <c r="V919" s="52"/>
    </row>
    <row r="920" spans="1:22" ht="13.2" x14ac:dyDescent="0.25">
      <c r="A920" s="52"/>
      <c r="B920" s="52"/>
      <c r="C920" s="52"/>
      <c r="D920" s="52"/>
      <c r="E920" s="52"/>
      <c r="F920" s="50"/>
      <c r="G920" s="52"/>
      <c r="H920" s="52"/>
      <c r="I920" s="52"/>
      <c r="J920" s="51"/>
      <c r="K920" s="52"/>
      <c r="L920" s="52"/>
      <c r="M920" s="52"/>
      <c r="N920" s="50"/>
      <c r="O920" s="52"/>
      <c r="P920" s="54"/>
      <c r="Q920" s="54"/>
      <c r="R920" s="52"/>
      <c r="S920" s="52"/>
      <c r="T920" s="52"/>
      <c r="U920" s="52"/>
      <c r="V920" s="52"/>
    </row>
    <row r="921" spans="1:22" ht="13.2" x14ac:dyDescent="0.25">
      <c r="A921" s="52"/>
      <c r="B921" s="52"/>
      <c r="C921" s="52"/>
      <c r="D921" s="52"/>
      <c r="E921" s="52"/>
      <c r="F921" s="50"/>
      <c r="G921" s="52"/>
      <c r="H921" s="52"/>
      <c r="I921" s="52"/>
      <c r="J921" s="51"/>
      <c r="K921" s="52"/>
      <c r="L921" s="52"/>
      <c r="M921" s="52"/>
      <c r="N921" s="50"/>
      <c r="O921" s="52"/>
      <c r="P921" s="54"/>
      <c r="Q921" s="54"/>
      <c r="R921" s="52"/>
      <c r="S921" s="52"/>
      <c r="T921" s="52"/>
      <c r="U921" s="52"/>
      <c r="V921" s="52"/>
    </row>
    <row r="922" spans="1:22" ht="13.2" x14ac:dyDescent="0.25">
      <c r="A922" s="52"/>
      <c r="B922" s="52"/>
      <c r="C922" s="52"/>
      <c r="D922" s="52"/>
      <c r="E922" s="52"/>
      <c r="F922" s="50"/>
      <c r="G922" s="52"/>
      <c r="H922" s="52"/>
      <c r="I922" s="52"/>
      <c r="J922" s="51"/>
      <c r="K922" s="52"/>
      <c r="L922" s="52"/>
      <c r="M922" s="52"/>
      <c r="N922" s="50"/>
      <c r="O922" s="52"/>
      <c r="P922" s="54"/>
      <c r="Q922" s="54"/>
      <c r="R922" s="52"/>
      <c r="S922" s="52"/>
      <c r="T922" s="52"/>
      <c r="U922" s="52"/>
      <c r="V922" s="52"/>
    </row>
    <row r="923" spans="1:22" ht="13.2" x14ac:dyDescent="0.25">
      <c r="A923" s="52"/>
      <c r="B923" s="52"/>
      <c r="C923" s="52"/>
      <c r="D923" s="52"/>
      <c r="E923" s="52"/>
      <c r="F923" s="50"/>
      <c r="G923" s="52"/>
      <c r="H923" s="52"/>
      <c r="I923" s="52"/>
      <c r="J923" s="51"/>
      <c r="K923" s="52"/>
      <c r="L923" s="52"/>
      <c r="M923" s="52"/>
      <c r="N923" s="50"/>
      <c r="O923" s="52"/>
      <c r="P923" s="54"/>
      <c r="Q923" s="54"/>
      <c r="R923" s="52"/>
      <c r="S923" s="52"/>
      <c r="T923" s="52"/>
      <c r="U923" s="52"/>
      <c r="V923" s="52"/>
    </row>
    <row r="924" spans="1:22" ht="13.2" x14ac:dyDescent="0.25">
      <c r="A924" s="52"/>
      <c r="B924" s="52"/>
      <c r="C924" s="52"/>
      <c r="D924" s="52"/>
      <c r="E924" s="52"/>
      <c r="F924" s="50"/>
      <c r="G924" s="52"/>
      <c r="H924" s="52"/>
      <c r="I924" s="52"/>
      <c r="J924" s="51"/>
      <c r="K924" s="52"/>
      <c r="L924" s="52"/>
      <c r="M924" s="52"/>
      <c r="N924" s="50"/>
      <c r="O924" s="52"/>
      <c r="P924" s="54"/>
      <c r="Q924" s="54"/>
      <c r="R924" s="52"/>
      <c r="S924" s="52"/>
      <c r="T924" s="52"/>
      <c r="U924" s="52"/>
      <c r="V924" s="52"/>
    </row>
    <row r="925" spans="1:22" ht="13.2" x14ac:dyDescent="0.25">
      <c r="A925" s="52"/>
      <c r="B925" s="52"/>
      <c r="C925" s="52"/>
      <c r="D925" s="52"/>
      <c r="E925" s="52"/>
      <c r="F925" s="50"/>
      <c r="G925" s="52"/>
      <c r="H925" s="52"/>
      <c r="I925" s="52"/>
      <c r="J925" s="51"/>
      <c r="K925" s="52"/>
      <c r="L925" s="52"/>
      <c r="M925" s="52"/>
      <c r="N925" s="50"/>
      <c r="O925" s="52"/>
      <c r="P925" s="54"/>
      <c r="Q925" s="54"/>
      <c r="R925" s="52"/>
      <c r="S925" s="52"/>
      <c r="T925" s="52"/>
      <c r="U925" s="52"/>
      <c r="V925" s="52"/>
    </row>
    <row r="926" spans="1:22" ht="13.2" x14ac:dyDescent="0.25">
      <c r="A926" s="52"/>
      <c r="B926" s="52"/>
      <c r="C926" s="52"/>
      <c r="D926" s="52"/>
      <c r="E926" s="52"/>
      <c r="F926" s="50"/>
      <c r="G926" s="52"/>
      <c r="H926" s="52"/>
      <c r="I926" s="52"/>
      <c r="J926" s="51"/>
      <c r="K926" s="52"/>
      <c r="L926" s="52"/>
      <c r="M926" s="52"/>
      <c r="N926" s="50"/>
      <c r="O926" s="52"/>
      <c r="P926" s="54"/>
      <c r="Q926" s="54"/>
      <c r="R926" s="52"/>
      <c r="S926" s="52"/>
      <c r="T926" s="52"/>
      <c r="U926" s="52"/>
      <c r="V926" s="52"/>
    </row>
    <row r="927" spans="1:22" ht="13.2" x14ac:dyDescent="0.25">
      <c r="A927" s="52"/>
      <c r="B927" s="52"/>
      <c r="C927" s="52"/>
      <c r="D927" s="52"/>
      <c r="E927" s="52"/>
      <c r="F927" s="50"/>
      <c r="G927" s="52"/>
      <c r="H927" s="52"/>
      <c r="I927" s="52"/>
      <c r="J927" s="51"/>
      <c r="K927" s="52"/>
      <c r="L927" s="52"/>
      <c r="M927" s="52"/>
      <c r="N927" s="50"/>
      <c r="O927" s="52"/>
      <c r="P927" s="54"/>
      <c r="Q927" s="54"/>
      <c r="R927" s="52"/>
      <c r="S927" s="52"/>
      <c r="T927" s="52"/>
      <c r="U927" s="52"/>
      <c r="V927" s="52"/>
    </row>
    <row r="928" spans="1:22" ht="13.2" x14ac:dyDescent="0.25">
      <c r="A928" s="52"/>
      <c r="B928" s="52"/>
      <c r="C928" s="52"/>
      <c r="D928" s="52"/>
      <c r="E928" s="52"/>
      <c r="F928" s="50"/>
      <c r="G928" s="52"/>
      <c r="H928" s="52"/>
      <c r="I928" s="52"/>
      <c r="J928" s="51"/>
      <c r="K928" s="52"/>
      <c r="L928" s="52"/>
      <c r="M928" s="52"/>
      <c r="N928" s="50"/>
      <c r="O928" s="52"/>
      <c r="P928" s="54"/>
      <c r="Q928" s="54"/>
      <c r="R928" s="52"/>
      <c r="S928" s="52"/>
      <c r="T928" s="52"/>
      <c r="U928" s="52"/>
      <c r="V928" s="52"/>
    </row>
    <row r="929" spans="1:22" ht="13.2" x14ac:dyDescent="0.25">
      <c r="A929" s="52"/>
      <c r="B929" s="52"/>
      <c r="C929" s="52"/>
      <c r="D929" s="52"/>
      <c r="E929" s="52"/>
      <c r="F929" s="50"/>
      <c r="G929" s="52"/>
      <c r="H929" s="52"/>
      <c r="I929" s="52"/>
      <c r="J929" s="51"/>
      <c r="K929" s="52"/>
      <c r="L929" s="52"/>
      <c r="M929" s="52"/>
      <c r="N929" s="50"/>
      <c r="O929" s="52"/>
      <c r="P929" s="54"/>
      <c r="Q929" s="54"/>
      <c r="R929" s="52"/>
      <c r="S929" s="52"/>
      <c r="T929" s="52"/>
      <c r="U929" s="52"/>
      <c r="V929" s="52"/>
    </row>
    <row r="930" spans="1:22" ht="13.2" x14ac:dyDescent="0.25">
      <c r="A930" s="52"/>
      <c r="B930" s="52"/>
      <c r="C930" s="52"/>
      <c r="D930" s="52"/>
      <c r="E930" s="52"/>
      <c r="F930" s="50"/>
      <c r="G930" s="52"/>
      <c r="H930" s="52"/>
      <c r="I930" s="52"/>
      <c r="J930" s="51"/>
      <c r="K930" s="52"/>
      <c r="L930" s="52"/>
      <c r="M930" s="52"/>
      <c r="N930" s="50"/>
      <c r="O930" s="52"/>
      <c r="P930" s="54"/>
      <c r="Q930" s="54"/>
      <c r="R930" s="52"/>
      <c r="S930" s="52"/>
      <c r="T930" s="52"/>
      <c r="U930" s="52"/>
      <c r="V930" s="52"/>
    </row>
    <row r="931" spans="1:22" ht="13.2" x14ac:dyDescent="0.25">
      <c r="A931" s="52"/>
      <c r="B931" s="52"/>
      <c r="C931" s="52"/>
      <c r="D931" s="52"/>
      <c r="E931" s="52"/>
      <c r="F931" s="50"/>
      <c r="G931" s="52"/>
      <c r="H931" s="52"/>
      <c r="I931" s="52"/>
      <c r="J931" s="51"/>
      <c r="K931" s="52"/>
      <c r="L931" s="52"/>
      <c r="M931" s="52"/>
      <c r="N931" s="50"/>
      <c r="O931" s="52"/>
      <c r="P931" s="54"/>
      <c r="Q931" s="54"/>
      <c r="R931" s="52"/>
      <c r="S931" s="52"/>
      <c r="T931" s="52"/>
      <c r="U931" s="52"/>
      <c r="V931" s="52"/>
    </row>
    <row r="932" spans="1:22" ht="13.2" x14ac:dyDescent="0.25">
      <c r="A932" s="52"/>
      <c r="B932" s="52"/>
      <c r="C932" s="52"/>
      <c r="D932" s="52"/>
      <c r="E932" s="52"/>
      <c r="F932" s="50"/>
      <c r="G932" s="52"/>
      <c r="H932" s="52"/>
      <c r="I932" s="52"/>
      <c r="J932" s="51"/>
      <c r="K932" s="52"/>
      <c r="L932" s="52"/>
      <c r="M932" s="52"/>
      <c r="N932" s="50"/>
      <c r="O932" s="52"/>
      <c r="P932" s="54"/>
      <c r="Q932" s="54"/>
      <c r="R932" s="52"/>
      <c r="S932" s="52"/>
      <c r="T932" s="52"/>
      <c r="U932" s="52"/>
      <c r="V932" s="52"/>
    </row>
    <row r="933" spans="1:22" ht="13.2" x14ac:dyDescent="0.25">
      <c r="A933" s="52"/>
      <c r="B933" s="52"/>
      <c r="C933" s="52"/>
      <c r="D933" s="52"/>
      <c r="E933" s="52"/>
      <c r="F933" s="50"/>
      <c r="G933" s="52"/>
      <c r="H933" s="52"/>
      <c r="I933" s="52"/>
      <c r="J933" s="51"/>
      <c r="K933" s="52"/>
      <c r="L933" s="52"/>
      <c r="M933" s="52"/>
      <c r="N933" s="50"/>
      <c r="O933" s="52"/>
      <c r="P933" s="54"/>
      <c r="Q933" s="54"/>
      <c r="R933" s="52"/>
      <c r="S933" s="52"/>
      <c r="T933" s="52"/>
      <c r="U933" s="52"/>
      <c r="V933" s="52"/>
    </row>
    <row r="934" spans="1:22" ht="13.2" x14ac:dyDescent="0.25">
      <c r="A934" s="52"/>
      <c r="B934" s="52"/>
      <c r="C934" s="52"/>
      <c r="D934" s="52"/>
      <c r="E934" s="52"/>
      <c r="F934" s="50"/>
      <c r="G934" s="52"/>
      <c r="H934" s="52"/>
      <c r="I934" s="52"/>
      <c r="J934" s="51"/>
      <c r="K934" s="52"/>
      <c r="L934" s="52"/>
      <c r="M934" s="52"/>
      <c r="N934" s="50"/>
      <c r="O934" s="52"/>
      <c r="P934" s="54"/>
      <c r="Q934" s="54"/>
      <c r="R934" s="52"/>
      <c r="S934" s="52"/>
      <c r="T934" s="52"/>
      <c r="U934" s="52"/>
      <c r="V934" s="52"/>
    </row>
    <row r="935" spans="1:22" ht="13.2" x14ac:dyDescent="0.25">
      <c r="A935" s="52"/>
      <c r="B935" s="52"/>
      <c r="C935" s="52"/>
      <c r="D935" s="52"/>
      <c r="E935" s="52"/>
      <c r="F935" s="50"/>
      <c r="G935" s="52"/>
      <c r="H935" s="52"/>
      <c r="I935" s="52"/>
      <c r="J935" s="51"/>
      <c r="K935" s="52"/>
      <c r="L935" s="52"/>
      <c r="M935" s="52"/>
      <c r="N935" s="50"/>
      <c r="O935" s="52"/>
      <c r="P935" s="54"/>
      <c r="Q935" s="54"/>
      <c r="R935" s="52"/>
      <c r="S935" s="52"/>
      <c r="T935" s="52"/>
      <c r="U935" s="52"/>
      <c r="V935" s="52"/>
    </row>
    <row r="936" spans="1:22" ht="13.2" x14ac:dyDescent="0.25">
      <c r="A936" s="52"/>
      <c r="B936" s="52"/>
      <c r="C936" s="52"/>
      <c r="D936" s="52"/>
      <c r="E936" s="52"/>
      <c r="F936" s="50"/>
      <c r="G936" s="52"/>
      <c r="H936" s="52"/>
      <c r="I936" s="52"/>
      <c r="J936" s="51"/>
      <c r="K936" s="52"/>
      <c r="L936" s="52"/>
      <c r="M936" s="52"/>
      <c r="N936" s="50"/>
      <c r="O936" s="52"/>
      <c r="P936" s="54"/>
      <c r="Q936" s="54"/>
      <c r="R936" s="52"/>
      <c r="S936" s="52"/>
      <c r="T936" s="52"/>
      <c r="U936" s="52"/>
      <c r="V936" s="52"/>
    </row>
    <row r="937" spans="1:22" ht="13.2" x14ac:dyDescent="0.25">
      <c r="A937" s="52"/>
      <c r="B937" s="52"/>
      <c r="C937" s="52"/>
      <c r="D937" s="52"/>
      <c r="E937" s="52"/>
      <c r="F937" s="50"/>
      <c r="G937" s="52"/>
      <c r="H937" s="52"/>
      <c r="I937" s="52"/>
      <c r="J937" s="51"/>
      <c r="K937" s="52"/>
      <c r="L937" s="52"/>
      <c r="M937" s="52"/>
      <c r="N937" s="50"/>
      <c r="O937" s="52"/>
      <c r="P937" s="54"/>
      <c r="Q937" s="54"/>
      <c r="R937" s="52"/>
      <c r="S937" s="52"/>
      <c r="T937" s="52"/>
      <c r="U937" s="52"/>
      <c r="V937" s="52"/>
    </row>
    <row r="938" spans="1:22" ht="13.2" x14ac:dyDescent="0.25">
      <c r="A938" s="52"/>
      <c r="B938" s="52"/>
      <c r="C938" s="52"/>
      <c r="D938" s="52"/>
      <c r="E938" s="52"/>
      <c r="F938" s="50"/>
      <c r="G938" s="52"/>
      <c r="H938" s="52"/>
      <c r="I938" s="52"/>
      <c r="J938" s="51"/>
      <c r="K938" s="52"/>
      <c r="L938" s="52"/>
      <c r="M938" s="52"/>
      <c r="N938" s="50"/>
      <c r="O938" s="52"/>
      <c r="P938" s="54"/>
      <c r="Q938" s="54"/>
      <c r="R938" s="52"/>
      <c r="S938" s="52"/>
      <c r="T938" s="52"/>
      <c r="U938" s="52"/>
      <c r="V938" s="52"/>
    </row>
    <row r="939" spans="1:22" ht="13.2" x14ac:dyDescent="0.25">
      <c r="A939" s="52"/>
      <c r="B939" s="52"/>
      <c r="C939" s="52"/>
      <c r="D939" s="52"/>
      <c r="E939" s="52"/>
      <c r="F939" s="50"/>
      <c r="G939" s="52"/>
      <c r="H939" s="52"/>
      <c r="I939" s="52"/>
      <c r="J939" s="51"/>
      <c r="K939" s="52"/>
      <c r="L939" s="52"/>
      <c r="M939" s="52"/>
      <c r="N939" s="50"/>
      <c r="O939" s="52"/>
      <c r="P939" s="54"/>
      <c r="Q939" s="54"/>
      <c r="R939" s="52"/>
      <c r="S939" s="52"/>
      <c r="T939" s="52"/>
      <c r="U939" s="52"/>
      <c r="V939" s="52"/>
    </row>
    <row r="940" spans="1:22" ht="13.2" x14ac:dyDescent="0.25">
      <c r="A940" s="52"/>
      <c r="B940" s="52"/>
      <c r="C940" s="52"/>
      <c r="D940" s="52"/>
      <c r="E940" s="52"/>
      <c r="F940" s="50"/>
      <c r="G940" s="52"/>
      <c r="H940" s="52"/>
      <c r="I940" s="52"/>
      <c r="J940" s="51"/>
      <c r="K940" s="52"/>
      <c r="L940" s="52"/>
      <c r="M940" s="52"/>
      <c r="N940" s="50"/>
      <c r="O940" s="52"/>
      <c r="P940" s="54"/>
      <c r="Q940" s="54"/>
      <c r="R940" s="52"/>
      <c r="S940" s="52"/>
      <c r="T940" s="52"/>
      <c r="U940" s="52"/>
      <c r="V940" s="52"/>
    </row>
    <row r="941" spans="1:22" ht="13.2" x14ac:dyDescent="0.25">
      <c r="A941" s="52"/>
      <c r="B941" s="52"/>
      <c r="C941" s="52"/>
      <c r="D941" s="52"/>
      <c r="E941" s="52"/>
      <c r="F941" s="50"/>
      <c r="G941" s="52"/>
      <c r="H941" s="52"/>
      <c r="I941" s="52"/>
      <c r="J941" s="51"/>
      <c r="K941" s="52"/>
      <c r="L941" s="52"/>
      <c r="M941" s="52"/>
      <c r="N941" s="50"/>
      <c r="O941" s="52"/>
      <c r="P941" s="54"/>
      <c r="Q941" s="54"/>
      <c r="R941" s="52"/>
      <c r="S941" s="52"/>
      <c r="T941" s="52"/>
      <c r="U941" s="52"/>
      <c r="V941" s="52"/>
    </row>
    <row r="942" spans="1:22" ht="13.2" x14ac:dyDescent="0.25">
      <c r="A942" s="52"/>
      <c r="B942" s="52"/>
      <c r="C942" s="52"/>
      <c r="D942" s="52"/>
      <c r="E942" s="52"/>
      <c r="F942" s="50"/>
      <c r="G942" s="52"/>
      <c r="H942" s="52"/>
      <c r="I942" s="52"/>
      <c r="J942" s="51"/>
      <c r="K942" s="52"/>
      <c r="L942" s="52"/>
      <c r="M942" s="52"/>
      <c r="N942" s="50"/>
      <c r="O942" s="52"/>
      <c r="P942" s="54"/>
      <c r="Q942" s="54"/>
      <c r="R942" s="52"/>
      <c r="S942" s="52"/>
      <c r="T942" s="52"/>
      <c r="U942" s="52"/>
      <c r="V942" s="52"/>
    </row>
    <row r="943" spans="1:22" ht="13.2" x14ac:dyDescent="0.25">
      <c r="A943" s="52"/>
      <c r="B943" s="52"/>
      <c r="C943" s="52"/>
      <c r="D943" s="52"/>
      <c r="E943" s="52"/>
      <c r="F943" s="50"/>
      <c r="G943" s="52"/>
      <c r="H943" s="52"/>
      <c r="I943" s="52"/>
      <c r="J943" s="51"/>
      <c r="K943" s="52"/>
      <c r="L943" s="52"/>
      <c r="M943" s="52"/>
      <c r="N943" s="50"/>
      <c r="O943" s="52"/>
      <c r="P943" s="54"/>
      <c r="Q943" s="54"/>
      <c r="R943" s="52"/>
      <c r="S943" s="52"/>
      <c r="T943" s="52"/>
      <c r="U943" s="52"/>
      <c r="V943" s="52"/>
    </row>
    <row r="944" spans="1:22" ht="13.2" x14ac:dyDescent="0.25">
      <c r="A944" s="52"/>
      <c r="B944" s="52"/>
      <c r="C944" s="52"/>
      <c r="D944" s="52"/>
      <c r="E944" s="52"/>
      <c r="F944" s="50"/>
      <c r="G944" s="52"/>
      <c r="H944" s="52"/>
      <c r="I944" s="52"/>
      <c r="J944" s="51"/>
      <c r="K944" s="52"/>
      <c r="L944" s="52"/>
      <c r="M944" s="52"/>
      <c r="N944" s="50"/>
      <c r="O944" s="52"/>
      <c r="P944" s="54"/>
      <c r="Q944" s="54"/>
      <c r="R944" s="52"/>
      <c r="S944" s="52"/>
      <c r="T944" s="52"/>
      <c r="U944" s="52"/>
      <c r="V944" s="52"/>
    </row>
    <row r="945" spans="1:22" ht="13.2" x14ac:dyDescent="0.25">
      <c r="A945" s="52"/>
      <c r="B945" s="52"/>
      <c r="C945" s="52"/>
      <c r="D945" s="52"/>
      <c r="E945" s="52"/>
      <c r="F945" s="50"/>
      <c r="G945" s="52"/>
      <c r="H945" s="52"/>
      <c r="I945" s="52"/>
      <c r="J945" s="51"/>
      <c r="K945" s="52"/>
      <c r="L945" s="52"/>
      <c r="M945" s="52"/>
      <c r="N945" s="50"/>
      <c r="O945" s="52"/>
      <c r="P945" s="54"/>
      <c r="Q945" s="54"/>
      <c r="R945" s="52"/>
      <c r="S945" s="52"/>
      <c r="T945" s="52"/>
      <c r="U945" s="52"/>
      <c r="V945" s="52"/>
    </row>
    <row r="946" spans="1:22" ht="13.2" x14ac:dyDescent="0.25">
      <c r="A946" s="52"/>
      <c r="B946" s="52"/>
      <c r="C946" s="52"/>
      <c r="D946" s="52"/>
      <c r="E946" s="52"/>
      <c r="F946" s="50"/>
      <c r="G946" s="52"/>
      <c r="H946" s="52"/>
      <c r="I946" s="52"/>
      <c r="J946" s="51"/>
      <c r="K946" s="52"/>
      <c r="L946" s="52"/>
      <c r="M946" s="52"/>
      <c r="N946" s="50"/>
      <c r="O946" s="52"/>
      <c r="P946" s="54"/>
      <c r="Q946" s="54"/>
      <c r="R946" s="52"/>
      <c r="S946" s="52"/>
      <c r="T946" s="52"/>
      <c r="U946" s="52"/>
      <c r="V946" s="52"/>
    </row>
    <row r="947" spans="1:22" ht="13.2" x14ac:dyDescent="0.25">
      <c r="A947" s="52"/>
      <c r="B947" s="52"/>
      <c r="C947" s="52"/>
      <c r="D947" s="52"/>
      <c r="E947" s="52"/>
      <c r="F947" s="50"/>
      <c r="G947" s="52"/>
      <c r="H947" s="52"/>
      <c r="I947" s="52"/>
      <c r="J947" s="51"/>
      <c r="K947" s="52"/>
      <c r="L947" s="52"/>
      <c r="M947" s="52"/>
      <c r="N947" s="50"/>
      <c r="O947" s="52"/>
      <c r="P947" s="54"/>
      <c r="Q947" s="54"/>
      <c r="R947" s="52"/>
      <c r="S947" s="52"/>
      <c r="T947" s="52"/>
      <c r="U947" s="52"/>
      <c r="V947" s="52"/>
    </row>
    <row r="948" spans="1:22" ht="13.2" x14ac:dyDescent="0.25">
      <c r="A948" s="52"/>
      <c r="B948" s="52"/>
      <c r="C948" s="52"/>
      <c r="D948" s="52"/>
      <c r="E948" s="52"/>
      <c r="F948" s="50"/>
      <c r="G948" s="52"/>
      <c r="H948" s="52"/>
      <c r="I948" s="52"/>
      <c r="J948" s="51"/>
      <c r="K948" s="52"/>
      <c r="L948" s="52"/>
      <c r="M948" s="52"/>
      <c r="N948" s="50"/>
      <c r="O948" s="52"/>
      <c r="P948" s="54"/>
      <c r="Q948" s="54"/>
      <c r="R948" s="52"/>
      <c r="S948" s="52"/>
      <c r="T948" s="52"/>
      <c r="U948" s="52"/>
      <c r="V948" s="52"/>
    </row>
    <row r="949" spans="1:22" ht="13.2" x14ac:dyDescent="0.25">
      <c r="A949" s="52"/>
      <c r="B949" s="52"/>
      <c r="C949" s="52"/>
      <c r="D949" s="52"/>
      <c r="E949" s="52"/>
      <c r="F949" s="50"/>
      <c r="G949" s="52"/>
      <c r="H949" s="52"/>
      <c r="I949" s="52"/>
      <c r="J949" s="51"/>
      <c r="K949" s="52"/>
      <c r="L949" s="52"/>
      <c r="M949" s="52"/>
      <c r="N949" s="50"/>
      <c r="O949" s="52"/>
      <c r="P949" s="54"/>
      <c r="Q949" s="54"/>
      <c r="R949" s="52"/>
      <c r="S949" s="52"/>
      <c r="T949" s="52"/>
      <c r="U949" s="52"/>
      <c r="V949" s="52"/>
    </row>
    <row r="950" spans="1:22" ht="13.2" x14ac:dyDescent="0.25">
      <c r="A950" s="52"/>
      <c r="B950" s="52"/>
      <c r="C950" s="52"/>
      <c r="D950" s="52"/>
      <c r="E950" s="52"/>
      <c r="F950" s="50"/>
      <c r="G950" s="52"/>
      <c r="H950" s="52"/>
      <c r="I950" s="52"/>
      <c r="J950" s="51"/>
      <c r="K950" s="52"/>
      <c r="L950" s="52"/>
      <c r="M950" s="52"/>
      <c r="N950" s="50"/>
      <c r="O950" s="52"/>
      <c r="P950" s="54"/>
      <c r="Q950" s="54"/>
      <c r="R950" s="52"/>
      <c r="S950" s="52"/>
      <c r="T950" s="52"/>
      <c r="U950" s="52"/>
      <c r="V950" s="52"/>
    </row>
    <row r="951" spans="1:22" ht="13.2" x14ac:dyDescent="0.25">
      <c r="A951" s="52"/>
      <c r="B951" s="52"/>
      <c r="C951" s="52"/>
      <c r="D951" s="52"/>
      <c r="E951" s="52"/>
      <c r="F951" s="50"/>
      <c r="G951" s="52"/>
      <c r="H951" s="52"/>
      <c r="I951" s="52"/>
      <c r="J951" s="51"/>
      <c r="K951" s="52"/>
      <c r="L951" s="52"/>
      <c r="M951" s="52"/>
      <c r="N951" s="50"/>
      <c r="O951" s="52"/>
      <c r="P951" s="54"/>
      <c r="Q951" s="54"/>
      <c r="R951" s="52"/>
      <c r="S951" s="52"/>
      <c r="T951" s="52"/>
      <c r="U951" s="52"/>
      <c r="V951" s="52"/>
    </row>
    <row r="952" spans="1:22" ht="13.2" x14ac:dyDescent="0.25">
      <c r="A952" s="52"/>
      <c r="B952" s="52"/>
      <c r="C952" s="52"/>
      <c r="D952" s="52"/>
      <c r="E952" s="52"/>
      <c r="F952" s="50"/>
      <c r="G952" s="52"/>
      <c r="H952" s="52"/>
      <c r="I952" s="52"/>
      <c r="J952" s="51"/>
      <c r="K952" s="52"/>
      <c r="L952" s="52"/>
      <c r="M952" s="52"/>
      <c r="N952" s="50"/>
      <c r="O952" s="52"/>
      <c r="P952" s="54"/>
      <c r="Q952" s="54"/>
      <c r="R952" s="52"/>
      <c r="S952" s="52"/>
      <c r="T952" s="52"/>
      <c r="U952" s="52"/>
      <c r="V952" s="52"/>
    </row>
    <row r="953" spans="1:22" ht="13.2" x14ac:dyDescent="0.25">
      <c r="A953" s="52"/>
      <c r="B953" s="52"/>
      <c r="C953" s="52"/>
      <c r="D953" s="52"/>
      <c r="E953" s="52"/>
      <c r="F953" s="50"/>
      <c r="G953" s="52"/>
      <c r="H953" s="52"/>
      <c r="I953" s="52"/>
      <c r="J953" s="51"/>
      <c r="K953" s="52"/>
      <c r="L953" s="52"/>
      <c r="M953" s="52"/>
      <c r="N953" s="50"/>
      <c r="O953" s="52"/>
      <c r="P953" s="54"/>
      <c r="Q953" s="54"/>
      <c r="R953" s="52"/>
      <c r="S953" s="52"/>
      <c r="T953" s="52"/>
      <c r="U953" s="52"/>
      <c r="V953" s="52"/>
    </row>
    <row r="954" spans="1:22" ht="13.2" x14ac:dyDescent="0.25">
      <c r="A954" s="52"/>
      <c r="B954" s="52"/>
      <c r="C954" s="52"/>
      <c r="D954" s="52"/>
      <c r="E954" s="52"/>
      <c r="F954" s="50"/>
      <c r="G954" s="52"/>
      <c r="H954" s="52"/>
      <c r="I954" s="52"/>
      <c r="J954" s="51"/>
      <c r="K954" s="52"/>
      <c r="L954" s="52"/>
      <c r="M954" s="52"/>
      <c r="N954" s="50"/>
      <c r="O954" s="52"/>
      <c r="P954" s="54"/>
      <c r="Q954" s="54"/>
      <c r="R954" s="52"/>
      <c r="S954" s="52"/>
      <c r="T954" s="52"/>
      <c r="U954" s="52"/>
      <c r="V954" s="52"/>
    </row>
    <row r="955" spans="1:22" ht="13.2" x14ac:dyDescent="0.25">
      <c r="A955" s="52"/>
      <c r="B955" s="52"/>
      <c r="C955" s="52"/>
      <c r="D955" s="52"/>
      <c r="E955" s="52"/>
      <c r="F955" s="50"/>
      <c r="G955" s="52"/>
      <c r="H955" s="52"/>
      <c r="I955" s="52"/>
      <c r="J955" s="51"/>
      <c r="K955" s="52"/>
      <c r="L955" s="52"/>
      <c r="M955" s="52"/>
      <c r="N955" s="50"/>
      <c r="O955" s="52"/>
      <c r="P955" s="54"/>
      <c r="Q955" s="54"/>
      <c r="R955" s="52"/>
      <c r="S955" s="52"/>
      <c r="T955" s="52"/>
      <c r="U955" s="52"/>
      <c r="V955" s="52"/>
    </row>
    <row r="956" spans="1:22" ht="13.2" x14ac:dyDescent="0.25">
      <c r="A956" s="52"/>
      <c r="B956" s="52"/>
      <c r="C956" s="52"/>
      <c r="D956" s="52"/>
      <c r="E956" s="52"/>
      <c r="F956" s="50"/>
      <c r="G956" s="52"/>
      <c r="H956" s="52"/>
      <c r="I956" s="52"/>
      <c r="J956" s="51"/>
      <c r="K956" s="52"/>
      <c r="L956" s="52"/>
      <c r="M956" s="52"/>
      <c r="N956" s="50"/>
      <c r="O956" s="52"/>
      <c r="P956" s="54"/>
      <c r="Q956" s="54"/>
      <c r="R956" s="52"/>
      <c r="S956" s="52"/>
      <c r="T956" s="52"/>
      <c r="U956" s="52"/>
      <c r="V956" s="52"/>
    </row>
    <row r="957" spans="1:22" ht="13.2" x14ac:dyDescent="0.25">
      <c r="A957" s="52"/>
      <c r="B957" s="52"/>
      <c r="C957" s="52"/>
      <c r="D957" s="52"/>
      <c r="E957" s="52"/>
      <c r="F957" s="50"/>
      <c r="G957" s="52"/>
      <c r="H957" s="52"/>
      <c r="I957" s="52"/>
      <c r="J957" s="51"/>
      <c r="K957" s="52"/>
      <c r="L957" s="52"/>
      <c r="M957" s="52"/>
      <c r="N957" s="50"/>
      <c r="O957" s="52"/>
      <c r="P957" s="54"/>
      <c r="Q957" s="54"/>
      <c r="R957" s="52"/>
      <c r="S957" s="52"/>
      <c r="T957" s="52"/>
      <c r="U957" s="52"/>
      <c r="V957" s="52"/>
    </row>
    <row r="958" spans="1:22" ht="13.2" x14ac:dyDescent="0.25">
      <c r="A958" s="52"/>
      <c r="B958" s="52"/>
      <c r="C958" s="52"/>
      <c r="D958" s="52"/>
      <c r="E958" s="52"/>
      <c r="F958" s="50"/>
      <c r="G958" s="52"/>
      <c r="H958" s="52"/>
      <c r="I958" s="52"/>
      <c r="J958" s="51"/>
      <c r="K958" s="52"/>
      <c r="L958" s="52"/>
      <c r="M958" s="52"/>
      <c r="N958" s="50"/>
      <c r="O958" s="52"/>
      <c r="P958" s="54"/>
      <c r="Q958" s="54"/>
      <c r="R958" s="52"/>
      <c r="S958" s="52"/>
      <c r="T958" s="52"/>
      <c r="U958" s="52"/>
      <c r="V958" s="52"/>
    </row>
    <row r="959" spans="1:22" ht="13.2" x14ac:dyDescent="0.25">
      <c r="A959" s="52"/>
      <c r="B959" s="52"/>
      <c r="C959" s="52"/>
      <c r="D959" s="52"/>
      <c r="E959" s="52"/>
      <c r="F959" s="50"/>
      <c r="G959" s="52"/>
      <c r="H959" s="52"/>
      <c r="I959" s="52"/>
      <c r="J959" s="51"/>
      <c r="K959" s="52"/>
      <c r="L959" s="52"/>
      <c r="M959" s="52"/>
      <c r="N959" s="50"/>
      <c r="O959" s="52"/>
      <c r="P959" s="54"/>
      <c r="Q959" s="54"/>
      <c r="R959" s="52"/>
      <c r="S959" s="52"/>
      <c r="T959" s="52"/>
      <c r="U959" s="52"/>
      <c r="V959" s="52"/>
    </row>
    <row r="960" spans="1:22" ht="13.2" x14ac:dyDescent="0.25">
      <c r="A960" s="52"/>
      <c r="B960" s="52"/>
      <c r="C960" s="52"/>
      <c r="D960" s="52"/>
      <c r="E960" s="52"/>
      <c r="F960" s="50"/>
      <c r="G960" s="52"/>
      <c r="H960" s="52"/>
      <c r="I960" s="52"/>
      <c r="J960" s="51"/>
      <c r="K960" s="52"/>
      <c r="L960" s="52"/>
      <c r="M960" s="52"/>
      <c r="N960" s="50"/>
      <c r="O960" s="52"/>
      <c r="P960" s="54"/>
      <c r="Q960" s="54"/>
      <c r="R960" s="52"/>
      <c r="S960" s="52"/>
      <c r="T960" s="52"/>
      <c r="U960" s="52"/>
      <c r="V960" s="52"/>
    </row>
    <row r="961" spans="1:22" ht="13.2" x14ac:dyDescent="0.25">
      <c r="A961" s="52"/>
      <c r="B961" s="52"/>
      <c r="C961" s="52"/>
      <c r="D961" s="52"/>
      <c r="E961" s="52"/>
      <c r="F961" s="50"/>
      <c r="G961" s="52"/>
      <c r="H961" s="52"/>
      <c r="I961" s="52"/>
      <c r="J961" s="51"/>
      <c r="K961" s="52"/>
      <c r="L961" s="52"/>
      <c r="M961" s="52"/>
      <c r="N961" s="50"/>
      <c r="O961" s="52"/>
      <c r="P961" s="54"/>
      <c r="Q961" s="54"/>
      <c r="R961" s="52"/>
      <c r="S961" s="52"/>
      <c r="T961" s="52"/>
      <c r="U961" s="52"/>
      <c r="V961" s="52"/>
    </row>
    <row r="962" spans="1:22" ht="13.2" x14ac:dyDescent="0.25">
      <c r="A962" s="52"/>
      <c r="B962" s="52"/>
      <c r="C962" s="52"/>
      <c r="D962" s="52"/>
      <c r="E962" s="52"/>
      <c r="F962" s="50"/>
      <c r="G962" s="52"/>
      <c r="H962" s="52"/>
      <c r="I962" s="52"/>
      <c r="J962" s="51"/>
      <c r="K962" s="52"/>
      <c r="L962" s="52"/>
      <c r="M962" s="52"/>
      <c r="N962" s="50"/>
      <c r="O962" s="52"/>
      <c r="P962" s="54"/>
      <c r="Q962" s="54"/>
      <c r="R962" s="52"/>
      <c r="S962" s="52"/>
      <c r="T962" s="52"/>
      <c r="U962" s="52"/>
      <c r="V962" s="52"/>
    </row>
    <row r="963" spans="1:22" ht="13.2" x14ac:dyDescent="0.25">
      <c r="A963" s="52"/>
      <c r="B963" s="52"/>
      <c r="C963" s="52"/>
      <c r="D963" s="52"/>
      <c r="E963" s="52"/>
      <c r="F963" s="50"/>
      <c r="G963" s="52"/>
      <c r="H963" s="52"/>
      <c r="I963" s="52"/>
      <c r="J963" s="51"/>
      <c r="K963" s="52"/>
      <c r="L963" s="52"/>
      <c r="M963" s="52"/>
      <c r="N963" s="50"/>
      <c r="O963" s="52"/>
      <c r="P963" s="54"/>
      <c r="Q963" s="54"/>
      <c r="R963" s="52"/>
      <c r="S963" s="52"/>
      <c r="T963" s="52"/>
      <c r="U963" s="52"/>
      <c r="V963" s="52"/>
    </row>
    <row r="964" spans="1:22" ht="13.2" x14ac:dyDescent="0.25">
      <c r="A964" s="52"/>
      <c r="B964" s="52"/>
      <c r="C964" s="52"/>
      <c r="D964" s="52"/>
      <c r="E964" s="52"/>
      <c r="F964" s="50"/>
      <c r="G964" s="52"/>
      <c r="H964" s="52"/>
      <c r="I964" s="52"/>
      <c r="J964" s="51"/>
      <c r="K964" s="52"/>
      <c r="L964" s="52"/>
      <c r="M964" s="52"/>
      <c r="N964" s="50"/>
      <c r="O964" s="52"/>
      <c r="P964" s="54"/>
      <c r="Q964" s="54"/>
      <c r="R964" s="52"/>
      <c r="S964" s="52"/>
      <c r="T964" s="52"/>
      <c r="U964" s="52"/>
      <c r="V964" s="52"/>
    </row>
    <row r="965" spans="1:22" ht="13.2" x14ac:dyDescent="0.25">
      <c r="A965" s="52"/>
      <c r="B965" s="52"/>
      <c r="C965" s="52"/>
      <c r="D965" s="52"/>
      <c r="E965" s="52"/>
      <c r="F965" s="50"/>
      <c r="G965" s="52"/>
      <c r="H965" s="52"/>
      <c r="I965" s="52"/>
      <c r="J965" s="51"/>
      <c r="K965" s="52"/>
      <c r="L965" s="52"/>
      <c r="M965" s="52"/>
      <c r="N965" s="50"/>
      <c r="O965" s="52"/>
      <c r="P965" s="54"/>
      <c r="Q965" s="54"/>
      <c r="R965" s="52"/>
      <c r="S965" s="52"/>
      <c r="T965" s="52"/>
      <c r="U965" s="52"/>
      <c r="V965" s="52"/>
    </row>
    <row r="966" spans="1:22" ht="13.2" x14ac:dyDescent="0.25">
      <c r="A966" s="52"/>
      <c r="B966" s="52"/>
      <c r="C966" s="52"/>
      <c r="D966" s="52"/>
      <c r="E966" s="52"/>
      <c r="F966" s="50"/>
      <c r="G966" s="52"/>
      <c r="H966" s="52"/>
      <c r="I966" s="52"/>
      <c r="J966" s="51"/>
      <c r="K966" s="52"/>
      <c r="L966" s="52"/>
      <c r="M966" s="52"/>
      <c r="N966" s="50"/>
      <c r="O966" s="52"/>
      <c r="P966" s="54"/>
      <c r="Q966" s="54"/>
      <c r="R966" s="52"/>
      <c r="S966" s="52"/>
      <c r="T966" s="52"/>
      <c r="U966" s="52"/>
      <c r="V966" s="52"/>
    </row>
    <row r="967" spans="1:22" ht="13.2" x14ac:dyDescent="0.25">
      <c r="A967" s="52"/>
      <c r="B967" s="52"/>
      <c r="C967" s="52"/>
      <c r="D967" s="52"/>
      <c r="E967" s="52"/>
      <c r="F967" s="50"/>
      <c r="G967" s="52"/>
      <c r="H967" s="52"/>
      <c r="I967" s="52"/>
      <c r="J967" s="51"/>
      <c r="K967" s="52"/>
      <c r="L967" s="52"/>
      <c r="M967" s="52"/>
      <c r="N967" s="50"/>
      <c r="O967" s="52"/>
      <c r="P967" s="54"/>
      <c r="Q967" s="54"/>
      <c r="R967" s="52"/>
      <c r="S967" s="52"/>
      <c r="T967" s="52"/>
      <c r="U967" s="52"/>
      <c r="V967" s="52"/>
    </row>
    <row r="968" spans="1:22" ht="13.2" x14ac:dyDescent="0.25">
      <c r="A968" s="52"/>
      <c r="B968" s="52"/>
      <c r="C968" s="52"/>
      <c r="D968" s="52"/>
      <c r="E968" s="52"/>
      <c r="F968" s="50"/>
      <c r="G968" s="52"/>
      <c r="H968" s="52"/>
      <c r="I968" s="52"/>
      <c r="J968" s="51"/>
      <c r="K968" s="52"/>
      <c r="L968" s="52"/>
      <c r="M968" s="52"/>
      <c r="N968" s="50"/>
      <c r="O968" s="52"/>
      <c r="P968" s="54"/>
      <c r="Q968" s="54"/>
      <c r="R968" s="52"/>
      <c r="S968" s="52"/>
      <c r="T968" s="52"/>
      <c r="U968" s="52"/>
      <c r="V968" s="52"/>
    </row>
    <row r="969" spans="1:22" ht="13.2" x14ac:dyDescent="0.25">
      <c r="A969" s="52"/>
      <c r="B969" s="52"/>
      <c r="C969" s="52"/>
      <c r="D969" s="52"/>
      <c r="E969" s="52"/>
      <c r="F969" s="50"/>
      <c r="G969" s="52"/>
      <c r="H969" s="52"/>
      <c r="I969" s="52"/>
      <c r="J969" s="51"/>
      <c r="K969" s="52"/>
      <c r="L969" s="52"/>
      <c r="M969" s="52"/>
      <c r="N969" s="50"/>
      <c r="O969" s="52"/>
      <c r="P969" s="54"/>
      <c r="Q969" s="54"/>
      <c r="R969" s="52"/>
      <c r="S969" s="52"/>
      <c r="T969" s="52"/>
      <c r="U969" s="52"/>
      <c r="V969" s="52"/>
    </row>
    <row r="970" spans="1:22" ht="13.2" x14ac:dyDescent="0.25">
      <c r="A970" s="52"/>
      <c r="B970" s="52"/>
      <c r="C970" s="52"/>
      <c r="D970" s="52"/>
      <c r="E970" s="52"/>
      <c r="F970" s="50"/>
      <c r="G970" s="52"/>
      <c r="H970" s="52"/>
      <c r="I970" s="52"/>
      <c r="J970" s="51"/>
      <c r="K970" s="52"/>
      <c r="L970" s="52"/>
      <c r="M970" s="52"/>
      <c r="N970" s="50"/>
      <c r="O970" s="52"/>
      <c r="P970" s="54"/>
      <c r="Q970" s="54"/>
      <c r="R970" s="52"/>
      <c r="S970" s="52"/>
      <c r="T970" s="52"/>
      <c r="U970" s="52"/>
      <c r="V970" s="52"/>
    </row>
    <row r="971" spans="1:22" ht="13.2" x14ac:dyDescent="0.25">
      <c r="A971" s="52"/>
      <c r="B971" s="52"/>
      <c r="C971" s="52"/>
      <c r="D971" s="52"/>
      <c r="E971" s="52"/>
      <c r="F971" s="50"/>
      <c r="G971" s="52"/>
      <c r="H971" s="52"/>
      <c r="I971" s="52"/>
      <c r="J971" s="51"/>
      <c r="K971" s="52"/>
      <c r="L971" s="52"/>
      <c r="M971" s="52"/>
      <c r="N971" s="50"/>
      <c r="O971" s="52"/>
      <c r="P971" s="54"/>
      <c r="Q971" s="54"/>
      <c r="R971" s="52"/>
      <c r="S971" s="52"/>
      <c r="T971" s="52"/>
      <c r="U971" s="52"/>
      <c r="V971" s="52"/>
    </row>
    <row r="972" spans="1:22" ht="13.2" x14ac:dyDescent="0.25">
      <c r="A972" s="52"/>
      <c r="B972" s="52"/>
      <c r="C972" s="52"/>
      <c r="D972" s="52"/>
      <c r="E972" s="52"/>
      <c r="F972" s="50"/>
      <c r="G972" s="52"/>
      <c r="H972" s="52"/>
      <c r="I972" s="52"/>
      <c r="J972" s="51"/>
      <c r="K972" s="52"/>
      <c r="L972" s="52"/>
      <c r="M972" s="52"/>
      <c r="N972" s="50"/>
      <c r="O972" s="52"/>
      <c r="P972" s="54"/>
      <c r="Q972" s="54"/>
      <c r="R972" s="52"/>
      <c r="S972" s="52"/>
      <c r="T972" s="52"/>
      <c r="U972" s="52"/>
      <c r="V972" s="52"/>
    </row>
    <row r="973" spans="1:22" ht="13.2" x14ac:dyDescent="0.25">
      <c r="A973" s="52"/>
      <c r="B973" s="52"/>
      <c r="C973" s="52"/>
      <c r="D973" s="52"/>
      <c r="E973" s="52"/>
      <c r="F973" s="50"/>
      <c r="G973" s="52"/>
      <c r="H973" s="52"/>
      <c r="I973" s="52"/>
      <c r="J973" s="51"/>
      <c r="K973" s="52"/>
      <c r="L973" s="52"/>
      <c r="M973" s="52"/>
      <c r="N973" s="50"/>
      <c r="O973" s="52"/>
      <c r="P973" s="54"/>
      <c r="Q973" s="54"/>
      <c r="R973" s="52"/>
      <c r="S973" s="52"/>
      <c r="T973" s="52"/>
      <c r="U973" s="52"/>
      <c r="V973" s="52"/>
    </row>
    <row r="974" spans="1:22" ht="13.2" x14ac:dyDescent="0.25">
      <c r="A974" s="52"/>
      <c r="B974" s="52"/>
      <c r="C974" s="52"/>
      <c r="D974" s="52"/>
      <c r="E974" s="52"/>
      <c r="F974" s="50"/>
      <c r="G974" s="52"/>
      <c r="H974" s="52"/>
      <c r="I974" s="52"/>
      <c r="J974" s="51"/>
      <c r="K974" s="52"/>
      <c r="L974" s="52"/>
      <c r="M974" s="52"/>
      <c r="N974" s="50"/>
      <c r="O974" s="52"/>
      <c r="P974" s="54"/>
      <c r="Q974" s="54"/>
      <c r="R974" s="52"/>
      <c r="S974" s="52"/>
      <c r="T974" s="52"/>
      <c r="U974" s="52"/>
      <c r="V974" s="52"/>
    </row>
    <row r="975" spans="1:22" ht="13.2" x14ac:dyDescent="0.25">
      <c r="A975" s="52"/>
      <c r="B975" s="52"/>
      <c r="C975" s="52"/>
      <c r="D975" s="52"/>
      <c r="E975" s="52"/>
      <c r="F975" s="50"/>
      <c r="G975" s="52"/>
      <c r="H975" s="52"/>
      <c r="I975" s="52"/>
      <c r="J975" s="51"/>
      <c r="K975" s="52"/>
      <c r="L975" s="52"/>
      <c r="M975" s="52"/>
      <c r="N975" s="50"/>
      <c r="O975" s="52"/>
      <c r="P975" s="54"/>
      <c r="Q975" s="54"/>
      <c r="R975" s="52"/>
      <c r="S975" s="52"/>
      <c r="T975" s="52"/>
      <c r="U975" s="52"/>
      <c r="V975" s="52"/>
    </row>
    <row r="976" spans="1:22" ht="13.2" x14ac:dyDescent="0.25">
      <c r="A976" s="52"/>
      <c r="B976" s="52"/>
      <c r="C976" s="52"/>
      <c r="D976" s="52"/>
      <c r="E976" s="52"/>
      <c r="F976" s="50"/>
      <c r="G976" s="52"/>
      <c r="H976" s="52"/>
      <c r="I976" s="52"/>
      <c r="J976" s="51"/>
      <c r="K976" s="52"/>
      <c r="L976" s="52"/>
      <c r="M976" s="52"/>
      <c r="N976" s="50"/>
      <c r="O976" s="52"/>
      <c r="P976" s="54"/>
      <c r="Q976" s="54"/>
      <c r="R976" s="52"/>
      <c r="S976" s="52"/>
      <c r="T976" s="52"/>
      <c r="U976" s="52"/>
      <c r="V976" s="52"/>
    </row>
    <row r="977" spans="1:22" ht="13.2" x14ac:dyDescent="0.25">
      <c r="A977" s="52"/>
      <c r="B977" s="52"/>
      <c r="C977" s="52"/>
      <c r="D977" s="52"/>
      <c r="E977" s="52"/>
      <c r="F977" s="50"/>
      <c r="G977" s="52"/>
      <c r="H977" s="52"/>
      <c r="I977" s="52"/>
      <c r="J977" s="51"/>
      <c r="K977" s="52"/>
      <c r="L977" s="52"/>
      <c r="M977" s="52"/>
      <c r="N977" s="50"/>
      <c r="O977" s="52"/>
      <c r="P977" s="54"/>
      <c r="Q977" s="54"/>
      <c r="R977" s="52"/>
      <c r="S977" s="52"/>
      <c r="T977" s="52"/>
      <c r="U977" s="52"/>
      <c r="V977" s="52"/>
    </row>
    <row r="978" spans="1:22" ht="13.2" x14ac:dyDescent="0.25">
      <c r="A978" s="52"/>
      <c r="B978" s="52"/>
      <c r="C978" s="52"/>
      <c r="D978" s="52"/>
      <c r="E978" s="52"/>
      <c r="F978" s="50"/>
      <c r="G978" s="52"/>
      <c r="H978" s="52"/>
      <c r="I978" s="52"/>
      <c r="J978" s="51"/>
      <c r="K978" s="52"/>
      <c r="L978" s="52"/>
      <c r="M978" s="52"/>
      <c r="N978" s="50"/>
      <c r="O978" s="52"/>
      <c r="P978" s="54"/>
      <c r="Q978" s="54"/>
      <c r="R978" s="52"/>
      <c r="S978" s="52"/>
      <c r="T978" s="52"/>
      <c r="U978" s="52"/>
      <c r="V978" s="52"/>
    </row>
    <row r="979" spans="1:22" ht="13.2" x14ac:dyDescent="0.25">
      <c r="A979" s="52"/>
      <c r="B979" s="52"/>
      <c r="C979" s="52"/>
      <c r="D979" s="52"/>
      <c r="E979" s="52"/>
      <c r="F979" s="50"/>
      <c r="G979" s="52"/>
      <c r="H979" s="52"/>
      <c r="I979" s="52"/>
      <c r="J979" s="51"/>
      <c r="K979" s="52"/>
      <c r="L979" s="52"/>
      <c r="M979" s="52"/>
      <c r="N979" s="50"/>
      <c r="O979" s="52"/>
      <c r="P979" s="54"/>
      <c r="Q979" s="54"/>
      <c r="R979" s="52"/>
      <c r="S979" s="52"/>
      <c r="T979" s="52"/>
      <c r="U979" s="52"/>
      <c r="V979" s="52"/>
    </row>
    <row r="980" spans="1:22" ht="13.2" x14ac:dyDescent="0.25">
      <c r="A980" s="52"/>
      <c r="B980" s="52"/>
      <c r="C980" s="52"/>
      <c r="D980" s="52"/>
      <c r="E980" s="52"/>
      <c r="F980" s="50"/>
      <c r="G980" s="52"/>
      <c r="H980" s="52"/>
      <c r="I980" s="52"/>
      <c r="J980" s="51"/>
      <c r="K980" s="52"/>
      <c r="L980" s="52"/>
      <c r="M980" s="52"/>
      <c r="N980" s="50"/>
      <c r="O980" s="52"/>
      <c r="P980" s="54"/>
      <c r="Q980" s="54"/>
      <c r="R980" s="52"/>
      <c r="S980" s="52"/>
      <c r="T980" s="52"/>
      <c r="U980" s="52"/>
      <c r="V980" s="52"/>
    </row>
    <row r="981" spans="1:22" ht="13.2" x14ac:dyDescent="0.25">
      <c r="A981" s="52"/>
      <c r="B981" s="52"/>
      <c r="C981" s="52"/>
      <c r="D981" s="52"/>
      <c r="E981" s="52"/>
      <c r="F981" s="50"/>
      <c r="G981" s="52"/>
      <c r="H981" s="52"/>
      <c r="I981" s="52"/>
      <c r="J981" s="51"/>
      <c r="K981" s="52"/>
      <c r="L981" s="52"/>
      <c r="M981" s="52"/>
      <c r="N981" s="50"/>
      <c r="O981" s="52"/>
      <c r="P981" s="54"/>
      <c r="Q981" s="54"/>
      <c r="R981" s="52"/>
      <c r="S981" s="52"/>
      <c r="T981" s="52"/>
      <c r="U981" s="52"/>
      <c r="V981" s="52"/>
    </row>
    <row r="982" spans="1:22" ht="13.2" x14ac:dyDescent="0.25">
      <c r="A982" s="52"/>
      <c r="B982" s="52"/>
      <c r="C982" s="52"/>
      <c r="D982" s="52"/>
      <c r="E982" s="52"/>
      <c r="F982" s="50"/>
      <c r="G982" s="52"/>
      <c r="H982" s="52"/>
      <c r="I982" s="52"/>
      <c r="J982" s="51"/>
      <c r="K982" s="52"/>
      <c r="L982" s="52"/>
      <c r="M982" s="52"/>
      <c r="N982" s="50"/>
      <c r="O982" s="52"/>
      <c r="P982" s="54"/>
      <c r="Q982" s="54"/>
      <c r="R982" s="52"/>
      <c r="S982" s="52"/>
      <c r="T982" s="52"/>
      <c r="U982" s="52"/>
      <c r="V982" s="52"/>
    </row>
    <row r="983" spans="1:22" ht="13.2" x14ac:dyDescent="0.25">
      <c r="A983" s="52"/>
      <c r="B983" s="52"/>
      <c r="C983" s="52"/>
      <c r="D983" s="52"/>
      <c r="E983" s="52"/>
      <c r="F983" s="50"/>
      <c r="G983" s="52"/>
      <c r="H983" s="52"/>
      <c r="I983" s="52"/>
      <c r="J983" s="51"/>
      <c r="K983" s="52"/>
      <c r="L983" s="52"/>
      <c r="M983" s="52"/>
      <c r="N983" s="50"/>
      <c r="O983" s="52"/>
      <c r="P983" s="54"/>
      <c r="Q983" s="54"/>
      <c r="R983" s="52"/>
      <c r="S983" s="52"/>
      <c r="T983" s="52"/>
      <c r="U983" s="52"/>
      <c r="V983" s="52"/>
    </row>
    <row r="984" spans="1:22" ht="13.2" x14ac:dyDescent="0.25">
      <c r="A984" s="52"/>
      <c r="B984" s="52"/>
      <c r="C984" s="52"/>
      <c r="D984" s="52"/>
      <c r="E984" s="52"/>
      <c r="F984" s="50"/>
      <c r="G984" s="52"/>
      <c r="H984" s="52"/>
      <c r="I984" s="52"/>
      <c r="J984" s="51"/>
      <c r="K984" s="52"/>
      <c r="L984" s="52"/>
      <c r="M984" s="52"/>
      <c r="N984" s="50"/>
      <c r="O984" s="52"/>
      <c r="P984" s="54"/>
      <c r="Q984" s="54"/>
      <c r="R984" s="52"/>
      <c r="S984" s="52"/>
      <c r="T984" s="52"/>
      <c r="U984" s="52"/>
      <c r="V984" s="52"/>
    </row>
    <row r="985" spans="1:22" ht="13.2" x14ac:dyDescent="0.25">
      <c r="A985" s="52"/>
      <c r="B985" s="52"/>
      <c r="C985" s="52"/>
      <c r="D985" s="52"/>
      <c r="E985" s="52"/>
      <c r="F985" s="50"/>
      <c r="G985" s="52"/>
      <c r="H985" s="52"/>
      <c r="I985" s="52"/>
      <c r="J985" s="51"/>
      <c r="K985" s="52"/>
      <c r="L985" s="52"/>
      <c r="M985" s="52"/>
      <c r="N985" s="50"/>
      <c r="O985" s="52"/>
      <c r="P985" s="54"/>
      <c r="Q985" s="54"/>
      <c r="R985" s="52"/>
      <c r="S985" s="52"/>
      <c r="T985" s="52"/>
      <c r="U985" s="52"/>
      <c r="V985" s="52"/>
    </row>
    <row r="986" spans="1:22" ht="13.2" x14ac:dyDescent="0.25">
      <c r="A986" s="52"/>
      <c r="B986" s="52"/>
      <c r="C986" s="52"/>
      <c r="D986" s="52"/>
      <c r="E986" s="52"/>
      <c r="F986" s="50"/>
      <c r="G986" s="52"/>
      <c r="H986" s="52"/>
      <c r="I986" s="52"/>
      <c r="J986" s="51"/>
      <c r="K986" s="52"/>
      <c r="L986" s="52"/>
      <c r="M986" s="52"/>
      <c r="N986" s="50"/>
      <c r="O986" s="52"/>
      <c r="P986" s="54"/>
      <c r="Q986" s="54"/>
      <c r="R986" s="52"/>
      <c r="S986" s="52"/>
      <c r="T986" s="52"/>
      <c r="U986" s="52"/>
      <c r="V986" s="52"/>
    </row>
    <row r="987" spans="1:22" ht="13.2" x14ac:dyDescent="0.25">
      <c r="A987" s="52"/>
      <c r="B987" s="52"/>
      <c r="C987" s="52"/>
      <c r="D987" s="52"/>
      <c r="E987" s="52"/>
      <c r="F987" s="50"/>
      <c r="G987" s="52"/>
      <c r="H987" s="52"/>
      <c r="I987" s="52"/>
      <c r="J987" s="51"/>
      <c r="K987" s="52"/>
      <c r="L987" s="52"/>
      <c r="M987" s="52"/>
      <c r="N987" s="50"/>
      <c r="O987" s="52"/>
      <c r="P987" s="54"/>
      <c r="Q987" s="54"/>
      <c r="R987" s="52"/>
      <c r="S987" s="52"/>
      <c r="T987" s="52"/>
      <c r="U987" s="52"/>
      <c r="V987" s="52"/>
    </row>
    <row r="988" spans="1:22" ht="13.2" x14ac:dyDescent="0.25">
      <c r="A988" s="52"/>
      <c r="B988" s="52"/>
      <c r="C988" s="52"/>
      <c r="D988" s="52"/>
      <c r="E988" s="52"/>
      <c r="F988" s="50"/>
      <c r="G988" s="52"/>
      <c r="H988" s="52"/>
      <c r="I988" s="52"/>
      <c r="J988" s="51"/>
      <c r="K988" s="52"/>
      <c r="L988" s="52"/>
      <c r="M988" s="52"/>
      <c r="N988" s="50"/>
      <c r="O988" s="52"/>
      <c r="P988" s="54"/>
      <c r="Q988" s="54"/>
      <c r="R988" s="52"/>
      <c r="S988" s="52"/>
      <c r="T988" s="52"/>
      <c r="U988" s="52"/>
      <c r="V988" s="52"/>
    </row>
    <row r="989" spans="1:22" ht="13.2" x14ac:dyDescent="0.25">
      <c r="A989" s="52"/>
      <c r="B989" s="52"/>
      <c r="C989" s="52"/>
      <c r="D989" s="52"/>
      <c r="E989" s="52"/>
      <c r="F989" s="50"/>
      <c r="G989" s="52"/>
      <c r="H989" s="52"/>
      <c r="I989" s="52"/>
      <c r="J989" s="51"/>
      <c r="K989" s="52"/>
      <c r="L989" s="52"/>
      <c r="M989" s="52"/>
      <c r="N989" s="50"/>
      <c r="O989" s="52"/>
      <c r="P989" s="54"/>
      <c r="Q989" s="54"/>
      <c r="R989" s="52"/>
      <c r="S989" s="52"/>
      <c r="T989" s="52"/>
      <c r="U989" s="52"/>
      <c r="V989" s="52"/>
    </row>
    <row r="990" spans="1:22" ht="13.2" x14ac:dyDescent="0.25">
      <c r="A990" s="52"/>
      <c r="B990" s="52"/>
      <c r="C990" s="52"/>
      <c r="D990" s="52"/>
      <c r="E990" s="52"/>
      <c r="F990" s="50"/>
      <c r="G990" s="52"/>
      <c r="H990" s="52"/>
      <c r="I990" s="52"/>
      <c r="J990" s="51"/>
      <c r="K990" s="52"/>
      <c r="L990" s="52"/>
      <c r="M990" s="52"/>
      <c r="N990" s="50"/>
      <c r="O990" s="52"/>
      <c r="P990" s="54"/>
      <c r="Q990" s="54"/>
      <c r="R990" s="52"/>
      <c r="S990" s="52"/>
      <c r="T990" s="52"/>
      <c r="U990" s="52"/>
      <c r="V990" s="52"/>
    </row>
    <row r="991" spans="1:22" ht="13.2" x14ac:dyDescent="0.25">
      <c r="A991" s="52"/>
      <c r="B991" s="52"/>
      <c r="C991" s="52"/>
      <c r="D991" s="52"/>
      <c r="E991" s="52"/>
      <c r="F991" s="50"/>
      <c r="G991" s="52"/>
      <c r="H991" s="52"/>
      <c r="I991" s="52"/>
      <c r="J991" s="51"/>
      <c r="K991" s="52"/>
      <c r="L991" s="52"/>
      <c r="M991" s="52"/>
      <c r="N991" s="50"/>
      <c r="O991" s="52"/>
      <c r="P991" s="54"/>
      <c r="Q991" s="54"/>
      <c r="R991" s="52"/>
      <c r="S991" s="52"/>
      <c r="T991" s="52"/>
      <c r="U991" s="52"/>
      <c r="V991" s="52"/>
    </row>
    <row r="992" spans="1:22" ht="13.2" x14ac:dyDescent="0.25">
      <c r="A992" s="52"/>
      <c r="B992" s="52"/>
      <c r="C992" s="52"/>
      <c r="D992" s="52"/>
      <c r="E992" s="52"/>
      <c r="F992" s="50"/>
      <c r="G992" s="52"/>
      <c r="H992" s="52"/>
      <c r="I992" s="52"/>
      <c r="J992" s="51"/>
      <c r="K992" s="52"/>
      <c r="L992" s="52"/>
      <c r="M992" s="52"/>
      <c r="N992" s="50"/>
      <c r="O992" s="52"/>
      <c r="P992" s="54"/>
      <c r="Q992" s="54"/>
      <c r="R992" s="52"/>
      <c r="S992" s="52"/>
      <c r="T992" s="52"/>
      <c r="U992" s="52"/>
      <c r="V992" s="52"/>
    </row>
    <row r="993" spans="1:22" ht="13.2" x14ac:dyDescent="0.25">
      <c r="A993" s="52"/>
      <c r="B993" s="52"/>
      <c r="C993" s="52"/>
      <c r="D993" s="52"/>
      <c r="E993" s="52"/>
      <c r="F993" s="50"/>
      <c r="G993" s="52"/>
      <c r="H993" s="52"/>
      <c r="I993" s="52"/>
      <c r="J993" s="51"/>
      <c r="K993" s="52"/>
      <c r="L993" s="52"/>
      <c r="M993" s="52"/>
      <c r="N993" s="50"/>
      <c r="O993" s="52"/>
      <c r="P993" s="54"/>
      <c r="Q993" s="54"/>
      <c r="R993" s="52"/>
      <c r="S993" s="52"/>
      <c r="T993" s="52"/>
      <c r="U993" s="52"/>
      <c r="V993" s="52"/>
    </row>
    <row r="994" spans="1:22" ht="13.2" x14ac:dyDescent="0.25">
      <c r="A994" s="52"/>
      <c r="B994" s="52"/>
      <c r="C994" s="52"/>
      <c r="D994" s="52"/>
      <c r="E994" s="52"/>
      <c r="F994" s="50"/>
      <c r="G994" s="52"/>
      <c r="H994" s="52"/>
      <c r="I994" s="52"/>
      <c r="J994" s="51"/>
      <c r="K994" s="52"/>
      <c r="L994" s="52"/>
      <c r="M994" s="52"/>
      <c r="N994" s="50"/>
      <c r="O994" s="52"/>
      <c r="P994" s="54"/>
      <c r="Q994" s="54"/>
      <c r="R994" s="52"/>
      <c r="S994" s="52"/>
      <c r="T994" s="52"/>
      <c r="U994" s="52"/>
      <c r="V994" s="52"/>
    </row>
    <row r="995" spans="1:22" ht="13.2" x14ac:dyDescent="0.25">
      <c r="A995" s="52"/>
      <c r="B995" s="52"/>
      <c r="C995" s="52"/>
      <c r="D995" s="52"/>
      <c r="E995" s="52"/>
      <c r="F995" s="50"/>
      <c r="G995" s="52"/>
      <c r="H995" s="52"/>
      <c r="I995" s="52"/>
      <c r="J995" s="51"/>
      <c r="K995" s="52"/>
      <c r="L995" s="52"/>
      <c r="M995" s="52"/>
      <c r="N995" s="50"/>
      <c r="O995" s="52"/>
      <c r="P995" s="54"/>
      <c r="Q995" s="54"/>
      <c r="R995" s="52"/>
      <c r="S995" s="52"/>
      <c r="T995" s="52"/>
      <c r="U995" s="52"/>
      <c r="V995" s="52"/>
    </row>
    <row r="996" spans="1:22" ht="13.2" x14ac:dyDescent="0.25">
      <c r="A996" s="52"/>
      <c r="B996" s="52"/>
      <c r="C996" s="52"/>
      <c r="D996" s="52"/>
      <c r="E996" s="52"/>
      <c r="F996" s="50"/>
      <c r="G996" s="52"/>
      <c r="H996" s="52"/>
      <c r="I996" s="52"/>
      <c r="J996" s="51"/>
      <c r="K996" s="52"/>
      <c r="L996" s="52"/>
      <c r="M996" s="52"/>
      <c r="N996" s="50"/>
      <c r="O996" s="52"/>
      <c r="P996" s="54"/>
      <c r="Q996" s="54"/>
      <c r="R996" s="52"/>
      <c r="S996" s="52"/>
      <c r="T996" s="52"/>
      <c r="U996" s="52"/>
      <c r="V996" s="52"/>
    </row>
    <row r="997" spans="1:22" ht="13.2" x14ac:dyDescent="0.25">
      <c r="A997" s="52"/>
      <c r="B997" s="52"/>
      <c r="C997" s="52"/>
      <c r="D997" s="52"/>
      <c r="E997" s="52"/>
      <c r="F997" s="50"/>
      <c r="G997" s="52"/>
      <c r="H997" s="52"/>
      <c r="I997" s="52"/>
      <c r="J997" s="51"/>
      <c r="K997" s="52"/>
      <c r="L997" s="52"/>
      <c r="M997" s="52"/>
      <c r="N997" s="50"/>
      <c r="O997" s="52"/>
      <c r="P997" s="54"/>
      <c r="Q997" s="54"/>
      <c r="R997" s="52"/>
      <c r="S997" s="52"/>
      <c r="T997" s="52"/>
      <c r="U997" s="52"/>
      <c r="V997" s="52"/>
    </row>
    <row r="998" spans="1:22" ht="13.2" x14ac:dyDescent="0.25">
      <c r="A998" s="52"/>
      <c r="B998" s="52"/>
      <c r="C998" s="52"/>
      <c r="D998" s="52"/>
      <c r="E998" s="52"/>
      <c r="F998" s="50"/>
      <c r="G998" s="52"/>
      <c r="H998" s="52"/>
      <c r="I998" s="52"/>
      <c r="J998" s="51"/>
      <c r="K998" s="52"/>
      <c r="L998" s="52"/>
      <c r="M998" s="52"/>
      <c r="N998" s="50"/>
      <c r="O998" s="52"/>
      <c r="P998" s="54"/>
      <c r="Q998" s="54"/>
      <c r="R998" s="52"/>
      <c r="S998" s="52"/>
      <c r="T998" s="52"/>
      <c r="U998" s="52"/>
      <c r="V998" s="52"/>
    </row>
    <row r="999" spans="1:22" ht="13.2" x14ac:dyDescent="0.25">
      <c r="A999" s="52"/>
      <c r="B999" s="52"/>
      <c r="C999" s="52"/>
      <c r="D999" s="52"/>
      <c r="E999" s="52"/>
      <c r="F999" s="50"/>
      <c r="G999" s="52"/>
      <c r="H999" s="52"/>
      <c r="I999" s="52"/>
      <c r="J999" s="51"/>
      <c r="K999" s="52"/>
      <c r="L999" s="52"/>
      <c r="M999" s="52"/>
      <c r="N999" s="50"/>
      <c r="O999" s="52"/>
      <c r="P999" s="54"/>
      <c r="Q999" s="54"/>
      <c r="R999" s="52"/>
      <c r="S999" s="52"/>
      <c r="T999" s="52"/>
      <c r="U999" s="52"/>
      <c r="V999" s="52"/>
    </row>
    <row r="1000" spans="1:22" ht="13.2" x14ac:dyDescent="0.25">
      <c r="A1000" s="52"/>
      <c r="B1000" s="52"/>
      <c r="C1000" s="52"/>
      <c r="D1000" s="52"/>
      <c r="E1000" s="52"/>
      <c r="F1000" s="50"/>
      <c r="G1000" s="52"/>
      <c r="H1000" s="52"/>
      <c r="I1000" s="52"/>
      <c r="J1000" s="51"/>
      <c r="K1000" s="52"/>
      <c r="L1000" s="52"/>
      <c r="M1000" s="52"/>
      <c r="N1000" s="50"/>
      <c r="O1000" s="52"/>
      <c r="P1000" s="54"/>
      <c r="Q1000" s="54"/>
      <c r="R1000" s="52"/>
      <c r="S1000" s="52"/>
      <c r="T1000" s="52"/>
      <c r="U1000" s="52"/>
      <c r="V1000" s="52"/>
    </row>
    <row r="1001" spans="1:22" ht="13.2" x14ac:dyDescent="0.25">
      <c r="A1001" s="52"/>
      <c r="B1001" s="52"/>
      <c r="C1001" s="52"/>
      <c r="D1001" s="52"/>
      <c r="E1001" s="52"/>
      <c r="F1001" s="50"/>
      <c r="G1001" s="52"/>
      <c r="H1001" s="52"/>
      <c r="I1001" s="52"/>
      <c r="J1001" s="51"/>
      <c r="K1001" s="52"/>
      <c r="L1001" s="52"/>
      <c r="M1001" s="52"/>
      <c r="N1001" s="50"/>
      <c r="O1001" s="52"/>
      <c r="P1001" s="54"/>
      <c r="Q1001" s="54"/>
      <c r="R1001" s="52"/>
      <c r="S1001" s="52"/>
      <c r="T1001" s="52"/>
      <c r="U1001" s="52"/>
      <c r="V1001" s="52"/>
    </row>
  </sheetData>
  <mergeCells count="5">
    <mergeCell ref="A1:A2"/>
    <mergeCell ref="B1:F1"/>
    <mergeCell ref="G1:J1"/>
    <mergeCell ref="K1:N1"/>
    <mergeCell ref="O1:V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T854"/>
  <sheetViews>
    <sheetView workbookViewId="0">
      <pane ySplit="1" topLeftCell="A527" activePane="bottomLeft" state="frozen"/>
      <selection pane="bottomLeft" activeCell="J372" sqref="J372:J549"/>
    </sheetView>
  </sheetViews>
  <sheetFormatPr defaultColWidth="14.44140625" defaultRowHeight="15.75" customHeight="1" x14ac:dyDescent="0.25"/>
  <cols>
    <col min="2" max="2" width="13.109375" customWidth="1"/>
    <col min="9" max="9" width="17.88671875" customWidth="1"/>
  </cols>
  <sheetData>
    <row r="1" spans="1:20" ht="46.8" x14ac:dyDescent="0.25">
      <c r="A1" s="60" t="s">
        <v>0</v>
      </c>
      <c r="B1" s="60" t="s">
        <v>82</v>
      </c>
      <c r="C1" s="60" t="s">
        <v>83</v>
      </c>
      <c r="D1" s="61" t="s">
        <v>84</v>
      </c>
      <c r="E1" s="62" t="s">
        <v>85</v>
      </c>
      <c r="F1" s="63" t="s">
        <v>86</v>
      </c>
      <c r="G1" s="63" t="s">
        <v>72</v>
      </c>
      <c r="H1" s="63" t="s">
        <v>73</v>
      </c>
      <c r="I1" s="64" t="s">
        <v>87</v>
      </c>
      <c r="J1" s="65"/>
      <c r="K1" s="65"/>
      <c r="L1" s="65"/>
      <c r="M1" s="65"/>
      <c r="N1" s="65"/>
      <c r="O1" s="65"/>
      <c r="P1" s="65"/>
      <c r="Q1" s="65"/>
      <c r="R1" s="65"/>
      <c r="S1" s="65"/>
      <c r="T1" s="65"/>
    </row>
    <row r="2" spans="1:20" ht="15" x14ac:dyDescent="0.25">
      <c r="A2" s="66">
        <v>43890</v>
      </c>
      <c r="B2" s="67">
        <v>40</v>
      </c>
      <c r="C2" s="67">
        <v>0</v>
      </c>
      <c r="D2" s="67">
        <f t="shared" ref="D2:D549" si="0">B2-C2</f>
        <v>40</v>
      </c>
      <c r="E2" s="68">
        <f t="shared" ref="E2:E549" si="1">C2/B2</f>
        <v>0</v>
      </c>
      <c r="F2" s="69">
        <v>40</v>
      </c>
      <c r="G2" s="70">
        <v>0</v>
      </c>
      <c r="H2" s="70">
        <v>40</v>
      </c>
      <c r="I2" s="71" t="s">
        <v>88</v>
      </c>
      <c r="J2">
        <f>G2/F2</f>
        <v>0</v>
      </c>
    </row>
    <row r="3" spans="1:20" ht="15" x14ac:dyDescent="0.25">
      <c r="A3" s="66">
        <v>43891</v>
      </c>
      <c r="B3" s="67">
        <v>39</v>
      </c>
      <c r="C3" s="67">
        <v>0</v>
      </c>
      <c r="D3" s="67">
        <f t="shared" si="0"/>
        <v>39</v>
      </c>
      <c r="E3" s="68">
        <f t="shared" si="1"/>
        <v>0</v>
      </c>
      <c r="F3" s="69">
        <v>39</v>
      </c>
      <c r="G3" s="70">
        <v>0</v>
      </c>
      <c r="H3" s="70">
        <v>39</v>
      </c>
      <c r="I3" s="71" t="s">
        <v>88</v>
      </c>
      <c r="J3" s="213">
        <f t="shared" ref="J3:J66" si="2">G3/F3</f>
        <v>0</v>
      </c>
    </row>
    <row r="4" spans="1:20" ht="15" x14ac:dyDescent="0.25">
      <c r="A4" s="66">
        <v>43892</v>
      </c>
      <c r="B4" s="67">
        <v>3</v>
      </c>
      <c r="C4" s="67">
        <v>0</v>
      </c>
      <c r="D4" s="67">
        <f t="shared" si="0"/>
        <v>3</v>
      </c>
      <c r="E4" s="68">
        <f t="shared" si="1"/>
        <v>0</v>
      </c>
      <c r="F4" s="69">
        <v>3</v>
      </c>
      <c r="G4" s="70">
        <v>0</v>
      </c>
      <c r="H4" s="70">
        <v>3</v>
      </c>
      <c r="I4" s="71" t="s">
        <v>88</v>
      </c>
      <c r="J4" s="213">
        <f t="shared" si="2"/>
        <v>0</v>
      </c>
    </row>
    <row r="5" spans="1:20" ht="15" x14ac:dyDescent="0.25">
      <c r="A5" s="66">
        <v>43893</v>
      </c>
      <c r="B5" s="67">
        <v>15</v>
      </c>
      <c r="C5" s="67">
        <v>3</v>
      </c>
      <c r="D5" s="67">
        <f t="shared" si="0"/>
        <v>12</v>
      </c>
      <c r="E5" s="68">
        <f t="shared" si="1"/>
        <v>0.2</v>
      </c>
      <c r="F5" s="69">
        <v>15</v>
      </c>
      <c r="G5" s="70">
        <v>3</v>
      </c>
      <c r="H5" s="70">
        <v>12</v>
      </c>
      <c r="I5" s="71" t="s">
        <v>89</v>
      </c>
      <c r="J5" s="213">
        <f t="shared" si="2"/>
        <v>0.2</v>
      </c>
    </row>
    <row r="6" spans="1:20" ht="15" x14ac:dyDescent="0.25">
      <c r="A6" s="66">
        <v>43894</v>
      </c>
      <c r="B6" s="67">
        <v>7</v>
      </c>
      <c r="C6" s="67">
        <v>0</v>
      </c>
      <c r="D6" s="67">
        <f t="shared" si="0"/>
        <v>7</v>
      </c>
      <c r="E6" s="68">
        <f t="shared" si="1"/>
        <v>0</v>
      </c>
      <c r="F6" s="69">
        <v>7</v>
      </c>
      <c r="G6" s="70">
        <v>0</v>
      </c>
      <c r="H6" s="70">
        <v>7</v>
      </c>
      <c r="I6" s="71" t="s">
        <v>88</v>
      </c>
      <c r="J6" s="213">
        <f t="shared" si="2"/>
        <v>0</v>
      </c>
    </row>
    <row r="7" spans="1:20" ht="15" x14ac:dyDescent="0.25">
      <c r="A7" s="66">
        <v>43895</v>
      </c>
      <c r="B7" s="67">
        <v>27</v>
      </c>
      <c r="C7" s="67">
        <v>0</v>
      </c>
      <c r="D7" s="67">
        <f t="shared" si="0"/>
        <v>27</v>
      </c>
      <c r="E7" s="68">
        <f t="shared" si="1"/>
        <v>0</v>
      </c>
      <c r="F7" s="69">
        <v>27</v>
      </c>
      <c r="G7" s="70">
        <v>3</v>
      </c>
      <c r="H7" s="70">
        <v>24</v>
      </c>
      <c r="I7" s="71" t="s">
        <v>90</v>
      </c>
      <c r="J7" s="213">
        <f t="shared" si="2"/>
        <v>0.1111111111111111</v>
      </c>
    </row>
    <row r="8" spans="1:20" ht="15" x14ac:dyDescent="0.25">
      <c r="A8" s="66">
        <v>43896</v>
      </c>
      <c r="B8" s="67">
        <v>5</v>
      </c>
      <c r="C8" s="67">
        <v>0</v>
      </c>
      <c r="D8" s="67">
        <f t="shared" si="0"/>
        <v>5</v>
      </c>
      <c r="E8" s="68">
        <f t="shared" si="1"/>
        <v>0</v>
      </c>
      <c r="F8" s="69">
        <v>5</v>
      </c>
      <c r="G8" s="70">
        <v>0</v>
      </c>
      <c r="H8" s="70">
        <v>5</v>
      </c>
      <c r="I8" s="71" t="s">
        <v>88</v>
      </c>
      <c r="J8" s="213">
        <f t="shared" si="2"/>
        <v>0</v>
      </c>
    </row>
    <row r="9" spans="1:20" ht="15" x14ac:dyDescent="0.25">
      <c r="A9" s="66">
        <v>43897</v>
      </c>
      <c r="B9" s="67">
        <v>26</v>
      </c>
      <c r="C9" s="67">
        <v>0</v>
      </c>
      <c r="D9" s="67">
        <f t="shared" si="0"/>
        <v>26</v>
      </c>
      <c r="E9" s="68">
        <f t="shared" si="1"/>
        <v>0</v>
      </c>
      <c r="F9" s="69">
        <v>26</v>
      </c>
      <c r="G9" s="70">
        <v>0</v>
      </c>
      <c r="H9" s="70">
        <v>26</v>
      </c>
      <c r="I9" s="71" t="s">
        <v>88</v>
      </c>
      <c r="J9" s="213">
        <f t="shared" si="2"/>
        <v>0</v>
      </c>
    </row>
    <row r="10" spans="1:20" ht="15" x14ac:dyDescent="0.25">
      <c r="A10" s="66">
        <v>43898</v>
      </c>
      <c r="B10" s="67">
        <v>56</v>
      </c>
      <c r="C10" s="67">
        <v>1</v>
      </c>
      <c r="D10" s="67">
        <f t="shared" si="0"/>
        <v>55</v>
      </c>
      <c r="E10" s="68">
        <f t="shared" si="1"/>
        <v>1.7857142857142856E-2</v>
      </c>
      <c r="F10" s="69">
        <v>56</v>
      </c>
      <c r="G10" s="70">
        <v>0</v>
      </c>
      <c r="H10" s="70">
        <v>56</v>
      </c>
      <c r="I10" s="71" t="s">
        <v>88</v>
      </c>
      <c r="J10" s="213">
        <f t="shared" si="2"/>
        <v>0</v>
      </c>
    </row>
    <row r="11" spans="1:20" ht="15" x14ac:dyDescent="0.25">
      <c r="A11" s="66">
        <v>43899</v>
      </c>
      <c r="B11" s="67">
        <v>73</v>
      </c>
      <c r="C11" s="67">
        <v>27</v>
      </c>
      <c r="D11" s="67">
        <f t="shared" si="0"/>
        <v>46</v>
      </c>
      <c r="E11" s="68">
        <f t="shared" si="1"/>
        <v>0.36986301369863012</v>
      </c>
      <c r="F11" s="69">
        <v>73</v>
      </c>
      <c r="G11" s="70">
        <v>25</v>
      </c>
      <c r="H11" s="70">
        <v>48</v>
      </c>
      <c r="I11" s="71" t="s">
        <v>91</v>
      </c>
      <c r="J11" s="213">
        <f t="shared" si="2"/>
        <v>0.34246575342465752</v>
      </c>
    </row>
    <row r="12" spans="1:20" ht="15" x14ac:dyDescent="0.25">
      <c r="A12" s="66">
        <v>43900</v>
      </c>
      <c r="B12" s="67">
        <v>52</v>
      </c>
      <c r="C12" s="67">
        <v>2</v>
      </c>
      <c r="D12" s="67">
        <f t="shared" si="0"/>
        <v>50</v>
      </c>
      <c r="E12" s="68">
        <f t="shared" si="1"/>
        <v>3.8461538461538464E-2</v>
      </c>
      <c r="F12" s="69">
        <v>52</v>
      </c>
      <c r="G12" s="70">
        <v>0</v>
      </c>
      <c r="H12" s="70">
        <v>52</v>
      </c>
      <c r="I12" s="71" t="s">
        <v>88</v>
      </c>
      <c r="J12" s="213">
        <f t="shared" si="2"/>
        <v>0</v>
      </c>
    </row>
    <row r="13" spans="1:20" ht="15" x14ac:dyDescent="0.25">
      <c r="A13" s="66">
        <v>43901</v>
      </c>
      <c r="B13" s="67">
        <v>48</v>
      </c>
      <c r="C13" s="67">
        <v>26</v>
      </c>
      <c r="D13" s="67">
        <f t="shared" si="0"/>
        <v>22</v>
      </c>
      <c r="E13" s="68">
        <f t="shared" si="1"/>
        <v>0.54166666666666663</v>
      </c>
      <c r="F13" s="69">
        <v>48</v>
      </c>
      <c r="G13" s="70">
        <v>3</v>
      </c>
      <c r="H13" s="70">
        <v>45</v>
      </c>
      <c r="I13" s="71" t="s">
        <v>92</v>
      </c>
      <c r="J13" s="213">
        <f t="shared" si="2"/>
        <v>6.25E-2</v>
      </c>
    </row>
    <row r="14" spans="1:20" ht="15" x14ac:dyDescent="0.25">
      <c r="A14" s="66">
        <v>43902</v>
      </c>
      <c r="B14" s="67">
        <v>56</v>
      </c>
      <c r="C14" s="67">
        <v>10</v>
      </c>
      <c r="D14" s="67">
        <f t="shared" si="0"/>
        <v>46</v>
      </c>
      <c r="E14" s="68">
        <f t="shared" si="1"/>
        <v>0.17857142857142858</v>
      </c>
      <c r="F14" s="69">
        <v>56</v>
      </c>
      <c r="G14" s="70">
        <v>23</v>
      </c>
      <c r="H14" s="70">
        <v>33</v>
      </c>
      <c r="I14" s="71" t="s">
        <v>93</v>
      </c>
      <c r="J14" s="213">
        <f t="shared" si="2"/>
        <v>0.4107142857142857</v>
      </c>
    </row>
    <row r="15" spans="1:20" ht="15" x14ac:dyDescent="0.25">
      <c r="A15" s="66">
        <v>43903</v>
      </c>
      <c r="B15" s="67">
        <v>30</v>
      </c>
      <c r="C15" s="67">
        <v>7</v>
      </c>
      <c r="D15" s="67">
        <f t="shared" si="0"/>
        <v>23</v>
      </c>
      <c r="E15" s="68">
        <f t="shared" si="1"/>
        <v>0.23333333333333334</v>
      </c>
      <c r="F15" s="69">
        <v>30</v>
      </c>
      <c r="G15" s="70">
        <v>10</v>
      </c>
      <c r="H15" s="70">
        <v>20</v>
      </c>
      <c r="I15" s="71" t="s">
        <v>94</v>
      </c>
      <c r="J15" s="213">
        <f t="shared" si="2"/>
        <v>0.33333333333333331</v>
      </c>
    </row>
    <row r="16" spans="1:20" ht="15" x14ac:dyDescent="0.25">
      <c r="A16" s="66">
        <v>43904</v>
      </c>
      <c r="B16" s="67">
        <v>44</v>
      </c>
      <c r="C16" s="67">
        <v>16</v>
      </c>
      <c r="D16" s="67">
        <f t="shared" si="0"/>
        <v>28</v>
      </c>
      <c r="E16" s="68">
        <f t="shared" si="1"/>
        <v>0.36363636363636365</v>
      </c>
      <c r="F16" s="69">
        <v>44</v>
      </c>
      <c r="G16" s="70">
        <v>3</v>
      </c>
      <c r="H16" s="70">
        <v>41</v>
      </c>
      <c r="I16" s="71" t="s">
        <v>95</v>
      </c>
      <c r="J16" s="213">
        <f t="shared" si="2"/>
        <v>6.8181818181818177E-2</v>
      </c>
    </row>
    <row r="17" spans="1:10" ht="15" x14ac:dyDescent="0.25">
      <c r="A17" s="66">
        <v>43905</v>
      </c>
      <c r="B17" s="67">
        <v>41</v>
      </c>
      <c r="C17" s="67">
        <v>2</v>
      </c>
      <c r="D17" s="67">
        <f t="shared" si="0"/>
        <v>39</v>
      </c>
      <c r="E17" s="68">
        <f t="shared" si="1"/>
        <v>4.878048780487805E-2</v>
      </c>
      <c r="F17" s="69">
        <v>41</v>
      </c>
      <c r="G17" s="70">
        <v>15</v>
      </c>
      <c r="H17" s="70">
        <v>26</v>
      </c>
      <c r="I17" s="71" t="s">
        <v>96</v>
      </c>
      <c r="J17" s="213">
        <f t="shared" si="2"/>
        <v>0.36585365853658536</v>
      </c>
    </row>
    <row r="18" spans="1:10" ht="15" x14ac:dyDescent="0.25">
      <c r="A18" s="66">
        <v>43906</v>
      </c>
      <c r="B18" s="67">
        <v>47</v>
      </c>
      <c r="C18" s="67">
        <v>25</v>
      </c>
      <c r="D18" s="67">
        <f t="shared" si="0"/>
        <v>22</v>
      </c>
      <c r="E18" s="68">
        <f t="shared" si="1"/>
        <v>0.53191489361702127</v>
      </c>
      <c r="F18" s="69">
        <v>47</v>
      </c>
      <c r="G18" s="70">
        <v>2</v>
      </c>
      <c r="H18" s="70">
        <v>45</v>
      </c>
      <c r="I18" s="71" t="s">
        <v>97</v>
      </c>
      <c r="J18" s="213">
        <f t="shared" si="2"/>
        <v>4.2553191489361701E-2</v>
      </c>
    </row>
    <row r="19" spans="1:10" ht="15" x14ac:dyDescent="0.25">
      <c r="A19" s="66">
        <v>43907</v>
      </c>
      <c r="B19" s="67">
        <v>104</v>
      </c>
      <c r="C19" s="67">
        <v>38</v>
      </c>
      <c r="D19" s="67">
        <f t="shared" si="0"/>
        <v>66</v>
      </c>
      <c r="E19" s="68">
        <f t="shared" si="1"/>
        <v>0.36538461538461536</v>
      </c>
      <c r="F19" s="69">
        <v>104</v>
      </c>
      <c r="G19" s="70">
        <v>26</v>
      </c>
      <c r="H19" s="70">
        <v>78</v>
      </c>
      <c r="I19" s="71" t="s">
        <v>98</v>
      </c>
      <c r="J19" s="213">
        <f t="shared" si="2"/>
        <v>0.25</v>
      </c>
    </row>
    <row r="20" spans="1:10" ht="15" x14ac:dyDescent="0.25">
      <c r="A20" s="66">
        <v>43908</v>
      </c>
      <c r="B20" s="67">
        <v>132</v>
      </c>
      <c r="C20" s="67">
        <v>51</v>
      </c>
      <c r="D20" s="67">
        <f t="shared" si="0"/>
        <v>81</v>
      </c>
      <c r="E20" s="68">
        <f t="shared" si="1"/>
        <v>0.38636363636363635</v>
      </c>
      <c r="F20" s="69">
        <v>132</v>
      </c>
      <c r="G20" s="70">
        <v>38</v>
      </c>
      <c r="H20" s="70">
        <v>94</v>
      </c>
      <c r="I20" s="71" t="s">
        <v>99</v>
      </c>
      <c r="J20" s="213">
        <f t="shared" si="2"/>
        <v>0.2878787878787879</v>
      </c>
    </row>
    <row r="21" spans="1:10" ht="15" x14ac:dyDescent="0.25">
      <c r="A21" s="66">
        <v>43909</v>
      </c>
      <c r="B21" s="67">
        <v>154</v>
      </c>
      <c r="C21" s="67">
        <v>13</v>
      </c>
      <c r="D21" s="67">
        <f t="shared" si="0"/>
        <v>141</v>
      </c>
      <c r="E21" s="68">
        <f t="shared" si="1"/>
        <v>8.4415584415584416E-2</v>
      </c>
      <c r="F21" s="69">
        <v>154</v>
      </c>
      <c r="G21" s="70">
        <v>48</v>
      </c>
      <c r="H21" s="70">
        <v>106</v>
      </c>
      <c r="I21" s="71" t="s">
        <v>100</v>
      </c>
      <c r="J21" s="213">
        <f t="shared" si="2"/>
        <v>0.31168831168831168</v>
      </c>
    </row>
    <row r="22" spans="1:10" ht="15" x14ac:dyDescent="0.25">
      <c r="A22" s="66">
        <v>43910</v>
      </c>
      <c r="B22" s="67">
        <v>118</v>
      </c>
      <c r="C22" s="67">
        <v>44</v>
      </c>
      <c r="D22" s="67">
        <f t="shared" si="0"/>
        <v>74</v>
      </c>
      <c r="E22" s="68">
        <f t="shared" si="1"/>
        <v>0.3728813559322034</v>
      </c>
      <c r="F22" s="69">
        <v>118</v>
      </c>
      <c r="G22" s="70">
        <v>12</v>
      </c>
      <c r="H22" s="70">
        <v>106</v>
      </c>
      <c r="I22" s="71" t="s">
        <v>101</v>
      </c>
      <c r="J22" s="213">
        <f t="shared" si="2"/>
        <v>0.10169491525423729</v>
      </c>
    </row>
    <row r="23" spans="1:10" ht="15" x14ac:dyDescent="0.25">
      <c r="A23" s="66">
        <v>43911</v>
      </c>
      <c r="B23" s="67">
        <v>501</v>
      </c>
      <c r="C23" s="67">
        <v>39</v>
      </c>
      <c r="D23" s="67">
        <f t="shared" si="0"/>
        <v>462</v>
      </c>
      <c r="E23" s="68">
        <f t="shared" si="1"/>
        <v>7.7844311377245512E-2</v>
      </c>
      <c r="F23" s="69">
        <v>1190</v>
      </c>
      <c r="G23" s="70">
        <v>437</v>
      </c>
      <c r="H23" s="70">
        <v>753</v>
      </c>
      <c r="I23" s="71" t="s">
        <v>102</v>
      </c>
      <c r="J23" s="213">
        <f t="shared" si="2"/>
        <v>0.36722689075630255</v>
      </c>
    </row>
    <row r="24" spans="1:10" ht="15" x14ac:dyDescent="0.25">
      <c r="A24" s="66">
        <v>43912</v>
      </c>
      <c r="B24" s="67">
        <v>1097</v>
      </c>
      <c r="C24" s="67">
        <v>49</v>
      </c>
      <c r="D24" s="67">
        <f t="shared" si="0"/>
        <v>1048</v>
      </c>
      <c r="E24" s="68">
        <f t="shared" si="1"/>
        <v>4.4667274384685506E-2</v>
      </c>
      <c r="F24" s="69">
        <v>1790</v>
      </c>
      <c r="G24" s="70">
        <v>430</v>
      </c>
      <c r="H24" s="70">
        <v>1360</v>
      </c>
      <c r="I24" s="71" t="s">
        <v>103</v>
      </c>
      <c r="J24" s="213">
        <f t="shared" si="2"/>
        <v>0.24022346368715083</v>
      </c>
    </row>
    <row r="25" spans="1:10" ht="15" x14ac:dyDescent="0.25">
      <c r="A25" s="66">
        <v>43913</v>
      </c>
      <c r="B25" s="67">
        <v>378</v>
      </c>
      <c r="C25" s="67">
        <v>71</v>
      </c>
      <c r="D25" s="67">
        <f t="shared" si="0"/>
        <v>307</v>
      </c>
      <c r="E25" s="68">
        <f t="shared" si="1"/>
        <v>0.18783068783068782</v>
      </c>
      <c r="F25" s="69">
        <v>1119</v>
      </c>
      <c r="G25" s="70">
        <v>471</v>
      </c>
      <c r="H25" s="70">
        <v>648</v>
      </c>
      <c r="I25" s="71" t="s">
        <v>104</v>
      </c>
      <c r="J25" s="213">
        <f t="shared" si="2"/>
        <v>0.42091152815013405</v>
      </c>
    </row>
    <row r="26" spans="1:10" ht="15" x14ac:dyDescent="0.25">
      <c r="A26" s="66">
        <v>43914</v>
      </c>
      <c r="B26" s="67">
        <v>347</v>
      </c>
      <c r="C26" s="67">
        <v>45</v>
      </c>
      <c r="D26" s="67">
        <f t="shared" si="0"/>
        <v>302</v>
      </c>
      <c r="E26" s="68">
        <f t="shared" si="1"/>
        <v>0.12968299711815562</v>
      </c>
      <c r="F26" s="69">
        <v>1022</v>
      </c>
      <c r="G26" s="70">
        <v>446</v>
      </c>
      <c r="H26" s="70">
        <v>576</v>
      </c>
      <c r="I26" s="71" t="s">
        <v>105</v>
      </c>
      <c r="J26" s="213">
        <f t="shared" si="2"/>
        <v>0.43639921722113501</v>
      </c>
    </row>
    <row r="27" spans="1:10" ht="15" x14ac:dyDescent="0.25">
      <c r="A27" s="66">
        <v>43915</v>
      </c>
      <c r="B27" s="67">
        <v>196</v>
      </c>
      <c r="C27" s="67">
        <v>43</v>
      </c>
      <c r="D27" s="67">
        <f t="shared" si="0"/>
        <v>153</v>
      </c>
      <c r="E27" s="68">
        <f t="shared" si="1"/>
        <v>0.21938775510204081</v>
      </c>
      <c r="F27" s="69">
        <v>887</v>
      </c>
      <c r="G27" s="70">
        <v>437</v>
      </c>
      <c r="H27" s="70">
        <v>450</v>
      </c>
      <c r="I27" s="71" t="s">
        <v>106</v>
      </c>
      <c r="J27" s="213">
        <f t="shared" si="2"/>
        <v>0.49267192784667418</v>
      </c>
    </row>
    <row r="28" spans="1:10" ht="15" x14ac:dyDescent="0.25">
      <c r="A28" s="66">
        <v>43916</v>
      </c>
      <c r="B28" s="67">
        <v>248</v>
      </c>
      <c r="C28" s="67">
        <v>51</v>
      </c>
      <c r="D28" s="67">
        <f t="shared" si="0"/>
        <v>197</v>
      </c>
      <c r="E28" s="68">
        <f t="shared" si="1"/>
        <v>0.20564516129032259</v>
      </c>
      <c r="F28" s="69">
        <v>959</v>
      </c>
      <c r="G28" s="70">
        <v>448</v>
      </c>
      <c r="H28" s="70">
        <v>511</v>
      </c>
      <c r="I28" s="71" t="s">
        <v>107</v>
      </c>
      <c r="J28" s="213">
        <f t="shared" si="2"/>
        <v>0.46715328467153283</v>
      </c>
    </row>
    <row r="29" spans="1:10" ht="15" x14ac:dyDescent="0.25">
      <c r="A29" s="66">
        <v>43917</v>
      </c>
      <c r="B29" s="67">
        <v>199</v>
      </c>
      <c r="C29" s="67">
        <v>37</v>
      </c>
      <c r="D29" s="67">
        <f t="shared" si="0"/>
        <v>162</v>
      </c>
      <c r="E29" s="68">
        <f t="shared" si="1"/>
        <v>0.18592964824120603</v>
      </c>
      <c r="F29" s="69">
        <v>887</v>
      </c>
      <c r="G29" s="70">
        <v>435</v>
      </c>
      <c r="H29" s="70">
        <v>452</v>
      </c>
      <c r="I29" s="71" t="s">
        <v>108</v>
      </c>
      <c r="J29" s="213">
        <f t="shared" si="2"/>
        <v>0.4904171364148816</v>
      </c>
    </row>
    <row r="30" spans="1:10" ht="15" x14ac:dyDescent="0.25">
      <c r="A30" s="66">
        <v>43918</v>
      </c>
      <c r="B30" s="67">
        <v>359</v>
      </c>
      <c r="C30" s="67">
        <v>98</v>
      </c>
      <c r="D30" s="67">
        <f t="shared" si="0"/>
        <v>261</v>
      </c>
      <c r="E30" s="68">
        <f t="shared" si="1"/>
        <v>0.27298050139275765</v>
      </c>
      <c r="F30" s="69">
        <v>1126</v>
      </c>
      <c r="G30" s="70">
        <v>502</v>
      </c>
      <c r="H30" s="70">
        <v>624</v>
      </c>
      <c r="I30" s="71" t="s">
        <v>109</v>
      </c>
      <c r="J30" s="213">
        <f t="shared" si="2"/>
        <v>0.44582593250444047</v>
      </c>
    </row>
    <row r="31" spans="1:10" ht="15" x14ac:dyDescent="0.25">
      <c r="A31" s="66">
        <v>43919</v>
      </c>
      <c r="B31" s="67">
        <v>127</v>
      </c>
      <c r="C31" s="67">
        <v>26</v>
      </c>
      <c r="D31" s="67">
        <f t="shared" si="0"/>
        <v>101</v>
      </c>
      <c r="E31" s="68">
        <f t="shared" si="1"/>
        <v>0.20472440944881889</v>
      </c>
      <c r="F31" s="69">
        <v>751</v>
      </c>
      <c r="G31" s="70">
        <v>426</v>
      </c>
      <c r="H31" s="70">
        <v>325</v>
      </c>
      <c r="I31" s="71" t="s">
        <v>110</v>
      </c>
      <c r="J31" s="213">
        <f t="shared" si="2"/>
        <v>0.56724367509986684</v>
      </c>
    </row>
    <row r="32" spans="1:10" ht="15" x14ac:dyDescent="0.25">
      <c r="A32" s="66">
        <v>43920</v>
      </c>
      <c r="B32" s="67">
        <v>217</v>
      </c>
      <c r="C32" s="67">
        <v>14</v>
      </c>
      <c r="D32" s="67">
        <f t="shared" si="0"/>
        <v>203</v>
      </c>
      <c r="E32" s="68">
        <f t="shared" si="1"/>
        <v>6.4516129032258063E-2</v>
      </c>
      <c r="F32" s="69">
        <v>922</v>
      </c>
      <c r="G32" s="70">
        <v>431</v>
      </c>
      <c r="H32" s="70">
        <v>491</v>
      </c>
      <c r="I32" s="71" t="s">
        <v>111</v>
      </c>
      <c r="J32" s="213">
        <f t="shared" si="2"/>
        <v>0.46746203904555317</v>
      </c>
    </row>
    <row r="33" spans="1:10" ht="15" x14ac:dyDescent="0.25">
      <c r="A33" s="66">
        <v>43921</v>
      </c>
      <c r="B33" s="67">
        <v>300</v>
      </c>
      <c r="C33" s="67">
        <v>75</v>
      </c>
      <c r="D33" s="67">
        <f t="shared" si="0"/>
        <v>225</v>
      </c>
      <c r="E33" s="68">
        <f t="shared" si="1"/>
        <v>0.25</v>
      </c>
      <c r="F33" s="69">
        <v>1047</v>
      </c>
      <c r="G33" s="70">
        <v>478</v>
      </c>
      <c r="H33" s="70">
        <v>569</v>
      </c>
      <c r="I33" s="71" t="s">
        <v>112</v>
      </c>
      <c r="J33" s="213">
        <f t="shared" si="2"/>
        <v>0.45654250238777461</v>
      </c>
    </row>
    <row r="34" spans="1:10" ht="15" x14ac:dyDescent="0.25">
      <c r="A34" s="66">
        <v>43922</v>
      </c>
      <c r="B34" s="67">
        <v>164</v>
      </c>
      <c r="C34" s="67">
        <v>93</v>
      </c>
      <c r="D34" s="67">
        <f t="shared" si="0"/>
        <v>71</v>
      </c>
      <c r="E34" s="68">
        <f t="shared" si="1"/>
        <v>0.56707317073170727</v>
      </c>
      <c r="F34" s="69">
        <v>920</v>
      </c>
      <c r="G34" s="70">
        <v>504</v>
      </c>
      <c r="H34" s="70">
        <v>416</v>
      </c>
      <c r="I34" s="71" t="s">
        <v>113</v>
      </c>
      <c r="J34" s="213">
        <f t="shared" si="2"/>
        <v>0.54782608695652169</v>
      </c>
    </row>
    <row r="35" spans="1:10" ht="15" x14ac:dyDescent="0.25">
      <c r="A35" s="66">
        <v>43923</v>
      </c>
      <c r="B35" s="67">
        <v>455</v>
      </c>
      <c r="C35" s="67">
        <v>81</v>
      </c>
      <c r="D35" s="67">
        <f t="shared" si="0"/>
        <v>374</v>
      </c>
      <c r="E35" s="68">
        <f t="shared" si="1"/>
        <v>0.17802197802197803</v>
      </c>
      <c r="F35" s="69">
        <v>1343</v>
      </c>
      <c r="G35" s="70">
        <v>532</v>
      </c>
      <c r="H35" s="70">
        <v>811</v>
      </c>
      <c r="I35" s="71" t="s">
        <v>114</v>
      </c>
      <c r="J35" s="213">
        <f t="shared" si="2"/>
        <v>0.39612807148175727</v>
      </c>
    </row>
    <row r="36" spans="1:10" ht="15" x14ac:dyDescent="0.25">
      <c r="A36" s="66">
        <v>43924</v>
      </c>
      <c r="B36" s="67">
        <v>908</v>
      </c>
      <c r="C36" s="67">
        <v>81</v>
      </c>
      <c r="D36" s="67">
        <f t="shared" si="0"/>
        <v>827</v>
      </c>
      <c r="E36" s="68">
        <f t="shared" si="1"/>
        <v>8.9207048458149779E-2</v>
      </c>
      <c r="F36" s="69">
        <v>1501</v>
      </c>
      <c r="G36" s="70">
        <v>545</v>
      </c>
      <c r="H36" s="70">
        <v>956</v>
      </c>
      <c r="I36" s="71" t="s">
        <v>115</v>
      </c>
      <c r="J36" s="213">
        <f t="shared" si="2"/>
        <v>0.36309127248501</v>
      </c>
    </row>
    <row r="37" spans="1:10" ht="15" x14ac:dyDescent="0.25">
      <c r="A37" s="66">
        <v>43925</v>
      </c>
      <c r="B37" s="67">
        <v>1470</v>
      </c>
      <c r="C37" s="67">
        <v>80</v>
      </c>
      <c r="D37" s="67">
        <f t="shared" si="0"/>
        <v>1390</v>
      </c>
      <c r="E37" s="68">
        <f t="shared" si="1"/>
        <v>5.4421768707482991E-2</v>
      </c>
      <c r="F37" s="69">
        <v>2414</v>
      </c>
      <c r="G37" s="70">
        <v>608</v>
      </c>
      <c r="H37" s="70">
        <v>1806</v>
      </c>
      <c r="I37" s="71" t="s">
        <v>116</v>
      </c>
      <c r="J37" s="213">
        <f t="shared" si="2"/>
        <v>0.25186412593206298</v>
      </c>
    </row>
    <row r="38" spans="1:10" ht="15" x14ac:dyDescent="0.25">
      <c r="A38" s="66">
        <v>43926</v>
      </c>
      <c r="B38" s="67">
        <v>1218</v>
      </c>
      <c r="C38" s="67">
        <v>148</v>
      </c>
      <c r="D38" s="67">
        <f t="shared" si="0"/>
        <v>1070</v>
      </c>
      <c r="E38" s="68">
        <f t="shared" si="1"/>
        <v>0.12151067323481117</v>
      </c>
      <c r="F38" s="69">
        <v>2248</v>
      </c>
      <c r="G38" s="70">
        <v>538</v>
      </c>
      <c r="H38" s="70">
        <v>1710</v>
      </c>
      <c r="I38" s="71" t="s">
        <v>117</v>
      </c>
      <c r="J38" s="213">
        <f t="shared" si="2"/>
        <v>0.23932384341637011</v>
      </c>
    </row>
    <row r="39" spans="1:10" ht="15" x14ac:dyDescent="0.25">
      <c r="A39" s="66">
        <v>43927</v>
      </c>
      <c r="B39" s="67">
        <v>812</v>
      </c>
      <c r="C39" s="67">
        <v>144</v>
      </c>
      <c r="D39" s="67">
        <f t="shared" si="0"/>
        <v>668</v>
      </c>
      <c r="E39" s="68">
        <f t="shared" si="1"/>
        <v>0.17733990147783252</v>
      </c>
      <c r="F39" s="69">
        <v>1909</v>
      </c>
      <c r="G39" s="70">
        <v>558</v>
      </c>
      <c r="H39" s="70">
        <v>1351</v>
      </c>
      <c r="I39" s="71" t="s">
        <v>118</v>
      </c>
      <c r="J39" s="213">
        <f t="shared" si="2"/>
        <v>0.29229963331587216</v>
      </c>
    </row>
    <row r="40" spans="1:10" ht="15" x14ac:dyDescent="0.25">
      <c r="A40" s="66">
        <v>43928</v>
      </c>
      <c r="B40" s="67">
        <v>877</v>
      </c>
      <c r="C40" s="67">
        <v>109</v>
      </c>
      <c r="D40" s="67">
        <f t="shared" si="0"/>
        <v>768</v>
      </c>
      <c r="E40" s="68">
        <f t="shared" si="1"/>
        <v>0.12428734321550741</v>
      </c>
      <c r="F40" s="69">
        <v>2152</v>
      </c>
      <c r="G40" s="70">
        <v>534</v>
      </c>
      <c r="H40" s="70">
        <v>1618</v>
      </c>
      <c r="I40" s="71" t="s">
        <v>119</v>
      </c>
      <c r="J40" s="213">
        <f t="shared" si="2"/>
        <v>0.24814126394052044</v>
      </c>
    </row>
    <row r="41" spans="1:10" ht="15" x14ac:dyDescent="0.25">
      <c r="A41" s="66">
        <v>43929</v>
      </c>
      <c r="B41" s="67">
        <v>988</v>
      </c>
      <c r="C41" s="67">
        <v>167</v>
      </c>
      <c r="D41" s="67">
        <f t="shared" si="0"/>
        <v>821</v>
      </c>
      <c r="E41" s="68">
        <f t="shared" si="1"/>
        <v>0.16902834008097167</v>
      </c>
      <c r="F41" s="69">
        <v>2179</v>
      </c>
      <c r="G41" s="70">
        <v>601</v>
      </c>
      <c r="H41" s="70">
        <v>1578</v>
      </c>
      <c r="I41" s="71" t="s">
        <v>120</v>
      </c>
      <c r="J41" s="213">
        <f t="shared" si="2"/>
        <v>0.27581459385039009</v>
      </c>
    </row>
    <row r="42" spans="1:10" ht="15" x14ac:dyDescent="0.25">
      <c r="A42" s="66">
        <v>43930</v>
      </c>
      <c r="B42" s="67">
        <v>1003</v>
      </c>
      <c r="C42" s="67">
        <v>91</v>
      </c>
      <c r="D42" s="67">
        <f t="shared" si="0"/>
        <v>912</v>
      </c>
      <c r="E42" s="68">
        <f t="shared" si="1"/>
        <v>9.072781655034895E-2</v>
      </c>
      <c r="F42" s="69">
        <v>2094</v>
      </c>
      <c r="G42" s="70">
        <v>562</v>
      </c>
      <c r="H42" s="70">
        <v>1532</v>
      </c>
      <c r="I42" s="71" t="s">
        <v>121</v>
      </c>
      <c r="J42" s="213">
        <f t="shared" si="2"/>
        <v>0.26838586437440304</v>
      </c>
    </row>
    <row r="43" spans="1:10" ht="15" x14ac:dyDescent="0.25">
      <c r="A43" s="66">
        <v>43931</v>
      </c>
      <c r="B43" s="67">
        <v>1304</v>
      </c>
      <c r="C43" s="67">
        <v>93</v>
      </c>
      <c r="D43" s="67">
        <f t="shared" si="0"/>
        <v>1211</v>
      </c>
      <c r="E43" s="68">
        <f t="shared" si="1"/>
        <v>7.131901840490798E-2</v>
      </c>
      <c r="F43" s="69">
        <v>2561</v>
      </c>
      <c r="G43" s="70">
        <v>560</v>
      </c>
      <c r="H43" s="70">
        <v>2001</v>
      </c>
      <c r="I43" s="71" t="s">
        <v>122</v>
      </c>
      <c r="J43" s="213">
        <f t="shared" si="2"/>
        <v>0.21866458414681764</v>
      </c>
    </row>
    <row r="44" spans="1:10" ht="15" x14ac:dyDescent="0.25">
      <c r="A44" s="66">
        <v>43932</v>
      </c>
      <c r="B44" s="67">
        <v>916</v>
      </c>
      <c r="C44" s="67">
        <v>179</v>
      </c>
      <c r="D44" s="67">
        <f t="shared" si="0"/>
        <v>737</v>
      </c>
      <c r="E44" s="68">
        <f t="shared" si="1"/>
        <v>0.19541484716157206</v>
      </c>
      <c r="F44" s="69">
        <v>2021</v>
      </c>
      <c r="G44" s="70">
        <v>573</v>
      </c>
      <c r="H44" s="70">
        <v>1448</v>
      </c>
      <c r="I44" s="71" t="s">
        <v>123</v>
      </c>
      <c r="J44" s="213">
        <f t="shared" si="2"/>
        <v>0.28352300841167738</v>
      </c>
    </row>
    <row r="45" spans="1:10" ht="15" x14ac:dyDescent="0.25">
      <c r="A45" s="66">
        <v>43933</v>
      </c>
      <c r="B45" s="67">
        <v>844</v>
      </c>
      <c r="C45" s="67">
        <v>160</v>
      </c>
      <c r="D45" s="67">
        <f t="shared" si="0"/>
        <v>684</v>
      </c>
      <c r="E45" s="68">
        <f t="shared" si="1"/>
        <v>0.1895734597156398</v>
      </c>
      <c r="F45" s="69">
        <v>1865</v>
      </c>
      <c r="G45" s="70">
        <v>533</v>
      </c>
      <c r="H45" s="70">
        <v>1332</v>
      </c>
      <c r="I45" s="71" t="s">
        <v>124</v>
      </c>
      <c r="J45" s="213">
        <f t="shared" si="2"/>
        <v>0.28579088471849867</v>
      </c>
    </row>
    <row r="46" spans="1:10" ht="15" x14ac:dyDescent="0.25">
      <c r="A46" s="66">
        <v>43934</v>
      </c>
      <c r="B46" s="67">
        <v>840</v>
      </c>
      <c r="C46" s="67">
        <v>107</v>
      </c>
      <c r="D46" s="67">
        <f t="shared" si="0"/>
        <v>733</v>
      </c>
      <c r="E46" s="68">
        <f t="shared" si="1"/>
        <v>0.12738095238095237</v>
      </c>
      <c r="F46" s="69">
        <v>1927</v>
      </c>
      <c r="G46" s="70">
        <v>560</v>
      </c>
      <c r="H46" s="70">
        <v>1367</v>
      </c>
      <c r="I46" s="71" t="s">
        <v>90</v>
      </c>
      <c r="J46" s="213">
        <f t="shared" si="2"/>
        <v>0.29060716139076287</v>
      </c>
    </row>
    <row r="47" spans="1:10" ht="15" x14ac:dyDescent="0.25">
      <c r="A47" s="66">
        <v>43935</v>
      </c>
      <c r="B47" s="67">
        <v>1114</v>
      </c>
      <c r="C47" s="67">
        <v>98</v>
      </c>
      <c r="D47" s="67">
        <f t="shared" si="0"/>
        <v>1016</v>
      </c>
      <c r="E47" s="68">
        <f t="shared" si="1"/>
        <v>8.7971274685816878E-2</v>
      </c>
      <c r="F47" s="69">
        <v>2253</v>
      </c>
      <c r="G47" s="70">
        <v>521</v>
      </c>
      <c r="H47" s="70">
        <v>1732</v>
      </c>
      <c r="I47" s="71" t="s">
        <v>125</v>
      </c>
      <c r="J47" s="213">
        <f t="shared" si="2"/>
        <v>0.23124722592099423</v>
      </c>
    </row>
    <row r="48" spans="1:10" ht="15" x14ac:dyDescent="0.25">
      <c r="A48" s="66">
        <v>43936</v>
      </c>
      <c r="B48" s="67">
        <v>981</v>
      </c>
      <c r="C48" s="67">
        <v>223</v>
      </c>
      <c r="D48" s="67">
        <f t="shared" si="0"/>
        <v>758</v>
      </c>
      <c r="E48" s="68">
        <f t="shared" si="1"/>
        <v>0.22731906218144751</v>
      </c>
      <c r="F48" s="69">
        <v>2148</v>
      </c>
      <c r="G48" s="70">
        <v>568</v>
      </c>
      <c r="H48" s="70">
        <v>1580</v>
      </c>
      <c r="I48" s="71" t="s">
        <v>126</v>
      </c>
      <c r="J48" s="213">
        <f t="shared" si="2"/>
        <v>0.26443202979515829</v>
      </c>
    </row>
    <row r="49" spans="1:10" ht="15" x14ac:dyDescent="0.25">
      <c r="A49" s="66">
        <v>43937</v>
      </c>
      <c r="B49" s="67">
        <v>888</v>
      </c>
      <c r="C49" s="67">
        <v>153</v>
      </c>
      <c r="D49" s="67">
        <f t="shared" si="0"/>
        <v>735</v>
      </c>
      <c r="E49" s="68">
        <f t="shared" si="1"/>
        <v>0.17229729729729729</v>
      </c>
      <c r="F49" s="69">
        <v>1932</v>
      </c>
      <c r="G49" s="70">
        <v>531</v>
      </c>
      <c r="H49" s="70">
        <v>1401</v>
      </c>
      <c r="I49" s="71" t="s">
        <v>127</v>
      </c>
      <c r="J49" s="213">
        <f t="shared" si="2"/>
        <v>0.2748447204968944</v>
      </c>
    </row>
    <row r="50" spans="1:10" ht="15" x14ac:dyDescent="0.25">
      <c r="A50" s="66">
        <v>43938</v>
      </c>
      <c r="B50" s="67">
        <v>1214</v>
      </c>
      <c r="C50" s="67">
        <v>79</v>
      </c>
      <c r="D50" s="67">
        <f t="shared" si="0"/>
        <v>1135</v>
      </c>
      <c r="E50" s="68">
        <f t="shared" si="1"/>
        <v>6.5074135090609553E-2</v>
      </c>
      <c r="F50" s="69">
        <v>2428</v>
      </c>
      <c r="G50" s="70">
        <v>525</v>
      </c>
      <c r="H50" s="70">
        <v>1903</v>
      </c>
      <c r="I50" s="71" t="s">
        <v>128</v>
      </c>
      <c r="J50" s="213">
        <f t="shared" si="2"/>
        <v>0.21622734761120263</v>
      </c>
    </row>
    <row r="51" spans="1:10" ht="15" x14ac:dyDescent="0.25">
      <c r="A51" s="66">
        <v>43939</v>
      </c>
      <c r="B51" s="67">
        <v>1123</v>
      </c>
      <c r="C51" s="67">
        <v>131</v>
      </c>
      <c r="D51" s="67">
        <f t="shared" si="0"/>
        <v>992</v>
      </c>
      <c r="E51" s="68">
        <f t="shared" si="1"/>
        <v>0.11665182546749778</v>
      </c>
      <c r="F51" s="69">
        <v>2245</v>
      </c>
      <c r="G51" s="70">
        <v>466</v>
      </c>
      <c r="H51" s="70">
        <v>1779</v>
      </c>
      <c r="I51" s="71" t="s">
        <v>129</v>
      </c>
      <c r="J51" s="213">
        <f t="shared" si="2"/>
        <v>0.20757238307349665</v>
      </c>
    </row>
    <row r="52" spans="1:10" ht="15" x14ac:dyDescent="0.25">
      <c r="A52" s="66">
        <v>43940</v>
      </c>
      <c r="B52" s="67">
        <v>1248</v>
      </c>
      <c r="C52" s="67">
        <v>79</v>
      </c>
      <c r="D52" s="67">
        <f t="shared" si="0"/>
        <v>1169</v>
      </c>
      <c r="E52" s="68">
        <f t="shared" si="1"/>
        <v>6.3301282051282048E-2</v>
      </c>
      <c r="F52" s="69">
        <v>2602</v>
      </c>
      <c r="G52" s="70">
        <v>585</v>
      </c>
      <c r="H52" s="70">
        <v>2017</v>
      </c>
      <c r="I52" s="71" t="s">
        <v>130</v>
      </c>
      <c r="J52" s="213">
        <f t="shared" si="2"/>
        <v>0.2248270561106841</v>
      </c>
    </row>
    <row r="53" spans="1:10" ht="15" x14ac:dyDescent="0.25">
      <c r="A53" s="66">
        <v>43941</v>
      </c>
      <c r="B53" s="67">
        <v>1606</v>
      </c>
      <c r="C53" s="67">
        <v>167</v>
      </c>
      <c r="D53" s="67">
        <f t="shared" si="0"/>
        <v>1439</v>
      </c>
      <c r="E53" s="68">
        <f t="shared" si="1"/>
        <v>0.10398505603985056</v>
      </c>
      <c r="F53" s="69">
        <v>2974</v>
      </c>
      <c r="G53" s="70">
        <v>565</v>
      </c>
      <c r="H53" s="70">
        <v>2409</v>
      </c>
      <c r="I53" s="71" t="s">
        <v>131</v>
      </c>
      <c r="J53" s="213">
        <f t="shared" si="2"/>
        <v>0.18997982515131137</v>
      </c>
    </row>
    <row r="54" spans="1:10" ht="15" x14ac:dyDescent="0.25">
      <c r="A54" s="66">
        <v>43942</v>
      </c>
      <c r="B54" s="67">
        <v>1599</v>
      </c>
      <c r="C54" s="67">
        <v>120</v>
      </c>
      <c r="D54" s="67">
        <f t="shared" si="0"/>
        <v>1479</v>
      </c>
      <c r="E54" s="68">
        <f t="shared" si="1"/>
        <v>7.5046904315197005E-2</v>
      </c>
      <c r="F54" s="69">
        <v>2932</v>
      </c>
      <c r="G54" s="70">
        <v>513</v>
      </c>
      <c r="H54" s="70">
        <v>2419</v>
      </c>
      <c r="I54" s="71" t="s">
        <v>132</v>
      </c>
      <c r="J54" s="213">
        <f t="shared" si="2"/>
        <v>0.17496589358799455</v>
      </c>
    </row>
    <row r="55" spans="1:10" ht="15" x14ac:dyDescent="0.25">
      <c r="A55" s="66">
        <v>43943</v>
      </c>
      <c r="B55" s="67">
        <v>1552</v>
      </c>
      <c r="C55" s="67">
        <v>107</v>
      </c>
      <c r="D55" s="67">
        <f t="shared" si="0"/>
        <v>1445</v>
      </c>
      <c r="E55" s="68">
        <f t="shared" si="1"/>
        <v>6.894329896907217E-2</v>
      </c>
      <c r="F55" s="69">
        <v>2931</v>
      </c>
      <c r="G55" s="70">
        <v>527</v>
      </c>
      <c r="H55" s="70">
        <v>2404</v>
      </c>
      <c r="I55" s="71" t="s">
        <v>133</v>
      </c>
      <c r="J55" s="213">
        <f t="shared" si="2"/>
        <v>0.17980211531900375</v>
      </c>
    </row>
    <row r="56" spans="1:10" ht="15" x14ac:dyDescent="0.25">
      <c r="A56" s="66">
        <v>43944</v>
      </c>
      <c r="B56" s="67">
        <v>1714</v>
      </c>
      <c r="C56" s="67">
        <v>99</v>
      </c>
      <c r="D56" s="67">
        <f t="shared" si="0"/>
        <v>1615</v>
      </c>
      <c r="E56" s="68">
        <f t="shared" si="1"/>
        <v>5.7759626604434074E-2</v>
      </c>
      <c r="F56" s="69">
        <v>3144</v>
      </c>
      <c r="G56" s="70">
        <v>522</v>
      </c>
      <c r="H56" s="70">
        <v>2622</v>
      </c>
      <c r="I56" s="71" t="s">
        <v>134</v>
      </c>
      <c r="J56" s="213">
        <f t="shared" si="2"/>
        <v>0.16603053435114504</v>
      </c>
    </row>
    <row r="57" spans="1:10" ht="15" x14ac:dyDescent="0.25">
      <c r="A57" s="66">
        <v>43945</v>
      </c>
      <c r="B57" s="67">
        <v>1599</v>
      </c>
      <c r="C57" s="67">
        <v>76</v>
      </c>
      <c r="D57" s="67">
        <f t="shared" si="0"/>
        <v>1523</v>
      </c>
      <c r="E57" s="68">
        <f t="shared" si="1"/>
        <v>4.7529706066291436E-2</v>
      </c>
      <c r="F57" s="69">
        <v>2994</v>
      </c>
      <c r="G57" s="70">
        <v>532</v>
      </c>
      <c r="H57" s="70">
        <v>2462</v>
      </c>
      <c r="I57" s="71" t="s">
        <v>135</v>
      </c>
      <c r="J57" s="213">
        <f t="shared" si="2"/>
        <v>0.17768871075484302</v>
      </c>
    </row>
    <row r="58" spans="1:10" ht="15" x14ac:dyDescent="0.25">
      <c r="A58" s="66">
        <v>43946</v>
      </c>
      <c r="B58" s="67">
        <v>1278</v>
      </c>
      <c r="C58" s="67">
        <v>65</v>
      </c>
      <c r="D58" s="67">
        <f t="shared" si="0"/>
        <v>1213</v>
      </c>
      <c r="E58" s="68">
        <f t="shared" si="1"/>
        <v>5.086071987480438E-2</v>
      </c>
      <c r="F58" s="69">
        <v>2432</v>
      </c>
      <c r="G58" s="70">
        <v>438</v>
      </c>
      <c r="H58" s="70">
        <v>1994</v>
      </c>
      <c r="I58" s="71" t="s">
        <v>132</v>
      </c>
      <c r="J58" s="213">
        <f t="shared" si="2"/>
        <v>0.18009868421052633</v>
      </c>
    </row>
    <row r="59" spans="1:10" ht="15" x14ac:dyDescent="0.25">
      <c r="A59" s="66">
        <v>43947</v>
      </c>
      <c r="B59" s="67">
        <v>803</v>
      </c>
      <c r="C59" s="67">
        <v>86</v>
      </c>
      <c r="D59" s="67">
        <f t="shared" si="0"/>
        <v>717</v>
      </c>
      <c r="E59" s="68">
        <f t="shared" si="1"/>
        <v>0.10709838107098381</v>
      </c>
      <c r="F59" s="69">
        <v>1862</v>
      </c>
      <c r="G59" s="70">
        <v>453</v>
      </c>
      <c r="H59" s="70">
        <v>1409</v>
      </c>
      <c r="I59" s="71" t="s">
        <v>136</v>
      </c>
      <c r="J59" s="213">
        <f t="shared" si="2"/>
        <v>0.24328678839957035</v>
      </c>
    </row>
    <row r="60" spans="1:10" ht="15" x14ac:dyDescent="0.25">
      <c r="A60" s="66">
        <v>43948</v>
      </c>
      <c r="B60" s="67">
        <v>1434</v>
      </c>
      <c r="C60" s="67">
        <v>118</v>
      </c>
      <c r="D60" s="67">
        <f t="shared" si="0"/>
        <v>1316</v>
      </c>
      <c r="E60" s="68">
        <f t="shared" si="1"/>
        <v>8.2287308228730829E-2</v>
      </c>
      <c r="F60" s="69">
        <v>2879</v>
      </c>
      <c r="G60" s="70">
        <v>583</v>
      </c>
      <c r="H60" s="70">
        <v>2296</v>
      </c>
      <c r="I60" s="71" t="s">
        <v>137</v>
      </c>
      <c r="J60" s="213">
        <f t="shared" si="2"/>
        <v>0.20250086835706843</v>
      </c>
    </row>
    <row r="61" spans="1:10" ht="15" x14ac:dyDescent="0.25">
      <c r="A61" s="66">
        <v>43949</v>
      </c>
      <c r="B61" s="67">
        <v>1904</v>
      </c>
      <c r="C61" s="67">
        <v>83</v>
      </c>
      <c r="D61" s="67">
        <f t="shared" si="0"/>
        <v>1821</v>
      </c>
      <c r="E61" s="68">
        <f t="shared" si="1"/>
        <v>4.3592436974789914E-2</v>
      </c>
      <c r="F61" s="69">
        <v>3362</v>
      </c>
      <c r="G61" s="70">
        <v>525</v>
      </c>
      <c r="H61" s="70">
        <v>2837</v>
      </c>
      <c r="I61" s="71" t="s">
        <v>138</v>
      </c>
      <c r="J61" s="213">
        <f t="shared" si="2"/>
        <v>0.15615704937537181</v>
      </c>
    </row>
    <row r="62" spans="1:10" ht="15" x14ac:dyDescent="0.25">
      <c r="A62" s="66">
        <v>43950</v>
      </c>
      <c r="B62" s="67">
        <v>2276</v>
      </c>
      <c r="C62" s="67">
        <v>105</v>
      </c>
      <c r="D62" s="67">
        <f t="shared" si="0"/>
        <v>2171</v>
      </c>
      <c r="E62" s="68">
        <f t="shared" si="1"/>
        <v>4.6133567662565905E-2</v>
      </c>
      <c r="F62" s="69">
        <v>3985</v>
      </c>
      <c r="G62" s="70">
        <v>559</v>
      </c>
      <c r="H62" s="70">
        <v>3426</v>
      </c>
      <c r="I62" s="71" t="s">
        <v>139</v>
      </c>
      <c r="J62" s="213">
        <f t="shared" si="2"/>
        <v>0.14027603513174405</v>
      </c>
    </row>
    <row r="63" spans="1:10" ht="15" x14ac:dyDescent="0.25">
      <c r="A63" s="66">
        <v>43951</v>
      </c>
      <c r="B63" s="67">
        <v>2339</v>
      </c>
      <c r="C63" s="67">
        <v>145</v>
      </c>
      <c r="D63" s="67">
        <f t="shared" si="0"/>
        <v>2194</v>
      </c>
      <c r="E63" s="68">
        <f t="shared" si="1"/>
        <v>6.1992304403591277E-2</v>
      </c>
      <c r="F63" s="69">
        <v>3998</v>
      </c>
      <c r="G63" s="70">
        <v>515</v>
      </c>
      <c r="H63" s="70">
        <v>3483</v>
      </c>
      <c r="I63" s="71" t="s">
        <v>140</v>
      </c>
      <c r="J63" s="213">
        <f t="shared" si="2"/>
        <v>0.12881440720360179</v>
      </c>
    </row>
    <row r="64" spans="1:10" ht="15" x14ac:dyDescent="0.25">
      <c r="A64" s="66">
        <v>43952</v>
      </c>
      <c r="B64" s="67">
        <v>2496</v>
      </c>
      <c r="C64" s="67">
        <v>72</v>
      </c>
      <c r="D64" s="67">
        <f t="shared" si="0"/>
        <v>2424</v>
      </c>
      <c r="E64" s="68">
        <f t="shared" si="1"/>
        <v>2.8846153846153848E-2</v>
      </c>
      <c r="F64" s="69">
        <v>4304</v>
      </c>
      <c r="G64" s="70">
        <v>553</v>
      </c>
      <c r="H64" s="70">
        <v>3751</v>
      </c>
      <c r="I64" s="71" t="s">
        <v>141</v>
      </c>
      <c r="J64" s="213">
        <f t="shared" si="2"/>
        <v>0.12848513011152415</v>
      </c>
    </row>
    <row r="65" spans="1:10" ht="15" x14ac:dyDescent="0.25">
      <c r="A65" s="66">
        <v>43953</v>
      </c>
      <c r="B65" s="67">
        <v>2211</v>
      </c>
      <c r="C65" s="67">
        <v>62</v>
      </c>
      <c r="D65" s="67">
        <f t="shared" si="0"/>
        <v>2149</v>
      </c>
      <c r="E65" s="68">
        <f t="shared" si="1"/>
        <v>2.8041610131162371E-2</v>
      </c>
      <c r="F65" s="69">
        <v>3634</v>
      </c>
      <c r="G65" s="70">
        <v>513</v>
      </c>
      <c r="H65" s="70">
        <v>3121</v>
      </c>
      <c r="I65" s="71" t="s">
        <v>140</v>
      </c>
      <c r="J65" s="213">
        <f t="shared" si="2"/>
        <v>0.14116675839295542</v>
      </c>
    </row>
    <row r="66" spans="1:10" ht="15" x14ac:dyDescent="0.25">
      <c r="A66" s="66">
        <v>43954</v>
      </c>
      <c r="B66" s="67">
        <v>1127</v>
      </c>
      <c r="C66" s="67">
        <v>55</v>
      </c>
      <c r="D66" s="67">
        <f t="shared" si="0"/>
        <v>1072</v>
      </c>
      <c r="E66" s="68">
        <f t="shared" si="1"/>
        <v>4.8802129547471165E-2</v>
      </c>
      <c r="F66" s="69">
        <v>2105</v>
      </c>
      <c r="G66" s="70">
        <v>608</v>
      </c>
      <c r="H66" s="70">
        <v>1497</v>
      </c>
      <c r="I66" s="71" t="s">
        <v>142</v>
      </c>
      <c r="J66" s="213">
        <f t="shared" si="2"/>
        <v>0.28883610451306413</v>
      </c>
    </row>
    <row r="67" spans="1:10" ht="15" x14ac:dyDescent="0.25">
      <c r="A67" s="66">
        <v>43955</v>
      </c>
      <c r="B67" s="67">
        <v>2594</v>
      </c>
      <c r="C67" s="67">
        <v>169</v>
      </c>
      <c r="D67" s="67">
        <f t="shared" si="0"/>
        <v>2425</v>
      </c>
      <c r="E67" s="68">
        <f t="shared" si="1"/>
        <v>6.5150346954510413E-2</v>
      </c>
      <c r="F67" s="69">
        <v>4189</v>
      </c>
      <c r="G67" s="70">
        <v>695</v>
      </c>
      <c r="H67" s="70">
        <v>3494</v>
      </c>
      <c r="I67" s="71" t="s">
        <v>143</v>
      </c>
      <c r="J67" s="213">
        <f t="shared" ref="J67:J130" si="3">G67/F67</f>
        <v>0.16591071854857961</v>
      </c>
    </row>
    <row r="68" spans="1:10" ht="15" x14ac:dyDescent="0.25">
      <c r="A68" s="66">
        <v>43956</v>
      </c>
      <c r="B68" s="67">
        <v>2520</v>
      </c>
      <c r="C68" s="67">
        <v>68</v>
      </c>
      <c r="D68" s="67">
        <f t="shared" si="0"/>
        <v>2452</v>
      </c>
      <c r="E68" s="68">
        <f t="shared" si="1"/>
        <v>2.6984126984126985E-2</v>
      </c>
      <c r="F68" s="69">
        <v>3916</v>
      </c>
      <c r="G68" s="70">
        <v>611</v>
      </c>
      <c r="H68" s="70">
        <v>3305</v>
      </c>
      <c r="I68" s="71" t="s">
        <v>144</v>
      </c>
      <c r="J68" s="213">
        <f t="shared" si="3"/>
        <v>0.15602655771195098</v>
      </c>
    </row>
    <row r="69" spans="1:10" ht="15" x14ac:dyDescent="0.25">
      <c r="A69" s="66">
        <v>43957</v>
      </c>
      <c r="B69" s="67">
        <v>2985</v>
      </c>
      <c r="C69" s="67">
        <v>66</v>
      </c>
      <c r="D69" s="67">
        <f t="shared" si="0"/>
        <v>2919</v>
      </c>
      <c r="E69" s="68">
        <f t="shared" si="1"/>
        <v>2.2110552763819097E-2</v>
      </c>
      <c r="F69" s="69">
        <v>4624</v>
      </c>
      <c r="G69" s="70">
        <v>571</v>
      </c>
      <c r="H69" s="70">
        <v>4053</v>
      </c>
      <c r="I69" s="71" t="s">
        <v>145</v>
      </c>
      <c r="J69" s="213">
        <f t="shared" si="3"/>
        <v>0.12348615916955018</v>
      </c>
    </row>
    <row r="70" spans="1:10" ht="15" x14ac:dyDescent="0.25">
      <c r="A70" s="66">
        <v>43958</v>
      </c>
      <c r="B70" s="67">
        <v>1733</v>
      </c>
      <c r="C70" s="67">
        <v>126</v>
      </c>
      <c r="D70" s="67">
        <f t="shared" si="0"/>
        <v>1607</v>
      </c>
      <c r="E70" s="68">
        <f t="shared" si="1"/>
        <v>7.2706289671090593E-2</v>
      </c>
      <c r="F70" s="69">
        <v>3047</v>
      </c>
      <c r="G70" s="70">
        <v>743</v>
      </c>
      <c r="H70" s="70">
        <v>2304</v>
      </c>
      <c r="I70" s="71" t="s">
        <v>146</v>
      </c>
      <c r="J70" s="213">
        <f t="shared" si="3"/>
        <v>0.24384640630127996</v>
      </c>
    </row>
    <row r="71" spans="1:10" ht="15" x14ac:dyDescent="0.25">
      <c r="A71" s="66">
        <v>43959</v>
      </c>
      <c r="B71" s="67">
        <v>2500</v>
      </c>
      <c r="C71" s="67">
        <v>57</v>
      </c>
      <c r="D71" s="67">
        <f t="shared" si="0"/>
        <v>2443</v>
      </c>
      <c r="E71" s="68">
        <f t="shared" si="1"/>
        <v>2.2800000000000001E-2</v>
      </c>
      <c r="F71" s="69">
        <v>4007</v>
      </c>
      <c r="G71" s="70">
        <v>778</v>
      </c>
      <c r="H71" s="70">
        <v>3229</v>
      </c>
      <c r="I71" s="71" t="s">
        <v>102</v>
      </c>
      <c r="J71" s="213">
        <f t="shared" si="3"/>
        <v>0.19416021961567256</v>
      </c>
    </row>
    <row r="72" spans="1:10" ht="15" x14ac:dyDescent="0.25">
      <c r="A72" s="66">
        <v>43960</v>
      </c>
      <c r="B72" s="67">
        <v>2629</v>
      </c>
      <c r="C72" s="67">
        <v>182</v>
      </c>
      <c r="D72" s="67">
        <f t="shared" si="0"/>
        <v>2447</v>
      </c>
      <c r="E72" s="68">
        <f t="shared" si="1"/>
        <v>6.922784328642069E-2</v>
      </c>
      <c r="F72" s="69">
        <v>4029</v>
      </c>
      <c r="G72" s="70">
        <v>662</v>
      </c>
      <c r="H72" s="70">
        <v>3367</v>
      </c>
      <c r="I72" s="71" t="s">
        <v>125</v>
      </c>
      <c r="J72" s="213">
        <f t="shared" si="3"/>
        <v>0.16430876147927526</v>
      </c>
    </row>
    <row r="73" spans="1:10" ht="15" x14ac:dyDescent="0.25">
      <c r="A73" s="66">
        <v>43961</v>
      </c>
      <c r="B73" s="67">
        <v>1490</v>
      </c>
      <c r="C73" s="67">
        <v>55</v>
      </c>
      <c r="D73" s="67">
        <f t="shared" si="0"/>
        <v>1435</v>
      </c>
      <c r="E73" s="68">
        <f t="shared" si="1"/>
        <v>3.6912751677852351E-2</v>
      </c>
      <c r="F73" s="69">
        <v>2696</v>
      </c>
      <c r="G73" s="70">
        <v>830</v>
      </c>
      <c r="H73" s="70">
        <v>1866</v>
      </c>
      <c r="I73" s="71" t="s">
        <v>147</v>
      </c>
      <c r="J73" s="213">
        <f t="shared" si="3"/>
        <v>0.30786350148367952</v>
      </c>
    </row>
    <row r="74" spans="1:10" ht="15" x14ac:dyDescent="0.25">
      <c r="A74" s="66">
        <v>43962</v>
      </c>
      <c r="B74" s="67">
        <v>2575</v>
      </c>
      <c r="C74" s="67">
        <v>108</v>
      </c>
      <c r="D74" s="67">
        <f t="shared" si="0"/>
        <v>2467</v>
      </c>
      <c r="E74" s="68">
        <f t="shared" si="1"/>
        <v>4.1941747572815533E-2</v>
      </c>
      <c r="F74" s="69">
        <v>4019</v>
      </c>
      <c r="G74" s="70">
        <v>771</v>
      </c>
      <c r="H74" s="70">
        <v>3248</v>
      </c>
      <c r="I74" s="71" t="s">
        <v>148</v>
      </c>
      <c r="J74" s="213">
        <f t="shared" si="3"/>
        <v>0.19183876586215476</v>
      </c>
    </row>
    <row r="75" spans="1:10" ht="15" x14ac:dyDescent="0.25">
      <c r="A75" s="66">
        <v>43963</v>
      </c>
      <c r="B75" s="67">
        <v>3119</v>
      </c>
      <c r="C75" s="67">
        <v>134</v>
      </c>
      <c r="D75" s="67">
        <f t="shared" si="0"/>
        <v>2985</v>
      </c>
      <c r="E75" s="68">
        <f t="shared" si="1"/>
        <v>4.2962487976915681E-2</v>
      </c>
      <c r="F75" s="69">
        <v>4757</v>
      </c>
      <c r="G75" s="70">
        <v>672</v>
      </c>
      <c r="H75" s="70">
        <v>4085</v>
      </c>
      <c r="I75" s="71" t="s">
        <v>149</v>
      </c>
      <c r="J75" s="213">
        <f t="shared" si="3"/>
        <v>0.14126550346857264</v>
      </c>
    </row>
    <row r="76" spans="1:10" ht="15" x14ac:dyDescent="0.25">
      <c r="A76" s="66">
        <v>43964</v>
      </c>
      <c r="B76" s="67">
        <v>2601</v>
      </c>
      <c r="C76" s="67">
        <v>180</v>
      </c>
      <c r="D76" s="67">
        <f t="shared" si="0"/>
        <v>2421</v>
      </c>
      <c r="E76" s="68">
        <f t="shared" si="1"/>
        <v>6.9204152249134954E-2</v>
      </c>
      <c r="F76" s="69">
        <v>4063</v>
      </c>
      <c r="G76" s="70">
        <v>619</v>
      </c>
      <c r="H76" s="70">
        <v>3444</v>
      </c>
      <c r="I76" s="71" t="s">
        <v>150</v>
      </c>
      <c r="J76" s="213">
        <f t="shared" si="3"/>
        <v>0.15235047994093034</v>
      </c>
    </row>
    <row r="77" spans="1:10" ht="15" x14ac:dyDescent="0.25">
      <c r="A77" s="66">
        <v>43965</v>
      </c>
      <c r="B77" s="67">
        <v>2500</v>
      </c>
      <c r="C77" s="67">
        <v>62</v>
      </c>
      <c r="D77" s="67">
        <f t="shared" si="0"/>
        <v>2438</v>
      </c>
      <c r="E77" s="68">
        <f t="shared" si="1"/>
        <v>2.4799999999999999E-2</v>
      </c>
      <c r="F77" s="69">
        <v>4083</v>
      </c>
      <c r="G77" s="70">
        <v>730</v>
      </c>
      <c r="H77" s="70">
        <v>3353</v>
      </c>
      <c r="I77" s="71" t="s">
        <v>151</v>
      </c>
      <c r="J77" s="213">
        <f t="shared" si="3"/>
        <v>0.17879010531471956</v>
      </c>
    </row>
    <row r="78" spans="1:10" ht="15" x14ac:dyDescent="0.25">
      <c r="A78" s="66">
        <v>43966</v>
      </c>
      <c r="B78" s="67">
        <v>2433</v>
      </c>
      <c r="C78" s="67">
        <v>116</v>
      </c>
      <c r="D78" s="67">
        <f t="shared" si="0"/>
        <v>2317</v>
      </c>
      <c r="E78" s="68">
        <f t="shared" si="1"/>
        <v>4.7677764077270861E-2</v>
      </c>
      <c r="F78" s="69">
        <v>3791</v>
      </c>
      <c r="G78" s="70">
        <v>645</v>
      </c>
      <c r="H78" s="70">
        <v>3146</v>
      </c>
      <c r="I78" s="71" t="s">
        <v>120</v>
      </c>
      <c r="J78" s="213">
        <f t="shared" si="3"/>
        <v>0.17013980480084409</v>
      </c>
    </row>
    <row r="79" spans="1:10" ht="15" x14ac:dyDescent="0.25">
      <c r="A79" s="66">
        <v>43967</v>
      </c>
      <c r="B79" s="67">
        <v>2006</v>
      </c>
      <c r="C79" s="67">
        <v>127</v>
      </c>
      <c r="D79" s="67">
        <f t="shared" si="0"/>
        <v>1879</v>
      </c>
      <c r="E79" s="68">
        <f t="shared" si="1"/>
        <v>6.3310069790628115E-2</v>
      </c>
      <c r="F79" s="69">
        <v>3206</v>
      </c>
      <c r="G79" s="70">
        <v>585</v>
      </c>
      <c r="H79" s="70">
        <v>2621</v>
      </c>
      <c r="I79" s="71" t="s">
        <v>152</v>
      </c>
      <c r="J79" s="213">
        <f t="shared" si="3"/>
        <v>0.1824703680598877</v>
      </c>
    </row>
    <row r="80" spans="1:10" ht="15" x14ac:dyDescent="0.25">
      <c r="A80" s="66">
        <v>43968</v>
      </c>
      <c r="B80" s="67">
        <v>1673</v>
      </c>
      <c r="C80" s="67">
        <v>88</v>
      </c>
      <c r="D80" s="67">
        <f t="shared" si="0"/>
        <v>1585</v>
      </c>
      <c r="E80" s="68">
        <f t="shared" si="1"/>
        <v>5.2600119545726243E-2</v>
      </c>
      <c r="F80" s="69">
        <v>2822</v>
      </c>
      <c r="G80" s="70">
        <v>617</v>
      </c>
      <c r="H80" s="70">
        <v>2205</v>
      </c>
      <c r="I80" s="71" t="s">
        <v>104</v>
      </c>
      <c r="J80" s="213">
        <f t="shared" si="3"/>
        <v>0.21863926293408931</v>
      </c>
    </row>
    <row r="81" spans="1:10" ht="15" x14ac:dyDescent="0.25">
      <c r="A81" s="66">
        <v>43969</v>
      </c>
      <c r="B81" s="67">
        <v>2194</v>
      </c>
      <c r="C81" s="67">
        <v>43</v>
      </c>
      <c r="D81" s="67">
        <f t="shared" si="0"/>
        <v>2151</v>
      </c>
      <c r="E81" s="68">
        <f t="shared" si="1"/>
        <v>1.9598906107566091E-2</v>
      </c>
      <c r="F81" s="69">
        <v>3548</v>
      </c>
      <c r="G81" s="70">
        <v>631</v>
      </c>
      <c r="H81" s="70">
        <v>2917</v>
      </c>
      <c r="I81" s="71" t="s">
        <v>146</v>
      </c>
      <c r="J81" s="213">
        <f t="shared" si="3"/>
        <v>0.17784667418263811</v>
      </c>
    </row>
    <row r="82" spans="1:10" ht="15" x14ac:dyDescent="0.25">
      <c r="A82" s="66">
        <v>43970</v>
      </c>
      <c r="B82" s="67">
        <v>2530</v>
      </c>
      <c r="C82" s="67">
        <v>97</v>
      </c>
      <c r="D82" s="67">
        <f t="shared" si="0"/>
        <v>2433</v>
      </c>
      <c r="E82" s="68">
        <f t="shared" si="1"/>
        <v>3.8339920948616601E-2</v>
      </c>
      <c r="F82" s="69">
        <v>4040</v>
      </c>
      <c r="G82" s="70">
        <v>667</v>
      </c>
      <c r="H82" s="70">
        <v>3373</v>
      </c>
      <c r="I82" s="71" t="s">
        <v>153</v>
      </c>
      <c r="J82" s="213">
        <f t="shared" si="3"/>
        <v>0.16509900990099011</v>
      </c>
    </row>
    <row r="83" spans="1:10" ht="15" x14ac:dyDescent="0.25">
      <c r="A83" s="66">
        <v>43971</v>
      </c>
      <c r="B83" s="67">
        <v>2457</v>
      </c>
      <c r="C83" s="67">
        <v>72</v>
      </c>
      <c r="D83" s="67">
        <f t="shared" si="0"/>
        <v>2385</v>
      </c>
      <c r="E83" s="68">
        <f t="shared" si="1"/>
        <v>2.9304029304029304E-2</v>
      </c>
      <c r="F83" s="69">
        <v>3863</v>
      </c>
      <c r="G83" s="70">
        <v>620</v>
      </c>
      <c r="H83" s="70">
        <v>3243</v>
      </c>
      <c r="I83" s="71" t="s">
        <v>128</v>
      </c>
      <c r="J83" s="213">
        <f t="shared" si="3"/>
        <v>0.1604970230390888</v>
      </c>
    </row>
    <row r="84" spans="1:10" ht="15" x14ac:dyDescent="0.25">
      <c r="A84" s="66">
        <v>43972</v>
      </c>
      <c r="B84" s="67">
        <v>1907</v>
      </c>
      <c r="C84" s="67">
        <v>97</v>
      </c>
      <c r="D84" s="67">
        <f t="shared" si="0"/>
        <v>1810</v>
      </c>
      <c r="E84" s="68">
        <f t="shared" si="1"/>
        <v>5.0865233350812798E-2</v>
      </c>
      <c r="F84" s="69">
        <v>3303</v>
      </c>
      <c r="G84" s="70">
        <v>799</v>
      </c>
      <c r="H84" s="70">
        <v>2504</v>
      </c>
      <c r="I84" s="71" t="s">
        <v>131</v>
      </c>
      <c r="J84" s="213">
        <f t="shared" si="3"/>
        <v>0.24190130184680594</v>
      </c>
    </row>
    <row r="85" spans="1:10" ht="15" x14ac:dyDescent="0.25">
      <c r="A85" s="66">
        <v>43973</v>
      </c>
      <c r="B85" s="67">
        <v>3214</v>
      </c>
      <c r="C85" s="67">
        <v>127</v>
      </c>
      <c r="D85" s="67">
        <f t="shared" si="0"/>
        <v>3087</v>
      </c>
      <c r="E85" s="68">
        <f t="shared" si="1"/>
        <v>3.9514623522090855E-2</v>
      </c>
      <c r="F85" s="69">
        <v>4836</v>
      </c>
      <c r="G85" s="70">
        <v>643</v>
      </c>
      <c r="H85" s="70">
        <v>4193</v>
      </c>
      <c r="I85" s="71" t="s">
        <v>122</v>
      </c>
      <c r="J85" s="213">
        <f t="shared" si="3"/>
        <v>0.13296112489660877</v>
      </c>
    </row>
    <row r="86" spans="1:10" ht="15" x14ac:dyDescent="0.25">
      <c r="A86" s="66">
        <v>43974</v>
      </c>
      <c r="B86" s="67">
        <v>1764</v>
      </c>
      <c r="C86" s="67">
        <v>118</v>
      </c>
      <c r="D86" s="67">
        <f t="shared" si="0"/>
        <v>1646</v>
      </c>
      <c r="E86" s="68">
        <f t="shared" si="1"/>
        <v>6.6893424036281179E-2</v>
      </c>
      <c r="F86" s="69">
        <v>2776</v>
      </c>
      <c r="G86" s="70">
        <v>499</v>
      </c>
      <c r="H86" s="70">
        <v>2277</v>
      </c>
      <c r="I86" s="71" t="s">
        <v>102</v>
      </c>
      <c r="J86" s="213">
        <f t="shared" si="3"/>
        <v>0.1797550432276657</v>
      </c>
    </row>
    <row r="87" spans="1:10" ht="15" x14ac:dyDescent="0.25">
      <c r="A87" s="66">
        <v>43975</v>
      </c>
      <c r="B87" s="67">
        <v>871</v>
      </c>
      <c r="C87" s="67">
        <v>67</v>
      </c>
      <c r="D87" s="67">
        <f t="shared" si="0"/>
        <v>804</v>
      </c>
      <c r="E87" s="68">
        <f t="shared" si="1"/>
        <v>7.6923076923076927E-2</v>
      </c>
      <c r="F87" s="69">
        <v>1735</v>
      </c>
      <c r="G87" s="70">
        <v>590</v>
      </c>
      <c r="H87" s="70">
        <v>1145</v>
      </c>
      <c r="I87" s="71" t="s">
        <v>154</v>
      </c>
      <c r="J87" s="213">
        <f t="shared" si="3"/>
        <v>0.34005763688760809</v>
      </c>
    </row>
    <row r="88" spans="1:10" ht="15" x14ac:dyDescent="0.25">
      <c r="A88" s="66">
        <v>43976</v>
      </c>
      <c r="B88" s="67">
        <v>1321</v>
      </c>
      <c r="C88" s="67">
        <v>93</v>
      </c>
      <c r="D88" s="67">
        <f t="shared" si="0"/>
        <v>1228</v>
      </c>
      <c r="E88" s="68">
        <f t="shared" si="1"/>
        <v>7.0401211203633615E-2</v>
      </c>
      <c r="F88" s="69">
        <v>2408</v>
      </c>
      <c r="G88" s="70">
        <v>711</v>
      </c>
      <c r="H88" s="70">
        <v>1697</v>
      </c>
      <c r="I88" s="71" t="s">
        <v>125</v>
      </c>
      <c r="J88" s="213">
        <f t="shared" si="3"/>
        <v>0.29526578073089699</v>
      </c>
    </row>
    <row r="89" spans="1:10" ht="15" x14ac:dyDescent="0.25">
      <c r="A89" s="66">
        <v>43977</v>
      </c>
      <c r="B89" s="67">
        <v>1972</v>
      </c>
      <c r="C89" s="67">
        <v>105</v>
      </c>
      <c r="D89" s="67">
        <f t="shared" si="0"/>
        <v>1867</v>
      </c>
      <c r="E89" s="68">
        <f t="shared" si="1"/>
        <v>5.3245436105476676E-2</v>
      </c>
      <c r="F89" s="69">
        <v>3233</v>
      </c>
      <c r="G89" s="70">
        <v>727</v>
      </c>
      <c r="H89" s="70">
        <v>2506</v>
      </c>
      <c r="I89" s="71" t="s">
        <v>155</v>
      </c>
      <c r="J89" s="213">
        <f t="shared" si="3"/>
        <v>0.22486854314877822</v>
      </c>
    </row>
    <row r="90" spans="1:10" ht="15" x14ac:dyDescent="0.25">
      <c r="A90" s="66">
        <v>43978</v>
      </c>
      <c r="B90" s="67">
        <v>2271</v>
      </c>
      <c r="C90" s="67">
        <v>103</v>
      </c>
      <c r="D90" s="67">
        <f t="shared" si="0"/>
        <v>2168</v>
      </c>
      <c r="E90" s="68">
        <f t="shared" si="1"/>
        <v>4.5354469396741523E-2</v>
      </c>
      <c r="F90" s="69">
        <v>3641</v>
      </c>
      <c r="G90" s="70">
        <v>723</v>
      </c>
      <c r="H90" s="70">
        <v>2918</v>
      </c>
      <c r="I90" s="71" t="s">
        <v>125</v>
      </c>
      <c r="J90" s="213">
        <f t="shared" si="3"/>
        <v>0.19857182092831641</v>
      </c>
    </row>
    <row r="91" spans="1:10" ht="15" x14ac:dyDescent="0.25">
      <c r="A91" s="66">
        <v>43979</v>
      </c>
      <c r="B91" s="67">
        <v>2768</v>
      </c>
      <c r="C91" s="67">
        <v>124</v>
      </c>
      <c r="D91" s="67">
        <f t="shared" si="0"/>
        <v>2644</v>
      </c>
      <c r="E91" s="68">
        <f t="shared" si="1"/>
        <v>4.4797687861271675E-2</v>
      </c>
      <c r="F91" s="69">
        <v>4365</v>
      </c>
      <c r="G91" s="70">
        <v>734</v>
      </c>
      <c r="H91" s="70">
        <v>3631</v>
      </c>
      <c r="I91" s="71" t="s">
        <v>144</v>
      </c>
      <c r="J91" s="213">
        <f t="shared" si="3"/>
        <v>0.16815578465063002</v>
      </c>
    </row>
    <row r="92" spans="1:10" ht="15" x14ac:dyDescent="0.25">
      <c r="A92" s="66">
        <v>43980</v>
      </c>
      <c r="B92" s="67">
        <v>2392</v>
      </c>
      <c r="C92" s="67">
        <v>100</v>
      </c>
      <c r="D92" s="67">
        <f t="shared" si="0"/>
        <v>2292</v>
      </c>
      <c r="E92" s="68">
        <f t="shared" si="1"/>
        <v>4.1806020066889632E-2</v>
      </c>
      <c r="F92" s="69">
        <v>3860</v>
      </c>
      <c r="G92" s="70">
        <v>769</v>
      </c>
      <c r="H92" s="70">
        <v>3091</v>
      </c>
      <c r="I92" s="71" t="s">
        <v>156</v>
      </c>
      <c r="J92" s="213">
        <f t="shared" si="3"/>
        <v>0.19922279792746114</v>
      </c>
    </row>
    <row r="93" spans="1:10" ht="15" x14ac:dyDescent="0.25">
      <c r="A93" s="66">
        <v>43981</v>
      </c>
      <c r="B93" s="67">
        <v>2808</v>
      </c>
      <c r="C93" s="67">
        <v>119</v>
      </c>
      <c r="D93" s="67">
        <f t="shared" si="0"/>
        <v>2689</v>
      </c>
      <c r="E93" s="68">
        <f t="shared" si="1"/>
        <v>4.2378917378917379E-2</v>
      </c>
      <c r="F93" s="69">
        <v>4319</v>
      </c>
      <c r="G93" s="70">
        <v>661</v>
      </c>
      <c r="H93" s="70">
        <v>3658</v>
      </c>
      <c r="I93" s="71" t="s">
        <v>157</v>
      </c>
      <c r="J93" s="213">
        <f t="shared" si="3"/>
        <v>0.15304468626996989</v>
      </c>
    </row>
    <row r="94" spans="1:10" ht="15" x14ac:dyDescent="0.25">
      <c r="A94" s="66">
        <v>43982</v>
      </c>
      <c r="B94" s="67">
        <v>1858</v>
      </c>
      <c r="C94" s="67">
        <v>111</v>
      </c>
      <c r="D94" s="67">
        <f t="shared" si="0"/>
        <v>1747</v>
      </c>
      <c r="E94" s="68">
        <f t="shared" si="1"/>
        <v>5.9741657696447792E-2</v>
      </c>
      <c r="F94" s="69">
        <v>3021</v>
      </c>
      <c r="G94" s="70">
        <v>628</v>
      </c>
      <c r="H94" s="70">
        <v>2393</v>
      </c>
      <c r="I94" s="71" t="s">
        <v>156</v>
      </c>
      <c r="J94" s="213">
        <f t="shared" si="3"/>
        <v>0.20787818603111552</v>
      </c>
    </row>
    <row r="95" spans="1:10" ht="15" x14ac:dyDescent="0.25">
      <c r="A95" s="66">
        <v>43983</v>
      </c>
      <c r="B95" s="67">
        <v>1789</v>
      </c>
      <c r="C95" s="67">
        <v>73</v>
      </c>
      <c r="D95" s="67">
        <f t="shared" si="0"/>
        <v>1716</v>
      </c>
      <c r="E95" s="68">
        <f t="shared" si="1"/>
        <v>4.0804918949133594E-2</v>
      </c>
      <c r="F95" s="69">
        <v>2555</v>
      </c>
      <c r="G95" s="70">
        <v>258</v>
      </c>
      <c r="H95" s="70">
        <v>2297</v>
      </c>
      <c r="I95" s="71" t="s">
        <v>125</v>
      </c>
      <c r="J95" s="213">
        <f t="shared" si="3"/>
        <v>0.10097847358121331</v>
      </c>
    </row>
    <row r="96" spans="1:10" ht="15" x14ac:dyDescent="0.25">
      <c r="A96" s="66">
        <v>43984</v>
      </c>
      <c r="B96" s="67">
        <v>2371</v>
      </c>
      <c r="C96" s="67">
        <v>101</v>
      </c>
      <c r="D96" s="67">
        <f t="shared" si="0"/>
        <v>2270</v>
      </c>
      <c r="E96" s="68">
        <f t="shared" si="1"/>
        <v>4.2598059890341627E-2</v>
      </c>
      <c r="F96" s="69">
        <v>3391</v>
      </c>
      <c r="G96" s="70">
        <v>199</v>
      </c>
      <c r="H96" s="70">
        <v>3192</v>
      </c>
      <c r="I96" s="71" t="s">
        <v>158</v>
      </c>
      <c r="J96" s="213">
        <f t="shared" si="3"/>
        <v>5.8684753759952815E-2</v>
      </c>
    </row>
    <row r="97" spans="1:10" ht="15" x14ac:dyDescent="0.25">
      <c r="A97" s="66">
        <v>43985</v>
      </c>
      <c r="B97" s="67">
        <v>3422</v>
      </c>
      <c r="C97" s="67">
        <v>62</v>
      </c>
      <c r="D97" s="67">
        <f t="shared" si="0"/>
        <v>3360</v>
      </c>
      <c r="E97" s="68">
        <f t="shared" si="1"/>
        <v>1.8118059614260665E-2</v>
      </c>
      <c r="F97" s="69">
        <v>4900</v>
      </c>
      <c r="G97" s="70">
        <v>301</v>
      </c>
      <c r="H97" s="70">
        <v>4599</v>
      </c>
      <c r="I97" s="71" t="s">
        <v>151</v>
      </c>
      <c r="J97" s="213">
        <f t="shared" si="3"/>
        <v>6.142857142857143E-2</v>
      </c>
    </row>
    <row r="98" spans="1:10" ht="15" x14ac:dyDescent="0.25">
      <c r="A98" s="66">
        <v>43986</v>
      </c>
      <c r="B98" s="67">
        <v>2738</v>
      </c>
      <c r="C98" s="67">
        <v>83</v>
      </c>
      <c r="D98" s="67">
        <f t="shared" si="0"/>
        <v>2655</v>
      </c>
      <c r="E98" s="68">
        <f t="shared" si="1"/>
        <v>3.0314097881665451E-2</v>
      </c>
      <c r="F98" s="69">
        <v>3918</v>
      </c>
      <c r="G98" s="70">
        <v>296</v>
      </c>
      <c r="H98" s="70">
        <v>3622</v>
      </c>
      <c r="I98" s="71" t="s">
        <v>128</v>
      </c>
      <c r="J98" s="213">
        <f t="shared" si="3"/>
        <v>7.554874936191934E-2</v>
      </c>
    </row>
    <row r="99" spans="1:10" ht="15" x14ac:dyDescent="0.25">
      <c r="A99" s="66">
        <v>43987</v>
      </c>
      <c r="B99" s="67">
        <v>2864</v>
      </c>
      <c r="C99" s="67">
        <v>102</v>
      </c>
      <c r="D99" s="67">
        <f t="shared" si="0"/>
        <v>2762</v>
      </c>
      <c r="E99" s="68">
        <f t="shared" si="1"/>
        <v>3.5614525139664802E-2</v>
      </c>
      <c r="F99" s="69">
        <v>4103</v>
      </c>
      <c r="G99" s="70">
        <v>341</v>
      </c>
      <c r="H99" s="70">
        <v>3762</v>
      </c>
      <c r="I99" s="71" t="s">
        <v>149</v>
      </c>
      <c r="J99" s="213">
        <f t="shared" si="3"/>
        <v>8.3109919571045576E-2</v>
      </c>
    </row>
    <row r="100" spans="1:10" ht="15" x14ac:dyDescent="0.25">
      <c r="A100" s="66">
        <v>43988</v>
      </c>
      <c r="B100" s="67">
        <v>3334</v>
      </c>
      <c r="C100" s="67">
        <v>160</v>
      </c>
      <c r="D100" s="67">
        <f t="shared" si="0"/>
        <v>3174</v>
      </c>
      <c r="E100" s="68">
        <f t="shared" si="1"/>
        <v>4.799040191961608E-2</v>
      </c>
      <c r="F100" s="69">
        <v>4766</v>
      </c>
      <c r="G100" s="70">
        <v>402</v>
      </c>
      <c r="H100" s="70">
        <v>4364</v>
      </c>
      <c r="I100" s="71" t="s">
        <v>159</v>
      </c>
      <c r="J100" s="213">
        <f t="shared" si="3"/>
        <v>8.4347461183382294E-2</v>
      </c>
    </row>
    <row r="101" spans="1:10" ht="15" x14ac:dyDescent="0.25">
      <c r="A101" s="66">
        <v>43989</v>
      </c>
      <c r="B101" s="67">
        <v>1808</v>
      </c>
      <c r="C101" s="67">
        <v>96</v>
      </c>
      <c r="D101" s="67">
        <f t="shared" si="0"/>
        <v>1712</v>
      </c>
      <c r="E101" s="68">
        <f t="shared" si="1"/>
        <v>5.3097345132743362E-2</v>
      </c>
      <c r="F101" s="69">
        <v>2589</v>
      </c>
      <c r="G101" s="70">
        <v>164</v>
      </c>
      <c r="H101" s="70">
        <v>2425</v>
      </c>
      <c r="I101" s="71" t="s">
        <v>92</v>
      </c>
      <c r="J101" s="213">
        <f t="shared" si="3"/>
        <v>6.3344920818848974E-2</v>
      </c>
    </row>
    <row r="102" spans="1:10" ht="15" x14ac:dyDescent="0.25">
      <c r="A102" s="66">
        <v>43990</v>
      </c>
      <c r="B102" s="67">
        <v>2798</v>
      </c>
      <c r="C102" s="67">
        <v>194</v>
      </c>
      <c r="D102" s="67">
        <f t="shared" si="0"/>
        <v>2604</v>
      </c>
      <c r="E102" s="68">
        <f t="shared" si="1"/>
        <v>6.9335239456754821E-2</v>
      </c>
      <c r="F102" s="69">
        <v>4016</v>
      </c>
      <c r="G102" s="70">
        <v>326</v>
      </c>
      <c r="H102" s="70">
        <v>3690</v>
      </c>
      <c r="I102" s="71" t="s">
        <v>131</v>
      </c>
      <c r="J102" s="213">
        <f t="shared" si="3"/>
        <v>8.1175298804780874E-2</v>
      </c>
    </row>
    <row r="103" spans="1:10" ht="15" x14ac:dyDescent="0.25">
      <c r="A103" s="66">
        <v>43991</v>
      </c>
      <c r="B103" s="67">
        <v>3590</v>
      </c>
      <c r="C103" s="67">
        <v>187</v>
      </c>
      <c r="D103" s="67">
        <f t="shared" si="0"/>
        <v>3403</v>
      </c>
      <c r="E103" s="68">
        <f t="shared" si="1"/>
        <v>5.2089136490250695E-2</v>
      </c>
      <c r="F103" s="69">
        <v>5159</v>
      </c>
      <c r="G103" s="70">
        <v>388</v>
      </c>
      <c r="H103" s="70">
        <v>4771</v>
      </c>
      <c r="I103" s="71" t="s">
        <v>160</v>
      </c>
      <c r="J103" s="213">
        <f t="shared" si="3"/>
        <v>7.5208373715836399E-2</v>
      </c>
    </row>
    <row r="104" spans="1:10" ht="15" x14ac:dyDescent="0.25">
      <c r="A104" s="66">
        <v>43992</v>
      </c>
      <c r="B104" s="67">
        <v>4064</v>
      </c>
      <c r="C104" s="67">
        <v>129</v>
      </c>
      <c r="D104" s="67">
        <f t="shared" si="0"/>
        <v>3935</v>
      </c>
      <c r="E104" s="68">
        <f t="shared" si="1"/>
        <v>3.1742125984251968E-2</v>
      </c>
      <c r="F104" s="69">
        <v>5843</v>
      </c>
      <c r="G104" s="70">
        <v>398</v>
      </c>
      <c r="H104" s="70">
        <v>5445</v>
      </c>
      <c r="I104" s="71" t="s">
        <v>95</v>
      </c>
      <c r="J104" s="213">
        <f t="shared" si="3"/>
        <v>6.8115693992811907E-2</v>
      </c>
    </row>
    <row r="105" spans="1:10" ht="15" x14ac:dyDescent="0.25">
      <c r="A105" s="66">
        <v>43993</v>
      </c>
      <c r="B105" s="67">
        <v>2827</v>
      </c>
      <c r="C105" s="67">
        <v>76</v>
      </c>
      <c r="D105" s="67">
        <f t="shared" si="0"/>
        <v>2751</v>
      </c>
      <c r="E105" s="68">
        <f t="shared" si="1"/>
        <v>2.6883622214361514E-2</v>
      </c>
      <c r="F105" s="69">
        <v>4077</v>
      </c>
      <c r="G105" s="70">
        <v>328</v>
      </c>
      <c r="H105" s="70">
        <v>3749</v>
      </c>
      <c r="I105" s="71" t="s">
        <v>154</v>
      </c>
      <c r="J105" s="213">
        <f t="shared" si="3"/>
        <v>8.0451312239391712E-2</v>
      </c>
    </row>
    <row r="106" spans="1:10" ht="15" x14ac:dyDescent="0.25">
      <c r="A106" s="66">
        <v>43994</v>
      </c>
      <c r="B106" s="67">
        <v>3411</v>
      </c>
      <c r="C106" s="67">
        <v>120</v>
      </c>
      <c r="D106" s="67">
        <f t="shared" si="0"/>
        <v>3291</v>
      </c>
      <c r="E106" s="68">
        <f t="shared" si="1"/>
        <v>3.518029903254178E-2</v>
      </c>
      <c r="F106" s="69">
        <v>4897</v>
      </c>
      <c r="G106" s="70">
        <v>452</v>
      </c>
      <c r="H106" s="70">
        <v>4445</v>
      </c>
      <c r="I106" s="71" t="s">
        <v>157</v>
      </c>
      <c r="J106" s="213">
        <f t="shared" si="3"/>
        <v>9.2301409025934242E-2</v>
      </c>
    </row>
    <row r="107" spans="1:10" ht="15" x14ac:dyDescent="0.25">
      <c r="A107" s="66">
        <v>43995</v>
      </c>
      <c r="B107" s="67">
        <v>4955</v>
      </c>
      <c r="C107" s="67">
        <v>115</v>
      </c>
      <c r="D107" s="67">
        <f t="shared" si="0"/>
        <v>4840</v>
      </c>
      <c r="E107" s="68">
        <f t="shared" si="1"/>
        <v>2.3208879919273461E-2</v>
      </c>
      <c r="F107" s="69">
        <v>7095</v>
      </c>
      <c r="G107" s="70">
        <v>474</v>
      </c>
      <c r="H107" s="70">
        <v>6621</v>
      </c>
      <c r="I107" s="71" t="s">
        <v>138</v>
      </c>
      <c r="J107" s="213">
        <f t="shared" si="3"/>
        <v>6.6807610993657507E-2</v>
      </c>
    </row>
    <row r="108" spans="1:10" ht="15" x14ac:dyDescent="0.25">
      <c r="A108" s="66">
        <v>43996</v>
      </c>
      <c r="B108" s="67">
        <v>1851</v>
      </c>
      <c r="C108" s="67">
        <v>105</v>
      </c>
      <c r="D108" s="67">
        <f t="shared" si="0"/>
        <v>1746</v>
      </c>
      <c r="E108" s="68">
        <f t="shared" si="1"/>
        <v>5.6726094003241488E-2</v>
      </c>
      <c r="F108" s="69">
        <v>3085</v>
      </c>
      <c r="G108" s="70">
        <v>197</v>
      </c>
      <c r="H108" s="70">
        <v>2888</v>
      </c>
      <c r="I108" s="71" t="s">
        <v>153</v>
      </c>
      <c r="J108" s="213">
        <f t="shared" si="3"/>
        <v>6.3857374392220417E-2</v>
      </c>
    </row>
    <row r="109" spans="1:10" ht="15" x14ac:dyDescent="0.25">
      <c r="A109" s="66">
        <v>43997</v>
      </c>
      <c r="B109" s="67">
        <v>4605</v>
      </c>
      <c r="C109" s="67">
        <v>94</v>
      </c>
      <c r="D109" s="67">
        <f t="shared" si="0"/>
        <v>4511</v>
      </c>
      <c r="E109" s="68">
        <f t="shared" si="1"/>
        <v>2.0412595005428882E-2</v>
      </c>
      <c r="F109" s="69">
        <v>6693</v>
      </c>
      <c r="G109" s="70">
        <v>367</v>
      </c>
      <c r="H109" s="70">
        <v>6326</v>
      </c>
      <c r="I109" s="71" t="s">
        <v>161</v>
      </c>
      <c r="J109" s="213">
        <f t="shared" si="3"/>
        <v>5.4833408038248918E-2</v>
      </c>
    </row>
    <row r="110" spans="1:10" ht="15" x14ac:dyDescent="0.25">
      <c r="A110" s="66">
        <v>43998</v>
      </c>
      <c r="B110" s="67">
        <v>4702</v>
      </c>
      <c r="C110" s="67">
        <v>147</v>
      </c>
      <c r="D110" s="67">
        <f t="shared" si="0"/>
        <v>4555</v>
      </c>
      <c r="E110" s="68">
        <f t="shared" si="1"/>
        <v>3.1263292216078264E-2</v>
      </c>
      <c r="F110" s="69">
        <v>6758</v>
      </c>
      <c r="G110" s="70">
        <v>593</v>
      </c>
      <c r="H110" s="70">
        <v>6165</v>
      </c>
      <c r="I110" s="71" t="s">
        <v>116</v>
      </c>
      <c r="J110" s="213">
        <f t="shared" si="3"/>
        <v>8.7747854394791353E-2</v>
      </c>
    </row>
    <row r="111" spans="1:10" ht="15" x14ac:dyDescent="0.25">
      <c r="A111" s="66">
        <v>43999</v>
      </c>
      <c r="B111" s="67">
        <v>4740</v>
      </c>
      <c r="C111" s="67">
        <v>176</v>
      </c>
      <c r="D111" s="67">
        <f t="shared" si="0"/>
        <v>4564</v>
      </c>
      <c r="E111" s="68">
        <f t="shared" si="1"/>
        <v>3.7130801687763712E-2</v>
      </c>
      <c r="F111" s="69">
        <v>6900</v>
      </c>
      <c r="G111" s="70">
        <v>581</v>
      </c>
      <c r="H111" s="70">
        <v>6319</v>
      </c>
      <c r="I111" s="71" t="s">
        <v>159</v>
      </c>
      <c r="J111" s="213">
        <f t="shared" si="3"/>
        <v>8.4202898550724631E-2</v>
      </c>
    </row>
    <row r="112" spans="1:10" ht="15" x14ac:dyDescent="0.25">
      <c r="A112" s="66">
        <v>44000</v>
      </c>
      <c r="B112" s="67">
        <v>4260</v>
      </c>
      <c r="C112" s="67">
        <v>140</v>
      </c>
      <c r="D112" s="67">
        <f t="shared" si="0"/>
        <v>4120</v>
      </c>
      <c r="E112" s="68">
        <f t="shared" si="1"/>
        <v>3.2863849765258218E-2</v>
      </c>
      <c r="F112" s="69">
        <v>6285</v>
      </c>
      <c r="G112" s="70">
        <v>451</v>
      </c>
      <c r="H112" s="70">
        <v>5834</v>
      </c>
      <c r="I112" s="71" t="s">
        <v>132</v>
      </c>
      <c r="J112" s="213">
        <f t="shared" si="3"/>
        <v>7.175815433571997E-2</v>
      </c>
    </row>
    <row r="113" spans="1:10" ht="15" x14ac:dyDescent="0.25">
      <c r="A113" s="66">
        <v>44001</v>
      </c>
      <c r="B113" s="67">
        <v>4794</v>
      </c>
      <c r="C113" s="67">
        <v>178</v>
      </c>
      <c r="D113" s="67">
        <f t="shared" si="0"/>
        <v>4616</v>
      </c>
      <c r="E113" s="68">
        <f t="shared" si="1"/>
        <v>3.7129745515227366E-2</v>
      </c>
      <c r="F113" s="69">
        <v>6862</v>
      </c>
      <c r="G113" s="70">
        <v>487</v>
      </c>
      <c r="H113" s="70">
        <v>6375</v>
      </c>
      <c r="I113" s="71" t="s">
        <v>162</v>
      </c>
      <c r="J113" s="213">
        <f t="shared" si="3"/>
        <v>7.0970562518216262E-2</v>
      </c>
    </row>
    <row r="114" spans="1:10" ht="15" x14ac:dyDescent="0.25">
      <c r="A114" s="66">
        <v>44002</v>
      </c>
      <c r="B114" s="67">
        <v>3258</v>
      </c>
      <c r="C114" s="67">
        <v>132</v>
      </c>
      <c r="D114" s="67">
        <f t="shared" si="0"/>
        <v>3126</v>
      </c>
      <c r="E114" s="68">
        <f t="shared" si="1"/>
        <v>4.0515653775322284E-2</v>
      </c>
      <c r="F114" s="69">
        <v>4680</v>
      </c>
      <c r="G114" s="70">
        <v>403</v>
      </c>
      <c r="H114" s="70">
        <v>4277</v>
      </c>
      <c r="I114" s="71" t="s">
        <v>126</v>
      </c>
      <c r="J114" s="213">
        <f t="shared" si="3"/>
        <v>8.611111111111111E-2</v>
      </c>
    </row>
    <row r="115" spans="1:10" ht="15" x14ac:dyDescent="0.25">
      <c r="A115" s="66">
        <v>44003</v>
      </c>
      <c r="B115" s="67">
        <v>2806</v>
      </c>
      <c r="C115" s="67">
        <v>132</v>
      </c>
      <c r="D115" s="67">
        <f t="shared" si="0"/>
        <v>2674</v>
      </c>
      <c r="E115" s="68">
        <f t="shared" si="1"/>
        <v>4.7042052744119746E-2</v>
      </c>
      <c r="F115" s="69">
        <v>4016</v>
      </c>
      <c r="G115" s="70">
        <v>237</v>
      </c>
      <c r="H115" s="70">
        <v>3779</v>
      </c>
      <c r="I115" s="71" t="s">
        <v>158</v>
      </c>
      <c r="J115" s="213">
        <f t="shared" si="3"/>
        <v>5.9013944223107573E-2</v>
      </c>
    </row>
    <row r="116" spans="1:10" ht="15" x14ac:dyDescent="0.25">
      <c r="A116" s="66">
        <v>44004</v>
      </c>
      <c r="B116" s="67">
        <v>3627</v>
      </c>
      <c r="C116" s="67">
        <v>171</v>
      </c>
      <c r="D116" s="67">
        <f t="shared" si="0"/>
        <v>3456</v>
      </c>
      <c r="E116" s="68">
        <f t="shared" si="1"/>
        <v>4.7146401985111663E-2</v>
      </c>
      <c r="F116" s="69">
        <v>5287</v>
      </c>
      <c r="G116" s="70">
        <v>325</v>
      </c>
      <c r="H116" s="70">
        <v>4962</v>
      </c>
      <c r="I116" s="71" t="s">
        <v>151</v>
      </c>
      <c r="J116" s="213">
        <f t="shared" si="3"/>
        <v>6.1471533951201057E-2</v>
      </c>
    </row>
    <row r="117" spans="1:10" ht="15" x14ac:dyDescent="0.25">
      <c r="A117" s="66">
        <v>44005</v>
      </c>
      <c r="B117" s="67">
        <v>5986</v>
      </c>
      <c r="C117" s="67">
        <v>159</v>
      </c>
      <c r="D117" s="67">
        <f t="shared" si="0"/>
        <v>5827</v>
      </c>
      <c r="E117" s="68">
        <f t="shared" si="1"/>
        <v>2.656197794854661E-2</v>
      </c>
      <c r="F117" s="69">
        <v>8614</v>
      </c>
      <c r="G117" s="70">
        <v>417</v>
      </c>
      <c r="H117" s="70">
        <v>8197</v>
      </c>
      <c r="I117" s="71" t="s">
        <v>140</v>
      </c>
      <c r="J117" s="213">
        <f t="shared" si="3"/>
        <v>4.8409565823078711E-2</v>
      </c>
    </row>
    <row r="118" spans="1:10" ht="15" x14ac:dyDescent="0.25">
      <c r="A118" s="66">
        <v>44006</v>
      </c>
      <c r="B118" s="67">
        <v>5142</v>
      </c>
      <c r="C118" s="67">
        <v>195</v>
      </c>
      <c r="D118" s="67">
        <f t="shared" si="0"/>
        <v>4947</v>
      </c>
      <c r="E118" s="68">
        <f t="shared" si="1"/>
        <v>3.7922987164527425E-2</v>
      </c>
      <c r="F118" s="69">
        <v>7417</v>
      </c>
      <c r="G118" s="70">
        <v>505</v>
      </c>
      <c r="H118" s="70">
        <v>6912</v>
      </c>
      <c r="I118" s="71" t="s">
        <v>95</v>
      </c>
      <c r="J118" s="213">
        <f t="shared" si="3"/>
        <v>6.8086827558311983E-2</v>
      </c>
    </row>
    <row r="119" spans="1:10" ht="15" x14ac:dyDescent="0.25">
      <c r="A119" s="66">
        <v>44007</v>
      </c>
      <c r="B119" s="67">
        <v>5444</v>
      </c>
      <c r="C119" s="67">
        <v>168</v>
      </c>
      <c r="D119" s="67">
        <f t="shared" si="0"/>
        <v>5276</v>
      </c>
      <c r="E119" s="68">
        <f t="shared" si="1"/>
        <v>3.0859662013225569E-2</v>
      </c>
      <c r="F119" s="69">
        <v>7884</v>
      </c>
      <c r="G119" s="70">
        <v>433</v>
      </c>
      <c r="H119" s="70">
        <v>7451</v>
      </c>
      <c r="I119" s="71" t="s">
        <v>161</v>
      </c>
      <c r="J119" s="213">
        <f t="shared" si="3"/>
        <v>5.4921359715880261E-2</v>
      </c>
    </row>
    <row r="120" spans="1:10" ht="15" x14ac:dyDescent="0.25">
      <c r="A120" s="66">
        <v>44008</v>
      </c>
      <c r="B120" s="67">
        <v>5295</v>
      </c>
      <c r="C120" s="67">
        <v>213</v>
      </c>
      <c r="D120" s="67">
        <f t="shared" si="0"/>
        <v>5082</v>
      </c>
      <c r="E120" s="68">
        <f t="shared" si="1"/>
        <v>4.0226628895184136E-2</v>
      </c>
      <c r="F120" s="69">
        <v>7620</v>
      </c>
      <c r="G120" s="70">
        <v>592</v>
      </c>
      <c r="H120" s="70">
        <v>7028</v>
      </c>
      <c r="I120" s="71" t="s">
        <v>129</v>
      </c>
      <c r="J120" s="213">
        <f t="shared" si="3"/>
        <v>7.769028871391076E-2</v>
      </c>
    </row>
    <row r="121" spans="1:10" ht="15" x14ac:dyDescent="0.25">
      <c r="A121" s="66">
        <v>44009</v>
      </c>
      <c r="B121" s="67">
        <v>4440</v>
      </c>
      <c r="C121" s="67">
        <v>148</v>
      </c>
      <c r="D121" s="67">
        <f t="shared" si="0"/>
        <v>4292</v>
      </c>
      <c r="E121" s="68">
        <f t="shared" si="1"/>
        <v>3.3333333333333333E-2</v>
      </c>
      <c r="F121" s="69">
        <v>6388</v>
      </c>
      <c r="G121" s="70">
        <v>449</v>
      </c>
      <c r="H121" s="70">
        <v>5939</v>
      </c>
      <c r="I121" s="71" t="s">
        <v>142</v>
      </c>
      <c r="J121" s="213">
        <f t="shared" si="3"/>
        <v>7.028804007514089E-2</v>
      </c>
    </row>
    <row r="122" spans="1:10" ht="15" x14ac:dyDescent="0.25">
      <c r="A122" s="66">
        <v>44010</v>
      </c>
      <c r="B122" s="67">
        <v>2434</v>
      </c>
      <c r="C122" s="67">
        <v>95</v>
      </c>
      <c r="D122" s="67">
        <f t="shared" si="0"/>
        <v>2339</v>
      </c>
      <c r="E122" s="68">
        <f t="shared" si="1"/>
        <v>3.9030402629416601E-2</v>
      </c>
      <c r="F122" s="69">
        <v>3491</v>
      </c>
      <c r="G122" s="70">
        <v>308</v>
      </c>
      <c r="H122" s="70">
        <v>3183</v>
      </c>
      <c r="I122" s="71" t="s">
        <v>116</v>
      </c>
      <c r="J122" s="213">
        <f t="shared" si="3"/>
        <v>8.8226869091950724E-2</v>
      </c>
    </row>
    <row r="123" spans="1:10" ht="15" x14ac:dyDescent="0.25">
      <c r="A123" s="66">
        <v>44011</v>
      </c>
      <c r="B123" s="67">
        <v>4598</v>
      </c>
      <c r="C123" s="67">
        <v>198</v>
      </c>
      <c r="D123" s="67">
        <f t="shared" si="0"/>
        <v>4400</v>
      </c>
      <c r="E123" s="68">
        <f t="shared" si="1"/>
        <v>4.3062200956937802E-2</v>
      </c>
      <c r="F123" s="69">
        <v>7081</v>
      </c>
      <c r="G123" s="70">
        <v>345</v>
      </c>
      <c r="H123" s="70">
        <v>6736</v>
      </c>
      <c r="I123" s="71" t="s">
        <v>145</v>
      </c>
      <c r="J123" s="213">
        <f t="shared" si="3"/>
        <v>4.872193193051829E-2</v>
      </c>
    </row>
    <row r="124" spans="1:10" ht="15" x14ac:dyDescent="0.25">
      <c r="A124" s="66">
        <v>44012</v>
      </c>
      <c r="B124" s="67">
        <v>4618</v>
      </c>
      <c r="C124" s="67">
        <v>204</v>
      </c>
      <c r="D124" s="67">
        <f t="shared" si="0"/>
        <v>4414</v>
      </c>
      <c r="E124" s="68">
        <f t="shared" si="1"/>
        <v>4.4174967518406237E-2</v>
      </c>
      <c r="F124" s="69">
        <v>7033</v>
      </c>
      <c r="G124" s="70">
        <v>690</v>
      </c>
      <c r="H124" s="70">
        <v>6343</v>
      </c>
      <c r="I124" s="71" t="s">
        <v>156</v>
      </c>
      <c r="J124" s="213">
        <f t="shared" si="3"/>
        <v>9.8108915114460404E-2</v>
      </c>
    </row>
    <row r="125" spans="1:10" ht="15" x14ac:dyDescent="0.25">
      <c r="A125" s="66">
        <v>44013</v>
      </c>
      <c r="B125" s="67">
        <v>4257</v>
      </c>
      <c r="C125" s="67">
        <v>198</v>
      </c>
      <c r="D125" s="67">
        <f t="shared" si="0"/>
        <v>4059</v>
      </c>
      <c r="E125" s="68">
        <f t="shared" si="1"/>
        <v>4.6511627906976744E-2</v>
      </c>
      <c r="F125" s="69">
        <v>6594</v>
      </c>
      <c r="G125" s="70">
        <v>557</v>
      </c>
      <c r="H125" s="70">
        <v>6037</v>
      </c>
      <c r="I125" s="71" t="s">
        <v>159</v>
      </c>
      <c r="J125" s="213">
        <f t="shared" si="3"/>
        <v>8.4470730967546259E-2</v>
      </c>
    </row>
    <row r="126" spans="1:10" ht="15" x14ac:dyDescent="0.25">
      <c r="A126" s="66">
        <v>44014</v>
      </c>
      <c r="B126" s="67">
        <v>4255</v>
      </c>
      <c r="C126" s="67">
        <v>144</v>
      </c>
      <c r="D126" s="67">
        <f t="shared" si="0"/>
        <v>4111</v>
      </c>
      <c r="E126" s="68">
        <f t="shared" si="1"/>
        <v>3.3842538190364278E-2</v>
      </c>
      <c r="F126" s="69">
        <v>6490</v>
      </c>
      <c r="G126" s="70">
        <v>472</v>
      </c>
      <c r="H126" s="70">
        <v>6018</v>
      </c>
      <c r="I126" s="71" t="s">
        <v>150</v>
      </c>
      <c r="J126" s="213">
        <f t="shared" si="3"/>
        <v>7.2727272727272724E-2</v>
      </c>
    </row>
    <row r="127" spans="1:10" ht="15" x14ac:dyDescent="0.25">
      <c r="A127" s="66">
        <v>44015</v>
      </c>
      <c r="B127" s="67">
        <v>5955</v>
      </c>
      <c r="C127" s="67">
        <v>215</v>
      </c>
      <c r="D127" s="67">
        <f t="shared" si="0"/>
        <v>5740</v>
      </c>
      <c r="E127" s="68">
        <f t="shared" si="1"/>
        <v>3.6104114189756509E-2</v>
      </c>
      <c r="F127" s="69">
        <v>8817</v>
      </c>
      <c r="G127" s="70">
        <v>777</v>
      </c>
      <c r="H127" s="70">
        <v>8040</v>
      </c>
      <c r="I127" s="71" t="s">
        <v>116</v>
      </c>
      <c r="J127" s="213">
        <f t="shared" si="3"/>
        <v>8.8125212657366447E-2</v>
      </c>
    </row>
    <row r="128" spans="1:10" ht="15" x14ac:dyDescent="0.25">
      <c r="A128" s="66">
        <v>44016</v>
      </c>
      <c r="B128" s="67">
        <v>4305</v>
      </c>
      <c r="C128" s="67">
        <v>256</v>
      </c>
      <c r="D128" s="67">
        <f t="shared" si="0"/>
        <v>4049</v>
      </c>
      <c r="E128" s="68">
        <f t="shared" si="1"/>
        <v>5.9465737514518002E-2</v>
      </c>
      <c r="F128" s="69">
        <v>6587</v>
      </c>
      <c r="G128" s="70">
        <v>579</v>
      </c>
      <c r="H128" s="70">
        <v>6008</v>
      </c>
      <c r="I128" s="71" t="s">
        <v>116</v>
      </c>
      <c r="J128" s="213">
        <f t="shared" si="3"/>
        <v>8.7900409898284501E-2</v>
      </c>
    </row>
    <row r="129" spans="1:10" ht="15" x14ac:dyDescent="0.25">
      <c r="A129" s="66">
        <v>44017</v>
      </c>
      <c r="B129" s="67">
        <v>3092</v>
      </c>
      <c r="C129" s="67">
        <v>231</v>
      </c>
      <c r="D129" s="67">
        <f t="shared" si="0"/>
        <v>2861</v>
      </c>
      <c r="E129" s="68">
        <f t="shared" si="1"/>
        <v>7.470892626131953E-2</v>
      </c>
      <c r="F129" s="69">
        <v>4549</v>
      </c>
      <c r="G129" s="70">
        <v>355</v>
      </c>
      <c r="H129" s="70">
        <v>4194</v>
      </c>
      <c r="I129" s="71" t="s">
        <v>129</v>
      </c>
      <c r="J129" s="213">
        <f t="shared" si="3"/>
        <v>7.8039129479006375E-2</v>
      </c>
    </row>
    <row r="130" spans="1:10" ht="15" x14ac:dyDescent="0.25">
      <c r="A130" s="66">
        <v>44018</v>
      </c>
      <c r="B130" s="67">
        <v>4441</v>
      </c>
      <c r="C130" s="67">
        <v>199</v>
      </c>
      <c r="D130" s="67">
        <f t="shared" si="0"/>
        <v>4242</v>
      </c>
      <c r="E130" s="68">
        <f t="shared" si="1"/>
        <v>4.4809727538842603E-2</v>
      </c>
      <c r="F130" s="69">
        <v>6122</v>
      </c>
      <c r="G130" s="70">
        <v>510</v>
      </c>
      <c r="H130" s="70">
        <v>5612</v>
      </c>
      <c r="I130" s="71" t="s">
        <v>149</v>
      </c>
      <c r="J130" s="213">
        <f t="shared" si="3"/>
        <v>8.3306109114668403E-2</v>
      </c>
    </row>
    <row r="131" spans="1:10" ht="15" x14ac:dyDescent="0.25">
      <c r="A131" s="66">
        <v>44019</v>
      </c>
      <c r="B131" s="67">
        <v>5473</v>
      </c>
      <c r="C131" s="67">
        <v>308</v>
      </c>
      <c r="D131" s="67">
        <f t="shared" si="0"/>
        <v>5165</v>
      </c>
      <c r="E131" s="68">
        <f t="shared" si="1"/>
        <v>5.6276265302393567E-2</v>
      </c>
      <c r="F131" s="69">
        <v>7260</v>
      </c>
      <c r="G131" s="70">
        <v>773</v>
      </c>
      <c r="H131" s="70">
        <v>6487</v>
      </c>
      <c r="I131" s="71" t="s">
        <v>163</v>
      </c>
      <c r="J131" s="213">
        <f t="shared" ref="J131:J194" si="4">G131/F131</f>
        <v>0.10647382920110193</v>
      </c>
    </row>
    <row r="132" spans="1:10" ht="15" x14ac:dyDescent="0.25">
      <c r="A132" s="66">
        <v>44020</v>
      </c>
      <c r="B132" s="67">
        <v>6486</v>
      </c>
      <c r="C132" s="67">
        <v>293</v>
      </c>
      <c r="D132" s="67">
        <f t="shared" si="0"/>
        <v>6193</v>
      </c>
      <c r="E132" s="68">
        <f t="shared" si="1"/>
        <v>4.5174221399938326E-2</v>
      </c>
      <c r="F132" s="69">
        <v>9631</v>
      </c>
      <c r="G132" s="70">
        <v>710</v>
      </c>
      <c r="H132" s="70">
        <v>8921</v>
      </c>
      <c r="I132" s="71" t="s">
        <v>164</v>
      </c>
      <c r="J132" s="213">
        <f t="shared" si="4"/>
        <v>7.3720278268092618E-2</v>
      </c>
    </row>
    <row r="133" spans="1:10" ht="15" x14ac:dyDescent="0.25">
      <c r="A133" s="66">
        <v>44021</v>
      </c>
      <c r="B133" s="67">
        <v>6423</v>
      </c>
      <c r="C133" s="67">
        <v>236</v>
      </c>
      <c r="D133" s="67">
        <f t="shared" si="0"/>
        <v>6187</v>
      </c>
      <c r="E133" s="68">
        <f t="shared" si="1"/>
        <v>3.674295500544917E-2</v>
      </c>
      <c r="F133" s="69">
        <v>8958</v>
      </c>
      <c r="G133" s="70">
        <v>706</v>
      </c>
      <c r="H133" s="70">
        <v>8252</v>
      </c>
      <c r="I133" s="71" t="s">
        <v>165</v>
      </c>
      <c r="J133" s="213">
        <f t="shared" si="4"/>
        <v>7.8812234873855774E-2</v>
      </c>
    </row>
    <row r="134" spans="1:10" ht="15" x14ac:dyDescent="0.25">
      <c r="A134" s="66">
        <v>44022</v>
      </c>
      <c r="B134" s="67">
        <v>6584</v>
      </c>
      <c r="C134" s="67">
        <v>359</v>
      </c>
      <c r="D134" s="67">
        <f t="shared" si="0"/>
        <v>6225</v>
      </c>
      <c r="E134" s="68">
        <f t="shared" si="1"/>
        <v>5.4526123936816523E-2</v>
      </c>
      <c r="F134" s="69">
        <v>10412</v>
      </c>
      <c r="G134" s="70">
        <v>978</v>
      </c>
      <c r="H134" s="70">
        <v>9434</v>
      </c>
      <c r="I134" s="71" t="s">
        <v>166</v>
      </c>
      <c r="J134" s="213">
        <f t="shared" si="4"/>
        <v>9.3930080676142919E-2</v>
      </c>
    </row>
    <row r="135" spans="1:10" ht="15" x14ac:dyDescent="0.25">
      <c r="A135" s="66">
        <v>44023</v>
      </c>
      <c r="B135" s="67">
        <v>5690</v>
      </c>
      <c r="C135" s="67">
        <v>404</v>
      </c>
      <c r="D135" s="67">
        <f t="shared" si="0"/>
        <v>5286</v>
      </c>
      <c r="E135" s="68">
        <f t="shared" si="1"/>
        <v>7.1001757469244295E-2</v>
      </c>
      <c r="F135" s="69">
        <v>8117</v>
      </c>
      <c r="G135" s="70">
        <v>900</v>
      </c>
      <c r="H135" s="70">
        <v>7217</v>
      </c>
      <c r="I135" s="71" t="s">
        <v>90</v>
      </c>
      <c r="J135" s="213">
        <f t="shared" si="4"/>
        <v>0.11087840335099175</v>
      </c>
    </row>
    <row r="136" spans="1:10" ht="15" x14ac:dyDescent="0.25">
      <c r="A136" s="66">
        <v>44024</v>
      </c>
      <c r="B136" s="67">
        <v>4102</v>
      </c>
      <c r="C136" s="67">
        <v>279</v>
      </c>
      <c r="D136" s="67">
        <f t="shared" si="0"/>
        <v>3823</v>
      </c>
      <c r="E136" s="68">
        <f t="shared" si="1"/>
        <v>6.8015602145294979E-2</v>
      </c>
      <c r="F136" s="69">
        <v>5188</v>
      </c>
      <c r="G136" s="70">
        <v>458</v>
      </c>
      <c r="H136" s="70">
        <v>4730</v>
      </c>
      <c r="I136" s="71" t="s">
        <v>116</v>
      </c>
      <c r="J136" s="213">
        <f t="shared" si="4"/>
        <v>8.8280647648419433E-2</v>
      </c>
    </row>
    <row r="137" spans="1:10" ht="15" x14ac:dyDescent="0.25">
      <c r="A137" s="66">
        <v>44025</v>
      </c>
      <c r="B137" s="67">
        <v>5998</v>
      </c>
      <c r="C137" s="67">
        <v>275</v>
      </c>
      <c r="D137" s="67">
        <f t="shared" si="0"/>
        <v>5723</v>
      </c>
      <c r="E137" s="68">
        <f t="shared" si="1"/>
        <v>4.5848616205401801E-2</v>
      </c>
      <c r="F137" s="69">
        <v>8616</v>
      </c>
      <c r="G137" s="70">
        <v>923</v>
      </c>
      <c r="H137" s="70">
        <v>7693</v>
      </c>
      <c r="I137" s="71" t="s">
        <v>119</v>
      </c>
      <c r="J137" s="213">
        <f t="shared" si="4"/>
        <v>0.10712627669452182</v>
      </c>
    </row>
    <row r="138" spans="1:10" ht="15" x14ac:dyDescent="0.25">
      <c r="A138" s="66">
        <v>44026</v>
      </c>
      <c r="B138" s="67">
        <v>5414</v>
      </c>
      <c r="C138" s="67">
        <v>258</v>
      </c>
      <c r="D138" s="67">
        <f t="shared" si="0"/>
        <v>5156</v>
      </c>
      <c r="E138" s="68">
        <f t="shared" si="1"/>
        <v>4.7654229774658295E-2</v>
      </c>
      <c r="F138" s="69">
        <v>8626</v>
      </c>
      <c r="G138" s="70">
        <v>953</v>
      </c>
      <c r="H138" s="70">
        <v>7673</v>
      </c>
      <c r="I138" s="71" t="s">
        <v>155</v>
      </c>
      <c r="J138" s="213">
        <f t="shared" si="4"/>
        <v>0.11047994435427777</v>
      </c>
    </row>
    <row r="139" spans="1:10" ht="15" x14ac:dyDescent="0.25">
      <c r="A139" s="66">
        <v>44027</v>
      </c>
      <c r="B139" s="67">
        <v>6405</v>
      </c>
      <c r="C139" s="67">
        <v>304</v>
      </c>
      <c r="D139" s="67">
        <f t="shared" si="0"/>
        <v>6101</v>
      </c>
      <c r="E139" s="68">
        <f t="shared" si="1"/>
        <v>4.7462919594067135E-2</v>
      </c>
      <c r="F139" s="69">
        <v>9056</v>
      </c>
      <c r="G139" s="70">
        <v>765</v>
      </c>
      <c r="H139" s="70">
        <v>8291</v>
      </c>
      <c r="I139" s="71" t="s">
        <v>159</v>
      </c>
      <c r="J139" s="213">
        <f t="shared" si="4"/>
        <v>8.44743816254417E-2</v>
      </c>
    </row>
    <row r="140" spans="1:10" ht="15" x14ac:dyDescent="0.25">
      <c r="A140" s="66">
        <v>44028</v>
      </c>
      <c r="B140" s="67">
        <v>6448</v>
      </c>
      <c r="C140" s="67">
        <v>231</v>
      </c>
      <c r="D140" s="67">
        <f t="shared" si="0"/>
        <v>6217</v>
      </c>
      <c r="E140" s="68">
        <f t="shared" si="1"/>
        <v>3.5825062034739452E-2</v>
      </c>
      <c r="F140" s="69">
        <v>9924</v>
      </c>
      <c r="G140" s="70">
        <v>1085</v>
      </c>
      <c r="H140" s="70">
        <v>8839</v>
      </c>
      <c r="I140" s="71" t="s">
        <v>167</v>
      </c>
      <c r="J140" s="213">
        <f t="shared" si="4"/>
        <v>0.10933091495364772</v>
      </c>
    </row>
    <row r="141" spans="1:10" ht="15" x14ac:dyDescent="0.25">
      <c r="A141" s="66">
        <v>44029</v>
      </c>
      <c r="B141" s="72">
        <v>9056</v>
      </c>
      <c r="C141" s="73">
        <v>331</v>
      </c>
      <c r="D141" s="67">
        <f t="shared" si="0"/>
        <v>8725</v>
      </c>
      <c r="E141" s="68">
        <f t="shared" si="1"/>
        <v>3.6550353356890462E-2</v>
      </c>
      <c r="F141" s="69">
        <v>12098</v>
      </c>
      <c r="G141" s="70">
        <v>802</v>
      </c>
      <c r="H141" s="70">
        <v>11296</v>
      </c>
      <c r="I141" s="71" t="s">
        <v>168</v>
      </c>
      <c r="J141" s="213">
        <f t="shared" si="4"/>
        <v>6.6291949082492974E-2</v>
      </c>
    </row>
    <row r="142" spans="1:10" ht="15" x14ac:dyDescent="0.25">
      <c r="A142" s="66">
        <v>44030</v>
      </c>
      <c r="B142" s="74">
        <v>6781</v>
      </c>
      <c r="C142" s="67">
        <v>312</v>
      </c>
      <c r="D142" s="67">
        <f t="shared" si="0"/>
        <v>6469</v>
      </c>
      <c r="E142" s="68">
        <f t="shared" si="1"/>
        <v>4.6010912844713169E-2</v>
      </c>
      <c r="F142" s="69">
        <v>9982</v>
      </c>
      <c r="G142" s="70">
        <v>927</v>
      </c>
      <c r="H142" s="70">
        <v>9055</v>
      </c>
      <c r="I142" s="71" t="s">
        <v>169</v>
      </c>
      <c r="J142" s="213">
        <f t="shared" si="4"/>
        <v>9.2867160889601286E-2</v>
      </c>
    </row>
    <row r="143" spans="1:10" ht="15" x14ac:dyDescent="0.25">
      <c r="A143" s="66">
        <v>44031</v>
      </c>
      <c r="B143" s="67">
        <v>3655</v>
      </c>
      <c r="C143" s="67">
        <v>361</v>
      </c>
      <c r="D143" s="67">
        <f t="shared" si="0"/>
        <v>3294</v>
      </c>
      <c r="E143" s="68">
        <f t="shared" si="1"/>
        <v>9.8768809849521202E-2</v>
      </c>
      <c r="F143" s="69">
        <v>4935</v>
      </c>
      <c r="G143" s="70">
        <v>519</v>
      </c>
      <c r="H143" s="70">
        <v>4416</v>
      </c>
      <c r="I143" s="71" t="s">
        <v>170</v>
      </c>
      <c r="J143" s="213">
        <f t="shared" si="4"/>
        <v>0.10516717325227963</v>
      </c>
    </row>
    <row r="144" spans="1:10" ht="15" x14ac:dyDescent="0.25">
      <c r="A144" s="66">
        <v>44032</v>
      </c>
      <c r="B144" s="67">
        <v>6088</v>
      </c>
      <c r="C144" s="67">
        <v>441</v>
      </c>
      <c r="D144" s="67">
        <f t="shared" si="0"/>
        <v>5647</v>
      </c>
      <c r="E144" s="68">
        <f t="shared" si="1"/>
        <v>7.2437582128777919E-2</v>
      </c>
      <c r="F144" s="69">
        <v>9365</v>
      </c>
      <c r="G144" s="70">
        <v>932</v>
      </c>
      <c r="H144" s="70">
        <v>8433</v>
      </c>
      <c r="I144" s="71" t="s">
        <v>171</v>
      </c>
      <c r="J144" s="213">
        <f t="shared" si="4"/>
        <v>9.9519487453283498E-2</v>
      </c>
    </row>
    <row r="145" spans="1:10" ht="15" x14ac:dyDescent="0.25">
      <c r="A145" s="66">
        <v>44033</v>
      </c>
      <c r="B145" s="67">
        <v>8081</v>
      </c>
      <c r="C145" s="67">
        <v>382</v>
      </c>
      <c r="D145" s="67">
        <f t="shared" si="0"/>
        <v>7699</v>
      </c>
      <c r="E145" s="68">
        <f t="shared" si="1"/>
        <v>4.727137730478901E-2</v>
      </c>
      <c r="F145" s="69">
        <v>11413</v>
      </c>
      <c r="G145" s="70">
        <v>1271</v>
      </c>
      <c r="H145" s="70">
        <v>10142</v>
      </c>
      <c r="I145" s="71" t="s">
        <v>90</v>
      </c>
      <c r="J145" s="213">
        <f t="shared" si="4"/>
        <v>0.1113642337685096</v>
      </c>
    </row>
    <row r="146" spans="1:10" ht="15" x14ac:dyDescent="0.25">
      <c r="A146" s="66">
        <v>44034</v>
      </c>
      <c r="B146" s="67">
        <v>10061</v>
      </c>
      <c r="C146" s="67">
        <v>416</v>
      </c>
      <c r="D146" s="67">
        <f t="shared" si="0"/>
        <v>9645</v>
      </c>
      <c r="E146" s="68">
        <f t="shared" si="1"/>
        <v>4.1347778550839875E-2</v>
      </c>
      <c r="F146" s="69">
        <v>11692</v>
      </c>
      <c r="G146" s="70">
        <v>1368</v>
      </c>
      <c r="H146" s="70">
        <v>10324</v>
      </c>
      <c r="I146" s="71" t="s">
        <v>148</v>
      </c>
      <c r="J146" s="213">
        <f t="shared" si="4"/>
        <v>0.11700307902839549</v>
      </c>
    </row>
    <row r="147" spans="1:10" ht="15" x14ac:dyDescent="0.25">
      <c r="A147" s="66">
        <v>44035</v>
      </c>
      <c r="B147" s="67">
        <v>8773</v>
      </c>
      <c r="C147" s="67">
        <v>279</v>
      </c>
      <c r="D147" s="67">
        <f t="shared" si="0"/>
        <v>8494</v>
      </c>
      <c r="E147" s="68">
        <f t="shared" si="1"/>
        <v>3.1802120141342753E-2</v>
      </c>
      <c r="F147" s="69">
        <v>11009</v>
      </c>
      <c r="G147" s="70">
        <v>1142</v>
      </c>
      <c r="H147" s="70">
        <v>9867</v>
      </c>
      <c r="I147" s="71" t="s">
        <v>172</v>
      </c>
      <c r="J147" s="213">
        <f t="shared" si="4"/>
        <v>0.10373330911072759</v>
      </c>
    </row>
    <row r="148" spans="1:10" ht="15" x14ac:dyDescent="0.25">
      <c r="A148" s="66">
        <v>44036</v>
      </c>
      <c r="B148" s="67">
        <v>9100</v>
      </c>
      <c r="C148" s="67">
        <v>393</v>
      </c>
      <c r="D148" s="67">
        <f t="shared" si="0"/>
        <v>8707</v>
      </c>
      <c r="E148" s="68">
        <f t="shared" si="1"/>
        <v>4.3186813186813187E-2</v>
      </c>
      <c r="F148" s="69">
        <v>10480</v>
      </c>
      <c r="G148" s="70">
        <v>931</v>
      </c>
      <c r="H148" s="70">
        <v>9549</v>
      </c>
      <c r="I148" s="71" t="s">
        <v>173</v>
      </c>
      <c r="J148" s="213">
        <f t="shared" si="4"/>
        <v>8.8835877862595419E-2</v>
      </c>
    </row>
    <row r="149" spans="1:10" ht="15" x14ac:dyDescent="0.25">
      <c r="A149" s="66">
        <v>44037</v>
      </c>
      <c r="B149" s="67">
        <v>6887</v>
      </c>
      <c r="C149" s="67">
        <v>611</v>
      </c>
      <c r="D149" s="67">
        <f t="shared" si="0"/>
        <v>6276</v>
      </c>
      <c r="E149" s="68">
        <f t="shared" si="1"/>
        <v>8.8717874255844348E-2</v>
      </c>
      <c r="F149" s="69">
        <v>8457</v>
      </c>
      <c r="G149" s="70">
        <v>922</v>
      </c>
      <c r="H149" s="70">
        <v>7535</v>
      </c>
      <c r="I149" s="71" t="s">
        <v>167</v>
      </c>
      <c r="J149" s="213">
        <f t="shared" si="4"/>
        <v>0.10902211185999763</v>
      </c>
    </row>
    <row r="150" spans="1:10" ht="15" x14ac:dyDescent="0.25">
      <c r="A150" s="66">
        <v>44038</v>
      </c>
      <c r="B150" s="67">
        <v>3148</v>
      </c>
      <c r="C150" s="67">
        <v>270</v>
      </c>
      <c r="D150" s="67">
        <f t="shared" si="0"/>
        <v>2878</v>
      </c>
      <c r="E150" s="68">
        <f t="shared" si="1"/>
        <v>8.5768742058449809E-2</v>
      </c>
      <c r="F150" s="69">
        <v>4981</v>
      </c>
      <c r="G150" s="70">
        <v>344</v>
      </c>
      <c r="H150" s="70">
        <v>4637</v>
      </c>
      <c r="I150" s="71" t="s">
        <v>146</v>
      </c>
      <c r="J150" s="213">
        <f t="shared" si="4"/>
        <v>6.9062437261594056E-2</v>
      </c>
    </row>
    <row r="151" spans="1:10" ht="15" x14ac:dyDescent="0.25">
      <c r="A151" s="66">
        <v>44039</v>
      </c>
      <c r="B151" s="67">
        <v>8184</v>
      </c>
      <c r="C151" s="67">
        <v>436</v>
      </c>
      <c r="D151" s="67">
        <f t="shared" si="0"/>
        <v>7748</v>
      </c>
      <c r="E151" s="68">
        <f t="shared" si="1"/>
        <v>5.3274682306940373E-2</v>
      </c>
      <c r="F151" s="69">
        <v>11342</v>
      </c>
      <c r="G151" s="70">
        <v>1196</v>
      </c>
      <c r="H151" s="70">
        <v>10146</v>
      </c>
      <c r="I151" s="71" t="s">
        <v>170</v>
      </c>
      <c r="J151" s="213">
        <f t="shared" si="4"/>
        <v>0.10544877446658438</v>
      </c>
    </row>
    <row r="152" spans="1:10" ht="15" x14ac:dyDescent="0.25">
      <c r="A152" s="66">
        <v>44040</v>
      </c>
      <c r="B152" s="67">
        <v>8824</v>
      </c>
      <c r="C152" s="67">
        <v>542</v>
      </c>
      <c r="D152" s="67">
        <f t="shared" si="0"/>
        <v>8282</v>
      </c>
      <c r="E152" s="68">
        <f t="shared" si="1"/>
        <v>6.1423390752493201E-2</v>
      </c>
      <c r="F152" s="69">
        <v>10634</v>
      </c>
      <c r="G152" s="70">
        <v>1478</v>
      </c>
      <c r="H152" s="70">
        <v>9156</v>
      </c>
      <c r="I152" s="71" t="s">
        <v>174</v>
      </c>
      <c r="J152" s="213">
        <f t="shared" si="4"/>
        <v>0.13898815121309008</v>
      </c>
    </row>
    <row r="153" spans="1:10" ht="15" x14ac:dyDescent="0.25">
      <c r="A153" s="66">
        <v>44041</v>
      </c>
      <c r="B153" s="67">
        <v>9120</v>
      </c>
      <c r="C153" s="67">
        <v>340</v>
      </c>
      <c r="D153" s="67">
        <f t="shared" si="0"/>
        <v>8780</v>
      </c>
      <c r="E153" s="68">
        <f t="shared" si="1"/>
        <v>3.7280701754385963E-2</v>
      </c>
      <c r="F153" s="69">
        <v>12297</v>
      </c>
      <c r="G153" s="70">
        <v>1718</v>
      </c>
      <c r="H153" s="70">
        <v>10579</v>
      </c>
      <c r="I153" s="71" t="s">
        <v>121</v>
      </c>
      <c r="J153" s="213">
        <f t="shared" si="4"/>
        <v>0.13970887208262178</v>
      </c>
    </row>
    <row r="154" spans="1:10" ht="15" x14ac:dyDescent="0.25">
      <c r="A154" s="66">
        <v>44042</v>
      </c>
      <c r="B154" s="67">
        <v>8520</v>
      </c>
      <c r="C154" s="67">
        <v>585</v>
      </c>
      <c r="D154" s="67">
        <f t="shared" si="0"/>
        <v>7935</v>
      </c>
      <c r="E154" s="68">
        <f t="shared" si="1"/>
        <v>6.8661971830985921E-2</v>
      </c>
      <c r="F154" s="69">
        <v>10856</v>
      </c>
      <c r="G154" s="70">
        <v>1081</v>
      </c>
      <c r="H154" s="70">
        <v>9775</v>
      </c>
      <c r="I154" s="71" t="s">
        <v>171</v>
      </c>
      <c r="J154" s="213">
        <f t="shared" si="4"/>
        <v>9.9576271186440676E-2</v>
      </c>
    </row>
    <row r="155" spans="1:10" ht="15" x14ac:dyDescent="0.25">
      <c r="A155" s="66">
        <v>44043</v>
      </c>
      <c r="B155" s="67">
        <v>4222</v>
      </c>
      <c r="C155" s="67">
        <v>330</v>
      </c>
      <c r="D155" s="67">
        <f t="shared" si="0"/>
        <v>3892</v>
      </c>
      <c r="E155" s="68">
        <f t="shared" si="1"/>
        <v>7.8162008526764568E-2</v>
      </c>
      <c r="F155" s="69">
        <v>5544</v>
      </c>
      <c r="G155" s="70">
        <v>486</v>
      </c>
      <c r="H155" s="70">
        <v>5058</v>
      </c>
      <c r="I155" s="71" t="s">
        <v>116</v>
      </c>
      <c r="J155" s="213">
        <f t="shared" si="4"/>
        <v>8.7662337662337664E-2</v>
      </c>
    </row>
    <row r="156" spans="1:10" ht="15" x14ac:dyDescent="0.25">
      <c r="A156" s="66">
        <v>44044</v>
      </c>
      <c r="B156" s="67">
        <v>6366</v>
      </c>
      <c r="C156" s="67">
        <v>329</v>
      </c>
      <c r="D156" s="67">
        <f t="shared" si="0"/>
        <v>6037</v>
      </c>
      <c r="E156" s="68">
        <f t="shared" si="1"/>
        <v>5.1680804272698715E-2</v>
      </c>
      <c r="F156" s="69">
        <v>9042</v>
      </c>
      <c r="G156" s="70">
        <v>1048</v>
      </c>
      <c r="H156" s="70">
        <v>7994</v>
      </c>
      <c r="I156" s="71" t="s">
        <v>118</v>
      </c>
      <c r="J156" s="213">
        <f t="shared" si="4"/>
        <v>0.11590356115903561</v>
      </c>
    </row>
    <row r="157" spans="1:10" ht="15" x14ac:dyDescent="0.25">
      <c r="A157" s="66">
        <v>44045</v>
      </c>
      <c r="B157" s="67">
        <v>3675</v>
      </c>
      <c r="C157" s="67">
        <v>439</v>
      </c>
      <c r="D157" s="67">
        <f t="shared" si="0"/>
        <v>3236</v>
      </c>
      <c r="E157" s="68">
        <f t="shared" si="1"/>
        <v>0.11945578231292517</v>
      </c>
      <c r="F157" s="69">
        <v>4671</v>
      </c>
      <c r="G157" s="70">
        <v>489</v>
      </c>
      <c r="H157" s="70">
        <v>4182</v>
      </c>
      <c r="I157" s="71" t="s">
        <v>170</v>
      </c>
      <c r="J157" s="213">
        <f t="shared" si="4"/>
        <v>0.10468850353243417</v>
      </c>
    </row>
    <row r="158" spans="1:10" ht="15" x14ac:dyDescent="0.25">
      <c r="A158" s="66">
        <v>44046</v>
      </c>
      <c r="B158" s="67">
        <v>7811</v>
      </c>
      <c r="C158" s="67">
        <v>386</v>
      </c>
      <c r="D158" s="67">
        <f t="shared" si="0"/>
        <v>7425</v>
      </c>
      <c r="E158" s="68">
        <f t="shared" si="1"/>
        <v>4.9417488157726286E-2</v>
      </c>
      <c r="F158" s="69">
        <v>10802</v>
      </c>
      <c r="G158" s="70">
        <v>995</v>
      </c>
      <c r="H158" s="70">
        <v>9807</v>
      </c>
      <c r="I158" s="71" t="s">
        <v>157</v>
      </c>
      <c r="J158" s="213">
        <f t="shared" si="4"/>
        <v>9.2112571745972968E-2</v>
      </c>
    </row>
    <row r="159" spans="1:10" ht="15" x14ac:dyDescent="0.25">
      <c r="A159" s="66">
        <v>44047</v>
      </c>
      <c r="B159" s="67">
        <v>7071</v>
      </c>
      <c r="C159" s="67">
        <v>468</v>
      </c>
      <c r="D159" s="67">
        <f t="shared" si="0"/>
        <v>6603</v>
      </c>
      <c r="E159" s="68">
        <f t="shared" si="1"/>
        <v>6.6185829444208741E-2</v>
      </c>
      <c r="F159" s="69">
        <v>11922</v>
      </c>
      <c r="G159" s="70">
        <v>1654</v>
      </c>
      <c r="H159" s="70">
        <v>10268</v>
      </c>
      <c r="I159" s="71" t="s">
        <v>174</v>
      </c>
      <c r="J159" s="213">
        <f t="shared" si="4"/>
        <v>0.13873511155846335</v>
      </c>
    </row>
    <row r="160" spans="1:10" ht="15" x14ac:dyDescent="0.25">
      <c r="A160" s="66">
        <v>44048</v>
      </c>
      <c r="B160" s="67">
        <v>8124</v>
      </c>
      <c r="C160" s="67">
        <v>584</v>
      </c>
      <c r="D160" s="67">
        <f t="shared" si="0"/>
        <v>7540</v>
      </c>
      <c r="E160" s="68">
        <f t="shared" si="1"/>
        <v>7.1885770556376169E-2</v>
      </c>
      <c r="F160" s="69">
        <v>12034</v>
      </c>
      <c r="G160" s="70">
        <v>1616</v>
      </c>
      <c r="H160" s="70">
        <v>10418</v>
      </c>
      <c r="I160" s="71" t="s">
        <v>175</v>
      </c>
      <c r="J160" s="213">
        <f t="shared" si="4"/>
        <v>0.13428618913079607</v>
      </c>
    </row>
    <row r="161" spans="1:10" ht="15" x14ac:dyDescent="0.25">
      <c r="A161" s="66">
        <v>44049</v>
      </c>
      <c r="B161" s="67">
        <v>8065</v>
      </c>
      <c r="C161" s="67">
        <v>693</v>
      </c>
      <c r="D161" s="67">
        <f t="shared" si="0"/>
        <v>7372</v>
      </c>
      <c r="E161" s="68">
        <f t="shared" si="1"/>
        <v>8.5926844389336635E-2</v>
      </c>
      <c r="F161" s="69">
        <v>12299</v>
      </c>
      <c r="G161" s="70">
        <v>1392</v>
      </c>
      <c r="H161" s="70">
        <v>10907</v>
      </c>
      <c r="I161" s="71" t="s">
        <v>176</v>
      </c>
      <c r="J161" s="213">
        <f t="shared" si="4"/>
        <v>0.11317993332791283</v>
      </c>
    </row>
    <row r="162" spans="1:10" ht="15" x14ac:dyDescent="0.25">
      <c r="A162" s="66">
        <v>44050</v>
      </c>
      <c r="B162" s="67">
        <v>8791</v>
      </c>
      <c r="C162" s="67">
        <v>776</v>
      </c>
      <c r="D162" s="67">
        <f t="shared" si="0"/>
        <v>8015</v>
      </c>
      <c r="E162" s="68">
        <f t="shared" si="1"/>
        <v>8.8272096462290978E-2</v>
      </c>
      <c r="F162" s="69">
        <v>13298</v>
      </c>
      <c r="G162" s="70">
        <v>1506</v>
      </c>
      <c r="H162" s="70">
        <v>11792</v>
      </c>
      <c r="I162" s="71" t="s">
        <v>176</v>
      </c>
      <c r="J162" s="213">
        <f t="shared" si="4"/>
        <v>0.11325011279891713</v>
      </c>
    </row>
    <row r="163" spans="1:10" ht="15" x14ac:dyDescent="0.25">
      <c r="A163" s="66">
        <v>44051</v>
      </c>
      <c r="B163" s="67">
        <v>6771</v>
      </c>
      <c r="C163" s="67">
        <v>534</v>
      </c>
      <c r="D163" s="67">
        <f t="shared" si="0"/>
        <v>6237</v>
      </c>
      <c r="E163" s="68">
        <f t="shared" si="1"/>
        <v>7.8865750996898534E-2</v>
      </c>
      <c r="F163" s="69">
        <v>9129</v>
      </c>
      <c r="G163" s="70">
        <v>1197</v>
      </c>
      <c r="H163" s="70">
        <v>7932</v>
      </c>
      <c r="I163" s="71" t="s">
        <v>177</v>
      </c>
      <c r="J163" s="213">
        <f t="shared" si="4"/>
        <v>0.13112060466644759</v>
      </c>
    </row>
    <row r="164" spans="1:10" ht="15" x14ac:dyDescent="0.25">
      <c r="A164" s="66">
        <v>44052</v>
      </c>
      <c r="B164" s="67">
        <v>4433</v>
      </c>
      <c r="C164" s="67">
        <v>319</v>
      </c>
      <c r="D164" s="67">
        <f t="shared" si="0"/>
        <v>4114</v>
      </c>
      <c r="E164" s="68">
        <f t="shared" si="1"/>
        <v>7.1960297766749379E-2</v>
      </c>
      <c r="F164" s="69">
        <v>5412</v>
      </c>
      <c r="G164" s="70">
        <v>652</v>
      </c>
      <c r="H164" s="70">
        <v>4760</v>
      </c>
      <c r="I164" s="71" t="s">
        <v>111</v>
      </c>
      <c r="J164" s="213">
        <f t="shared" si="4"/>
        <v>0.1204730229120473</v>
      </c>
    </row>
    <row r="165" spans="1:10" ht="15" x14ac:dyDescent="0.25">
      <c r="A165" s="66">
        <v>44053</v>
      </c>
      <c r="B165" s="67">
        <v>6059</v>
      </c>
      <c r="C165" s="67">
        <v>582</v>
      </c>
      <c r="D165" s="67">
        <f t="shared" si="0"/>
        <v>5477</v>
      </c>
      <c r="E165" s="68">
        <f t="shared" si="1"/>
        <v>9.6055454695494299E-2</v>
      </c>
      <c r="F165" s="69">
        <v>8939</v>
      </c>
      <c r="G165" s="70">
        <v>1169</v>
      </c>
      <c r="H165" s="70">
        <v>7770</v>
      </c>
      <c r="I165" s="71" t="s">
        <v>177</v>
      </c>
      <c r="J165" s="213">
        <f t="shared" si="4"/>
        <v>0.1307752545027408</v>
      </c>
    </row>
    <row r="166" spans="1:10" ht="15" x14ac:dyDescent="0.25">
      <c r="A166" s="66">
        <v>44054</v>
      </c>
      <c r="B166" s="67">
        <v>5841</v>
      </c>
      <c r="C166" s="67">
        <v>487</v>
      </c>
      <c r="D166" s="67">
        <f t="shared" si="0"/>
        <v>5354</v>
      </c>
      <c r="E166" s="68">
        <f t="shared" si="1"/>
        <v>8.3376134223591844E-2</v>
      </c>
      <c r="F166" s="69">
        <v>8140</v>
      </c>
      <c r="G166" s="70">
        <v>896</v>
      </c>
      <c r="H166" s="70">
        <v>7244</v>
      </c>
      <c r="I166" s="71" t="s">
        <v>155</v>
      </c>
      <c r="J166" s="213">
        <f t="shared" si="4"/>
        <v>0.11007371007371007</v>
      </c>
    </row>
    <row r="167" spans="1:10" ht="15" x14ac:dyDescent="0.25">
      <c r="A167" s="66">
        <v>44055</v>
      </c>
      <c r="B167" s="67">
        <v>8015</v>
      </c>
      <c r="C167" s="67">
        <v>591</v>
      </c>
      <c r="D167" s="67">
        <f t="shared" si="0"/>
        <v>7424</v>
      </c>
      <c r="E167" s="68">
        <f t="shared" si="1"/>
        <v>7.3736743605739244E-2</v>
      </c>
      <c r="F167" s="69">
        <v>10993</v>
      </c>
      <c r="G167" s="70">
        <v>1583</v>
      </c>
      <c r="H167" s="70">
        <v>9410</v>
      </c>
      <c r="I167" s="71" t="s">
        <v>124</v>
      </c>
      <c r="J167" s="213">
        <f t="shared" si="4"/>
        <v>0.14400072773583189</v>
      </c>
    </row>
    <row r="168" spans="1:10" ht="15" x14ac:dyDescent="0.25">
      <c r="A168" s="66">
        <v>44056</v>
      </c>
      <c r="B168" s="67">
        <v>6881</v>
      </c>
      <c r="C168" s="67">
        <v>495</v>
      </c>
      <c r="D168" s="67">
        <f t="shared" si="0"/>
        <v>6386</v>
      </c>
      <c r="E168" s="68">
        <f t="shared" si="1"/>
        <v>7.1937218427554128E-2</v>
      </c>
      <c r="F168" s="69">
        <v>9144</v>
      </c>
      <c r="G168" s="70">
        <v>1362</v>
      </c>
      <c r="H168" s="70">
        <v>7782</v>
      </c>
      <c r="I168" s="71" t="s">
        <v>107</v>
      </c>
      <c r="J168" s="213">
        <f t="shared" si="4"/>
        <v>0.14895013123359579</v>
      </c>
    </row>
    <row r="169" spans="1:10" ht="15" x14ac:dyDescent="0.25">
      <c r="A169" s="66">
        <v>44057</v>
      </c>
      <c r="B169" s="67">
        <v>8211</v>
      </c>
      <c r="C169" s="67">
        <v>729</v>
      </c>
      <c r="D169" s="67">
        <f t="shared" si="0"/>
        <v>7482</v>
      </c>
      <c r="E169" s="68">
        <f t="shared" si="1"/>
        <v>8.8783339422725607E-2</v>
      </c>
      <c r="F169" s="69">
        <v>11553</v>
      </c>
      <c r="G169" s="70">
        <v>1364</v>
      </c>
      <c r="H169" s="70">
        <v>10189</v>
      </c>
      <c r="I169" s="71" t="s">
        <v>178</v>
      </c>
      <c r="J169" s="213">
        <f t="shared" si="4"/>
        <v>0.1180645719726478</v>
      </c>
    </row>
    <row r="170" spans="1:10" ht="15" x14ac:dyDescent="0.25">
      <c r="A170" s="66">
        <v>44058</v>
      </c>
      <c r="B170" s="67">
        <v>9669</v>
      </c>
      <c r="C170" s="67">
        <v>625</v>
      </c>
      <c r="D170" s="67">
        <f t="shared" si="0"/>
        <v>9044</v>
      </c>
      <c r="E170" s="68">
        <f t="shared" si="1"/>
        <v>6.4639569759023685E-2</v>
      </c>
      <c r="F170" s="69">
        <v>11769</v>
      </c>
      <c r="G170" s="70">
        <v>1656</v>
      </c>
      <c r="H170" s="70">
        <v>10113</v>
      </c>
      <c r="I170" s="71" t="s">
        <v>179</v>
      </c>
      <c r="J170" s="213">
        <f t="shared" si="4"/>
        <v>0.14070864134590874</v>
      </c>
    </row>
    <row r="171" spans="1:10" ht="15" x14ac:dyDescent="0.25">
      <c r="A171" s="66">
        <v>44059</v>
      </c>
      <c r="B171" s="67">
        <v>5266</v>
      </c>
      <c r="C171" s="67">
        <v>534</v>
      </c>
      <c r="D171" s="67">
        <f t="shared" si="0"/>
        <v>4732</v>
      </c>
      <c r="E171" s="68">
        <f t="shared" si="1"/>
        <v>0.10140524116976833</v>
      </c>
      <c r="F171" s="69">
        <v>7387</v>
      </c>
      <c r="G171" s="70">
        <v>908</v>
      </c>
      <c r="H171" s="70">
        <v>6479</v>
      </c>
      <c r="I171" s="71" t="s">
        <v>147</v>
      </c>
      <c r="J171" s="213">
        <f t="shared" si="4"/>
        <v>0.12291864085555707</v>
      </c>
    </row>
    <row r="172" spans="1:10" ht="15" x14ac:dyDescent="0.25">
      <c r="A172" s="66">
        <v>44060</v>
      </c>
      <c r="B172" s="67">
        <v>7215</v>
      </c>
      <c r="C172" s="67">
        <v>555</v>
      </c>
      <c r="D172" s="67">
        <f t="shared" si="0"/>
        <v>6660</v>
      </c>
      <c r="E172" s="68">
        <f t="shared" si="1"/>
        <v>7.6923076923076927E-2</v>
      </c>
      <c r="F172" s="69">
        <v>9212</v>
      </c>
      <c r="G172" s="70">
        <v>931</v>
      </c>
      <c r="H172" s="70">
        <v>8281</v>
      </c>
      <c r="I172" s="71" t="s">
        <v>125</v>
      </c>
      <c r="J172" s="213">
        <f t="shared" si="4"/>
        <v>0.10106382978723404</v>
      </c>
    </row>
    <row r="173" spans="1:10" ht="15" x14ac:dyDescent="0.25">
      <c r="A173" s="66">
        <v>44061</v>
      </c>
      <c r="B173" s="67">
        <v>7097</v>
      </c>
      <c r="C173" s="67">
        <v>601</v>
      </c>
      <c r="D173" s="67">
        <f t="shared" si="0"/>
        <v>6496</v>
      </c>
      <c r="E173" s="68">
        <f t="shared" si="1"/>
        <v>8.4683669155981398E-2</v>
      </c>
      <c r="F173" s="69">
        <v>9548</v>
      </c>
      <c r="G173" s="70">
        <v>1327</v>
      </c>
      <c r="H173" s="70">
        <v>8221</v>
      </c>
      <c r="I173" s="71" t="s">
        <v>174</v>
      </c>
      <c r="J173" s="213">
        <f t="shared" si="4"/>
        <v>0.13898198575617932</v>
      </c>
    </row>
    <row r="174" spans="1:10" ht="15" x14ac:dyDescent="0.25">
      <c r="A174" s="66">
        <v>44062</v>
      </c>
      <c r="B174" s="67">
        <v>10636</v>
      </c>
      <c r="C174" s="67">
        <v>695</v>
      </c>
      <c r="D174" s="67">
        <f t="shared" si="0"/>
        <v>9941</v>
      </c>
      <c r="E174" s="68">
        <f t="shared" si="1"/>
        <v>6.5344114328694997E-2</v>
      </c>
      <c r="F174" s="69">
        <v>14015</v>
      </c>
      <c r="G174" s="70">
        <v>2127</v>
      </c>
      <c r="H174" s="70">
        <v>11888</v>
      </c>
      <c r="I174" s="71" t="s">
        <v>180</v>
      </c>
      <c r="J174" s="213">
        <f t="shared" si="4"/>
        <v>0.15176596503745987</v>
      </c>
    </row>
    <row r="175" spans="1:10" ht="15" x14ac:dyDescent="0.25">
      <c r="A175" s="66">
        <v>44063</v>
      </c>
      <c r="B175" s="67">
        <v>5422</v>
      </c>
      <c r="C175" s="67">
        <v>511</v>
      </c>
      <c r="D175" s="67">
        <f t="shared" si="0"/>
        <v>4911</v>
      </c>
      <c r="E175" s="68">
        <f t="shared" si="1"/>
        <v>9.4245665805975654E-2</v>
      </c>
      <c r="F175" s="69">
        <v>7015</v>
      </c>
      <c r="G175" s="70">
        <v>1076</v>
      </c>
      <c r="H175" s="70">
        <v>5939</v>
      </c>
      <c r="I175" s="71" t="s">
        <v>181</v>
      </c>
      <c r="J175" s="213">
        <f t="shared" si="4"/>
        <v>0.15338560228082679</v>
      </c>
    </row>
    <row r="176" spans="1:10" ht="15" x14ac:dyDescent="0.25">
      <c r="A176" s="66">
        <v>44064</v>
      </c>
      <c r="B176" s="67">
        <v>7422</v>
      </c>
      <c r="C176" s="67">
        <v>760</v>
      </c>
      <c r="D176" s="67">
        <f t="shared" si="0"/>
        <v>6662</v>
      </c>
      <c r="E176" s="68">
        <f t="shared" si="1"/>
        <v>0.10239827539746699</v>
      </c>
      <c r="F176" s="69">
        <v>11260</v>
      </c>
      <c r="G176" s="70">
        <v>1858</v>
      </c>
      <c r="H176" s="70">
        <v>9402</v>
      </c>
      <c r="I176" s="71" t="s">
        <v>182</v>
      </c>
      <c r="J176" s="213">
        <f t="shared" si="4"/>
        <v>0.1650088809946714</v>
      </c>
    </row>
    <row r="177" spans="1:10" ht="15" x14ac:dyDescent="0.25">
      <c r="A177" s="66">
        <v>44065</v>
      </c>
      <c r="B177" s="67">
        <v>6821</v>
      </c>
      <c r="C177" s="67">
        <v>854</v>
      </c>
      <c r="D177" s="67">
        <f t="shared" si="0"/>
        <v>5967</v>
      </c>
      <c r="E177" s="68">
        <f t="shared" si="1"/>
        <v>0.12520158334555051</v>
      </c>
      <c r="F177" s="69">
        <v>10132</v>
      </c>
      <c r="G177" s="70">
        <v>1864</v>
      </c>
      <c r="H177" s="70">
        <v>8268</v>
      </c>
      <c r="I177" s="71" t="s">
        <v>183</v>
      </c>
      <c r="J177" s="213">
        <f t="shared" si="4"/>
        <v>0.18397157520726412</v>
      </c>
    </row>
    <row r="178" spans="1:10" ht="15" x14ac:dyDescent="0.25">
      <c r="A178" s="66">
        <v>44066</v>
      </c>
      <c r="B178" s="67">
        <v>3691</v>
      </c>
      <c r="C178" s="67">
        <v>508</v>
      </c>
      <c r="D178" s="67">
        <f t="shared" si="0"/>
        <v>3183</v>
      </c>
      <c r="E178" s="68">
        <f t="shared" si="1"/>
        <v>0.13763207802763477</v>
      </c>
      <c r="F178" s="69">
        <v>6484</v>
      </c>
      <c r="G178" s="70">
        <v>1157</v>
      </c>
      <c r="H178" s="70">
        <v>5327</v>
      </c>
      <c r="I178" s="71" t="s">
        <v>184</v>
      </c>
      <c r="J178" s="213">
        <f t="shared" si="4"/>
        <v>0.1784392350400987</v>
      </c>
    </row>
    <row r="179" spans="1:10" ht="15" x14ac:dyDescent="0.25">
      <c r="A179" s="66">
        <v>44067</v>
      </c>
      <c r="B179" s="67">
        <v>8941</v>
      </c>
      <c r="C179" s="67">
        <v>704</v>
      </c>
      <c r="D179" s="67">
        <f t="shared" si="0"/>
        <v>8237</v>
      </c>
      <c r="E179" s="68">
        <f t="shared" si="1"/>
        <v>7.8738396152555637E-2</v>
      </c>
      <c r="F179" s="69">
        <v>11929</v>
      </c>
      <c r="G179" s="70">
        <v>1821</v>
      </c>
      <c r="H179" s="70">
        <v>10108</v>
      </c>
      <c r="I179" s="71" t="s">
        <v>181</v>
      </c>
      <c r="J179" s="213">
        <f t="shared" si="4"/>
        <v>0.15265319808869143</v>
      </c>
    </row>
    <row r="180" spans="1:10" ht="15" x14ac:dyDescent="0.25">
      <c r="A180" s="66">
        <v>44068</v>
      </c>
      <c r="B180" s="67">
        <v>8794</v>
      </c>
      <c r="C180" s="67">
        <v>569</v>
      </c>
      <c r="D180" s="67">
        <f t="shared" si="0"/>
        <v>8225</v>
      </c>
      <c r="E180" s="68">
        <f t="shared" si="1"/>
        <v>6.4703206731862639E-2</v>
      </c>
      <c r="F180" s="69">
        <v>12056</v>
      </c>
      <c r="G180" s="70">
        <v>1871</v>
      </c>
      <c r="H180" s="70">
        <v>10185</v>
      </c>
      <c r="I180" s="71" t="s">
        <v>185</v>
      </c>
      <c r="J180" s="213">
        <f t="shared" si="4"/>
        <v>0.15519243530192436</v>
      </c>
    </row>
    <row r="181" spans="1:10" ht="15" x14ac:dyDescent="0.25">
      <c r="A181" s="66">
        <v>44069</v>
      </c>
      <c r="B181" s="67">
        <v>11436</v>
      </c>
      <c r="C181" s="67">
        <v>907</v>
      </c>
      <c r="D181" s="67">
        <f t="shared" si="0"/>
        <v>10529</v>
      </c>
      <c r="E181" s="68">
        <f t="shared" si="1"/>
        <v>7.9310947883875479E-2</v>
      </c>
      <c r="F181" s="69">
        <v>14863</v>
      </c>
      <c r="G181" s="70">
        <v>2488</v>
      </c>
      <c r="H181" s="70">
        <v>12375</v>
      </c>
      <c r="I181" s="71" t="s">
        <v>186</v>
      </c>
      <c r="J181" s="213">
        <f t="shared" si="4"/>
        <v>0.16739554598667833</v>
      </c>
    </row>
    <row r="182" spans="1:10" ht="15" x14ac:dyDescent="0.25">
      <c r="A182" s="66">
        <v>44070</v>
      </c>
      <c r="B182" s="67">
        <v>9360</v>
      </c>
      <c r="C182" s="67">
        <v>879</v>
      </c>
      <c r="D182" s="67">
        <f t="shared" si="0"/>
        <v>8481</v>
      </c>
      <c r="E182" s="68">
        <f t="shared" si="1"/>
        <v>9.391025641025641E-2</v>
      </c>
      <c r="F182" s="69">
        <v>14337</v>
      </c>
      <c r="G182" s="70">
        <v>2158</v>
      </c>
      <c r="H182" s="70">
        <v>12179</v>
      </c>
      <c r="I182" s="71" t="s">
        <v>187</v>
      </c>
      <c r="J182" s="213">
        <f t="shared" si="4"/>
        <v>0.15051963451210157</v>
      </c>
    </row>
    <row r="183" spans="1:10" ht="15" x14ac:dyDescent="0.25">
      <c r="A183" s="66">
        <v>44071</v>
      </c>
      <c r="B183" s="67">
        <v>10266</v>
      </c>
      <c r="C183" s="67">
        <v>882</v>
      </c>
      <c r="D183" s="67">
        <f t="shared" si="0"/>
        <v>9384</v>
      </c>
      <c r="E183" s="68">
        <f t="shared" si="1"/>
        <v>8.5914669783752187E-2</v>
      </c>
      <c r="F183" s="69">
        <v>13469</v>
      </c>
      <c r="G183" s="70">
        <v>2047</v>
      </c>
      <c r="H183" s="70">
        <v>11422</v>
      </c>
      <c r="I183" s="71" t="s">
        <v>180</v>
      </c>
      <c r="J183" s="213">
        <f t="shared" si="4"/>
        <v>0.15197861756626327</v>
      </c>
    </row>
    <row r="184" spans="1:10" ht="15" x14ac:dyDescent="0.25">
      <c r="A184" s="66">
        <v>44072</v>
      </c>
      <c r="B184" s="67">
        <v>9392</v>
      </c>
      <c r="C184" s="67">
        <v>974</v>
      </c>
      <c r="D184" s="67">
        <f t="shared" si="0"/>
        <v>8418</v>
      </c>
      <c r="E184" s="68">
        <f t="shared" si="1"/>
        <v>0.10370528109028961</v>
      </c>
      <c r="F184" s="69">
        <v>12916</v>
      </c>
      <c r="G184" s="70">
        <v>2111</v>
      </c>
      <c r="H184" s="70">
        <v>10805</v>
      </c>
      <c r="I184" s="71" t="s">
        <v>188</v>
      </c>
      <c r="J184" s="213">
        <f t="shared" si="4"/>
        <v>0.16344069371322389</v>
      </c>
    </row>
    <row r="185" spans="1:10" ht="15" x14ac:dyDescent="0.25">
      <c r="A185" s="66">
        <v>44073</v>
      </c>
      <c r="B185" s="67">
        <v>4880</v>
      </c>
      <c r="C185" s="67">
        <v>703</v>
      </c>
      <c r="D185" s="67">
        <f t="shared" si="0"/>
        <v>4177</v>
      </c>
      <c r="E185" s="68">
        <f t="shared" si="1"/>
        <v>0.14405737704918034</v>
      </c>
      <c r="F185" s="69">
        <v>7578</v>
      </c>
      <c r="G185" s="70">
        <v>1567</v>
      </c>
      <c r="H185" s="70">
        <v>6011</v>
      </c>
      <c r="I185" s="71" t="s">
        <v>189</v>
      </c>
      <c r="J185" s="213">
        <f t="shared" si="4"/>
        <v>0.20678279229348112</v>
      </c>
    </row>
    <row r="186" spans="1:10" ht="15" x14ac:dyDescent="0.25">
      <c r="A186" s="66">
        <v>44074</v>
      </c>
      <c r="B186" s="67">
        <v>7514</v>
      </c>
      <c r="C186" s="67">
        <v>1024</v>
      </c>
      <c r="D186" s="67">
        <f t="shared" si="0"/>
        <v>6490</v>
      </c>
      <c r="E186" s="68">
        <f t="shared" si="1"/>
        <v>0.13627894596752729</v>
      </c>
      <c r="F186" s="69">
        <v>10024</v>
      </c>
      <c r="G186" s="70">
        <v>1996</v>
      </c>
      <c r="H186" s="70">
        <v>8028</v>
      </c>
      <c r="I186" s="71" t="s">
        <v>190</v>
      </c>
      <c r="J186" s="213">
        <f t="shared" si="4"/>
        <v>0.19912210694333599</v>
      </c>
    </row>
    <row r="187" spans="1:10" ht="15" x14ac:dyDescent="0.25">
      <c r="A187" s="66">
        <v>44075</v>
      </c>
      <c r="B187" s="67">
        <v>8222</v>
      </c>
      <c r="C187" s="67">
        <v>1121</v>
      </c>
      <c r="D187" s="67">
        <f t="shared" si="0"/>
        <v>7101</v>
      </c>
      <c r="E187" s="68">
        <f t="shared" si="1"/>
        <v>0.13634152274385794</v>
      </c>
      <c r="F187" s="69">
        <v>12001</v>
      </c>
      <c r="G187" s="70">
        <v>2172</v>
      </c>
      <c r="H187" s="70">
        <v>9829</v>
      </c>
      <c r="I187" s="71" t="s">
        <v>191</v>
      </c>
      <c r="J187" s="213">
        <f t="shared" si="4"/>
        <v>0.18098491792350638</v>
      </c>
    </row>
    <row r="188" spans="1:10" ht="15" x14ac:dyDescent="0.25">
      <c r="A188" s="66">
        <v>44076</v>
      </c>
      <c r="B188" s="67">
        <v>9971</v>
      </c>
      <c r="C188" s="67">
        <v>1135</v>
      </c>
      <c r="D188" s="67">
        <f t="shared" si="0"/>
        <v>8836</v>
      </c>
      <c r="E188" s="68">
        <f t="shared" si="1"/>
        <v>0.11383010731120249</v>
      </c>
      <c r="F188" s="69">
        <v>12117</v>
      </c>
      <c r="G188" s="70">
        <v>2242</v>
      </c>
      <c r="H188" s="70">
        <v>9875</v>
      </c>
      <c r="I188" s="71" t="s">
        <v>192</v>
      </c>
      <c r="J188" s="213">
        <f t="shared" si="4"/>
        <v>0.18502929768094412</v>
      </c>
    </row>
    <row r="189" spans="1:10" ht="15" x14ac:dyDescent="0.25">
      <c r="A189" s="66">
        <v>44077</v>
      </c>
      <c r="B189" s="67">
        <v>12131</v>
      </c>
      <c r="C189" s="67">
        <v>1013</v>
      </c>
      <c r="D189" s="67">
        <f t="shared" si="0"/>
        <v>11118</v>
      </c>
      <c r="E189" s="68">
        <f t="shared" si="1"/>
        <v>8.3505069656252581E-2</v>
      </c>
      <c r="F189" s="69">
        <v>15390</v>
      </c>
      <c r="G189" s="70">
        <v>2607</v>
      </c>
      <c r="H189" s="70">
        <v>12783</v>
      </c>
      <c r="I189" s="71" t="s">
        <v>114</v>
      </c>
      <c r="J189" s="213">
        <f t="shared" si="4"/>
        <v>0.16939571150097466</v>
      </c>
    </row>
    <row r="190" spans="1:10" ht="15" x14ac:dyDescent="0.25">
      <c r="A190" s="66">
        <v>44078</v>
      </c>
      <c r="B190" s="67">
        <v>10248</v>
      </c>
      <c r="C190" s="67">
        <v>1242</v>
      </c>
      <c r="D190" s="67">
        <f t="shared" si="0"/>
        <v>9006</v>
      </c>
      <c r="E190" s="68">
        <f t="shared" si="1"/>
        <v>0.1211943793911007</v>
      </c>
      <c r="F190" s="69">
        <v>12252</v>
      </c>
      <c r="G190" s="70">
        <v>2263</v>
      </c>
      <c r="H190" s="70">
        <v>9989</v>
      </c>
      <c r="I190" s="71" t="s">
        <v>192</v>
      </c>
      <c r="J190" s="213">
        <f t="shared" si="4"/>
        <v>0.1847045380346066</v>
      </c>
    </row>
    <row r="191" spans="1:10" ht="15" x14ac:dyDescent="0.25">
      <c r="A191" s="66">
        <v>44079</v>
      </c>
      <c r="B191" s="67">
        <v>9866</v>
      </c>
      <c r="C191" s="67">
        <v>1130</v>
      </c>
      <c r="D191" s="67">
        <f t="shared" si="0"/>
        <v>8736</v>
      </c>
      <c r="E191" s="68">
        <f t="shared" si="1"/>
        <v>0.11453476586255829</v>
      </c>
      <c r="F191" s="69">
        <v>11771</v>
      </c>
      <c r="G191" s="70">
        <v>2208</v>
      </c>
      <c r="H191" s="70">
        <v>9563</v>
      </c>
      <c r="I191" s="71" t="s">
        <v>193</v>
      </c>
      <c r="J191" s="213">
        <f t="shared" si="4"/>
        <v>0.18757964488998385</v>
      </c>
    </row>
    <row r="192" spans="1:10" ht="15" x14ac:dyDescent="0.25">
      <c r="A192" s="66">
        <v>44080</v>
      </c>
      <c r="B192" s="67">
        <v>4979</v>
      </c>
      <c r="C192" s="67">
        <v>703</v>
      </c>
      <c r="D192" s="67">
        <f t="shared" si="0"/>
        <v>4276</v>
      </c>
      <c r="E192" s="68">
        <f t="shared" si="1"/>
        <v>0.14119301064470777</v>
      </c>
      <c r="F192" s="69">
        <v>6622</v>
      </c>
      <c r="G192" s="70">
        <v>1167</v>
      </c>
      <c r="H192" s="70">
        <v>5455</v>
      </c>
      <c r="I192" s="71" t="s">
        <v>194</v>
      </c>
      <c r="J192" s="213">
        <f t="shared" si="4"/>
        <v>0.17623074599818786</v>
      </c>
    </row>
    <row r="193" spans="1:10" ht="15" x14ac:dyDescent="0.25">
      <c r="A193" s="66">
        <v>44081</v>
      </c>
      <c r="B193" s="67">
        <v>12302</v>
      </c>
      <c r="C193" s="67">
        <v>1289</v>
      </c>
      <c r="D193" s="67">
        <f t="shared" si="0"/>
        <v>11013</v>
      </c>
      <c r="E193" s="68">
        <f t="shared" si="1"/>
        <v>0.10477971061615997</v>
      </c>
      <c r="F193" s="69">
        <v>14808</v>
      </c>
      <c r="G193" s="70">
        <v>2427</v>
      </c>
      <c r="H193" s="70">
        <v>12381</v>
      </c>
      <c r="I193" s="71" t="s">
        <v>195</v>
      </c>
      <c r="J193" s="213">
        <f t="shared" si="4"/>
        <v>0.16389789303079416</v>
      </c>
    </row>
    <row r="194" spans="1:10" ht="15" x14ac:dyDescent="0.25">
      <c r="A194" s="66">
        <v>44082</v>
      </c>
      <c r="B194" s="67">
        <v>12891</v>
      </c>
      <c r="C194" s="67">
        <v>1326</v>
      </c>
      <c r="D194" s="67">
        <f t="shared" si="0"/>
        <v>11565</v>
      </c>
      <c r="E194" s="68">
        <f t="shared" si="1"/>
        <v>0.10286246218291832</v>
      </c>
      <c r="F194" s="69">
        <v>14488</v>
      </c>
      <c r="G194" s="70">
        <v>2658</v>
      </c>
      <c r="H194" s="70">
        <v>11830</v>
      </c>
      <c r="I194" s="71" t="s">
        <v>196</v>
      </c>
      <c r="J194" s="213">
        <f t="shared" si="4"/>
        <v>0.18346217559359471</v>
      </c>
    </row>
    <row r="195" spans="1:10" ht="15" x14ac:dyDescent="0.25">
      <c r="A195" s="66">
        <v>44083</v>
      </c>
      <c r="B195" s="67">
        <v>10005</v>
      </c>
      <c r="C195" s="67">
        <v>1102</v>
      </c>
      <c r="D195" s="67">
        <f t="shared" si="0"/>
        <v>8903</v>
      </c>
      <c r="E195" s="68">
        <f t="shared" si="1"/>
        <v>0.11014492753623188</v>
      </c>
      <c r="F195" s="69">
        <v>13666</v>
      </c>
      <c r="G195" s="70">
        <v>2232</v>
      </c>
      <c r="H195" s="70">
        <v>11434</v>
      </c>
      <c r="I195" s="71" t="s">
        <v>188</v>
      </c>
      <c r="J195" s="213">
        <f t="shared" ref="J195:J258" si="5">G195/F195</f>
        <v>0.16332504024586567</v>
      </c>
    </row>
    <row r="196" spans="1:10" ht="15" x14ac:dyDescent="0.25">
      <c r="A196" s="66">
        <v>44084</v>
      </c>
      <c r="B196" s="67">
        <v>12103</v>
      </c>
      <c r="C196" s="67">
        <v>1203</v>
      </c>
      <c r="D196" s="67">
        <f t="shared" si="0"/>
        <v>10900</v>
      </c>
      <c r="E196" s="68">
        <f t="shared" si="1"/>
        <v>9.9396843757746017E-2</v>
      </c>
      <c r="F196" s="69">
        <v>14034</v>
      </c>
      <c r="G196" s="70">
        <v>2476</v>
      </c>
      <c r="H196" s="70">
        <v>11558</v>
      </c>
      <c r="I196" s="71" t="s">
        <v>194</v>
      </c>
      <c r="J196" s="213">
        <f t="shared" si="5"/>
        <v>0.17642867322217473</v>
      </c>
    </row>
    <row r="197" spans="1:10" ht="15" x14ac:dyDescent="0.25">
      <c r="A197" s="66">
        <v>44085</v>
      </c>
      <c r="B197" s="67">
        <v>10311</v>
      </c>
      <c r="C197" s="67">
        <v>1435</v>
      </c>
      <c r="D197" s="67">
        <f t="shared" si="0"/>
        <v>8876</v>
      </c>
      <c r="E197" s="68">
        <f t="shared" si="1"/>
        <v>0.13917175831636117</v>
      </c>
      <c r="F197" s="69">
        <v>13386</v>
      </c>
      <c r="G197" s="70">
        <v>2501</v>
      </c>
      <c r="H197" s="70">
        <v>10885</v>
      </c>
      <c r="I197" s="71" t="s">
        <v>197</v>
      </c>
      <c r="J197" s="213">
        <f t="shared" si="5"/>
        <v>0.18683699387419692</v>
      </c>
    </row>
    <row r="198" spans="1:10" ht="15" x14ac:dyDescent="0.25">
      <c r="A198" s="66">
        <v>44086</v>
      </c>
      <c r="B198" s="67">
        <v>10567</v>
      </c>
      <c r="C198" s="67">
        <v>1702</v>
      </c>
      <c r="D198" s="67">
        <f t="shared" si="0"/>
        <v>8865</v>
      </c>
      <c r="E198" s="68">
        <f t="shared" si="1"/>
        <v>0.16106747421216996</v>
      </c>
      <c r="F198" s="69">
        <v>13078</v>
      </c>
      <c r="G198" s="70">
        <v>2826</v>
      </c>
      <c r="H198" s="70">
        <v>10252</v>
      </c>
      <c r="I198" s="71" t="s">
        <v>198</v>
      </c>
      <c r="J198" s="213">
        <f t="shared" si="5"/>
        <v>0.21608808686343478</v>
      </c>
    </row>
    <row r="199" spans="1:10" ht="15" x14ac:dyDescent="0.25">
      <c r="A199" s="66">
        <v>44087</v>
      </c>
      <c r="B199" s="67">
        <v>5085</v>
      </c>
      <c r="C199" s="67">
        <v>768</v>
      </c>
      <c r="D199" s="67">
        <f t="shared" si="0"/>
        <v>4317</v>
      </c>
      <c r="E199" s="68">
        <f t="shared" si="1"/>
        <v>0.15103244837758112</v>
      </c>
      <c r="F199" s="69">
        <v>7427</v>
      </c>
      <c r="G199" s="70">
        <v>1528</v>
      </c>
      <c r="H199" s="70">
        <v>5899</v>
      </c>
      <c r="I199" s="71" t="s">
        <v>199</v>
      </c>
      <c r="J199" s="213">
        <f t="shared" si="5"/>
        <v>0.20573582873300122</v>
      </c>
    </row>
    <row r="200" spans="1:10" ht="15" x14ac:dyDescent="0.25">
      <c r="A200" s="66">
        <v>44088</v>
      </c>
      <c r="B200" s="67">
        <v>12510</v>
      </c>
      <c r="C200" s="67">
        <v>1263</v>
      </c>
      <c r="D200" s="67">
        <f t="shared" si="0"/>
        <v>11247</v>
      </c>
      <c r="E200" s="68">
        <f t="shared" si="1"/>
        <v>0.10095923261390888</v>
      </c>
      <c r="F200" s="69">
        <v>14901</v>
      </c>
      <c r="G200" s="70">
        <v>3021</v>
      </c>
      <c r="H200" s="70">
        <v>11880</v>
      </c>
      <c r="I200" s="71" t="s">
        <v>200</v>
      </c>
      <c r="J200" s="213">
        <f t="shared" si="5"/>
        <v>0.20273807127038454</v>
      </c>
    </row>
    <row r="201" spans="1:10" ht="15" x14ac:dyDescent="0.25">
      <c r="A201" s="66">
        <v>44089</v>
      </c>
      <c r="B201" s="67">
        <v>8677</v>
      </c>
      <c r="C201" s="67">
        <v>1037</v>
      </c>
      <c r="D201" s="67">
        <f t="shared" si="0"/>
        <v>7640</v>
      </c>
      <c r="E201" s="68">
        <f t="shared" si="1"/>
        <v>0.11951135184971765</v>
      </c>
      <c r="F201" s="69">
        <v>11472</v>
      </c>
      <c r="G201" s="70">
        <v>2074</v>
      </c>
      <c r="H201" s="70">
        <v>9398</v>
      </c>
      <c r="I201" s="71" t="s">
        <v>191</v>
      </c>
      <c r="J201" s="213">
        <f t="shared" si="5"/>
        <v>0.18078800557880056</v>
      </c>
    </row>
    <row r="202" spans="1:10" ht="15" x14ac:dyDescent="0.25">
      <c r="A202" s="66">
        <v>44090</v>
      </c>
      <c r="B202" s="67">
        <v>13090</v>
      </c>
      <c r="C202" s="67">
        <v>1048</v>
      </c>
      <c r="D202" s="67">
        <f t="shared" si="0"/>
        <v>12042</v>
      </c>
      <c r="E202" s="68">
        <f t="shared" si="1"/>
        <v>8.0061115355232998E-2</v>
      </c>
      <c r="F202" s="69">
        <v>15747</v>
      </c>
      <c r="G202" s="70">
        <v>3215</v>
      </c>
      <c r="H202" s="70">
        <v>12532</v>
      </c>
      <c r="I202" s="71" t="s">
        <v>201</v>
      </c>
      <c r="J202" s="213">
        <f t="shared" si="5"/>
        <v>0.20416587286467264</v>
      </c>
    </row>
    <row r="203" spans="1:10" ht="15" x14ac:dyDescent="0.25">
      <c r="A203" s="66">
        <v>44091</v>
      </c>
      <c r="B203" s="67">
        <v>13012</v>
      </c>
      <c r="C203" s="67">
        <v>1403</v>
      </c>
      <c r="D203" s="67">
        <f t="shared" si="0"/>
        <v>11609</v>
      </c>
      <c r="E203" s="68">
        <f t="shared" si="1"/>
        <v>0.10782354749462035</v>
      </c>
      <c r="F203" s="69">
        <v>15665</v>
      </c>
      <c r="G203" s="70">
        <v>2699</v>
      </c>
      <c r="H203" s="70">
        <v>12966</v>
      </c>
      <c r="I203" s="71" t="s">
        <v>202</v>
      </c>
      <c r="J203" s="213">
        <f t="shared" si="5"/>
        <v>0.17229492499202043</v>
      </c>
    </row>
    <row r="204" spans="1:10" ht="15" x14ac:dyDescent="0.25">
      <c r="A204" s="66">
        <v>44092</v>
      </c>
      <c r="B204" s="67">
        <v>13890</v>
      </c>
      <c r="C204" s="67">
        <v>1166</v>
      </c>
      <c r="D204" s="67">
        <f t="shared" si="0"/>
        <v>12724</v>
      </c>
      <c r="E204" s="68">
        <f t="shared" si="1"/>
        <v>8.3945284377249824E-2</v>
      </c>
      <c r="F204" s="69">
        <v>16387</v>
      </c>
      <c r="G204" s="70">
        <v>2842</v>
      </c>
      <c r="H204" s="70">
        <v>13545</v>
      </c>
      <c r="I204" s="71" t="s">
        <v>203</v>
      </c>
      <c r="J204" s="213">
        <f t="shared" si="5"/>
        <v>0.17343015805211448</v>
      </c>
    </row>
    <row r="205" spans="1:10" ht="15" x14ac:dyDescent="0.25">
      <c r="A205" s="66">
        <v>44093</v>
      </c>
      <c r="B205" s="67">
        <v>11118</v>
      </c>
      <c r="C205" s="67">
        <v>1177</v>
      </c>
      <c r="D205" s="67">
        <f t="shared" si="0"/>
        <v>9941</v>
      </c>
      <c r="E205" s="68">
        <f t="shared" si="1"/>
        <v>0.10586436409426156</v>
      </c>
      <c r="F205" s="69">
        <v>14296</v>
      </c>
      <c r="G205" s="70">
        <v>2878</v>
      </c>
      <c r="H205" s="70">
        <v>11418</v>
      </c>
      <c r="I205" s="71" t="s">
        <v>204</v>
      </c>
      <c r="J205" s="213">
        <f t="shared" si="5"/>
        <v>0.20131505316172357</v>
      </c>
    </row>
    <row r="206" spans="1:10" ht="15" x14ac:dyDescent="0.25">
      <c r="A206" s="66">
        <v>44094</v>
      </c>
      <c r="B206" s="67">
        <v>6818</v>
      </c>
      <c r="C206" s="67">
        <v>929</v>
      </c>
      <c r="D206" s="67">
        <f t="shared" si="0"/>
        <v>5889</v>
      </c>
      <c r="E206" s="68">
        <f t="shared" si="1"/>
        <v>0.1362569668524494</v>
      </c>
      <c r="F206" s="69">
        <v>8583</v>
      </c>
      <c r="G206" s="70">
        <v>1824</v>
      </c>
      <c r="H206" s="70">
        <v>6759</v>
      </c>
      <c r="I206" s="71" t="s">
        <v>205</v>
      </c>
      <c r="J206" s="213">
        <f t="shared" si="5"/>
        <v>0.21251310730513806</v>
      </c>
    </row>
    <row r="207" spans="1:10" ht="15" x14ac:dyDescent="0.25">
      <c r="A207" s="66">
        <v>44095</v>
      </c>
      <c r="B207" s="67">
        <v>14050</v>
      </c>
      <c r="C207" s="67">
        <v>1265</v>
      </c>
      <c r="D207" s="67">
        <f t="shared" si="0"/>
        <v>12785</v>
      </c>
      <c r="E207" s="68">
        <f t="shared" si="1"/>
        <v>9.0035587188612098E-2</v>
      </c>
      <c r="F207" s="69">
        <v>17814</v>
      </c>
      <c r="G207" s="70">
        <v>3127</v>
      </c>
      <c r="H207" s="70">
        <v>14687</v>
      </c>
      <c r="I207" s="71" t="s">
        <v>194</v>
      </c>
      <c r="J207" s="213">
        <f t="shared" si="5"/>
        <v>0.17553609520601773</v>
      </c>
    </row>
    <row r="208" spans="1:10" ht="15" x14ac:dyDescent="0.25">
      <c r="A208" s="66">
        <v>44096</v>
      </c>
      <c r="B208" s="67">
        <v>12368</v>
      </c>
      <c r="C208" s="67">
        <v>1187</v>
      </c>
      <c r="D208" s="67">
        <f t="shared" si="0"/>
        <v>11181</v>
      </c>
      <c r="E208" s="68">
        <f t="shared" si="1"/>
        <v>9.5973479948253559E-2</v>
      </c>
      <c r="F208" s="69">
        <v>14999</v>
      </c>
      <c r="G208" s="70">
        <v>2424</v>
      </c>
      <c r="H208" s="70">
        <v>12575</v>
      </c>
      <c r="I208" s="71" t="s">
        <v>206</v>
      </c>
      <c r="J208" s="213">
        <f t="shared" si="5"/>
        <v>0.16161077405160343</v>
      </c>
    </row>
    <row r="209" spans="1:10" ht="15" x14ac:dyDescent="0.25">
      <c r="A209" s="66">
        <v>44097</v>
      </c>
      <c r="B209" s="67">
        <v>12446</v>
      </c>
      <c r="C209" s="67">
        <v>937</v>
      </c>
      <c r="D209" s="67">
        <f t="shared" si="0"/>
        <v>11509</v>
      </c>
      <c r="E209" s="68">
        <f t="shared" si="1"/>
        <v>7.5285232203117461E-2</v>
      </c>
      <c r="F209" s="69">
        <v>15558</v>
      </c>
      <c r="G209" s="70">
        <v>2754</v>
      </c>
      <c r="H209" s="70">
        <v>12804</v>
      </c>
      <c r="I209" s="71" t="s">
        <v>207</v>
      </c>
      <c r="J209" s="213">
        <f t="shared" si="5"/>
        <v>0.17701504049363673</v>
      </c>
    </row>
    <row r="210" spans="1:10" ht="15" x14ac:dyDescent="0.25">
      <c r="A210" s="66">
        <v>44098</v>
      </c>
      <c r="B210" s="67">
        <v>14461</v>
      </c>
      <c r="C210" s="67">
        <v>1199</v>
      </c>
      <c r="D210" s="67">
        <f t="shared" si="0"/>
        <v>13262</v>
      </c>
      <c r="E210" s="68">
        <f t="shared" si="1"/>
        <v>8.2912661641656865E-2</v>
      </c>
      <c r="F210" s="69">
        <v>17423</v>
      </c>
      <c r="G210" s="70">
        <v>2801</v>
      </c>
      <c r="H210" s="70">
        <v>14622</v>
      </c>
      <c r="I210" s="71" t="s">
        <v>208</v>
      </c>
      <c r="J210" s="213">
        <f t="shared" si="5"/>
        <v>0.16076450668656372</v>
      </c>
    </row>
    <row r="211" spans="1:10" ht="15" x14ac:dyDescent="0.25">
      <c r="A211" s="66">
        <v>44099</v>
      </c>
      <c r="B211" s="67">
        <v>13100</v>
      </c>
      <c r="C211" s="67">
        <v>1253</v>
      </c>
      <c r="D211" s="67">
        <f t="shared" si="0"/>
        <v>11847</v>
      </c>
      <c r="E211" s="68">
        <f t="shared" si="1"/>
        <v>9.5648854961832064E-2</v>
      </c>
      <c r="F211" s="69">
        <v>16250</v>
      </c>
      <c r="G211" s="70">
        <v>2814</v>
      </c>
      <c r="H211" s="70">
        <v>13436</v>
      </c>
      <c r="I211" s="71" t="s">
        <v>209</v>
      </c>
      <c r="J211" s="213">
        <f t="shared" si="5"/>
        <v>0.17316923076923077</v>
      </c>
    </row>
    <row r="212" spans="1:10" ht="15" x14ac:dyDescent="0.25">
      <c r="A212" s="66">
        <v>44100</v>
      </c>
      <c r="B212" s="67">
        <v>12736</v>
      </c>
      <c r="C212" s="67">
        <v>1305</v>
      </c>
      <c r="D212" s="67">
        <f t="shared" si="0"/>
        <v>11431</v>
      </c>
      <c r="E212" s="68">
        <f t="shared" si="1"/>
        <v>0.10246545226130653</v>
      </c>
      <c r="F212" s="69">
        <v>15920</v>
      </c>
      <c r="G212" s="70">
        <v>2653</v>
      </c>
      <c r="H212" s="70">
        <v>13267</v>
      </c>
      <c r="I212" s="71" t="s">
        <v>186</v>
      </c>
      <c r="J212" s="213">
        <f t="shared" si="5"/>
        <v>0.16664572864321608</v>
      </c>
    </row>
    <row r="213" spans="1:10" ht="15" x14ac:dyDescent="0.25">
      <c r="A213" s="66">
        <v>44101</v>
      </c>
      <c r="B213" s="67">
        <v>6127</v>
      </c>
      <c r="C213" s="67">
        <v>807</v>
      </c>
      <c r="D213" s="67">
        <f t="shared" si="0"/>
        <v>5320</v>
      </c>
      <c r="E213" s="68">
        <f t="shared" si="1"/>
        <v>0.13171209401011916</v>
      </c>
      <c r="F213" s="69">
        <v>9014</v>
      </c>
      <c r="G213" s="70">
        <v>1724</v>
      </c>
      <c r="H213" s="70">
        <v>7290</v>
      </c>
      <c r="I213" s="71" t="s">
        <v>210</v>
      </c>
      <c r="J213" s="213">
        <f t="shared" si="5"/>
        <v>0.19125804304415353</v>
      </c>
    </row>
    <row r="214" spans="1:10" ht="15" x14ac:dyDescent="0.25">
      <c r="A214" s="66">
        <v>44102</v>
      </c>
      <c r="B214" s="67">
        <v>10211</v>
      </c>
      <c r="C214" s="67">
        <v>1204</v>
      </c>
      <c r="D214" s="67">
        <f t="shared" si="0"/>
        <v>9007</v>
      </c>
      <c r="E214" s="68">
        <f t="shared" si="1"/>
        <v>0.11791205562628537</v>
      </c>
      <c r="F214" s="69">
        <v>13092</v>
      </c>
      <c r="G214" s="70">
        <v>2157</v>
      </c>
      <c r="H214" s="70">
        <v>10935</v>
      </c>
      <c r="I214" s="71" t="s">
        <v>182</v>
      </c>
      <c r="J214" s="213">
        <f t="shared" si="5"/>
        <v>0.16475710357470211</v>
      </c>
    </row>
    <row r="215" spans="1:10" ht="15" x14ac:dyDescent="0.25">
      <c r="A215" s="66">
        <v>44103</v>
      </c>
      <c r="B215" s="67">
        <v>13569</v>
      </c>
      <c r="C215" s="67">
        <v>1253</v>
      </c>
      <c r="D215" s="67">
        <f t="shared" si="0"/>
        <v>12316</v>
      </c>
      <c r="E215" s="68">
        <f t="shared" si="1"/>
        <v>9.2342840297737497E-2</v>
      </c>
      <c r="F215" s="69">
        <v>16962</v>
      </c>
      <c r="G215" s="70">
        <v>2658</v>
      </c>
      <c r="H215" s="70">
        <v>14304</v>
      </c>
      <c r="I215" s="71" t="s">
        <v>211</v>
      </c>
      <c r="J215" s="213">
        <f t="shared" si="5"/>
        <v>0.15670321896002831</v>
      </c>
    </row>
    <row r="216" spans="1:10" ht="15" x14ac:dyDescent="0.25">
      <c r="A216" s="66">
        <v>44104</v>
      </c>
      <c r="B216" s="67">
        <v>11914</v>
      </c>
      <c r="C216" s="67">
        <v>1141</v>
      </c>
      <c r="D216" s="67">
        <f t="shared" si="0"/>
        <v>10773</v>
      </c>
      <c r="E216" s="68">
        <f t="shared" si="1"/>
        <v>9.5769682726204466E-2</v>
      </c>
      <c r="F216" s="69">
        <v>14893</v>
      </c>
      <c r="G216" s="70">
        <v>2607</v>
      </c>
      <c r="H216" s="70">
        <v>12286</v>
      </c>
      <c r="I216" s="71" t="s">
        <v>212</v>
      </c>
      <c r="J216" s="213">
        <f t="shared" si="5"/>
        <v>0.17504868058819581</v>
      </c>
    </row>
    <row r="217" spans="1:10" ht="15" x14ac:dyDescent="0.25">
      <c r="A217" s="66">
        <v>44105</v>
      </c>
      <c r="B217" s="67">
        <v>10648</v>
      </c>
      <c r="C217" s="67">
        <v>1103</v>
      </c>
      <c r="D217" s="67">
        <f t="shared" si="0"/>
        <v>9545</v>
      </c>
      <c r="E217" s="68">
        <f t="shared" si="1"/>
        <v>0.10358752817430503</v>
      </c>
      <c r="F217" s="69">
        <v>13311</v>
      </c>
      <c r="G217" s="70">
        <v>2428</v>
      </c>
      <c r="H217" s="70">
        <v>10883</v>
      </c>
      <c r="I217" s="71" t="s">
        <v>196</v>
      </c>
      <c r="J217" s="213">
        <f t="shared" si="5"/>
        <v>0.18240552926151304</v>
      </c>
    </row>
    <row r="218" spans="1:10" ht="15" x14ac:dyDescent="0.25">
      <c r="A218" s="66">
        <v>44106</v>
      </c>
      <c r="B218" s="67">
        <v>11800</v>
      </c>
      <c r="C218" s="67">
        <v>1110</v>
      </c>
      <c r="D218" s="67">
        <f t="shared" si="0"/>
        <v>10690</v>
      </c>
      <c r="E218" s="68">
        <f t="shared" si="1"/>
        <v>9.4067796610169493E-2</v>
      </c>
      <c r="F218" s="69">
        <v>14750</v>
      </c>
      <c r="G218" s="70">
        <v>2385</v>
      </c>
      <c r="H218" s="70">
        <v>12365</v>
      </c>
      <c r="I218" s="71" t="s">
        <v>206</v>
      </c>
      <c r="J218" s="213">
        <f t="shared" si="5"/>
        <v>0.16169491525423729</v>
      </c>
    </row>
    <row r="219" spans="1:10" ht="15" x14ac:dyDescent="0.25">
      <c r="A219" s="66">
        <v>44107</v>
      </c>
      <c r="B219" s="67">
        <v>11265</v>
      </c>
      <c r="C219" s="67">
        <v>1141</v>
      </c>
      <c r="D219" s="67">
        <f t="shared" si="0"/>
        <v>10124</v>
      </c>
      <c r="E219" s="68">
        <f t="shared" si="1"/>
        <v>0.10128717265867732</v>
      </c>
      <c r="F219" s="69">
        <v>14082</v>
      </c>
      <c r="G219" s="70">
        <v>2562</v>
      </c>
      <c r="H219" s="70">
        <v>11520</v>
      </c>
      <c r="I219" s="71" t="s">
        <v>213</v>
      </c>
      <c r="J219" s="213">
        <f t="shared" si="5"/>
        <v>0.18193438432040904</v>
      </c>
    </row>
    <row r="220" spans="1:10" ht="15" x14ac:dyDescent="0.25">
      <c r="A220" s="66">
        <v>44108</v>
      </c>
      <c r="B220" s="67">
        <v>5066</v>
      </c>
      <c r="C220" s="67">
        <v>696</v>
      </c>
      <c r="D220" s="67">
        <f t="shared" si="0"/>
        <v>4370</v>
      </c>
      <c r="E220" s="68">
        <f t="shared" si="1"/>
        <v>0.13738649822345045</v>
      </c>
      <c r="F220" s="69">
        <v>7514</v>
      </c>
      <c r="G220" s="70">
        <v>1505</v>
      </c>
      <c r="H220" s="70">
        <v>6009</v>
      </c>
      <c r="I220" s="71" t="s">
        <v>204</v>
      </c>
      <c r="J220" s="213">
        <f t="shared" si="5"/>
        <v>0.2002927867979771</v>
      </c>
    </row>
    <row r="221" spans="1:10" ht="15" x14ac:dyDescent="0.25">
      <c r="A221" s="66">
        <v>44109</v>
      </c>
      <c r="B221" s="67">
        <v>10756</v>
      </c>
      <c r="C221" s="67">
        <v>1082</v>
      </c>
      <c r="D221" s="67">
        <f t="shared" si="0"/>
        <v>9674</v>
      </c>
      <c r="E221" s="68">
        <f t="shared" si="1"/>
        <v>0.10059501673484567</v>
      </c>
      <c r="F221" s="69">
        <v>13445</v>
      </c>
      <c r="G221" s="70">
        <v>2434</v>
      </c>
      <c r="H221" s="70">
        <v>11011</v>
      </c>
      <c r="I221" s="71" t="s">
        <v>191</v>
      </c>
      <c r="J221" s="213">
        <f t="shared" si="5"/>
        <v>0.18103384157679434</v>
      </c>
    </row>
    <row r="222" spans="1:10" ht="15" x14ac:dyDescent="0.25">
      <c r="A222" s="66">
        <v>44110</v>
      </c>
      <c r="B222" s="67">
        <v>11702</v>
      </c>
      <c r="C222" s="67">
        <v>1091</v>
      </c>
      <c r="D222" s="67">
        <f t="shared" si="0"/>
        <v>10611</v>
      </c>
      <c r="E222" s="68">
        <f t="shared" si="1"/>
        <v>9.3231926166467277E-2</v>
      </c>
      <c r="F222" s="69">
        <v>14628</v>
      </c>
      <c r="G222" s="70">
        <v>2526</v>
      </c>
      <c r="H222" s="70">
        <v>12102</v>
      </c>
      <c r="I222" s="71" t="s">
        <v>203</v>
      </c>
      <c r="J222" s="213">
        <f t="shared" si="5"/>
        <v>0.17268252666119771</v>
      </c>
    </row>
    <row r="223" spans="1:10" ht="15" x14ac:dyDescent="0.25">
      <c r="A223" s="66">
        <v>44111</v>
      </c>
      <c r="B223" s="67">
        <v>12335</v>
      </c>
      <c r="C223" s="67">
        <v>1140</v>
      </c>
      <c r="D223" s="67">
        <f t="shared" si="0"/>
        <v>11195</v>
      </c>
      <c r="E223" s="68">
        <f t="shared" si="1"/>
        <v>9.2419943250912046E-2</v>
      </c>
      <c r="F223" s="69">
        <v>15419</v>
      </c>
      <c r="G223" s="70">
        <v>2497</v>
      </c>
      <c r="H223" s="70">
        <v>12922</v>
      </c>
      <c r="I223" s="71" t="s">
        <v>206</v>
      </c>
      <c r="J223" s="213">
        <f t="shared" si="5"/>
        <v>0.16194305726700825</v>
      </c>
    </row>
    <row r="224" spans="1:10" ht="15" x14ac:dyDescent="0.25">
      <c r="A224" s="66">
        <v>44112</v>
      </c>
      <c r="B224" s="67">
        <v>12432</v>
      </c>
      <c r="C224" s="67">
        <v>1173</v>
      </c>
      <c r="D224" s="67">
        <f t="shared" si="0"/>
        <v>11259</v>
      </c>
      <c r="E224" s="68">
        <f t="shared" si="1"/>
        <v>9.4353281853281859E-2</v>
      </c>
      <c r="F224" s="69">
        <v>15540</v>
      </c>
      <c r="G224" s="70">
        <v>2154</v>
      </c>
      <c r="H224" s="70">
        <v>13386</v>
      </c>
      <c r="I224" s="71" t="s">
        <v>174</v>
      </c>
      <c r="J224" s="213">
        <f t="shared" si="5"/>
        <v>0.13861003861003862</v>
      </c>
    </row>
    <row r="225" spans="1:10" ht="15" x14ac:dyDescent="0.25">
      <c r="A225" s="66">
        <v>44113</v>
      </c>
      <c r="B225" s="67">
        <v>12421</v>
      </c>
      <c r="C225" s="67">
        <v>1103</v>
      </c>
      <c r="D225" s="67">
        <f t="shared" si="0"/>
        <v>11318</v>
      </c>
      <c r="E225" s="68">
        <f t="shared" si="1"/>
        <v>8.8801223733998874E-2</v>
      </c>
      <c r="F225" s="69">
        <v>15148</v>
      </c>
      <c r="G225" s="70">
        <v>2466</v>
      </c>
      <c r="H225" s="70">
        <v>12682</v>
      </c>
      <c r="I225" s="71" t="s">
        <v>188</v>
      </c>
      <c r="J225" s="213">
        <f t="shared" si="5"/>
        <v>0.16279376815421179</v>
      </c>
    </row>
    <row r="226" spans="1:10" ht="15" x14ac:dyDescent="0.25">
      <c r="A226" s="66">
        <v>44114</v>
      </c>
      <c r="B226" s="67">
        <v>10074</v>
      </c>
      <c r="C226" s="67">
        <v>1117</v>
      </c>
      <c r="D226" s="67">
        <f t="shared" si="0"/>
        <v>8957</v>
      </c>
      <c r="E226" s="68">
        <f t="shared" si="1"/>
        <v>0.11087949176096883</v>
      </c>
      <c r="F226" s="69">
        <v>13636</v>
      </c>
      <c r="G226" s="70">
        <v>1981</v>
      </c>
      <c r="H226" s="70">
        <v>11655</v>
      </c>
      <c r="I226" s="71" t="s">
        <v>214</v>
      </c>
      <c r="J226" s="213">
        <f t="shared" si="5"/>
        <v>0.14527720739219713</v>
      </c>
    </row>
    <row r="227" spans="1:10" ht="15" x14ac:dyDescent="0.25">
      <c r="A227" s="66">
        <v>44115</v>
      </c>
      <c r="B227" s="67">
        <v>7834</v>
      </c>
      <c r="C227" s="67">
        <v>893</v>
      </c>
      <c r="D227" s="67">
        <f t="shared" si="0"/>
        <v>6941</v>
      </c>
      <c r="E227" s="68">
        <f t="shared" si="1"/>
        <v>0.11399029869798315</v>
      </c>
      <c r="F227" s="69">
        <v>9759</v>
      </c>
      <c r="G227" s="70">
        <v>1572</v>
      </c>
      <c r="H227" s="70">
        <v>8187</v>
      </c>
      <c r="I227" s="71" t="s">
        <v>208</v>
      </c>
      <c r="J227" s="213">
        <f t="shared" si="5"/>
        <v>0.16108207808177066</v>
      </c>
    </row>
    <row r="228" spans="1:10" ht="15" x14ac:dyDescent="0.25">
      <c r="A228" s="66">
        <v>44116</v>
      </c>
      <c r="B228" s="67">
        <v>14336</v>
      </c>
      <c r="C228" s="67">
        <v>1612</v>
      </c>
      <c r="D228" s="67">
        <f t="shared" si="0"/>
        <v>12724</v>
      </c>
      <c r="E228" s="68">
        <f t="shared" si="1"/>
        <v>0.11244419642857142</v>
      </c>
      <c r="F228" s="69">
        <v>17483</v>
      </c>
      <c r="G228" s="70">
        <v>2899</v>
      </c>
      <c r="H228" s="70">
        <v>14584</v>
      </c>
      <c r="I228" s="71" t="s">
        <v>215</v>
      </c>
      <c r="J228" s="213">
        <f t="shared" si="5"/>
        <v>0.1658182234170337</v>
      </c>
    </row>
    <row r="229" spans="1:10" ht="15" x14ac:dyDescent="0.25">
      <c r="A229" s="66">
        <v>44117</v>
      </c>
      <c r="B229" s="67">
        <v>12339</v>
      </c>
      <c r="C229" s="67">
        <v>1270</v>
      </c>
      <c r="D229" s="67">
        <f t="shared" si="0"/>
        <v>11069</v>
      </c>
      <c r="E229" s="68">
        <f t="shared" si="1"/>
        <v>0.10292568279439177</v>
      </c>
      <c r="F229" s="69">
        <v>15499</v>
      </c>
      <c r="G229" s="70">
        <v>2378</v>
      </c>
      <c r="H229" s="70">
        <v>13121</v>
      </c>
      <c r="I229" s="71" t="s">
        <v>181</v>
      </c>
      <c r="J229" s="213">
        <f t="shared" si="5"/>
        <v>0.15342925350022582</v>
      </c>
    </row>
    <row r="230" spans="1:10" ht="15" x14ac:dyDescent="0.25">
      <c r="A230" s="66">
        <v>44118</v>
      </c>
      <c r="B230" s="67">
        <v>13165</v>
      </c>
      <c r="C230" s="67">
        <v>1324</v>
      </c>
      <c r="D230" s="67">
        <f t="shared" si="0"/>
        <v>11841</v>
      </c>
      <c r="E230" s="68">
        <f t="shared" si="1"/>
        <v>0.10056969236612229</v>
      </c>
      <c r="F230" s="69">
        <v>16056</v>
      </c>
      <c r="G230" s="70">
        <v>2476</v>
      </c>
      <c r="H230" s="70">
        <v>13580</v>
      </c>
      <c r="I230" s="71" t="s">
        <v>185</v>
      </c>
      <c r="J230" s="213">
        <f t="shared" si="5"/>
        <v>0.15421026407573493</v>
      </c>
    </row>
    <row r="231" spans="1:10" ht="15" x14ac:dyDescent="0.25">
      <c r="A231" s="66">
        <v>44119</v>
      </c>
      <c r="B231" s="67">
        <v>12158</v>
      </c>
      <c r="C231" s="67">
        <v>1101</v>
      </c>
      <c r="D231" s="67">
        <f t="shared" si="0"/>
        <v>11057</v>
      </c>
      <c r="E231" s="68">
        <f t="shared" si="1"/>
        <v>9.0557657509458794E-2</v>
      </c>
      <c r="F231" s="69">
        <v>15114</v>
      </c>
      <c r="G231" s="70">
        <v>2475</v>
      </c>
      <c r="H231" s="70">
        <v>12639</v>
      </c>
      <c r="I231" s="71" t="s">
        <v>195</v>
      </c>
      <c r="J231" s="213">
        <f t="shared" si="5"/>
        <v>0.16375545851528384</v>
      </c>
    </row>
    <row r="232" spans="1:10" ht="15" x14ac:dyDescent="0.25">
      <c r="A232" s="66">
        <v>44120</v>
      </c>
      <c r="B232" s="67">
        <v>9877</v>
      </c>
      <c r="C232" s="67">
        <v>951</v>
      </c>
      <c r="D232" s="67">
        <f t="shared" si="0"/>
        <v>8926</v>
      </c>
      <c r="E232" s="68">
        <f t="shared" si="1"/>
        <v>9.6284296851270629E-2</v>
      </c>
      <c r="F232" s="69">
        <v>12663</v>
      </c>
      <c r="G232" s="70">
        <v>1879</v>
      </c>
      <c r="H232" s="70">
        <v>10784</v>
      </c>
      <c r="I232" s="71" t="s">
        <v>107</v>
      </c>
      <c r="J232" s="213">
        <f t="shared" si="5"/>
        <v>0.14838505883282002</v>
      </c>
    </row>
    <row r="233" spans="1:10" ht="15" x14ac:dyDescent="0.25">
      <c r="A233" s="66">
        <v>44121</v>
      </c>
      <c r="B233" s="67">
        <v>8767</v>
      </c>
      <c r="C233" s="67">
        <v>913</v>
      </c>
      <c r="D233" s="67">
        <f t="shared" si="0"/>
        <v>7854</v>
      </c>
      <c r="E233" s="68">
        <f t="shared" si="1"/>
        <v>0.10414052697616061</v>
      </c>
      <c r="F233" s="69">
        <v>11240</v>
      </c>
      <c r="G233" s="70">
        <v>1952</v>
      </c>
      <c r="H233" s="70">
        <v>9288</v>
      </c>
      <c r="I233" s="71" t="s">
        <v>209</v>
      </c>
      <c r="J233" s="213">
        <f t="shared" si="5"/>
        <v>0.17366548042704627</v>
      </c>
    </row>
    <row r="234" spans="1:10" ht="15" x14ac:dyDescent="0.25">
      <c r="A234" s="66">
        <v>44122</v>
      </c>
      <c r="B234" s="67">
        <v>5785</v>
      </c>
      <c r="C234" s="67">
        <v>667</v>
      </c>
      <c r="D234" s="67">
        <f t="shared" si="0"/>
        <v>5118</v>
      </c>
      <c r="E234" s="68">
        <f t="shared" si="1"/>
        <v>0.1152981849611063</v>
      </c>
      <c r="F234" s="69">
        <v>6963</v>
      </c>
      <c r="G234" s="70">
        <v>979</v>
      </c>
      <c r="H234" s="70">
        <v>5984</v>
      </c>
      <c r="I234" s="71" t="s">
        <v>179</v>
      </c>
      <c r="J234" s="213">
        <f t="shared" si="5"/>
        <v>0.14060031595576619</v>
      </c>
    </row>
    <row r="235" spans="1:10" ht="15" x14ac:dyDescent="0.25">
      <c r="A235" s="66">
        <v>44123</v>
      </c>
      <c r="B235" s="67">
        <v>10070</v>
      </c>
      <c r="C235" s="67">
        <v>899</v>
      </c>
      <c r="D235" s="67">
        <f t="shared" si="0"/>
        <v>9171</v>
      </c>
      <c r="E235" s="68">
        <f t="shared" si="1"/>
        <v>8.9275074478649449E-2</v>
      </c>
      <c r="F235" s="69">
        <v>12588</v>
      </c>
      <c r="G235" s="70">
        <v>1770</v>
      </c>
      <c r="H235" s="70">
        <v>10818</v>
      </c>
      <c r="I235" s="71" t="s">
        <v>179</v>
      </c>
      <c r="J235" s="213">
        <f t="shared" si="5"/>
        <v>0.14061010486177311</v>
      </c>
    </row>
    <row r="236" spans="1:10" ht="15" x14ac:dyDescent="0.25">
      <c r="A236" s="66">
        <v>44124</v>
      </c>
      <c r="B236" s="67">
        <v>10412</v>
      </c>
      <c r="C236" s="67">
        <v>1002</v>
      </c>
      <c r="D236" s="67">
        <f t="shared" si="0"/>
        <v>9410</v>
      </c>
      <c r="E236" s="68">
        <f t="shared" si="1"/>
        <v>9.6235113330772185E-2</v>
      </c>
      <c r="F236" s="69">
        <v>13016</v>
      </c>
      <c r="G236" s="70">
        <v>2008</v>
      </c>
      <c r="H236" s="70">
        <v>11008</v>
      </c>
      <c r="I236" s="71" t="s">
        <v>216</v>
      </c>
      <c r="J236" s="213">
        <f t="shared" si="5"/>
        <v>0.15427166564228642</v>
      </c>
    </row>
    <row r="237" spans="1:10" ht="15" x14ac:dyDescent="0.25">
      <c r="A237" s="66">
        <v>44125</v>
      </c>
      <c r="B237" s="67">
        <v>12520</v>
      </c>
      <c r="C237" s="67">
        <v>1094</v>
      </c>
      <c r="D237" s="67">
        <f t="shared" si="0"/>
        <v>11426</v>
      </c>
      <c r="E237" s="68">
        <f t="shared" si="1"/>
        <v>8.738019169329074E-2</v>
      </c>
      <c r="F237" s="69">
        <v>15651</v>
      </c>
      <c r="G237" s="70">
        <v>2069</v>
      </c>
      <c r="H237" s="70">
        <v>13582</v>
      </c>
      <c r="I237" s="71" t="s">
        <v>127</v>
      </c>
      <c r="J237" s="213">
        <f t="shared" si="5"/>
        <v>0.1321960258130471</v>
      </c>
    </row>
    <row r="238" spans="1:10" ht="15" x14ac:dyDescent="0.25">
      <c r="A238" s="66">
        <v>44126</v>
      </c>
      <c r="B238" s="67">
        <v>10631</v>
      </c>
      <c r="C238" s="67">
        <v>937</v>
      </c>
      <c r="D238" s="67">
        <f t="shared" si="0"/>
        <v>9694</v>
      </c>
      <c r="E238" s="68">
        <f t="shared" si="1"/>
        <v>8.8138462985608124E-2</v>
      </c>
      <c r="F238" s="69">
        <v>13289</v>
      </c>
      <c r="G238" s="70">
        <v>1825</v>
      </c>
      <c r="H238" s="70">
        <v>11464</v>
      </c>
      <c r="I238" s="71" t="s">
        <v>217</v>
      </c>
      <c r="J238" s="213">
        <f t="shared" si="5"/>
        <v>0.13733162766197607</v>
      </c>
    </row>
    <row r="239" spans="1:10" ht="15" x14ac:dyDescent="0.25">
      <c r="A239" s="66">
        <v>44127</v>
      </c>
      <c r="B239" s="67">
        <v>10377</v>
      </c>
      <c r="C239" s="67">
        <v>877</v>
      </c>
      <c r="D239" s="67">
        <f t="shared" si="0"/>
        <v>9500</v>
      </c>
      <c r="E239" s="68">
        <f t="shared" si="1"/>
        <v>8.4513828659535509E-2</v>
      </c>
      <c r="F239" s="69">
        <v>12766</v>
      </c>
      <c r="G239" s="70">
        <v>1941</v>
      </c>
      <c r="H239" s="70">
        <v>10825</v>
      </c>
      <c r="I239" s="71" t="s">
        <v>180</v>
      </c>
      <c r="J239" s="213">
        <f t="shared" si="5"/>
        <v>0.15204449318502272</v>
      </c>
    </row>
    <row r="240" spans="1:10" ht="15" x14ac:dyDescent="0.25">
      <c r="A240" s="66">
        <v>44128</v>
      </c>
      <c r="B240" s="67">
        <v>11012</v>
      </c>
      <c r="C240" s="67">
        <v>1005</v>
      </c>
      <c r="D240" s="67">
        <f t="shared" si="0"/>
        <v>10007</v>
      </c>
      <c r="E240" s="68">
        <f t="shared" si="1"/>
        <v>9.1264075553941157E-2</v>
      </c>
      <c r="F240" s="69">
        <v>13192</v>
      </c>
      <c r="G240" s="70">
        <v>1971</v>
      </c>
      <c r="H240" s="70">
        <v>11221</v>
      </c>
      <c r="I240" s="71" t="s">
        <v>107</v>
      </c>
      <c r="J240" s="213">
        <f t="shared" si="5"/>
        <v>0.14940873256519102</v>
      </c>
    </row>
    <row r="241" spans="1:10" ht="15" x14ac:dyDescent="0.25">
      <c r="A241" s="66">
        <v>44129</v>
      </c>
      <c r="B241" s="67">
        <v>4701</v>
      </c>
      <c r="C241" s="67">
        <v>550</v>
      </c>
      <c r="D241" s="67">
        <f t="shared" si="0"/>
        <v>4151</v>
      </c>
      <c r="E241" s="68">
        <f t="shared" si="1"/>
        <v>0.1169963837481387</v>
      </c>
      <c r="F241" s="69">
        <v>5692</v>
      </c>
      <c r="G241" s="70">
        <v>967</v>
      </c>
      <c r="H241" s="70">
        <v>4725</v>
      </c>
      <c r="I241" s="71" t="s">
        <v>218</v>
      </c>
      <c r="J241" s="213">
        <f t="shared" si="5"/>
        <v>0.16988756148981027</v>
      </c>
    </row>
    <row r="242" spans="1:10" ht="15" x14ac:dyDescent="0.25">
      <c r="A242" s="66">
        <v>44130</v>
      </c>
      <c r="B242" s="67">
        <v>10221</v>
      </c>
      <c r="C242" s="67">
        <v>842</v>
      </c>
      <c r="D242" s="67">
        <f t="shared" si="0"/>
        <v>9379</v>
      </c>
      <c r="E242" s="68">
        <f t="shared" si="1"/>
        <v>8.2379414930045983E-2</v>
      </c>
      <c r="F242" s="69">
        <v>12277</v>
      </c>
      <c r="G242" s="70">
        <v>1620</v>
      </c>
      <c r="H242" s="70">
        <v>10657</v>
      </c>
      <c r="I242" s="71" t="s">
        <v>127</v>
      </c>
      <c r="J242" s="213">
        <f t="shared" si="5"/>
        <v>0.13195406043821781</v>
      </c>
    </row>
    <row r="243" spans="1:10" ht="15" x14ac:dyDescent="0.25">
      <c r="A243" s="66">
        <v>44131</v>
      </c>
      <c r="B243" s="67">
        <v>13815</v>
      </c>
      <c r="C243" s="67">
        <v>981</v>
      </c>
      <c r="D243" s="67">
        <f t="shared" si="0"/>
        <v>12834</v>
      </c>
      <c r="E243" s="68">
        <f t="shared" si="1"/>
        <v>7.1009771986970685E-2</v>
      </c>
      <c r="F243" s="69">
        <v>15433</v>
      </c>
      <c r="G243" s="70">
        <v>2064</v>
      </c>
      <c r="H243" s="70">
        <v>13369</v>
      </c>
      <c r="I243" s="71" t="s">
        <v>175</v>
      </c>
      <c r="J243" s="213">
        <f t="shared" si="5"/>
        <v>0.13373938961964621</v>
      </c>
    </row>
    <row r="244" spans="1:10" ht="15" x14ac:dyDescent="0.25">
      <c r="A244" s="66">
        <v>44132</v>
      </c>
      <c r="B244" s="67">
        <v>10021</v>
      </c>
      <c r="C244" s="67">
        <v>803</v>
      </c>
      <c r="D244" s="67">
        <f t="shared" si="0"/>
        <v>9218</v>
      </c>
      <c r="E244" s="68">
        <f t="shared" si="1"/>
        <v>8.0131723380900105E-2</v>
      </c>
      <c r="F244" s="69">
        <v>12228</v>
      </c>
      <c r="G244" s="70">
        <v>1851</v>
      </c>
      <c r="H244" s="70">
        <v>10377</v>
      </c>
      <c r="I244" s="71" t="s">
        <v>187</v>
      </c>
      <c r="J244" s="213">
        <f t="shared" si="5"/>
        <v>0.15137389597644749</v>
      </c>
    </row>
    <row r="245" spans="1:10" ht="15" x14ac:dyDescent="0.25">
      <c r="A245" s="66">
        <v>44133</v>
      </c>
      <c r="B245" s="67">
        <v>4932</v>
      </c>
      <c r="C245" s="67">
        <v>604</v>
      </c>
      <c r="D245" s="67">
        <f t="shared" si="0"/>
        <v>4328</v>
      </c>
      <c r="E245" s="68">
        <f t="shared" si="1"/>
        <v>0.12246553122465531</v>
      </c>
      <c r="F245" s="69">
        <v>6255</v>
      </c>
      <c r="G245" s="70">
        <v>1072</v>
      </c>
      <c r="H245" s="70">
        <v>5183</v>
      </c>
      <c r="I245" s="71" t="s">
        <v>202</v>
      </c>
      <c r="J245" s="213">
        <f t="shared" si="5"/>
        <v>0.17138289368505197</v>
      </c>
    </row>
    <row r="246" spans="1:10" ht="15" x14ac:dyDescent="0.25">
      <c r="A246" s="66">
        <v>44134</v>
      </c>
      <c r="B246" s="67">
        <v>8870</v>
      </c>
      <c r="C246" s="67">
        <v>665</v>
      </c>
      <c r="D246" s="67">
        <f t="shared" si="0"/>
        <v>8205</v>
      </c>
      <c r="E246" s="68">
        <f t="shared" si="1"/>
        <v>7.4971815107102588E-2</v>
      </c>
      <c r="F246" s="69">
        <v>10395</v>
      </c>
      <c r="G246" s="70">
        <v>1683</v>
      </c>
      <c r="H246" s="70">
        <v>8712</v>
      </c>
      <c r="I246" s="71" t="s">
        <v>188</v>
      </c>
      <c r="J246" s="213">
        <f t="shared" si="5"/>
        <v>0.16190476190476191</v>
      </c>
    </row>
    <row r="247" spans="1:10" ht="15" x14ac:dyDescent="0.25">
      <c r="A247" s="66">
        <v>44135</v>
      </c>
      <c r="B247" s="67">
        <v>7328</v>
      </c>
      <c r="C247" s="67">
        <v>668</v>
      </c>
      <c r="D247" s="67">
        <f t="shared" si="0"/>
        <v>6660</v>
      </c>
      <c r="E247" s="68">
        <f t="shared" si="1"/>
        <v>9.1157205240174677E-2</v>
      </c>
      <c r="F247" s="69">
        <v>9414</v>
      </c>
      <c r="G247" s="70">
        <v>1561</v>
      </c>
      <c r="H247" s="70">
        <v>7853</v>
      </c>
      <c r="I247" s="71" t="s">
        <v>215</v>
      </c>
      <c r="J247" s="213">
        <f t="shared" si="5"/>
        <v>0.16581686849373273</v>
      </c>
    </row>
    <row r="248" spans="1:10" ht="15" x14ac:dyDescent="0.25">
      <c r="A248" s="66">
        <v>44136</v>
      </c>
      <c r="B248" s="67">
        <v>4199</v>
      </c>
      <c r="C248" s="67">
        <v>620</v>
      </c>
      <c r="D248" s="67">
        <f t="shared" si="0"/>
        <v>3579</v>
      </c>
      <c r="E248" s="68">
        <f t="shared" si="1"/>
        <v>0.14765420338175755</v>
      </c>
      <c r="F248" s="69">
        <v>6055</v>
      </c>
      <c r="G248" s="70">
        <v>905</v>
      </c>
      <c r="H248" s="70">
        <v>5150</v>
      </c>
      <c r="I248" s="71" t="s">
        <v>219</v>
      </c>
      <c r="J248" s="213">
        <f t="shared" si="5"/>
        <v>0.1494632535094963</v>
      </c>
    </row>
    <row r="249" spans="1:10" ht="15" x14ac:dyDescent="0.25">
      <c r="A249" s="66">
        <v>44137</v>
      </c>
      <c r="B249" s="67">
        <v>8215</v>
      </c>
      <c r="C249" s="67">
        <v>782</v>
      </c>
      <c r="D249" s="67">
        <f t="shared" si="0"/>
        <v>7433</v>
      </c>
      <c r="E249" s="68">
        <f t="shared" si="1"/>
        <v>9.5191722458916619E-2</v>
      </c>
      <c r="F249" s="69">
        <v>11107</v>
      </c>
      <c r="G249" s="70">
        <v>1398</v>
      </c>
      <c r="H249" s="70">
        <v>9709</v>
      </c>
      <c r="I249" s="71" t="s">
        <v>220</v>
      </c>
      <c r="J249" s="213">
        <f t="shared" si="5"/>
        <v>0.12586657063113352</v>
      </c>
    </row>
    <row r="250" spans="1:10" ht="15" x14ac:dyDescent="0.25">
      <c r="A250" s="66">
        <v>44138</v>
      </c>
      <c r="B250" s="67">
        <v>12127</v>
      </c>
      <c r="C250" s="67">
        <v>1096</v>
      </c>
      <c r="D250" s="67">
        <f t="shared" si="0"/>
        <v>11031</v>
      </c>
      <c r="E250" s="68">
        <f t="shared" si="1"/>
        <v>9.0376845056485522E-2</v>
      </c>
      <c r="F250" s="69">
        <v>14500</v>
      </c>
      <c r="G250" s="70">
        <v>2048</v>
      </c>
      <c r="H250" s="70">
        <v>12452</v>
      </c>
      <c r="I250" s="71" t="s">
        <v>221</v>
      </c>
      <c r="J250" s="213">
        <f t="shared" si="5"/>
        <v>0.14124137931034483</v>
      </c>
    </row>
    <row r="251" spans="1:10" ht="15" x14ac:dyDescent="0.25">
      <c r="A251" s="66">
        <v>44139</v>
      </c>
      <c r="B251" s="67">
        <v>12245</v>
      </c>
      <c r="C251" s="67">
        <v>1205</v>
      </c>
      <c r="D251" s="67">
        <f t="shared" si="0"/>
        <v>11040</v>
      </c>
      <c r="E251" s="68">
        <f t="shared" si="1"/>
        <v>9.8407513270722738E-2</v>
      </c>
      <c r="F251" s="69">
        <v>14246</v>
      </c>
      <c r="G251" s="70">
        <v>1946</v>
      </c>
      <c r="H251" s="70">
        <v>12300</v>
      </c>
      <c r="I251" s="71" t="s">
        <v>222</v>
      </c>
      <c r="J251" s="213">
        <f t="shared" si="5"/>
        <v>0.136599747297487</v>
      </c>
    </row>
    <row r="252" spans="1:10" ht="15" x14ac:dyDescent="0.25">
      <c r="A252" s="66">
        <v>44140</v>
      </c>
      <c r="B252" s="67">
        <v>10271</v>
      </c>
      <c r="C252" s="67">
        <v>1096</v>
      </c>
      <c r="D252" s="67">
        <f t="shared" si="0"/>
        <v>9175</v>
      </c>
      <c r="E252" s="68">
        <f t="shared" si="1"/>
        <v>0.10670820757472495</v>
      </c>
      <c r="F252" s="69">
        <v>12261</v>
      </c>
      <c r="G252" s="70">
        <v>1568</v>
      </c>
      <c r="H252" s="70">
        <v>10693</v>
      </c>
      <c r="I252" s="71" t="s">
        <v>223</v>
      </c>
      <c r="J252" s="213">
        <f t="shared" si="5"/>
        <v>0.1278851643422233</v>
      </c>
    </row>
    <row r="253" spans="1:10" ht="15" x14ac:dyDescent="0.25">
      <c r="A253" s="66">
        <v>44141</v>
      </c>
      <c r="B253" s="67">
        <v>11151</v>
      </c>
      <c r="C253" s="67">
        <v>1069</v>
      </c>
      <c r="D253" s="67">
        <f t="shared" si="0"/>
        <v>10082</v>
      </c>
      <c r="E253" s="68">
        <f t="shared" si="1"/>
        <v>9.5865841628553494E-2</v>
      </c>
      <c r="F253" s="69">
        <v>13591</v>
      </c>
      <c r="G253" s="70">
        <v>1747</v>
      </c>
      <c r="H253" s="70">
        <v>11844</v>
      </c>
      <c r="I253" s="71" t="s">
        <v>117</v>
      </c>
      <c r="J253" s="213">
        <f t="shared" si="5"/>
        <v>0.12854094621440659</v>
      </c>
    </row>
    <row r="254" spans="1:10" ht="15" x14ac:dyDescent="0.25">
      <c r="A254" s="66">
        <v>44142</v>
      </c>
      <c r="B254" s="67">
        <v>10451</v>
      </c>
      <c r="C254" s="67">
        <v>988</v>
      </c>
      <c r="D254" s="67">
        <f t="shared" si="0"/>
        <v>9463</v>
      </c>
      <c r="E254" s="68">
        <f t="shared" si="1"/>
        <v>9.4536407999234517E-2</v>
      </c>
      <c r="F254" s="69">
        <v>12829</v>
      </c>
      <c r="G254" s="70">
        <v>1842</v>
      </c>
      <c r="H254" s="70">
        <v>10987</v>
      </c>
      <c r="I254" s="71" t="s">
        <v>124</v>
      </c>
      <c r="J254" s="213">
        <f t="shared" si="5"/>
        <v>0.14358094941148961</v>
      </c>
    </row>
    <row r="255" spans="1:10" ht="15" x14ac:dyDescent="0.25">
      <c r="A255" s="66">
        <v>44143</v>
      </c>
      <c r="B255" s="67">
        <v>5312</v>
      </c>
      <c r="C255" s="67">
        <v>570</v>
      </c>
      <c r="D255" s="67">
        <f t="shared" si="0"/>
        <v>4742</v>
      </c>
      <c r="E255" s="68">
        <f t="shared" si="1"/>
        <v>0.10730421686746988</v>
      </c>
      <c r="F255" s="69">
        <v>7382</v>
      </c>
      <c r="G255" s="70">
        <v>997</v>
      </c>
      <c r="H255" s="70">
        <v>6385</v>
      </c>
      <c r="I255" s="71" t="s">
        <v>224</v>
      </c>
      <c r="J255" s="213">
        <f t="shared" si="5"/>
        <v>0.13505824979680303</v>
      </c>
    </row>
    <row r="256" spans="1:10" ht="15" x14ac:dyDescent="0.25">
      <c r="A256" s="66">
        <v>44144</v>
      </c>
      <c r="B256" s="67">
        <v>8621</v>
      </c>
      <c r="C256" s="67">
        <v>786</v>
      </c>
      <c r="D256" s="67">
        <f t="shared" si="0"/>
        <v>7835</v>
      </c>
      <c r="E256" s="68">
        <f t="shared" si="1"/>
        <v>9.1172717782159837E-2</v>
      </c>
      <c r="F256" s="69">
        <v>10973</v>
      </c>
      <c r="G256" s="70">
        <v>1510</v>
      </c>
      <c r="H256" s="70">
        <v>9463</v>
      </c>
      <c r="I256" s="71" t="s">
        <v>217</v>
      </c>
      <c r="J256" s="213">
        <f t="shared" si="5"/>
        <v>0.13761049849630913</v>
      </c>
    </row>
    <row r="257" spans="1:10" ht="15" x14ac:dyDescent="0.25">
      <c r="A257" s="66">
        <v>44145</v>
      </c>
      <c r="B257" s="67">
        <v>13812</v>
      </c>
      <c r="C257" s="67">
        <v>1028</v>
      </c>
      <c r="D257" s="67">
        <f t="shared" si="0"/>
        <v>12784</v>
      </c>
      <c r="E257" s="68">
        <f t="shared" si="1"/>
        <v>7.4428033593976248E-2</v>
      </c>
      <c r="F257" s="69">
        <v>15375</v>
      </c>
      <c r="G257" s="70">
        <v>2157</v>
      </c>
      <c r="H257" s="70">
        <v>13218</v>
      </c>
      <c r="I257" s="71" t="s">
        <v>179</v>
      </c>
      <c r="J257" s="213">
        <f t="shared" si="5"/>
        <v>0.14029268292682928</v>
      </c>
    </row>
    <row r="258" spans="1:10" ht="15" x14ac:dyDescent="0.25">
      <c r="A258" s="66">
        <v>44146</v>
      </c>
      <c r="B258" s="67">
        <v>12981</v>
      </c>
      <c r="C258" s="67">
        <v>971</v>
      </c>
      <c r="D258" s="67">
        <f t="shared" si="0"/>
        <v>12010</v>
      </c>
      <c r="E258" s="68">
        <f t="shared" si="1"/>
        <v>7.4801633156151293E-2</v>
      </c>
      <c r="F258" s="69">
        <v>15081</v>
      </c>
      <c r="G258" s="70">
        <v>2296</v>
      </c>
      <c r="H258" s="70">
        <v>12785</v>
      </c>
      <c r="I258" s="71" t="s">
        <v>180</v>
      </c>
      <c r="J258" s="213">
        <f t="shared" si="5"/>
        <v>0.15224454611763147</v>
      </c>
    </row>
    <row r="259" spans="1:10" ht="15" x14ac:dyDescent="0.25">
      <c r="A259" s="66">
        <v>44147</v>
      </c>
      <c r="B259" s="67">
        <v>13451</v>
      </c>
      <c r="C259" s="67">
        <v>1020</v>
      </c>
      <c r="D259" s="67">
        <f t="shared" si="0"/>
        <v>12431</v>
      </c>
      <c r="E259" s="68">
        <f t="shared" si="1"/>
        <v>7.5830793249572523E-2</v>
      </c>
      <c r="F259" s="69">
        <v>15842</v>
      </c>
      <c r="G259" s="70">
        <v>2291</v>
      </c>
      <c r="H259" s="70">
        <v>13551</v>
      </c>
      <c r="I259" s="71" t="s">
        <v>225</v>
      </c>
      <c r="J259" s="213">
        <f t="shared" ref="J259:J322" si="6">G259/F259</f>
        <v>0.14461557884105541</v>
      </c>
    </row>
    <row r="260" spans="1:10" ht="15" x14ac:dyDescent="0.25">
      <c r="A260" s="66">
        <v>44148</v>
      </c>
      <c r="B260" s="67">
        <v>10812</v>
      </c>
      <c r="C260" s="67">
        <v>987</v>
      </c>
      <c r="D260" s="67">
        <f t="shared" si="0"/>
        <v>9825</v>
      </c>
      <c r="E260" s="68">
        <f t="shared" si="1"/>
        <v>9.1287458379578246E-2</v>
      </c>
      <c r="F260" s="69">
        <v>13160</v>
      </c>
      <c r="G260" s="70">
        <v>1802</v>
      </c>
      <c r="H260" s="70">
        <v>11358</v>
      </c>
      <c r="I260" s="71" t="s">
        <v>222</v>
      </c>
      <c r="J260" s="213">
        <f t="shared" si="6"/>
        <v>0.13693009118541033</v>
      </c>
    </row>
    <row r="261" spans="1:10" ht="15" x14ac:dyDescent="0.25">
      <c r="A261" s="66">
        <v>44149</v>
      </c>
      <c r="B261" s="67">
        <v>12651</v>
      </c>
      <c r="C261" s="67">
        <v>949</v>
      </c>
      <c r="D261" s="67">
        <f t="shared" si="0"/>
        <v>11702</v>
      </c>
      <c r="E261" s="68">
        <f t="shared" si="1"/>
        <v>7.5013832898585098E-2</v>
      </c>
      <c r="F261" s="69">
        <v>14553</v>
      </c>
      <c r="G261" s="70">
        <v>2478</v>
      </c>
      <c r="H261" s="70">
        <v>12075</v>
      </c>
      <c r="I261" s="71" t="s">
        <v>218</v>
      </c>
      <c r="J261" s="213">
        <f t="shared" si="6"/>
        <v>0.17027417027417027</v>
      </c>
    </row>
    <row r="262" spans="1:10" ht="15" x14ac:dyDescent="0.25">
      <c r="A262" s="66">
        <v>44150</v>
      </c>
      <c r="B262" s="67">
        <v>8081</v>
      </c>
      <c r="C262" s="67">
        <v>844</v>
      </c>
      <c r="D262" s="67">
        <f t="shared" si="0"/>
        <v>7237</v>
      </c>
      <c r="E262" s="68">
        <f t="shared" si="1"/>
        <v>0.1044425194901621</v>
      </c>
      <c r="F262" s="69">
        <v>9328</v>
      </c>
      <c r="G262" s="70">
        <v>2057</v>
      </c>
      <c r="H262" s="70">
        <v>7271</v>
      </c>
      <c r="I262" s="71" t="s">
        <v>226</v>
      </c>
      <c r="J262" s="213">
        <f t="shared" si="6"/>
        <v>0.22051886792452829</v>
      </c>
    </row>
    <row r="263" spans="1:10" ht="15" x14ac:dyDescent="0.25">
      <c r="A263" s="66">
        <v>44151</v>
      </c>
      <c r="B263" s="67">
        <v>11913</v>
      </c>
      <c r="C263" s="67">
        <v>1158</v>
      </c>
      <c r="D263" s="67">
        <f t="shared" si="0"/>
        <v>10755</v>
      </c>
      <c r="E263" s="68">
        <f t="shared" si="1"/>
        <v>9.7204734323847894E-2</v>
      </c>
      <c r="F263" s="69">
        <v>13717</v>
      </c>
      <c r="G263" s="70">
        <v>2224</v>
      </c>
      <c r="H263" s="70">
        <v>11493</v>
      </c>
      <c r="I263" s="71" t="s">
        <v>206</v>
      </c>
      <c r="J263" s="213">
        <f t="shared" si="6"/>
        <v>0.16213457753153021</v>
      </c>
    </row>
    <row r="264" spans="1:10" ht="15" x14ac:dyDescent="0.25">
      <c r="A264" s="66">
        <v>44152</v>
      </c>
      <c r="B264" s="67">
        <v>14981</v>
      </c>
      <c r="C264" s="67">
        <v>1239</v>
      </c>
      <c r="D264" s="67">
        <f t="shared" si="0"/>
        <v>13742</v>
      </c>
      <c r="E264" s="68">
        <f t="shared" si="1"/>
        <v>8.2704759361858352E-2</v>
      </c>
      <c r="F264" s="69">
        <v>16291</v>
      </c>
      <c r="G264" s="70">
        <v>2769</v>
      </c>
      <c r="H264" s="70">
        <v>13522</v>
      </c>
      <c r="I264" s="71" t="s">
        <v>227</v>
      </c>
      <c r="J264" s="213">
        <f t="shared" si="6"/>
        <v>0.16997114971456634</v>
      </c>
    </row>
    <row r="265" spans="1:10" ht="15" x14ac:dyDescent="0.25">
      <c r="A265" s="66">
        <v>44153</v>
      </c>
      <c r="B265" s="67">
        <v>12891</v>
      </c>
      <c r="C265" s="67">
        <v>1137</v>
      </c>
      <c r="D265" s="67">
        <f t="shared" si="0"/>
        <v>11754</v>
      </c>
      <c r="E265" s="68">
        <f t="shared" si="1"/>
        <v>8.8201070514312307E-2</v>
      </c>
      <c r="F265" s="69">
        <v>14303</v>
      </c>
      <c r="G265" s="70">
        <v>1894</v>
      </c>
      <c r="H265" s="70">
        <v>12409</v>
      </c>
      <c r="I265" s="71" t="s">
        <v>127</v>
      </c>
      <c r="J265" s="213">
        <f t="shared" si="6"/>
        <v>0.13241977207578828</v>
      </c>
    </row>
    <row r="266" spans="1:10" ht="15" x14ac:dyDescent="0.25">
      <c r="A266" s="66">
        <v>44154</v>
      </c>
      <c r="B266" s="67">
        <v>13251</v>
      </c>
      <c r="C266" s="67">
        <v>1205</v>
      </c>
      <c r="D266" s="67">
        <f t="shared" si="0"/>
        <v>12046</v>
      </c>
      <c r="E266" s="68">
        <f t="shared" si="1"/>
        <v>9.0936533091842131E-2</v>
      </c>
      <c r="F266" s="69">
        <v>15251</v>
      </c>
      <c r="G266" s="70">
        <v>2622</v>
      </c>
      <c r="H266" s="70">
        <v>12629</v>
      </c>
      <c r="I266" s="71" t="s">
        <v>202</v>
      </c>
      <c r="J266" s="213">
        <f t="shared" si="6"/>
        <v>0.17192315258015867</v>
      </c>
    </row>
    <row r="267" spans="1:10" ht="15" x14ac:dyDescent="0.25">
      <c r="A267" s="66">
        <v>44155</v>
      </c>
      <c r="B267" s="67">
        <v>13988</v>
      </c>
      <c r="C267" s="67">
        <v>1216</v>
      </c>
      <c r="D267" s="67">
        <f t="shared" si="0"/>
        <v>12772</v>
      </c>
      <c r="E267" s="68">
        <f t="shared" si="1"/>
        <v>8.6931655704889907E-2</v>
      </c>
      <c r="F267" s="69">
        <v>16016</v>
      </c>
      <c r="G267" s="70">
        <v>2918</v>
      </c>
      <c r="H267" s="70">
        <v>13098</v>
      </c>
      <c r="I267" s="71" t="s">
        <v>196</v>
      </c>
      <c r="J267" s="213">
        <f t="shared" si="6"/>
        <v>0.1821928071928072</v>
      </c>
    </row>
    <row r="268" spans="1:10" ht="15" x14ac:dyDescent="0.25">
      <c r="A268" s="66">
        <v>44156</v>
      </c>
      <c r="B268" s="67">
        <v>13781</v>
      </c>
      <c r="C268" s="67">
        <v>1144</v>
      </c>
      <c r="D268" s="67">
        <f t="shared" si="0"/>
        <v>12637</v>
      </c>
      <c r="E268" s="68">
        <f t="shared" si="1"/>
        <v>8.3012843770408531E-2</v>
      </c>
      <c r="F268" s="69">
        <v>15563</v>
      </c>
      <c r="G268" s="70">
        <v>2767</v>
      </c>
      <c r="H268" s="70">
        <v>12796</v>
      </c>
      <c r="I268" s="71" t="s">
        <v>184</v>
      </c>
      <c r="J268" s="213">
        <f t="shared" si="6"/>
        <v>0.17779348454668123</v>
      </c>
    </row>
    <row r="269" spans="1:10" ht="15" x14ac:dyDescent="0.25">
      <c r="A269" s="66">
        <v>44157</v>
      </c>
      <c r="B269" s="67">
        <v>8991</v>
      </c>
      <c r="C269" s="67">
        <v>1009</v>
      </c>
      <c r="D269" s="67">
        <f t="shared" si="0"/>
        <v>7982</v>
      </c>
      <c r="E269" s="68">
        <f t="shared" si="1"/>
        <v>0.11222333444555667</v>
      </c>
      <c r="F269" s="69">
        <v>11111</v>
      </c>
      <c r="G269" s="70">
        <v>1979</v>
      </c>
      <c r="H269" s="70">
        <v>9132</v>
      </c>
      <c r="I269" s="71" t="s">
        <v>184</v>
      </c>
      <c r="J269" s="213">
        <f t="shared" si="6"/>
        <v>0.17811178111781117</v>
      </c>
    </row>
    <row r="270" spans="1:10" ht="15" x14ac:dyDescent="0.25">
      <c r="A270" s="66">
        <v>44158</v>
      </c>
      <c r="B270" s="67">
        <v>14101</v>
      </c>
      <c r="C270" s="67">
        <v>1202</v>
      </c>
      <c r="D270" s="67">
        <f t="shared" si="0"/>
        <v>12899</v>
      </c>
      <c r="E270" s="68">
        <f t="shared" si="1"/>
        <v>8.5242181405574075E-2</v>
      </c>
      <c r="F270" s="69">
        <v>16162</v>
      </c>
      <c r="G270" s="70">
        <v>2445</v>
      </c>
      <c r="H270" s="70">
        <v>13717</v>
      </c>
      <c r="I270" s="71" t="s">
        <v>180</v>
      </c>
      <c r="J270" s="213">
        <f t="shared" si="6"/>
        <v>0.15128078208142556</v>
      </c>
    </row>
    <row r="271" spans="1:10" ht="15" x14ac:dyDescent="0.25">
      <c r="A271" s="66">
        <v>44159</v>
      </c>
      <c r="B271" s="67">
        <v>17871</v>
      </c>
      <c r="C271" s="67">
        <v>1291</v>
      </c>
      <c r="D271" s="67">
        <f t="shared" si="0"/>
        <v>16580</v>
      </c>
      <c r="E271" s="68">
        <f t="shared" si="1"/>
        <v>7.2239941805159191E-2</v>
      </c>
      <c r="F271" s="69">
        <v>20276</v>
      </c>
      <c r="G271" s="70">
        <v>3555</v>
      </c>
      <c r="H271" s="70">
        <v>16721</v>
      </c>
      <c r="I271" s="71" t="s">
        <v>194</v>
      </c>
      <c r="J271" s="213">
        <f t="shared" si="6"/>
        <v>0.17533043992898006</v>
      </c>
    </row>
    <row r="272" spans="1:10" ht="15" x14ac:dyDescent="0.25">
      <c r="A272" s="66">
        <v>44160</v>
      </c>
      <c r="B272" s="67">
        <v>15381</v>
      </c>
      <c r="C272" s="67">
        <v>1124</v>
      </c>
      <c r="D272" s="67">
        <f t="shared" si="0"/>
        <v>14257</v>
      </c>
      <c r="E272" s="68">
        <f t="shared" si="1"/>
        <v>7.3077173135686888E-2</v>
      </c>
      <c r="F272" s="69">
        <v>17836</v>
      </c>
      <c r="G272" s="70">
        <v>3787</v>
      </c>
      <c r="H272" s="70">
        <v>14049</v>
      </c>
      <c r="I272" s="71" t="s">
        <v>228</v>
      </c>
      <c r="J272" s="213">
        <f t="shared" si="6"/>
        <v>0.21232339089481947</v>
      </c>
    </row>
    <row r="273" spans="1:10" ht="15" x14ac:dyDescent="0.25">
      <c r="A273" s="66">
        <v>44161</v>
      </c>
      <c r="B273" s="67">
        <v>15821</v>
      </c>
      <c r="C273" s="67">
        <v>1285</v>
      </c>
      <c r="D273" s="67">
        <f t="shared" si="0"/>
        <v>14536</v>
      </c>
      <c r="E273" s="68">
        <f t="shared" si="1"/>
        <v>8.1221161747045065E-2</v>
      </c>
      <c r="F273" s="69">
        <v>18214</v>
      </c>
      <c r="G273" s="70">
        <v>3469</v>
      </c>
      <c r="H273" s="70">
        <v>14745</v>
      </c>
      <c r="I273" s="71" t="s">
        <v>229</v>
      </c>
      <c r="J273" s="213">
        <f t="shared" si="6"/>
        <v>0.19045788953552212</v>
      </c>
    </row>
    <row r="274" spans="1:10" ht="15" x14ac:dyDescent="0.25">
      <c r="A274" s="66">
        <v>44162</v>
      </c>
      <c r="B274" s="67">
        <v>15122</v>
      </c>
      <c r="C274" s="67">
        <v>1320</v>
      </c>
      <c r="D274" s="67">
        <f t="shared" si="0"/>
        <v>13802</v>
      </c>
      <c r="E274" s="68">
        <f t="shared" si="1"/>
        <v>8.7290040999867743E-2</v>
      </c>
      <c r="F274" s="69">
        <v>17642</v>
      </c>
      <c r="G274" s="70">
        <v>3598</v>
      </c>
      <c r="H274" s="70">
        <v>14044</v>
      </c>
      <c r="I274" s="71" t="s">
        <v>105</v>
      </c>
      <c r="J274" s="213">
        <f t="shared" si="6"/>
        <v>0.20394513093753544</v>
      </c>
    </row>
    <row r="275" spans="1:10" ht="15" x14ac:dyDescent="0.25">
      <c r="A275" s="66">
        <v>44163</v>
      </c>
      <c r="B275" s="67">
        <v>14412</v>
      </c>
      <c r="C275" s="67">
        <v>1140</v>
      </c>
      <c r="D275" s="67">
        <f t="shared" si="0"/>
        <v>13272</v>
      </c>
      <c r="E275" s="68">
        <f t="shared" si="1"/>
        <v>7.9100749375520404E-2</v>
      </c>
      <c r="F275" s="69">
        <v>16473</v>
      </c>
      <c r="G275" s="70">
        <v>3745</v>
      </c>
      <c r="H275" s="70">
        <v>12728</v>
      </c>
      <c r="I275" s="71" t="s">
        <v>230</v>
      </c>
      <c r="J275" s="213">
        <f t="shared" si="6"/>
        <v>0.22734171067807929</v>
      </c>
    </row>
    <row r="276" spans="1:10" ht="15" x14ac:dyDescent="0.25">
      <c r="A276" s="66">
        <v>44164</v>
      </c>
      <c r="B276" s="67">
        <v>7983</v>
      </c>
      <c r="C276" s="67">
        <v>907</v>
      </c>
      <c r="D276" s="67">
        <f t="shared" si="0"/>
        <v>7076</v>
      </c>
      <c r="E276" s="68">
        <f t="shared" si="1"/>
        <v>0.11361643492421396</v>
      </c>
      <c r="F276" s="69">
        <v>10500</v>
      </c>
      <c r="G276" s="70">
        <v>1795</v>
      </c>
      <c r="H276" s="70">
        <v>8705</v>
      </c>
      <c r="I276" s="71" t="s">
        <v>218</v>
      </c>
      <c r="J276" s="213">
        <f t="shared" si="6"/>
        <v>0.17095238095238094</v>
      </c>
    </row>
    <row r="277" spans="1:10" ht="15" x14ac:dyDescent="0.25">
      <c r="A277" s="66">
        <v>44165</v>
      </c>
      <c r="B277" s="67">
        <v>14812</v>
      </c>
      <c r="C277" s="67">
        <v>1218</v>
      </c>
      <c r="D277" s="67">
        <f t="shared" si="0"/>
        <v>13594</v>
      </c>
      <c r="E277" s="68">
        <f t="shared" si="1"/>
        <v>8.2230623818525514E-2</v>
      </c>
      <c r="F277" s="69">
        <v>17275</v>
      </c>
      <c r="G277" s="70">
        <v>2610</v>
      </c>
      <c r="H277" s="70">
        <v>14665</v>
      </c>
      <c r="I277" s="71" t="s">
        <v>187</v>
      </c>
      <c r="J277" s="213">
        <f t="shared" si="6"/>
        <v>0.15108538350217077</v>
      </c>
    </row>
    <row r="278" spans="1:10" ht="15" x14ac:dyDescent="0.25">
      <c r="A278" s="66">
        <v>44166</v>
      </c>
      <c r="B278" s="67">
        <v>17812</v>
      </c>
      <c r="C278" s="67">
        <v>1248</v>
      </c>
      <c r="D278" s="67">
        <f t="shared" si="0"/>
        <v>16564</v>
      </c>
      <c r="E278" s="68">
        <f t="shared" si="1"/>
        <v>7.0065124635077469E-2</v>
      </c>
      <c r="F278" s="69">
        <v>19782</v>
      </c>
      <c r="G278" s="70">
        <v>3568</v>
      </c>
      <c r="H278" s="70">
        <v>16214</v>
      </c>
      <c r="I278" s="71" t="s">
        <v>231</v>
      </c>
      <c r="J278" s="213">
        <f t="shared" si="6"/>
        <v>0.18036598928318673</v>
      </c>
    </row>
    <row r="279" spans="1:10" ht="15" x14ac:dyDescent="0.25">
      <c r="A279" s="66">
        <v>44167</v>
      </c>
      <c r="B279" s="67">
        <v>14211</v>
      </c>
      <c r="C279" s="67">
        <v>1303</v>
      </c>
      <c r="D279" s="67">
        <f t="shared" si="0"/>
        <v>12908</v>
      </c>
      <c r="E279" s="68">
        <f t="shared" si="1"/>
        <v>9.1689536274716765E-2</v>
      </c>
      <c r="F279" s="69">
        <v>16183</v>
      </c>
      <c r="G279" s="70">
        <v>3273</v>
      </c>
      <c r="H279" s="70">
        <v>12910</v>
      </c>
      <c r="I279" s="71" t="s">
        <v>232</v>
      </c>
      <c r="J279" s="213">
        <f t="shared" si="6"/>
        <v>0.20224927392943212</v>
      </c>
    </row>
    <row r="280" spans="1:10" ht="15" x14ac:dyDescent="0.25">
      <c r="A280" s="66">
        <v>44168</v>
      </c>
      <c r="B280" s="67">
        <v>14671</v>
      </c>
      <c r="C280" s="67">
        <v>1232</v>
      </c>
      <c r="D280" s="67">
        <f t="shared" si="0"/>
        <v>13439</v>
      </c>
      <c r="E280" s="68">
        <f t="shared" si="1"/>
        <v>8.3975189148660617E-2</v>
      </c>
      <c r="F280" s="69">
        <v>17106</v>
      </c>
      <c r="G280" s="70">
        <v>3169</v>
      </c>
      <c r="H280" s="70">
        <v>13937</v>
      </c>
      <c r="I280" s="71" t="s">
        <v>233</v>
      </c>
      <c r="J280" s="213">
        <f t="shared" si="6"/>
        <v>0.18525663509879575</v>
      </c>
    </row>
    <row r="281" spans="1:10" ht="15" x14ac:dyDescent="0.25">
      <c r="A281" s="66">
        <v>44169</v>
      </c>
      <c r="B281" s="67">
        <v>16534</v>
      </c>
      <c r="C281" s="67">
        <v>1510</v>
      </c>
      <c r="D281" s="67">
        <f t="shared" si="0"/>
        <v>15024</v>
      </c>
      <c r="E281" s="68">
        <f t="shared" si="1"/>
        <v>9.1326962622474903E-2</v>
      </c>
      <c r="F281" s="69">
        <v>19014</v>
      </c>
      <c r="G281" s="70">
        <v>3444</v>
      </c>
      <c r="H281" s="70">
        <v>15570</v>
      </c>
      <c r="I281" s="71" t="s">
        <v>191</v>
      </c>
      <c r="J281" s="213">
        <f t="shared" si="6"/>
        <v>0.1811296939097507</v>
      </c>
    </row>
    <row r="282" spans="1:10" ht="15" x14ac:dyDescent="0.25">
      <c r="A282" s="66">
        <v>44170</v>
      </c>
      <c r="B282" s="67">
        <v>14671</v>
      </c>
      <c r="C282" s="67">
        <v>1168</v>
      </c>
      <c r="D282" s="67">
        <f t="shared" si="0"/>
        <v>13503</v>
      </c>
      <c r="E282" s="68">
        <f t="shared" si="1"/>
        <v>7.9612841660418515E-2</v>
      </c>
      <c r="F282" s="69">
        <v>17437</v>
      </c>
      <c r="G282" s="70">
        <v>3642</v>
      </c>
      <c r="H282" s="70">
        <v>13795</v>
      </c>
      <c r="I282" s="71" t="s">
        <v>234</v>
      </c>
      <c r="J282" s="213">
        <f t="shared" si="6"/>
        <v>0.20886620404886161</v>
      </c>
    </row>
    <row r="283" spans="1:10" ht="15" x14ac:dyDescent="0.25">
      <c r="A283" s="66">
        <v>44171</v>
      </c>
      <c r="B283" s="67">
        <v>7812</v>
      </c>
      <c r="C283" s="67">
        <v>936</v>
      </c>
      <c r="D283" s="67">
        <f t="shared" si="0"/>
        <v>6876</v>
      </c>
      <c r="E283" s="68">
        <f t="shared" si="1"/>
        <v>0.11981566820276497</v>
      </c>
      <c r="F283" s="69">
        <v>9399</v>
      </c>
      <c r="G283" s="70">
        <v>2358</v>
      </c>
      <c r="H283" s="70">
        <v>7041</v>
      </c>
      <c r="I283" s="71" t="s">
        <v>235</v>
      </c>
      <c r="J283" s="213">
        <f t="shared" si="6"/>
        <v>0.25087775295244175</v>
      </c>
    </row>
    <row r="284" spans="1:10" ht="15" x14ac:dyDescent="0.25">
      <c r="A284" s="66">
        <v>44172</v>
      </c>
      <c r="B284" s="67">
        <v>15711</v>
      </c>
      <c r="C284" s="67">
        <v>1254</v>
      </c>
      <c r="D284" s="67">
        <f t="shared" si="0"/>
        <v>14457</v>
      </c>
      <c r="E284" s="68">
        <f t="shared" si="1"/>
        <v>7.9816688944051944E-2</v>
      </c>
      <c r="F284" s="69">
        <v>17721</v>
      </c>
      <c r="G284" s="70">
        <v>3339</v>
      </c>
      <c r="H284" s="70">
        <v>14382</v>
      </c>
      <c r="I284" s="71" t="s">
        <v>193</v>
      </c>
      <c r="J284" s="213">
        <f t="shared" si="6"/>
        <v>0.18842051802945659</v>
      </c>
    </row>
    <row r="285" spans="1:10" ht="15" x14ac:dyDescent="0.25">
      <c r="A285" s="66">
        <v>44173</v>
      </c>
      <c r="B285" s="67">
        <v>13678</v>
      </c>
      <c r="C285" s="67">
        <v>1352</v>
      </c>
      <c r="D285" s="67">
        <f t="shared" si="0"/>
        <v>12326</v>
      </c>
      <c r="E285" s="68">
        <f t="shared" si="1"/>
        <v>9.8844860359701706E-2</v>
      </c>
      <c r="F285" s="69">
        <v>15915</v>
      </c>
      <c r="G285" s="70">
        <v>3190</v>
      </c>
      <c r="H285" s="70">
        <v>12725</v>
      </c>
      <c r="I285" s="71" t="s">
        <v>204</v>
      </c>
      <c r="J285" s="213">
        <f t="shared" si="6"/>
        <v>0.20043983663210807</v>
      </c>
    </row>
    <row r="286" spans="1:10" ht="15" x14ac:dyDescent="0.25">
      <c r="A286" s="66">
        <v>44174</v>
      </c>
      <c r="B286" s="67">
        <v>15061</v>
      </c>
      <c r="C286" s="67">
        <v>1180</v>
      </c>
      <c r="D286" s="67">
        <f t="shared" si="0"/>
        <v>13881</v>
      </c>
      <c r="E286" s="68">
        <f t="shared" si="1"/>
        <v>7.8348051258216589E-2</v>
      </c>
      <c r="F286" s="69">
        <v>17326</v>
      </c>
      <c r="G286" s="70">
        <v>2692</v>
      </c>
      <c r="H286" s="70">
        <v>14634</v>
      </c>
      <c r="I286" s="71" t="s">
        <v>236</v>
      </c>
      <c r="J286" s="213">
        <f t="shared" si="6"/>
        <v>0.15537342721920813</v>
      </c>
    </row>
    <row r="287" spans="1:10" ht="15" x14ac:dyDescent="0.25">
      <c r="A287" s="66">
        <v>44175</v>
      </c>
      <c r="B287" s="67">
        <v>16712</v>
      </c>
      <c r="C287" s="67">
        <v>1447</v>
      </c>
      <c r="D287" s="67">
        <f t="shared" si="0"/>
        <v>15265</v>
      </c>
      <c r="E287" s="68">
        <f t="shared" si="1"/>
        <v>8.6584490186692203E-2</v>
      </c>
      <c r="F287" s="69">
        <v>19322</v>
      </c>
      <c r="G287" s="70">
        <v>3906</v>
      </c>
      <c r="H287" s="70">
        <v>15416</v>
      </c>
      <c r="I287" s="71" t="s">
        <v>232</v>
      </c>
      <c r="J287" s="213">
        <f t="shared" si="6"/>
        <v>0.20215298623330918</v>
      </c>
    </row>
    <row r="288" spans="1:10" ht="15" x14ac:dyDescent="0.25">
      <c r="A288" s="66">
        <v>44176</v>
      </c>
      <c r="B288" s="67">
        <v>15921</v>
      </c>
      <c r="C288" s="67">
        <v>1346</v>
      </c>
      <c r="D288" s="67">
        <f t="shared" si="0"/>
        <v>14575</v>
      </c>
      <c r="E288" s="68">
        <f t="shared" si="1"/>
        <v>8.4542428239432199E-2</v>
      </c>
      <c r="F288" s="69">
        <v>18042</v>
      </c>
      <c r="G288" s="70">
        <v>3463</v>
      </c>
      <c r="H288" s="70">
        <v>14579</v>
      </c>
      <c r="I288" s="71" t="s">
        <v>229</v>
      </c>
      <c r="J288" s="213">
        <f t="shared" si="6"/>
        <v>0.19194102649373684</v>
      </c>
    </row>
    <row r="289" spans="1:10" ht="15" x14ac:dyDescent="0.25">
      <c r="A289" s="66">
        <v>44177</v>
      </c>
      <c r="B289" s="67">
        <v>12321</v>
      </c>
      <c r="C289" s="67">
        <v>1443</v>
      </c>
      <c r="D289" s="67">
        <f t="shared" si="0"/>
        <v>10878</v>
      </c>
      <c r="E289" s="68">
        <f t="shared" si="1"/>
        <v>0.11711711711711711</v>
      </c>
      <c r="F289" s="69">
        <v>13779</v>
      </c>
      <c r="G289" s="70">
        <v>3152</v>
      </c>
      <c r="H289" s="70">
        <v>10627</v>
      </c>
      <c r="I289" s="71" t="s">
        <v>230</v>
      </c>
      <c r="J289" s="213">
        <f t="shared" si="6"/>
        <v>0.22875390086363306</v>
      </c>
    </row>
    <row r="290" spans="1:10" ht="15" x14ac:dyDescent="0.25">
      <c r="A290" s="66">
        <v>44178</v>
      </c>
      <c r="B290" s="67">
        <v>7121</v>
      </c>
      <c r="C290" s="67">
        <v>1190</v>
      </c>
      <c r="D290" s="67">
        <f t="shared" si="0"/>
        <v>5931</v>
      </c>
      <c r="E290" s="68">
        <f t="shared" si="1"/>
        <v>0.16711136076393765</v>
      </c>
      <c r="F290" s="69">
        <v>9258</v>
      </c>
      <c r="G290" s="70">
        <v>2025</v>
      </c>
      <c r="H290" s="70">
        <v>7233</v>
      </c>
      <c r="I290" s="71" t="s">
        <v>237</v>
      </c>
      <c r="J290" s="213">
        <f t="shared" si="6"/>
        <v>0.21872974724562541</v>
      </c>
    </row>
    <row r="291" spans="1:10" ht="15" x14ac:dyDescent="0.25">
      <c r="A291" s="66">
        <v>44179</v>
      </c>
      <c r="B291" s="67">
        <v>14125</v>
      </c>
      <c r="C291" s="67">
        <v>1407</v>
      </c>
      <c r="D291" s="67">
        <f t="shared" si="0"/>
        <v>12718</v>
      </c>
      <c r="E291" s="68">
        <f t="shared" si="1"/>
        <v>9.9610619469026551E-2</v>
      </c>
      <c r="F291" s="69">
        <v>16536</v>
      </c>
      <c r="G291" s="70">
        <v>3529</v>
      </c>
      <c r="H291" s="70">
        <v>13007</v>
      </c>
      <c r="I291" s="71" t="s">
        <v>228</v>
      </c>
      <c r="J291" s="213">
        <f t="shared" si="6"/>
        <v>0.21341315916787615</v>
      </c>
    </row>
    <row r="292" spans="1:10" ht="15" x14ac:dyDescent="0.25">
      <c r="A292" s="66">
        <v>44180</v>
      </c>
      <c r="B292" s="67">
        <v>16123</v>
      </c>
      <c r="C292" s="67">
        <v>1675</v>
      </c>
      <c r="D292" s="67">
        <f t="shared" si="0"/>
        <v>14448</v>
      </c>
      <c r="E292" s="68">
        <f t="shared" si="1"/>
        <v>0.1038888544315574</v>
      </c>
      <c r="F292" s="69">
        <v>20013</v>
      </c>
      <c r="G292" s="70">
        <v>4117</v>
      </c>
      <c r="H292" s="70">
        <v>15896</v>
      </c>
      <c r="I292" s="71" t="s">
        <v>201</v>
      </c>
      <c r="J292" s="213">
        <f t="shared" si="6"/>
        <v>0.20571628441513015</v>
      </c>
    </row>
    <row r="293" spans="1:10" ht="15" x14ac:dyDescent="0.25">
      <c r="A293" s="66">
        <v>44181</v>
      </c>
      <c r="B293" s="67">
        <v>19211</v>
      </c>
      <c r="C293" s="67">
        <v>1888</v>
      </c>
      <c r="D293" s="67">
        <f t="shared" si="0"/>
        <v>17323</v>
      </c>
      <c r="E293" s="68">
        <f t="shared" si="1"/>
        <v>9.8277028785591594E-2</v>
      </c>
      <c r="F293" s="69">
        <v>21754</v>
      </c>
      <c r="G293" s="70">
        <v>4951</v>
      </c>
      <c r="H293" s="70">
        <v>16803</v>
      </c>
      <c r="I293" s="71" t="s">
        <v>238</v>
      </c>
      <c r="J293" s="213">
        <f t="shared" si="6"/>
        <v>0.2275903282155006</v>
      </c>
    </row>
    <row r="294" spans="1:10" ht="15" x14ac:dyDescent="0.25">
      <c r="A294" s="66">
        <v>44182</v>
      </c>
      <c r="B294" s="67">
        <v>21021</v>
      </c>
      <c r="C294" s="67">
        <v>1952</v>
      </c>
      <c r="D294" s="67">
        <f t="shared" si="0"/>
        <v>19069</v>
      </c>
      <c r="E294" s="68">
        <f t="shared" si="1"/>
        <v>9.2859521430949998E-2</v>
      </c>
      <c r="F294" s="69">
        <v>24343</v>
      </c>
      <c r="G294" s="70">
        <v>4999</v>
      </c>
      <c r="H294" s="70">
        <v>19344</v>
      </c>
      <c r="I294" s="71" t="s">
        <v>201</v>
      </c>
      <c r="J294" s="213">
        <f t="shared" si="6"/>
        <v>0.20535677607525776</v>
      </c>
    </row>
    <row r="295" spans="1:10" ht="15" x14ac:dyDescent="0.25">
      <c r="A295" s="66">
        <v>44183</v>
      </c>
      <c r="B295" s="67">
        <v>18100</v>
      </c>
      <c r="C295" s="67">
        <v>1772</v>
      </c>
      <c r="D295" s="67">
        <f t="shared" si="0"/>
        <v>16328</v>
      </c>
      <c r="E295" s="68">
        <f t="shared" si="1"/>
        <v>9.7900552486187842E-2</v>
      </c>
      <c r="F295" s="69">
        <v>21044</v>
      </c>
      <c r="G295" s="70">
        <v>4292</v>
      </c>
      <c r="H295" s="70">
        <v>16752</v>
      </c>
      <c r="I295" s="71" t="s">
        <v>201</v>
      </c>
      <c r="J295" s="213">
        <f t="shared" si="6"/>
        <v>0.20395362098460368</v>
      </c>
    </row>
    <row r="296" spans="1:10" ht="15" x14ac:dyDescent="0.25">
      <c r="A296" s="66">
        <v>44184</v>
      </c>
      <c r="B296" s="67">
        <v>12812</v>
      </c>
      <c r="C296" s="67">
        <v>1311</v>
      </c>
      <c r="D296" s="67">
        <f t="shared" si="0"/>
        <v>11501</v>
      </c>
      <c r="E296" s="68">
        <f t="shared" si="1"/>
        <v>0.10232594442709959</v>
      </c>
      <c r="F296" s="69">
        <v>14905</v>
      </c>
      <c r="G296" s="70">
        <v>3535</v>
      </c>
      <c r="H296" s="70">
        <v>11370</v>
      </c>
      <c r="I296" s="71" t="s">
        <v>239</v>
      </c>
      <c r="J296" s="213">
        <f t="shared" si="6"/>
        <v>0.23716873532371688</v>
      </c>
    </row>
    <row r="297" spans="1:10" ht="15" x14ac:dyDescent="0.25">
      <c r="A297" s="66">
        <v>44185</v>
      </c>
      <c r="B297" s="67">
        <v>8314</v>
      </c>
      <c r="C297" s="67">
        <v>1151</v>
      </c>
      <c r="D297" s="67">
        <f t="shared" si="0"/>
        <v>7163</v>
      </c>
      <c r="E297" s="68">
        <f t="shared" si="1"/>
        <v>0.13844118354582632</v>
      </c>
      <c r="F297" s="69">
        <v>10298</v>
      </c>
      <c r="G297" s="70">
        <v>2265</v>
      </c>
      <c r="H297" s="70">
        <v>8033</v>
      </c>
      <c r="I297" s="71" t="s">
        <v>240</v>
      </c>
      <c r="J297" s="213">
        <f t="shared" si="6"/>
        <v>0.21994562050883668</v>
      </c>
    </row>
    <row r="298" spans="1:10" ht="15" x14ac:dyDescent="0.25">
      <c r="A298" s="66">
        <v>44186</v>
      </c>
      <c r="B298" s="67">
        <v>17312</v>
      </c>
      <c r="C298" s="67">
        <v>2028</v>
      </c>
      <c r="D298" s="67">
        <f t="shared" si="0"/>
        <v>15284</v>
      </c>
      <c r="E298" s="68">
        <f t="shared" si="1"/>
        <v>0.1171441774491682</v>
      </c>
      <c r="F298" s="69">
        <v>19709</v>
      </c>
      <c r="G298" s="70">
        <v>4368</v>
      </c>
      <c r="H298" s="70">
        <v>15341</v>
      </c>
      <c r="I298" s="71" t="s">
        <v>226</v>
      </c>
      <c r="J298" s="213">
        <f t="shared" si="6"/>
        <v>0.22162463849002995</v>
      </c>
    </row>
    <row r="299" spans="1:10" ht="15" x14ac:dyDescent="0.25">
      <c r="A299" s="66">
        <v>44187</v>
      </c>
      <c r="B299" s="75">
        <v>15524</v>
      </c>
      <c r="C299" s="75">
        <v>1652</v>
      </c>
      <c r="D299" s="67">
        <f t="shared" si="0"/>
        <v>13872</v>
      </c>
      <c r="E299" s="68">
        <f t="shared" si="1"/>
        <v>0.10641587219788715</v>
      </c>
      <c r="F299" s="69">
        <v>18364</v>
      </c>
      <c r="G299" s="70">
        <v>4284</v>
      </c>
      <c r="H299" s="70">
        <v>14080</v>
      </c>
      <c r="I299" s="71" t="s">
        <v>241</v>
      </c>
      <c r="J299" s="213">
        <f t="shared" si="6"/>
        <v>0.23328250925724242</v>
      </c>
    </row>
    <row r="300" spans="1:10" ht="15" x14ac:dyDescent="0.25">
      <c r="A300" s="66">
        <v>44188</v>
      </c>
      <c r="B300" s="74">
        <v>19341</v>
      </c>
      <c r="C300" s="74">
        <v>2070</v>
      </c>
      <c r="D300" s="67">
        <f t="shared" si="0"/>
        <v>17271</v>
      </c>
      <c r="E300" s="68">
        <f t="shared" si="1"/>
        <v>0.10702652396463472</v>
      </c>
      <c r="F300" s="69">
        <v>21881</v>
      </c>
      <c r="G300" s="70">
        <v>5089</v>
      </c>
      <c r="H300" s="70">
        <v>16792</v>
      </c>
      <c r="I300" s="71" t="s">
        <v>241</v>
      </c>
      <c r="J300" s="213">
        <f t="shared" si="6"/>
        <v>0.23257620766875373</v>
      </c>
    </row>
    <row r="301" spans="1:10" ht="15" x14ac:dyDescent="0.25">
      <c r="A301" s="66">
        <v>44189</v>
      </c>
      <c r="B301" s="67">
        <v>18471</v>
      </c>
      <c r="C301" s="67">
        <v>1899</v>
      </c>
      <c r="D301" s="67">
        <f t="shared" si="0"/>
        <v>16572</v>
      </c>
      <c r="E301" s="68">
        <f t="shared" si="1"/>
        <v>0.10280980997238916</v>
      </c>
      <c r="F301" s="69">
        <v>20883</v>
      </c>
      <c r="G301" s="70">
        <v>5119</v>
      </c>
      <c r="H301" s="70">
        <v>15764</v>
      </c>
      <c r="I301" s="71" t="s">
        <v>242</v>
      </c>
      <c r="J301" s="213">
        <f t="shared" si="6"/>
        <v>0.24512761576401859</v>
      </c>
    </row>
    <row r="302" spans="1:10" ht="15" x14ac:dyDescent="0.25">
      <c r="A302" s="66">
        <v>44190</v>
      </c>
      <c r="B302" s="67">
        <v>10882</v>
      </c>
      <c r="C302" s="67">
        <v>1881</v>
      </c>
      <c r="D302" s="67">
        <f t="shared" si="0"/>
        <v>9001</v>
      </c>
      <c r="E302" s="68">
        <f t="shared" si="1"/>
        <v>0.17285425473258592</v>
      </c>
      <c r="F302" s="69">
        <v>12981</v>
      </c>
      <c r="G302" s="70">
        <v>3867</v>
      </c>
      <c r="H302" s="70">
        <v>9114</v>
      </c>
      <c r="I302" s="71" t="s">
        <v>243</v>
      </c>
      <c r="J302" s="213">
        <f t="shared" si="6"/>
        <v>0.2978969262768662</v>
      </c>
    </row>
    <row r="303" spans="1:10" ht="15" x14ac:dyDescent="0.25">
      <c r="A303" s="66">
        <v>44191</v>
      </c>
      <c r="B303" s="67">
        <v>10612</v>
      </c>
      <c r="C303" s="67">
        <v>1531</v>
      </c>
      <c r="D303" s="67">
        <f t="shared" si="0"/>
        <v>9081</v>
      </c>
      <c r="E303" s="68">
        <f t="shared" si="1"/>
        <v>0.14427063701470033</v>
      </c>
      <c r="F303" s="69">
        <v>12836</v>
      </c>
      <c r="G303" s="70">
        <v>3412</v>
      </c>
      <c r="H303" s="70">
        <v>9424</v>
      </c>
      <c r="I303" s="71" t="s">
        <v>244</v>
      </c>
      <c r="J303" s="213">
        <f t="shared" si="6"/>
        <v>0.26581489560610783</v>
      </c>
    </row>
    <row r="304" spans="1:10" ht="15" x14ac:dyDescent="0.25">
      <c r="A304" s="66">
        <v>44192</v>
      </c>
      <c r="B304" s="67">
        <v>10712</v>
      </c>
      <c r="C304" s="67">
        <v>1294</v>
      </c>
      <c r="D304" s="67">
        <f t="shared" si="0"/>
        <v>9418</v>
      </c>
      <c r="E304" s="68">
        <f t="shared" si="1"/>
        <v>0.12079910380881255</v>
      </c>
      <c r="F304" s="69">
        <v>12828</v>
      </c>
      <c r="G304" s="70">
        <v>3539</v>
      </c>
      <c r="H304" s="70">
        <v>9289</v>
      </c>
      <c r="I304" s="71" t="s">
        <v>245</v>
      </c>
      <c r="J304" s="213">
        <f t="shared" si="6"/>
        <v>0.2758808855628313</v>
      </c>
    </row>
    <row r="305" spans="1:10" ht="15" x14ac:dyDescent="0.25">
      <c r="A305" s="66">
        <v>44193</v>
      </c>
      <c r="B305" s="67">
        <v>20216</v>
      </c>
      <c r="C305" s="67">
        <v>2181</v>
      </c>
      <c r="D305" s="67">
        <f t="shared" si="0"/>
        <v>18035</v>
      </c>
      <c r="E305" s="68">
        <f t="shared" si="1"/>
        <v>0.10788484368816779</v>
      </c>
      <c r="F305" s="69">
        <v>22711</v>
      </c>
      <c r="G305" s="70">
        <v>5842</v>
      </c>
      <c r="H305" s="70">
        <v>16869</v>
      </c>
      <c r="I305" s="71" t="s">
        <v>246</v>
      </c>
      <c r="J305" s="213">
        <f t="shared" si="6"/>
        <v>0.25723217823961958</v>
      </c>
    </row>
    <row r="306" spans="1:10" ht="15" x14ac:dyDescent="0.25">
      <c r="A306" s="66">
        <v>44194</v>
      </c>
      <c r="B306" s="67">
        <v>20112</v>
      </c>
      <c r="C306" s="67">
        <v>2547</v>
      </c>
      <c r="D306" s="67">
        <f t="shared" si="0"/>
        <v>17565</v>
      </c>
      <c r="E306" s="68">
        <f t="shared" si="1"/>
        <v>0.12664081145584727</v>
      </c>
      <c r="F306" s="69">
        <v>23008</v>
      </c>
      <c r="G306" s="70">
        <v>6740</v>
      </c>
      <c r="H306" s="70">
        <v>16268</v>
      </c>
      <c r="I306" s="71" t="s">
        <v>247</v>
      </c>
      <c r="J306" s="213">
        <f t="shared" si="6"/>
        <v>0.2929415855354659</v>
      </c>
    </row>
    <row r="307" spans="1:10" ht="15" x14ac:dyDescent="0.25">
      <c r="A307" s="66">
        <v>44195</v>
      </c>
      <c r="B307" s="67">
        <v>19514</v>
      </c>
      <c r="C307" s="67">
        <v>2565</v>
      </c>
      <c r="D307" s="67">
        <f t="shared" si="0"/>
        <v>16949</v>
      </c>
      <c r="E307" s="68">
        <f t="shared" si="1"/>
        <v>0.13144409142154351</v>
      </c>
      <c r="F307" s="69">
        <v>22156</v>
      </c>
      <c r="G307" s="70">
        <v>6529</v>
      </c>
      <c r="H307" s="70">
        <v>15627</v>
      </c>
      <c r="I307" s="71" t="s">
        <v>248</v>
      </c>
      <c r="J307" s="213">
        <f t="shared" si="6"/>
        <v>0.29468315580429683</v>
      </c>
    </row>
    <row r="308" spans="1:10" ht="15" x14ac:dyDescent="0.25">
      <c r="A308" s="66">
        <v>44196</v>
      </c>
      <c r="B308" s="67">
        <v>16718</v>
      </c>
      <c r="C308" s="67">
        <v>2321</v>
      </c>
      <c r="D308" s="67">
        <f t="shared" si="0"/>
        <v>14397</v>
      </c>
      <c r="E308" s="68">
        <f t="shared" si="1"/>
        <v>0.13883239621964349</v>
      </c>
      <c r="F308" s="69">
        <v>18999</v>
      </c>
      <c r="G308" s="70">
        <v>6088</v>
      </c>
      <c r="H308" s="70">
        <v>12911</v>
      </c>
      <c r="I308" s="71" t="s">
        <v>249</v>
      </c>
      <c r="J308" s="213">
        <f t="shared" si="6"/>
        <v>0.32043791778514658</v>
      </c>
    </row>
    <row r="309" spans="1:10" ht="15" x14ac:dyDescent="0.25">
      <c r="A309" s="66">
        <v>44197</v>
      </c>
      <c r="B309" s="67">
        <v>7812</v>
      </c>
      <c r="C309" s="67">
        <v>1281</v>
      </c>
      <c r="D309" s="67">
        <f t="shared" si="0"/>
        <v>6531</v>
      </c>
      <c r="E309" s="68">
        <f t="shared" si="1"/>
        <v>0.16397849462365591</v>
      </c>
      <c r="F309" s="69">
        <v>9703</v>
      </c>
      <c r="G309" s="70">
        <v>3273</v>
      </c>
      <c r="H309" s="70">
        <v>6430</v>
      </c>
      <c r="I309" s="71" t="s">
        <v>250</v>
      </c>
      <c r="J309" s="213">
        <f t="shared" si="6"/>
        <v>0.33731835514789238</v>
      </c>
    </row>
    <row r="310" spans="1:10" ht="15" x14ac:dyDescent="0.25">
      <c r="A310" s="66">
        <v>44198</v>
      </c>
      <c r="B310" s="67">
        <v>12611</v>
      </c>
      <c r="C310" s="67">
        <v>1960</v>
      </c>
      <c r="D310" s="67">
        <f t="shared" si="0"/>
        <v>10651</v>
      </c>
      <c r="E310" s="68">
        <f t="shared" si="1"/>
        <v>0.15541987154071843</v>
      </c>
      <c r="F310" s="69">
        <v>15322</v>
      </c>
      <c r="G310" s="70">
        <v>5195</v>
      </c>
      <c r="H310" s="70">
        <v>10127</v>
      </c>
      <c r="I310" s="71" t="s">
        <v>250</v>
      </c>
      <c r="J310" s="213">
        <f t="shared" si="6"/>
        <v>0.33905495366140193</v>
      </c>
    </row>
    <row r="311" spans="1:10" ht="15" x14ac:dyDescent="0.25">
      <c r="A311" s="66">
        <v>44199</v>
      </c>
      <c r="B311" s="67">
        <v>10391</v>
      </c>
      <c r="C311" s="67">
        <v>1671</v>
      </c>
      <c r="D311" s="67">
        <f t="shared" si="0"/>
        <v>8720</v>
      </c>
      <c r="E311" s="68">
        <f t="shared" si="1"/>
        <v>0.16081224136271774</v>
      </c>
      <c r="F311" s="69">
        <v>12473</v>
      </c>
      <c r="G311" s="70">
        <v>4153</v>
      </c>
      <c r="H311" s="70">
        <v>8320</v>
      </c>
      <c r="I311" s="71" t="s">
        <v>251</v>
      </c>
      <c r="J311" s="213">
        <f t="shared" si="6"/>
        <v>0.33295919185440553</v>
      </c>
    </row>
    <row r="312" spans="1:10" ht="15" x14ac:dyDescent="0.25">
      <c r="A312" s="66">
        <v>44200</v>
      </c>
      <c r="B312" s="67">
        <v>18712</v>
      </c>
      <c r="C312" s="67">
        <v>2186</v>
      </c>
      <c r="D312" s="67">
        <f t="shared" si="0"/>
        <v>16526</v>
      </c>
      <c r="E312" s="68">
        <f t="shared" si="1"/>
        <v>0.11682342881573322</v>
      </c>
      <c r="F312" s="69">
        <v>21065</v>
      </c>
      <c r="G312" s="70">
        <v>6074</v>
      </c>
      <c r="H312" s="70">
        <v>14991</v>
      </c>
      <c r="I312" s="71" t="s">
        <v>252</v>
      </c>
      <c r="J312" s="213">
        <f t="shared" si="6"/>
        <v>0.28834559696178497</v>
      </c>
    </row>
    <row r="313" spans="1:10" ht="15" x14ac:dyDescent="0.25">
      <c r="A313" s="66">
        <v>44201</v>
      </c>
      <c r="B313" s="67">
        <v>19123</v>
      </c>
      <c r="C313" s="67">
        <v>2420</v>
      </c>
      <c r="D313" s="67">
        <f t="shared" si="0"/>
        <v>16703</v>
      </c>
      <c r="E313" s="68">
        <f t="shared" si="1"/>
        <v>0.12654918161376352</v>
      </c>
      <c r="F313" s="69">
        <v>21799</v>
      </c>
      <c r="G313" s="70">
        <v>6628</v>
      </c>
      <c r="H313" s="70">
        <v>15171</v>
      </c>
      <c r="I313" s="71" t="s">
        <v>253</v>
      </c>
      <c r="J313" s="213">
        <f t="shared" si="6"/>
        <v>0.30405064452497821</v>
      </c>
    </row>
    <row r="314" spans="1:10" ht="15" x14ac:dyDescent="0.25">
      <c r="A314" s="66">
        <v>44202</v>
      </c>
      <c r="B314" s="67">
        <v>22131</v>
      </c>
      <c r="C314" s="67">
        <v>2481</v>
      </c>
      <c r="D314" s="67">
        <f t="shared" si="0"/>
        <v>19650</v>
      </c>
      <c r="E314" s="68">
        <f t="shared" si="1"/>
        <v>0.11210519181238986</v>
      </c>
      <c r="F314" s="69">
        <v>24637</v>
      </c>
      <c r="G314" s="70">
        <v>7354</v>
      </c>
      <c r="H314" s="70">
        <v>17283</v>
      </c>
      <c r="I314" s="71" t="s">
        <v>254</v>
      </c>
      <c r="J314" s="213">
        <f t="shared" si="6"/>
        <v>0.29849413483784554</v>
      </c>
    </row>
    <row r="315" spans="1:10" ht="15" x14ac:dyDescent="0.25">
      <c r="A315" s="66">
        <v>44203</v>
      </c>
      <c r="B315" s="67">
        <v>20011</v>
      </c>
      <c r="C315" s="67">
        <v>2834</v>
      </c>
      <c r="D315" s="67">
        <f t="shared" si="0"/>
        <v>17177</v>
      </c>
      <c r="E315" s="68">
        <f t="shared" si="1"/>
        <v>0.14162210784068763</v>
      </c>
      <c r="F315" s="69">
        <v>22622</v>
      </c>
      <c r="G315" s="70">
        <v>7163</v>
      </c>
      <c r="H315" s="70">
        <v>15459</v>
      </c>
      <c r="I315" s="71" t="s">
        <v>255</v>
      </c>
      <c r="J315" s="213">
        <f t="shared" si="6"/>
        <v>0.31663867032092652</v>
      </c>
    </row>
    <row r="316" spans="1:10" ht="15" x14ac:dyDescent="0.25">
      <c r="A316" s="66">
        <v>44204</v>
      </c>
      <c r="B316" s="67">
        <v>20471</v>
      </c>
      <c r="C316" s="67">
        <v>2774</v>
      </c>
      <c r="D316" s="67">
        <f t="shared" si="0"/>
        <v>17697</v>
      </c>
      <c r="E316" s="68">
        <f t="shared" si="1"/>
        <v>0.13550876850178301</v>
      </c>
      <c r="F316" s="69">
        <v>23062</v>
      </c>
      <c r="G316" s="70">
        <v>7184</v>
      </c>
      <c r="H316" s="70">
        <v>15878</v>
      </c>
      <c r="I316" s="71" t="s">
        <v>256</v>
      </c>
      <c r="J316" s="213">
        <f t="shared" si="6"/>
        <v>0.31150810857687972</v>
      </c>
    </row>
    <row r="317" spans="1:10" ht="15" x14ac:dyDescent="0.25">
      <c r="A317" s="66">
        <v>44205</v>
      </c>
      <c r="B317" s="67">
        <v>17512</v>
      </c>
      <c r="C317" s="67">
        <v>2892</v>
      </c>
      <c r="D317" s="67">
        <f t="shared" si="0"/>
        <v>14620</v>
      </c>
      <c r="E317" s="68">
        <f t="shared" si="1"/>
        <v>0.16514390132480586</v>
      </c>
      <c r="F317" s="69">
        <v>19890</v>
      </c>
      <c r="G317" s="70">
        <v>6416</v>
      </c>
      <c r="H317" s="70">
        <v>13474</v>
      </c>
      <c r="I317" s="71" t="s">
        <v>257</v>
      </c>
      <c r="J317" s="213">
        <f t="shared" si="6"/>
        <v>0.32257415786827554</v>
      </c>
    </row>
    <row r="318" spans="1:10" ht="15" x14ac:dyDescent="0.25">
      <c r="A318" s="66">
        <v>44206</v>
      </c>
      <c r="B318" s="67">
        <v>10312</v>
      </c>
      <c r="C318" s="67">
        <v>2346</v>
      </c>
      <c r="D318" s="67">
        <f t="shared" si="0"/>
        <v>7966</v>
      </c>
      <c r="E318" s="68">
        <f t="shared" si="1"/>
        <v>0.22750193948797517</v>
      </c>
      <c r="F318" s="69">
        <v>12390</v>
      </c>
      <c r="G318" s="70">
        <v>4380</v>
      </c>
      <c r="H318" s="70">
        <v>8010</v>
      </c>
      <c r="I318" s="71" t="s">
        <v>258</v>
      </c>
      <c r="J318" s="213">
        <f t="shared" si="6"/>
        <v>0.35351089588377727</v>
      </c>
    </row>
    <row r="319" spans="1:10" ht="15" x14ac:dyDescent="0.25">
      <c r="A319" s="66">
        <v>44207</v>
      </c>
      <c r="B319" s="67">
        <v>14715</v>
      </c>
      <c r="C319" s="67">
        <v>2869</v>
      </c>
      <c r="D319" s="67">
        <f t="shared" si="0"/>
        <v>11846</v>
      </c>
      <c r="E319" s="68">
        <f t="shared" si="1"/>
        <v>0.19497111790689772</v>
      </c>
      <c r="F319" s="69">
        <v>17884</v>
      </c>
      <c r="G319" s="70">
        <v>5609</v>
      </c>
      <c r="H319" s="70">
        <v>12275</v>
      </c>
      <c r="I319" s="71" t="s">
        <v>100</v>
      </c>
      <c r="J319" s="213">
        <f t="shared" si="6"/>
        <v>0.31363229702527401</v>
      </c>
    </row>
    <row r="320" spans="1:10" ht="15" x14ac:dyDescent="0.25">
      <c r="A320" s="66">
        <v>44208</v>
      </c>
      <c r="B320" s="67">
        <v>16312</v>
      </c>
      <c r="C320" s="67">
        <v>3088</v>
      </c>
      <c r="D320" s="67">
        <f t="shared" si="0"/>
        <v>13224</v>
      </c>
      <c r="E320" s="68">
        <f t="shared" si="1"/>
        <v>0.1893084845512506</v>
      </c>
      <c r="F320" s="69">
        <v>19662</v>
      </c>
      <c r="G320" s="70">
        <v>5787</v>
      </c>
      <c r="H320" s="70">
        <v>13875</v>
      </c>
      <c r="I320" s="71" t="s">
        <v>259</v>
      </c>
      <c r="J320" s="213">
        <f t="shared" si="6"/>
        <v>0.29432407689960327</v>
      </c>
    </row>
    <row r="321" spans="1:10" ht="15" x14ac:dyDescent="0.25">
      <c r="A321" s="66">
        <v>44209</v>
      </c>
      <c r="B321" s="67">
        <v>19121</v>
      </c>
      <c r="C321" s="67">
        <v>3214</v>
      </c>
      <c r="D321" s="67">
        <f t="shared" si="0"/>
        <v>15907</v>
      </c>
      <c r="E321" s="68">
        <f t="shared" si="1"/>
        <v>0.16808744312535956</v>
      </c>
      <c r="F321" s="69">
        <v>22305</v>
      </c>
      <c r="G321" s="70">
        <v>6839</v>
      </c>
      <c r="H321" s="70">
        <v>15466</v>
      </c>
      <c r="I321" s="71" t="s">
        <v>260</v>
      </c>
      <c r="J321" s="213">
        <f t="shared" si="6"/>
        <v>0.30661286707016366</v>
      </c>
    </row>
    <row r="322" spans="1:10" ht="15" x14ac:dyDescent="0.25">
      <c r="A322" s="66">
        <v>44210</v>
      </c>
      <c r="B322" s="67">
        <v>20982</v>
      </c>
      <c r="C322" s="67">
        <v>2759</v>
      </c>
      <c r="D322" s="67">
        <f t="shared" si="0"/>
        <v>18223</v>
      </c>
      <c r="E322" s="68">
        <f t="shared" si="1"/>
        <v>0.1314936612334382</v>
      </c>
      <c r="F322" s="69">
        <v>23897</v>
      </c>
      <c r="G322" s="70">
        <v>8169</v>
      </c>
      <c r="H322" s="70">
        <v>15728</v>
      </c>
      <c r="I322" s="71" t="s">
        <v>261</v>
      </c>
      <c r="J322" s="213">
        <f t="shared" si="6"/>
        <v>0.34184207222663932</v>
      </c>
    </row>
    <row r="323" spans="1:10" ht="15" x14ac:dyDescent="0.25">
      <c r="A323" s="66">
        <v>44211</v>
      </c>
      <c r="B323" s="67">
        <v>22812</v>
      </c>
      <c r="C323" s="67">
        <v>3217</v>
      </c>
      <c r="D323" s="67">
        <f t="shared" si="0"/>
        <v>19595</v>
      </c>
      <c r="E323" s="68">
        <f t="shared" si="1"/>
        <v>0.14102226898123796</v>
      </c>
      <c r="F323" s="69">
        <v>25602</v>
      </c>
      <c r="G323" s="70">
        <v>7679</v>
      </c>
      <c r="H323" s="70">
        <v>17923</v>
      </c>
      <c r="I323" s="71" t="s">
        <v>262</v>
      </c>
      <c r="J323" s="213">
        <f t="shared" ref="J323:J386" si="7">G323/F323</f>
        <v>0.29993750488243104</v>
      </c>
    </row>
    <row r="324" spans="1:10" ht="15" x14ac:dyDescent="0.25">
      <c r="A324" s="66">
        <v>44212</v>
      </c>
      <c r="B324" s="67">
        <v>17617</v>
      </c>
      <c r="C324" s="67">
        <v>2559</v>
      </c>
      <c r="D324" s="67">
        <f t="shared" si="0"/>
        <v>15058</v>
      </c>
      <c r="E324" s="68">
        <f t="shared" si="1"/>
        <v>0.14525742180848045</v>
      </c>
      <c r="F324" s="69">
        <v>20260</v>
      </c>
      <c r="G324" s="70">
        <v>6842</v>
      </c>
      <c r="H324" s="70">
        <v>13418</v>
      </c>
      <c r="I324" s="71" t="s">
        <v>263</v>
      </c>
      <c r="J324" s="213">
        <f t="shared" si="7"/>
        <v>0.33770977295162885</v>
      </c>
    </row>
    <row r="325" spans="1:10" ht="15" x14ac:dyDescent="0.25">
      <c r="A325" s="66">
        <v>44213</v>
      </c>
      <c r="B325" s="67">
        <v>12813</v>
      </c>
      <c r="C325" s="67">
        <v>2361</v>
      </c>
      <c r="D325" s="67">
        <f t="shared" si="0"/>
        <v>10452</v>
      </c>
      <c r="E325" s="68">
        <f t="shared" si="1"/>
        <v>0.18426597986420043</v>
      </c>
      <c r="F325" s="69">
        <v>14991</v>
      </c>
      <c r="G325" s="70">
        <v>5254</v>
      </c>
      <c r="H325" s="70">
        <v>9737</v>
      </c>
      <c r="I325" s="71" t="s">
        <v>264</v>
      </c>
      <c r="J325" s="213">
        <f t="shared" si="7"/>
        <v>0.35047695283836972</v>
      </c>
    </row>
    <row r="326" spans="1:10" ht="15" x14ac:dyDescent="0.25">
      <c r="A326" s="66">
        <v>44214</v>
      </c>
      <c r="B326" s="67">
        <v>20101</v>
      </c>
      <c r="C326" s="67">
        <v>2839</v>
      </c>
      <c r="D326" s="67">
        <f t="shared" si="0"/>
        <v>17262</v>
      </c>
      <c r="E326" s="68">
        <f t="shared" si="1"/>
        <v>0.14123675439032884</v>
      </c>
      <c r="F326" s="69">
        <v>23667</v>
      </c>
      <c r="G326" s="70">
        <v>7974</v>
      </c>
      <c r="H326" s="70">
        <v>15693</v>
      </c>
      <c r="I326" s="71" t="s">
        <v>265</v>
      </c>
      <c r="J326" s="213">
        <f t="shared" si="7"/>
        <v>0.33692483204461909</v>
      </c>
    </row>
    <row r="327" spans="1:10" ht="15" x14ac:dyDescent="0.25">
      <c r="A327" s="66">
        <v>44215</v>
      </c>
      <c r="B327" s="67">
        <v>20812</v>
      </c>
      <c r="C327" s="67">
        <v>3126</v>
      </c>
      <c r="D327" s="67">
        <f t="shared" si="0"/>
        <v>17686</v>
      </c>
      <c r="E327" s="68">
        <f t="shared" si="1"/>
        <v>0.15020180665000962</v>
      </c>
      <c r="F327" s="69">
        <v>23628</v>
      </c>
      <c r="G327" s="70">
        <v>7273</v>
      </c>
      <c r="H327" s="70">
        <v>16355</v>
      </c>
      <c r="I327" s="71" t="s">
        <v>260</v>
      </c>
      <c r="J327" s="213">
        <f t="shared" si="7"/>
        <v>0.30781276451667511</v>
      </c>
    </row>
    <row r="328" spans="1:10" ht="15" x14ac:dyDescent="0.25">
      <c r="A328" s="66">
        <v>44216</v>
      </c>
      <c r="B328" s="67">
        <v>23411</v>
      </c>
      <c r="C328" s="67">
        <v>3174</v>
      </c>
      <c r="D328" s="67">
        <f t="shared" si="0"/>
        <v>20237</v>
      </c>
      <c r="E328" s="68">
        <f t="shared" si="1"/>
        <v>0.13557729272564178</v>
      </c>
      <c r="F328" s="69">
        <v>25681</v>
      </c>
      <c r="G328" s="70">
        <v>7942</v>
      </c>
      <c r="H328" s="70">
        <v>17739</v>
      </c>
      <c r="I328" s="71" t="s">
        <v>266</v>
      </c>
      <c r="J328" s="213">
        <f t="shared" si="7"/>
        <v>0.30925587009851641</v>
      </c>
    </row>
    <row r="329" spans="1:10" ht="15" x14ac:dyDescent="0.25">
      <c r="A329" s="66">
        <v>44217</v>
      </c>
      <c r="B329" s="67">
        <v>24312</v>
      </c>
      <c r="C329" s="67">
        <v>3719</v>
      </c>
      <c r="D329" s="67">
        <f t="shared" si="0"/>
        <v>20593</v>
      </c>
      <c r="E329" s="68">
        <f t="shared" si="1"/>
        <v>0.15296972688384336</v>
      </c>
      <c r="F329" s="69">
        <v>26971</v>
      </c>
      <c r="G329" s="70">
        <v>8889</v>
      </c>
      <c r="H329" s="70">
        <v>18082</v>
      </c>
      <c r="I329" s="71" t="s">
        <v>251</v>
      </c>
      <c r="J329" s="213">
        <f t="shared" si="7"/>
        <v>0.32957621148641131</v>
      </c>
    </row>
    <row r="330" spans="1:10" ht="15" x14ac:dyDescent="0.25">
      <c r="A330" s="66">
        <v>44218</v>
      </c>
      <c r="B330" s="67">
        <v>22812</v>
      </c>
      <c r="C330" s="67">
        <v>3350</v>
      </c>
      <c r="D330" s="67">
        <f t="shared" si="0"/>
        <v>19462</v>
      </c>
      <c r="E330" s="68">
        <f t="shared" si="1"/>
        <v>0.14685253375416449</v>
      </c>
      <c r="F330" s="69">
        <v>25936</v>
      </c>
      <c r="G330" s="70">
        <v>8708</v>
      </c>
      <c r="H330" s="70">
        <v>17228</v>
      </c>
      <c r="I330" s="71" t="s">
        <v>267</v>
      </c>
      <c r="J330" s="213">
        <f t="shared" si="7"/>
        <v>0.33574953732264035</v>
      </c>
    </row>
    <row r="331" spans="1:10" ht="15" x14ac:dyDescent="0.25">
      <c r="A331" s="66">
        <v>44219</v>
      </c>
      <c r="B331" s="67">
        <v>18612</v>
      </c>
      <c r="C331" s="67">
        <v>3612</v>
      </c>
      <c r="D331" s="67">
        <f t="shared" si="0"/>
        <v>15000</v>
      </c>
      <c r="E331" s="68">
        <f t="shared" si="1"/>
        <v>0.19406834300451323</v>
      </c>
      <c r="F331" s="69">
        <v>21451</v>
      </c>
      <c r="G331" s="70">
        <v>7621</v>
      </c>
      <c r="H331" s="70">
        <v>13830</v>
      </c>
      <c r="I331" s="71" t="s">
        <v>268</v>
      </c>
      <c r="J331" s="213">
        <f t="shared" si="7"/>
        <v>0.35527481236306002</v>
      </c>
    </row>
    <row r="332" spans="1:10" ht="15" x14ac:dyDescent="0.25">
      <c r="A332" s="66">
        <v>44220</v>
      </c>
      <c r="B332" s="67">
        <v>16788</v>
      </c>
      <c r="C332" s="67">
        <v>2572</v>
      </c>
      <c r="D332" s="67">
        <f t="shared" si="0"/>
        <v>14216</v>
      </c>
      <c r="E332" s="68">
        <f t="shared" si="1"/>
        <v>0.15320467000238266</v>
      </c>
      <c r="F332" s="69">
        <v>19348</v>
      </c>
      <c r="G332" s="70">
        <v>6040</v>
      </c>
      <c r="H332" s="70">
        <v>13308</v>
      </c>
      <c r="I332" s="71" t="s">
        <v>269</v>
      </c>
      <c r="J332" s="213">
        <f t="shared" si="7"/>
        <v>0.31217696919578253</v>
      </c>
    </row>
    <row r="333" spans="1:10" ht="15" x14ac:dyDescent="0.25">
      <c r="A333" s="66">
        <v>44221</v>
      </c>
      <c r="B333" s="67">
        <v>17812</v>
      </c>
      <c r="C333" s="67">
        <v>2038</v>
      </c>
      <c r="D333" s="67">
        <f t="shared" si="0"/>
        <v>15774</v>
      </c>
      <c r="E333" s="68">
        <f t="shared" si="1"/>
        <v>0.11441724679991017</v>
      </c>
      <c r="F333" s="69">
        <v>20197</v>
      </c>
      <c r="G333" s="70">
        <v>6831</v>
      </c>
      <c r="H333" s="70">
        <v>13366</v>
      </c>
      <c r="I333" s="71" t="s">
        <v>265</v>
      </c>
      <c r="J333" s="213">
        <f t="shared" si="7"/>
        <v>0.3382185473090063</v>
      </c>
    </row>
    <row r="334" spans="1:10" ht="15" x14ac:dyDescent="0.25">
      <c r="A334" s="66">
        <v>44222</v>
      </c>
      <c r="B334" s="67">
        <v>19012</v>
      </c>
      <c r="C334" s="67">
        <v>2136</v>
      </c>
      <c r="D334" s="67">
        <f t="shared" si="0"/>
        <v>16876</v>
      </c>
      <c r="E334" s="68">
        <f t="shared" si="1"/>
        <v>0.11235009467704607</v>
      </c>
      <c r="F334" s="69">
        <v>21556</v>
      </c>
      <c r="G334" s="70">
        <v>6146</v>
      </c>
      <c r="H334" s="70">
        <v>15410</v>
      </c>
      <c r="I334" s="71" t="s">
        <v>270</v>
      </c>
      <c r="J334" s="213">
        <f t="shared" si="7"/>
        <v>0.28511783262200779</v>
      </c>
    </row>
    <row r="335" spans="1:10" ht="15" x14ac:dyDescent="0.25">
      <c r="A335" s="66">
        <v>44223</v>
      </c>
      <c r="B335" s="67">
        <v>20188</v>
      </c>
      <c r="C335" s="67">
        <v>3026</v>
      </c>
      <c r="D335" s="67">
        <f t="shared" si="0"/>
        <v>17162</v>
      </c>
      <c r="E335" s="68">
        <f t="shared" si="1"/>
        <v>0.14989102437091342</v>
      </c>
      <c r="F335" s="69">
        <v>24620</v>
      </c>
      <c r="G335" s="70">
        <v>7222</v>
      </c>
      <c r="H335" s="70">
        <v>17398</v>
      </c>
      <c r="I335" s="71" t="s">
        <v>247</v>
      </c>
      <c r="J335" s="213">
        <f t="shared" si="7"/>
        <v>0.29333874898456541</v>
      </c>
    </row>
    <row r="336" spans="1:10" ht="15" x14ac:dyDescent="0.25">
      <c r="A336" s="66">
        <v>44224</v>
      </c>
      <c r="B336" s="67">
        <v>21923</v>
      </c>
      <c r="C336" s="67">
        <v>3143</v>
      </c>
      <c r="D336" s="67">
        <f t="shared" si="0"/>
        <v>18780</v>
      </c>
      <c r="E336" s="68">
        <f t="shared" si="1"/>
        <v>0.14336541531724672</v>
      </c>
      <c r="F336" s="69">
        <v>24617</v>
      </c>
      <c r="G336" s="70">
        <v>6443</v>
      </c>
      <c r="H336" s="70">
        <v>18174</v>
      </c>
      <c r="I336" s="71" t="s">
        <v>271</v>
      </c>
      <c r="J336" s="213">
        <f t="shared" si="7"/>
        <v>0.2617296989885039</v>
      </c>
    </row>
    <row r="337" spans="1:10" ht="15" x14ac:dyDescent="0.25">
      <c r="A337" s="66">
        <v>44225</v>
      </c>
      <c r="B337" s="67">
        <v>20312</v>
      </c>
      <c r="C337" s="67">
        <v>3160</v>
      </c>
      <c r="D337" s="67">
        <f t="shared" si="0"/>
        <v>17152</v>
      </c>
      <c r="E337" s="68">
        <f t="shared" si="1"/>
        <v>0.15557306025994486</v>
      </c>
      <c r="F337" s="69">
        <v>23326</v>
      </c>
      <c r="G337" s="70">
        <v>6774</v>
      </c>
      <c r="H337" s="70">
        <v>16552</v>
      </c>
      <c r="I337" s="71" t="s">
        <v>272</v>
      </c>
      <c r="J337" s="213">
        <f t="shared" si="7"/>
        <v>0.29040555603189572</v>
      </c>
    </row>
    <row r="338" spans="1:10" ht="15" x14ac:dyDescent="0.25">
      <c r="A338" s="66">
        <v>44226</v>
      </c>
      <c r="B338" s="67">
        <v>18451</v>
      </c>
      <c r="C338" s="67">
        <v>3474</v>
      </c>
      <c r="D338" s="67">
        <f t="shared" si="0"/>
        <v>14977</v>
      </c>
      <c r="E338" s="68">
        <f t="shared" si="1"/>
        <v>0.18828247791447619</v>
      </c>
      <c r="F338" s="69">
        <v>20888</v>
      </c>
      <c r="G338" s="70">
        <v>6207</v>
      </c>
      <c r="H338" s="70">
        <v>14681</v>
      </c>
      <c r="I338" s="71" t="s">
        <v>273</v>
      </c>
      <c r="J338" s="213">
        <f t="shared" si="7"/>
        <v>0.2971562619685944</v>
      </c>
    </row>
    <row r="339" spans="1:10" ht="15" x14ac:dyDescent="0.25">
      <c r="A339" s="66">
        <v>44227</v>
      </c>
      <c r="B339" s="67">
        <v>10312</v>
      </c>
      <c r="C339" s="67">
        <v>3102</v>
      </c>
      <c r="D339" s="67">
        <f t="shared" si="0"/>
        <v>7210</v>
      </c>
      <c r="E339" s="68">
        <f t="shared" si="1"/>
        <v>0.3008145849495733</v>
      </c>
      <c r="F339" s="69">
        <v>12494</v>
      </c>
      <c r="G339" s="70">
        <v>4101</v>
      </c>
      <c r="H339" s="70">
        <v>8393</v>
      </c>
      <c r="I339" s="71" t="s">
        <v>274</v>
      </c>
      <c r="J339" s="213">
        <f t="shared" si="7"/>
        <v>0.32823755402593247</v>
      </c>
    </row>
    <row r="340" spans="1:10" ht="15" x14ac:dyDescent="0.25">
      <c r="A340" s="66">
        <v>44228</v>
      </c>
      <c r="B340" s="67">
        <v>16217</v>
      </c>
      <c r="C340" s="67">
        <v>3362</v>
      </c>
      <c r="D340" s="67">
        <f t="shared" si="0"/>
        <v>12855</v>
      </c>
      <c r="E340" s="68">
        <f t="shared" si="1"/>
        <v>0.20731331318986249</v>
      </c>
      <c r="F340" s="69">
        <v>18852</v>
      </c>
      <c r="G340" s="70">
        <v>5389</v>
      </c>
      <c r="H340" s="70">
        <v>13463</v>
      </c>
      <c r="I340" s="71" t="s">
        <v>275</v>
      </c>
      <c r="J340" s="213">
        <f t="shared" si="7"/>
        <v>0.28585826437513262</v>
      </c>
    </row>
    <row r="341" spans="1:10" ht="15" x14ac:dyDescent="0.25">
      <c r="A341" s="66">
        <v>44229</v>
      </c>
      <c r="B341" s="76">
        <v>18121</v>
      </c>
      <c r="C341" s="76">
        <v>3567</v>
      </c>
      <c r="D341" s="76">
        <f t="shared" si="0"/>
        <v>14554</v>
      </c>
      <c r="E341" s="77">
        <f t="shared" si="1"/>
        <v>0.19684344131118592</v>
      </c>
      <c r="F341" s="69">
        <v>21193</v>
      </c>
      <c r="G341" s="70">
        <v>6480</v>
      </c>
      <c r="H341" s="70">
        <v>14713</v>
      </c>
      <c r="I341" s="71" t="s">
        <v>276</v>
      </c>
      <c r="J341" s="213">
        <f t="shared" si="7"/>
        <v>0.30576133629028451</v>
      </c>
    </row>
    <row r="342" spans="1:10" ht="15" x14ac:dyDescent="0.25">
      <c r="A342" s="66">
        <v>44230</v>
      </c>
      <c r="B342" s="76">
        <v>17875</v>
      </c>
      <c r="C342" s="76">
        <v>3632</v>
      </c>
      <c r="D342" s="76">
        <f t="shared" si="0"/>
        <v>14243</v>
      </c>
      <c r="E342" s="77">
        <f t="shared" si="1"/>
        <v>0.20318881118881119</v>
      </c>
      <c r="F342" s="69">
        <v>21030</v>
      </c>
      <c r="G342" s="70">
        <v>5793</v>
      </c>
      <c r="H342" s="70">
        <v>15237</v>
      </c>
      <c r="I342" s="71" t="s">
        <v>277</v>
      </c>
      <c r="J342" s="213">
        <f t="shared" si="7"/>
        <v>0.27546362339514979</v>
      </c>
    </row>
    <row r="343" spans="1:10" ht="15" x14ac:dyDescent="0.25">
      <c r="A343" s="66">
        <v>44231</v>
      </c>
      <c r="B343" s="76">
        <v>19593</v>
      </c>
      <c r="C343" s="76">
        <v>3340</v>
      </c>
      <c r="D343" s="76">
        <f t="shared" si="0"/>
        <v>16253</v>
      </c>
      <c r="E343" s="77">
        <f t="shared" si="1"/>
        <v>0.1704690450671158</v>
      </c>
      <c r="F343" s="69">
        <v>22522</v>
      </c>
      <c r="G343" s="70">
        <v>6344</v>
      </c>
      <c r="H343" s="70">
        <v>16178</v>
      </c>
      <c r="I343" s="71" t="s">
        <v>278</v>
      </c>
      <c r="J343" s="213">
        <f t="shared" si="7"/>
        <v>0.28168013497913152</v>
      </c>
    </row>
    <row r="344" spans="1:10" ht="15" x14ac:dyDescent="0.25">
      <c r="A344" s="66">
        <v>44232</v>
      </c>
      <c r="B344" s="76">
        <v>17290</v>
      </c>
      <c r="C344" s="76">
        <v>2379</v>
      </c>
      <c r="D344" s="76">
        <f t="shared" si="0"/>
        <v>14911</v>
      </c>
      <c r="E344" s="77">
        <f t="shared" si="1"/>
        <v>0.13759398496240602</v>
      </c>
      <c r="F344" s="69">
        <v>19958</v>
      </c>
      <c r="G344" s="70">
        <v>5312</v>
      </c>
      <c r="H344" s="70">
        <v>14646</v>
      </c>
      <c r="I344" s="71" t="s">
        <v>279</v>
      </c>
      <c r="J344" s="213">
        <f t="shared" si="7"/>
        <v>0.26615893376089789</v>
      </c>
    </row>
    <row r="345" spans="1:10" ht="15" x14ac:dyDescent="0.25">
      <c r="A345" s="66">
        <v>44233</v>
      </c>
      <c r="B345" s="76">
        <v>17758</v>
      </c>
      <c r="C345" s="76">
        <v>4213</v>
      </c>
      <c r="D345" s="76">
        <f t="shared" si="0"/>
        <v>13545</v>
      </c>
      <c r="E345" s="77">
        <f t="shared" si="1"/>
        <v>0.23724518526861132</v>
      </c>
      <c r="F345" s="69">
        <v>20412</v>
      </c>
      <c r="G345" s="70">
        <v>5505</v>
      </c>
      <c r="H345" s="70">
        <v>14907</v>
      </c>
      <c r="I345" s="71" t="s">
        <v>280</v>
      </c>
      <c r="J345" s="213">
        <f t="shared" si="7"/>
        <v>0.26969429747207524</v>
      </c>
    </row>
    <row r="346" spans="1:10" ht="15" x14ac:dyDescent="0.25">
      <c r="A346" s="66">
        <v>44234</v>
      </c>
      <c r="B346" s="69">
        <v>10197</v>
      </c>
      <c r="C346" s="69">
        <v>3144</v>
      </c>
      <c r="D346" s="76">
        <f t="shared" si="0"/>
        <v>7053</v>
      </c>
      <c r="E346" s="77">
        <f t="shared" si="1"/>
        <v>0.30832597822889085</v>
      </c>
      <c r="F346" s="69">
        <v>11720</v>
      </c>
      <c r="G346" s="70">
        <v>3182</v>
      </c>
      <c r="H346" s="70">
        <v>8538</v>
      </c>
      <c r="I346" s="71" t="s">
        <v>277</v>
      </c>
      <c r="J346" s="213">
        <f t="shared" si="7"/>
        <v>0.27150170648464161</v>
      </c>
    </row>
    <row r="347" spans="1:10" ht="15" x14ac:dyDescent="0.25">
      <c r="A347" s="66">
        <v>44235</v>
      </c>
      <c r="B347" s="69">
        <v>16061</v>
      </c>
      <c r="C347" s="69">
        <v>3437</v>
      </c>
      <c r="D347" s="76">
        <f t="shared" si="0"/>
        <v>12624</v>
      </c>
      <c r="E347" s="77">
        <f t="shared" si="1"/>
        <v>0.21399663781831765</v>
      </c>
      <c r="F347" s="69">
        <v>18461</v>
      </c>
      <c r="G347" s="70">
        <v>4167</v>
      </c>
      <c r="H347" s="70">
        <v>14294</v>
      </c>
      <c r="I347" s="71" t="s">
        <v>281</v>
      </c>
      <c r="J347" s="213">
        <f t="shared" si="7"/>
        <v>0.22571908347326797</v>
      </c>
    </row>
    <row r="348" spans="1:10" ht="15" x14ac:dyDescent="0.25">
      <c r="A348" s="66">
        <v>44236</v>
      </c>
      <c r="B348" s="69">
        <v>17660</v>
      </c>
      <c r="C348" s="69">
        <v>3309</v>
      </c>
      <c r="D348" s="76">
        <f t="shared" si="0"/>
        <v>14351</v>
      </c>
      <c r="E348" s="77">
        <f t="shared" si="1"/>
        <v>0.18737259343148358</v>
      </c>
      <c r="F348" s="69">
        <v>20777</v>
      </c>
      <c r="G348" s="70">
        <v>5508</v>
      </c>
      <c r="H348" s="70">
        <v>15269</v>
      </c>
      <c r="I348" s="71" t="s">
        <v>282</v>
      </c>
      <c r="J348" s="213">
        <f t="shared" si="7"/>
        <v>0.26510083265148965</v>
      </c>
    </row>
    <row r="349" spans="1:10" ht="15" x14ac:dyDescent="0.25">
      <c r="A349" s="66">
        <v>44237</v>
      </c>
      <c r="B349" s="69">
        <v>16571</v>
      </c>
      <c r="C349" s="69">
        <v>2514</v>
      </c>
      <c r="D349" s="76">
        <f t="shared" si="0"/>
        <v>14057</v>
      </c>
      <c r="E349" s="77">
        <f t="shared" si="1"/>
        <v>0.15171082010741657</v>
      </c>
      <c r="F349" s="69">
        <v>19727</v>
      </c>
      <c r="G349" s="70">
        <v>5252</v>
      </c>
      <c r="H349" s="70">
        <v>14475</v>
      </c>
      <c r="I349" s="71" t="s">
        <v>282</v>
      </c>
      <c r="J349" s="213">
        <f t="shared" si="7"/>
        <v>0.26623409540224058</v>
      </c>
    </row>
    <row r="350" spans="1:10" ht="15" x14ac:dyDescent="0.25">
      <c r="A350" s="66">
        <v>44238</v>
      </c>
      <c r="B350" s="69">
        <v>17319</v>
      </c>
      <c r="C350" s="69">
        <v>3810</v>
      </c>
      <c r="D350" s="76">
        <f t="shared" si="0"/>
        <v>13509</v>
      </c>
      <c r="E350" s="77">
        <f t="shared" si="1"/>
        <v>0.21998960679023039</v>
      </c>
      <c r="F350" s="69">
        <v>19907</v>
      </c>
      <c r="G350" s="70">
        <v>5026</v>
      </c>
      <c r="H350" s="70">
        <v>14881</v>
      </c>
      <c r="I350" s="71" t="s">
        <v>283</v>
      </c>
      <c r="J350" s="213">
        <f t="shared" si="7"/>
        <v>0.25247400411915405</v>
      </c>
    </row>
    <row r="351" spans="1:10" ht="15" x14ac:dyDescent="0.25">
      <c r="A351" s="66">
        <v>44239</v>
      </c>
      <c r="B351" s="69">
        <v>11203</v>
      </c>
      <c r="C351" s="69">
        <v>3018</v>
      </c>
      <c r="D351" s="76">
        <f t="shared" si="0"/>
        <v>8185</v>
      </c>
      <c r="E351" s="77">
        <f t="shared" si="1"/>
        <v>0.26939212710881016</v>
      </c>
      <c r="F351" s="69">
        <v>13180</v>
      </c>
      <c r="G351" s="70">
        <v>3781</v>
      </c>
      <c r="H351" s="70">
        <v>9399</v>
      </c>
      <c r="I351" s="71" t="s">
        <v>272</v>
      </c>
      <c r="J351" s="213">
        <f t="shared" si="7"/>
        <v>0.28687405159332324</v>
      </c>
    </row>
    <row r="352" spans="1:10" ht="15" x14ac:dyDescent="0.25">
      <c r="A352" s="66">
        <v>44240</v>
      </c>
      <c r="B352" s="69">
        <v>13524</v>
      </c>
      <c r="C352" s="69">
        <v>2496</v>
      </c>
      <c r="D352" s="76">
        <f t="shared" si="0"/>
        <v>11028</v>
      </c>
      <c r="E352" s="77">
        <f t="shared" si="1"/>
        <v>0.18456078083407276</v>
      </c>
      <c r="F352" s="69">
        <v>16295</v>
      </c>
      <c r="G352" s="70">
        <v>4795</v>
      </c>
      <c r="H352" s="70">
        <v>11500</v>
      </c>
      <c r="I352" s="71" t="s">
        <v>284</v>
      </c>
      <c r="J352" s="213">
        <f t="shared" si="7"/>
        <v>0.29426204357164776</v>
      </c>
    </row>
    <row r="353" spans="1:10" ht="15" x14ac:dyDescent="0.25">
      <c r="A353" s="66">
        <v>44241</v>
      </c>
      <c r="B353" s="69">
        <v>8239</v>
      </c>
      <c r="C353" s="69">
        <v>1879</v>
      </c>
      <c r="D353" s="76">
        <f t="shared" si="0"/>
        <v>6360</v>
      </c>
      <c r="E353" s="77">
        <f t="shared" si="1"/>
        <v>0.22806165796820002</v>
      </c>
      <c r="F353" s="69">
        <v>9926</v>
      </c>
      <c r="G353" s="70">
        <v>2727</v>
      </c>
      <c r="H353" s="70">
        <v>7199</v>
      </c>
      <c r="I353" s="71" t="s">
        <v>285</v>
      </c>
      <c r="J353" s="213">
        <f t="shared" si="7"/>
        <v>0.27473302438041508</v>
      </c>
    </row>
    <row r="354" spans="1:10" ht="15" x14ac:dyDescent="0.25">
      <c r="A354" s="66">
        <v>44242</v>
      </c>
      <c r="B354" s="69">
        <v>10681</v>
      </c>
      <c r="C354" s="69">
        <v>1861</v>
      </c>
      <c r="D354" s="76">
        <f t="shared" si="0"/>
        <v>8820</v>
      </c>
      <c r="E354" s="77">
        <f t="shared" si="1"/>
        <v>0.17423462222638331</v>
      </c>
      <c r="F354" s="69">
        <v>13627</v>
      </c>
      <c r="G354" s="70">
        <v>3461</v>
      </c>
      <c r="H354" s="70">
        <v>10166</v>
      </c>
      <c r="I354" s="71" t="s">
        <v>286</v>
      </c>
      <c r="J354" s="213">
        <f t="shared" si="7"/>
        <v>0.25398106699933953</v>
      </c>
    </row>
    <row r="355" spans="1:10" ht="15" x14ac:dyDescent="0.25">
      <c r="A355" s="66">
        <v>44243</v>
      </c>
      <c r="B355" s="69">
        <v>9306</v>
      </c>
      <c r="C355" s="69">
        <v>1445</v>
      </c>
      <c r="D355" s="76">
        <f t="shared" si="0"/>
        <v>7861</v>
      </c>
      <c r="E355" s="77">
        <f t="shared" si="1"/>
        <v>0.15527616591446378</v>
      </c>
      <c r="F355" s="69">
        <v>11632</v>
      </c>
      <c r="G355" s="70">
        <v>3253</v>
      </c>
      <c r="H355" s="70">
        <v>8379</v>
      </c>
      <c r="I355" s="71" t="s">
        <v>285</v>
      </c>
      <c r="J355" s="213">
        <f t="shared" si="7"/>
        <v>0.27965955983493812</v>
      </c>
    </row>
    <row r="356" spans="1:10" ht="15" x14ac:dyDescent="0.25">
      <c r="A356" s="66">
        <v>44244</v>
      </c>
      <c r="B356" s="69">
        <v>9107</v>
      </c>
      <c r="C356" s="69">
        <v>373</v>
      </c>
      <c r="D356" s="76">
        <f t="shared" si="0"/>
        <v>8734</v>
      </c>
      <c r="E356" s="77">
        <f t="shared" si="1"/>
        <v>4.0957505215768089E-2</v>
      </c>
      <c r="F356" s="69">
        <v>13642</v>
      </c>
      <c r="G356" s="70">
        <v>4172</v>
      </c>
      <c r="H356" s="70">
        <v>9470</v>
      </c>
      <c r="I356" s="71" t="s">
        <v>287</v>
      </c>
      <c r="J356" s="213">
        <f t="shared" si="7"/>
        <v>0.30582026095880371</v>
      </c>
    </row>
    <row r="357" spans="1:10" ht="15" x14ac:dyDescent="0.25">
      <c r="A357" s="66">
        <v>44245</v>
      </c>
      <c r="B357" s="69">
        <v>15973</v>
      </c>
      <c r="C357" s="69">
        <v>1920</v>
      </c>
      <c r="D357" s="76">
        <f t="shared" si="0"/>
        <v>14053</v>
      </c>
      <c r="E357" s="77">
        <f t="shared" si="1"/>
        <v>0.12020284229637514</v>
      </c>
      <c r="F357" s="69">
        <v>19480</v>
      </c>
      <c r="G357" s="70">
        <v>5143</v>
      </c>
      <c r="H357" s="70">
        <v>14337</v>
      </c>
      <c r="I357" s="71" t="s">
        <v>244</v>
      </c>
      <c r="J357" s="213">
        <f t="shared" si="7"/>
        <v>0.26401437371663244</v>
      </c>
    </row>
    <row r="358" spans="1:10" ht="15" x14ac:dyDescent="0.25">
      <c r="A358" s="66">
        <v>44246</v>
      </c>
      <c r="B358" s="69">
        <v>12292</v>
      </c>
      <c r="C358" s="69">
        <v>2872</v>
      </c>
      <c r="D358" s="76">
        <f t="shared" si="0"/>
        <v>9420</v>
      </c>
      <c r="E358" s="77">
        <f t="shared" si="1"/>
        <v>0.23364790107386918</v>
      </c>
      <c r="F358" s="69">
        <v>14293</v>
      </c>
      <c r="G358" s="70">
        <v>3917</v>
      </c>
      <c r="H358" s="70">
        <v>10376</v>
      </c>
      <c r="I358" s="71" t="s">
        <v>288</v>
      </c>
      <c r="J358" s="213">
        <f t="shared" si="7"/>
        <v>0.27405023438046594</v>
      </c>
    </row>
    <row r="359" spans="1:10" ht="15" x14ac:dyDescent="0.25">
      <c r="A359" s="66">
        <v>44247</v>
      </c>
      <c r="B359" s="69">
        <v>13045</v>
      </c>
      <c r="C359" s="69">
        <v>2720</v>
      </c>
      <c r="D359" s="76">
        <f t="shared" si="0"/>
        <v>10325</v>
      </c>
      <c r="E359" s="77">
        <f t="shared" si="1"/>
        <v>0.2085090072824837</v>
      </c>
      <c r="F359" s="69">
        <v>15717</v>
      </c>
      <c r="G359" s="70">
        <v>4011</v>
      </c>
      <c r="H359" s="70">
        <v>11706</v>
      </c>
      <c r="I359" s="71" t="s">
        <v>283</v>
      </c>
      <c r="J359" s="213">
        <f t="shared" si="7"/>
        <v>0.25520137430807405</v>
      </c>
    </row>
    <row r="360" spans="1:10" ht="15" x14ac:dyDescent="0.25">
      <c r="A360" s="66">
        <v>44248</v>
      </c>
      <c r="B360" s="69">
        <v>9312</v>
      </c>
      <c r="C360" s="69">
        <v>2471</v>
      </c>
      <c r="D360" s="76">
        <f t="shared" si="0"/>
        <v>6841</v>
      </c>
      <c r="E360" s="77">
        <f t="shared" si="1"/>
        <v>0.26535652920962199</v>
      </c>
      <c r="F360" s="69">
        <v>9897</v>
      </c>
      <c r="G360" s="70">
        <v>2274</v>
      </c>
      <c r="H360" s="70">
        <v>7623</v>
      </c>
      <c r="I360" s="71" t="s">
        <v>289</v>
      </c>
      <c r="J360" s="213">
        <f t="shared" si="7"/>
        <v>0.22976659593816309</v>
      </c>
    </row>
    <row r="361" spans="1:10" ht="15" x14ac:dyDescent="0.25">
      <c r="A361" s="66">
        <v>44249</v>
      </c>
      <c r="B361" s="69">
        <v>11429</v>
      </c>
      <c r="C361" s="69">
        <v>782</v>
      </c>
      <c r="D361" s="76">
        <f t="shared" si="0"/>
        <v>10647</v>
      </c>
      <c r="E361" s="77">
        <f t="shared" si="1"/>
        <v>6.8422434158719042E-2</v>
      </c>
      <c r="F361" s="69">
        <v>14844</v>
      </c>
      <c r="G361" s="70">
        <v>4027</v>
      </c>
      <c r="H361" s="70">
        <v>10817</v>
      </c>
      <c r="I361" s="71" t="s">
        <v>280</v>
      </c>
      <c r="J361" s="213">
        <f t="shared" si="7"/>
        <v>0.27128806251684184</v>
      </c>
    </row>
    <row r="362" spans="1:10" ht="15" x14ac:dyDescent="0.25">
      <c r="A362" s="66">
        <v>44250</v>
      </c>
      <c r="B362" s="69">
        <v>14002</v>
      </c>
      <c r="C362" s="69">
        <v>782</v>
      </c>
      <c r="D362" s="76">
        <f t="shared" si="0"/>
        <v>13220</v>
      </c>
      <c r="E362" s="77">
        <f t="shared" si="1"/>
        <v>5.5849164405084986E-2</v>
      </c>
      <c r="F362" s="69">
        <v>18185</v>
      </c>
      <c r="G362" s="70">
        <v>4964</v>
      </c>
      <c r="H362" s="70">
        <v>13221</v>
      </c>
      <c r="I362" s="71" t="s">
        <v>280</v>
      </c>
      <c r="J362" s="213">
        <f t="shared" si="7"/>
        <v>0.27297222985977454</v>
      </c>
    </row>
    <row r="363" spans="1:10" ht="15" x14ac:dyDescent="0.25">
      <c r="A363" s="66">
        <v>44251</v>
      </c>
      <c r="B363" s="69">
        <v>15038</v>
      </c>
      <c r="C363" s="69">
        <v>1581</v>
      </c>
      <c r="D363" s="76">
        <f t="shared" si="0"/>
        <v>13457</v>
      </c>
      <c r="E363" s="77">
        <f t="shared" si="1"/>
        <v>0.10513366139114244</v>
      </c>
      <c r="F363" s="69">
        <v>18340</v>
      </c>
      <c r="G363" s="70">
        <v>4720</v>
      </c>
      <c r="H363" s="70">
        <v>13620</v>
      </c>
      <c r="I363" s="71" t="s">
        <v>286</v>
      </c>
      <c r="J363" s="213">
        <f t="shared" si="7"/>
        <v>0.257360959651036</v>
      </c>
    </row>
    <row r="364" spans="1:10" ht="15" x14ac:dyDescent="0.25">
      <c r="A364" s="66">
        <v>44252</v>
      </c>
      <c r="B364" s="69">
        <v>13802</v>
      </c>
      <c r="C364" s="69">
        <v>1661</v>
      </c>
      <c r="D364" s="76">
        <f t="shared" si="0"/>
        <v>12141</v>
      </c>
      <c r="E364" s="77">
        <f t="shared" si="1"/>
        <v>0.12034487755397769</v>
      </c>
      <c r="F364" s="69">
        <v>16238</v>
      </c>
      <c r="G364" s="70">
        <v>3802</v>
      </c>
      <c r="H364" s="70">
        <v>12436</v>
      </c>
      <c r="I364" s="71" t="s">
        <v>290</v>
      </c>
      <c r="J364" s="213">
        <f t="shared" si="7"/>
        <v>0.23414213573100134</v>
      </c>
    </row>
    <row r="365" spans="1:10" ht="15" x14ac:dyDescent="0.25">
      <c r="A365" s="66">
        <v>44253</v>
      </c>
      <c r="B365" s="69">
        <v>13432</v>
      </c>
      <c r="C365" s="69">
        <v>1737</v>
      </c>
      <c r="D365" s="76">
        <f t="shared" si="0"/>
        <v>11695</v>
      </c>
      <c r="E365" s="77">
        <f t="shared" si="1"/>
        <v>0.12931804645622394</v>
      </c>
      <c r="F365" s="69">
        <v>16184</v>
      </c>
      <c r="G365" s="70">
        <v>4196</v>
      </c>
      <c r="H365" s="70">
        <v>11988</v>
      </c>
      <c r="I365" s="71" t="s">
        <v>246</v>
      </c>
      <c r="J365" s="213">
        <f t="shared" si="7"/>
        <v>0.25926841324765199</v>
      </c>
    </row>
    <row r="366" spans="1:10" ht="15" x14ac:dyDescent="0.25">
      <c r="A366" s="66">
        <v>44254</v>
      </c>
      <c r="B366" s="69">
        <v>12559</v>
      </c>
      <c r="C366" s="69">
        <v>2098</v>
      </c>
      <c r="D366" s="76">
        <f t="shared" si="0"/>
        <v>10461</v>
      </c>
      <c r="E366" s="77">
        <f t="shared" si="1"/>
        <v>0.16705151684051278</v>
      </c>
      <c r="F366" s="69">
        <v>14775</v>
      </c>
      <c r="G366" s="70">
        <v>4068</v>
      </c>
      <c r="H366" s="70">
        <v>10707</v>
      </c>
      <c r="I366" s="71" t="s">
        <v>280</v>
      </c>
      <c r="J366" s="213">
        <f t="shared" si="7"/>
        <v>0.27532994923857868</v>
      </c>
    </row>
    <row r="367" spans="1:10" ht="15" x14ac:dyDescent="0.25">
      <c r="A367" s="66">
        <v>44255</v>
      </c>
      <c r="B367" s="69">
        <v>7797</v>
      </c>
      <c r="C367" s="69">
        <v>2058</v>
      </c>
      <c r="D367" s="76">
        <f t="shared" si="0"/>
        <v>5739</v>
      </c>
      <c r="E367" s="77">
        <f t="shared" si="1"/>
        <v>0.26394767218160831</v>
      </c>
      <c r="F367" s="69">
        <v>9828</v>
      </c>
      <c r="G367" s="70">
        <v>2487</v>
      </c>
      <c r="H367" s="70">
        <v>7341</v>
      </c>
      <c r="I367" s="71" t="s">
        <v>283</v>
      </c>
      <c r="J367" s="213">
        <f t="shared" si="7"/>
        <v>0.25305250305250304</v>
      </c>
    </row>
    <row r="368" spans="1:10" ht="15" x14ac:dyDescent="0.25">
      <c r="A368" s="66">
        <v>44256</v>
      </c>
      <c r="B368" s="69">
        <v>10394</v>
      </c>
      <c r="C368" s="69">
        <v>578</v>
      </c>
      <c r="D368" s="76">
        <f t="shared" si="0"/>
        <v>9816</v>
      </c>
      <c r="E368" s="77">
        <f t="shared" si="1"/>
        <v>5.5609005195304984E-2</v>
      </c>
      <c r="F368" s="69">
        <v>13533</v>
      </c>
      <c r="G368" s="70">
        <v>2884</v>
      </c>
      <c r="H368" s="70">
        <v>10649</v>
      </c>
      <c r="I368" s="71" t="s">
        <v>228</v>
      </c>
      <c r="J368" s="213">
        <f t="shared" si="7"/>
        <v>0.21310869725855316</v>
      </c>
    </row>
    <row r="369" spans="1:11" ht="15" x14ac:dyDescent="0.25">
      <c r="A369" s="66">
        <v>44257</v>
      </c>
      <c r="B369" s="69">
        <v>20538</v>
      </c>
      <c r="C369" s="69">
        <v>1437</v>
      </c>
      <c r="D369" s="76">
        <f t="shared" si="0"/>
        <v>19101</v>
      </c>
      <c r="E369" s="77">
        <f t="shared" si="1"/>
        <v>6.9967864446392053E-2</v>
      </c>
      <c r="F369" s="69">
        <v>25673</v>
      </c>
      <c r="G369" s="70">
        <v>6521</v>
      </c>
      <c r="H369" s="70">
        <v>19152</v>
      </c>
      <c r="I369" s="71" t="s">
        <v>235</v>
      </c>
      <c r="J369" s="213">
        <f t="shared" si="7"/>
        <v>0.25400225918279906</v>
      </c>
    </row>
    <row r="370" spans="1:11" ht="15" x14ac:dyDescent="0.25">
      <c r="A370" s="66">
        <v>44258</v>
      </c>
      <c r="B370" s="69">
        <v>14072</v>
      </c>
      <c r="C370" s="69">
        <v>2008</v>
      </c>
      <c r="D370" s="76">
        <f t="shared" si="0"/>
        <v>12064</v>
      </c>
      <c r="E370" s="77">
        <f t="shared" si="1"/>
        <v>0.1426947129050597</v>
      </c>
      <c r="F370" s="69">
        <v>17590</v>
      </c>
      <c r="G370" s="70">
        <v>3883</v>
      </c>
      <c r="H370" s="70">
        <v>13707</v>
      </c>
      <c r="I370" s="71" t="s">
        <v>198</v>
      </c>
      <c r="J370" s="213">
        <f t="shared" si="7"/>
        <v>0.22075042637862421</v>
      </c>
    </row>
    <row r="371" spans="1:11" ht="15" x14ac:dyDescent="0.25">
      <c r="A371" s="66">
        <v>44259</v>
      </c>
      <c r="B371" s="69">
        <v>12608</v>
      </c>
      <c r="C371" s="69">
        <v>1159</v>
      </c>
      <c r="D371" s="76">
        <f t="shared" si="0"/>
        <v>11449</v>
      </c>
      <c r="E371" s="77">
        <f t="shared" si="1"/>
        <v>9.1925761421319793E-2</v>
      </c>
      <c r="F371" s="69">
        <v>15761</v>
      </c>
      <c r="G371" s="70">
        <v>3477</v>
      </c>
      <c r="H371" s="70">
        <v>12284</v>
      </c>
      <c r="I371" s="71" t="s">
        <v>226</v>
      </c>
      <c r="J371" s="213">
        <f t="shared" si="7"/>
        <v>0.22060782945244592</v>
      </c>
    </row>
    <row r="372" spans="1:11" ht="15" x14ac:dyDescent="0.25">
      <c r="A372" s="66">
        <v>44260</v>
      </c>
      <c r="B372" s="69">
        <v>8787</v>
      </c>
      <c r="C372" s="69">
        <v>1616</v>
      </c>
      <c r="D372" s="76">
        <f t="shared" si="0"/>
        <v>7171</v>
      </c>
      <c r="E372" s="77">
        <f t="shared" si="1"/>
        <v>0.18390804597701149</v>
      </c>
      <c r="F372" s="69">
        <v>11875</v>
      </c>
      <c r="G372" s="70">
        <v>3639</v>
      </c>
      <c r="H372" s="70">
        <v>8236</v>
      </c>
      <c r="I372" s="71" t="s">
        <v>269</v>
      </c>
      <c r="J372" s="213">
        <f t="shared" si="7"/>
        <v>0.3064421052631579</v>
      </c>
    </row>
    <row r="373" spans="1:11" ht="15" x14ac:dyDescent="0.25">
      <c r="A373" s="66">
        <v>44261</v>
      </c>
      <c r="B373" s="69">
        <v>8261</v>
      </c>
      <c r="C373" s="69">
        <v>1834</v>
      </c>
      <c r="D373" s="76">
        <f t="shared" si="0"/>
        <v>6427</v>
      </c>
      <c r="E373" s="77">
        <f t="shared" si="1"/>
        <v>0.2220070209417746</v>
      </c>
      <c r="F373" s="69">
        <v>10327</v>
      </c>
      <c r="G373" s="70">
        <v>3116</v>
      </c>
      <c r="H373" s="70">
        <v>7211</v>
      </c>
      <c r="I373" s="71" t="s">
        <v>291</v>
      </c>
      <c r="J373" s="213">
        <f t="shared" si="7"/>
        <v>0.30173332042219425</v>
      </c>
    </row>
    <row r="374" spans="1:11" ht="15" x14ac:dyDescent="0.25">
      <c r="A374" s="66">
        <v>44262</v>
      </c>
      <c r="B374" s="69">
        <v>11041</v>
      </c>
      <c r="C374" s="69">
        <v>1783</v>
      </c>
      <c r="D374" s="76">
        <f t="shared" si="0"/>
        <v>9258</v>
      </c>
      <c r="E374" s="77">
        <f t="shared" si="1"/>
        <v>0.1614889955619962</v>
      </c>
      <c r="F374" s="69">
        <v>5460</v>
      </c>
      <c r="G374" s="70">
        <v>1356</v>
      </c>
      <c r="H374" s="70">
        <v>4104</v>
      </c>
      <c r="I374" s="71" t="s">
        <v>235</v>
      </c>
      <c r="J374" s="213">
        <f t="shared" si="7"/>
        <v>0.24835164835164836</v>
      </c>
    </row>
    <row r="375" spans="1:11" ht="15" x14ac:dyDescent="0.25">
      <c r="A375" s="66">
        <v>44263</v>
      </c>
      <c r="B375" s="69">
        <v>12172</v>
      </c>
      <c r="C375" s="69">
        <v>867</v>
      </c>
      <c r="D375" s="76">
        <f t="shared" si="0"/>
        <v>11305</v>
      </c>
      <c r="E375" s="77">
        <f t="shared" si="1"/>
        <v>7.1229050279329603E-2</v>
      </c>
      <c r="F375" s="69">
        <v>15215</v>
      </c>
      <c r="G375" s="70">
        <v>3357</v>
      </c>
      <c r="H375" s="70">
        <v>11858</v>
      </c>
      <c r="I375" s="71" t="s">
        <v>226</v>
      </c>
      <c r="J375" s="213">
        <f t="shared" si="7"/>
        <v>0.22063752875451856</v>
      </c>
    </row>
    <row r="376" spans="1:11" ht="15" x14ac:dyDescent="0.25">
      <c r="A376" s="66">
        <v>44264</v>
      </c>
      <c r="B376" s="69">
        <v>13813</v>
      </c>
      <c r="C376" s="69">
        <v>1040</v>
      </c>
      <c r="D376" s="76">
        <f t="shared" si="0"/>
        <v>12773</v>
      </c>
      <c r="E376" s="77">
        <f t="shared" si="1"/>
        <v>7.5291392166799392E-2</v>
      </c>
      <c r="F376" s="69">
        <v>17709</v>
      </c>
      <c r="G376" s="70">
        <v>4373</v>
      </c>
      <c r="H376" s="70">
        <v>13336</v>
      </c>
      <c r="I376" s="71" t="s">
        <v>292</v>
      </c>
      <c r="J376" s="213">
        <f t="shared" si="7"/>
        <v>0.24693658591676548</v>
      </c>
      <c r="K376" s="78"/>
    </row>
    <row r="377" spans="1:11" ht="15" x14ac:dyDescent="0.25">
      <c r="A377" s="66">
        <v>44265</v>
      </c>
      <c r="B377" s="69">
        <v>14611</v>
      </c>
      <c r="C377" s="69">
        <v>1754</v>
      </c>
      <c r="D377" s="76">
        <f t="shared" si="0"/>
        <v>12857</v>
      </c>
      <c r="E377" s="77">
        <f t="shared" si="1"/>
        <v>0.12004654027787283</v>
      </c>
      <c r="F377" s="69">
        <v>18264</v>
      </c>
      <c r="G377" s="70">
        <v>4302</v>
      </c>
      <c r="H377" s="70">
        <v>13962</v>
      </c>
      <c r="I377" s="71" t="s">
        <v>293</v>
      </c>
      <c r="J377" s="213">
        <f t="shared" si="7"/>
        <v>0.23554533508541392</v>
      </c>
      <c r="K377" s="78"/>
    </row>
    <row r="378" spans="1:11" ht="15" x14ac:dyDescent="0.25">
      <c r="A378" s="66">
        <v>44266</v>
      </c>
      <c r="B378" s="69">
        <v>12062</v>
      </c>
      <c r="C378" s="69">
        <v>1873</v>
      </c>
      <c r="D378" s="76">
        <f t="shared" si="0"/>
        <v>10189</v>
      </c>
      <c r="E378" s="77">
        <f t="shared" si="1"/>
        <v>0.15528104791908473</v>
      </c>
      <c r="F378" s="69">
        <v>13865</v>
      </c>
      <c r="G378" s="70">
        <v>2586</v>
      </c>
      <c r="H378" s="70">
        <v>11279</v>
      </c>
      <c r="I378" s="71" t="s">
        <v>294</v>
      </c>
      <c r="J378" s="213">
        <f t="shared" si="7"/>
        <v>0.18651280201947348</v>
      </c>
      <c r="K378" s="78"/>
    </row>
    <row r="379" spans="1:11" ht="15" x14ac:dyDescent="0.25">
      <c r="A379" s="66">
        <v>44267</v>
      </c>
      <c r="B379" s="69">
        <v>11376</v>
      </c>
      <c r="C379" s="69">
        <v>1034</v>
      </c>
      <c r="D379" s="76">
        <f t="shared" si="0"/>
        <v>10342</v>
      </c>
      <c r="E379" s="77">
        <f t="shared" si="1"/>
        <v>9.0893108298171585E-2</v>
      </c>
      <c r="F379" s="79">
        <v>14220</v>
      </c>
      <c r="G379" s="80">
        <v>3237</v>
      </c>
      <c r="H379" s="80">
        <v>10983</v>
      </c>
      <c r="I379" s="71" t="s">
        <v>238</v>
      </c>
      <c r="J379" s="213">
        <f t="shared" si="7"/>
        <v>0.22763713080168776</v>
      </c>
      <c r="K379" s="78"/>
    </row>
    <row r="380" spans="1:11" ht="15" x14ac:dyDescent="0.25">
      <c r="A380" s="66">
        <v>44268</v>
      </c>
      <c r="B380" s="69">
        <v>11932</v>
      </c>
      <c r="C380" s="69">
        <v>1204</v>
      </c>
      <c r="D380" s="76">
        <f t="shared" si="0"/>
        <v>10728</v>
      </c>
      <c r="E380" s="77">
        <f t="shared" si="1"/>
        <v>0.10090512906469996</v>
      </c>
      <c r="F380" s="79">
        <v>15700</v>
      </c>
      <c r="G380" s="80">
        <v>4613</v>
      </c>
      <c r="H380" s="80">
        <v>11087</v>
      </c>
      <c r="I380" s="71" t="s">
        <v>273</v>
      </c>
      <c r="J380" s="213">
        <f t="shared" si="7"/>
        <v>0.29382165605095539</v>
      </c>
      <c r="K380" s="78"/>
    </row>
    <row r="381" spans="1:11" ht="15" x14ac:dyDescent="0.25">
      <c r="A381" s="66">
        <v>44269</v>
      </c>
      <c r="B381" s="69">
        <v>9342</v>
      </c>
      <c r="C381" s="69">
        <v>1555</v>
      </c>
      <c r="D381" s="76">
        <f t="shared" si="0"/>
        <v>7787</v>
      </c>
      <c r="E381" s="77">
        <f t="shared" si="1"/>
        <v>0.16645257974737743</v>
      </c>
      <c r="F381" s="79">
        <v>10739</v>
      </c>
      <c r="G381" s="80">
        <v>1956</v>
      </c>
      <c r="H381" s="80">
        <v>8783</v>
      </c>
      <c r="I381" s="71" t="s">
        <v>295</v>
      </c>
      <c r="J381" s="213">
        <f t="shared" si="7"/>
        <v>0.18213986404693175</v>
      </c>
      <c r="K381" s="78"/>
    </row>
    <row r="382" spans="1:11" ht="15" x14ac:dyDescent="0.25">
      <c r="A382" s="66">
        <v>44270</v>
      </c>
      <c r="B382" s="69">
        <v>15239</v>
      </c>
      <c r="C382" s="69">
        <v>835</v>
      </c>
      <c r="D382" s="76">
        <f t="shared" si="0"/>
        <v>14404</v>
      </c>
      <c r="E382" s="77">
        <f t="shared" si="1"/>
        <v>5.4793621628715795E-2</v>
      </c>
      <c r="F382" s="69">
        <v>19049</v>
      </c>
      <c r="G382" s="70">
        <v>3952</v>
      </c>
      <c r="H382" s="70">
        <v>15097</v>
      </c>
      <c r="I382" s="71" t="s">
        <v>199</v>
      </c>
      <c r="J382" s="213">
        <f t="shared" si="7"/>
        <v>0.20746495879048768</v>
      </c>
      <c r="K382" s="78"/>
    </row>
    <row r="383" spans="1:11" ht="15" x14ac:dyDescent="0.25">
      <c r="A383" s="66">
        <v>44271</v>
      </c>
      <c r="B383" s="69">
        <v>13736</v>
      </c>
      <c r="C383" s="69">
        <v>1330</v>
      </c>
      <c r="D383" s="76">
        <f t="shared" si="0"/>
        <v>12406</v>
      </c>
      <c r="E383" s="77">
        <f t="shared" si="1"/>
        <v>9.6825859056493879E-2</v>
      </c>
      <c r="F383" s="69">
        <v>19623</v>
      </c>
      <c r="G383" s="70">
        <v>6834</v>
      </c>
      <c r="H383" s="70">
        <v>12789</v>
      </c>
      <c r="I383" s="71" t="s">
        <v>264</v>
      </c>
      <c r="J383" s="213">
        <f t="shared" si="7"/>
        <v>0.34826479131631249</v>
      </c>
    </row>
    <row r="384" spans="1:11" ht="15" x14ac:dyDescent="0.25">
      <c r="A384" s="66">
        <v>44272</v>
      </c>
      <c r="B384" s="69">
        <v>15107</v>
      </c>
      <c r="C384" s="69">
        <v>1719</v>
      </c>
      <c r="D384" s="76">
        <f t="shared" si="0"/>
        <v>13388</v>
      </c>
      <c r="E384" s="77">
        <f t="shared" si="1"/>
        <v>0.11378831005494142</v>
      </c>
      <c r="F384" s="69">
        <v>18884</v>
      </c>
      <c r="G384" s="70">
        <v>4075</v>
      </c>
      <c r="H384" s="70">
        <v>14809</v>
      </c>
      <c r="I384" s="71" t="s">
        <v>205</v>
      </c>
      <c r="J384" s="213">
        <f t="shared" si="7"/>
        <v>0.215791145943656</v>
      </c>
    </row>
    <row r="385" spans="1:10" ht="15" x14ac:dyDescent="0.25">
      <c r="A385" s="66">
        <v>44273</v>
      </c>
      <c r="B385" s="69">
        <v>11497</v>
      </c>
      <c r="C385" s="69">
        <v>1588</v>
      </c>
      <c r="D385" s="76">
        <f t="shared" si="0"/>
        <v>9909</v>
      </c>
      <c r="E385" s="77">
        <f t="shared" si="1"/>
        <v>0.13812298860572322</v>
      </c>
      <c r="F385" s="69">
        <v>14372</v>
      </c>
      <c r="G385" s="70">
        <v>3103</v>
      </c>
      <c r="H385" s="70">
        <v>11269</v>
      </c>
      <c r="I385" s="71" t="s">
        <v>296</v>
      </c>
      <c r="J385" s="213">
        <f t="shared" si="7"/>
        <v>0.21590592819370999</v>
      </c>
    </row>
    <row r="386" spans="1:10" ht="15" x14ac:dyDescent="0.25">
      <c r="A386" s="66">
        <v>44274</v>
      </c>
      <c r="B386" s="69">
        <v>13204</v>
      </c>
      <c r="C386" s="69">
        <v>1937</v>
      </c>
      <c r="D386" s="76">
        <f t="shared" si="0"/>
        <v>11267</v>
      </c>
      <c r="E386" s="77">
        <f t="shared" si="1"/>
        <v>0.14669797031202667</v>
      </c>
      <c r="F386" s="69">
        <v>16506</v>
      </c>
      <c r="G386" s="70">
        <v>3572</v>
      </c>
      <c r="H386" s="70">
        <v>12934</v>
      </c>
      <c r="I386" s="71" t="s">
        <v>296</v>
      </c>
      <c r="J386" s="213">
        <f t="shared" si="7"/>
        <v>0.21640615533745305</v>
      </c>
    </row>
    <row r="387" spans="1:10" ht="15" x14ac:dyDescent="0.25">
      <c r="A387" s="66">
        <v>44275</v>
      </c>
      <c r="B387" s="69">
        <v>10562</v>
      </c>
      <c r="C387" s="69">
        <v>1638</v>
      </c>
      <c r="D387" s="76">
        <f t="shared" si="0"/>
        <v>8924</v>
      </c>
      <c r="E387" s="77">
        <f t="shared" si="1"/>
        <v>0.15508426434387426</v>
      </c>
      <c r="F387" s="69">
        <v>13240</v>
      </c>
      <c r="G387" s="70">
        <v>3137</v>
      </c>
      <c r="H387" s="70">
        <v>10103</v>
      </c>
      <c r="I387" s="71" t="s">
        <v>295</v>
      </c>
      <c r="J387" s="213">
        <f t="shared" ref="J387:J450" si="8">G387/F387</f>
        <v>0.23693353474320242</v>
      </c>
    </row>
    <row r="388" spans="1:10" ht="15" x14ac:dyDescent="0.25">
      <c r="A388" s="66">
        <v>44276</v>
      </c>
      <c r="B388" s="69">
        <v>8728</v>
      </c>
      <c r="C388" s="69">
        <v>1474</v>
      </c>
      <c r="D388" s="76">
        <f t="shared" si="0"/>
        <v>7254</v>
      </c>
      <c r="E388" s="77">
        <f t="shared" si="1"/>
        <v>0.16888175985334555</v>
      </c>
      <c r="F388" s="69">
        <v>10911</v>
      </c>
      <c r="G388" s="70">
        <v>2093</v>
      </c>
      <c r="H388" s="70">
        <v>8818</v>
      </c>
      <c r="I388" s="71" t="s">
        <v>296</v>
      </c>
      <c r="J388" s="213">
        <f t="shared" si="8"/>
        <v>0.19182476399963339</v>
      </c>
    </row>
    <row r="389" spans="1:10" ht="15" x14ac:dyDescent="0.25">
      <c r="A389" s="66">
        <v>44277</v>
      </c>
      <c r="B389" s="69">
        <v>10242</v>
      </c>
      <c r="C389" s="69">
        <v>815</v>
      </c>
      <c r="D389" s="76">
        <f t="shared" si="0"/>
        <v>9427</v>
      </c>
      <c r="E389" s="77">
        <f t="shared" si="1"/>
        <v>7.9574301894161301E-2</v>
      </c>
      <c r="F389" s="69">
        <v>13132</v>
      </c>
      <c r="G389" s="70">
        <v>2977</v>
      </c>
      <c r="H389" s="70">
        <v>10155</v>
      </c>
      <c r="I389" s="71" t="s">
        <v>237</v>
      </c>
      <c r="J389" s="213">
        <f t="shared" si="8"/>
        <v>0.22669814194334451</v>
      </c>
    </row>
    <row r="390" spans="1:10" ht="15" x14ac:dyDescent="0.25">
      <c r="A390" s="66">
        <v>44278</v>
      </c>
      <c r="B390" s="69">
        <v>16096</v>
      </c>
      <c r="C390" s="69">
        <v>890</v>
      </c>
      <c r="D390" s="76">
        <f t="shared" si="0"/>
        <v>15206</v>
      </c>
      <c r="E390" s="77">
        <f t="shared" si="1"/>
        <v>5.5293240556660038E-2</v>
      </c>
      <c r="F390" s="69">
        <v>20120</v>
      </c>
      <c r="G390" s="70">
        <v>4133</v>
      </c>
      <c r="H390" s="70">
        <v>15987</v>
      </c>
      <c r="I390" s="71" t="s">
        <v>190</v>
      </c>
      <c r="J390" s="213">
        <f t="shared" si="8"/>
        <v>0.20541749502982107</v>
      </c>
    </row>
    <row r="391" spans="1:10" ht="15" x14ac:dyDescent="0.25">
      <c r="A391" s="66">
        <v>44279</v>
      </c>
      <c r="B391" s="69">
        <v>12742</v>
      </c>
      <c r="C391" s="69">
        <v>1726</v>
      </c>
      <c r="D391" s="76">
        <f t="shared" si="0"/>
        <v>11016</v>
      </c>
      <c r="E391" s="77">
        <f t="shared" si="1"/>
        <v>0.13545754198712917</v>
      </c>
      <c r="F391" s="69">
        <v>15928</v>
      </c>
      <c r="G391" s="70">
        <v>3326</v>
      </c>
      <c r="H391" s="70">
        <v>12602</v>
      </c>
      <c r="I391" s="71" t="s">
        <v>189</v>
      </c>
      <c r="J391" s="213">
        <f t="shared" si="8"/>
        <v>0.20881466599698645</v>
      </c>
    </row>
    <row r="392" spans="1:10" ht="15" x14ac:dyDescent="0.25">
      <c r="A392" s="66">
        <v>44280</v>
      </c>
      <c r="B392" s="69">
        <v>13080</v>
      </c>
      <c r="C392" s="69">
        <v>1381</v>
      </c>
      <c r="D392" s="76">
        <f t="shared" si="0"/>
        <v>11699</v>
      </c>
      <c r="E392" s="77">
        <f t="shared" si="1"/>
        <v>0.10558103975535169</v>
      </c>
      <c r="F392" s="69">
        <v>16350</v>
      </c>
      <c r="G392" s="70">
        <v>3064</v>
      </c>
      <c r="H392" s="70">
        <v>13286</v>
      </c>
      <c r="I392" s="71" t="s">
        <v>192</v>
      </c>
      <c r="J392" s="213">
        <f t="shared" si="8"/>
        <v>0.1874006116207951</v>
      </c>
    </row>
    <row r="393" spans="1:10" ht="15" x14ac:dyDescent="0.25">
      <c r="A393" s="66">
        <v>44281</v>
      </c>
      <c r="B393" s="69">
        <v>13086</v>
      </c>
      <c r="C393" s="69">
        <v>1354</v>
      </c>
      <c r="D393" s="76">
        <f t="shared" si="0"/>
        <v>11732</v>
      </c>
      <c r="E393" s="77">
        <f t="shared" si="1"/>
        <v>0.10346935656426716</v>
      </c>
      <c r="F393" s="69">
        <v>16714</v>
      </c>
      <c r="G393" s="70">
        <v>3259</v>
      </c>
      <c r="H393" s="70">
        <v>13455</v>
      </c>
      <c r="I393" s="71" t="s">
        <v>297</v>
      </c>
      <c r="J393" s="213">
        <f t="shared" si="8"/>
        <v>0.19498623908100993</v>
      </c>
    </row>
    <row r="394" spans="1:10" ht="15" x14ac:dyDescent="0.25">
      <c r="A394" s="66">
        <v>44282</v>
      </c>
      <c r="B394" s="69">
        <v>12292</v>
      </c>
      <c r="C394" s="69">
        <v>1470</v>
      </c>
      <c r="D394" s="76">
        <f t="shared" si="0"/>
        <v>10822</v>
      </c>
      <c r="E394" s="77">
        <f t="shared" si="1"/>
        <v>0.11958997722095673</v>
      </c>
      <c r="F394" s="69">
        <v>15365</v>
      </c>
      <c r="G394" s="70">
        <v>2520</v>
      </c>
      <c r="H394" s="70">
        <v>12845</v>
      </c>
      <c r="I394" s="71" t="s">
        <v>206</v>
      </c>
      <c r="J394" s="213">
        <f t="shared" si="8"/>
        <v>0.16400911161731208</v>
      </c>
    </row>
    <row r="395" spans="1:10" ht="15" x14ac:dyDescent="0.25">
      <c r="A395" s="66">
        <v>44283</v>
      </c>
      <c r="B395" s="69">
        <v>7497</v>
      </c>
      <c r="C395" s="69">
        <v>1014</v>
      </c>
      <c r="D395" s="76">
        <f t="shared" si="0"/>
        <v>6483</v>
      </c>
      <c r="E395" s="77">
        <f t="shared" si="1"/>
        <v>0.13525410164065627</v>
      </c>
      <c r="F395" s="69">
        <v>9372</v>
      </c>
      <c r="G395" s="70">
        <v>1373</v>
      </c>
      <c r="H395" s="70">
        <v>7999</v>
      </c>
      <c r="I395" s="71" t="s">
        <v>297</v>
      </c>
      <c r="J395" s="213">
        <f t="shared" si="8"/>
        <v>0.14650021340162186</v>
      </c>
    </row>
    <row r="396" spans="1:10" ht="15" x14ac:dyDescent="0.25">
      <c r="A396" s="66">
        <v>44284</v>
      </c>
      <c r="B396" s="69">
        <v>11412</v>
      </c>
      <c r="C396" s="69">
        <v>384</v>
      </c>
      <c r="D396" s="76">
        <f t="shared" si="0"/>
        <v>11028</v>
      </c>
      <c r="E396" s="77">
        <f t="shared" si="1"/>
        <v>3.3648790746582544E-2</v>
      </c>
      <c r="F396" s="69">
        <v>14632</v>
      </c>
      <c r="G396" s="70">
        <v>2722</v>
      </c>
      <c r="H396" s="70">
        <v>11910</v>
      </c>
      <c r="I396" s="71" t="s">
        <v>197</v>
      </c>
      <c r="J396" s="213">
        <f t="shared" si="8"/>
        <v>0.1860306178239475</v>
      </c>
    </row>
    <row r="397" spans="1:10" ht="15" x14ac:dyDescent="0.25">
      <c r="A397" s="66">
        <v>44285</v>
      </c>
      <c r="B397" s="69">
        <v>13420</v>
      </c>
      <c r="C397" s="69">
        <v>965</v>
      </c>
      <c r="D397" s="76">
        <f t="shared" si="0"/>
        <v>12455</v>
      </c>
      <c r="E397" s="77">
        <f t="shared" si="1"/>
        <v>7.1907600596125193E-2</v>
      </c>
      <c r="F397" s="69">
        <v>16366</v>
      </c>
      <c r="G397" s="70">
        <v>3120</v>
      </c>
      <c r="H397" s="70">
        <v>13246</v>
      </c>
      <c r="I397" s="71" t="s">
        <v>197</v>
      </c>
      <c r="J397" s="213">
        <f t="shared" si="8"/>
        <v>0.19063912990345838</v>
      </c>
    </row>
    <row r="398" spans="1:10" ht="15" x14ac:dyDescent="0.25">
      <c r="A398" s="66">
        <v>44286</v>
      </c>
      <c r="B398" s="69">
        <v>12124</v>
      </c>
      <c r="C398" s="69">
        <v>1337</v>
      </c>
      <c r="D398" s="76">
        <f t="shared" si="0"/>
        <v>10787</v>
      </c>
      <c r="E398" s="77">
        <f t="shared" si="1"/>
        <v>0.11027713625866051</v>
      </c>
      <c r="F398" s="69">
        <v>15156</v>
      </c>
      <c r="G398" s="70">
        <v>2822</v>
      </c>
      <c r="H398" s="70">
        <v>12334</v>
      </c>
      <c r="I398" s="71" t="s">
        <v>191</v>
      </c>
      <c r="J398" s="213">
        <f t="shared" si="8"/>
        <v>0.18619688572182633</v>
      </c>
    </row>
    <row r="399" spans="1:10" ht="15" x14ac:dyDescent="0.25">
      <c r="A399" s="66">
        <v>44287</v>
      </c>
      <c r="B399" s="69">
        <v>11141</v>
      </c>
      <c r="C399" s="69">
        <v>1240</v>
      </c>
      <c r="D399" s="76">
        <f t="shared" si="0"/>
        <v>9901</v>
      </c>
      <c r="E399" s="77">
        <f t="shared" si="1"/>
        <v>0.11130060138228166</v>
      </c>
      <c r="F399" s="69">
        <v>13927</v>
      </c>
      <c r="G399" s="70">
        <v>2485</v>
      </c>
      <c r="H399" s="70">
        <v>11442</v>
      </c>
      <c r="I399" s="71" t="s">
        <v>194</v>
      </c>
      <c r="J399" s="213">
        <f t="shared" si="8"/>
        <v>0.17843038701802255</v>
      </c>
    </row>
    <row r="400" spans="1:10" ht="15" x14ac:dyDescent="0.25">
      <c r="A400" s="66">
        <v>44288</v>
      </c>
      <c r="B400" s="69">
        <v>7516</v>
      </c>
      <c r="C400" s="69">
        <v>1098</v>
      </c>
      <c r="D400" s="76">
        <f t="shared" si="0"/>
        <v>6418</v>
      </c>
      <c r="E400" s="77">
        <f t="shared" si="1"/>
        <v>0.14608834486428951</v>
      </c>
      <c r="F400" s="69">
        <v>9396</v>
      </c>
      <c r="G400" s="70">
        <v>1478</v>
      </c>
      <c r="H400" s="70">
        <v>7918</v>
      </c>
      <c r="I400" s="71" t="s">
        <v>182</v>
      </c>
      <c r="J400" s="213">
        <f t="shared" si="8"/>
        <v>0.15730097914005961</v>
      </c>
    </row>
    <row r="401" spans="1:10" ht="15" x14ac:dyDescent="0.25">
      <c r="A401" s="66">
        <v>44289</v>
      </c>
      <c r="B401" s="69">
        <v>7694</v>
      </c>
      <c r="C401" s="69">
        <v>736</v>
      </c>
      <c r="D401" s="76">
        <f t="shared" si="0"/>
        <v>6958</v>
      </c>
      <c r="E401" s="77">
        <f t="shared" si="1"/>
        <v>9.5658955029893425E-2</v>
      </c>
      <c r="F401" s="69">
        <v>10124</v>
      </c>
      <c r="G401" s="70">
        <v>1744</v>
      </c>
      <c r="H401" s="70">
        <v>8380</v>
      </c>
      <c r="I401" s="71" t="s">
        <v>218</v>
      </c>
      <c r="J401" s="213">
        <f t="shared" si="8"/>
        <v>0.17226392730146187</v>
      </c>
    </row>
    <row r="402" spans="1:10" ht="15" x14ac:dyDescent="0.25">
      <c r="A402" s="66">
        <v>44290</v>
      </c>
      <c r="B402" s="69">
        <v>7333</v>
      </c>
      <c r="C402" s="69">
        <v>523</v>
      </c>
      <c r="D402" s="76">
        <f t="shared" si="0"/>
        <v>6810</v>
      </c>
      <c r="E402" s="77">
        <f t="shared" si="1"/>
        <v>7.1321423701077316E-2</v>
      </c>
      <c r="F402" s="69">
        <v>9778</v>
      </c>
      <c r="G402" s="70">
        <v>1785</v>
      </c>
      <c r="H402" s="70">
        <v>7993</v>
      </c>
      <c r="I402" s="71" t="s">
        <v>298</v>
      </c>
      <c r="J402" s="213">
        <f t="shared" si="8"/>
        <v>0.18255266925751687</v>
      </c>
    </row>
    <row r="403" spans="1:10" ht="15" x14ac:dyDescent="0.25">
      <c r="A403" s="66">
        <v>44291</v>
      </c>
      <c r="B403" s="69">
        <v>12620</v>
      </c>
      <c r="C403" s="69">
        <v>487</v>
      </c>
      <c r="D403" s="76">
        <f t="shared" si="0"/>
        <v>12133</v>
      </c>
      <c r="E403" s="77">
        <f t="shared" si="1"/>
        <v>3.8589540412044376E-2</v>
      </c>
      <c r="F403" s="69">
        <v>15776</v>
      </c>
      <c r="G403" s="70">
        <v>2821</v>
      </c>
      <c r="H403" s="70">
        <v>12955</v>
      </c>
      <c r="I403" s="71" t="s">
        <v>212</v>
      </c>
      <c r="J403" s="213">
        <f t="shared" si="8"/>
        <v>0.17881592292089249</v>
      </c>
    </row>
    <row r="404" spans="1:10" ht="15" x14ac:dyDescent="0.25">
      <c r="A404" s="66">
        <v>44292</v>
      </c>
      <c r="B404" s="69">
        <v>12096</v>
      </c>
      <c r="C404" s="69">
        <v>862</v>
      </c>
      <c r="D404" s="76">
        <f t="shared" si="0"/>
        <v>11234</v>
      </c>
      <c r="E404" s="77">
        <f t="shared" si="1"/>
        <v>7.1263227513227514E-2</v>
      </c>
      <c r="F404" s="69">
        <v>15918</v>
      </c>
      <c r="G404" s="70">
        <v>2688</v>
      </c>
      <c r="H404" s="70">
        <v>13230</v>
      </c>
      <c r="I404" s="71" t="s">
        <v>182</v>
      </c>
      <c r="J404" s="213">
        <f t="shared" si="8"/>
        <v>0.16886543535620052</v>
      </c>
    </row>
    <row r="405" spans="1:10" ht="15" x14ac:dyDescent="0.25">
      <c r="A405" s="66">
        <v>44293</v>
      </c>
      <c r="B405" s="69">
        <v>9603</v>
      </c>
      <c r="C405" s="69">
        <v>1239</v>
      </c>
      <c r="D405" s="76">
        <f t="shared" si="0"/>
        <v>8364</v>
      </c>
      <c r="E405" s="77">
        <f t="shared" si="1"/>
        <v>0.12902218056857231</v>
      </c>
      <c r="F405" s="69">
        <v>13296</v>
      </c>
      <c r="G405" s="70">
        <v>2307</v>
      </c>
      <c r="H405" s="70">
        <v>10989</v>
      </c>
      <c r="I405" s="71" t="s">
        <v>202</v>
      </c>
      <c r="J405" s="213">
        <f t="shared" si="8"/>
        <v>0.17351083032490974</v>
      </c>
    </row>
    <row r="406" spans="1:10" ht="15" x14ac:dyDescent="0.25">
      <c r="A406" s="66">
        <v>44294</v>
      </c>
      <c r="B406" s="69">
        <v>10548</v>
      </c>
      <c r="C406" s="69">
        <v>1013</v>
      </c>
      <c r="D406" s="76">
        <f t="shared" si="0"/>
        <v>9535</v>
      </c>
      <c r="E406" s="77">
        <f t="shared" si="1"/>
        <v>9.6037163443306789E-2</v>
      </c>
      <c r="F406" s="69">
        <v>16708</v>
      </c>
      <c r="G406" s="70">
        <v>2363</v>
      </c>
      <c r="H406" s="70">
        <v>14345</v>
      </c>
      <c r="I406" s="71" t="s">
        <v>174</v>
      </c>
      <c r="J406" s="213">
        <f t="shared" si="8"/>
        <v>0.14142925544649271</v>
      </c>
    </row>
    <row r="407" spans="1:10" ht="15" x14ac:dyDescent="0.25">
      <c r="A407" s="66">
        <v>44295</v>
      </c>
      <c r="B407" s="69">
        <v>10442</v>
      </c>
      <c r="C407" s="69">
        <v>977</v>
      </c>
      <c r="D407" s="76">
        <f t="shared" si="0"/>
        <v>9465</v>
      </c>
      <c r="E407" s="77">
        <f t="shared" si="1"/>
        <v>9.356445125454893E-2</v>
      </c>
      <c r="F407" s="69">
        <v>16208</v>
      </c>
      <c r="G407" s="70">
        <v>2356</v>
      </c>
      <c r="H407" s="70">
        <v>13852</v>
      </c>
      <c r="I407" s="71" t="s">
        <v>299</v>
      </c>
      <c r="J407" s="213">
        <f t="shared" si="8"/>
        <v>0.14536031589338599</v>
      </c>
    </row>
    <row r="408" spans="1:10" ht="15" x14ac:dyDescent="0.25">
      <c r="A408" s="66">
        <v>44296</v>
      </c>
      <c r="B408" s="69">
        <v>8868</v>
      </c>
      <c r="C408" s="69">
        <v>1031</v>
      </c>
      <c r="D408" s="76">
        <f t="shared" si="0"/>
        <v>7837</v>
      </c>
      <c r="E408" s="77">
        <f t="shared" si="1"/>
        <v>0.11626071267478574</v>
      </c>
      <c r="F408" s="69">
        <v>14245</v>
      </c>
      <c r="G408" s="70">
        <v>1818</v>
      </c>
      <c r="H408" s="70">
        <v>12427</v>
      </c>
      <c r="I408" s="71" t="s">
        <v>300</v>
      </c>
      <c r="J408" s="213">
        <f t="shared" si="8"/>
        <v>0.12762372762372762</v>
      </c>
    </row>
    <row r="409" spans="1:10" ht="15" x14ac:dyDescent="0.25">
      <c r="A409" s="66">
        <v>44297</v>
      </c>
      <c r="B409" s="69">
        <v>7265</v>
      </c>
      <c r="C409" s="69">
        <v>692</v>
      </c>
      <c r="D409" s="76">
        <f t="shared" si="0"/>
        <v>6573</v>
      </c>
      <c r="E409" s="77">
        <f t="shared" si="1"/>
        <v>9.5251204404679976E-2</v>
      </c>
      <c r="F409" s="69">
        <v>9082</v>
      </c>
      <c r="G409" s="70">
        <v>1213</v>
      </c>
      <c r="H409" s="70">
        <v>7869</v>
      </c>
      <c r="I409" s="71" t="s">
        <v>217</v>
      </c>
      <c r="J409" s="213">
        <f t="shared" si="8"/>
        <v>0.13356088967187843</v>
      </c>
    </row>
    <row r="410" spans="1:10" ht="15" x14ac:dyDescent="0.25">
      <c r="A410" s="66">
        <v>44298</v>
      </c>
      <c r="B410" s="69">
        <v>7576</v>
      </c>
      <c r="C410" s="69">
        <v>828</v>
      </c>
      <c r="D410" s="76">
        <f t="shared" si="0"/>
        <v>6748</v>
      </c>
      <c r="E410" s="77">
        <f t="shared" si="1"/>
        <v>0.10929250263991552</v>
      </c>
      <c r="F410" s="69">
        <v>14487</v>
      </c>
      <c r="G410" s="70">
        <v>2357</v>
      </c>
      <c r="H410" s="70">
        <v>12130</v>
      </c>
      <c r="I410" s="71" t="s">
        <v>206</v>
      </c>
      <c r="J410" s="213">
        <f t="shared" si="8"/>
        <v>0.16269759094360461</v>
      </c>
    </row>
    <row r="411" spans="1:10" ht="15" x14ac:dyDescent="0.25">
      <c r="A411" s="66">
        <v>44299</v>
      </c>
      <c r="B411" s="69">
        <v>12934</v>
      </c>
      <c r="C411" s="69">
        <v>661</v>
      </c>
      <c r="D411" s="76">
        <f t="shared" si="0"/>
        <v>12273</v>
      </c>
      <c r="E411" s="77">
        <f t="shared" si="1"/>
        <v>5.1105613112726149E-2</v>
      </c>
      <c r="F411" s="69">
        <v>20115</v>
      </c>
      <c r="G411" s="70">
        <v>3460</v>
      </c>
      <c r="H411" s="70">
        <v>16655</v>
      </c>
      <c r="I411" s="71" t="s">
        <v>115</v>
      </c>
      <c r="J411" s="213">
        <f t="shared" si="8"/>
        <v>0.17201093711160825</v>
      </c>
    </row>
    <row r="412" spans="1:10" ht="15" x14ac:dyDescent="0.25">
      <c r="A412" s="66">
        <v>44300</v>
      </c>
      <c r="B412" s="69">
        <v>10673</v>
      </c>
      <c r="C412" s="69">
        <v>1330</v>
      </c>
      <c r="D412" s="76">
        <f t="shared" si="0"/>
        <v>9343</v>
      </c>
      <c r="E412" s="77">
        <f t="shared" si="1"/>
        <v>0.12461351072800525</v>
      </c>
      <c r="F412" s="69">
        <v>16048</v>
      </c>
      <c r="G412" s="70">
        <v>2723</v>
      </c>
      <c r="H412" s="70">
        <v>13325</v>
      </c>
      <c r="I412" s="71" t="s">
        <v>114</v>
      </c>
      <c r="J412" s="213">
        <f t="shared" si="8"/>
        <v>0.16967846460618147</v>
      </c>
    </row>
    <row r="413" spans="1:10" ht="15" x14ac:dyDescent="0.25">
      <c r="A413" s="66">
        <v>44301</v>
      </c>
      <c r="B413" s="69">
        <v>11191</v>
      </c>
      <c r="C413" s="69">
        <v>979</v>
      </c>
      <c r="D413" s="76">
        <f t="shared" si="0"/>
        <v>10212</v>
      </c>
      <c r="E413" s="77">
        <f t="shared" si="1"/>
        <v>8.7481011527120012E-2</v>
      </c>
      <c r="F413" s="69">
        <v>16409</v>
      </c>
      <c r="G413" s="70">
        <v>2576</v>
      </c>
      <c r="H413" s="70">
        <v>13833</v>
      </c>
      <c r="I413" s="71" t="s">
        <v>181</v>
      </c>
      <c r="J413" s="213">
        <f t="shared" si="8"/>
        <v>0.1569870193186666</v>
      </c>
    </row>
    <row r="414" spans="1:10" ht="15" x14ac:dyDescent="0.25">
      <c r="A414" s="66">
        <v>44302</v>
      </c>
      <c r="B414" s="69">
        <v>10823</v>
      </c>
      <c r="C414" s="69">
        <v>1037</v>
      </c>
      <c r="D414" s="76">
        <f t="shared" si="0"/>
        <v>9786</v>
      </c>
      <c r="E414" s="77">
        <f t="shared" si="1"/>
        <v>9.581446918599279E-2</v>
      </c>
      <c r="F414" s="69">
        <v>14451</v>
      </c>
      <c r="G414" s="70">
        <v>2115</v>
      </c>
      <c r="H414" s="70">
        <v>12336</v>
      </c>
      <c r="I414" s="71" t="s">
        <v>299</v>
      </c>
      <c r="J414" s="213">
        <f t="shared" si="8"/>
        <v>0.14635665351878763</v>
      </c>
    </row>
    <row r="415" spans="1:10" ht="15" x14ac:dyDescent="0.25">
      <c r="A415" s="66">
        <v>44303</v>
      </c>
      <c r="B415" s="69">
        <v>6749</v>
      </c>
      <c r="C415" s="69">
        <v>950</v>
      </c>
      <c r="D415" s="76">
        <f t="shared" si="0"/>
        <v>5799</v>
      </c>
      <c r="E415" s="77">
        <f t="shared" si="1"/>
        <v>0.14076159431026819</v>
      </c>
      <c r="F415" s="69">
        <v>11844</v>
      </c>
      <c r="G415" s="70">
        <v>1964</v>
      </c>
      <c r="H415" s="70">
        <v>9880</v>
      </c>
      <c r="I415" s="71" t="s">
        <v>301</v>
      </c>
      <c r="J415" s="213">
        <f t="shared" si="8"/>
        <v>0.16582235731171902</v>
      </c>
    </row>
    <row r="416" spans="1:10" ht="15" x14ac:dyDescent="0.25">
      <c r="A416" s="66">
        <v>44304</v>
      </c>
      <c r="B416" s="69">
        <v>8565</v>
      </c>
      <c r="C416" s="69">
        <v>973</v>
      </c>
      <c r="D416" s="76">
        <f t="shared" si="0"/>
        <v>7592</v>
      </c>
      <c r="E416" s="77">
        <f t="shared" si="1"/>
        <v>0.11360186806771745</v>
      </c>
      <c r="F416" s="69">
        <v>11099</v>
      </c>
      <c r="G416" s="70">
        <v>1551</v>
      </c>
      <c r="H416" s="70">
        <v>9548</v>
      </c>
      <c r="I416" s="71" t="s">
        <v>302</v>
      </c>
      <c r="J416" s="213">
        <f t="shared" si="8"/>
        <v>0.13974231912784935</v>
      </c>
    </row>
    <row r="417" spans="1:10" ht="15" x14ac:dyDescent="0.25">
      <c r="A417" s="66">
        <v>44305</v>
      </c>
      <c r="B417" s="69">
        <v>8601</v>
      </c>
      <c r="C417" s="69">
        <v>460</v>
      </c>
      <c r="D417" s="76">
        <f t="shared" si="0"/>
        <v>8141</v>
      </c>
      <c r="E417" s="77">
        <f t="shared" si="1"/>
        <v>5.3482153237995579E-2</v>
      </c>
      <c r="F417" s="69">
        <v>13690</v>
      </c>
      <c r="G417" s="70">
        <v>2083</v>
      </c>
      <c r="H417" s="70">
        <v>11607</v>
      </c>
      <c r="I417" s="71" t="s">
        <v>187</v>
      </c>
      <c r="J417" s="213">
        <f t="shared" si="8"/>
        <v>0.15215485756026298</v>
      </c>
    </row>
    <row r="418" spans="1:10" ht="15" x14ac:dyDescent="0.25">
      <c r="A418" s="66">
        <v>44306</v>
      </c>
      <c r="B418" s="69">
        <v>11434</v>
      </c>
      <c r="C418" s="69">
        <v>602</v>
      </c>
      <c r="D418" s="76">
        <f t="shared" si="0"/>
        <v>10832</v>
      </c>
      <c r="E418" s="77">
        <f t="shared" si="1"/>
        <v>5.2649991254154274E-2</v>
      </c>
      <c r="F418" s="69">
        <v>14525</v>
      </c>
      <c r="G418" s="70">
        <v>2487</v>
      </c>
      <c r="H418" s="70">
        <v>12038</v>
      </c>
      <c r="I418" s="71" t="s">
        <v>206</v>
      </c>
      <c r="J418" s="213">
        <f t="shared" si="8"/>
        <v>0.17122203098106711</v>
      </c>
    </row>
    <row r="419" spans="1:10" ht="15" x14ac:dyDescent="0.25">
      <c r="A419" s="66">
        <v>44307</v>
      </c>
      <c r="B419" s="69">
        <v>10519</v>
      </c>
      <c r="C419" s="69">
        <v>1266</v>
      </c>
      <c r="D419" s="76">
        <f t="shared" si="0"/>
        <v>9253</v>
      </c>
      <c r="E419" s="77">
        <f t="shared" si="1"/>
        <v>0.12035364578381975</v>
      </c>
      <c r="F419" s="69">
        <v>13051</v>
      </c>
      <c r="G419" s="70">
        <v>1796</v>
      </c>
      <c r="H419" s="70">
        <v>11255</v>
      </c>
      <c r="I419" s="71" t="s">
        <v>217</v>
      </c>
      <c r="J419" s="213">
        <f t="shared" si="8"/>
        <v>0.13761397594054095</v>
      </c>
    </row>
    <row r="420" spans="1:10" ht="15" x14ac:dyDescent="0.25">
      <c r="A420" s="66">
        <v>44308</v>
      </c>
      <c r="B420" s="69">
        <v>8671</v>
      </c>
      <c r="C420" s="69">
        <v>884</v>
      </c>
      <c r="D420" s="76">
        <f t="shared" si="0"/>
        <v>7787</v>
      </c>
      <c r="E420" s="77">
        <f t="shared" si="1"/>
        <v>0.10194902548725637</v>
      </c>
      <c r="F420" s="69">
        <v>13863</v>
      </c>
      <c r="G420" s="70">
        <v>2054</v>
      </c>
      <c r="H420" s="70">
        <v>11809</v>
      </c>
      <c r="I420" s="71" t="s">
        <v>303</v>
      </c>
      <c r="J420" s="213">
        <f t="shared" si="8"/>
        <v>0.1481641780278439</v>
      </c>
    </row>
    <row r="421" spans="1:10" ht="15" x14ac:dyDescent="0.25">
      <c r="A421" s="66">
        <v>44309</v>
      </c>
      <c r="B421" s="69">
        <v>9747</v>
      </c>
      <c r="C421" s="69">
        <v>907</v>
      </c>
      <c r="D421" s="76">
        <f t="shared" si="0"/>
        <v>8840</v>
      </c>
      <c r="E421" s="77">
        <f t="shared" si="1"/>
        <v>9.3054273109674776E-2</v>
      </c>
      <c r="F421" s="69">
        <v>14348</v>
      </c>
      <c r="G421" s="70">
        <v>2382</v>
      </c>
      <c r="H421" s="70">
        <v>11966</v>
      </c>
      <c r="I421" s="71" t="s">
        <v>206</v>
      </c>
      <c r="J421" s="213">
        <f t="shared" si="8"/>
        <v>0.16601616950097575</v>
      </c>
    </row>
    <row r="422" spans="1:10" ht="15" x14ac:dyDescent="0.25">
      <c r="A422" s="66">
        <v>44310</v>
      </c>
      <c r="B422" s="69">
        <v>7851</v>
      </c>
      <c r="C422" s="69">
        <v>896</v>
      </c>
      <c r="D422" s="76">
        <f t="shared" si="0"/>
        <v>6955</v>
      </c>
      <c r="E422" s="77">
        <f t="shared" si="1"/>
        <v>0.11412558909693032</v>
      </c>
      <c r="F422" s="69">
        <v>13980</v>
      </c>
      <c r="G422" s="70">
        <v>2245</v>
      </c>
      <c r="H422" s="70">
        <v>11735</v>
      </c>
      <c r="I422" s="71" t="s">
        <v>298</v>
      </c>
      <c r="J422" s="213">
        <f t="shared" si="8"/>
        <v>0.16058655221745349</v>
      </c>
    </row>
    <row r="423" spans="1:10" ht="15" x14ac:dyDescent="0.25">
      <c r="A423" s="66">
        <v>44311</v>
      </c>
      <c r="B423" s="69">
        <v>6846</v>
      </c>
      <c r="C423" s="69">
        <v>749</v>
      </c>
      <c r="D423" s="76">
        <f t="shared" si="0"/>
        <v>6097</v>
      </c>
      <c r="E423" s="77">
        <f t="shared" si="1"/>
        <v>0.10940695296523517</v>
      </c>
      <c r="F423" s="69">
        <v>8558</v>
      </c>
      <c r="G423" s="70">
        <v>1480</v>
      </c>
      <c r="H423" s="70">
        <v>7078</v>
      </c>
      <c r="I423" s="71" t="s">
        <v>107</v>
      </c>
      <c r="J423" s="213">
        <f t="shared" si="8"/>
        <v>0.17293760224351484</v>
      </c>
    </row>
    <row r="424" spans="1:10" ht="15" x14ac:dyDescent="0.25">
      <c r="A424" s="66">
        <v>44312</v>
      </c>
      <c r="B424" s="69">
        <v>7856</v>
      </c>
      <c r="C424" s="69">
        <v>393</v>
      </c>
      <c r="D424" s="76">
        <f t="shared" si="0"/>
        <v>7463</v>
      </c>
      <c r="E424" s="77">
        <f t="shared" si="1"/>
        <v>5.0025458248472508E-2</v>
      </c>
      <c r="F424" s="69">
        <v>14746</v>
      </c>
      <c r="G424" s="70">
        <v>2253</v>
      </c>
      <c r="H424" s="70">
        <v>12493</v>
      </c>
      <c r="I424" s="71" t="s">
        <v>180</v>
      </c>
      <c r="J424" s="213">
        <f t="shared" si="8"/>
        <v>0.15278719652787195</v>
      </c>
    </row>
    <row r="425" spans="1:10" ht="15" x14ac:dyDescent="0.25">
      <c r="A425" s="66">
        <v>44313</v>
      </c>
      <c r="B425" s="69">
        <v>10830</v>
      </c>
      <c r="C425" s="69">
        <v>639</v>
      </c>
      <c r="D425" s="76">
        <f t="shared" si="0"/>
        <v>10191</v>
      </c>
      <c r="E425" s="77">
        <f t="shared" si="1"/>
        <v>5.9002770083102493E-2</v>
      </c>
      <c r="F425" s="69">
        <v>14992</v>
      </c>
      <c r="G425" s="70">
        <v>2325</v>
      </c>
      <c r="H425" s="70">
        <v>12667</v>
      </c>
      <c r="I425" s="71" t="s">
        <v>107</v>
      </c>
      <c r="J425" s="213">
        <f t="shared" si="8"/>
        <v>0.15508271077908217</v>
      </c>
    </row>
    <row r="426" spans="1:10" ht="15" x14ac:dyDescent="0.25">
      <c r="A426" s="66">
        <v>44314</v>
      </c>
      <c r="B426" s="69">
        <v>9559</v>
      </c>
      <c r="C426" s="69">
        <v>987</v>
      </c>
      <c r="D426" s="76">
        <f t="shared" si="0"/>
        <v>8572</v>
      </c>
      <c r="E426" s="77">
        <f t="shared" si="1"/>
        <v>0.10325347839732189</v>
      </c>
      <c r="F426" s="69">
        <v>12120</v>
      </c>
      <c r="G426" s="70">
        <v>1863</v>
      </c>
      <c r="H426" s="70">
        <v>10257</v>
      </c>
      <c r="I426" s="71" t="s">
        <v>187</v>
      </c>
      <c r="J426" s="213">
        <f t="shared" si="8"/>
        <v>0.15371287128712871</v>
      </c>
    </row>
    <row r="427" spans="1:10" ht="15" x14ac:dyDescent="0.25">
      <c r="A427" s="66">
        <v>44315</v>
      </c>
      <c r="B427" s="69">
        <v>9712</v>
      </c>
      <c r="C427" s="69">
        <v>789</v>
      </c>
      <c r="D427" s="76">
        <f t="shared" si="0"/>
        <v>8923</v>
      </c>
      <c r="E427" s="77">
        <f t="shared" si="1"/>
        <v>8.1239703459637561E-2</v>
      </c>
      <c r="F427" s="69">
        <v>14576</v>
      </c>
      <c r="G427" s="70">
        <v>2600</v>
      </c>
      <c r="H427" s="70">
        <v>11976</v>
      </c>
      <c r="I427" s="71" t="s">
        <v>194</v>
      </c>
      <c r="J427" s="213">
        <f t="shared" si="8"/>
        <v>0.17837541163556531</v>
      </c>
    </row>
    <row r="428" spans="1:10" ht="15" x14ac:dyDescent="0.25">
      <c r="A428" s="66">
        <v>44316</v>
      </c>
      <c r="B428" s="69">
        <v>9962</v>
      </c>
      <c r="C428" s="69">
        <v>926</v>
      </c>
      <c r="D428" s="76">
        <f t="shared" si="0"/>
        <v>9036</v>
      </c>
      <c r="E428" s="77">
        <f t="shared" si="1"/>
        <v>9.2953222244529204E-2</v>
      </c>
      <c r="F428" s="69">
        <v>17048</v>
      </c>
      <c r="G428" s="70">
        <v>2163</v>
      </c>
      <c r="H428" s="70">
        <v>14885</v>
      </c>
      <c r="I428" s="71" t="s">
        <v>220</v>
      </c>
      <c r="J428" s="213">
        <f t="shared" si="8"/>
        <v>0.12687705302674801</v>
      </c>
    </row>
    <row r="429" spans="1:10" ht="15" x14ac:dyDescent="0.25">
      <c r="A429" s="66">
        <v>44317</v>
      </c>
      <c r="B429" s="69">
        <v>6957</v>
      </c>
      <c r="C429" s="69">
        <v>854</v>
      </c>
      <c r="D429" s="76">
        <f t="shared" si="0"/>
        <v>6103</v>
      </c>
      <c r="E429" s="77">
        <f t="shared" si="1"/>
        <v>0.12275406065832974</v>
      </c>
      <c r="F429" s="69">
        <v>11590</v>
      </c>
      <c r="G429" s="70">
        <v>2128</v>
      </c>
      <c r="H429" s="70">
        <v>9462</v>
      </c>
      <c r="I429" s="71" t="s">
        <v>183</v>
      </c>
      <c r="J429" s="213">
        <f t="shared" si="8"/>
        <v>0.18360655737704917</v>
      </c>
    </row>
    <row r="430" spans="1:10" ht="15" x14ac:dyDescent="0.25">
      <c r="A430" s="66">
        <v>44318</v>
      </c>
      <c r="B430" s="69">
        <v>6765</v>
      </c>
      <c r="C430" s="69">
        <v>757</v>
      </c>
      <c r="D430" s="76">
        <f t="shared" si="0"/>
        <v>6008</v>
      </c>
      <c r="E430" s="77">
        <f t="shared" si="1"/>
        <v>0.11189948263118994</v>
      </c>
      <c r="F430" s="69">
        <v>9020</v>
      </c>
      <c r="G430" s="70">
        <v>888</v>
      </c>
      <c r="H430" s="70">
        <v>8132</v>
      </c>
      <c r="I430" s="71" t="s">
        <v>167</v>
      </c>
      <c r="J430" s="213">
        <f t="shared" si="8"/>
        <v>9.8447893569844791E-2</v>
      </c>
    </row>
    <row r="431" spans="1:10" ht="15" x14ac:dyDescent="0.25">
      <c r="A431" s="66">
        <v>44319</v>
      </c>
      <c r="B431" s="69">
        <v>8154</v>
      </c>
      <c r="C431" s="69">
        <v>416</v>
      </c>
      <c r="D431" s="76">
        <f t="shared" si="0"/>
        <v>7738</v>
      </c>
      <c r="E431" s="77">
        <f t="shared" si="1"/>
        <v>5.1017905322541086E-2</v>
      </c>
      <c r="F431" s="69">
        <v>17082</v>
      </c>
      <c r="G431" s="70">
        <v>2275</v>
      </c>
      <c r="H431" s="70">
        <v>14807</v>
      </c>
      <c r="I431" s="71" t="s">
        <v>127</v>
      </c>
      <c r="J431" s="213">
        <f t="shared" si="8"/>
        <v>0.13318112633181126</v>
      </c>
    </row>
    <row r="432" spans="1:10" ht="15" x14ac:dyDescent="0.25">
      <c r="A432" s="66">
        <v>44320</v>
      </c>
      <c r="B432" s="69">
        <v>10686</v>
      </c>
      <c r="C432" s="69">
        <v>845</v>
      </c>
      <c r="D432" s="76">
        <f t="shared" si="0"/>
        <v>9841</v>
      </c>
      <c r="E432" s="77">
        <f t="shared" si="1"/>
        <v>7.9075425790754258E-2</v>
      </c>
      <c r="F432" s="69">
        <v>17285</v>
      </c>
      <c r="G432" s="70">
        <v>2448</v>
      </c>
      <c r="H432" s="70">
        <v>14837</v>
      </c>
      <c r="I432" s="71" t="s">
        <v>174</v>
      </c>
      <c r="J432" s="213">
        <f t="shared" si="8"/>
        <v>0.14162568701185999</v>
      </c>
    </row>
    <row r="433" spans="1:10" ht="15" x14ac:dyDescent="0.25">
      <c r="A433" s="66">
        <v>44321</v>
      </c>
      <c r="B433" s="69">
        <v>11480</v>
      </c>
      <c r="C433" s="69">
        <v>905</v>
      </c>
      <c r="D433" s="76">
        <f t="shared" si="0"/>
        <v>10575</v>
      </c>
      <c r="E433" s="77">
        <f t="shared" si="1"/>
        <v>7.8832752613240423E-2</v>
      </c>
      <c r="F433" s="69">
        <v>16710</v>
      </c>
      <c r="G433" s="70">
        <v>2208</v>
      </c>
      <c r="H433" s="70">
        <v>14502</v>
      </c>
      <c r="I433" s="71" t="s">
        <v>177</v>
      </c>
      <c r="J433" s="213">
        <f t="shared" si="8"/>
        <v>0.13213644524236984</v>
      </c>
    </row>
    <row r="434" spans="1:10" ht="15" x14ac:dyDescent="0.25">
      <c r="A434" s="66">
        <v>44322</v>
      </c>
      <c r="B434" s="69">
        <v>10752</v>
      </c>
      <c r="C434" s="69">
        <v>783</v>
      </c>
      <c r="D434" s="76">
        <f t="shared" si="0"/>
        <v>9969</v>
      </c>
      <c r="E434" s="77">
        <f t="shared" si="1"/>
        <v>7.2823660714285712E-2</v>
      </c>
      <c r="F434" s="69">
        <v>17747</v>
      </c>
      <c r="G434" s="70">
        <v>2114</v>
      </c>
      <c r="H434" s="70">
        <v>15633</v>
      </c>
      <c r="I434" s="71" t="s">
        <v>148</v>
      </c>
      <c r="J434" s="213">
        <f t="shared" si="8"/>
        <v>0.11911872429142954</v>
      </c>
    </row>
    <row r="435" spans="1:10" ht="15" x14ac:dyDescent="0.25">
      <c r="A435" s="66">
        <v>44323</v>
      </c>
      <c r="B435" s="69">
        <v>9612</v>
      </c>
      <c r="C435" s="69">
        <v>732</v>
      </c>
      <c r="D435" s="76">
        <f t="shared" si="0"/>
        <v>8880</v>
      </c>
      <c r="E435" s="77">
        <f t="shared" si="1"/>
        <v>7.6154806491885149E-2</v>
      </c>
      <c r="F435" s="69">
        <v>15473</v>
      </c>
      <c r="G435" s="70">
        <v>2196</v>
      </c>
      <c r="H435" s="70">
        <v>13277</v>
      </c>
      <c r="I435" s="71" t="s">
        <v>174</v>
      </c>
      <c r="J435" s="213">
        <f t="shared" si="8"/>
        <v>0.1419246429263879</v>
      </c>
    </row>
    <row r="436" spans="1:10" ht="15" x14ac:dyDescent="0.25">
      <c r="A436" s="66">
        <v>44324</v>
      </c>
      <c r="B436" s="69">
        <v>8206</v>
      </c>
      <c r="C436" s="69">
        <v>809</v>
      </c>
      <c r="D436" s="76">
        <f t="shared" si="0"/>
        <v>7397</v>
      </c>
      <c r="E436" s="77">
        <f t="shared" si="1"/>
        <v>9.8586400194979287E-2</v>
      </c>
      <c r="F436" s="69">
        <v>13267</v>
      </c>
      <c r="G436" s="70">
        <v>1968</v>
      </c>
      <c r="H436" s="70">
        <v>11299</v>
      </c>
      <c r="I436" s="71" t="s">
        <v>225</v>
      </c>
      <c r="J436" s="213">
        <f t="shared" si="8"/>
        <v>0.14833798145775232</v>
      </c>
    </row>
    <row r="437" spans="1:10" ht="15" x14ac:dyDescent="0.25">
      <c r="A437" s="66">
        <v>44325</v>
      </c>
      <c r="B437" s="69">
        <v>6910</v>
      </c>
      <c r="C437" s="69">
        <v>694</v>
      </c>
      <c r="D437" s="76">
        <f t="shared" si="0"/>
        <v>6216</v>
      </c>
      <c r="E437" s="77">
        <f t="shared" si="1"/>
        <v>0.10043415340086831</v>
      </c>
      <c r="F437" s="69">
        <v>9872</v>
      </c>
      <c r="G437" s="70">
        <v>2004</v>
      </c>
      <c r="H437" s="70">
        <v>7868</v>
      </c>
      <c r="I437" s="71" t="s">
        <v>298</v>
      </c>
      <c r="J437" s="213">
        <f t="shared" si="8"/>
        <v>0.20299837925445705</v>
      </c>
    </row>
    <row r="438" spans="1:10" ht="15" x14ac:dyDescent="0.25">
      <c r="A438" s="66">
        <v>44326</v>
      </c>
      <c r="B438" s="69">
        <v>6139</v>
      </c>
      <c r="C438" s="69">
        <v>406</v>
      </c>
      <c r="D438" s="76">
        <f t="shared" si="0"/>
        <v>5733</v>
      </c>
      <c r="E438" s="77">
        <f t="shared" si="1"/>
        <v>6.6134549600912196E-2</v>
      </c>
      <c r="F438" s="69">
        <v>9997</v>
      </c>
      <c r="G438" s="70">
        <v>1711</v>
      </c>
      <c r="H438" s="70">
        <v>8286</v>
      </c>
      <c r="I438" s="71" t="s">
        <v>114</v>
      </c>
      <c r="J438" s="213">
        <f t="shared" si="8"/>
        <v>0.17115134540362109</v>
      </c>
    </row>
    <row r="439" spans="1:10" ht="15" x14ac:dyDescent="0.25">
      <c r="A439" s="66">
        <v>44327</v>
      </c>
      <c r="B439" s="69">
        <v>8182</v>
      </c>
      <c r="C439" s="69">
        <v>656</v>
      </c>
      <c r="D439" s="76">
        <f t="shared" si="0"/>
        <v>7526</v>
      </c>
      <c r="E439" s="77">
        <f t="shared" si="1"/>
        <v>8.0175996088975798E-2</v>
      </c>
      <c r="F439" s="69">
        <v>11689</v>
      </c>
      <c r="G439" s="70">
        <v>1640</v>
      </c>
      <c r="H439" s="70">
        <v>10049</v>
      </c>
      <c r="I439" s="71" t="s">
        <v>202</v>
      </c>
      <c r="J439" s="213">
        <f t="shared" si="8"/>
        <v>0.14030284883223543</v>
      </c>
    </row>
    <row r="440" spans="1:10" ht="15" x14ac:dyDescent="0.25">
      <c r="A440" s="66">
        <v>44328</v>
      </c>
      <c r="B440" s="69">
        <v>8229</v>
      </c>
      <c r="C440" s="69">
        <v>785</v>
      </c>
      <c r="D440" s="76">
        <f t="shared" si="0"/>
        <v>7444</v>
      </c>
      <c r="E440" s="77">
        <f t="shared" si="1"/>
        <v>9.5394337100498244E-2</v>
      </c>
      <c r="F440" s="69">
        <v>11757</v>
      </c>
      <c r="G440" s="70">
        <v>1730</v>
      </c>
      <c r="H440" s="70">
        <v>10027</v>
      </c>
      <c r="I440" s="71" t="s">
        <v>195</v>
      </c>
      <c r="J440" s="213">
        <f t="shared" si="8"/>
        <v>0.14714638087947607</v>
      </c>
    </row>
    <row r="441" spans="1:10" ht="15" x14ac:dyDescent="0.25">
      <c r="A441" s="66">
        <v>44329</v>
      </c>
      <c r="B441" s="69">
        <v>4590</v>
      </c>
      <c r="C441" s="69">
        <v>632</v>
      </c>
      <c r="D441" s="76">
        <f t="shared" si="0"/>
        <v>3958</v>
      </c>
      <c r="E441" s="77">
        <f t="shared" si="1"/>
        <v>0.13769063180827887</v>
      </c>
      <c r="F441" s="69">
        <v>6121</v>
      </c>
      <c r="G441" s="70">
        <v>923</v>
      </c>
      <c r="H441" s="70">
        <v>5198</v>
      </c>
      <c r="I441" s="71" t="s">
        <v>127</v>
      </c>
      <c r="J441" s="213">
        <f t="shared" si="8"/>
        <v>0.15079235419049175</v>
      </c>
    </row>
    <row r="442" spans="1:10" ht="15" x14ac:dyDescent="0.25">
      <c r="A442" s="66">
        <v>44330</v>
      </c>
      <c r="B442" s="69">
        <v>4032</v>
      </c>
      <c r="C442" s="69">
        <v>227</v>
      </c>
      <c r="D442" s="76">
        <f t="shared" si="0"/>
        <v>3805</v>
      </c>
      <c r="E442" s="77">
        <f t="shared" si="1"/>
        <v>5.6299603174603176E-2</v>
      </c>
      <c r="F442" s="69">
        <v>6056</v>
      </c>
      <c r="G442" s="70">
        <v>912</v>
      </c>
      <c r="H442" s="70">
        <v>5144</v>
      </c>
      <c r="I442" s="71" t="s">
        <v>215</v>
      </c>
      <c r="J442" s="213">
        <f t="shared" si="8"/>
        <v>0.15059445178335534</v>
      </c>
    </row>
    <row r="443" spans="1:10" ht="15" x14ac:dyDescent="0.25">
      <c r="A443" s="66">
        <v>44331</v>
      </c>
      <c r="B443" s="69">
        <v>3580</v>
      </c>
      <c r="C443" s="69">
        <v>161</v>
      </c>
      <c r="D443" s="76">
        <f t="shared" si="0"/>
        <v>3419</v>
      </c>
      <c r="E443" s="77">
        <f t="shared" si="1"/>
        <v>4.4972067039106146E-2</v>
      </c>
      <c r="F443" s="69">
        <v>6760</v>
      </c>
      <c r="G443" s="70">
        <v>969</v>
      </c>
      <c r="H443" s="70">
        <v>5791</v>
      </c>
      <c r="I443" s="71" t="s">
        <v>299</v>
      </c>
      <c r="J443" s="213">
        <f t="shared" si="8"/>
        <v>0.14334319526627218</v>
      </c>
    </row>
    <row r="444" spans="1:10" ht="15" x14ac:dyDescent="0.25">
      <c r="A444" s="66">
        <v>44332</v>
      </c>
      <c r="B444" s="69">
        <v>4361</v>
      </c>
      <c r="C444" s="69">
        <v>421</v>
      </c>
      <c r="D444" s="81">
        <f t="shared" si="0"/>
        <v>3940</v>
      </c>
      <c r="E444" s="82">
        <f t="shared" si="1"/>
        <v>9.6537491401054804E-2</v>
      </c>
      <c r="F444" s="69">
        <v>6230</v>
      </c>
      <c r="G444" s="70">
        <v>930</v>
      </c>
      <c r="H444" s="70">
        <v>5300</v>
      </c>
      <c r="I444" s="71" t="s">
        <v>304</v>
      </c>
      <c r="J444" s="213">
        <f t="shared" si="8"/>
        <v>0.1492776886035313</v>
      </c>
    </row>
    <row r="445" spans="1:10" ht="15" x14ac:dyDescent="0.25">
      <c r="A445" s="66">
        <v>44333</v>
      </c>
      <c r="B445" s="69">
        <v>4131</v>
      </c>
      <c r="C445" s="69">
        <v>291</v>
      </c>
      <c r="D445" s="76">
        <f t="shared" si="0"/>
        <v>3840</v>
      </c>
      <c r="E445" s="77">
        <f t="shared" si="1"/>
        <v>7.0442992011619465E-2</v>
      </c>
      <c r="F445" s="69">
        <v>11350</v>
      </c>
      <c r="G445" s="70">
        <v>1400</v>
      </c>
      <c r="H445" s="70">
        <v>9950</v>
      </c>
      <c r="I445" s="71" t="s">
        <v>305</v>
      </c>
      <c r="J445" s="213">
        <f t="shared" si="8"/>
        <v>0.12334801762114538</v>
      </c>
    </row>
    <row r="446" spans="1:10" ht="15" x14ac:dyDescent="0.25">
      <c r="A446" s="66">
        <v>44334</v>
      </c>
      <c r="B446" s="69">
        <v>4494</v>
      </c>
      <c r="C446" s="69">
        <v>539</v>
      </c>
      <c r="D446" s="76">
        <f t="shared" si="0"/>
        <v>3955</v>
      </c>
      <c r="E446" s="77">
        <f t="shared" si="1"/>
        <v>0.11993769470404984</v>
      </c>
      <c r="F446" s="69">
        <v>10705</v>
      </c>
      <c r="G446" s="70">
        <v>941</v>
      </c>
      <c r="H446" s="70">
        <v>9764</v>
      </c>
      <c r="I446" s="71" t="s">
        <v>186</v>
      </c>
      <c r="J446" s="213">
        <f t="shared" si="8"/>
        <v>8.7902849135917796E-2</v>
      </c>
    </row>
    <row r="447" spans="1:10" ht="15" x14ac:dyDescent="0.25">
      <c r="A447" s="66">
        <v>44335</v>
      </c>
      <c r="B447" s="69">
        <v>8307</v>
      </c>
      <c r="C447" s="69">
        <v>895</v>
      </c>
      <c r="D447" s="76">
        <f t="shared" si="0"/>
        <v>7412</v>
      </c>
      <c r="E447" s="77">
        <f t="shared" si="1"/>
        <v>0.10774045985313591</v>
      </c>
      <c r="F447" s="69">
        <v>10651</v>
      </c>
      <c r="G447" s="70">
        <v>1895</v>
      </c>
      <c r="H447" s="70">
        <v>8756</v>
      </c>
      <c r="I447" s="71" t="s">
        <v>185</v>
      </c>
      <c r="J447" s="213">
        <f t="shared" si="8"/>
        <v>0.17791756642568773</v>
      </c>
    </row>
    <row r="448" spans="1:10" ht="15" x14ac:dyDescent="0.25">
      <c r="A448" s="66">
        <v>44336</v>
      </c>
      <c r="B448" s="69">
        <v>8168</v>
      </c>
      <c r="C448" s="69">
        <v>856</v>
      </c>
      <c r="D448" s="76">
        <f t="shared" si="0"/>
        <v>7312</v>
      </c>
      <c r="E448" s="77">
        <f t="shared" si="1"/>
        <v>0.10479921645445642</v>
      </c>
      <c r="F448" s="69">
        <v>10473</v>
      </c>
      <c r="G448" s="70">
        <v>1646</v>
      </c>
      <c r="H448" s="70">
        <v>8827</v>
      </c>
      <c r="I448" s="71" t="s">
        <v>163</v>
      </c>
      <c r="J448" s="213">
        <f t="shared" si="8"/>
        <v>0.15716604602310705</v>
      </c>
    </row>
    <row r="449" spans="1:10" ht="15" x14ac:dyDescent="0.25">
      <c r="A449" s="66">
        <v>44337</v>
      </c>
      <c r="B449" s="69">
        <v>14265</v>
      </c>
      <c r="C449" s="69">
        <v>932</v>
      </c>
      <c r="D449" s="76">
        <f t="shared" si="0"/>
        <v>13333</v>
      </c>
      <c r="E449" s="77">
        <f t="shared" si="1"/>
        <v>6.5334735366281108E-2</v>
      </c>
      <c r="F449" s="69">
        <v>20379</v>
      </c>
      <c r="G449" s="70">
        <v>2184</v>
      </c>
      <c r="H449" s="70">
        <v>18195</v>
      </c>
      <c r="I449" s="71" t="s">
        <v>112</v>
      </c>
      <c r="J449" s="213">
        <f t="shared" si="8"/>
        <v>0.10716914470778743</v>
      </c>
    </row>
    <row r="450" spans="1:10" ht="15" x14ac:dyDescent="0.25">
      <c r="A450" s="66">
        <v>44338</v>
      </c>
      <c r="B450" s="69">
        <v>8669</v>
      </c>
      <c r="C450" s="69">
        <v>867</v>
      </c>
      <c r="D450" s="76">
        <f t="shared" si="0"/>
        <v>7802</v>
      </c>
      <c r="E450" s="77">
        <f t="shared" si="1"/>
        <v>0.10001153535586572</v>
      </c>
      <c r="F450" s="69">
        <v>16501</v>
      </c>
      <c r="G450" s="70">
        <v>1834</v>
      </c>
      <c r="H450" s="70">
        <v>14667</v>
      </c>
      <c r="I450" s="71" t="s">
        <v>306</v>
      </c>
      <c r="J450" s="213">
        <f t="shared" si="8"/>
        <v>0.11114477910429671</v>
      </c>
    </row>
    <row r="451" spans="1:10" ht="15" x14ac:dyDescent="0.25">
      <c r="A451" s="66">
        <v>44339</v>
      </c>
      <c r="B451" s="69">
        <v>8361</v>
      </c>
      <c r="C451" s="69">
        <v>819</v>
      </c>
      <c r="D451" s="76">
        <f t="shared" si="0"/>
        <v>7542</v>
      </c>
      <c r="E451" s="77">
        <f t="shared" si="1"/>
        <v>9.7954790096878366E-2</v>
      </c>
      <c r="F451" s="69">
        <v>10895</v>
      </c>
      <c r="G451" s="70">
        <v>974</v>
      </c>
      <c r="H451" s="70">
        <v>9921</v>
      </c>
      <c r="I451" s="71" t="s">
        <v>122</v>
      </c>
      <c r="J451" s="213">
        <f t="shared" ref="J451:J514" si="9">G451/F451</f>
        <v>8.9398806792106475E-2</v>
      </c>
    </row>
    <row r="452" spans="1:10" ht="15" x14ac:dyDescent="0.25">
      <c r="A452" s="66">
        <v>44340</v>
      </c>
      <c r="B452" s="69">
        <v>9341</v>
      </c>
      <c r="C452" s="69">
        <v>384</v>
      </c>
      <c r="D452" s="76">
        <f t="shared" si="0"/>
        <v>8957</v>
      </c>
      <c r="E452" s="77">
        <f t="shared" si="1"/>
        <v>4.1109088962637833E-2</v>
      </c>
      <c r="F452" s="69">
        <v>13737</v>
      </c>
      <c r="G452" s="70">
        <v>1893</v>
      </c>
      <c r="H452" s="70">
        <v>11844</v>
      </c>
      <c r="I452" s="71" t="s">
        <v>175</v>
      </c>
      <c r="J452" s="213">
        <f t="shared" si="9"/>
        <v>0.13780301375846254</v>
      </c>
    </row>
    <row r="453" spans="1:10" ht="15" x14ac:dyDescent="0.25">
      <c r="A453" s="66">
        <v>44341</v>
      </c>
      <c r="B453" s="69">
        <v>13768</v>
      </c>
      <c r="C453" s="69">
        <v>617</v>
      </c>
      <c r="D453" s="76">
        <f t="shared" si="0"/>
        <v>13151</v>
      </c>
      <c r="E453" s="77">
        <f t="shared" si="1"/>
        <v>4.4814061592097616E-2</v>
      </c>
      <c r="F453" s="69">
        <v>19669</v>
      </c>
      <c r="G453" s="70">
        <v>2215</v>
      </c>
      <c r="H453" s="70">
        <v>17454</v>
      </c>
      <c r="I453" s="71" t="s">
        <v>155</v>
      </c>
      <c r="J453" s="213">
        <f t="shared" si="9"/>
        <v>0.11261375768976561</v>
      </c>
    </row>
    <row r="454" spans="1:10" ht="15" x14ac:dyDescent="0.25">
      <c r="A454" s="66">
        <v>44342</v>
      </c>
      <c r="B454" s="69">
        <v>8524</v>
      </c>
      <c r="C454" s="69">
        <v>940</v>
      </c>
      <c r="D454" s="76">
        <f t="shared" si="0"/>
        <v>7584</v>
      </c>
      <c r="E454" s="77">
        <f t="shared" si="1"/>
        <v>0.11027686532144533</v>
      </c>
      <c r="F454" s="69">
        <v>11620</v>
      </c>
      <c r="G454" s="70">
        <v>1189</v>
      </c>
      <c r="H454" s="70">
        <v>10431</v>
      </c>
      <c r="I454" s="71" t="s">
        <v>101</v>
      </c>
      <c r="J454" s="213">
        <f t="shared" si="9"/>
        <v>0.10232358003442341</v>
      </c>
    </row>
    <row r="455" spans="1:10" ht="15" x14ac:dyDescent="0.25">
      <c r="A455" s="66">
        <v>44343</v>
      </c>
      <c r="B455" s="69">
        <v>9599</v>
      </c>
      <c r="C455" s="69">
        <v>693</v>
      </c>
      <c r="D455" s="76">
        <f t="shared" si="0"/>
        <v>8906</v>
      </c>
      <c r="E455" s="77">
        <f t="shared" si="1"/>
        <v>7.219502031461611E-2</v>
      </c>
      <c r="F455" s="69">
        <v>13241</v>
      </c>
      <c r="G455" s="70">
        <v>1595</v>
      </c>
      <c r="H455" s="70">
        <v>11646</v>
      </c>
      <c r="I455" s="71" t="s">
        <v>305</v>
      </c>
      <c r="J455" s="213">
        <f t="shared" si="9"/>
        <v>0.12045917982025527</v>
      </c>
    </row>
    <row r="456" spans="1:10" ht="15" x14ac:dyDescent="0.25">
      <c r="A456" s="66">
        <v>44344</v>
      </c>
      <c r="B456" s="69">
        <v>13247</v>
      </c>
      <c r="C456" s="69">
        <v>807</v>
      </c>
      <c r="D456" s="76">
        <f t="shared" si="0"/>
        <v>12440</v>
      </c>
      <c r="E456" s="77">
        <f t="shared" si="1"/>
        <v>6.0919453461161018E-2</v>
      </c>
      <c r="F456" s="69">
        <v>18817</v>
      </c>
      <c r="G456" s="70">
        <v>2425</v>
      </c>
      <c r="H456" s="70">
        <v>16392</v>
      </c>
      <c r="I456" s="71" t="s">
        <v>223</v>
      </c>
      <c r="J456" s="213">
        <f t="shared" si="9"/>
        <v>0.12887282776212999</v>
      </c>
    </row>
    <row r="457" spans="1:10" ht="15" x14ac:dyDescent="0.25">
      <c r="A457" s="66">
        <v>44345</v>
      </c>
      <c r="B457" s="69">
        <v>10573</v>
      </c>
      <c r="C457" s="69">
        <v>1064</v>
      </c>
      <c r="D457" s="76">
        <f t="shared" si="0"/>
        <v>9509</v>
      </c>
      <c r="E457" s="77">
        <f t="shared" si="1"/>
        <v>0.10063368958668306</v>
      </c>
      <c r="F457" s="69">
        <v>15193</v>
      </c>
      <c r="G457" s="70">
        <v>1890</v>
      </c>
      <c r="H457" s="70">
        <v>13303</v>
      </c>
      <c r="I457" s="71" t="s">
        <v>307</v>
      </c>
      <c r="J457" s="213">
        <f t="shared" si="9"/>
        <v>0.12439939445797407</v>
      </c>
    </row>
    <row r="458" spans="1:10" ht="15" x14ac:dyDescent="0.25">
      <c r="A458" s="66">
        <v>44346</v>
      </c>
      <c r="B458" s="69">
        <v>7322</v>
      </c>
      <c r="C458" s="69">
        <v>726</v>
      </c>
      <c r="D458" s="76">
        <f t="shared" si="0"/>
        <v>6596</v>
      </c>
      <c r="E458" s="77">
        <f t="shared" si="1"/>
        <v>9.9153236820540835E-2</v>
      </c>
      <c r="F458" s="69">
        <v>11265</v>
      </c>
      <c r="G458" s="70">
        <v>1157</v>
      </c>
      <c r="H458" s="70">
        <v>10108</v>
      </c>
      <c r="I458" s="71" t="s">
        <v>308</v>
      </c>
      <c r="J458" s="213">
        <f t="shared" si="9"/>
        <v>0.1027075011096316</v>
      </c>
    </row>
    <row r="459" spans="1:10" ht="15" x14ac:dyDescent="0.25">
      <c r="A459" s="66">
        <v>44347</v>
      </c>
      <c r="B459" s="69">
        <v>6847</v>
      </c>
      <c r="C459" s="69">
        <v>519</v>
      </c>
      <c r="D459" s="76">
        <f t="shared" si="0"/>
        <v>6328</v>
      </c>
      <c r="E459" s="77">
        <f t="shared" si="1"/>
        <v>7.5799620271651824E-2</v>
      </c>
      <c r="F459" s="69">
        <v>15974</v>
      </c>
      <c r="G459" s="70">
        <v>2207</v>
      </c>
      <c r="H459" s="70">
        <v>13767</v>
      </c>
      <c r="I459" s="71" t="s">
        <v>217</v>
      </c>
      <c r="J459" s="213">
        <f t="shared" si="9"/>
        <v>0.1381620132715663</v>
      </c>
    </row>
    <row r="460" spans="1:10" ht="15" x14ac:dyDescent="0.25">
      <c r="A460" s="66">
        <v>44348</v>
      </c>
      <c r="B460" s="69">
        <v>6917</v>
      </c>
      <c r="C460" s="69">
        <v>601</v>
      </c>
      <c r="D460" s="76">
        <f t="shared" si="0"/>
        <v>6316</v>
      </c>
      <c r="E460" s="77">
        <f t="shared" si="1"/>
        <v>8.6887378921497754E-2</v>
      </c>
      <c r="F460" s="69">
        <v>10325</v>
      </c>
      <c r="G460" s="70">
        <v>1303</v>
      </c>
      <c r="H460" s="70">
        <v>9022</v>
      </c>
      <c r="I460" s="71" t="s">
        <v>220</v>
      </c>
      <c r="J460" s="213">
        <f t="shared" si="9"/>
        <v>0.12619854721549637</v>
      </c>
    </row>
    <row r="461" spans="1:10" ht="15" x14ac:dyDescent="0.25">
      <c r="A461" s="66">
        <v>44349</v>
      </c>
      <c r="B461" s="69">
        <v>9849</v>
      </c>
      <c r="C461" s="69">
        <v>714</v>
      </c>
      <c r="D461" s="76">
        <f t="shared" si="0"/>
        <v>9135</v>
      </c>
      <c r="E461" s="77">
        <f t="shared" si="1"/>
        <v>7.2494669509594878E-2</v>
      </c>
      <c r="F461" s="69">
        <v>14377</v>
      </c>
      <c r="G461" s="70">
        <v>2204</v>
      </c>
      <c r="H461" s="70">
        <v>12173</v>
      </c>
      <c r="I461" s="71" t="s">
        <v>181</v>
      </c>
      <c r="J461" s="213">
        <f t="shared" si="9"/>
        <v>0.15330041037768657</v>
      </c>
    </row>
    <row r="462" spans="1:10" ht="15" x14ac:dyDescent="0.25">
      <c r="A462" s="66">
        <v>44350</v>
      </c>
      <c r="B462" s="69">
        <v>14450</v>
      </c>
      <c r="C462" s="69">
        <v>906</v>
      </c>
      <c r="D462" s="76">
        <f t="shared" si="0"/>
        <v>13544</v>
      </c>
      <c r="E462" s="77">
        <f t="shared" si="1"/>
        <v>6.2698961937716263E-2</v>
      </c>
      <c r="F462" s="69">
        <v>20055</v>
      </c>
      <c r="G462" s="70">
        <v>2966</v>
      </c>
      <c r="H462" s="70">
        <v>17089</v>
      </c>
      <c r="I462" s="71" t="s">
        <v>309</v>
      </c>
      <c r="J462" s="213">
        <f t="shared" si="9"/>
        <v>0.14789329344303168</v>
      </c>
    </row>
    <row r="463" spans="1:10" ht="15" x14ac:dyDescent="0.25">
      <c r="A463" s="66">
        <v>44351</v>
      </c>
      <c r="B463" s="69">
        <v>10605</v>
      </c>
      <c r="C463" s="69">
        <v>1317</v>
      </c>
      <c r="D463" s="76">
        <f t="shared" si="0"/>
        <v>9288</v>
      </c>
      <c r="E463" s="77">
        <f t="shared" si="1"/>
        <v>0.12418670438472419</v>
      </c>
      <c r="F463" s="69">
        <v>14603</v>
      </c>
      <c r="G463" s="70">
        <v>2062</v>
      </c>
      <c r="H463" s="70">
        <v>12541</v>
      </c>
      <c r="I463" s="71" t="s">
        <v>179</v>
      </c>
      <c r="J463" s="213">
        <f t="shared" si="9"/>
        <v>0.14120386222009176</v>
      </c>
    </row>
    <row r="464" spans="1:10" ht="15" x14ac:dyDescent="0.25">
      <c r="A464" s="66">
        <v>44352</v>
      </c>
      <c r="B464" s="69">
        <v>7625</v>
      </c>
      <c r="C464" s="69">
        <v>1019</v>
      </c>
      <c r="D464" s="76">
        <f t="shared" si="0"/>
        <v>6606</v>
      </c>
      <c r="E464" s="77">
        <f t="shared" si="1"/>
        <v>0.1336393442622951</v>
      </c>
      <c r="F464" s="69">
        <v>13465</v>
      </c>
      <c r="G464" s="70">
        <v>2651</v>
      </c>
      <c r="H464" s="70">
        <v>10814</v>
      </c>
      <c r="I464" s="71" t="s">
        <v>310</v>
      </c>
      <c r="J464" s="213">
        <f t="shared" si="9"/>
        <v>0.19688080207946529</v>
      </c>
    </row>
    <row r="465" spans="1:14" ht="15" x14ac:dyDescent="0.25">
      <c r="A465" s="66">
        <v>44353</v>
      </c>
      <c r="B465" s="69">
        <v>6698</v>
      </c>
      <c r="C465" s="69">
        <v>1197</v>
      </c>
      <c r="D465" s="76">
        <f t="shared" si="0"/>
        <v>5501</v>
      </c>
      <c r="E465" s="77">
        <f t="shared" si="1"/>
        <v>0.17871006270528517</v>
      </c>
      <c r="F465" s="69">
        <v>8921</v>
      </c>
      <c r="G465" s="70">
        <v>1340</v>
      </c>
      <c r="H465" s="70">
        <v>7581</v>
      </c>
      <c r="I465" s="71" t="s">
        <v>219</v>
      </c>
      <c r="J465" s="213">
        <f t="shared" si="9"/>
        <v>0.1502073758547248</v>
      </c>
    </row>
    <row r="466" spans="1:14" ht="15" x14ac:dyDescent="0.25">
      <c r="A466" s="66">
        <v>44354</v>
      </c>
      <c r="B466" s="69">
        <v>7237</v>
      </c>
      <c r="C466" s="69">
        <v>755</v>
      </c>
      <c r="D466" s="76">
        <f t="shared" si="0"/>
        <v>6482</v>
      </c>
      <c r="E466" s="77">
        <f t="shared" si="1"/>
        <v>0.10432499654552992</v>
      </c>
      <c r="F466" s="69">
        <v>12963</v>
      </c>
      <c r="G466" s="70">
        <v>2629</v>
      </c>
      <c r="H466" s="70">
        <v>10334</v>
      </c>
      <c r="I466" s="71" t="s">
        <v>200</v>
      </c>
      <c r="J466" s="213">
        <f t="shared" si="9"/>
        <v>0.20280799197716579</v>
      </c>
    </row>
    <row r="467" spans="1:14" ht="15" x14ac:dyDescent="0.25">
      <c r="A467" s="66">
        <v>44355</v>
      </c>
      <c r="B467" s="69">
        <v>11167</v>
      </c>
      <c r="C467" s="69">
        <v>1376</v>
      </c>
      <c r="D467" s="76">
        <f t="shared" si="0"/>
        <v>9791</v>
      </c>
      <c r="E467" s="77">
        <f t="shared" si="1"/>
        <v>0.12322020238201845</v>
      </c>
      <c r="F467" s="69">
        <v>15900</v>
      </c>
      <c r="G467" s="70">
        <v>3553</v>
      </c>
      <c r="H467" s="70">
        <v>12347</v>
      </c>
      <c r="I467" s="71" t="s">
        <v>311</v>
      </c>
      <c r="J467" s="213">
        <f t="shared" si="9"/>
        <v>0.22345911949685535</v>
      </c>
    </row>
    <row r="468" spans="1:14" ht="15" x14ac:dyDescent="0.25">
      <c r="A468" s="66">
        <v>44356</v>
      </c>
      <c r="B468" s="69">
        <v>12304</v>
      </c>
      <c r="C468" s="69">
        <v>2096</v>
      </c>
      <c r="D468" s="76">
        <f t="shared" si="0"/>
        <v>10208</v>
      </c>
      <c r="E468" s="77">
        <f t="shared" si="1"/>
        <v>0.17035110533159947</v>
      </c>
      <c r="F468" s="69">
        <v>17241</v>
      </c>
      <c r="G468" s="70">
        <v>3852</v>
      </c>
      <c r="H468" s="70">
        <v>13389</v>
      </c>
      <c r="I468" s="71" t="s">
        <v>311</v>
      </c>
      <c r="J468" s="213">
        <f t="shared" si="9"/>
        <v>0.22342091526013572</v>
      </c>
    </row>
    <row r="469" spans="1:14" ht="15" x14ac:dyDescent="0.25">
      <c r="A469" s="66">
        <v>44357</v>
      </c>
      <c r="B469" s="69">
        <v>13142</v>
      </c>
      <c r="C469" s="69">
        <v>2293</v>
      </c>
      <c r="D469" s="76">
        <f t="shared" si="0"/>
        <v>10849</v>
      </c>
      <c r="E469" s="77">
        <f t="shared" si="1"/>
        <v>0.17447877035458834</v>
      </c>
      <c r="F469" s="69">
        <v>17606</v>
      </c>
      <c r="G469" s="70">
        <v>4176</v>
      </c>
      <c r="H469" s="70">
        <v>13430</v>
      </c>
      <c r="I469" s="71" t="s">
        <v>239</v>
      </c>
      <c r="J469" s="213">
        <f t="shared" si="9"/>
        <v>0.23719186640917869</v>
      </c>
    </row>
    <row r="470" spans="1:14" ht="15" x14ac:dyDescent="0.25">
      <c r="A470" s="66">
        <v>44358</v>
      </c>
      <c r="B470" s="69">
        <v>13443</v>
      </c>
      <c r="C470" s="69">
        <v>2455</v>
      </c>
      <c r="D470" s="76">
        <f t="shared" si="0"/>
        <v>10988</v>
      </c>
      <c r="E470" s="77">
        <f t="shared" si="1"/>
        <v>0.18262292643011233</v>
      </c>
      <c r="F470" s="69">
        <v>17340</v>
      </c>
      <c r="G470" s="70">
        <v>4560</v>
      </c>
      <c r="H470" s="70">
        <v>12780</v>
      </c>
      <c r="I470" s="71" t="s">
        <v>312</v>
      </c>
      <c r="J470" s="213">
        <f t="shared" si="9"/>
        <v>0.26297577854671278</v>
      </c>
    </row>
    <row r="471" spans="1:14" ht="15" x14ac:dyDescent="0.25">
      <c r="A471" s="66">
        <v>44359</v>
      </c>
      <c r="B471" s="69">
        <v>11800</v>
      </c>
      <c r="C471" s="69">
        <v>2769</v>
      </c>
      <c r="D471" s="76">
        <f t="shared" si="0"/>
        <v>9031</v>
      </c>
      <c r="E471" s="77">
        <f t="shared" si="1"/>
        <v>0.23466101694915253</v>
      </c>
      <c r="F471" s="69">
        <v>16218</v>
      </c>
      <c r="G471" s="70">
        <v>4455</v>
      </c>
      <c r="H471" s="70">
        <v>11763</v>
      </c>
      <c r="I471" s="71" t="s">
        <v>245</v>
      </c>
      <c r="J471" s="213">
        <f t="shared" si="9"/>
        <v>0.27469478357380689</v>
      </c>
    </row>
    <row r="472" spans="1:14" ht="15" x14ac:dyDescent="0.25">
      <c r="A472" s="66">
        <v>44360</v>
      </c>
      <c r="B472" s="69">
        <v>11671</v>
      </c>
      <c r="C472" s="69">
        <v>2722</v>
      </c>
      <c r="D472" s="76">
        <f t="shared" si="0"/>
        <v>8949</v>
      </c>
      <c r="E472" s="77">
        <f t="shared" si="1"/>
        <v>0.23322765829834632</v>
      </c>
      <c r="F472" s="69">
        <v>10133</v>
      </c>
      <c r="G472" s="70">
        <v>2384</v>
      </c>
      <c r="H472" s="70">
        <v>7749</v>
      </c>
      <c r="I472" s="71" t="s">
        <v>106</v>
      </c>
      <c r="J472" s="213">
        <f t="shared" si="9"/>
        <v>0.23527089706898252</v>
      </c>
    </row>
    <row r="473" spans="1:14" ht="15.6" x14ac:dyDescent="0.3">
      <c r="A473" s="66">
        <v>44361</v>
      </c>
      <c r="B473" s="69">
        <v>8970</v>
      </c>
      <c r="C473" s="69">
        <v>1502</v>
      </c>
      <c r="D473" s="76">
        <f t="shared" si="0"/>
        <v>7468</v>
      </c>
      <c r="E473" s="77">
        <f t="shared" si="1"/>
        <v>0.16744704570791527</v>
      </c>
      <c r="F473" s="69">
        <v>14135</v>
      </c>
      <c r="G473" s="70">
        <v>4417</v>
      </c>
      <c r="H473" s="70">
        <v>9718</v>
      </c>
      <c r="I473" s="71" t="s">
        <v>100</v>
      </c>
      <c r="J473" s="213">
        <f t="shared" si="9"/>
        <v>0.31248673505482844</v>
      </c>
      <c r="K473" s="83"/>
      <c r="L473" s="83"/>
      <c r="M473" s="83"/>
      <c r="N473" s="84"/>
    </row>
    <row r="474" spans="1:14" ht="15" x14ac:dyDescent="0.25">
      <c r="A474" s="66">
        <v>44362</v>
      </c>
      <c r="B474" s="69">
        <v>15269</v>
      </c>
      <c r="C474" s="69">
        <v>2376</v>
      </c>
      <c r="D474" s="76">
        <f t="shared" si="0"/>
        <v>12893</v>
      </c>
      <c r="E474" s="77">
        <f t="shared" si="1"/>
        <v>0.15560940467614121</v>
      </c>
      <c r="F474" s="69">
        <v>21531</v>
      </c>
      <c r="G474" s="70">
        <v>7283</v>
      </c>
      <c r="H474" s="70">
        <v>14248</v>
      </c>
      <c r="I474" s="71" t="s">
        <v>265</v>
      </c>
      <c r="J474" s="213">
        <f t="shared" si="9"/>
        <v>0.33825646741907017</v>
      </c>
    </row>
    <row r="475" spans="1:14" ht="15" x14ac:dyDescent="0.25">
      <c r="A475" s="66">
        <v>44363</v>
      </c>
      <c r="B475" s="69">
        <v>16499</v>
      </c>
      <c r="C475" s="69">
        <v>4144</v>
      </c>
      <c r="D475" s="76">
        <f t="shared" si="0"/>
        <v>12355</v>
      </c>
      <c r="E475" s="77">
        <f t="shared" si="1"/>
        <v>0.25116673737802292</v>
      </c>
      <c r="F475" s="69">
        <v>24032</v>
      </c>
      <c r="G475" s="70">
        <v>7730</v>
      </c>
      <c r="H475" s="70">
        <v>16302</v>
      </c>
      <c r="I475" s="71" t="s">
        <v>257</v>
      </c>
      <c r="J475" s="213">
        <f t="shared" si="9"/>
        <v>0.3216544607190413</v>
      </c>
    </row>
    <row r="476" spans="1:14" ht="15" x14ac:dyDescent="0.25">
      <c r="A476" s="66">
        <v>44364</v>
      </c>
      <c r="B476" s="69">
        <v>17368</v>
      </c>
      <c r="C476" s="69">
        <v>4737</v>
      </c>
      <c r="D476" s="76">
        <f t="shared" si="0"/>
        <v>12631</v>
      </c>
      <c r="E476" s="77">
        <f t="shared" si="1"/>
        <v>0.27274297558728694</v>
      </c>
      <c r="F476" s="69">
        <v>24183</v>
      </c>
      <c r="G476" s="70">
        <v>8222</v>
      </c>
      <c r="H476" s="70">
        <v>15961</v>
      </c>
      <c r="I476" s="71" t="s">
        <v>261</v>
      </c>
      <c r="J476" s="213">
        <f t="shared" si="9"/>
        <v>0.33999090270024396</v>
      </c>
    </row>
    <row r="477" spans="1:14" ht="15" x14ac:dyDescent="0.25">
      <c r="A477" s="66">
        <v>44365</v>
      </c>
      <c r="B477" s="69">
        <v>16797</v>
      </c>
      <c r="C477" s="69">
        <v>4895</v>
      </c>
      <c r="D477" s="76">
        <f t="shared" si="0"/>
        <v>11902</v>
      </c>
      <c r="E477" s="77">
        <f t="shared" si="1"/>
        <v>0.2914210870988867</v>
      </c>
      <c r="F477" s="69">
        <v>24029</v>
      </c>
      <c r="G477" s="70">
        <v>8346</v>
      </c>
      <c r="H477" s="70">
        <v>15683</v>
      </c>
      <c r="I477" s="71" t="s">
        <v>313</v>
      </c>
      <c r="J477" s="213">
        <f t="shared" si="9"/>
        <v>0.34733030920970492</v>
      </c>
    </row>
    <row r="478" spans="1:14" ht="15" x14ac:dyDescent="0.25">
      <c r="A478" s="66">
        <v>44366</v>
      </c>
      <c r="B478" s="69">
        <v>16636</v>
      </c>
      <c r="C478" s="69">
        <v>5582</v>
      </c>
      <c r="D478" s="76">
        <f t="shared" si="0"/>
        <v>11054</v>
      </c>
      <c r="E478" s="77">
        <f t="shared" si="1"/>
        <v>0.33553738879538353</v>
      </c>
      <c r="F478" s="69">
        <v>18093</v>
      </c>
      <c r="G478" s="70">
        <v>7381</v>
      </c>
      <c r="H478" s="70">
        <v>10712</v>
      </c>
      <c r="I478" s="71" t="s">
        <v>314</v>
      </c>
      <c r="J478" s="213">
        <f t="shared" si="9"/>
        <v>0.40794782512573924</v>
      </c>
    </row>
    <row r="479" spans="1:14" ht="15" x14ac:dyDescent="0.25">
      <c r="A479" s="66">
        <v>44367</v>
      </c>
      <c r="B479" s="69">
        <v>15424</v>
      </c>
      <c r="C479" s="69">
        <v>5014</v>
      </c>
      <c r="D479" s="76">
        <f t="shared" si="0"/>
        <v>10410</v>
      </c>
      <c r="E479" s="77">
        <f t="shared" si="1"/>
        <v>0.32507780082987553</v>
      </c>
      <c r="F479" s="69">
        <v>15343</v>
      </c>
      <c r="G479" s="70">
        <v>5018</v>
      </c>
      <c r="H479" s="70">
        <v>10325</v>
      </c>
      <c r="I479" s="71" t="s">
        <v>274</v>
      </c>
      <c r="J479" s="213">
        <f t="shared" si="9"/>
        <v>0.32705468291729128</v>
      </c>
    </row>
    <row r="480" spans="1:14" ht="15" x14ac:dyDescent="0.25">
      <c r="A480" s="66">
        <v>44368</v>
      </c>
      <c r="B480" s="69">
        <v>14462</v>
      </c>
      <c r="C480" s="69">
        <v>3221</v>
      </c>
      <c r="D480" s="76">
        <f t="shared" si="0"/>
        <v>11241</v>
      </c>
      <c r="E480" s="77">
        <f t="shared" si="1"/>
        <v>0.22272161526759784</v>
      </c>
      <c r="F480" s="69">
        <v>21086</v>
      </c>
      <c r="G480" s="70">
        <v>8291</v>
      </c>
      <c r="H480" s="70">
        <v>12795</v>
      </c>
      <c r="I480" s="71" t="s">
        <v>315</v>
      </c>
      <c r="J480" s="213">
        <f t="shared" si="9"/>
        <v>0.39319927914255903</v>
      </c>
    </row>
    <row r="481" spans="1:10" ht="15" x14ac:dyDescent="0.25">
      <c r="A481" s="66">
        <v>44369</v>
      </c>
      <c r="B481" s="69">
        <v>19485</v>
      </c>
      <c r="C481" s="69">
        <v>4693</v>
      </c>
      <c r="D481" s="76">
        <f t="shared" si="0"/>
        <v>14792</v>
      </c>
      <c r="E481" s="77">
        <f t="shared" si="1"/>
        <v>0.24085193738773417</v>
      </c>
      <c r="F481" s="69">
        <v>28071</v>
      </c>
      <c r="G481" s="70">
        <v>11787</v>
      </c>
      <c r="H481" s="70">
        <v>16284</v>
      </c>
      <c r="I481" s="71" t="s">
        <v>316</v>
      </c>
      <c r="J481" s="213">
        <f t="shared" si="9"/>
        <v>0.41989954045099925</v>
      </c>
    </row>
    <row r="482" spans="1:10" ht="15" x14ac:dyDescent="0.25">
      <c r="A482" s="66">
        <v>44370</v>
      </c>
      <c r="B482" s="69">
        <v>20460</v>
      </c>
      <c r="C482" s="69">
        <v>7505</v>
      </c>
      <c r="D482" s="76">
        <f t="shared" si="0"/>
        <v>12955</v>
      </c>
      <c r="E482" s="77">
        <f t="shared" si="1"/>
        <v>0.36681329423264908</v>
      </c>
      <c r="F482" s="69">
        <v>26497</v>
      </c>
      <c r="G482" s="70">
        <v>10898</v>
      </c>
      <c r="H482" s="70">
        <v>15599</v>
      </c>
      <c r="I482" s="71" t="s">
        <v>93</v>
      </c>
      <c r="J482" s="213">
        <f t="shared" si="9"/>
        <v>0.41129184435973881</v>
      </c>
    </row>
    <row r="483" spans="1:10" ht="15" x14ac:dyDescent="0.25">
      <c r="A483" s="66">
        <v>44371</v>
      </c>
      <c r="B483" s="69">
        <v>20155</v>
      </c>
      <c r="C483" s="69">
        <v>6934</v>
      </c>
      <c r="D483" s="76">
        <f t="shared" si="0"/>
        <v>13221</v>
      </c>
      <c r="E483" s="77">
        <f t="shared" si="1"/>
        <v>0.34403373852642022</v>
      </c>
      <c r="F483" s="69">
        <v>29196</v>
      </c>
      <c r="G483" s="70">
        <v>12364</v>
      </c>
      <c r="H483" s="70">
        <v>16832</v>
      </c>
      <c r="I483" s="71" t="s">
        <v>317</v>
      </c>
      <c r="J483" s="213">
        <f t="shared" si="9"/>
        <v>0.42348266885874775</v>
      </c>
    </row>
    <row r="484" spans="1:10" ht="15" x14ac:dyDescent="0.25">
      <c r="A484" s="66">
        <v>44372</v>
      </c>
      <c r="B484" s="69">
        <v>22911</v>
      </c>
      <c r="C484" s="69">
        <v>9271</v>
      </c>
      <c r="D484" s="76">
        <f t="shared" si="0"/>
        <v>13640</v>
      </c>
      <c r="E484" s="77">
        <f t="shared" si="1"/>
        <v>0.40465278687093537</v>
      </c>
      <c r="F484" s="69">
        <v>31858</v>
      </c>
      <c r="G484" s="70">
        <v>14904</v>
      </c>
      <c r="H484" s="70">
        <v>16954</v>
      </c>
      <c r="I484" s="71" t="s">
        <v>318</v>
      </c>
      <c r="J484" s="213">
        <f t="shared" si="9"/>
        <v>0.46782597777638268</v>
      </c>
    </row>
    <row r="485" spans="1:10" ht="15" x14ac:dyDescent="0.25">
      <c r="A485" s="66">
        <v>44373</v>
      </c>
      <c r="B485" s="69">
        <v>24704</v>
      </c>
      <c r="C485" s="69">
        <v>9394</v>
      </c>
      <c r="D485" s="76">
        <f t="shared" si="0"/>
        <v>15310</v>
      </c>
      <c r="E485" s="77">
        <f t="shared" si="1"/>
        <v>0.38026230569948188</v>
      </c>
      <c r="F485" s="69">
        <v>28287</v>
      </c>
      <c r="G485" s="70">
        <v>12832</v>
      </c>
      <c r="H485" s="70">
        <v>15455</v>
      </c>
      <c r="I485" s="71" t="s">
        <v>319</v>
      </c>
      <c r="J485" s="213">
        <f t="shared" si="9"/>
        <v>0.4536359458408456</v>
      </c>
    </row>
    <row r="486" spans="1:10" ht="15" x14ac:dyDescent="0.25">
      <c r="A486" s="66">
        <v>44374</v>
      </c>
      <c r="B486" s="69">
        <v>24295</v>
      </c>
      <c r="C486" s="69">
        <v>8348</v>
      </c>
      <c r="D486" s="76">
        <f t="shared" si="0"/>
        <v>15947</v>
      </c>
      <c r="E486" s="77">
        <f t="shared" si="1"/>
        <v>0.34360979625437332</v>
      </c>
      <c r="F486" s="69">
        <v>25003</v>
      </c>
      <c r="G486" s="70">
        <v>11005</v>
      </c>
      <c r="H486" s="70">
        <v>13998</v>
      </c>
      <c r="I486" s="71" t="s">
        <v>320</v>
      </c>
      <c r="J486" s="213">
        <f t="shared" si="9"/>
        <v>0.44014718233811945</v>
      </c>
    </row>
    <row r="487" spans="1:10" ht="15" x14ac:dyDescent="0.25">
      <c r="A487" s="66">
        <v>44375</v>
      </c>
      <c r="B487" s="69">
        <v>22046</v>
      </c>
      <c r="C487" s="69">
        <v>7379</v>
      </c>
      <c r="D487" s="76">
        <f t="shared" si="0"/>
        <v>14667</v>
      </c>
      <c r="E487" s="77">
        <f t="shared" si="1"/>
        <v>0.33470924430735732</v>
      </c>
      <c r="F487" s="69">
        <v>26888</v>
      </c>
      <c r="G487" s="70">
        <v>12387</v>
      </c>
      <c r="H487" s="70">
        <v>14501</v>
      </c>
      <c r="I487" s="71" t="s">
        <v>321</v>
      </c>
      <c r="J487" s="213">
        <f t="shared" si="9"/>
        <v>0.46068878310026778</v>
      </c>
    </row>
    <row r="488" spans="1:10" ht="15" x14ac:dyDescent="0.25">
      <c r="A488" s="66">
        <v>44376</v>
      </c>
      <c r="B488" s="69">
        <v>22432</v>
      </c>
      <c r="C488" s="69">
        <v>7680</v>
      </c>
      <c r="D488" s="76">
        <f t="shared" si="0"/>
        <v>14752</v>
      </c>
      <c r="E488" s="77">
        <f t="shared" si="1"/>
        <v>0.34236804564907275</v>
      </c>
      <c r="F488" s="69">
        <v>28413</v>
      </c>
      <c r="G488" s="70">
        <v>13307</v>
      </c>
      <c r="H488" s="70">
        <v>15106</v>
      </c>
      <c r="I488" s="71" t="s">
        <v>318</v>
      </c>
      <c r="J488" s="213">
        <f t="shared" si="9"/>
        <v>0.46834195614683422</v>
      </c>
    </row>
    <row r="489" spans="1:10" ht="15" x14ac:dyDescent="0.25">
      <c r="A489" s="66">
        <v>44377</v>
      </c>
      <c r="B489" s="69">
        <v>21394</v>
      </c>
      <c r="C489" s="69">
        <v>7541</v>
      </c>
      <c r="D489" s="76">
        <f t="shared" si="0"/>
        <v>13853</v>
      </c>
      <c r="E489" s="77">
        <f t="shared" si="1"/>
        <v>0.3524820043002711</v>
      </c>
      <c r="F489" s="69">
        <v>30353</v>
      </c>
      <c r="G489" s="70">
        <v>14747</v>
      </c>
      <c r="H489" s="70">
        <v>15606</v>
      </c>
      <c r="I489" s="71" t="s">
        <v>322</v>
      </c>
      <c r="J489" s="213">
        <f t="shared" si="9"/>
        <v>0.48584983362435347</v>
      </c>
    </row>
    <row r="490" spans="1:10" ht="15" x14ac:dyDescent="0.25">
      <c r="A490" s="66">
        <v>44378</v>
      </c>
      <c r="B490" s="69">
        <v>25285</v>
      </c>
      <c r="C490" s="69">
        <v>9399</v>
      </c>
      <c r="D490" s="76">
        <f t="shared" si="0"/>
        <v>15886</v>
      </c>
      <c r="E490" s="77">
        <f t="shared" si="1"/>
        <v>0.37172236503856043</v>
      </c>
      <c r="F490" s="69">
        <v>32813</v>
      </c>
      <c r="G490" s="70">
        <v>15502</v>
      </c>
      <c r="H490" s="70">
        <v>17311</v>
      </c>
      <c r="I490" s="71" t="s">
        <v>323</v>
      </c>
      <c r="J490" s="213">
        <f t="shared" si="9"/>
        <v>0.47243470575686464</v>
      </c>
    </row>
    <row r="491" spans="1:10" ht="15" x14ac:dyDescent="0.25">
      <c r="A491" s="66">
        <v>44379</v>
      </c>
      <c r="B491" s="69">
        <v>24478</v>
      </c>
      <c r="C491" s="69">
        <v>9702</v>
      </c>
      <c r="D491" s="76">
        <f t="shared" si="0"/>
        <v>14776</v>
      </c>
      <c r="E491" s="77">
        <f t="shared" si="1"/>
        <v>0.39635591143067245</v>
      </c>
      <c r="F491" s="69">
        <v>34657</v>
      </c>
      <c r="G491" s="70">
        <v>17056</v>
      </c>
      <c r="H491" s="70">
        <v>17601</v>
      </c>
      <c r="I491" s="71" t="s">
        <v>324</v>
      </c>
      <c r="J491" s="213">
        <f t="shared" si="9"/>
        <v>0.49213723057391001</v>
      </c>
    </row>
    <row r="492" spans="1:10" ht="15" x14ac:dyDescent="0.25">
      <c r="A492" s="66">
        <v>44380</v>
      </c>
      <c r="B492" s="69">
        <v>24616</v>
      </c>
      <c r="C492" s="69">
        <v>10485</v>
      </c>
      <c r="D492" s="76">
        <f t="shared" si="0"/>
        <v>14131</v>
      </c>
      <c r="E492" s="77">
        <f t="shared" si="1"/>
        <v>0.42594247643808902</v>
      </c>
      <c r="F492" s="69">
        <v>33897</v>
      </c>
      <c r="G492" s="70">
        <v>17509</v>
      </c>
      <c r="H492" s="70">
        <v>16388</v>
      </c>
      <c r="I492" s="71" t="s">
        <v>325</v>
      </c>
      <c r="J492" s="213">
        <f t="shared" si="9"/>
        <v>0.51653538661238463</v>
      </c>
    </row>
    <row r="493" spans="1:10" ht="15" x14ac:dyDescent="0.25">
      <c r="A493" s="66">
        <v>44381</v>
      </c>
      <c r="B493" s="69">
        <v>27356</v>
      </c>
      <c r="C493" s="69">
        <v>10903</v>
      </c>
      <c r="D493" s="76">
        <f t="shared" si="0"/>
        <v>16453</v>
      </c>
      <c r="E493" s="77">
        <f t="shared" si="1"/>
        <v>0.39855973095481795</v>
      </c>
      <c r="F493" s="69">
        <v>25548</v>
      </c>
      <c r="G493" s="70">
        <v>12378</v>
      </c>
      <c r="H493" s="70">
        <v>13170</v>
      </c>
      <c r="I493" s="71" t="s">
        <v>326</v>
      </c>
      <c r="J493" s="213">
        <f t="shared" si="9"/>
        <v>0.48449976514795678</v>
      </c>
    </row>
    <row r="494" spans="1:10" ht="15" x14ac:dyDescent="0.25">
      <c r="A494" s="66">
        <v>44382</v>
      </c>
      <c r="B494" s="69">
        <v>25309</v>
      </c>
      <c r="C494" s="69">
        <v>9439</v>
      </c>
      <c r="D494" s="76">
        <f t="shared" si="0"/>
        <v>15870</v>
      </c>
      <c r="E494" s="77">
        <f t="shared" si="1"/>
        <v>0.37295033387332571</v>
      </c>
      <c r="F494" s="69">
        <v>35796</v>
      </c>
      <c r="G494" s="70">
        <v>16617</v>
      </c>
      <c r="H494" s="70">
        <v>19179</v>
      </c>
      <c r="I494" s="71" t="s">
        <v>327</v>
      </c>
      <c r="J494" s="213">
        <f t="shared" si="9"/>
        <v>0.46421387864565872</v>
      </c>
    </row>
    <row r="495" spans="1:10" ht="15" x14ac:dyDescent="0.25">
      <c r="A495" s="66">
        <v>44383</v>
      </c>
      <c r="B495" s="69">
        <v>25453</v>
      </c>
      <c r="C495" s="69">
        <v>9366</v>
      </c>
      <c r="D495" s="76">
        <f t="shared" si="0"/>
        <v>16087</v>
      </c>
      <c r="E495" s="77">
        <f t="shared" si="1"/>
        <v>0.36797234117785721</v>
      </c>
      <c r="F495" s="69">
        <v>42256</v>
      </c>
      <c r="G495" s="70">
        <v>21821</v>
      </c>
      <c r="H495" s="70">
        <v>20435</v>
      </c>
      <c r="I495" s="71" t="s">
        <v>328</v>
      </c>
      <c r="J495" s="213">
        <f t="shared" si="9"/>
        <v>0.51640003786444533</v>
      </c>
    </row>
    <row r="496" spans="1:10" ht="15" x14ac:dyDescent="0.25">
      <c r="A496" s="66">
        <v>44384</v>
      </c>
      <c r="B496" s="69">
        <v>28003</v>
      </c>
      <c r="C496" s="69">
        <v>12974</v>
      </c>
      <c r="D496" s="76">
        <f t="shared" si="0"/>
        <v>15029</v>
      </c>
      <c r="E496" s="77">
        <f t="shared" si="1"/>
        <v>0.46330750276756061</v>
      </c>
      <c r="F496" s="69">
        <v>43425</v>
      </c>
      <c r="G496" s="70">
        <v>21270</v>
      </c>
      <c r="H496" s="70">
        <v>22155</v>
      </c>
      <c r="I496" s="71" t="s">
        <v>329</v>
      </c>
      <c r="J496" s="213">
        <f t="shared" si="9"/>
        <v>0.48981001727115719</v>
      </c>
    </row>
    <row r="497" spans="1:10" ht="15" x14ac:dyDescent="0.25">
      <c r="A497" s="66">
        <v>44385</v>
      </c>
      <c r="B497" s="69">
        <v>31847</v>
      </c>
      <c r="C497" s="69">
        <v>13112</v>
      </c>
      <c r="D497" s="76">
        <f t="shared" si="0"/>
        <v>18735</v>
      </c>
      <c r="E497" s="77">
        <f t="shared" si="1"/>
        <v>0.4117185292178227</v>
      </c>
      <c r="F497" s="69">
        <v>44550</v>
      </c>
      <c r="G497" s="70">
        <v>21969</v>
      </c>
      <c r="H497" s="70">
        <v>22581</v>
      </c>
      <c r="I497" s="71" t="s">
        <v>330</v>
      </c>
      <c r="J497" s="213">
        <f t="shared" si="9"/>
        <v>0.49313131313131314</v>
      </c>
    </row>
    <row r="498" spans="1:10" ht="15" x14ac:dyDescent="0.25">
      <c r="A498" s="66">
        <v>44386</v>
      </c>
      <c r="B498" s="69">
        <v>30950</v>
      </c>
      <c r="C498" s="69">
        <v>12920</v>
      </c>
      <c r="D498" s="76">
        <f t="shared" si="0"/>
        <v>18030</v>
      </c>
      <c r="E498" s="77">
        <f t="shared" si="1"/>
        <v>0.41744749596122777</v>
      </c>
      <c r="F498" s="69">
        <v>44914</v>
      </c>
      <c r="G498" s="70">
        <v>21149</v>
      </c>
      <c r="H498" s="70">
        <v>23765</v>
      </c>
      <c r="I498" s="71" t="s">
        <v>331</v>
      </c>
      <c r="J498" s="213">
        <f t="shared" si="9"/>
        <v>0.47087767733891439</v>
      </c>
    </row>
    <row r="499" spans="1:10" ht="15" x14ac:dyDescent="0.25">
      <c r="A499" s="66">
        <v>44387</v>
      </c>
      <c r="B499" s="69">
        <v>35642</v>
      </c>
      <c r="C499" s="69">
        <v>13133</v>
      </c>
      <c r="D499" s="76">
        <f t="shared" si="0"/>
        <v>22509</v>
      </c>
      <c r="E499" s="77">
        <f t="shared" si="1"/>
        <v>0.36846978284046911</v>
      </c>
      <c r="F499" s="69">
        <v>39928</v>
      </c>
      <c r="G499" s="70">
        <v>18848</v>
      </c>
      <c r="H499" s="70">
        <v>21080</v>
      </c>
      <c r="I499" s="71" t="s">
        <v>323</v>
      </c>
      <c r="J499" s="213">
        <f t="shared" si="9"/>
        <v>0.47204968944099379</v>
      </c>
    </row>
    <row r="500" spans="1:10" ht="15" x14ac:dyDescent="0.25">
      <c r="A500" s="66">
        <v>44388</v>
      </c>
      <c r="B500" s="69">
        <v>35376</v>
      </c>
      <c r="C500" s="69">
        <v>14619</v>
      </c>
      <c r="D500" s="76">
        <f t="shared" si="0"/>
        <v>20757</v>
      </c>
      <c r="E500" s="77">
        <f t="shared" si="1"/>
        <v>0.41324626865671643</v>
      </c>
      <c r="F500" s="69">
        <v>30950</v>
      </c>
      <c r="G500" s="70">
        <v>13518</v>
      </c>
      <c r="H500" s="70">
        <v>17432</v>
      </c>
      <c r="I500" s="71" t="s">
        <v>332</v>
      </c>
      <c r="J500" s="213">
        <f t="shared" si="9"/>
        <v>0.43676898222940225</v>
      </c>
    </row>
    <row r="501" spans="1:10" ht="15" x14ac:dyDescent="0.25">
      <c r="A501" s="66">
        <v>44389</v>
      </c>
      <c r="B501" s="69">
        <v>31632</v>
      </c>
      <c r="C501" s="69">
        <v>12182</v>
      </c>
      <c r="D501" s="76">
        <f t="shared" si="0"/>
        <v>19450</v>
      </c>
      <c r="E501" s="77">
        <f t="shared" si="1"/>
        <v>0.38511633788568539</v>
      </c>
      <c r="F501" s="69">
        <v>40088</v>
      </c>
      <c r="G501" s="70">
        <v>17049</v>
      </c>
      <c r="H501" s="70">
        <v>23039</v>
      </c>
      <c r="I501" s="71" t="s">
        <v>333</v>
      </c>
      <c r="J501" s="213">
        <f t="shared" si="9"/>
        <v>0.42528936340051887</v>
      </c>
    </row>
    <row r="502" spans="1:10" ht="15" x14ac:dyDescent="0.25">
      <c r="A502" s="66">
        <v>44390</v>
      </c>
      <c r="B502" s="69">
        <v>43067</v>
      </c>
      <c r="C502" s="69">
        <v>12667</v>
      </c>
      <c r="D502" s="76">
        <f t="shared" si="0"/>
        <v>30400</v>
      </c>
      <c r="E502" s="77">
        <f t="shared" si="1"/>
        <v>0.29412311050224071</v>
      </c>
      <c r="F502" s="79">
        <v>57428</v>
      </c>
      <c r="G502" s="80">
        <v>25021</v>
      </c>
      <c r="H502" s="80">
        <v>32407</v>
      </c>
      <c r="I502" s="71" t="s">
        <v>334</v>
      </c>
      <c r="J502" s="213">
        <f t="shared" si="9"/>
        <v>0.43569338998397994</v>
      </c>
    </row>
    <row r="503" spans="1:10" ht="15" x14ac:dyDescent="0.25">
      <c r="A503" s="66">
        <v>44391</v>
      </c>
      <c r="B503" s="69">
        <v>41734</v>
      </c>
      <c r="C503" s="69">
        <v>12691</v>
      </c>
      <c r="D503" s="76">
        <f t="shared" si="0"/>
        <v>29043</v>
      </c>
      <c r="E503" s="77">
        <f t="shared" si="1"/>
        <v>0.30409258638040926</v>
      </c>
      <c r="F503" s="79">
        <v>53012</v>
      </c>
      <c r="G503" s="80">
        <v>23205</v>
      </c>
      <c r="H503" s="80">
        <v>29807</v>
      </c>
      <c r="I503" s="71" t="s">
        <v>335</v>
      </c>
      <c r="J503" s="213">
        <f t="shared" si="9"/>
        <v>0.43773107975552705</v>
      </c>
    </row>
    <row r="504" spans="1:10" ht="15" x14ac:dyDescent="0.25">
      <c r="A504" s="66">
        <v>44392</v>
      </c>
      <c r="B504" s="69">
        <v>41580</v>
      </c>
      <c r="C504" s="69">
        <v>12415</v>
      </c>
      <c r="D504" s="76">
        <f t="shared" si="0"/>
        <v>29165</v>
      </c>
      <c r="E504" s="77">
        <f t="shared" si="1"/>
        <v>0.29858104858104856</v>
      </c>
      <c r="F504" s="79">
        <v>52529</v>
      </c>
      <c r="G504" s="80">
        <v>22927</v>
      </c>
      <c r="H504" s="80">
        <v>29602</v>
      </c>
      <c r="I504" s="71" t="s">
        <v>334</v>
      </c>
      <c r="J504" s="213">
        <f t="shared" si="9"/>
        <v>0.43646366768832456</v>
      </c>
    </row>
    <row r="505" spans="1:10" ht="15" x14ac:dyDescent="0.25">
      <c r="A505" s="66">
        <v>44393</v>
      </c>
      <c r="B505" s="69">
        <v>38512</v>
      </c>
      <c r="C505" s="69">
        <v>10168</v>
      </c>
      <c r="D505" s="76">
        <f t="shared" si="0"/>
        <v>28344</v>
      </c>
      <c r="E505" s="77">
        <f t="shared" si="1"/>
        <v>0.2640216036560033</v>
      </c>
      <c r="F505" s="79">
        <v>48237</v>
      </c>
      <c r="G505" s="80">
        <v>19882</v>
      </c>
      <c r="H505" s="80">
        <v>28355</v>
      </c>
      <c r="I505" s="71" t="s">
        <v>336</v>
      </c>
      <c r="J505" s="213">
        <f t="shared" si="9"/>
        <v>0.41217322801998468</v>
      </c>
    </row>
    <row r="506" spans="1:10" ht="15" x14ac:dyDescent="0.25">
      <c r="A506" s="66">
        <v>44394</v>
      </c>
      <c r="B506" s="69">
        <v>34278</v>
      </c>
      <c r="C506" s="69">
        <v>9128</v>
      </c>
      <c r="D506" s="76">
        <f t="shared" si="0"/>
        <v>25150</v>
      </c>
      <c r="E506" s="77">
        <f t="shared" si="1"/>
        <v>0.2662932493144291</v>
      </c>
      <c r="F506" s="79">
        <v>43385</v>
      </c>
      <c r="G506" s="80">
        <v>17322</v>
      </c>
      <c r="H506" s="80">
        <v>26063</v>
      </c>
      <c r="I506" s="71" t="s">
        <v>337</v>
      </c>
      <c r="J506" s="213">
        <f t="shared" si="9"/>
        <v>0.39926241788636624</v>
      </c>
    </row>
    <row r="507" spans="1:10" ht="15" x14ac:dyDescent="0.25">
      <c r="A507" s="66">
        <v>44395</v>
      </c>
      <c r="B507" s="69">
        <v>21828</v>
      </c>
      <c r="C507" s="69">
        <v>5000</v>
      </c>
      <c r="D507" s="76">
        <f t="shared" si="0"/>
        <v>16828</v>
      </c>
      <c r="E507" s="77">
        <f t="shared" si="1"/>
        <v>0.22906358805204324</v>
      </c>
      <c r="F507" s="79">
        <v>28653</v>
      </c>
      <c r="G507" s="80">
        <v>10795</v>
      </c>
      <c r="H507" s="80">
        <v>17858</v>
      </c>
      <c r="I507" s="71" t="s">
        <v>338</v>
      </c>
      <c r="J507" s="213">
        <f t="shared" si="9"/>
        <v>0.37674938051861934</v>
      </c>
    </row>
    <row r="508" spans="1:10" ht="15" x14ac:dyDescent="0.25">
      <c r="A508" s="66">
        <v>44396</v>
      </c>
      <c r="B508" s="69">
        <v>30678</v>
      </c>
      <c r="C508" s="69">
        <v>6213</v>
      </c>
      <c r="D508" s="76">
        <f t="shared" si="0"/>
        <v>24465</v>
      </c>
      <c r="E508" s="77">
        <f t="shared" si="1"/>
        <v>0.20252298063759044</v>
      </c>
      <c r="F508" s="79">
        <v>38760</v>
      </c>
      <c r="G508" s="80">
        <v>14117</v>
      </c>
      <c r="H508" s="80">
        <v>24643</v>
      </c>
      <c r="I508" s="85">
        <v>0.36399999999999999</v>
      </c>
      <c r="J508" s="213">
        <f t="shared" si="9"/>
        <v>0.36421568627450979</v>
      </c>
    </row>
    <row r="509" spans="1:10" ht="15" x14ac:dyDescent="0.25">
      <c r="A509" s="66">
        <v>44397</v>
      </c>
      <c r="B509" s="69">
        <v>26083</v>
      </c>
      <c r="C509" s="69">
        <v>5904</v>
      </c>
      <c r="D509" s="76">
        <f t="shared" si="0"/>
        <v>20179</v>
      </c>
      <c r="E509" s="77">
        <f t="shared" si="1"/>
        <v>0.22635433040677835</v>
      </c>
      <c r="F509" s="79">
        <v>32228</v>
      </c>
      <c r="G509" s="80">
        <v>13185</v>
      </c>
      <c r="H509" s="80">
        <v>19043</v>
      </c>
      <c r="I509" s="85">
        <v>0.40899999999999997</v>
      </c>
      <c r="J509" s="213">
        <f t="shared" si="9"/>
        <v>0.40911629638823382</v>
      </c>
    </row>
    <row r="510" spans="1:10" ht="15" x14ac:dyDescent="0.25">
      <c r="A510" s="66">
        <v>44398</v>
      </c>
      <c r="B510" s="69">
        <v>31541</v>
      </c>
      <c r="C510" s="69">
        <v>7058</v>
      </c>
      <c r="D510" s="76">
        <f t="shared" si="0"/>
        <v>24483</v>
      </c>
      <c r="E510" s="77">
        <f t="shared" si="1"/>
        <v>0.22377223296661489</v>
      </c>
      <c r="F510" s="79">
        <v>39828</v>
      </c>
      <c r="G510" s="80">
        <v>15712</v>
      </c>
      <c r="H510" s="80">
        <v>24116</v>
      </c>
      <c r="I510" s="85">
        <v>0.39400000000000002</v>
      </c>
      <c r="J510" s="213">
        <f t="shared" si="9"/>
        <v>0.39449633423722003</v>
      </c>
    </row>
    <row r="511" spans="1:10" ht="15" x14ac:dyDescent="0.25">
      <c r="A511" s="66">
        <v>44399</v>
      </c>
      <c r="B511" s="69">
        <v>35589</v>
      </c>
      <c r="C511" s="69">
        <v>8033</v>
      </c>
      <c r="D511" s="76">
        <f t="shared" si="0"/>
        <v>27556</v>
      </c>
      <c r="E511" s="77">
        <f t="shared" si="1"/>
        <v>0.22571581106521679</v>
      </c>
      <c r="F511" s="79">
        <v>45234</v>
      </c>
      <c r="G511" s="80">
        <v>17280</v>
      </c>
      <c r="H511" s="80">
        <v>27954</v>
      </c>
      <c r="I511" s="85">
        <v>0.38200000000000001</v>
      </c>
      <c r="J511" s="213">
        <f t="shared" si="9"/>
        <v>0.38201352964584162</v>
      </c>
    </row>
    <row r="512" spans="1:10" ht="15" x14ac:dyDescent="0.25">
      <c r="A512" s="66">
        <v>44400</v>
      </c>
      <c r="B512" s="69">
        <v>32547</v>
      </c>
      <c r="C512" s="69">
        <v>8360</v>
      </c>
      <c r="D512" s="76">
        <f t="shared" si="0"/>
        <v>24187</v>
      </c>
      <c r="E512" s="77">
        <f t="shared" si="1"/>
        <v>0.25685931115002919</v>
      </c>
      <c r="F512" s="79">
        <v>42040</v>
      </c>
      <c r="G512" s="80">
        <v>14930</v>
      </c>
      <c r="H512" s="80">
        <v>27110</v>
      </c>
      <c r="I512" s="85">
        <v>0.35499999999999998</v>
      </c>
      <c r="J512" s="213">
        <f t="shared" si="9"/>
        <v>0.35513796384395813</v>
      </c>
    </row>
    <row r="513" spans="1:10" ht="15" x14ac:dyDescent="0.25">
      <c r="A513" s="66">
        <v>44401</v>
      </c>
      <c r="B513" s="69">
        <v>27435</v>
      </c>
      <c r="C513" s="69">
        <v>5393</v>
      </c>
      <c r="D513" s="76">
        <f t="shared" si="0"/>
        <v>22042</v>
      </c>
      <c r="E513" s="77">
        <f t="shared" si="1"/>
        <v>0.19657371970111173</v>
      </c>
      <c r="F513" s="79">
        <v>36462</v>
      </c>
      <c r="G513" s="80">
        <v>12720</v>
      </c>
      <c r="H513" s="80">
        <v>23742</v>
      </c>
      <c r="I513" s="85">
        <v>0.34899999999999998</v>
      </c>
      <c r="J513" s="213">
        <f t="shared" si="9"/>
        <v>0.34885634359058748</v>
      </c>
    </row>
    <row r="514" spans="1:10" ht="15" x14ac:dyDescent="0.25">
      <c r="A514" s="66">
        <v>44402</v>
      </c>
      <c r="B514" s="76">
        <v>24602</v>
      </c>
      <c r="C514" s="69">
        <v>2662</v>
      </c>
      <c r="D514" s="76">
        <f t="shared" si="0"/>
        <v>21940</v>
      </c>
      <c r="E514" s="77">
        <f t="shared" si="1"/>
        <v>0.1082025851556784</v>
      </c>
      <c r="F514" s="79">
        <v>22709</v>
      </c>
      <c r="G514" s="80">
        <v>6966</v>
      </c>
      <c r="H514" s="80">
        <v>15743</v>
      </c>
      <c r="I514" s="85">
        <v>0.307</v>
      </c>
      <c r="J514" s="213">
        <f t="shared" si="9"/>
        <v>0.30675062750451365</v>
      </c>
    </row>
    <row r="515" spans="1:10" ht="16.5" customHeight="1" x14ac:dyDescent="0.25">
      <c r="A515" s="66">
        <v>44403</v>
      </c>
      <c r="B515" s="76">
        <v>23979</v>
      </c>
      <c r="C515" s="69">
        <v>3567</v>
      </c>
      <c r="D515" s="76">
        <f t="shared" si="0"/>
        <v>20412</v>
      </c>
      <c r="E515" s="77">
        <f t="shared" si="1"/>
        <v>0.14875516076566997</v>
      </c>
      <c r="F515" s="79">
        <v>30153</v>
      </c>
      <c r="G515" s="80">
        <v>9339</v>
      </c>
      <c r="H515" s="80">
        <v>20814</v>
      </c>
      <c r="I515" s="85">
        <v>0.31</v>
      </c>
      <c r="J515" s="213">
        <f t="shared" ref="J515:J549" si="10">G515/F515</f>
        <v>0.3097204258282758</v>
      </c>
    </row>
    <row r="516" spans="1:10" ht="15" x14ac:dyDescent="0.25">
      <c r="A516" s="66">
        <v>44404</v>
      </c>
      <c r="B516" s="76">
        <v>28249</v>
      </c>
      <c r="C516" s="69">
        <v>5525</v>
      </c>
      <c r="D516" s="76">
        <f t="shared" si="0"/>
        <v>22724</v>
      </c>
      <c r="E516" s="77">
        <f t="shared" si="1"/>
        <v>0.19558214450069028</v>
      </c>
      <c r="F516" s="79">
        <v>40117</v>
      </c>
      <c r="G516" s="80">
        <v>12117</v>
      </c>
      <c r="H516" s="80">
        <v>28000</v>
      </c>
      <c r="I516" s="85">
        <v>0.30199999999999999</v>
      </c>
      <c r="J516" s="213">
        <f t="shared" si="10"/>
        <v>0.30204152852905253</v>
      </c>
    </row>
    <row r="517" spans="1:10" ht="15" x14ac:dyDescent="0.25">
      <c r="A517" s="66">
        <v>44405</v>
      </c>
      <c r="B517" s="76">
        <v>25442</v>
      </c>
      <c r="C517" s="69">
        <v>3845</v>
      </c>
      <c r="D517" s="76">
        <f t="shared" si="0"/>
        <v>21597</v>
      </c>
      <c r="E517" s="77">
        <f t="shared" si="1"/>
        <v>0.15112805597044257</v>
      </c>
      <c r="F517" s="79">
        <v>32405</v>
      </c>
      <c r="G517" s="80">
        <v>9349</v>
      </c>
      <c r="H517" s="80">
        <v>23056</v>
      </c>
      <c r="I517" s="85">
        <v>0.28899999999999998</v>
      </c>
      <c r="J517" s="213">
        <f t="shared" si="10"/>
        <v>0.28850486036105538</v>
      </c>
    </row>
    <row r="518" spans="1:10" ht="15" x14ac:dyDescent="0.25">
      <c r="A518" s="66">
        <v>44406</v>
      </c>
      <c r="B518" s="76">
        <v>23582</v>
      </c>
      <c r="C518" s="69">
        <v>3454</v>
      </c>
      <c r="D518" s="76">
        <f t="shared" si="0"/>
        <v>20128</v>
      </c>
      <c r="E518" s="77">
        <f t="shared" si="1"/>
        <v>0.14646764481384106</v>
      </c>
      <c r="F518" s="79">
        <v>30823</v>
      </c>
      <c r="G518" s="80">
        <v>8650</v>
      </c>
      <c r="H518" s="80">
        <v>22173</v>
      </c>
      <c r="I518" s="85">
        <v>0.28100000000000003</v>
      </c>
      <c r="J518" s="213">
        <f t="shared" si="10"/>
        <v>0.2806345910521364</v>
      </c>
    </row>
    <row r="519" spans="1:10" ht="15" x14ac:dyDescent="0.25">
      <c r="A519" s="66">
        <v>44407</v>
      </c>
      <c r="B519" s="76">
        <v>24573</v>
      </c>
      <c r="C519" s="69">
        <v>3329</v>
      </c>
      <c r="D519" s="76">
        <f t="shared" si="0"/>
        <v>21244</v>
      </c>
      <c r="E519" s="77">
        <f t="shared" si="1"/>
        <v>0.1354738941114231</v>
      </c>
      <c r="F519" s="79">
        <v>29646</v>
      </c>
      <c r="G519" s="80">
        <v>7869</v>
      </c>
      <c r="H519" s="80">
        <v>21777</v>
      </c>
      <c r="I519" s="85">
        <v>0.26500000000000001</v>
      </c>
      <c r="J519" s="213">
        <f t="shared" si="10"/>
        <v>0.26543209876543211</v>
      </c>
    </row>
    <row r="520" spans="1:10" ht="15" x14ac:dyDescent="0.25">
      <c r="A520" s="66">
        <v>44408</v>
      </c>
      <c r="B520" s="69">
        <v>19619</v>
      </c>
      <c r="C520" s="69">
        <v>2701</v>
      </c>
      <c r="D520" s="76">
        <f t="shared" si="0"/>
        <v>16918</v>
      </c>
      <c r="E520" s="77">
        <f t="shared" si="1"/>
        <v>0.13767266425403946</v>
      </c>
      <c r="F520" s="79">
        <v>28178</v>
      </c>
      <c r="G520" s="80">
        <v>7516</v>
      </c>
      <c r="H520" s="80">
        <v>20662</v>
      </c>
      <c r="I520" s="85">
        <v>0.26700000000000002</v>
      </c>
      <c r="J520" s="213">
        <f t="shared" si="10"/>
        <v>0.26673291220100787</v>
      </c>
    </row>
    <row r="521" spans="1:10" ht="15" x14ac:dyDescent="0.25">
      <c r="A521" s="66">
        <v>44409</v>
      </c>
      <c r="B521" s="69">
        <v>11587</v>
      </c>
      <c r="C521" s="69">
        <v>1410</v>
      </c>
      <c r="D521" s="76">
        <f t="shared" si="0"/>
        <v>10177</v>
      </c>
      <c r="E521" s="77">
        <f t="shared" si="1"/>
        <v>0.12168809873133685</v>
      </c>
      <c r="F521" s="79">
        <v>17321</v>
      </c>
      <c r="G521" s="80">
        <v>3843</v>
      </c>
      <c r="H521" s="80">
        <v>13478</v>
      </c>
      <c r="I521" s="85">
        <v>0.222</v>
      </c>
      <c r="J521" s="213">
        <f t="shared" si="10"/>
        <v>0.22186940707811328</v>
      </c>
    </row>
    <row r="522" spans="1:10" ht="15" x14ac:dyDescent="0.25">
      <c r="A522" s="66">
        <v>44410</v>
      </c>
      <c r="B522" s="69">
        <v>15952</v>
      </c>
      <c r="C522" s="69">
        <v>1601</v>
      </c>
      <c r="D522" s="76">
        <f t="shared" si="0"/>
        <v>14351</v>
      </c>
      <c r="E522" s="77">
        <f t="shared" si="1"/>
        <v>0.10036359077231695</v>
      </c>
      <c r="F522" s="79">
        <v>22649</v>
      </c>
      <c r="G522" s="80">
        <v>4823</v>
      </c>
      <c r="H522" s="80">
        <v>17826</v>
      </c>
      <c r="I522" s="85">
        <v>0.21299999999999999</v>
      </c>
      <c r="J522" s="213">
        <f t="shared" si="10"/>
        <v>0.21294538390215903</v>
      </c>
    </row>
    <row r="523" spans="1:10" ht="15" x14ac:dyDescent="0.25">
      <c r="A523" s="66">
        <v>44411</v>
      </c>
      <c r="B523" s="69">
        <v>21595</v>
      </c>
      <c r="C523" s="69">
        <v>2982</v>
      </c>
      <c r="D523" s="76">
        <f t="shared" si="0"/>
        <v>18613</v>
      </c>
      <c r="E523" s="77">
        <f t="shared" si="1"/>
        <v>0.13808752025931928</v>
      </c>
      <c r="F523" s="79">
        <v>32026</v>
      </c>
      <c r="G523" s="80">
        <v>7052</v>
      </c>
      <c r="H523" s="80">
        <v>24974</v>
      </c>
      <c r="I523" s="85">
        <v>0.22</v>
      </c>
      <c r="J523" s="213">
        <f t="shared" si="10"/>
        <v>0.22019609067632548</v>
      </c>
    </row>
    <row r="524" spans="1:10" ht="15" x14ac:dyDescent="0.25">
      <c r="A524" s="66">
        <v>44412</v>
      </c>
      <c r="B524" s="69">
        <v>21154</v>
      </c>
      <c r="C524" s="69">
        <v>2311</v>
      </c>
      <c r="D524" s="76">
        <f t="shared" si="0"/>
        <v>18843</v>
      </c>
      <c r="E524" s="77">
        <f t="shared" si="1"/>
        <v>0.10924647820743122</v>
      </c>
      <c r="F524" s="79">
        <v>26672</v>
      </c>
      <c r="G524" s="80">
        <v>5797</v>
      </c>
      <c r="H524" s="80">
        <v>20875</v>
      </c>
      <c r="I524" s="85">
        <v>0.217</v>
      </c>
      <c r="J524" s="213">
        <f t="shared" si="10"/>
        <v>0.21734403119376125</v>
      </c>
    </row>
    <row r="525" spans="1:10" ht="15" x14ac:dyDescent="0.25">
      <c r="A525" s="66">
        <v>44413</v>
      </c>
      <c r="B525" s="69">
        <v>20760</v>
      </c>
      <c r="C525" s="69">
        <v>2185</v>
      </c>
      <c r="D525" s="76">
        <f t="shared" si="0"/>
        <v>18575</v>
      </c>
      <c r="E525" s="77">
        <f t="shared" si="1"/>
        <v>0.1052504816955684</v>
      </c>
      <c r="F525" s="79">
        <v>25104</v>
      </c>
      <c r="G525" s="80">
        <v>5087</v>
      </c>
      <c r="H525" s="80">
        <v>20017</v>
      </c>
      <c r="I525" s="85">
        <v>0.20300000000000001</v>
      </c>
      <c r="J525" s="213">
        <f t="shared" si="10"/>
        <v>0.2026370299553856</v>
      </c>
    </row>
    <row r="526" spans="1:10" ht="15" x14ac:dyDescent="0.25">
      <c r="A526" s="66">
        <v>44414</v>
      </c>
      <c r="B526" s="69">
        <v>20398</v>
      </c>
      <c r="C526" s="69">
        <v>2008</v>
      </c>
      <c r="D526" s="76">
        <f t="shared" si="0"/>
        <v>18390</v>
      </c>
      <c r="E526" s="77">
        <f t="shared" si="1"/>
        <v>9.8441023629767629E-2</v>
      </c>
      <c r="F526" s="79">
        <v>26383</v>
      </c>
      <c r="G526" s="80">
        <v>4870</v>
      </c>
      <c r="H526" s="80">
        <v>21513</v>
      </c>
      <c r="I526" s="85">
        <v>0.185</v>
      </c>
      <c r="J526" s="213">
        <f t="shared" si="10"/>
        <v>0.18458856081567676</v>
      </c>
    </row>
    <row r="527" spans="1:10" ht="15" x14ac:dyDescent="0.25">
      <c r="A527" s="66">
        <v>44415</v>
      </c>
      <c r="B527" s="69">
        <v>17018</v>
      </c>
      <c r="C527" s="69">
        <v>1649</v>
      </c>
      <c r="D527" s="76">
        <f t="shared" si="0"/>
        <v>15369</v>
      </c>
      <c r="E527" s="77">
        <f t="shared" si="1"/>
        <v>9.6897402750029379E-2</v>
      </c>
      <c r="F527" s="79">
        <v>24066</v>
      </c>
      <c r="G527" s="80">
        <v>4193</v>
      </c>
      <c r="H527" s="80">
        <v>19873</v>
      </c>
      <c r="I527" s="85">
        <v>0.17399999999999999</v>
      </c>
      <c r="J527" s="213">
        <f t="shared" si="10"/>
        <v>0.17422920302501455</v>
      </c>
    </row>
    <row r="528" spans="1:10" ht="15" x14ac:dyDescent="0.25">
      <c r="A528" s="66">
        <v>44416</v>
      </c>
      <c r="B528" s="76">
        <v>8155</v>
      </c>
      <c r="C528" s="69">
        <v>727</v>
      </c>
      <c r="D528" s="76">
        <f t="shared" si="0"/>
        <v>7428</v>
      </c>
      <c r="E528" s="77">
        <f t="shared" si="1"/>
        <v>8.9147762109135498E-2</v>
      </c>
      <c r="F528" s="79">
        <v>15585</v>
      </c>
      <c r="G528" s="80">
        <v>2503</v>
      </c>
      <c r="H528" s="80">
        <v>13082</v>
      </c>
      <c r="I528" s="85">
        <v>0.161</v>
      </c>
      <c r="J528" s="213">
        <f t="shared" si="10"/>
        <v>0.16060314404876483</v>
      </c>
    </row>
    <row r="529" spans="1:10" ht="15" x14ac:dyDescent="0.25">
      <c r="A529" s="66">
        <v>44417</v>
      </c>
      <c r="B529" s="76">
        <v>15094</v>
      </c>
      <c r="C529" s="69">
        <v>1425</v>
      </c>
      <c r="D529" s="76">
        <f t="shared" si="0"/>
        <v>13669</v>
      </c>
      <c r="E529" s="77">
        <f t="shared" si="1"/>
        <v>9.4408374188419242E-2</v>
      </c>
      <c r="F529" s="79">
        <v>21854</v>
      </c>
      <c r="G529" s="80">
        <v>3799</v>
      </c>
      <c r="H529" s="80">
        <v>18055</v>
      </c>
      <c r="I529" s="85">
        <v>0.17399999999999999</v>
      </c>
      <c r="J529" s="213">
        <f t="shared" si="10"/>
        <v>0.17383545346389678</v>
      </c>
    </row>
    <row r="530" spans="1:10" ht="15" x14ac:dyDescent="0.25">
      <c r="A530" s="66">
        <v>44418</v>
      </c>
      <c r="B530" s="76">
        <v>21813</v>
      </c>
      <c r="C530" s="69">
        <v>1958</v>
      </c>
      <c r="D530" s="76">
        <f t="shared" si="0"/>
        <v>19855</v>
      </c>
      <c r="E530" s="77">
        <f t="shared" si="1"/>
        <v>8.9762985375693397E-2</v>
      </c>
      <c r="F530" s="79">
        <v>27847</v>
      </c>
      <c r="G530" s="80">
        <v>4789</v>
      </c>
      <c r="H530" s="80">
        <v>23058</v>
      </c>
      <c r="I530" s="85">
        <v>0.17199999999999999</v>
      </c>
      <c r="J530" s="213">
        <f t="shared" si="10"/>
        <v>0.17197543721047151</v>
      </c>
    </row>
    <row r="531" spans="1:10" ht="15" x14ac:dyDescent="0.25">
      <c r="A531" s="66">
        <v>44419</v>
      </c>
      <c r="B531" s="76">
        <v>14615</v>
      </c>
      <c r="C531" s="69">
        <v>1078</v>
      </c>
      <c r="D531" s="76">
        <f t="shared" si="0"/>
        <v>13537</v>
      </c>
      <c r="E531" s="77">
        <f t="shared" si="1"/>
        <v>7.3759835785152245E-2</v>
      </c>
      <c r="F531" s="79">
        <v>20956</v>
      </c>
      <c r="G531" s="80">
        <v>2765</v>
      </c>
      <c r="H531" s="80">
        <v>18191</v>
      </c>
      <c r="I531" s="85">
        <v>0.13200000000000001</v>
      </c>
      <c r="J531" s="213">
        <f t="shared" si="10"/>
        <v>0.13194311891582364</v>
      </c>
    </row>
    <row r="532" spans="1:10" ht="15" x14ac:dyDescent="0.25">
      <c r="A532" s="66">
        <v>44420</v>
      </c>
      <c r="B532" s="76">
        <v>15419</v>
      </c>
      <c r="C532" s="69">
        <v>1210</v>
      </c>
      <c r="D532" s="76">
        <f t="shared" si="0"/>
        <v>14209</v>
      </c>
      <c r="E532" s="77">
        <f t="shared" si="1"/>
        <v>7.8474609248329982E-2</v>
      </c>
      <c r="F532" s="79">
        <v>22829</v>
      </c>
      <c r="G532" s="80">
        <v>3098</v>
      </c>
      <c r="H532" s="80">
        <v>19731</v>
      </c>
      <c r="I532" s="85">
        <v>0.13600000000000001</v>
      </c>
      <c r="J532" s="213">
        <f t="shared" si="10"/>
        <v>0.1357045862718472</v>
      </c>
    </row>
    <row r="533" spans="1:10" ht="15" x14ac:dyDescent="0.25">
      <c r="A533" s="66">
        <v>44421</v>
      </c>
      <c r="B533" s="76">
        <v>16144</v>
      </c>
      <c r="C533" s="69">
        <v>1363</v>
      </c>
      <c r="D533" s="76">
        <f t="shared" si="0"/>
        <v>14781</v>
      </c>
      <c r="E533" s="77">
        <f t="shared" si="1"/>
        <v>8.4427651139742321E-2</v>
      </c>
      <c r="F533" s="79">
        <v>24202</v>
      </c>
      <c r="G533" s="80">
        <v>3351</v>
      </c>
      <c r="H533" s="80">
        <v>20851</v>
      </c>
      <c r="I533" s="85">
        <v>0.13800000000000001</v>
      </c>
      <c r="J533" s="213">
        <f t="shared" si="10"/>
        <v>0.13845963143541856</v>
      </c>
    </row>
    <row r="534" spans="1:10" ht="15" x14ac:dyDescent="0.25">
      <c r="A534" s="66">
        <v>44422</v>
      </c>
      <c r="B534" s="76">
        <v>14374</v>
      </c>
      <c r="C534" s="69">
        <v>1182</v>
      </c>
      <c r="D534" s="76">
        <f t="shared" si="0"/>
        <v>13192</v>
      </c>
      <c r="E534" s="77">
        <f t="shared" si="1"/>
        <v>8.2231807430082099E-2</v>
      </c>
      <c r="F534" s="79">
        <v>23307</v>
      </c>
      <c r="G534" s="80">
        <v>3156</v>
      </c>
      <c r="H534" s="80">
        <v>20151</v>
      </c>
      <c r="I534" s="85">
        <v>0.13500000000000001</v>
      </c>
      <c r="J534" s="213">
        <f t="shared" si="10"/>
        <v>0.13540996267215857</v>
      </c>
    </row>
    <row r="535" spans="1:10" ht="15" x14ac:dyDescent="0.25">
      <c r="A535" s="66">
        <v>44423</v>
      </c>
      <c r="B535" s="76">
        <v>6076</v>
      </c>
      <c r="C535" s="69">
        <v>513</v>
      </c>
      <c r="D535" s="76">
        <f t="shared" si="0"/>
        <v>5563</v>
      </c>
      <c r="E535" s="77">
        <f t="shared" si="1"/>
        <v>8.4430546412113228E-2</v>
      </c>
      <c r="F535" s="79">
        <v>14224</v>
      </c>
      <c r="G535" s="80">
        <v>1606</v>
      </c>
      <c r="H535" s="80">
        <v>12618</v>
      </c>
      <c r="I535" s="85">
        <v>0.113</v>
      </c>
      <c r="J535" s="213">
        <f t="shared" si="10"/>
        <v>0.11290776152980878</v>
      </c>
    </row>
    <row r="536" spans="1:10" ht="15" x14ac:dyDescent="0.25">
      <c r="A536" s="66">
        <v>44424</v>
      </c>
      <c r="B536" s="86">
        <v>11663</v>
      </c>
      <c r="C536" s="69">
        <v>655</v>
      </c>
      <c r="D536" s="76">
        <f t="shared" si="0"/>
        <v>11008</v>
      </c>
      <c r="E536" s="77">
        <f t="shared" si="1"/>
        <v>5.6160507588099116E-2</v>
      </c>
      <c r="F536" s="79">
        <v>20685</v>
      </c>
      <c r="G536" s="80">
        <v>2186</v>
      </c>
      <c r="H536" s="80">
        <v>18499</v>
      </c>
      <c r="I536" s="85">
        <v>0.106</v>
      </c>
      <c r="J536" s="213">
        <f t="shared" si="10"/>
        <v>0.10568044476673918</v>
      </c>
    </row>
    <row r="537" spans="1:10" ht="15" x14ac:dyDescent="0.25">
      <c r="A537" s="66">
        <v>44425</v>
      </c>
      <c r="B537" s="86">
        <v>12623</v>
      </c>
      <c r="C537" s="69">
        <v>1029</v>
      </c>
      <c r="D537" s="76">
        <f t="shared" si="0"/>
        <v>11594</v>
      </c>
      <c r="E537" s="77">
        <f t="shared" si="1"/>
        <v>8.1517864216113442E-2</v>
      </c>
      <c r="F537" s="79">
        <v>19340</v>
      </c>
      <c r="G537" s="80">
        <v>2435</v>
      </c>
      <c r="H537" s="80">
        <v>16905</v>
      </c>
      <c r="I537" s="85">
        <v>0.126</v>
      </c>
      <c r="J537" s="213">
        <f t="shared" si="10"/>
        <v>0.12590486039296794</v>
      </c>
    </row>
    <row r="538" spans="1:10" ht="15" x14ac:dyDescent="0.25">
      <c r="A538" s="66">
        <v>44426</v>
      </c>
      <c r="B538" s="87">
        <v>11136</v>
      </c>
      <c r="C538" s="69">
        <v>731</v>
      </c>
      <c r="D538" s="76">
        <f t="shared" si="0"/>
        <v>10405</v>
      </c>
      <c r="E538" s="77">
        <f t="shared" si="1"/>
        <v>6.5642959770114945E-2</v>
      </c>
      <c r="F538" s="79">
        <v>17925</v>
      </c>
      <c r="G538" s="80">
        <v>1924</v>
      </c>
      <c r="H538" s="80">
        <v>16001</v>
      </c>
      <c r="I538" s="85">
        <v>0.107</v>
      </c>
      <c r="J538" s="213">
        <f t="shared" si="10"/>
        <v>0.10733612273361227</v>
      </c>
    </row>
    <row r="539" spans="1:10" ht="15" x14ac:dyDescent="0.25">
      <c r="A539" s="66">
        <v>44427</v>
      </c>
      <c r="B539" s="87">
        <v>11742</v>
      </c>
      <c r="C539" s="69">
        <v>969</v>
      </c>
      <c r="D539" s="76">
        <f t="shared" si="0"/>
        <v>10773</v>
      </c>
      <c r="E539" s="77">
        <f t="shared" si="1"/>
        <v>8.2524271844660199E-2</v>
      </c>
      <c r="F539" s="79">
        <v>20450</v>
      </c>
      <c r="G539" s="80">
        <v>2462</v>
      </c>
      <c r="H539" s="80">
        <v>17988</v>
      </c>
      <c r="I539" s="85">
        <v>0.12</v>
      </c>
      <c r="J539" s="213">
        <f t="shared" si="10"/>
        <v>0.12039119804400979</v>
      </c>
    </row>
    <row r="540" spans="1:10" ht="15" x14ac:dyDescent="0.25">
      <c r="A540" s="66">
        <v>44428</v>
      </c>
      <c r="B540" s="87">
        <v>13518</v>
      </c>
      <c r="C540" s="69">
        <v>891</v>
      </c>
      <c r="D540" s="76">
        <f t="shared" si="0"/>
        <v>12627</v>
      </c>
      <c r="E540" s="77">
        <f t="shared" si="1"/>
        <v>6.5912117177097204E-2</v>
      </c>
      <c r="F540" s="79">
        <v>18883</v>
      </c>
      <c r="G540" s="80">
        <v>2236</v>
      </c>
      <c r="H540" s="80">
        <v>16647</v>
      </c>
      <c r="I540" s="85">
        <v>0.11799999999999999</v>
      </c>
      <c r="J540" s="213">
        <f t="shared" si="10"/>
        <v>0.11841338770322513</v>
      </c>
    </row>
    <row r="541" spans="1:10" ht="15" x14ac:dyDescent="0.25">
      <c r="A541" s="66">
        <v>44429</v>
      </c>
      <c r="B541" s="87">
        <v>11555</v>
      </c>
      <c r="C541" s="69">
        <v>701</v>
      </c>
      <c r="D541" s="76">
        <f t="shared" si="0"/>
        <v>10854</v>
      </c>
      <c r="E541" s="77">
        <f t="shared" si="1"/>
        <v>6.0666378191259196E-2</v>
      </c>
      <c r="F541" s="79">
        <v>17607</v>
      </c>
      <c r="G541" s="80">
        <v>1654</v>
      </c>
      <c r="H541" s="80">
        <v>15953</v>
      </c>
      <c r="I541" s="85">
        <v>9.4E-2</v>
      </c>
      <c r="J541" s="213">
        <f t="shared" si="10"/>
        <v>9.3939910262963597E-2</v>
      </c>
    </row>
    <row r="542" spans="1:10" ht="15" x14ac:dyDescent="0.25">
      <c r="A542" s="66">
        <v>44430</v>
      </c>
      <c r="B542" s="87">
        <v>8317</v>
      </c>
      <c r="C542" s="69">
        <v>485</v>
      </c>
      <c r="D542" s="76">
        <f t="shared" si="0"/>
        <v>7832</v>
      </c>
      <c r="E542" s="77">
        <f t="shared" si="1"/>
        <v>5.8314296020199594E-2</v>
      </c>
      <c r="F542" s="79">
        <v>12792</v>
      </c>
      <c r="G542" s="80">
        <v>1086</v>
      </c>
      <c r="H542" s="80">
        <v>11706</v>
      </c>
      <c r="I542" s="85">
        <v>8.5000000000000006E-2</v>
      </c>
      <c r="J542" s="213">
        <f t="shared" si="10"/>
        <v>8.4896810506566597E-2</v>
      </c>
    </row>
    <row r="543" spans="1:10" ht="15" x14ac:dyDescent="0.25">
      <c r="A543" s="66">
        <v>44431</v>
      </c>
      <c r="B543" s="87">
        <v>9206</v>
      </c>
      <c r="C543" s="69">
        <v>484</v>
      </c>
      <c r="D543" s="76">
        <f t="shared" si="0"/>
        <v>8722</v>
      </c>
      <c r="E543" s="77">
        <f t="shared" si="1"/>
        <v>5.2574407994786007E-2</v>
      </c>
      <c r="F543" s="79">
        <v>15483</v>
      </c>
      <c r="G543" s="80">
        <v>1374</v>
      </c>
      <c r="H543" s="80">
        <v>14109</v>
      </c>
      <c r="I543" s="85">
        <v>8.8999999999999996E-2</v>
      </c>
      <c r="J543" s="213">
        <f t="shared" si="10"/>
        <v>8.8742491765161788E-2</v>
      </c>
    </row>
    <row r="544" spans="1:10" ht="15" x14ac:dyDescent="0.25">
      <c r="A544" s="66">
        <v>44432</v>
      </c>
      <c r="B544" s="87">
        <v>13471</v>
      </c>
      <c r="C544" s="69">
        <v>789</v>
      </c>
      <c r="D544" s="76">
        <f t="shared" si="0"/>
        <v>12682</v>
      </c>
      <c r="E544" s="77">
        <f t="shared" si="1"/>
        <v>5.8570262044391655E-2</v>
      </c>
      <c r="F544" s="79">
        <v>22467</v>
      </c>
      <c r="G544" s="80">
        <v>1943</v>
      </c>
      <c r="H544" s="80">
        <v>20524</v>
      </c>
      <c r="I544" s="85">
        <v>8.5999999999999993E-2</v>
      </c>
      <c r="J544" s="213">
        <f t="shared" si="10"/>
        <v>8.6482396403614187E-2</v>
      </c>
    </row>
    <row r="545" spans="1:10" ht="15" x14ac:dyDescent="0.25">
      <c r="A545" s="66">
        <v>44433</v>
      </c>
      <c r="B545" s="87">
        <v>10823</v>
      </c>
      <c r="C545" s="69">
        <v>574</v>
      </c>
      <c r="D545" s="76">
        <f t="shared" si="0"/>
        <v>10249</v>
      </c>
      <c r="E545" s="77">
        <f t="shared" si="1"/>
        <v>5.3035202808833039E-2</v>
      </c>
      <c r="F545" s="79">
        <v>18377</v>
      </c>
      <c r="G545" s="80">
        <v>1466</v>
      </c>
      <c r="H545" s="80">
        <v>16911</v>
      </c>
      <c r="I545" s="85">
        <v>0.08</v>
      </c>
      <c r="J545" s="213">
        <f t="shared" si="10"/>
        <v>7.9773630081079613E-2</v>
      </c>
    </row>
    <row r="546" spans="1:10" ht="15" x14ac:dyDescent="0.25">
      <c r="A546" s="66">
        <v>44434</v>
      </c>
      <c r="B546" s="87">
        <v>12879</v>
      </c>
      <c r="C546" s="69">
        <v>638</v>
      </c>
      <c r="D546" s="76">
        <f t="shared" si="0"/>
        <v>12241</v>
      </c>
      <c r="E546" s="77">
        <f t="shared" si="1"/>
        <v>4.9538007609286436E-2</v>
      </c>
      <c r="F546" s="79">
        <v>20776</v>
      </c>
      <c r="G546" s="80">
        <v>1662</v>
      </c>
      <c r="H546" s="80">
        <v>19114</v>
      </c>
      <c r="I546" s="85">
        <v>0.08</v>
      </c>
      <c r="J546" s="213">
        <f t="shared" si="10"/>
        <v>7.9996149403157496E-2</v>
      </c>
    </row>
    <row r="547" spans="1:10" ht="15" x14ac:dyDescent="0.25">
      <c r="A547" s="66">
        <v>44435</v>
      </c>
      <c r="B547" s="87">
        <v>12187</v>
      </c>
      <c r="C547" s="69">
        <v>468</v>
      </c>
      <c r="D547" s="76">
        <f t="shared" si="0"/>
        <v>11719</v>
      </c>
      <c r="E547" s="77">
        <f t="shared" si="1"/>
        <v>3.8401575449249201E-2</v>
      </c>
      <c r="F547" s="79">
        <v>17462</v>
      </c>
      <c r="G547" s="80">
        <v>1282</v>
      </c>
      <c r="H547" s="80">
        <v>16180</v>
      </c>
      <c r="I547" s="85">
        <v>7.2999999999999995E-2</v>
      </c>
      <c r="J547" s="213">
        <f t="shared" si="10"/>
        <v>7.341656167678387E-2</v>
      </c>
    </row>
    <row r="548" spans="1:10" ht="15" x14ac:dyDescent="0.25">
      <c r="A548" s="66">
        <v>44436</v>
      </c>
      <c r="B548" s="87">
        <v>11584</v>
      </c>
      <c r="C548" s="69">
        <v>474</v>
      </c>
      <c r="D548" s="76">
        <f t="shared" si="0"/>
        <v>11110</v>
      </c>
      <c r="E548" s="77">
        <f t="shared" si="1"/>
        <v>4.0918508287292821E-2</v>
      </c>
      <c r="F548" s="79">
        <v>18695</v>
      </c>
      <c r="G548" s="80">
        <v>1233</v>
      </c>
      <c r="H548" s="80">
        <v>17462</v>
      </c>
      <c r="I548" s="85">
        <v>6.6000000000000003E-2</v>
      </c>
      <c r="J548" s="213">
        <f t="shared" si="10"/>
        <v>6.5953463492912548E-2</v>
      </c>
    </row>
    <row r="549" spans="1:10" ht="15" x14ac:dyDescent="0.25">
      <c r="A549" s="66">
        <v>44437</v>
      </c>
      <c r="B549" s="87">
        <v>7657</v>
      </c>
      <c r="C549" s="69">
        <v>341</v>
      </c>
      <c r="D549" s="76">
        <f t="shared" si="0"/>
        <v>7316</v>
      </c>
      <c r="E549" s="77">
        <f t="shared" si="1"/>
        <v>4.4534412955465584E-2</v>
      </c>
      <c r="F549" s="79">
        <v>11781</v>
      </c>
      <c r="G549" s="80">
        <v>711</v>
      </c>
      <c r="H549" s="80">
        <v>11070</v>
      </c>
      <c r="I549" s="85">
        <v>0.06</v>
      </c>
      <c r="J549" s="213">
        <f t="shared" si="10"/>
        <v>6.0351413292589765E-2</v>
      </c>
    </row>
    <row r="550" spans="1:10" ht="15" x14ac:dyDescent="0.25">
      <c r="A550" s="88"/>
      <c r="B550" s="78"/>
      <c r="C550" s="78"/>
      <c r="D550" s="78"/>
      <c r="E550" s="89"/>
      <c r="F550" s="78"/>
      <c r="G550" s="78"/>
      <c r="H550" s="78"/>
      <c r="I550" s="90"/>
    </row>
    <row r="551" spans="1:10" ht="15" x14ac:dyDescent="0.25">
      <c r="A551" s="88"/>
      <c r="B551" s="78"/>
      <c r="C551" s="78"/>
      <c r="D551" s="78"/>
      <c r="E551" s="89"/>
      <c r="F551" s="78"/>
      <c r="G551" s="78"/>
      <c r="H551" s="78"/>
      <c r="I551" s="90"/>
    </row>
    <row r="552" spans="1:10" ht="15" x14ac:dyDescent="0.25">
      <c r="A552" s="88"/>
      <c r="B552" s="78"/>
      <c r="C552" s="78"/>
      <c r="D552" s="78"/>
      <c r="E552" s="89"/>
      <c r="F552" s="78"/>
      <c r="G552" s="78"/>
      <c r="H552" s="78"/>
      <c r="I552" s="90"/>
    </row>
    <row r="553" spans="1:10" ht="15" x14ac:dyDescent="0.25">
      <c r="A553" s="88"/>
      <c r="B553" s="78"/>
      <c r="C553" s="78"/>
      <c r="D553" s="78"/>
      <c r="E553" s="89"/>
      <c r="F553" s="78"/>
      <c r="G553" s="78"/>
      <c r="H553" s="78"/>
      <c r="I553" s="90"/>
    </row>
    <row r="554" spans="1:10" ht="15" x14ac:dyDescent="0.25">
      <c r="A554" s="88"/>
      <c r="B554" s="78"/>
      <c r="C554" s="78"/>
      <c r="D554" s="78"/>
      <c r="E554" s="89"/>
      <c r="F554" s="78"/>
      <c r="G554" s="78"/>
      <c r="H554" s="78"/>
      <c r="I554" s="90"/>
    </row>
    <row r="555" spans="1:10" ht="15" x14ac:dyDescent="0.25">
      <c r="A555" s="88"/>
      <c r="B555" s="78"/>
      <c r="C555" s="78"/>
      <c r="D555" s="78"/>
      <c r="E555" s="89"/>
      <c r="F555" s="78"/>
      <c r="G555" s="78"/>
      <c r="H555" s="78"/>
      <c r="I555" s="90"/>
    </row>
    <row r="556" spans="1:10" ht="15" x14ac:dyDescent="0.25">
      <c r="A556" s="88"/>
      <c r="B556" s="78"/>
      <c r="C556" s="78"/>
      <c r="D556" s="78"/>
      <c r="E556" s="89"/>
      <c r="F556" s="78"/>
      <c r="G556" s="78"/>
      <c r="H556" s="78"/>
      <c r="I556" s="90"/>
    </row>
    <row r="557" spans="1:10" ht="15" x14ac:dyDescent="0.25">
      <c r="A557" s="88"/>
      <c r="B557" s="78"/>
      <c r="C557" s="78"/>
      <c r="D557" s="78"/>
      <c r="E557" s="89"/>
      <c r="F557" s="78"/>
      <c r="G557" s="78"/>
      <c r="H557" s="78"/>
      <c r="I557" s="90"/>
    </row>
    <row r="558" spans="1:10" ht="15" x14ac:dyDescent="0.25">
      <c r="A558" s="88"/>
      <c r="B558" s="78"/>
      <c r="C558" s="78"/>
      <c r="D558" s="78"/>
      <c r="E558" s="89"/>
      <c r="F558" s="78"/>
      <c r="G558" s="78"/>
      <c r="H558" s="78"/>
      <c r="I558" s="90"/>
    </row>
    <row r="559" spans="1:10" ht="15" x14ac:dyDescent="0.25">
      <c r="A559" s="88"/>
      <c r="B559" s="78"/>
      <c r="C559" s="78"/>
      <c r="D559" s="78"/>
      <c r="E559" s="89"/>
      <c r="F559" s="78"/>
      <c r="G559" s="78"/>
      <c r="H559" s="78"/>
      <c r="I559" s="90"/>
    </row>
    <row r="560" spans="1:10" ht="15" x14ac:dyDescent="0.25">
      <c r="A560" s="88"/>
      <c r="B560" s="78"/>
      <c r="C560" s="78"/>
      <c r="D560" s="78"/>
      <c r="E560" s="89"/>
      <c r="F560" s="78"/>
      <c r="G560" s="78"/>
      <c r="H560" s="78"/>
      <c r="I560" s="90"/>
    </row>
    <row r="561" spans="1:9" ht="15" x14ac:dyDescent="0.25">
      <c r="A561" s="88"/>
      <c r="B561" s="78"/>
      <c r="C561" s="78"/>
      <c r="D561" s="78"/>
      <c r="E561" s="89"/>
      <c r="F561" s="78"/>
      <c r="G561" s="78"/>
      <c r="H561" s="78"/>
      <c r="I561" s="90"/>
    </row>
    <row r="562" spans="1:9" ht="15" x14ac:dyDescent="0.25">
      <c r="A562" s="88"/>
      <c r="B562" s="78"/>
      <c r="C562" s="78"/>
      <c r="D562" s="78"/>
      <c r="E562" s="89"/>
      <c r="F562" s="78"/>
      <c r="G562" s="78"/>
      <c r="H562" s="78"/>
      <c r="I562" s="90"/>
    </row>
    <row r="563" spans="1:9" ht="15" x14ac:dyDescent="0.25">
      <c r="A563" s="88"/>
      <c r="B563" s="78"/>
      <c r="C563" s="78"/>
      <c r="D563" s="78"/>
      <c r="E563" s="89"/>
      <c r="F563" s="78"/>
      <c r="G563" s="78"/>
      <c r="H563" s="78"/>
      <c r="I563" s="90"/>
    </row>
    <row r="564" spans="1:9" ht="15" x14ac:dyDescent="0.25">
      <c r="A564" s="88"/>
      <c r="B564" s="78"/>
      <c r="C564" s="78"/>
      <c r="D564" s="78"/>
      <c r="E564" s="89"/>
      <c r="F564" s="78"/>
      <c r="G564" s="78"/>
      <c r="H564" s="78"/>
      <c r="I564" s="90"/>
    </row>
    <row r="565" spans="1:9" ht="15" x14ac:dyDescent="0.25">
      <c r="A565" s="88"/>
      <c r="B565" s="78"/>
      <c r="C565" s="78"/>
      <c r="D565" s="78"/>
      <c r="E565" s="89"/>
      <c r="F565" s="78"/>
      <c r="G565" s="78"/>
      <c r="H565" s="78"/>
      <c r="I565" s="90"/>
    </row>
    <row r="566" spans="1:9" ht="15" x14ac:dyDescent="0.25">
      <c r="A566" s="88"/>
      <c r="B566" s="78"/>
      <c r="C566" s="78"/>
      <c r="D566" s="78"/>
      <c r="E566" s="89"/>
      <c r="F566" s="78"/>
      <c r="G566" s="78"/>
      <c r="H566" s="78"/>
      <c r="I566" s="90"/>
    </row>
    <row r="567" spans="1:9" ht="15" x14ac:dyDescent="0.25">
      <c r="A567" s="88"/>
      <c r="B567" s="78"/>
      <c r="C567" s="78"/>
      <c r="D567" s="78"/>
      <c r="E567" s="89"/>
      <c r="F567" s="78"/>
      <c r="G567" s="78"/>
      <c r="H567" s="78"/>
      <c r="I567" s="90"/>
    </row>
    <row r="568" spans="1:9" ht="15" x14ac:dyDescent="0.25">
      <c r="A568" s="88"/>
      <c r="B568" s="78"/>
      <c r="C568" s="78"/>
      <c r="D568" s="78"/>
      <c r="E568" s="89"/>
      <c r="F568" s="78"/>
      <c r="G568" s="78"/>
      <c r="H568" s="78"/>
      <c r="I568" s="90"/>
    </row>
    <row r="569" spans="1:9" ht="15" x14ac:dyDescent="0.25">
      <c r="A569" s="88"/>
      <c r="B569" s="78"/>
      <c r="C569" s="78"/>
      <c r="D569" s="78"/>
      <c r="E569" s="89"/>
      <c r="F569" s="78"/>
      <c r="G569" s="78"/>
      <c r="H569" s="78"/>
      <c r="I569" s="90"/>
    </row>
    <row r="570" spans="1:9" ht="15" x14ac:dyDescent="0.25">
      <c r="A570" s="88"/>
      <c r="B570" s="78"/>
      <c r="C570" s="78"/>
      <c r="D570" s="78"/>
      <c r="E570" s="89"/>
      <c r="F570" s="78"/>
      <c r="G570" s="78"/>
      <c r="H570" s="78"/>
      <c r="I570" s="90"/>
    </row>
    <row r="571" spans="1:9" ht="15" x14ac:dyDescent="0.25">
      <c r="A571" s="88"/>
      <c r="B571" s="78"/>
      <c r="C571" s="78"/>
      <c r="D571" s="78"/>
      <c r="E571" s="89"/>
      <c r="F571" s="78"/>
      <c r="G571" s="78"/>
      <c r="H571" s="78"/>
      <c r="I571" s="90"/>
    </row>
    <row r="572" spans="1:9" ht="15" x14ac:dyDescent="0.25">
      <c r="A572" s="88"/>
      <c r="B572" s="78"/>
      <c r="C572" s="78"/>
      <c r="D572" s="78"/>
      <c r="E572" s="89"/>
      <c r="F572" s="78"/>
      <c r="G572" s="78"/>
      <c r="H572" s="78"/>
      <c r="I572" s="90"/>
    </row>
    <row r="573" spans="1:9" ht="15" x14ac:dyDescent="0.25">
      <c r="A573" s="88"/>
      <c r="B573" s="78"/>
      <c r="C573" s="78"/>
      <c r="D573" s="78"/>
      <c r="E573" s="89"/>
      <c r="F573" s="78"/>
      <c r="G573" s="78"/>
      <c r="H573" s="78"/>
      <c r="I573" s="90"/>
    </row>
    <row r="574" spans="1:9" ht="15" x14ac:dyDescent="0.25">
      <c r="A574" s="88"/>
      <c r="B574" s="78"/>
      <c r="C574" s="78"/>
      <c r="D574" s="78"/>
      <c r="E574" s="89"/>
      <c r="F574" s="78"/>
      <c r="G574" s="78"/>
      <c r="H574" s="78"/>
      <c r="I574" s="90"/>
    </row>
    <row r="575" spans="1:9" ht="15" x14ac:dyDescent="0.25">
      <c r="A575" s="88"/>
      <c r="B575" s="78"/>
      <c r="C575" s="78"/>
      <c r="D575" s="78"/>
      <c r="E575" s="89"/>
      <c r="F575" s="78"/>
      <c r="G575" s="78"/>
      <c r="H575" s="78"/>
      <c r="I575" s="90"/>
    </row>
    <row r="576" spans="1:9" ht="15" x14ac:dyDescent="0.25">
      <c r="A576" s="88"/>
      <c r="B576" s="78"/>
      <c r="C576" s="78"/>
      <c r="D576" s="78"/>
      <c r="E576" s="89"/>
      <c r="F576" s="78"/>
      <c r="G576" s="78"/>
      <c r="H576" s="78"/>
      <c r="I576" s="90"/>
    </row>
    <row r="577" spans="1:9" ht="15" x14ac:dyDescent="0.25">
      <c r="A577" s="88"/>
      <c r="B577" s="78"/>
      <c r="C577" s="78"/>
      <c r="D577" s="78"/>
      <c r="E577" s="89"/>
      <c r="F577" s="78"/>
      <c r="G577" s="78"/>
      <c r="H577" s="78"/>
      <c r="I577" s="90"/>
    </row>
    <row r="578" spans="1:9" ht="15" x14ac:dyDescent="0.25">
      <c r="A578" s="88"/>
      <c r="B578" s="78"/>
      <c r="C578" s="78"/>
      <c r="D578" s="78"/>
      <c r="E578" s="89"/>
      <c r="F578" s="78"/>
      <c r="G578" s="78"/>
      <c r="H578" s="78"/>
      <c r="I578" s="90"/>
    </row>
    <row r="579" spans="1:9" ht="15" x14ac:dyDescent="0.25">
      <c r="A579" s="88"/>
      <c r="B579" s="78"/>
      <c r="C579" s="78"/>
      <c r="D579" s="78"/>
      <c r="E579" s="89"/>
      <c r="F579" s="78"/>
      <c r="G579" s="78"/>
      <c r="H579" s="78"/>
      <c r="I579" s="90"/>
    </row>
    <row r="580" spans="1:9" ht="15" x14ac:dyDescent="0.25">
      <c r="A580" s="88"/>
      <c r="B580" s="78"/>
      <c r="C580" s="78"/>
      <c r="D580" s="78"/>
      <c r="E580" s="89"/>
      <c r="F580" s="78"/>
      <c r="G580" s="78"/>
      <c r="H580" s="78"/>
      <c r="I580" s="90"/>
    </row>
    <row r="581" spans="1:9" ht="15" x14ac:dyDescent="0.25">
      <c r="A581" s="88"/>
      <c r="B581" s="78"/>
      <c r="C581" s="78"/>
      <c r="D581" s="78"/>
      <c r="E581" s="89"/>
      <c r="F581" s="78"/>
      <c r="G581" s="78"/>
      <c r="H581" s="78"/>
      <c r="I581" s="90"/>
    </row>
    <row r="582" spans="1:9" ht="15" x14ac:dyDescent="0.25">
      <c r="A582" s="88"/>
      <c r="B582" s="78"/>
      <c r="C582" s="78"/>
      <c r="D582" s="78"/>
      <c r="E582" s="89"/>
      <c r="F582" s="78"/>
      <c r="G582" s="78"/>
      <c r="H582" s="78"/>
      <c r="I582" s="90"/>
    </row>
    <row r="583" spans="1:9" ht="15" x14ac:dyDescent="0.25">
      <c r="A583" s="88"/>
      <c r="B583" s="78"/>
      <c r="C583" s="78"/>
      <c r="D583" s="78"/>
      <c r="E583" s="89"/>
      <c r="F583" s="78"/>
      <c r="G583" s="78"/>
      <c r="H583" s="78"/>
      <c r="I583" s="90"/>
    </row>
    <row r="584" spans="1:9" ht="15" x14ac:dyDescent="0.25">
      <c r="A584" s="88"/>
      <c r="B584" s="78"/>
      <c r="C584" s="78"/>
      <c r="D584" s="78"/>
      <c r="E584" s="89"/>
      <c r="F584" s="78"/>
      <c r="G584" s="78"/>
      <c r="H584" s="78"/>
      <c r="I584" s="90"/>
    </row>
    <row r="585" spans="1:9" ht="15" x14ac:dyDescent="0.25">
      <c r="A585" s="88"/>
      <c r="B585" s="78"/>
      <c r="C585" s="78"/>
      <c r="D585" s="78"/>
      <c r="E585" s="89"/>
      <c r="F585" s="78"/>
      <c r="G585" s="78"/>
      <c r="H585" s="78"/>
      <c r="I585" s="90"/>
    </row>
    <row r="586" spans="1:9" ht="15" x14ac:dyDescent="0.25">
      <c r="A586" s="88"/>
      <c r="B586" s="78"/>
      <c r="C586" s="78"/>
      <c r="D586" s="78"/>
      <c r="E586" s="89"/>
      <c r="F586" s="78"/>
      <c r="G586" s="78"/>
      <c r="H586" s="78"/>
      <c r="I586" s="90"/>
    </row>
    <row r="587" spans="1:9" ht="15" x14ac:dyDescent="0.25">
      <c r="A587" s="88"/>
      <c r="B587" s="78"/>
      <c r="C587" s="78"/>
      <c r="D587" s="78"/>
      <c r="E587" s="89"/>
      <c r="F587" s="78"/>
      <c r="G587" s="78"/>
      <c r="H587" s="78"/>
      <c r="I587" s="90"/>
    </row>
    <row r="588" spans="1:9" ht="15" x14ac:dyDescent="0.25">
      <c r="A588" s="88"/>
      <c r="B588" s="78"/>
      <c r="C588" s="78"/>
      <c r="D588" s="78"/>
      <c r="E588" s="89"/>
      <c r="F588" s="78"/>
      <c r="G588" s="78"/>
      <c r="H588" s="78"/>
      <c r="I588" s="90"/>
    </row>
    <row r="589" spans="1:9" ht="15" x14ac:dyDescent="0.25">
      <c r="A589" s="88"/>
      <c r="B589" s="78"/>
      <c r="C589" s="78"/>
      <c r="D589" s="78"/>
      <c r="E589" s="89"/>
      <c r="F589" s="78"/>
      <c r="G589" s="78"/>
      <c r="H589" s="78"/>
      <c r="I589" s="90"/>
    </row>
    <row r="590" spans="1:9" ht="15" x14ac:dyDescent="0.25">
      <c r="A590" s="88"/>
      <c r="B590" s="78"/>
      <c r="C590" s="78"/>
      <c r="D590" s="78"/>
      <c r="E590" s="89"/>
      <c r="F590" s="78"/>
      <c r="G590" s="78"/>
      <c r="H590" s="78"/>
      <c r="I590" s="90"/>
    </row>
    <row r="591" spans="1:9" ht="15" x14ac:dyDescent="0.25">
      <c r="A591" s="88"/>
      <c r="B591" s="78"/>
      <c r="C591" s="78"/>
      <c r="D591" s="78"/>
      <c r="E591" s="89"/>
      <c r="F591" s="78"/>
      <c r="G591" s="78"/>
      <c r="H591" s="78"/>
      <c r="I591" s="90"/>
    </row>
    <row r="592" spans="1:9" ht="15" x14ac:dyDescent="0.25">
      <c r="A592" s="88"/>
      <c r="B592" s="78"/>
      <c r="C592" s="78"/>
      <c r="D592" s="78"/>
      <c r="E592" s="89"/>
      <c r="F592" s="78"/>
      <c r="G592" s="78"/>
      <c r="H592" s="78"/>
      <c r="I592" s="90"/>
    </row>
    <row r="593" spans="1:9" ht="15" x14ac:dyDescent="0.25">
      <c r="A593" s="88"/>
      <c r="B593" s="78"/>
      <c r="C593" s="78"/>
      <c r="D593" s="78"/>
      <c r="E593" s="89"/>
      <c r="F593" s="78"/>
      <c r="G593" s="78"/>
      <c r="H593" s="78"/>
      <c r="I593" s="90"/>
    </row>
    <row r="594" spans="1:9" ht="15" x14ac:dyDescent="0.25">
      <c r="A594" s="88"/>
      <c r="B594" s="78"/>
      <c r="C594" s="78"/>
      <c r="D594" s="78"/>
      <c r="E594" s="89"/>
      <c r="F594" s="78"/>
      <c r="G594" s="78"/>
      <c r="H594" s="78"/>
      <c r="I594" s="90"/>
    </row>
    <row r="595" spans="1:9" ht="15" x14ac:dyDescent="0.25">
      <c r="A595" s="88"/>
      <c r="B595" s="78"/>
      <c r="C595" s="78"/>
      <c r="D595" s="78"/>
      <c r="E595" s="89"/>
      <c r="F595" s="78"/>
      <c r="G595" s="78"/>
      <c r="H595" s="78"/>
      <c r="I595" s="90"/>
    </row>
    <row r="596" spans="1:9" ht="15" x14ac:dyDescent="0.25">
      <c r="A596" s="88"/>
      <c r="B596" s="78"/>
      <c r="C596" s="78"/>
      <c r="D596" s="78"/>
      <c r="E596" s="89"/>
      <c r="F596" s="78"/>
      <c r="G596" s="78"/>
      <c r="H596" s="78"/>
      <c r="I596" s="90"/>
    </row>
    <row r="597" spans="1:9" ht="15" x14ac:dyDescent="0.25">
      <c r="A597" s="88"/>
      <c r="B597" s="78"/>
      <c r="C597" s="78"/>
      <c r="D597" s="78"/>
      <c r="E597" s="89"/>
      <c r="F597" s="78"/>
      <c r="G597" s="78"/>
      <c r="H597" s="78"/>
      <c r="I597" s="90"/>
    </row>
    <row r="598" spans="1:9" ht="15" x14ac:dyDescent="0.25">
      <c r="A598" s="88"/>
      <c r="B598" s="78"/>
      <c r="C598" s="78"/>
      <c r="D598" s="78"/>
      <c r="E598" s="89"/>
      <c r="F598" s="78"/>
      <c r="G598" s="78"/>
      <c r="H598" s="78"/>
      <c r="I598" s="90"/>
    </row>
    <row r="599" spans="1:9" ht="15" x14ac:dyDescent="0.25">
      <c r="A599" s="88"/>
      <c r="B599" s="78"/>
      <c r="C599" s="78"/>
      <c r="D599" s="78"/>
      <c r="E599" s="89"/>
      <c r="F599" s="78"/>
      <c r="G599" s="78"/>
      <c r="H599" s="78"/>
      <c r="I599" s="90"/>
    </row>
    <row r="600" spans="1:9" ht="15" x14ac:dyDescent="0.25">
      <c r="A600" s="88"/>
      <c r="B600" s="78"/>
      <c r="C600" s="78"/>
      <c r="D600" s="78"/>
      <c r="E600" s="89"/>
      <c r="F600" s="78"/>
      <c r="G600" s="78"/>
      <c r="H600" s="78"/>
      <c r="I600" s="90"/>
    </row>
    <row r="601" spans="1:9" ht="15" x14ac:dyDescent="0.25">
      <c r="A601" s="88"/>
      <c r="B601" s="78"/>
      <c r="C601" s="78"/>
      <c r="D601" s="78"/>
      <c r="E601" s="89"/>
      <c r="F601" s="78"/>
      <c r="G601" s="78"/>
      <c r="H601" s="78"/>
      <c r="I601" s="90"/>
    </row>
    <row r="602" spans="1:9" ht="15" x14ac:dyDescent="0.25">
      <c r="A602" s="88"/>
      <c r="B602" s="78"/>
      <c r="C602" s="78"/>
      <c r="D602" s="78"/>
      <c r="E602" s="89"/>
      <c r="F602" s="78"/>
      <c r="G602" s="78"/>
      <c r="H602" s="78"/>
      <c r="I602" s="90"/>
    </row>
    <row r="603" spans="1:9" ht="15" x14ac:dyDescent="0.25">
      <c r="A603" s="88"/>
      <c r="B603" s="78"/>
      <c r="C603" s="78"/>
      <c r="D603" s="78"/>
      <c r="E603" s="89"/>
      <c r="F603" s="78"/>
      <c r="G603" s="78"/>
      <c r="H603" s="78"/>
      <c r="I603" s="90"/>
    </row>
    <row r="604" spans="1:9" ht="15" x14ac:dyDescent="0.25">
      <c r="A604" s="88"/>
      <c r="B604" s="78"/>
      <c r="C604" s="78"/>
      <c r="D604" s="78"/>
      <c r="E604" s="89"/>
      <c r="F604" s="78"/>
      <c r="G604" s="78"/>
      <c r="H604" s="78"/>
      <c r="I604" s="90"/>
    </row>
    <row r="605" spans="1:9" ht="15" x14ac:dyDescent="0.25">
      <c r="A605" s="88"/>
      <c r="B605" s="78"/>
      <c r="C605" s="78"/>
      <c r="D605" s="78"/>
      <c r="E605" s="89"/>
      <c r="F605" s="78"/>
      <c r="G605" s="78"/>
      <c r="H605" s="78"/>
      <c r="I605" s="90"/>
    </row>
    <row r="606" spans="1:9" ht="15" x14ac:dyDescent="0.25">
      <c r="A606" s="88"/>
      <c r="B606" s="78"/>
      <c r="C606" s="78"/>
      <c r="D606" s="78"/>
      <c r="E606" s="89"/>
      <c r="F606" s="78"/>
      <c r="G606" s="78"/>
      <c r="H606" s="78"/>
      <c r="I606" s="90"/>
    </row>
    <row r="607" spans="1:9" ht="15" x14ac:dyDescent="0.25">
      <c r="A607" s="88"/>
      <c r="B607" s="78"/>
      <c r="C607" s="78"/>
      <c r="D607" s="78"/>
      <c r="E607" s="89"/>
      <c r="F607" s="78"/>
      <c r="G607" s="78"/>
      <c r="H607" s="78"/>
      <c r="I607" s="90"/>
    </row>
    <row r="608" spans="1:9" ht="15" x14ac:dyDescent="0.25">
      <c r="A608" s="88"/>
      <c r="B608" s="78"/>
      <c r="C608" s="78"/>
      <c r="D608" s="78"/>
      <c r="E608" s="89"/>
      <c r="F608" s="78"/>
      <c r="G608" s="78"/>
      <c r="H608" s="78"/>
      <c r="I608" s="90"/>
    </row>
    <row r="609" spans="1:9" ht="15" x14ac:dyDescent="0.25">
      <c r="A609" s="88"/>
      <c r="B609" s="78"/>
      <c r="C609" s="78"/>
      <c r="D609" s="78"/>
      <c r="E609" s="89"/>
      <c r="F609" s="78"/>
      <c r="G609" s="78"/>
      <c r="H609" s="78"/>
      <c r="I609" s="90"/>
    </row>
    <row r="610" spans="1:9" ht="15" x14ac:dyDescent="0.25">
      <c r="A610" s="88"/>
      <c r="B610" s="78"/>
      <c r="C610" s="78"/>
      <c r="D610" s="78"/>
      <c r="E610" s="89"/>
      <c r="F610" s="78"/>
      <c r="G610" s="78"/>
      <c r="H610" s="78"/>
      <c r="I610" s="90"/>
    </row>
    <row r="611" spans="1:9" ht="15" x14ac:dyDescent="0.25">
      <c r="A611" s="88"/>
      <c r="B611" s="78"/>
      <c r="C611" s="78"/>
      <c r="D611" s="78"/>
      <c r="E611" s="89"/>
      <c r="F611" s="78"/>
      <c r="G611" s="78"/>
      <c r="H611" s="78"/>
      <c r="I611" s="90"/>
    </row>
    <row r="612" spans="1:9" ht="15" x14ac:dyDescent="0.25">
      <c r="A612" s="88"/>
      <c r="B612" s="78"/>
      <c r="C612" s="78"/>
      <c r="D612" s="78"/>
      <c r="E612" s="89"/>
      <c r="F612" s="78"/>
      <c r="G612" s="78"/>
      <c r="H612" s="78"/>
      <c r="I612" s="90"/>
    </row>
    <row r="613" spans="1:9" ht="15" x14ac:dyDescent="0.25">
      <c r="A613" s="88"/>
      <c r="B613" s="78"/>
      <c r="C613" s="78"/>
      <c r="D613" s="78"/>
      <c r="E613" s="89"/>
      <c r="F613" s="78"/>
      <c r="G613" s="78"/>
      <c r="H613" s="78"/>
      <c r="I613" s="90"/>
    </row>
    <row r="614" spans="1:9" ht="15" x14ac:dyDescent="0.25">
      <c r="A614" s="88"/>
      <c r="B614" s="78"/>
      <c r="C614" s="78"/>
      <c r="D614" s="78"/>
      <c r="E614" s="89"/>
      <c r="F614" s="78"/>
      <c r="G614" s="78"/>
      <c r="H614" s="78"/>
      <c r="I614" s="90"/>
    </row>
    <row r="615" spans="1:9" ht="15" x14ac:dyDescent="0.25">
      <c r="A615" s="88"/>
      <c r="B615" s="78"/>
      <c r="C615" s="78"/>
      <c r="D615" s="78"/>
      <c r="E615" s="89"/>
      <c r="F615" s="78"/>
      <c r="G615" s="78"/>
      <c r="H615" s="78"/>
      <c r="I615" s="90"/>
    </row>
    <row r="616" spans="1:9" ht="15" x14ac:dyDescent="0.25">
      <c r="A616" s="88"/>
      <c r="B616" s="78"/>
      <c r="C616" s="78"/>
      <c r="D616" s="78"/>
      <c r="E616" s="89"/>
      <c r="F616" s="78"/>
      <c r="G616" s="78"/>
      <c r="H616" s="78"/>
      <c r="I616" s="90"/>
    </row>
    <row r="617" spans="1:9" ht="15" x14ac:dyDescent="0.25">
      <c r="A617" s="88"/>
      <c r="B617" s="78"/>
      <c r="C617" s="78"/>
      <c r="D617" s="78"/>
      <c r="E617" s="89"/>
      <c r="F617" s="78"/>
      <c r="G617" s="78"/>
      <c r="H617" s="78"/>
      <c r="I617" s="90"/>
    </row>
    <row r="618" spans="1:9" ht="15" x14ac:dyDescent="0.25">
      <c r="A618" s="88"/>
      <c r="B618" s="78"/>
      <c r="C618" s="78"/>
      <c r="D618" s="78"/>
      <c r="E618" s="89"/>
      <c r="F618" s="78"/>
      <c r="G618" s="78"/>
      <c r="H618" s="78"/>
      <c r="I618" s="90"/>
    </row>
    <row r="619" spans="1:9" ht="15" x14ac:dyDescent="0.25">
      <c r="A619" s="88"/>
      <c r="B619" s="78"/>
      <c r="C619" s="78"/>
      <c r="D619" s="78"/>
      <c r="E619" s="89"/>
      <c r="F619" s="78"/>
      <c r="G619" s="78"/>
      <c r="H619" s="78"/>
      <c r="I619" s="90"/>
    </row>
    <row r="620" spans="1:9" ht="15" x14ac:dyDescent="0.25">
      <c r="A620" s="88"/>
      <c r="B620" s="78"/>
      <c r="C620" s="78"/>
      <c r="D620" s="78"/>
      <c r="E620" s="89"/>
      <c r="F620" s="78"/>
      <c r="G620" s="78"/>
      <c r="H620" s="78"/>
      <c r="I620" s="90"/>
    </row>
    <row r="621" spans="1:9" ht="15" x14ac:dyDescent="0.25">
      <c r="A621" s="88"/>
      <c r="B621" s="78"/>
      <c r="C621" s="78"/>
      <c r="D621" s="78"/>
      <c r="E621" s="89"/>
      <c r="F621" s="78"/>
      <c r="G621" s="78"/>
      <c r="H621" s="78"/>
      <c r="I621" s="90"/>
    </row>
    <row r="622" spans="1:9" ht="15" x14ac:dyDescent="0.25">
      <c r="A622" s="88"/>
      <c r="B622" s="78"/>
      <c r="C622" s="78"/>
      <c r="D622" s="78"/>
      <c r="E622" s="89"/>
      <c r="F622" s="78"/>
      <c r="G622" s="78"/>
      <c r="H622" s="78"/>
      <c r="I622" s="90"/>
    </row>
    <row r="623" spans="1:9" ht="15" x14ac:dyDescent="0.25">
      <c r="A623" s="88"/>
      <c r="B623" s="78"/>
      <c r="C623" s="78"/>
      <c r="D623" s="78"/>
      <c r="E623" s="89"/>
      <c r="F623" s="78"/>
      <c r="G623" s="78"/>
      <c r="H623" s="78"/>
      <c r="I623" s="90"/>
    </row>
    <row r="624" spans="1:9" ht="15" x14ac:dyDescent="0.25">
      <c r="A624" s="88"/>
      <c r="B624" s="78"/>
      <c r="C624" s="78"/>
      <c r="D624" s="78"/>
      <c r="E624" s="89"/>
      <c r="F624" s="78"/>
      <c r="G624" s="78"/>
      <c r="H624" s="78"/>
      <c r="I624" s="90"/>
    </row>
    <row r="625" spans="1:9" ht="15" x14ac:dyDescent="0.25">
      <c r="A625" s="88"/>
      <c r="B625" s="78"/>
      <c r="C625" s="78"/>
      <c r="D625" s="78"/>
      <c r="E625" s="89"/>
      <c r="F625" s="78"/>
      <c r="G625" s="78"/>
      <c r="H625" s="78"/>
      <c r="I625" s="90"/>
    </row>
    <row r="626" spans="1:9" ht="15" x14ac:dyDescent="0.25">
      <c r="A626" s="88"/>
      <c r="B626" s="78"/>
      <c r="C626" s="78"/>
      <c r="D626" s="78"/>
      <c r="E626" s="89"/>
      <c r="F626" s="78"/>
      <c r="G626" s="78"/>
      <c r="H626" s="78"/>
      <c r="I626" s="90"/>
    </row>
    <row r="627" spans="1:9" ht="15" x14ac:dyDescent="0.25">
      <c r="A627" s="88"/>
      <c r="B627" s="78"/>
      <c r="C627" s="78"/>
      <c r="D627" s="78"/>
      <c r="E627" s="89"/>
      <c r="F627" s="78"/>
      <c r="G627" s="78"/>
      <c r="H627" s="78"/>
      <c r="I627" s="90"/>
    </row>
    <row r="628" spans="1:9" ht="15" x14ac:dyDescent="0.25">
      <c r="A628" s="88"/>
      <c r="B628" s="78"/>
      <c r="C628" s="78"/>
      <c r="D628" s="78"/>
      <c r="E628" s="89"/>
      <c r="F628" s="78"/>
      <c r="G628" s="78"/>
      <c r="H628" s="78"/>
      <c r="I628" s="90"/>
    </row>
    <row r="629" spans="1:9" ht="15" x14ac:dyDescent="0.25">
      <c r="A629" s="88"/>
      <c r="B629" s="78"/>
      <c r="C629" s="78"/>
      <c r="D629" s="78"/>
      <c r="E629" s="89"/>
      <c r="F629" s="78"/>
      <c r="G629" s="78"/>
      <c r="H629" s="78"/>
      <c r="I629" s="90"/>
    </row>
    <row r="630" spans="1:9" ht="15" x14ac:dyDescent="0.25">
      <c r="A630" s="88"/>
      <c r="B630" s="78"/>
      <c r="C630" s="78"/>
      <c r="D630" s="78"/>
      <c r="E630" s="89"/>
      <c r="F630" s="78"/>
      <c r="G630" s="78"/>
      <c r="H630" s="78"/>
      <c r="I630" s="90"/>
    </row>
    <row r="631" spans="1:9" ht="15" x14ac:dyDescent="0.25">
      <c r="A631" s="88"/>
      <c r="B631" s="78"/>
      <c r="C631" s="78"/>
      <c r="D631" s="78"/>
      <c r="E631" s="89"/>
      <c r="F631" s="78"/>
      <c r="G631" s="78"/>
      <c r="H631" s="78"/>
      <c r="I631" s="90"/>
    </row>
    <row r="632" spans="1:9" ht="15" x14ac:dyDescent="0.25">
      <c r="A632" s="88"/>
      <c r="B632" s="78"/>
      <c r="C632" s="78"/>
      <c r="D632" s="78"/>
      <c r="E632" s="89"/>
      <c r="F632" s="78"/>
      <c r="G632" s="78"/>
      <c r="H632" s="78"/>
      <c r="I632" s="90"/>
    </row>
    <row r="633" spans="1:9" ht="15" x14ac:dyDescent="0.25">
      <c r="A633" s="88"/>
      <c r="B633" s="78"/>
      <c r="C633" s="78"/>
      <c r="D633" s="78"/>
      <c r="E633" s="89"/>
      <c r="F633" s="78"/>
      <c r="G633" s="78"/>
      <c r="H633" s="78"/>
      <c r="I633" s="90"/>
    </row>
    <row r="634" spans="1:9" ht="15" x14ac:dyDescent="0.25">
      <c r="A634" s="88"/>
      <c r="B634" s="78"/>
      <c r="C634" s="78"/>
      <c r="D634" s="78"/>
      <c r="E634" s="89"/>
      <c r="F634" s="78"/>
      <c r="G634" s="78"/>
      <c r="H634" s="78"/>
      <c r="I634" s="90"/>
    </row>
    <row r="635" spans="1:9" ht="15" x14ac:dyDescent="0.25">
      <c r="A635" s="88"/>
      <c r="B635" s="78"/>
      <c r="C635" s="78"/>
      <c r="D635" s="78"/>
      <c r="E635" s="89"/>
      <c r="F635" s="78"/>
      <c r="G635" s="78"/>
      <c r="H635" s="78"/>
      <c r="I635" s="90"/>
    </row>
    <row r="636" spans="1:9" ht="15" x14ac:dyDescent="0.25">
      <c r="A636" s="88"/>
      <c r="B636" s="78"/>
      <c r="C636" s="78"/>
      <c r="D636" s="78"/>
      <c r="E636" s="89"/>
      <c r="F636" s="78"/>
      <c r="G636" s="78"/>
      <c r="H636" s="78"/>
      <c r="I636" s="90"/>
    </row>
    <row r="637" spans="1:9" ht="15" x14ac:dyDescent="0.25">
      <c r="A637" s="88"/>
      <c r="B637" s="78"/>
      <c r="C637" s="78"/>
      <c r="D637" s="78"/>
      <c r="E637" s="89"/>
      <c r="F637" s="78"/>
      <c r="G637" s="78"/>
      <c r="H637" s="78"/>
      <c r="I637" s="90"/>
    </row>
    <row r="638" spans="1:9" ht="15" x14ac:dyDescent="0.25">
      <c r="A638" s="88"/>
      <c r="B638" s="78"/>
      <c r="C638" s="78"/>
      <c r="D638" s="78"/>
      <c r="E638" s="89"/>
      <c r="F638" s="78"/>
      <c r="G638" s="78"/>
      <c r="H638" s="78"/>
      <c r="I638" s="90"/>
    </row>
    <row r="639" spans="1:9" ht="15" x14ac:dyDescent="0.25">
      <c r="A639" s="88"/>
      <c r="B639" s="78"/>
      <c r="C639" s="78"/>
      <c r="D639" s="78"/>
      <c r="E639" s="89"/>
      <c r="F639" s="78"/>
      <c r="G639" s="78"/>
      <c r="H639" s="78"/>
      <c r="I639" s="90"/>
    </row>
    <row r="640" spans="1:9" ht="15" x14ac:dyDescent="0.25">
      <c r="A640" s="88"/>
      <c r="B640" s="78"/>
      <c r="C640" s="78"/>
      <c r="D640" s="78"/>
      <c r="E640" s="89"/>
      <c r="F640" s="78"/>
      <c r="G640" s="78"/>
      <c r="H640" s="78"/>
      <c r="I640" s="90"/>
    </row>
    <row r="641" spans="1:9" ht="15" x14ac:dyDescent="0.25">
      <c r="A641" s="88"/>
      <c r="B641" s="78"/>
      <c r="C641" s="78"/>
      <c r="D641" s="78"/>
      <c r="E641" s="89"/>
      <c r="F641" s="78"/>
      <c r="G641" s="78"/>
      <c r="H641" s="78"/>
      <c r="I641" s="90"/>
    </row>
    <row r="642" spans="1:9" ht="15" x14ac:dyDescent="0.25">
      <c r="A642" s="88"/>
      <c r="B642" s="78"/>
      <c r="C642" s="78"/>
      <c r="D642" s="78"/>
      <c r="E642" s="89"/>
      <c r="F642" s="78"/>
      <c r="G642" s="78"/>
      <c r="H642" s="78"/>
      <c r="I642" s="90"/>
    </row>
    <row r="643" spans="1:9" ht="15" x14ac:dyDescent="0.25">
      <c r="A643" s="88"/>
      <c r="B643" s="78"/>
      <c r="C643" s="78"/>
      <c r="D643" s="78"/>
      <c r="E643" s="89"/>
      <c r="F643" s="78"/>
      <c r="G643" s="78"/>
      <c r="H643" s="78"/>
      <c r="I643" s="90"/>
    </row>
    <row r="644" spans="1:9" ht="15" x14ac:dyDescent="0.25">
      <c r="A644" s="88"/>
      <c r="B644" s="78"/>
      <c r="C644" s="78"/>
      <c r="D644" s="78"/>
      <c r="E644" s="89"/>
      <c r="F644" s="78"/>
      <c r="G644" s="78"/>
      <c r="H644" s="78"/>
      <c r="I644" s="90"/>
    </row>
    <row r="645" spans="1:9" ht="15" x14ac:dyDescent="0.25">
      <c r="A645" s="88"/>
      <c r="B645" s="78"/>
      <c r="C645" s="78"/>
      <c r="D645" s="78"/>
      <c r="E645" s="89"/>
      <c r="F645" s="78"/>
      <c r="G645" s="78"/>
      <c r="H645" s="78"/>
      <c r="I645" s="90"/>
    </row>
    <row r="646" spans="1:9" ht="15" x14ac:dyDescent="0.25">
      <c r="A646" s="88"/>
      <c r="B646" s="78"/>
      <c r="C646" s="78"/>
      <c r="D646" s="78"/>
      <c r="E646" s="89"/>
      <c r="F646" s="78"/>
      <c r="G646" s="78"/>
      <c r="H646" s="78"/>
      <c r="I646" s="90"/>
    </row>
    <row r="647" spans="1:9" ht="15" x14ac:dyDescent="0.25">
      <c r="A647" s="88"/>
      <c r="B647" s="78"/>
      <c r="C647" s="78"/>
      <c r="D647" s="78"/>
      <c r="E647" s="89"/>
      <c r="F647" s="78"/>
      <c r="G647" s="78"/>
      <c r="H647" s="78"/>
      <c r="I647" s="90"/>
    </row>
    <row r="648" spans="1:9" ht="15" x14ac:dyDescent="0.25">
      <c r="A648" s="88"/>
      <c r="B648" s="78"/>
      <c r="C648" s="78"/>
      <c r="D648" s="78"/>
      <c r="E648" s="89"/>
      <c r="F648" s="78"/>
      <c r="G648" s="78"/>
      <c r="H648" s="78"/>
      <c r="I648" s="90"/>
    </row>
    <row r="649" spans="1:9" ht="15" x14ac:dyDescent="0.25">
      <c r="A649" s="88"/>
      <c r="B649" s="78"/>
      <c r="C649" s="78"/>
      <c r="D649" s="78"/>
      <c r="E649" s="89"/>
      <c r="F649" s="78"/>
      <c r="G649" s="78"/>
      <c r="H649" s="78"/>
      <c r="I649" s="90"/>
    </row>
    <row r="650" spans="1:9" ht="15" x14ac:dyDescent="0.25">
      <c r="A650" s="88"/>
      <c r="B650" s="78"/>
      <c r="C650" s="78"/>
      <c r="D650" s="78"/>
      <c r="E650" s="89"/>
      <c r="F650" s="78"/>
      <c r="G650" s="78"/>
      <c r="H650" s="78"/>
      <c r="I650" s="90"/>
    </row>
    <row r="651" spans="1:9" ht="15" x14ac:dyDescent="0.25">
      <c r="A651" s="88"/>
      <c r="B651" s="78"/>
      <c r="C651" s="78"/>
      <c r="D651" s="78"/>
      <c r="E651" s="89"/>
      <c r="F651" s="78"/>
      <c r="G651" s="78"/>
      <c r="H651" s="78"/>
      <c r="I651" s="90"/>
    </row>
    <row r="652" spans="1:9" ht="15" x14ac:dyDescent="0.25">
      <c r="A652" s="88"/>
      <c r="B652" s="78"/>
      <c r="C652" s="78"/>
      <c r="D652" s="78"/>
      <c r="E652" s="89"/>
      <c r="F652" s="78"/>
      <c r="G652" s="78"/>
      <c r="H652" s="78"/>
      <c r="I652" s="90"/>
    </row>
    <row r="653" spans="1:9" ht="15" x14ac:dyDescent="0.25">
      <c r="A653" s="88"/>
      <c r="B653" s="78"/>
      <c r="C653" s="78"/>
      <c r="D653" s="78"/>
      <c r="E653" s="89"/>
      <c r="F653" s="78"/>
      <c r="G653" s="78"/>
      <c r="H653" s="78"/>
      <c r="I653" s="90"/>
    </row>
    <row r="654" spans="1:9" ht="15" x14ac:dyDescent="0.25">
      <c r="A654" s="88"/>
      <c r="B654" s="78"/>
      <c r="C654" s="78"/>
      <c r="D654" s="78"/>
      <c r="E654" s="89"/>
      <c r="F654" s="78"/>
      <c r="G654" s="78"/>
      <c r="H654" s="78"/>
      <c r="I654" s="90"/>
    </row>
    <row r="655" spans="1:9" ht="15" x14ac:dyDescent="0.25">
      <c r="A655" s="88"/>
      <c r="B655" s="78"/>
      <c r="C655" s="78"/>
      <c r="D655" s="78"/>
      <c r="E655" s="89"/>
      <c r="F655" s="78"/>
      <c r="G655" s="78"/>
      <c r="H655" s="78"/>
      <c r="I655" s="90"/>
    </row>
    <row r="656" spans="1:9" ht="15" x14ac:dyDescent="0.25">
      <c r="A656" s="88"/>
      <c r="B656" s="78"/>
      <c r="C656" s="78"/>
      <c r="D656" s="78"/>
      <c r="E656" s="89"/>
      <c r="F656" s="78"/>
      <c r="G656" s="78"/>
      <c r="H656" s="78"/>
      <c r="I656" s="90"/>
    </row>
    <row r="657" spans="1:9" ht="15" x14ac:dyDescent="0.25">
      <c r="A657" s="88"/>
      <c r="B657" s="78"/>
      <c r="C657" s="78"/>
      <c r="D657" s="78"/>
      <c r="E657" s="89"/>
      <c r="F657" s="78"/>
      <c r="G657" s="78"/>
      <c r="H657" s="78"/>
      <c r="I657" s="90"/>
    </row>
    <row r="658" spans="1:9" ht="15" x14ac:dyDescent="0.25">
      <c r="A658" s="88"/>
      <c r="B658" s="78"/>
      <c r="C658" s="78"/>
      <c r="D658" s="78"/>
      <c r="E658" s="89"/>
      <c r="F658" s="78"/>
      <c r="G658" s="78"/>
      <c r="H658" s="78"/>
      <c r="I658" s="90"/>
    </row>
    <row r="659" spans="1:9" ht="15" x14ac:dyDescent="0.25">
      <c r="A659" s="88"/>
      <c r="B659" s="78"/>
      <c r="C659" s="78"/>
      <c r="D659" s="78"/>
      <c r="E659" s="89"/>
      <c r="F659" s="78"/>
      <c r="G659" s="78"/>
      <c r="H659" s="78"/>
      <c r="I659" s="90"/>
    </row>
    <row r="660" spans="1:9" ht="15" x14ac:dyDescent="0.25">
      <c r="A660" s="88"/>
      <c r="B660" s="78"/>
      <c r="C660" s="78"/>
      <c r="D660" s="78"/>
      <c r="E660" s="89"/>
      <c r="F660" s="78"/>
      <c r="G660" s="78"/>
      <c r="H660" s="78"/>
      <c r="I660" s="90"/>
    </row>
    <row r="661" spans="1:9" ht="15" x14ac:dyDescent="0.25">
      <c r="A661" s="88"/>
      <c r="B661" s="78"/>
      <c r="C661" s="78"/>
      <c r="D661" s="78"/>
      <c r="E661" s="89"/>
      <c r="F661" s="78"/>
      <c r="G661" s="78"/>
      <c r="H661" s="78"/>
      <c r="I661" s="90"/>
    </row>
    <row r="662" spans="1:9" ht="15" x14ac:dyDescent="0.25">
      <c r="A662" s="88"/>
      <c r="B662" s="78"/>
      <c r="C662" s="78"/>
      <c r="D662" s="78"/>
      <c r="E662" s="89"/>
      <c r="F662" s="78"/>
      <c r="G662" s="78"/>
      <c r="H662" s="78"/>
      <c r="I662" s="90"/>
    </row>
    <row r="663" spans="1:9" ht="15" x14ac:dyDescent="0.25">
      <c r="A663" s="88"/>
      <c r="B663" s="78"/>
      <c r="C663" s="78"/>
      <c r="D663" s="78"/>
      <c r="E663" s="89"/>
      <c r="F663" s="78"/>
      <c r="G663" s="78"/>
      <c r="H663" s="78"/>
      <c r="I663" s="90"/>
    </row>
    <row r="664" spans="1:9" ht="15" x14ac:dyDescent="0.25">
      <c r="A664" s="88"/>
      <c r="B664" s="78"/>
      <c r="C664" s="78"/>
      <c r="D664" s="78"/>
      <c r="E664" s="89"/>
      <c r="F664" s="78"/>
      <c r="G664" s="78"/>
      <c r="H664" s="78"/>
      <c r="I664" s="90"/>
    </row>
    <row r="665" spans="1:9" ht="15" x14ac:dyDescent="0.25">
      <c r="A665" s="88"/>
      <c r="B665" s="78"/>
      <c r="C665" s="78"/>
      <c r="D665" s="78"/>
      <c r="E665" s="89"/>
      <c r="F665" s="78"/>
      <c r="G665" s="78"/>
      <c r="H665" s="78"/>
      <c r="I665" s="90"/>
    </row>
    <row r="666" spans="1:9" ht="15" x14ac:dyDescent="0.25">
      <c r="A666" s="88"/>
      <c r="B666" s="78"/>
      <c r="C666" s="78"/>
      <c r="D666" s="78"/>
      <c r="E666" s="89"/>
      <c r="F666" s="78"/>
      <c r="G666" s="78"/>
      <c r="H666" s="78"/>
      <c r="I666" s="90"/>
    </row>
    <row r="667" spans="1:9" ht="15" x14ac:dyDescent="0.25">
      <c r="A667" s="88"/>
      <c r="B667" s="78"/>
      <c r="C667" s="78"/>
      <c r="D667" s="78"/>
      <c r="E667" s="89"/>
      <c r="F667" s="78"/>
      <c r="G667" s="78"/>
      <c r="H667" s="78"/>
      <c r="I667" s="90"/>
    </row>
    <row r="668" spans="1:9" ht="15" x14ac:dyDescent="0.25">
      <c r="A668" s="88"/>
      <c r="B668" s="78"/>
      <c r="C668" s="78"/>
      <c r="D668" s="78"/>
      <c r="E668" s="89"/>
      <c r="F668" s="78"/>
      <c r="G668" s="78"/>
      <c r="H668" s="78"/>
      <c r="I668" s="90"/>
    </row>
    <row r="669" spans="1:9" ht="15" x14ac:dyDescent="0.25">
      <c r="A669" s="88"/>
      <c r="B669" s="78"/>
      <c r="C669" s="78"/>
      <c r="D669" s="78"/>
      <c r="E669" s="89"/>
      <c r="F669" s="78"/>
      <c r="G669" s="78"/>
      <c r="H669" s="78"/>
      <c r="I669" s="90"/>
    </row>
    <row r="670" spans="1:9" ht="15" x14ac:dyDescent="0.25">
      <c r="A670" s="88"/>
      <c r="B670" s="78"/>
      <c r="C670" s="78"/>
      <c r="D670" s="78"/>
      <c r="E670" s="89"/>
      <c r="F670" s="78"/>
      <c r="G670" s="78"/>
      <c r="H670" s="78"/>
      <c r="I670" s="90"/>
    </row>
    <row r="671" spans="1:9" ht="15" x14ac:dyDescent="0.25">
      <c r="A671" s="88"/>
      <c r="B671" s="78"/>
      <c r="C671" s="78"/>
      <c r="D671" s="78"/>
      <c r="E671" s="89"/>
      <c r="F671" s="78"/>
      <c r="G671" s="78"/>
      <c r="H671" s="78"/>
      <c r="I671" s="90"/>
    </row>
    <row r="672" spans="1:9" ht="15" x14ac:dyDescent="0.25">
      <c r="A672" s="88"/>
      <c r="B672" s="78"/>
      <c r="C672" s="78"/>
      <c r="D672" s="78"/>
      <c r="E672" s="89"/>
      <c r="F672" s="78"/>
      <c r="G672" s="78"/>
      <c r="H672" s="78"/>
      <c r="I672" s="90"/>
    </row>
    <row r="673" spans="1:9" ht="15" x14ac:dyDescent="0.25">
      <c r="A673" s="88"/>
      <c r="B673" s="78"/>
      <c r="C673" s="78"/>
      <c r="D673" s="78"/>
      <c r="E673" s="89"/>
      <c r="F673" s="78"/>
      <c r="G673" s="78"/>
      <c r="H673" s="78"/>
      <c r="I673" s="90"/>
    </row>
    <row r="674" spans="1:9" ht="15" x14ac:dyDescent="0.25">
      <c r="A674" s="88"/>
      <c r="B674" s="78"/>
      <c r="C674" s="78"/>
      <c r="D674" s="78"/>
      <c r="E674" s="89"/>
      <c r="F674" s="78"/>
      <c r="G674" s="78"/>
      <c r="H674" s="78"/>
      <c r="I674" s="90"/>
    </row>
    <row r="675" spans="1:9" ht="15" x14ac:dyDescent="0.25">
      <c r="A675" s="88"/>
      <c r="B675" s="78"/>
      <c r="C675" s="78"/>
      <c r="D675" s="78"/>
      <c r="E675" s="89"/>
      <c r="F675" s="78"/>
      <c r="G675" s="78"/>
      <c r="H675" s="78"/>
      <c r="I675" s="90"/>
    </row>
    <row r="676" spans="1:9" ht="15" x14ac:dyDescent="0.25">
      <c r="A676" s="88"/>
      <c r="B676" s="78"/>
      <c r="C676" s="78"/>
      <c r="D676" s="78"/>
      <c r="E676" s="89"/>
      <c r="F676" s="78"/>
      <c r="G676" s="78"/>
      <c r="H676" s="78"/>
      <c r="I676" s="90"/>
    </row>
    <row r="677" spans="1:9" ht="15" x14ac:dyDescent="0.25">
      <c r="A677" s="88"/>
      <c r="B677" s="78"/>
      <c r="C677" s="78"/>
      <c r="D677" s="78"/>
      <c r="E677" s="89"/>
      <c r="F677" s="78"/>
      <c r="G677" s="78"/>
      <c r="H677" s="78"/>
      <c r="I677" s="90"/>
    </row>
    <row r="678" spans="1:9" ht="15" x14ac:dyDescent="0.25">
      <c r="A678" s="88"/>
      <c r="B678" s="78"/>
      <c r="C678" s="78"/>
      <c r="D678" s="78"/>
      <c r="E678" s="89"/>
      <c r="F678" s="78"/>
      <c r="G678" s="78"/>
      <c r="H678" s="78"/>
      <c r="I678" s="90"/>
    </row>
    <row r="679" spans="1:9" ht="15" x14ac:dyDescent="0.25">
      <c r="A679" s="88"/>
      <c r="B679" s="78"/>
      <c r="C679" s="78"/>
      <c r="D679" s="78"/>
      <c r="E679" s="89"/>
      <c r="F679" s="78"/>
      <c r="G679" s="78"/>
      <c r="H679" s="78"/>
      <c r="I679" s="90"/>
    </row>
    <row r="680" spans="1:9" ht="15" x14ac:dyDescent="0.25">
      <c r="A680" s="88"/>
      <c r="B680" s="78"/>
      <c r="C680" s="78"/>
      <c r="D680" s="78"/>
      <c r="E680" s="89"/>
      <c r="F680" s="78"/>
      <c r="G680" s="78"/>
      <c r="H680" s="78"/>
      <c r="I680" s="90"/>
    </row>
    <row r="681" spans="1:9" ht="15" x14ac:dyDescent="0.25">
      <c r="A681" s="88"/>
      <c r="B681" s="78"/>
      <c r="C681" s="78"/>
      <c r="D681" s="78"/>
      <c r="E681" s="89"/>
      <c r="F681" s="78"/>
      <c r="G681" s="78"/>
      <c r="H681" s="78"/>
      <c r="I681" s="90"/>
    </row>
    <row r="682" spans="1:9" ht="15" x14ac:dyDescent="0.25">
      <c r="A682" s="88"/>
      <c r="B682" s="78"/>
      <c r="C682" s="78"/>
      <c r="D682" s="78"/>
      <c r="E682" s="89"/>
      <c r="F682" s="78"/>
      <c r="G682" s="78"/>
      <c r="H682" s="78"/>
      <c r="I682" s="90"/>
    </row>
    <row r="683" spans="1:9" ht="15" x14ac:dyDescent="0.25">
      <c r="A683" s="88"/>
      <c r="B683" s="78"/>
      <c r="C683" s="78"/>
      <c r="D683" s="78"/>
      <c r="E683" s="89"/>
      <c r="F683" s="78"/>
      <c r="G683" s="78"/>
      <c r="H683" s="78"/>
      <c r="I683" s="90"/>
    </row>
    <row r="684" spans="1:9" ht="15" x14ac:dyDescent="0.25">
      <c r="A684" s="88"/>
      <c r="B684" s="78"/>
      <c r="C684" s="78"/>
      <c r="D684" s="78"/>
      <c r="E684" s="89"/>
      <c r="F684" s="78"/>
      <c r="G684" s="78"/>
      <c r="H684" s="78"/>
      <c r="I684" s="90"/>
    </row>
    <row r="685" spans="1:9" ht="15" x14ac:dyDescent="0.25">
      <c r="A685" s="88"/>
      <c r="B685" s="78"/>
      <c r="C685" s="78"/>
      <c r="D685" s="78"/>
      <c r="E685" s="89"/>
      <c r="F685" s="78"/>
      <c r="G685" s="78"/>
      <c r="H685" s="78"/>
      <c r="I685" s="90"/>
    </row>
    <row r="686" spans="1:9" ht="15" x14ac:dyDescent="0.25">
      <c r="A686" s="88"/>
      <c r="B686" s="78"/>
      <c r="C686" s="78"/>
      <c r="D686" s="78"/>
      <c r="E686" s="89"/>
      <c r="F686" s="78"/>
      <c r="G686" s="78"/>
      <c r="H686" s="78"/>
      <c r="I686" s="90"/>
    </row>
    <row r="687" spans="1:9" ht="15" x14ac:dyDescent="0.25">
      <c r="A687" s="88"/>
      <c r="B687" s="78"/>
      <c r="C687" s="78"/>
      <c r="D687" s="78"/>
      <c r="E687" s="89"/>
      <c r="F687" s="78"/>
      <c r="G687" s="78"/>
      <c r="H687" s="78"/>
      <c r="I687" s="90"/>
    </row>
    <row r="688" spans="1:9" ht="15" x14ac:dyDescent="0.25">
      <c r="A688" s="88"/>
      <c r="B688" s="78"/>
      <c r="C688" s="78"/>
      <c r="D688" s="78"/>
      <c r="E688" s="89"/>
      <c r="F688" s="78"/>
      <c r="G688" s="78"/>
      <c r="H688" s="78"/>
      <c r="I688" s="90"/>
    </row>
    <row r="689" spans="1:9" ht="15" x14ac:dyDescent="0.25">
      <c r="A689" s="88"/>
      <c r="B689" s="78"/>
      <c r="C689" s="78"/>
      <c r="D689" s="78"/>
      <c r="E689" s="89"/>
      <c r="F689" s="78"/>
      <c r="G689" s="78"/>
      <c r="H689" s="78"/>
      <c r="I689" s="90"/>
    </row>
    <row r="690" spans="1:9" ht="15" x14ac:dyDescent="0.25">
      <c r="A690" s="88"/>
      <c r="B690" s="78"/>
      <c r="C690" s="78"/>
      <c r="D690" s="78"/>
      <c r="E690" s="89"/>
      <c r="F690" s="78"/>
      <c r="G690" s="78"/>
      <c r="H690" s="78"/>
      <c r="I690" s="90"/>
    </row>
    <row r="691" spans="1:9" ht="15" x14ac:dyDescent="0.25">
      <c r="A691" s="88"/>
      <c r="B691" s="78"/>
      <c r="C691" s="78"/>
      <c r="D691" s="78"/>
      <c r="E691" s="89"/>
      <c r="F691" s="78"/>
      <c r="G691" s="78"/>
      <c r="H691" s="78"/>
      <c r="I691" s="90"/>
    </row>
    <row r="692" spans="1:9" ht="15" x14ac:dyDescent="0.25">
      <c r="A692" s="88"/>
      <c r="B692" s="78"/>
      <c r="C692" s="78"/>
      <c r="D692" s="78"/>
      <c r="E692" s="89"/>
      <c r="F692" s="78"/>
      <c r="G692" s="78"/>
      <c r="H692" s="78"/>
      <c r="I692" s="90"/>
    </row>
    <row r="693" spans="1:9" ht="15" x14ac:dyDescent="0.25">
      <c r="A693" s="88"/>
      <c r="B693" s="78"/>
      <c r="C693" s="78"/>
      <c r="D693" s="78"/>
      <c r="E693" s="89"/>
      <c r="F693" s="78"/>
      <c r="G693" s="78"/>
      <c r="H693" s="78"/>
      <c r="I693" s="90"/>
    </row>
    <row r="694" spans="1:9" ht="15" x14ac:dyDescent="0.25">
      <c r="A694" s="88"/>
      <c r="B694" s="78"/>
      <c r="C694" s="78"/>
      <c r="D694" s="78"/>
      <c r="E694" s="89"/>
      <c r="F694" s="78"/>
      <c r="G694" s="78"/>
      <c r="H694" s="78"/>
      <c r="I694" s="90"/>
    </row>
    <row r="695" spans="1:9" ht="15" x14ac:dyDescent="0.25">
      <c r="A695" s="88"/>
      <c r="B695" s="78"/>
      <c r="C695" s="78"/>
      <c r="D695" s="78"/>
      <c r="E695" s="89"/>
      <c r="F695" s="78"/>
      <c r="G695" s="78"/>
      <c r="H695" s="78"/>
      <c r="I695" s="90"/>
    </row>
    <row r="696" spans="1:9" ht="15" x14ac:dyDescent="0.25">
      <c r="A696" s="88"/>
      <c r="B696" s="78"/>
      <c r="C696" s="78"/>
      <c r="D696" s="78"/>
      <c r="E696" s="89"/>
      <c r="F696" s="78"/>
      <c r="G696" s="78"/>
      <c r="H696" s="78"/>
      <c r="I696" s="90"/>
    </row>
    <row r="697" spans="1:9" ht="15" x14ac:dyDescent="0.25">
      <c r="A697" s="88"/>
      <c r="B697" s="78"/>
      <c r="C697" s="78"/>
      <c r="D697" s="78"/>
      <c r="E697" s="89"/>
      <c r="F697" s="78"/>
      <c r="G697" s="78"/>
      <c r="H697" s="78"/>
      <c r="I697" s="90"/>
    </row>
    <row r="698" spans="1:9" ht="15" x14ac:dyDescent="0.25">
      <c r="A698" s="88"/>
      <c r="B698" s="78"/>
      <c r="C698" s="78"/>
      <c r="D698" s="78"/>
      <c r="E698" s="89"/>
      <c r="F698" s="78"/>
      <c r="G698" s="78"/>
      <c r="H698" s="78"/>
      <c r="I698" s="90"/>
    </row>
    <row r="699" spans="1:9" ht="15" x14ac:dyDescent="0.25">
      <c r="A699" s="88"/>
      <c r="B699" s="78"/>
      <c r="C699" s="78"/>
      <c r="D699" s="78"/>
      <c r="E699" s="89"/>
      <c r="F699" s="78"/>
      <c r="G699" s="78"/>
      <c r="H699" s="78"/>
      <c r="I699" s="90"/>
    </row>
    <row r="700" spans="1:9" ht="15" x14ac:dyDescent="0.25">
      <c r="A700" s="88"/>
      <c r="B700" s="78"/>
      <c r="C700" s="78"/>
      <c r="D700" s="78"/>
      <c r="E700" s="89"/>
      <c r="F700" s="78"/>
      <c r="G700" s="78"/>
      <c r="H700" s="78"/>
      <c r="I700" s="90"/>
    </row>
    <row r="701" spans="1:9" ht="15" x14ac:dyDescent="0.25">
      <c r="A701" s="88"/>
      <c r="B701" s="78"/>
      <c r="C701" s="78"/>
      <c r="D701" s="78"/>
      <c r="E701" s="89"/>
      <c r="F701" s="78"/>
      <c r="G701" s="78"/>
      <c r="H701" s="78"/>
      <c r="I701" s="90"/>
    </row>
    <row r="702" spans="1:9" ht="15" x14ac:dyDescent="0.25">
      <c r="A702" s="88"/>
      <c r="B702" s="78"/>
      <c r="C702" s="78"/>
      <c r="D702" s="78"/>
      <c r="E702" s="89"/>
      <c r="F702" s="78"/>
      <c r="G702" s="78"/>
      <c r="H702" s="78"/>
      <c r="I702" s="90"/>
    </row>
    <row r="703" spans="1:9" ht="15" x14ac:dyDescent="0.25">
      <c r="A703" s="88"/>
      <c r="B703" s="78"/>
      <c r="C703" s="78"/>
      <c r="D703" s="78"/>
      <c r="E703" s="89"/>
      <c r="F703" s="78"/>
      <c r="G703" s="78"/>
      <c r="H703" s="78"/>
      <c r="I703" s="90"/>
    </row>
    <row r="704" spans="1:9" ht="15" x14ac:dyDescent="0.25">
      <c r="A704" s="88"/>
      <c r="B704" s="78"/>
      <c r="C704" s="78"/>
      <c r="D704" s="78"/>
      <c r="E704" s="89"/>
      <c r="F704" s="78"/>
      <c r="G704" s="78"/>
      <c r="H704" s="78"/>
      <c r="I704" s="90"/>
    </row>
    <row r="705" spans="1:9" ht="15" x14ac:dyDescent="0.25">
      <c r="A705" s="88"/>
      <c r="B705" s="78"/>
      <c r="C705" s="78"/>
      <c r="D705" s="78"/>
      <c r="E705" s="89"/>
      <c r="F705" s="78"/>
      <c r="G705" s="78"/>
      <c r="H705" s="78"/>
      <c r="I705" s="90"/>
    </row>
    <row r="706" spans="1:9" ht="15" x14ac:dyDescent="0.25">
      <c r="A706" s="88"/>
      <c r="B706" s="78"/>
      <c r="C706" s="78"/>
      <c r="D706" s="78"/>
      <c r="E706" s="89"/>
      <c r="F706" s="78"/>
      <c r="G706" s="78"/>
      <c r="H706" s="78"/>
      <c r="I706" s="90"/>
    </row>
    <row r="707" spans="1:9" ht="15" x14ac:dyDescent="0.25">
      <c r="A707" s="88"/>
      <c r="B707" s="78"/>
      <c r="C707" s="78"/>
      <c r="D707" s="78"/>
      <c r="E707" s="89"/>
      <c r="F707" s="78"/>
      <c r="G707" s="78"/>
      <c r="H707" s="78"/>
      <c r="I707" s="90"/>
    </row>
    <row r="708" spans="1:9" ht="15" x14ac:dyDescent="0.25">
      <c r="A708" s="88"/>
      <c r="B708" s="78"/>
      <c r="C708" s="78"/>
      <c r="D708" s="78"/>
      <c r="E708" s="89"/>
      <c r="F708" s="78"/>
      <c r="G708" s="78"/>
      <c r="H708" s="78"/>
      <c r="I708" s="90"/>
    </row>
    <row r="709" spans="1:9" ht="15" x14ac:dyDescent="0.25">
      <c r="A709" s="88"/>
      <c r="B709" s="78"/>
      <c r="C709" s="78"/>
      <c r="D709" s="78"/>
      <c r="E709" s="89"/>
      <c r="F709" s="78"/>
      <c r="G709" s="78"/>
      <c r="H709" s="78"/>
      <c r="I709" s="90"/>
    </row>
    <row r="710" spans="1:9" ht="15" x14ac:dyDescent="0.25">
      <c r="A710" s="88"/>
      <c r="B710" s="78"/>
      <c r="C710" s="78"/>
      <c r="D710" s="78"/>
      <c r="E710" s="89"/>
      <c r="F710" s="78"/>
      <c r="G710" s="78"/>
      <c r="H710" s="78"/>
      <c r="I710" s="90"/>
    </row>
    <row r="711" spans="1:9" ht="15" x14ac:dyDescent="0.25">
      <c r="A711" s="88"/>
      <c r="B711" s="78"/>
      <c r="C711" s="78"/>
      <c r="D711" s="78"/>
      <c r="E711" s="89"/>
      <c r="F711" s="78"/>
      <c r="G711" s="78"/>
      <c r="H711" s="78"/>
      <c r="I711" s="90"/>
    </row>
    <row r="712" spans="1:9" ht="15" x14ac:dyDescent="0.25">
      <c r="A712" s="88"/>
      <c r="B712" s="78"/>
      <c r="C712" s="78"/>
      <c r="D712" s="78"/>
      <c r="E712" s="89"/>
      <c r="F712" s="78"/>
      <c r="G712" s="78"/>
      <c r="H712" s="78"/>
      <c r="I712" s="90"/>
    </row>
    <row r="713" spans="1:9" ht="15" x14ac:dyDescent="0.25">
      <c r="A713" s="88"/>
      <c r="B713" s="78"/>
      <c r="C713" s="78"/>
      <c r="D713" s="78"/>
      <c r="E713" s="89"/>
      <c r="F713" s="78"/>
      <c r="G713" s="78"/>
      <c r="H713" s="78"/>
      <c r="I713" s="90"/>
    </row>
    <row r="714" spans="1:9" ht="15" x14ac:dyDescent="0.25">
      <c r="A714" s="88"/>
      <c r="B714" s="78"/>
      <c r="C714" s="78"/>
      <c r="D714" s="78"/>
      <c r="E714" s="89"/>
      <c r="F714" s="78"/>
      <c r="G714" s="78"/>
      <c r="H714" s="78"/>
      <c r="I714" s="90"/>
    </row>
    <row r="715" spans="1:9" ht="15" x14ac:dyDescent="0.25">
      <c r="A715" s="88"/>
      <c r="B715" s="78"/>
      <c r="C715" s="78"/>
      <c r="D715" s="78"/>
      <c r="E715" s="89"/>
      <c r="F715" s="78"/>
      <c r="G715" s="78"/>
      <c r="H715" s="78"/>
      <c r="I715" s="90"/>
    </row>
    <row r="716" spans="1:9" ht="15" x14ac:dyDescent="0.25">
      <c r="A716" s="88"/>
      <c r="B716" s="78"/>
      <c r="C716" s="78"/>
      <c r="D716" s="78"/>
      <c r="E716" s="89"/>
      <c r="F716" s="78"/>
      <c r="G716" s="78"/>
      <c r="H716" s="78"/>
      <c r="I716" s="90"/>
    </row>
    <row r="717" spans="1:9" ht="15" x14ac:dyDescent="0.25">
      <c r="A717" s="88"/>
      <c r="B717" s="78"/>
      <c r="C717" s="78"/>
      <c r="D717" s="78"/>
      <c r="E717" s="89"/>
      <c r="F717" s="78"/>
      <c r="G717" s="78"/>
      <c r="H717" s="78"/>
      <c r="I717" s="90"/>
    </row>
    <row r="718" spans="1:9" ht="15" x14ac:dyDescent="0.25">
      <c r="A718" s="88"/>
      <c r="B718" s="78"/>
      <c r="C718" s="78"/>
      <c r="D718" s="78"/>
      <c r="E718" s="89"/>
      <c r="F718" s="78"/>
      <c r="G718" s="78"/>
      <c r="H718" s="78"/>
      <c r="I718" s="90"/>
    </row>
    <row r="719" spans="1:9" ht="15" x14ac:dyDescent="0.25">
      <c r="A719" s="88"/>
      <c r="B719" s="78"/>
      <c r="C719" s="78"/>
      <c r="D719" s="78"/>
      <c r="E719" s="89"/>
      <c r="F719" s="78"/>
      <c r="G719" s="78"/>
      <c r="H719" s="78"/>
      <c r="I719" s="90"/>
    </row>
    <row r="720" spans="1:9" ht="15" x14ac:dyDescent="0.25">
      <c r="A720" s="88"/>
      <c r="B720" s="78"/>
      <c r="C720" s="78"/>
      <c r="D720" s="78"/>
      <c r="E720" s="89"/>
      <c r="F720" s="78"/>
      <c r="G720" s="78"/>
      <c r="H720" s="78"/>
      <c r="I720" s="90"/>
    </row>
    <row r="721" spans="1:9" ht="15" x14ac:dyDescent="0.25">
      <c r="A721" s="88"/>
      <c r="B721" s="78"/>
      <c r="C721" s="78"/>
      <c r="D721" s="78"/>
      <c r="E721" s="89"/>
      <c r="F721" s="78"/>
      <c r="G721" s="78"/>
      <c r="H721" s="78"/>
      <c r="I721" s="90"/>
    </row>
    <row r="722" spans="1:9" ht="15" x14ac:dyDescent="0.25">
      <c r="A722" s="88"/>
      <c r="B722" s="78"/>
      <c r="C722" s="78"/>
      <c r="D722" s="78"/>
      <c r="E722" s="89"/>
      <c r="F722" s="78"/>
      <c r="G722" s="78"/>
      <c r="H722" s="78"/>
      <c r="I722" s="90"/>
    </row>
    <row r="723" spans="1:9" ht="15" x14ac:dyDescent="0.25">
      <c r="A723" s="88"/>
      <c r="B723" s="78"/>
      <c r="C723" s="78"/>
      <c r="D723" s="78"/>
      <c r="E723" s="89"/>
      <c r="F723" s="78"/>
      <c r="G723" s="78"/>
      <c r="H723" s="78"/>
      <c r="I723" s="90"/>
    </row>
    <row r="724" spans="1:9" ht="15" x14ac:dyDescent="0.25">
      <c r="A724" s="88"/>
      <c r="B724" s="78"/>
      <c r="C724" s="78"/>
      <c r="D724" s="78"/>
      <c r="E724" s="89"/>
      <c r="F724" s="78"/>
      <c r="G724" s="78"/>
      <c r="H724" s="78"/>
      <c r="I724" s="90"/>
    </row>
    <row r="725" spans="1:9" ht="15" x14ac:dyDescent="0.25">
      <c r="A725" s="88"/>
      <c r="B725" s="78"/>
      <c r="C725" s="78"/>
      <c r="D725" s="78"/>
      <c r="E725" s="89"/>
      <c r="F725" s="78"/>
      <c r="G725" s="78"/>
      <c r="H725" s="78"/>
      <c r="I725" s="90"/>
    </row>
    <row r="726" spans="1:9" ht="15" x14ac:dyDescent="0.25">
      <c r="A726" s="88"/>
      <c r="B726" s="78"/>
      <c r="C726" s="78"/>
      <c r="D726" s="78"/>
      <c r="E726" s="89"/>
      <c r="F726" s="78"/>
      <c r="G726" s="78"/>
      <c r="H726" s="78"/>
      <c r="I726" s="90"/>
    </row>
    <row r="727" spans="1:9" ht="15" x14ac:dyDescent="0.25">
      <c r="A727" s="88"/>
      <c r="B727" s="78"/>
      <c r="C727" s="78"/>
      <c r="D727" s="78"/>
      <c r="E727" s="89"/>
      <c r="F727" s="78"/>
      <c r="G727" s="78"/>
      <c r="H727" s="78"/>
      <c r="I727" s="90"/>
    </row>
    <row r="728" spans="1:9" ht="15" x14ac:dyDescent="0.25">
      <c r="A728" s="88"/>
      <c r="B728" s="78"/>
      <c r="C728" s="78"/>
      <c r="D728" s="78"/>
      <c r="E728" s="89"/>
      <c r="F728" s="78"/>
      <c r="G728" s="78"/>
      <c r="H728" s="78"/>
      <c r="I728" s="90"/>
    </row>
    <row r="729" spans="1:9" ht="15" x14ac:dyDescent="0.25">
      <c r="A729" s="88"/>
      <c r="B729" s="78"/>
      <c r="C729" s="78"/>
      <c r="D729" s="78"/>
      <c r="E729" s="89"/>
      <c r="F729" s="78"/>
      <c r="G729" s="78"/>
      <c r="H729" s="78"/>
      <c r="I729" s="90"/>
    </row>
    <row r="730" spans="1:9" ht="15" x14ac:dyDescent="0.25">
      <c r="A730" s="88"/>
      <c r="B730" s="78"/>
      <c r="C730" s="78"/>
      <c r="D730" s="78"/>
      <c r="E730" s="89"/>
      <c r="F730" s="78"/>
      <c r="G730" s="78"/>
      <c r="H730" s="78"/>
      <c r="I730" s="90"/>
    </row>
    <row r="731" spans="1:9" ht="15" x14ac:dyDescent="0.25">
      <c r="A731" s="88"/>
      <c r="B731" s="78"/>
      <c r="C731" s="78"/>
      <c r="D731" s="78"/>
      <c r="E731" s="89"/>
      <c r="F731" s="78"/>
      <c r="G731" s="78"/>
      <c r="H731" s="78"/>
      <c r="I731" s="90"/>
    </row>
    <row r="732" spans="1:9" ht="15" x14ac:dyDescent="0.25">
      <c r="A732" s="88"/>
      <c r="B732" s="78"/>
      <c r="C732" s="78"/>
      <c r="D732" s="78"/>
      <c r="E732" s="89"/>
      <c r="F732" s="78"/>
      <c r="G732" s="78"/>
      <c r="H732" s="78"/>
      <c r="I732" s="90"/>
    </row>
    <row r="733" spans="1:9" ht="15" x14ac:dyDescent="0.25">
      <c r="A733" s="88"/>
      <c r="B733" s="78"/>
      <c r="C733" s="78"/>
      <c r="D733" s="78"/>
      <c r="E733" s="89"/>
      <c r="F733" s="78"/>
      <c r="G733" s="78"/>
      <c r="H733" s="78"/>
      <c r="I733" s="90"/>
    </row>
    <row r="734" spans="1:9" ht="15" x14ac:dyDescent="0.25">
      <c r="A734" s="88"/>
      <c r="B734" s="78"/>
      <c r="C734" s="78"/>
      <c r="D734" s="78"/>
      <c r="E734" s="89"/>
      <c r="F734" s="78"/>
      <c r="G734" s="78"/>
      <c r="H734" s="78"/>
      <c r="I734" s="90"/>
    </row>
    <row r="735" spans="1:9" ht="15" x14ac:dyDescent="0.25">
      <c r="A735" s="88"/>
      <c r="B735" s="78"/>
      <c r="C735" s="78"/>
      <c r="D735" s="78"/>
      <c r="E735" s="89"/>
      <c r="F735" s="78"/>
      <c r="G735" s="78"/>
      <c r="H735" s="78"/>
      <c r="I735" s="90"/>
    </row>
    <row r="736" spans="1:9" ht="15" x14ac:dyDescent="0.25">
      <c r="A736" s="88"/>
      <c r="B736" s="78"/>
      <c r="C736" s="78"/>
      <c r="D736" s="78"/>
      <c r="E736" s="89"/>
      <c r="F736" s="78"/>
      <c r="G736" s="78"/>
      <c r="H736" s="78"/>
      <c r="I736" s="90"/>
    </row>
    <row r="737" spans="1:9" ht="15" x14ac:dyDescent="0.25">
      <c r="A737" s="88"/>
      <c r="B737" s="78"/>
      <c r="C737" s="78"/>
      <c r="D737" s="78"/>
      <c r="E737" s="89"/>
      <c r="F737" s="78"/>
      <c r="G737" s="78"/>
      <c r="H737" s="78"/>
      <c r="I737" s="90"/>
    </row>
    <row r="738" spans="1:9" ht="15" x14ac:dyDescent="0.25">
      <c r="A738" s="88"/>
      <c r="B738" s="78"/>
      <c r="C738" s="78"/>
      <c r="D738" s="78"/>
      <c r="E738" s="89"/>
      <c r="F738" s="78"/>
      <c r="G738" s="78"/>
      <c r="H738" s="78"/>
      <c r="I738" s="90"/>
    </row>
    <row r="739" spans="1:9" ht="15" x14ac:dyDescent="0.25">
      <c r="A739" s="88"/>
      <c r="B739" s="78"/>
      <c r="C739" s="78"/>
      <c r="D739" s="78"/>
      <c r="E739" s="89"/>
      <c r="F739" s="78"/>
      <c r="G739" s="78"/>
      <c r="H739" s="78"/>
      <c r="I739" s="90"/>
    </row>
    <row r="740" spans="1:9" ht="15" x14ac:dyDescent="0.25">
      <c r="A740" s="88"/>
      <c r="B740" s="78"/>
      <c r="C740" s="78"/>
      <c r="D740" s="78"/>
      <c r="E740" s="89"/>
      <c r="F740" s="78"/>
      <c r="G740" s="78"/>
      <c r="H740" s="78"/>
      <c r="I740" s="90"/>
    </row>
    <row r="741" spans="1:9" ht="15" x14ac:dyDescent="0.25">
      <c r="A741" s="88"/>
      <c r="B741" s="78"/>
      <c r="C741" s="78"/>
      <c r="D741" s="78"/>
      <c r="E741" s="89"/>
      <c r="F741" s="78"/>
      <c r="G741" s="78"/>
      <c r="H741" s="78"/>
      <c r="I741" s="90"/>
    </row>
    <row r="742" spans="1:9" ht="15" x14ac:dyDescent="0.25">
      <c r="A742" s="88"/>
      <c r="B742" s="78"/>
      <c r="C742" s="78"/>
      <c r="D742" s="78"/>
      <c r="E742" s="89"/>
      <c r="F742" s="78"/>
      <c r="G742" s="78"/>
      <c r="H742" s="78"/>
      <c r="I742" s="90"/>
    </row>
    <row r="743" spans="1:9" ht="15" x14ac:dyDescent="0.25">
      <c r="A743" s="88"/>
      <c r="B743" s="78"/>
      <c r="C743" s="78"/>
      <c r="D743" s="78"/>
      <c r="E743" s="89"/>
      <c r="F743" s="78"/>
      <c r="G743" s="78"/>
      <c r="H743" s="78"/>
      <c r="I743" s="90"/>
    </row>
    <row r="744" spans="1:9" ht="15" x14ac:dyDescent="0.25">
      <c r="A744" s="88"/>
      <c r="B744" s="78"/>
      <c r="C744" s="78"/>
      <c r="D744" s="78"/>
      <c r="E744" s="89"/>
      <c r="F744" s="78"/>
      <c r="G744" s="78"/>
      <c r="H744" s="78"/>
      <c r="I744" s="90"/>
    </row>
    <row r="745" spans="1:9" ht="15" x14ac:dyDescent="0.25">
      <c r="A745" s="88"/>
      <c r="B745" s="78"/>
      <c r="C745" s="78"/>
      <c r="D745" s="78"/>
      <c r="E745" s="89"/>
      <c r="F745" s="78"/>
      <c r="G745" s="78"/>
      <c r="H745" s="78"/>
      <c r="I745" s="90"/>
    </row>
    <row r="746" spans="1:9" ht="15" x14ac:dyDescent="0.25">
      <c r="A746" s="88"/>
      <c r="B746" s="78"/>
      <c r="C746" s="78"/>
      <c r="D746" s="78"/>
      <c r="E746" s="89"/>
      <c r="F746" s="78"/>
      <c r="G746" s="78"/>
      <c r="H746" s="78"/>
      <c r="I746" s="90"/>
    </row>
    <row r="747" spans="1:9" ht="15" x14ac:dyDescent="0.25">
      <c r="A747" s="88"/>
      <c r="B747" s="78"/>
      <c r="C747" s="78"/>
      <c r="D747" s="78"/>
      <c r="E747" s="89"/>
      <c r="F747" s="78"/>
      <c r="G747" s="78"/>
      <c r="H747" s="78"/>
      <c r="I747" s="90"/>
    </row>
    <row r="748" spans="1:9" ht="15" x14ac:dyDescent="0.25">
      <c r="A748" s="88"/>
      <c r="B748" s="78"/>
      <c r="C748" s="78"/>
      <c r="D748" s="78"/>
      <c r="E748" s="89"/>
      <c r="F748" s="78"/>
      <c r="G748" s="78"/>
      <c r="H748" s="78"/>
      <c r="I748" s="90"/>
    </row>
    <row r="749" spans="1:9" ht="15" x14ac:dyDescent="0.25">
      <c r="A749" s="88"/>
      <c r="B749" s="78"/>
      <c r="C749" s="78"/>
      <c r="D749" s="78"/>
      <c r="E749" s="89"/>
      <c r="F749" s="78"/>
      <c r="G749" s="78"/>
      <c r="H749" s="78"/>
      <c r="I749" s="90"/>
    </row>
    <row r="750" spans="1:9" ht="15" x14ac:dyDescent="0.25">
      <c r="A750" s="88"/>
      <c r="B750" s="78"/>
      <c r="C750" s="78"/>
      <c r="D750" s="78"/>
      <c r="E750" s="89"/>
      <c r="F750" s="78"/>
      <c r="G750" s="78"/>
      <c r="H750" s="78"/>
      <c r="I750" s="90"/>
    </row>
    <row r="751" spans="1:9" ht="15" x14ac:dyDescent="0.25">
      <c r="A751" s="88"/>
      <c r="B751" s="78"/>
      <c r="C751" s="78"/>
      <c r="D751" s="78"/>
      <c r="E751" s="89"/>
      <c r="F751" s="78"/>
      <c r="G751" s="78"/>
      <c r="H751" s="78"/>
      <c r="I751" s="90"/>
    </row>
    <row r="752" spans="1:9" ht="15" x14ac:dyDescent="0.25">
      <c r="A752" s="88"/>
      <c r="B752" s="78"/>
      <c r="C752" s="78"/>
      <c r="D752" s="78"/>
      <c r="E752" s="89"/>
      <c r="F752" s="78"/>
      <c r="G752" s="78"/>
      <c r="H752" s="78"/>
      <c r="I752" s="90"/>
    </row>
    <row r="753" spans="1:9" ht="15" x14ac:dyDescent="0.25">
      <c r="A753" s="88"/>
      <c r="B753" s="78"/>
      <c r="C753" s="78"/>
      <c r="D753" s="78"/>
      <c r="E753" s="89"/>
      <c r="F753" s="78"/>
      <c r="G753" s="78"/>
      <c r="H753" s="78"/>
      <c r="I753" s="90"/>
    </row>
    <row r="754" spans="1:9" ht="15" x14ac:dyDescent="0.25">
      <c r="A754" s="88"/>
      <c r="B754" s="78"/>
      <c r="C754" s="78"/>
      <c r="D754" s="78"/>
      <c r="E754" s="89"/>
      <c r="F754" s="78"/>
      <c r="G754" s="78"/>
      <c r="H754" s="78"/>
      <c r="I754" s="90"/>
    </row>
    <row r="755" spans="1:9" ht="15" x14ac:dyDescent="0.25">
      <c r="A755" s="88"/>
      <c r="B755" s="78"/>
      <c r="C755" s="78"/>
      <c r="D755" s="78"/>
      <c r="E755" s="89"/>
      <c r="F755" s="78"/>
      <c r="G755" s="78"/>
      <c r="H755" s="78"/>
      <c r="I755" s="90"/>
    </row>
    <row r="756" spans="1:9" ht="15" x14ac:dyDescent="0.25">
      <c r="A756" s="88"/>
      <c r="B756" s="78"/>
      <c r="C756" s="78"/>
      <c r="D756" s="78"/>
      <c r="E756" s="89"/>
      <c r="F756" s="78"/>
      <c r="G756" s="78"/>
      <c r="H756" s="78"/>
      <c r="I756" s="90"/>
    </row>
    <row r="757" spans="1:9" ht="15" x14ac:dyDescent="0.25">
      <c r="A757" s="88"/>
      <c r="B757" s="78"/>
      <c r="C757" s="78"/>
      <c r="D757" s="78"/>
      <c r="E757" s="89"/>
      <c r="F757" s="78"/>
      <c r="G757" s="78"/>
      <c r="H757" s="78"/>
      <c r="I757" s="90"/>
    </row>
    <row r="758" spans="1:9" ht="15" x14ac:dyDescent="0.25">
      <c r="A758" s="88"/>
      <c r="B758" s="78"/>
      <c r="C758" s="78"/>
      <c r="D758" s="78"/>
      <c r="E758" s="89"/>
      <c r="F758" s="78"/>
      <c r="G758" s="78"/>
      <c r="H758" s="78"/>
      <c r="I758" s="90"/>
    </row>
    <row r="759" spans="1:9" ht="15" x14ac:dyDescent="0.25">
      <c r="A759" s="88"/>
      <c r="B759" s="78"/>
      <c r="C759" s="78"/>
      <c r="D759" s="78"/>
      <c r="E759" s="89"/>
      <c r="F759" s="78"/>
      <c r="G759" s="78"/>
      <c r="H759" s="78"/>
      <c r="I759" s="90"/>
    </row>
    <row r="760" spans="1:9" ht="15" x14ac:dyDescent="0.25">
      <c r="A760" s="88"/>
      <c r="B760" s="78"/>
      <c r="C760" s="78"/>
      <c r="D760" s="78"/>
      <c r="E760" s="89"/>
      <c r="F760" s="78"/>
      <c r="G760" s="78"/>
      <c r="H760" s="78"/>
      <c r="I760" s="90"/>
    </row>
    <row r="761" spans="1:9" ht="15" x14ac:dyDescent="0.25">
      <c r="A761" s="88"/>
      <c r="B761" s="78"/>
      <c r="C761" s="78"/>
      <c r="D761" s="78"/>
      <c r="E761" s="89"/>
      <c r="F761" s="78"/>
      <c r="G761" s="78"/>
      <c r="H761" s="78"/>
      <c r="I761" s="90"/>
    </row>
    <row r="762" spans="1:9" ht="15" x14ac:dyDescent="0.25">
      <c r="A762" s="88"/>
      <c r="B762" s="78"/>
      <c r="C762" s="78"/>
      <c r="D762" s="78"/>
      <c r="E762" s="89"/>
      <c r="F762" s="78"/>
      <c r="G762" s="78"/>
      <c r="H762" s="78"/>
      <c r="I762" s="90"/>
    </row>
    <row r="763" spans="1:9" ht="15" x14ac:dyDescent="0.25">
      <c r="A763" s="88"/>
      <c r="B763" s="78"/>
      <c r="C763" s="78"/>
      <c r="D763" s="78"/>
      <c r="E763" s="89"/>
      <c r="F763" s="78"/>
      <c r="G763" s="78"/>
      <c r="H763" s="78"/>
      <c r="I763" s="90"/>
    </row>
    <row r="764" spans="1:9" ht="15" x14ac:dyDescent="0.25">
      <c r="A764" s="88"/>
      <c r="B764" s="78"/>
      <c r="C764" s="78"/>
      <c r="D764" s="78"/>
      <c r="E764" s="89"/>
      <c r="F764" s="78"/>
      <c r="G764" s="78"/>
      <c r="H764" s="78"/>
      <c r="I764" s="90"/>
    </row>
    <row r="765" spans="1:9" ht="15" x14ac:dyDescent="0.25">
      <c r="A765" s="88"/>
      <c r="B765" s="78"/>
      <c r="C765" s="78"/>
      <c r="D765" s="78"/>
      <c r="E765" s="89"/>
      <c r="F765" s="78"/>
      <c r="G765" s="78"/>
      <c r="H765" s="78"/>
      <c r="I765" s="90"/>
    </row>
    <row r="766" spans="1:9" ht="15" x14ac:dyDescent="0.25">
      <c r="A766" s="88"/>
      <c r="B766" s="78"/>
      <c r="C766" s="78"/>
      <c r="D766" s="78"/>
      <c r="E766" s="89"/>
      <c r="F766" s="78"/>
      <c r="G766" s="78"/>
      <c r="H766" s="78"/>
      <c r="I766" s="90"/>
    </row>
    <row r="767" spans="1:9" ht="15" x14ac:dyDescent="0.25">
      <c r="A767" s="88"/>
      <c r="B767" s="78"/>
      <c r="C767" s="78"/>
      <c r="D767" s="78"/>
      <c r="E767" s="89"/>
      <c r="F767" s="78"/>
      <c r="G767" s="78"/>
      <c r="H767" s="78"/>
      <c r="I767" s="90"/>
    </row>
    <row r="768" spans="1:9" ht="15" x14ac:dyDescent="0.25">
      <c r="A768" s="88"/>
      <c r="B768" s="78"/>
      <c r="C768" s="78"/>
      <c r="D768" s="78"/>
      <c r="E768" s="89"/>
      <c r="F768" s="78"/>
      <c r="G768" s="78"/>
      <c r="H768" s="78"/>
      <c r="I768" s="90"/>
    </row>
    <row r="769" spans="1:9" ht="15" x14ac:dyDescent="0.25">
      <c r="A769" s="88"/>
      <c r="B769" s="78"/>
      <c r="C769" s="78"/>
      <c r="D769" s="78"/>
      <c r="E769" s="89"/>
      <c r="F769" s="78"/>
      <c r="G769" s="78"/>
      <c r="H769" s="78"/>
      <c r="I769" s="90"/>
    </row>
    <row r="770" spans="1:9" ht="15" x14ac:dyDescent="0.25">
      <c r="A770" s="88"/>
      <c r="B770" s="78"/>
      <c r="C770" s="78"/>
      <c r="D770" s="78"/>
      <c r="E770" s="89"/>
      <c r="F770" s="78"/>
      <c r="G770" s="78"/>
      <c r="H770" s="78"/>
      <c r="I770" s="90"/>
    </row>
    <row r="771" spans="1:9" ht="15" x14ac:dyDescent="0.25">
      <c r="A771" s="88"/>
      <c r="B771" s="78"/>
      <c r="C771" s="78"/>
      <c r="D771" s="78"/>
      <c r="E771" s="89"/>
      <c r="F771" s="78"/>
      <c r="G771" s="78"/>
      <c r="H771" s="78"/>
      <c r="I771" s="90"/>
    </row>
    <row r="772" spans="1:9" ht="15" x14ac:dyDescent="0.25">
      <c r="A772" s="88"/>
      <c r="B772" s="78"/>
      <c r="C772" s="78"/>
      <c r="D772" s="78"/>
      <c r="E772" s="89"/>
      <c r="F772" s="78"/>
      <c r="G772" s="78"/>
      <c r="H772" s="78"/>
      <c r="I772" s="90"/>
    </row>
    <row r="773" spans="1:9" ht="15" x14ac:dyDescent="0.25">
      <c r="A773" s="88"/>
      <c r="B773" s="78"/>
      <c r="C773" s="78"/>
      <c r="D773" s="78"/>
      <c r="E773" s="89"/>
      <c r="F773" s="78"/>
      <c r="G773" s="78"/>
      <c r="H773" s="78"/>
      <c r="I773" s="90"/>
    </row>
    <row r="774" spans="1:9" ht="15" x14ac:dyDescent="0.25">
      <c r="A774" s="88"/>
      <c r="B774" s="78"/>
      <c r="C774" s="78"/>
      <c r="D774" s="78"/>
      <c r="E774" s="89"/>
      <c r="F774" s="78"/>
      <c r="G774" s="78"/>
      <c r="H774" s="78"/>
      <c r="I774" s="90"/>
    </row>
    <row r="775" spans="1:9" ht="15" x14ac:dyDescent="0.25">
      <c r="A775" s="88"/>
      <c r="B775" s="78"/>
      <c r="C775" s="78"/>
      <c r="D775" s="78"/>
      <c r="E775" s="89"/>
      <c r="F775" s="78"/>
      <c r="G775" s="78"/>
      <c r="H775" s="78"/>
      <c r="I775" s="90"/>
    </row>
    <row r="776" spans="1:9" ht="15" x14ac:dyDescent="0.25">
      <c r="A776" s="88"/>
      <c r="B776" s="78"/>
      <c r="C776" s="78"/>
      <c r="D776" s="78"/>
      <c r="E776" s="89"/>
      <c r="F776" s="78"/>
      <c r="G776" s="78"/>
      <c r="H776" s="78"/>
      <c r="I776" s="90"/>
    </row>
    <row r="777" spans="1:9" ht="15" x14ac:dyDescent="0.25">
      <c r="A777" s="88"/>
      <c r="B777" s="78"/>
      <c r="C777" s="78"/>
      <c r="D777" s="78"/>
      <c r="E777" s="89"/>
      <c r="F777" s="78"/>
      <c r="G777" s="78"/>
      <c r="H777" s="78"/>
      <c r="I777" s="90"/>
    </row>
    <row r="778" spans="1:9" ht="15" x14ac:dyDescent="0.25">
      <c r="A778" s="88"/>
      <c r="B778" s="78"/>
      <c r="C778" s="78"/>
      <c r="D778" s="78"/>
      <c r="E778" s="89"/>
      <c r="F778" s="78"/>
      <c r="G778" s="78"/>
      <c r="H778" s="78"/>
      <c r="I778" s="90"/>
    </row>
    <row r="779" spans="1:9" ht="15" x14ac:dyDescent="0.25">
      <c r="A779" s="88"/>
      <c r="B779" s="78"/>
      <c r="C779" s="78"/>
      <c r="D779" s="78"/>
      <c r="E779" s="89"/>
      <c r="F779" s="78"/>
      <c r="G779" s="78"/>
      <c r="H779" s="78"/>
      <c r="I779" s="90"/>
    </row>
    <row r="780" spans="1:9" ht="15" x14ac:dyDescent="0.25">
      <c r="A780" s="88"/>
      <c r="B780" s="78"/>
      <c r="C780" s="78"/>
      <c r="D780" s="78"/>
      <c r="E780" s="89"/>
      <c r="F780" s="78"/>
      <c r="G780" s="78"/>
      <c r="H780" s="78"/>
      <c r="I780" s="90"/>
    </row>
    <row r="781" spans="1:9" ht="15" x14ac:dyDescent="0.25">
      <c r="A781" s="88"/>
      <c r="B781" s="78"/>
      <c r="C781" s="78"/>
      <c r="D781" s="78"/>
      <c r="E781" s="89"/>
      <c r="F781" s="78"/>
      <c r="G781" s="78"/>
      <c r="H781" s="78"/>
      <c r="I781" s="90"/>
    </row>
    <row r="782" spans="1:9" ht="15" x14ac:dyDescent="0.25">
      <c r="A782" s="88"/>
      <c r="B782" s="78"/>
      <c r="C782" s="78"/>
      <c r="D782" s="78"/>
      <c r="E782" s="89"/>
      <c r="F782" s="78"/>
      <c r="G782" s="78"/>
      <c r="H782" s="78"/>
      <c r="I782" s="90"/>
    </row>
    <row r="783" spans="1:9" ht="15" x14ac:dyDescent="0.25">
      <c r="A783" s="88"/>
      <c r="B783" s="78"/>
      <c r="C783" s="78"/>
      <c r="D783" s="78"/>
      <c r="E783" s="89"/>
      <c r="F783" s="78"/>
      <c r="G783" s="78"/>
      <c r="H783" s="78"/>
      <c r="I783" s="90"/>
    </row>
    <row r="784" spans="1:9" ht="15" x14ac:dyDescent="0.25">
      <c r="A784" s="88"/>
      <c r="B784" s="78"/>
      <c r="C784" s="78"/>
      <c r="D784" s="78"/>
      <c r="E784" s="89"/>
      <c r="F784" s="78"/>
      <c r="G784" s="78"/>
      <c r="H784" s="78"/>
      <c r="I784" s="90"/>
    </row>
    <row r="785" spans="1:9" ht="15" x14ac:dyDescent="0.25">
      <c r="A785" s="88"/>
      <c r="B785" s="78"/>
      <c r="C785" s="78"/>
      <c r="D785" s="78"/>
      <c r="E785" s="89"/>
      <c r="F785" s="78"/>
      <c r="G785" s="78"/>
      <c r="H785" s="78"/>
      <c r="I785" s="90"/>
    </row>
    <row r="786" spans="1:9" ht="15" x14ac:dyDescent="0.25">
      <c r="A786" s="88"/>
      <c r="B786" s="78"/>
      <c r="C786" s="78"/>
      <c r="D786" s="78"/>
      <c r="E786" s="89"/>
      <c r="F786" s="78"/>
      <c r="G786" s="78"/>
      <c r="H786" s="78"/>
      <c r="I786" s="90"/>
    </row>
    <row r="787" spans="1:9" ht="15" x14ac:dyDescent="0.25">
      <c r="A787" s="88"/>
      <c r="B787" s="78"/>
      <c r="C787" s="78"/>
      <c r="D787" s="78"/>
      <c r="E787" s="89"/>
      <c r="F787" s="78"/>
      <c r="G787" s="78"/>
      <c r="H787" s="78"/>
      <c r="I787" s="90"/>
    </row>
    <row r="788" spans="1:9" ht="15" x14ac:dyDescent="0.25">
      <c r="A788" s="88"/>
      <c r="B788" s="78"/>
      <c r="C788" s="78"/>
      <c r="D788" s="78"/>
      <c r="E788" s="89"/>
      <c r="F788" s="78"/>
      <c r="G788" s="78"/>
      <c r="H788" s="78"/>
      <c r="I788" s="90"/>
    </row>
    <row r="789" spans="1:9" ht="15" x14ac:dyDescent="0.25">
      <c r="A789" s="88"/>
      <c r="B789" s="78"/>
      <c r="C789" s="78"/>
      <c r="D789" s="78"/>
      <c r="E789" s="89"/>
      <c r="F789" s="78"/>
      <c r="G789" s="78"/>
      <c r="H789" s="78"/>
      <c r="I789" s="90"/>
    </row>
    <row r="790" spans="1:9" ht="15" x14ac:dyDescent="0.25">
      <c r="A790" s="88"/>
      <c r="B790" s="78"/>
      <c r="C790" s="78"/>
      <c r="D790" s="78"/>
      <c r="E790" s="89"/>
      <c r="F790" s="78"/>
      <c r="G790" s="78"/>
      <c r="H790" s="78"/>
      <c r="I790" s="90"/>
    </row>
    <row r="791" spans="1:9" ht="15" x14ac:dyDescent="0.25">
      <c r="A791" s="88"/>
      <c r="B791" s="78"/>
      <c r="C791" s="78"/>
      <c r="D791" s="78"/>
      <c r="E791" s="89"/>
      <c r="F791" s="78"/>
      <c r="G791" s="78"/>
      <c r="H791" s="78"/>
      <c r="I791" s="90"/>
    </row>
    <row r="792" spans="1:9" ht="15" x14ac:dyDescent="0.25">
      <c r="A792" s="88"/>
      <c r="B792" s="78"/>
      <c r="C792" s="78"/>
      <c r="D792" s="78"/>
      <c r="E792" s="89"/>
      <c r="F792" s="78"/>
      <c r="G792" s="78"/>
      <c r="H792" s="78"/>
      <c r="I792" s="90"/>
    </row>
    <row r="793" spans="1:9" ht="15" x14ac:dyDescent="0.25">
      <c r="A793" s="88"/>
      <c r="B793" s="78"/>
      <c r="C793" s="78"/>
      <c r="D793" s="78"/>
      <c r="E793" s="89"/>
      <c r="F793" s="78"/>
      <c r="G793" s="78"/>
      <c r="H793" s="78"/>
      <c r="I793" s="90"/>
    </row>
    <row r="794" spans="1:9" ht="15" x14ac:dyDescent="0.25">
      <c r="A794" s="88"/>
      <c r="B794" s="78"/>
      <c r="C794" s="78"/>
      <c r="D794" s="78"/>
      <c r="E794" s="89"/>
      <c r="F794" s="78"/>
      <c r="G794" s="78"/>
      <c r="H794" s="78"/>
      <c r="I794" s="90"/>
    </row>
    <row r="795" spans="1:9" ht="15" x14ac:dyDescent="0.25">
      <c r="A795" s="88"/>
      <c r="B795" s="78"/>
      <c r="C795" s="78"/>
      <c r="D795" s="78"/>
      <c r="E795" s="89"/>
      <c r="F795" s="78"/>
      <c r="G795" s="78"/>
      <c r="H795" s="78"/>
      <c r="I795" s="90"/>
    </row>
    <row r="796" spans="1:9" ht="15" x14ac:dyDescent="0.25">
      <c r="A796" s="88"/>
      <c r="B796" s="78"/>
      <c r="C796" s="78"/>
      <c r="D796" s="78"/>
      <c r="E796" s="89"/>
      <c r="F796" s="78"/>
      <c r="G796" s="78"/>
      <c r="H796" s="78"/>
      <c r="I796" s="90"/>
    </row>
    <row r="797" spans="1:9" ht="15" x14ac:dyDescent="0.25">
      <c r="A797" s="88"/>
      <c r="B797" s="78"/>
      <c r="C797" s="78"/>
      <c r="D797" s="78"/>
      <c r="E797" s="89"/>
      <c r="F797" s="78"/>
      <c r="G797" s="78"/>
      <c r="H797" s="78"/>
      <c r="I797" s="90"/>
    </row>
    <row r="798" spans="1:9" ht="15" x14ac:dyDescent="0.25">
      <c r="A798" s="88"/>
      <c r="B798" s="78"/>
      <c r="C798" s="78"/>
      <c r="D798" s="78"/>
      <c r="E798" s="89"/>
      <c r="F798" s="78"/>
      <c r="G798" s="78"/>
      <c r="H798" s="78"/>
      <c r="I798" s="90"/>
    </row>
    <row r="799" spans="1:9" ht="15" x14ac:dyDescent="0.25">
      <c r="A799" s="88"/>
      <c r="B799" s="78"/>
      <c r="C799" s="78"/>
      <c r="D799" s="78"/>
      <c r="E799" s="89"/>
      <c r="F799" s="78"/>
      <c r="G799" s="78"/>
      <c r="H799" s="78"/>
      <c r="I799" s="90"/>
    </row>
    <row r="800" spans="1:9" ht="15" x14ac:dyDescent="0.25">
      <c r="A800" s="88"/>
      <c r="B800" s="78"/>
      <c r="C800" s="78"/>
      <c r="D800" s="78"/>
      <c r="E800" s="89"/>
      <c r="F800" s="78"/>
      <c r="G800" s="78"/>
      <c r="H800" s="78"/>
      <c r="I800" s="90"/>
    </row>
    <row r="801" spans="1:9" ht="15" x14ac:dyDescent="0.25">
      <c r="A801" s="88"/>
      <c r="B801" s="78"/>
      <c r="C801" s="78"/>
      <c r="D801" s="78"/>
      <c r="E801" s="89"/>
      <c r="F801" s="78"/>
      <c r="G801" s="78"/>
      <c r="H801" s="78"/>
      <c r="I801" s="90"/>
    </row>
    <row r="802" spans="1:9" ht="15" x14ac:dyDescent="0.25">
      <c r="A802" s="88"/>
      <c r="B802" s="78"/>
      <c r="C802" s="78"/>
      <c r="D802" s="78"/>
      <c r="E802" s="89"/>
      <c r="F802" s="78"/>
      <c r="G802" s="78"/>
      <c r="H802" s="78"/>
      <c r="I802" s="90"/>
    </row>
    <row r="803" spans="1:9" ht="15" x14ac:dyDescent="0.25">
      <c r="A803" s="88"/>
      <c r="B803" s="78"/>
      <c r="C803" s="78"/>
      <c r="D803" s="78"/>
      <c r="E803" s="89"/>
      <c r="F803" s="78"/>
      <c r="G803" s="78"/>
      <c r="H803" s="78"/>
      <c r="I803" s="90"/>
    </row>
    <row r="804" spans="1:9" ht="15" x14ac:dyDescent="0.25">
      <c r="A804" s="88"/>
      <c r="B804" s="78"/>
      <c r="C804" s="78"/>
      <c r="D804" s="78"/>
      <c r="E804" s="89"/>
      <c r="F804" s="78"/>
      <c r="G804" s="78"/>
      <c r="H804" s="78"/>
      <c r="I804" s="90"/>
    </row>
    <row r="805" spans="1:9" ht="15" x14ac:dyDescent="0.25">
      <c r="A805" s="88"/>
      <c r="B805" s="78"/>
      <c r="C805" s="78"/>
      <c r="D805" s="78"/>
      <c r="E805" s="89"/>
      <c r="F805" s="78"/>
      <c r="G805" s="78"/>
      <c r="H805" s="78"/>
      <c r="I805" s="90"/>
    </row>
    <row r="806" spans="1:9" ht="15" x14ac:dyDescent="0.25">
      <c r="A806" s="88"/>
      <c r="B806" s="78"/>
      <c r="C806" s="78"/>
      <c r="D806" s="78"/>
      <c r="E806" s="89"/>
      <c r="F806" s="78"/>
      <c r="G806" s="78"/>
      <c r="H806" s="78"/>
      <c r="I806" s="90"/>
    </row>
    <row r="807" spans="1:9" ht="15" x14ac:dyDescent="0.25">
      <c r="A807" s="88"/>
      <c r="B807" s="78"/>
      <c r="C807" s="78"/>
      <c r="D807" s="78"/>
      <c r="E807" s="89"/>
      <c r="F807" s="78"/>
      <c r="G807" s="78"/>
      <c r="H807" s="78"/>
      <c r="I807" s="90"/>
    </row>
    <row r="808" spans="1:9" ht="15" x14ac:dyDescent="0.25">
      <c r="A808" s="88"/>
      <c r="B808" s="78"/>
      <c r="C808" s="78"/>
      <c r="D808" s="78"/>
      <c r="E808" s="89"/>
      <c r="F808" s="78"/>
      <c r="G808" s="78"/>
      <c r="H808" s="78"/>
      <c r="I808" s="90"/>
    </row>
    <row r="809" spans="1:9" ht="15" x14ac:dyDescent="0.25">
      <c r="A809" s="88"/>
      <c r="B809" s="78"/>
      <c r="C809" s="78"/>
      <c r="D809" s="78"/>
      <c r="E809" s="89"/>
      <c r="F809" s="78"/>
      <c r="G809" s="78"/>
      <c r="H809" s="78"/>
      <c r="I809" s="90"/>
    </row>
    <row r="810" spans="1:9" ht="15" x14ac:dyDescent="0.25">
      <c r="A810" s="88"/>
      <c r="B810" s="78"/>
      <c r="C810" s="78"/>
      <c r="D810" s="78"/>
      <c r="E810" s="89"/>
      <c r="F810" s="78"/>
      <c r="G810" s="78"/>
      <c r="H810" s="78"/>
      <c r="I810" s="90"/>
    </row>
    <row r="811" spans="1:9" ht="15" x14ac:dyDescent="0.25">
      <c r="A811" s="88"/>
      <c r="B811" s="78"/>
      <c r="C811" s="78"/>
      <c r="D811" s="78"/>
      <c r="E811" s="89"/>
      <c r="F811" s="78"/>
      <c r="G811" s="78"/>
      <c r="H811" s="78"/>
      <c r="I811" s="90"/>
    </row>
    <row r="812" spans="1:9" ht="15" x14ac:dyDescent="0.25">
      <c r="A812" s="88"/>
      <c r="B812" s="78"/>
      <c r="C812" s="78"/>
      <c r="D812" s="78"/>
      <c r="E812" s="89"/>
      <c r="F812" s="78"/>
      <c r="G812" s="78"/>
      <c r="H812" s="78"/>
      <c r="I812" s="90"/>
    </row>
    <row r="813" spans="1:9" ht="15" x14ac:dyDescent="0.25">
      <c r="A813" s="88"/>
      <c r="B813" s="78"/>
      <c r="C813" s="78"/>
      <c r="D813" s="78"/>
      <c r="E813" s="89"/>
      <c r="F813" s="78"/>
      <c r="G813" s="78"/>
      <c r="H813" s="78"/>
      <c r="I813" s="90"/>
    </row>
    <row r="814" spans="1:9" ht="15" x14ac:dyDescent="0.25">
      <c r="A814" s="88"/>
      <c r="B814" s="78"/>
      <c r="C814" s="78"/>
      <c r="D814" s="78"/>
      <c r="E814" s="89"/>
      <c r="F814" s="78"/>
      <c r="G814" s="78"/>
      <c r="H814" s="78"/>
      <c r="I814" s="90"/>
    </row>
    <row r="815" spans="1:9" ht="15" x14ac:dyDescent="0.25">
      <c r="A815" s="88"/>
      <c r="B815" s="78"/>
      <c r="C815" s="78"/>
      <c r="D815" s="78"/>
      <c r="E815" s="89"/>
      <c r="F815" s="78"/>
      <c r="G815" s="78"/>
      <c r="H815" s="78"/>
      <c r="I815" s="90"/>
    </row>
    <row r="816" spans="1:9" ht="15" x14ac:dyDescent="0.25">
      <c r="A816" s="88"/>
      <c r="B816" s="78"/>
      <c r="C816" s="78"/>
      <c r="D816" s="78"/>
      <c r="E816" s="89"/>
      <c r="F816" s="78"/>
      <c r="G816" s="78"/>
      <c r="H816" s="78"/>
      <c r="I816" s="90"/>
    </row>
    <row r="817" spans="1:9" ht="15" x14ac:dyDescent="0.25">
      <c r="A817" s="88"/>
      <c r="B817" s="78"/>
      <c r="C817" s="78"/>
      <c r="D817" s="78"/>
      <c r="E817" s="89"/>
      <c r="F817" s="78"/>
      <c r="G817" s="78"/>
      <c r="H817" s="78"/>
      <c r="I817" s="90"/>
    </row>
    <row r="818" spans="1:9" ht="15" x14ac:dyDescent="0.25">
      <c r="A818" s="88"/>
      <c r="B818" s="78"/>
      <c r="C818" s="78"/>
      <c r="D818" s="78"/>
      <c r="E818" s="89"/>
      <c r="F818" s="78"/>
      <c r="G818" s="78"/>
      <c r="H818" s="78"/>
      <c r="I818" s="90"/>
    </row>
    <row r="819" spans="1:9" ht="15" x14ac:dyDescent="0.25">
      <c r="A819" s="88"/>
      <c r="B819" s="78"/>
      <c r="C819" s="78"/>
      <c r="D819" s="78"/>
      <c r="E819" s="89"/>
      <c r="F819" s="78"/>
      <c r="G819" s="78"/>
      <c r="H819" s="78"/>
      <c r="I819" s="90"/>
    </row>
    <row r="820" spans="1:9" ht="15" x14ac:dyDescent="0.25">
      <c r="A820" s="88"/>
      <c r="B820" s="78"/>
      <c r="C820" s="78"/>
      <c r="D820" s="78"/>
      <c r="E820" s="89"/>
      <c r="F820" s="78"/>
      <c r="G820" s="78"/>
      <c r="H820" s="78"/>
      <c r="I820" s="90"/>
    </row>
    <row r="821" spans="1:9" ht="15" x14ac:dyDescent="0.25">
      <c r="A821" s="88"/>
      <c r="B821" s="78"/>
      <c r="C821" s="78"/>
      <c r="D821" s="78"/>
      <c r="E821" s="89"/>
      <c r="F821" s="78"/>
      <c r="G821" s="78"/>
      <c r="H821" s="78"/>
      <c r="I821" s="90"/>
    </row>
    <row r="822" spans="1:9" ht="15" x14ac:dyDescent="0.25">
      <c r="A822" s="88"/>
      <c r="B822" s="78"/>
      <c r="C822" s="78"/>
      <c r="D822" s="78"/>
      <c r="E822" s="89"/>
      <c r="F822" s="78"/>
      <c r="G822" s="78"/>
      <c r="H822" s="78"/>
      <c r="I822" s="90"/>
    </row>
    <row r="823" spans="1:9" ht="15" x14ac:dyDescent="0.25">
      <c r="A823" s="88"/>
      <c r="B823" s="78"/>
      <c r="C823" s="78"/>
      <c r="D823" s="78"/>
      <c r="E823" s="89"/>
      <c r="F823" s="78"/>
      <c r="G823" s="78"/>
      <c r="H823" s="78"/>
      <c r="I823" s="90"/>
    </row>
    <row r="824" spans="1:9" ht="15" x14ac:dyDescent="0.25">
      <c r="A824" s="88"/>
      <c r="B824" s="78"/>
      <c r="C824" s="78"/>
      <c r="D824" s="78"/>
      <c r="E824" s="89"/>
      <c r="F824" s="78"/>
      <c r="G824" s="78"/>
      <c r="H824" s="78"/>
      <c r="I824" s="90"/>
    </row>
    <row r="825" spans="1:9" ht="15" x14ac:dyDescent="0.25">
      <c r="A825" s="88"/>
      <c r="B825" s="78"/>
      <c r="C825" s="78"/>
      <c r="D825" s="78"/>
      <c r="E825" s="89"/>
      <c r="F825" s="78"/>
      <c r="G825" s="78"/>
      <c r="H825" s="78"/>
      <c r="I825" s="90"/>
    </row>
    <row r="826" spans="1:9" ht="15" x14ac:dyDescent="0.25">
      <c r="A826" s="88"/>
      <c r="B826" s="78"/>
      <c r="C826" s="78"/>
      <c r="D826" s="78"/>
      <c r="E826" s="89"/>
      <c r="F826" s="78"/>
      <c r="G826" s="78"/>
      <c r="H826" s="78"/>
      <c r="I826" s="90"/>
    </row>
    <row r="827" spans="1:9" ht="15" x14ac:dyDescent="0.25">
      <c r="A827" s="88"/>
      <c r="B827" s="78"/>
      <c r="C827" s="78"/>
      <c r="D827" s="78"/>
      <c r="E827" s="89"/>
      <c r="F827" s="78"/>
      <c r="G827" s="78"/>
      <c r="H827" s="78"/>
      <c r="I827" s="90"/>
    </row>
    <row r="828" spans="1:9" ht="15" x14ac:dyDescent="0.25">
      <c r="A828" s="88"/>
      <c r="B828" s="78"/>
      <c r="C828" s="78"/>
      <c r="D828" s="78"/>
      <c r="E828" s="89"/>
      <c r="F828" s="78"/>
      <c r="G828" s="78"/>
      <c r="H828" s="78"/>
      <c r="I828" s="90"/>
    </row>
    <row r="829" spans="1:9" ht="15" x14ac:dyDescent="0.25">
      <c r="A829" s="88"/>
      <c r="B829" s="78"/>
      <c r="C829" s="78"/>
      <c r="D829" s="78"/>
      <c r="E829" s="89"/>
      <c r="F829" s="78"/>
      <c r="G829" s="78"/>
      <c r="H829" s="78"/>
      <c r="I829" s="90"/>
    </row>
    <row r="830" spans="1:9" ht="15" x14ac:dyDescent="0.25">
      <c r="A830" s="88"/>
      <c r="B830" s="78"/>
      <c r="C830" s="78"/>
      <c r="D830" s="78"/>
      <c r="E830" s="89"/>
      <c r="F830" s="78"/>
      <c r="G830" s="78"/>
      <c r="H830" s="78"/>
      <c r="I830" s="90"/>
    </row>
    <row r="831" spans="1:9" ht="15" x14ac:dyDescent="0.25">
      <c r="A831" s="88"/>
      <c r="B831" s="78"/>
      <c r="C831" s="78"/>
      <c r="D831" s="78"/>
      <c r="E831" s="89"/>
      <c r="F831" s="78"/>
      <c r="G831" s="78"/>
      <c r="H831" s="78"/>
      <c r="I831" s="90"/>
    </row>
    <row r="832" spans="1:9" ht="15" x14ac:dyDescent="0.25">
      <c r="A832" s="88"/>
      <c r="B832" s="78"/>
      <c r="C832" s="78"/>
      <c r="D832" s="78"/>
      <c r="E832" s="89"/>
      <c r="F832" s="78"/>
      <c r="G832" s="78"/>
      <c r="H832" s="78"/>
      <c r="I832" s="90"/>
    </row>
    <row r="833" spans="1:9" ht="15" x14ac:dyDescent="0.25">
      <c r="A833" s="88"/>
      <c r="B833" s="78"/>
      <c r="C833" s="78"/>
      <c r="D833" s="78"/>
      <c r="E833" s="89"/>
      <c r="F833" s="78"/>
      <c r="G833" s="78"/>
      <c r="H833" s="78"/>
      <c r="I833" s="90"/>
    </row>
    <row r="834" spans="1:9" ht="15" x14ac:dyDescent="0.25">
      <c r="A834" s="88"/>
      <c r="B834" s="78"/>
      <c r="C834" s="78"/>
      <c r="D834" s="78"/>
      <c r="E834" s="89"/>
      <c r="F834" s="78"/>
      <c r="G834" s="78"/>
      <c r="H834" s="78"/>
      <c r="I834" s="90"/>
    </row>
    <row r="835" spans="1:9" ht="15" x14ac:dyDescent="0.25">
      <c r="A835" s="88"/>
      <c r="B835" s="78"/>
      <c r="C835" s="78"/>
      <c r="D835" s="78"/>
      <c r="E835" s="89"/>
      <c r="F835" s="78"/>
      <c r="G835" s="78"/>
      <c r="H835" s="78"/>
      <c r="I835" s="90"/>
    </row>
    <row r="836" spans="1:9" ht="15" x14ac:dyDescent="0.25">
      <c r="A836" s="88"/>
      <c r="B836" s="78"/>
      <c r="C836" s="78"/>
      <c r="D836" s="78"/>
      <c r="E836" s="89"/>
      <c r="F836" s="78"/>
      <c r="G836" s="78"/>
      <c r="H836" s="78"/>
      <c r="I836" s="90"/>
    </row>
    <row r="837" spans="1:9" ht="15" x14ac:dyDescent="0.25">
      <c r="A837" s="88"/>
      <c r="B837" s="78"/>
      <c r="C837" s="78"/>
      <c r="D837" s="78"/>
      <c r="E837" s="89"/>
      <c r="F837" s="78"/>
      <c r="G837" s="78"/>
      <c r="H837" s="78"/>
      <c r="I837" s="90"/>
    </row>
    <row r="838" spans="1:9" ht="15" x14ac:dyDescent="0.25">
      <c r="A838" s="88"/>
      <c r="B838" s="78"/>
      <c r="C838" s="78"/>
      <c r="D838" s="78"/>
      <c r="E838" s="89"/>
      <c r="F838" s="78"/>
      <c r="G838" s="78"/>
      <c r="H838" s="78"/>
      <c r="I838" s="90"/>
    </row>
    <row r="839" spans="1:9" ht="15" x14ac:dyDescent="0.25">
      <c r="A839" s="88"/>
      <c r="B839" s="78"/>
      <c r="C839" s="78"/>
      <c r="D839" s="78"/>
      <c r="E839" s="89"/>
      <c r="F839" s="78"/>
      <c r="G839" s="78"/>
      <c r="H839" s="78"/>
      <c r="I839" s="90"/>
    </row>
    <row r="840" spans="1:9" ht="15" x14ac:dyDescent="0.25">
      <c r="A840" s="88"/>
      <c r="B840" s="78"/>
      <c r="C840" s="78"/>
      <c r="D840" s="78"/>
      <c r="E840" s="89"/>
      <c r="F840" s="78"/>
      <c r="G840" s="78"/>
      <c r="H840" s="78"/>
      <c r="I840" s="90"/>
    </row>
    <row r="841" spans="1:9" ht="15" x14ac:dyDescent="0.25">
      <c r="A841" s="88"/>
      <c r="B841" s="78"/>
      <c r="C841" s="78"/>
      <c r="D841" s="78"/>
      <c r="E841" s="89"/>
      <c r="F841" s="78"/>
      <c r="G841" s="78"/>
      <c r="H841" s="78"/>
      <c r="I841" s="90"/>
    </row>
    <row r="842" spans="1:9" ht="15" x14ac:dyDescent="0.25">
      <c r="A842" s="88"/>
      <c r="B842" s="78"/>
      <c r="C842" s="78"/>
      <c r="D842" s="78"/>
      <c r="E842" s="89"/>
      <c r="F842" s="78"/>
      <c r="G842" s="78"/>
      <c r="H842" s="78"/>
      <c r="I842" s="90"/>
    </row>
    <row r="843" spans="1:9" ht="15" x14ac:dyDescent="0.25">
      <c r="A843" s="88"/>
      <c r="B843" s="78"/>
      <c r="C843" s="78"/>
      <c r="D843" s="78"/>
      <c r="E843" s="89"/>
      <c r="F843" s="78"/>
      <c r="G843" s="78"/>
      <c r="H843" s="78"/>
      <c r="I843" s="90"/>
    </row>
    <row r="844" spans="1:9" ht="15" x14ac:dyDescent="0.25">
      <c r="A844" s="88"/>
      <c r="B844" s="78"/>
      <c r="C844" s="78"/>
      <c r="D844" s="78"/>
      <c r="E844" s="89"/>
      <c r="F844" s="78"/>
      <c r="G844" s="78"/>
      <c r="H844" s="78"/>
      <c r="I844" s="90"/>
    </row>
    <row r="845" spans="1:9" ht="15" x14ac:dyDescent="0.25">
      <c r="A845" s="88"/>
      <c r="B845" s="78"/>
      <c r="C845" s="78"/>
      <c r="D845" s="78"/>
      <c r="E845" s="89"/>
      <c r="F845" s="78"/>
      <c r="G845" s="78"/>
      <c r="H845" s="78"/>
      <c r="I845" s="90"/>
    </row>
    <row r="846" spans="1:9" ht="15" x14ac:dyDescent="0.25">
      <c r="A846" s="88"/>
      <c r="B846" s="78"/>
      <c r="C846" s="78"/>
      <c r="D846" s="78"/>
      <c r="E846" s="89"/>
      <c r="F846" s="78"/>
      <c r="G846" s="78"/>
      <c r="H846" s="78"/>
      <c r="I846" s="90"/>
    </row>
    <row r="847" spans="1:9" ht="15" x14ac:dyDescent="0.25">
      <c r="A847" s="88"/>
      <c r="B847" s="78"/>
      <c r="C847" s="78"/>
      <c r="D847" s="78"/>
      <c r="E847" s="89"/>
      <c r="F847" s="78"/>
      <c r="G847" s="78"/>
      <c r="H847" s="78"/>
      <c r="I847" s="90"/>
    </row>
    <row r="848" spans="1:9" ht="15" x14ac:dyDescent="0.25">
      <c r="A848" s="88"/>
      <c r="B848" s="78"/>
      <c r="C848" s="78"/>
      <c r="D848" s="78"/>
      <c r="E848" s="89"/>
      <c r="F848" s="78"/>
      <c r="G848" s="78"/>
      <c r="H848" s="78"/>
      <c r="I848" s="90"/>
    </row>
    <row r="849" spans="1:9" ht="15" x14ac:dyDescent="0.25">
      <c r="A849" s="88"/>
      <c r="B849" s="78"/>
      <c r="C849" s="78"/>
      <c r="D849" s="78"/>
      <c r="E849" s="89"/>
      <c r="F849" s="78"/>
      <c r="G849" s="78"/>
      <c r="H849" s="78"/>
      <c r="I849" s="90"/>
    </row>
    <row r="850" spans="1:9" ht="15" x14ac:dyDescent="0.25">
      <c r="A850" s="88"/>
      <c r="B850" s="78"/>
      <c r="C850" s="78"/>
      <c r="D850" s="78"/>
      <c r="E850" s="89"/>
      <c r="F850" s="78"/>
      <c r="G850" s="78"/>
      <c r="H850" s="78"/>
      <c r="I850" s="90"/>
    </row>
    <row r="851" spans="1:9" ht="15" x14ac:dyDescent="0.25">
      <c r="A851" s="88"/>
      <c r="B851" s="78"/>
      <c r="C851" s="78"/>
      <c r="D851" s="78"/>
      <c r="E851" s="89"/>
      <c r="F851" s="78"/>
      <c r="G851" s="78"/>
      <c r="H851" s="78"/>
      <c r="I851" s="90"/>
    </row>
    <row r="852" spans="1:9" ht="15" x14ac:dyDescent="0.25">
      <c r="A852" s="88"/>
      <c r="B852" s="78"/>
      <c r="C852" s="78"/>
      <c r="D852" s="78"/>
      <c r="E852" s="89"/>
      <c r="F852" s="78"/>
      <c r="G852" s="78"/>
      <c r="H852" s="78"/>
      <c r="I852" s="90"/>
    </row>
    <row r="853" spans="1:9" ht="15" x14ac:dyDescent="0.25">
      <c r="A853" s="88"/>
      <c r="B853" s="78"/>
      <c r="C853" s="78"/>
      <c r="D853" s="78"/>
      <c r="E853" s="89"/>
      <c r="F853" s="78"/>
      <c r="G853" s="78"/>
      <c r="H853" s="78"/>
      <c r="I853" s="90"/>
    </row>
    <row r="854" spans="1:9" ht="15" x14ac:dyDescent="0.25">
      <c r="A854" s="88"/>
      <c r="B854" s="78"/>
      <c r="C854" s="78"/>
      <c r="D854" s="78"/>
      <c r="E854" s="89"/>
      <c r="F854" s="78"/>
      <c r="G854" s="78"/>
      <c r="H854" s="78"/>
      <c r="I854" s="9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998"/>
  <sheetViews>
    <sheetView workbookViewId="0">
      <pane ySplit="1" topLeftCell="A2" activePane="bottomLeft" state="frozen"/>
      <selection pane="bottomLeft" activeCell="G2" sqref="G2:G180"/>
    </sheetView>
  </sheetViews>
  <sheetFormatPr defaultColWidth="14.44140625" defaultRowHeight="15.75" customHeight="1" x14ac:dyDescent="0.25"/>
  <cols>
    <col min="2" max="2" width="26.88671875" customWidth="1"/>
    <col min="3" max="3" width="25.44140625" customWidth="1"/>
    <col min="4" max="4" width="25.109375" customWidth="1"/>
    <col min="5" max="5" width="23.5546875" customWidth="1"/>
  </cols>
  <sheetData>
    <row r="1" spans="1:21" ht="15.75" customHeight="1" x14ac:dyDescent="0.3">
      <c r="A1" s="32" t="s">
        <v>0</v>
      </c>
      <c r="B1" s="91" t="s">
        <v>339</v>
      </c>
      <c r="C1" s="91" t="s">
        <v>340</v>
      </c>
      <c r="D1" s="91" t="s">
        <v>341</v>
      </c>
      <c r="E1" s="91" t="s">
        <v>342</v>
      </c>
      <c r="F1" s="92"/>
      <c r="G1" s="92"/>
      <c r="H1" s="92"/>
      <c r="I1" s="92"/>
      <c r="J1" s="92"/>
      <c r="K1" s="92"/>
      <c r="L1" s="92"/>
      <c r="M1" s="92"/>
      <c r="N1" s="92"/>
      <c r="O1" s="92"/>
      <c r="P1" s="92"/>
      <c r="Q1" s="92"/>
      <c r="R1" s="92"/>
      <c r="S1" s="92"/>
      <c r="T1" s="92"/>
      <c r="U1" s="92"/>
    </row>
    <row r="2" spans="1:21" ht="13.2" x14ac:dyDescent="0.25">
      <c r="A2" s="93">
        <f ca="1">IFERROR(__xludf.DUMMYFUNCTION("IMPORTRANGE(""https://docs.google.com/spreadsheets/d/1Z6aGDEehvntxFiePIi3q3HiVzeV-3jkOe87QLML9cWg/edit?ts=5f3b374c#gid=0"",""Histori Pemakaman!A2:E"")"),43891)</f>
        <v>43891</v>
      </c>
      <c r="B2" s="7">
        <f ca="1">IFERROR(__xludf.DUMMYFUNCTION("""COMPUTED_VALUE"""),0)</f>
        <v>0</v>
      </c>
      <c r="C2" s="7">
        <f ca="1">IFERROR(__xludf.DUMMYFUNCTION("""COMPUTED_VALUE"""),0)</f>
        <v>0</v>
      </c>
      <c r="D2" s="7">
        <f ca="1">IFERROR(__xludf.DUMMYFUNCTION("""COMPUTED_VALUE"""),150)</f>
        <v>150</v>
      </c>
      <c r="E2" s="7">
        <f ca="1">IFERROR(__xludf.DUMMYFUNCTION("""COMPUTED_VALUE"""),150)</f>
        <v>150</v>
      </c>
    </row>
    <row r="3" spans="1:21" ht="13.2" x14ac:dyDescent="0.25">
      <c r="A3" s="93">
        <f ca="1">IFERROR(__xludf.DUMMYFUNCTION("""COMPUTED_VALUE"""),43892)</f>
        <v>43892</v>
      </c>
      <c r="B3" s="7">
        <f ca="1">IFERROR(__xludf.DUMMYFUNCTION("""COMPUTED_VALUE"""),0)</f>
        <v>0</v>
      </c>
      <c r="C3" s="7">
        <f ca="1">IFERROR(__xludf.DUMMYFUNCTION("""COMPUTED_VALUE"""),0)</f>
        <v>0</v>
      </c>
      <c r="D3" s="7">
        <f ca="1">IFERROR(__xludf.DUMMYFUNCTION("""COMPUTED_VALUE"""),136)</f>
        <v>136</v>
      </c>
      <c r="E3" s="7">
        <f ca="1">IFERROR(__xludf.DUMMYFUNCTION("""COMPUTED_VALUE"""),286)</f>
        <v>286</v>
      </c>
    </row>
    <row r="4" spans="1:21" ht="13.2" x14ac:dyDescent="0.25">
      <c r="A4" s="93">
        <f ca="1">IFERROR(__xludf.DUMMYFUNCTION("""COMPUTED_VALUE"""),43893)</f>
        <v>43893</v>
      </c>
      <c r="B4" s="7">
        <f ca="1">IFERROR(__xludf.DUMMYFUNCTION("""COMPUTED_VALUE"""),0)</f>
        <v>0</v>
      </c>
      <c r="C4" s="7">
        <f ca="1">IFERROR(__xludf.DUMMYFUNCTION("""COMPUTED_VALUE"""),0)</f>
        <v>0</v>
      </c>
      <c r="D4" s="7">
        <f ca="1">IFERROR(__xludf.DUMMYFUNCTION("""COMPUTED_VALUE"""),135)</f>
        <v>135</v>
      </c>
      <c r="E4" s="7">
        <f ca="1">IFERROR(__xludf.DUMMYFUNCTION("""COMPUTED_VALUE"""),421)</f>
        <v>421</v>
      </c>
    </row>
    <row r="5" spans="1:21" ht="13.2" x14ac:dyDescent="0.25">
      <c r="A5" s="93">
        <f ca="1">IFERROR(__xludf.DUMMYFUNCTION("""COMPUTED_VALUE"""),43894)</f>
        <v>43894</v>
      </c>
      <c r="B5" s="7">
        <f ca="1">IFERROR(__xludf.DUMMYFUNCTION("""COMPUTED_VALUE"""),0)</f>
        <v>0</v>
      </c>
      <c r="C5" s="7">
        <f ca="1">IFERROR(__xludf.DUMMYFUNCTION("""COMPUTED_VALUE"""),0)</f>
        <v>0</v>
      </c>
      <c r="D5" s="7">
        <f ca="1">IFERROR(__xludf.DUMMYFUNCTION("""COMPUTED_VALUE"""),116)</f>
        <v>116</v>
      </c>
      <c r="E5" s="7">
        <f ca="1">IFERROR(__xludf.DUMMYFUNCTION("""COMPUTED_VALUE"""),537)</f>
        <v>537</v>
      </c>
    </row>
    <row r="6" spans="1:21" ht="13.2" x14ac:dyDescent="0.25">
      <c r="A6" s="93">
        <f ca="1">IFERROR(__xludf.DUMMYFUNCTION("""COMPUTED_VALUE"""),43895)</f>
        <v>43895</v>
      </c>
      <c r="B6" s="7">
        <f ca="1">IFERROR(__xludf.DUMMYFUNCTION("""COMPUTED_VALUE"""),0)</f>
        <v>0</v>
      </c>
      <c r="C6" s="7">
        <f ca="1">IFERROR(__xludf.DUMMYFUNCTION("""COMPUTED_VALUE"""),0)</f>
        <v>0</v>
      </c>
      <c r="D6" s="7">
        <f ca="1">IFERROR(__xludf.DUMMYFUNCTION("""COMPUTED_VALUE"""),124)</f>
        <v>124</v>
      </c>
      <c r="E6" s="7">
        <f ca="1">IFERROR(__xludf.DUMMYFUNCTION("""COMPUTED_VALUE"""),661)</f>
        <v>661</v>
      </c>
    </row>
    <row r="7" spans="1:21" ht="13.2" x14ac:dyDescent="0.25">
      <c r="A7" s="93">
        <f ca="1">IFERROR(__xludf.DUMMYFUNCTION("""COMPUTED_VALUE"""),43896)</f>
        <v>43896</v>
      </c>
      <c r="B7" s="7">
        <f ca="1">IFERROR(__xludf.DUMMYFUNCTION("""COMPUTED_VALUE"""),1)</f>
        <v>1</v>
      </c>
      <c r="C7" s="7">
        <f ca="1">IFERROR(__xludf.DUMMYFUNCTION("""COMPUTED_VALUE"""),1)</f>
        <v>1</v>
      </c>
      <c r="D7" s="7">
        <f ca="1">IFERROR(__xludf.DUMMYFUNCTION("""COMPUTED_VALUE"""),158)</f>
        <v>158</v>
      </c>
      <c r="E7" s="7">
        <f ca="1">IFERROR(__xludf.DUMMYFUNCTION("""COMPUTED_VALUE"""),819)</f>
        <v>819</v>
      </c>
    </row>
    <row r="8" spans="1:21" ht="13.2" x14ac:dyDescent="0.25">
      <c r="A8" s="93">
        <f ca="1">IFERROR(__xludf.DUMMYFUNCTION("""COMPUTED_VALUE"""),43897)</f>
        <v>43897</v>
      </c>
      <c r="B8" s="7">
        <f ca="1">IFERROR(__xludf.DUMMYFUNCTION("""COMPUTED_VALUE"""),0)</f>
        <v>0</v>
      </c>
      <c r="C8" s="7">
        <f ca="1">IFERROR(__xludf.DUMMYFUNCTION("""COMPUTED_VALUE"""),1)</f>
        <v>1</v>
      </c>
      <c r="D8" s="7">
        <f ca="1">IFERROR(__xludf.DUMMYFUNCTION("""COMPUTED_VALUE"""),144)</f>
        <v>144</v>
      </c>
      <c r="E8" s="7">
        <f ca="1">IFERROR(__xludf.DUMMYFUNCTION("""COMPUTED_VALUE"""),963)</f>
        <v>963</v>
      </c>
    </row>
    <row r="9" spans="1:21" ht="13.2" x14ac:dyDescent="0.25">
      <c r="A9" s="93">
        <f ca="1">IFERROR(__xludf.DUMMYFUNCTION("""COMPUTED_VALUE"""),43898)</f>
        <v>43898</v>
      </c>
      <c r="B9" s="7">
        <f ca="1">IFERROR(__xludf.DUMMYFUNCTION("""COMPUTED_VALUE"""),0)</f>
        <v>0</v>
      </c>
      <c r="C9" s="7">
        <f ca="1">IFERROR(__xludf.DUMMYFUNCTION("""COMPUTED_VALUE"""),1)</f>
        <v>1</v>
      </c>
      <c r="D9" s="7">
        <f ca="1">IFERROR(__xludf.DUMMYFUNCTION("""COMPUTED_VALUE"""),106)</f>
        <v>106</v>
      </c>
      <c r="E9" s="7">
        <f ca="1">IFERROR(__xludf.DUMMYFUNCTION("""COMPUTED_VALUE"""),1069)</f>
        <v>1069</v>
      </c>
    </row>
    <row r="10" spans="1:21" ht="13.2" x14ac:dyDescent="0.25">
      <c r="A10" s="93">
        <f ca="1">IFERROR(__xludf.DUMMYFUNCTION("""COMPUTED_VALUE"""),43899)</f>
        <v>43899</v>
      </c>
      <c r="B10" s="7">
        <f ca="1">IFERROR(__xludf.DUMMYFUNCTION("""COMPUTED_VALUE"""),0)</f>
        <v>0</v>
      </c>
      <c r="C10" s="7">
        <f ca="1">IFERROR(__xludf.DUMMYFUNCTION("""COMPUTED_VALUE"""),1)</f>
        <v>1</v>
      </c>
      <c r="D10" s="7">
        <f ca="1">IFERROR(__xludf.DUMMYFUNCTION("""COMPUTED_VALUE"""),145)</f>
        <v>145</v>
      </c>
      <c r="E10" s="7">
        <f ca="1">IFERROR(__xludf.DUMMYFUNCTION("""COMPUTED_VALUE"""),1214)</f>
        <v>1214</v>
      </c>
    </row>
    <row r="11" spans="1:21" ht="13.2" x14ac:dyDescent="0.25">
      <c r="A11" s="93">
        <f ca="1">IFERROR(__xludf.DUMMYFUNCTION("""COMPUTED_VALUE"""),43900)</f>
        <v>43900</v>
      </c>
      <c r="B11" s="7">
        <f ca="1">IFERROR(__xludf.DUMMYFUNCTION("""COMPUTED_VALUE"""),0)</f>
        <v>0</v>
      </c>
      <c r="C11" s="7">
        <f ca="1">IFERROR(__xludf.DUMMYFUNCTION("""COMPUTED_VALUE"""),1)</f>
        <v>1</v>
      </c>
      <c r="D11" s="7">
        <f ca="1">IFERROR(__xludf.DUMMYFUNCTION("""COMPUTED_VALUE"""),146)</f>
        <v>146</v>
      </c>
      <c r="E11" s="7">
        <f ca="1">IFERROR(__xludf.DUMMYFUNCTION("""COMPUTED_VALUE"""),1360)</f>
        <v>1360</v>
      </c>
    </row>
    <row r="12" spans="1:21" ht="13.2" x14ac:dyDescent="0.25">
      <c r="A12" s="93">
        <f ca="1">IFERROR(__xludf.DUMMYFUNCTION("""COMPUTED_VALUE"""),43901)</f>
        <v>43901</v>
      </c>
      <c r="B12" s="7">
        <f ca="1">IFERROR(__xludf.DUMMYFUNCTION("""COMPUTED_VALUE"""),0)</f>
        <v>0</v>
      </c>
      <c r="C12" s="7">
        <f ca="1">IFERROR(__xludf.DUMMYFUNCTION("""COMPUTED_VALUE"""),1)</f>
        <v>1</v>
      </c>
      <c r="D12" s="7">
        <f ca="1">IFERROR(__xludf.DUMMYFUNCTION("""COMPUTED_VALUE"""),148)</f>
        <v>148</v>
      </c>
      <c r="E12" s="7">
        <f ca="1">IFERROR(__xludf.DUMMYFUNCTION("""COMPUTED_VALUE"""),1508)</f>
        <v>1508</v>
      </c>
    </row>
    <row r="13" spans="1:21" ht="13.2" x14ac:dyDescent="0.25">
      <c r="A13" s="93">
        <f ca="1">IFERROR(__xludf.DUMMYFUNCTION("""COMPUTED_VALUE"""),43902)</f>
        <v>43902</v>
      </c>
      <c r="B13" s="7">
        <f ca="1">IFERROR(__xludf.DUMMYFUNCTION("""COMPUTED_VALUE"""),1)</f>
        <v>1</v>
      </c>
      <c r="C13" s="7">
        <f ca="1">IFERROR(__xludf.DUMMYFUNCTION("""COMPUTED_VALUE"""),2)</f>
        <v>2</v>
      </c>
      <c r="D13" s="7">
        <f ca="1">IFERROR(__xludf.DUMMYFUNCTION("""COMPUTED_VALUE"""),154)</f>
        <v>154</v>
      </c>
      <c r="E13" s="7">
        <f ca="1">IFERROR(__xludf.DUMMYFUNCTION("""COMPUTED_VALUE"""),1662)</f>
        <v>1662</v>
      </c>
    </row>
    <row r="14" spans="1:21" ht="13.2" x14ac:dyDescent="0.25">
      <c r="A14" s="93">
        <f ca="1">IFERROR(__xludf.DUMMYFUNCTION("""COMPUTED_VALUE"""),43903)</f>
        <v>43903</v>
      </c>
      <c r="B14" s="7">
        <f ca="1">IFERROR(__xludf.DUMMYFUNCTION("""COMPUTED_VALUE"""),2)</f>
        <v>2</v>
      </c>
      <c r="C14" s="7">
        <f ca="1">IFERROR(__xludf.DUMMYFUNCTION("""COMPUTED_VALUE"""),4)</f>
        <v>4</v>
      </c>
      <c r="D14" s="7">
        <f ca="1">IFERROR(__xludf.DUMMYFUNCTION("""COMPUTED_VALUE"""),124)</f>
        <v>124</v>
      </c>
      <c r="E14" s="7">
        <f ca="1">IFERROR(__xludf.DUMMYFUNCTION("""COMPUTED_VALUE"""),1786)</f>
        <v>1786</v>
      </c>
    </row>
    <row r="15" spans="1:21" ht="13.2" x14ac:dyDescent="0.25">
      <c r="A15" s="93">
        <f ca="1">IFERROR(__xludf.DUMMYFUNCTION("""COMPUTED_VALUE"""),43904)</f>
        <v>43904</v>
      </c>
      <c r="B15" s="7">
        <f ca="1">IFERROR(__xludf.DUMMYFUNCTION("""COMPUTED_VALUE"""),2)</f>
        <v>2</v>
      </c>
      <c r="C15" s="7">
        <f ca="1">IFERROR(__xludf.DUMMYFUNCTION("""COMPUTED_VALUE"""),6)</f>
        <v>6</v>
      </c>
      <c r="D15" s="7">
        <f ca="1">IFERROR(__xludf.DUMMYFUNCTION("""COMPUTED_VALUE"""),162)</f>
        <v>162</v>
      </c>
      <c r="E15" s="7">
        <f ca="1">IFERROR(__xludf.DUMMYFUNCTION("""COMPUTED_VALUE"""),1948)</f>
        <v>1948</v>
      </c>
    </row>
    <row r="16" spans="1:21" ht="13.2" x14ac:dyDescent="0.25">
      <c r="A16" s="93">
        <f ca="1">IFERROR(__xludf.DUMMYFUNCTION("""COMPUTED_VALUE"""),43905)</f>
        <v>43905</v>
      </c>
      <c r="B16" s="7">
        <f ca="1">IFERROR(__xludf.DUMMYFUNCTION("""COMPUTED_VALUE"""),0)</f>
        <v>0</v>
      </c>
      <c r="C16" s="7">
        <f ca="1">IFERROR(__xludf.DUMMYFUNCTION("""COMPUTED_VALUE"""),6)</f>
        <v>6</v>
      </c>
      <c r="D16" s="7">
        <f ca="1">IFERROR(__xludf.DUMMYFUNCTION("""COMPUTED_VALUE"""),119)</f>
        <v>119</v>
      </c>
      <c r="E16" s="7">
        <f ca="1">IFERROR(__xludf.DUMMYFUNCTION("""COMPUTED_VALUE"""),2067)</f>
        <v>2067</v>
      </c>
    </row>
    <row r="17" spans="1:5" ht="13.2" x14ac:dyDescent="0.25">
      <c r="A17" s="93">
        <f ca="1">IFERROR(__xludf.DUMMYFUNCTION("""COMPUTED_VALUE"""),43906)</f>
        <v>43906</v>
      </c>
      <c r="B17" s="7">
        <f ca="1">IFERROR(__xludf.DUMMYFUNCTION("""COMPUTED_VALUE"""),4)</f>
        <v>4</v>
      </c>
      <c r="C17" s="7">
        <f ca="1">IFERROR(__xludf.DUMMYFUNCTION("""COMPUTED_VALUE"""),10)</f>
        <v>10</v>
      </c>
      <c r="D17" s="7">
        <f ca="1">IFERROR(__xludf.DUMMYFUNCTION("""COMPUTED_VALUE"""),128)</f>
        <v>128</v>
      </c>
      <c r="E17" s="7">
        <f ca="1">IFERROR(__xludf.DUMMYFUNCTION("""COMPUTED_VALUE"""),2195)</f>
        <v>2195</v>
      </c>
    </row>
    <row r="18" spans="1:5" ht="13.2" x14ac:dyDescent="0.25">
      <c r="A18" s="93">
        <f ca="1">IFERROR(__xludf.DUMMYFUNCTION("""COMPUTED_VALUE"""),43907)</f>
        <v>43907</v>
      </c>
      <c r="B18" s="7">
        <f ca="1">IFERROR(__xludf.DUMMYFUNCTION("""COMPUTED_VALUE"""),4)</f>
        <v>4</v>
      </c>
      <c r="C18" s="7">
        <f ca="1">IFERROR(__xludf.DUMMYFUNCTION("""COMPUTED_VALUE"""),14)</f>
        <v>14</v>
      </c>
      <c r="D18" s="7">
        <f ca="1">IFERROR(__xludf.DUMMYFUNCTION("""COMPUTED_VALUE"""),135)</f>
        <v>135</v>
      </c>
      <c r="E18" s="7">
        <f ca="1">IFERROR(__xludf.DUMMYFUNCTION("""COMPUTED_VALUE"""),2330)</f>
        <v>2330</v>
      </c>
    </row>
    <row r="19" spans="1:5" ht="13.2" x14ac:dyDescent="0.25">
      <c r="A19" s="93">
        <f ca="1">IFERROR(__xludf.DUMMYFUNCTION("""COMPUTED_VALUE"""),43908)</f>
        <v>43908</v>
      </c>
      <c r="B19" s="7">
        <f ca="1">IFERROR(__xludf.DUMMYFUNCTION("""COMPUTED_VALUE"""),8)</f>
        <v>8</v>
      </c>
      <c r="C19" s="7">
        <f ca="1">IFERROR(__xludf.DUMMYFUNCTION("""COMPUTED_VALUE"""),22)</f>
        <v>22</v>
      </c>
      <c r="D19" s="7">
        <f ca="1">IFERROR(__xludf.DUMMYFUNCTION("""COMPUTED_VALUE"""),122)</f>
        <v>122</v>
      </c>
      <c r="E19" s="7">
        <f ca="1">IFERROR(__xludf.DUMMYFUNCTION("""COMPUTED_VALUE"""),2452)</f>
        <v>2452</v>
      </c>
    </row>
    <row r="20" spans="1:5" ht="13.2" x14ac:dyDescent="0.25">
      <c r="A20" s="93">
        <f ca="1">IFERROR(__xludf.DUMMYFUNCTION("""COMPUTED_VALUE"""),43909)</f>
        <v>43909</v>
      </c>
      <c r="B20" s="7">
        <f ca="1">IFERROR(__xludf.DUMMYFUNCTION("""COMPUTED_VALUE"""),7)</f>
        <v>7</v>
      </c>
      <c r="C20" s="7">
        <f ca="1">IFERROR(__xludf.DUMMYFUNCTION("""COMPUTED_VALUE"""),29)</f>
        <v>29</v>
      </c>
      <c r="D20" s="7">
        <f ca="1">IFERROR(__xludf.DUMMYFUNCTION("""COMPUTED_VALUE"""),108)</f>
        <v>108</v>
      </c>
      <c r="E20" s="7">
        <f ca="1">IFERROR(__xludf.DUMMYFUNCTION("""COMPUTED_VALUE"""),2560)</f>
        <v>2560</v>
      </c>
    </row>
    <row r="21" spans="1:5" ht="13.2" x14ac:dyDescent="0.25">
      <c r="A21" s="93">
        <f ca="1">IFERROR(__xludf.DUMMYFUNCTION("""COMPUTED_VALUE"""),43910)</f>
        <v>43910</v>
      </c>
      <c r="B21" s="7">
        <f ca="1">IFERROR(__xludf.DUMMYFUNCTION("""COMPUTED_VALUE"""),8)</f>
        <v>8</v>
      </c>
      <c r="C21" s="7">
        <f ca="1">IFERROR(__xludf.DUMMYFUNCTION("""COMPUTED_VALUE"""),37)</f>
        <v>37</v>
      </c>
      <c r="D21" s="7">
        <f ca="1">IFERROR(__xludf.DUMMYFUNCTION("""COMPUTED_VALUE"""),138)</f>
        <v>138</v>
      </c>
      <c r="E21" s="7">
        <f ca="1">IFERROR(__xludf.DUMMYFUNCTION("""COMPUTED_VALUE"""),2698)</f>
        <v>2698</v>
      </c>
    </row>
    <row r="22" spans="1:5" ht="13.2" x14ac:dyDescent="0.25">
      <c r="A22" s="93">
        <f ca="1">IFERROR(__xludf.DUMMYFUNCTION("""COMPUTED_VALUE"""),43911)</f>
        <v>43911</v>
      </c>
      <c r="B22" s="7">
        <f ca="1">IFERROR(__xludf.DUMMYFUNCTION("""COMPUTED_VALUE"""),10)</f>
        <v>10</v>
      </c>
      <c r="C22" s="7">
        <f ca="1">IFERROR(__xludf.DUMMYFUNCTION("""COMPUTED_VALUE"""),47)</f>
        <v>47</v>
      </c>
      <c r="D22" s="7">
        <f ca="1">IFERROR(__xludf.DUMMYFUNCTION("""COMPUTED_VALUE"""),118)</f>
        <v>118</v>
      </c>
      <c r="E22" s="7">
        <f ca="1">IFERROR(__xludf.DUMMYFUNCTION("""COMPUTED_VALUE"""),2816)</f>
        <v>2816</v>
      </c>
    </row>
    <row r="23" spans="1:5" ht="13.2" x14ac:dyDescent="0.25">
      <c r="A23" s="93">
        <f ca="1">IFERROR(__xludf.DUMMYFUNCTION("""COMPUTED_VALUE"""),43912)</f>
        <v>43912</v>
      </c>
      <c r="B23" s="7">
        <f ca="1">IFERROR(__xludf.DUMMYFUNCTION("""COMPUTED_VALUE"""),18)</f>
        <v>18</v>
      </c>
      <c r="C23" s="7">
        <f ca="1">IFERROR(__xludf.DUMMYFUNCTION("""COMPUTED_VALUE"""),65)</f>
        <v>65</v>
      </c>
      <c r="D23" s="7">
        <f ca="1">IFERROR(__xludf.DUMMYFUNCTION("""COMPUTED_VALUE"""),150)</f>
        <v>150</v>
      </c>
      <c r="E23" s="7">
        <f ca="1">IFERROR(__xludf.DUMMYFUNCTION("""COMPUTED_VALUE"""),2966)</f>
        <v>2966</v>
      </c>
    </row>
    <row r="24" spans="1:5" ht="13.2" x14ac:dyDescent="0.25">
      <c r="A24" s="93">
        <f ca="1">IFERROR(__xludf.DUMMYFUNCTION("""COMPUTED_VALUE"""),43913)</f>
        <v>43913</v>
      </c>
      <c r="B24" s="7">
        <f ca="1">IFERROR(__xludf.DUMMYFUNCTION("""COMPUTED_VALUE"""),22)</f>
        <v>22</v>
      </c>
      <c r="C24" s="7">
        <f ca="1">IFERROR(__xludf.DUMMYFUNCTION("""COMPUTED_VALUE"""),87)</f>
        <v>87</v>
      </c>
      <c r="D24" s="7">
        <f ca="1">IFERROR(__xludf.DUMMYFUNCTION("""COMPUTED_VALUE"""),151)</f>
        <v>151</v>
      </c>
      <c r="E24" s="7">
        <f ca="1">IFERROR(__xludf.DUMMYFUNCTION("""COMPUTED_VALUE"""),3117)</f>
        <v>3117</v>
      </c>
    </row>
    <row r="25" spans="1:5" ht="13.2" x14ac:dyDescent="0.25">
      <c r="A25" s="93">
        <f ca="1">IFERROR(__xludf.DUMMYFUNCTION("""COMPUTED_VALUE"""),43914)</f>
        <v>43914</v>
      </c>
      <c r="B25" s="7">
        <f ca="1">IFERROR(__xludf.DUMMYFUNCTION("""COMPUTED_VALUE"""),20)</f>
        <v>20</v>
      </c>
      <c r="C25" s="7">
        <f ca="1">IFERROR(__xludf.DUMMYFUNCTION("""COMPUTED_VALUE"""),107)</f>
        <v>107</v>
      </c>
      <c r="D25" s="7">
        <f ca="1">IFERROR(__xludf.DUMMYFUNCTION("""COMPUTED_VALUE"""),119)</f>
        <v>119</v>
      </c>
      <c r="E25" s="7">
        <f ca="1">IFERROR(__xludf.DUMMYFUNCTION("""COMPUTED_VALUE"""),3236)</f>
        <v>3236</v>
      </c>
    </row>
    <row r="26" spans="1:5" ht="13.2" x14ac:dyDescent="0.25">
      <c r="A26" s="93">
        <f ca="1">IFERROR(__xludf.DUMMYFUNCTION("""COMPUTED_VALUE"""),43915)</f>
        <v>43915</v>
      </c>
      <c r="B26" s="7">
        <f ca="1">IFERROR(__xludf.DUMMYFUNCTION("""COMPUTED_VALUE"""),33)</f>
        <v>33</v>
      </c>
      <c r="C26" s="7">
        <f ca="1">IFERROR(__xludf.DUMMYFUNCTION("""COMPUTED_VALUE"""),140)</f>
        <v>140</v>
      </c>
      <c r="D26" s="7">
        <f ca="1">IFERROR(__xludf.DUMMYFUNCTION("""COMPUTED_VALUE"""),160)</f>
        <v>160</v>
      </c>
      <c r="E26" s="7">
        <f ca="1">IFERROR(__xludf.DUMMYFUNCTION("""COMPUTED_VALUE"""),3396)</f>
        <v>3396</v>
      </c>
    </row>
    <row r="27" spans="1:5" ht="13.2" x14ac:dyDescent="0.25">
      <c r="A27" s="93">
        <f ca="1">IFERROR(__xludf.DUMMYFUNCTION("""COMPUTED_VALUE"""),43916)</f>
        <v>43916</v>
      </c>
      <c r="B27" s="7">
        <f ca="1">IFERROR(__xludf.DUMMYFUNCTION("""COMPUTED_VALUE"""),35)</f>
        <v>35</v>
      </c>
      <c r="C27" s="7">
        <f ca="1">IFERROR(__xludf.DUMMYFUNCTION("""COMPUTED_VALUE"""),175)</f>
        <v>175</v>
      </c>
      <c r="D27" s="7">
        <f ca="1">IFERROR(__xludf.DUMMYFUNCTION("""COMPUTED_VALUE"""),117)</f>
        <v>117</v>
      </c>
      <c r="E27" s="7">
        <f ca="1">IFERROR(__xludf.DUMMYFUNCTION("""COMPUTED_VALUE"""),3513)</f>
        <v>3513</v>
      </c>
    </row>
    <row r="28" spans="1:5" ht="13.2" x14ac:dyDescent="0.25">
      <c r="A28" s="93">
        <f ca="1">IFERROR(__xludf.DUMMYFUNCTION("""COMPUTED_VALUE"""),43917)</f>
        <v>43917</v>
      </c>
      <c r="B28" s="7">
        <f ca="1">IFERROR(__xludf.DUMMYFUNCTION("""COMPUTED_VALUE"""),31)</f>
        <v>31</v>
      </c>
      <c r="C28" s="7">
        <f ca="1">IFERROR(__xludf.DUMMYFUNCTION("""COMPUTED_VALUE"""),206)</f>
        <v>206</v>
      </c>
      <c r="D28" s="7">
        <f ca="1">IFERROR(__xludf.DUMMYFUNCTION("""COMPUTED_VALUE"""),150)</f>
        <v>150</v>
      </c>
      <c r="E28" s="7">
        <f ca="1">IFERROR(__xludf.DUMMYFUNCTION("""COMPUTED_VALUE"""),3663)</f>
        <v>3663</v>
      </c>
    </row>
    <row r="29" spans="1:5" ht="13.2" x14ac:dyDescent="0.25">
      <c r="A29" s="93">
        <f ca="1">IFERROR(__xludf.DUMMYFUNCTION("""COMPUTED_VALUE"""),43918)</f>
        <v>43918</v>
      </c>
      <c r="B29" s="7">
        <f ca="1">IFERROR(__xludf.DUMMYFUNCTION("""COMPUTED_VALUE"""),30)</f>
        <v>30</v>
      </c>
      <c r="C29" s="7">
        <f ca="1">IFERROR(__xludf.DUMMYFUNCTION("""COMPUTED_VALUE"""),236)</f>
        <v>236</v>
      </c>
      <c r="D29" s="7">
        <f ca="1">IFERROR(__xludf.DUMMYFUNCTION("""COMPUTED_VALUE"""),141)</f>
        <v>141</v>
      </c>
      <c r="E29" s="7">
        <f ca="1">IFERROR(__xludf.DUMMYFUNCTION("""COMPUTED_VALUE"""),3804)</f>
        <v>3804</v>
      </c>
    </row>
    <row r="30" spans="1:5" ht="13.2" x14ac:dyDescent="0.25">
      <c r="A30" s="93">
        <f ca="1">IFERROR(__xludf.DUMMYFUNCTION("""COMPUTED_VALUE"""),43919)</f>
        <v>43919</v>
      </c>
      <c r="B30" s="7">
        <f ca="1">IFERROR(__xludf.DUMMYFUNCTION("""COMPUTED_VALUE"""),47)</f>
        <v>47</v>
      </c>
      <c r="C30" s="7">
        <f ca="1">IFERROR(__xludf.DUMMYFUNCTION("""COMPUTED_VALUE"""),283)</f>
        <v>283</v>
      </c>
      <c r="D30" s="7">
        <f ca="1">IFERROR(__xludf.DUMMYFUNCTION("""COMPUTED_VALUE"""),153)</f>
        <v>153</v>
      </c>
      <c r="E30" s="7">
        <f ca="1">IFERROR(__xludf.DUMMYFUNCTION("""COMPUTED_VALUE"""),3957)</f>
        <v>3957</v>
      </c>
    </row>
    <row r="31" spans="1:5" ht="13.2" x14ac:dyDescent="0.25">
      <c r="A31" s="93">
        <f ca="1">IFERROR(__xludf.DUMMYFUNCTION("""COMPUTED_VALUE"""),43920)</f>
        <v>43920</v>
      </c>
      <c r="B31" s="7">
        <f ca="1">IFERROR(__xludf.DUMMYFUNCTION("""COMPUTED_VALUE"""),33)</f>
        <v>33</v>
      </c>
      <c r="C31" s="7">
        <f ca="1">IFERROR(__xludf.DUMMYFUNCTION("""COMPUTED_VALUE"""),316)</f>
        <v>316</v>
      </c>
      <c r="D31" s="7">
        <f ca="1">IFERROR(__xludf.DUMMYFUNCTION("""COMPUTED_VALUE"""),140)</f>
        <v>140</v>
      </c>
      <c r="E31" s="7">
        <f ca="1">IFERROR(__xludf.DUMMYFUNCTION("""COMPUTED_VALUE"""),4097)</f>
        <v>4097</v>
      </c>
    </row>
    <row r="32" spans="1:5" ht="13.2" x14ac:dyDescent="0.25">
      <c r="A32" s="93">
        <f ca="1">IFERROR(__xludf.DUMMYFUNCTION("""COMPUTED_VALUE"""),43921)</f>
        <v>43921</v>
      </c>
      <c r="B32" s="7">
        <f ca="1">IFERROR(__xludf.DUMMYFUNCTION("""COMPUTED_VALUE"""),38)</f>
        <v>38</v>
      </c>
      <c r="C32" s="7">
        <f ca="1">IFERROR(__xludf.DUMMYFUNCTION("""COMPUTED_VALUE"""),354)</f>
        <v>354</v>
      </c>
      <c r="D32" s="7">
        <f ca="1">IFERROR(__xludf.DUMMYFUNCTION("""COMPUTED_VALUE"""),148)</f>
        <v>148</v>
      </c>
      <c r="E32" s="7">
        <f ca="1">IFERROR(__xludf.DUMMYFUNCTION("""COMPUTED_VALUE"""),4245)</f>
        <v>4245</v>
      </c>
    </row>
    <row r="33" spans="1:5" ht="13.2" x14ac:dyDescent="0.25">
      <c r="A33" s="93">
        <f ca="1">IFERROR(__xludf.DUMMYFUNCTION("""COMPUTED_VALUE"""),43922)</f>
        <v>43922</v>
      </c>
      <c r="B33" s="7">
        <f ca="1">IFERROR(__xludf.DUMMYFUNCTION("""COMPUTED_VALUE"""),47)</f>
        <v>47</v>
      </c>
      <c r="C33" s="7">
        <f ca="1">IFERROR(__xludf.DUMMYFUNCTION("""COMPUTED_VALUE"""),401)</f>
        <v>401</v>
      </c>
      <c r="D33" s="7">
        <f ca="1">IFERROR(__xludf.DUMMYFUNCTION("""COMPUTED_VALUE"""),171)</f>
        <v>171</v>
      </c>
      <c r="E33" s="7">
        <f ca="1">IFERROR(__xludf.DUMMYFUNCTION("""COMPUTED_VALUE"""),4416)</f>
        <v>4416</v>
      </c>
    </row>
    <row r="34" spans="1:5" ht="13.2" x14ac:dyDescent="0.25">
      <c r="A34" s="93">
        <f ca="1">IFERROR(__xludf.DUMMYFUNCTION("""COMPUTED_VALUE"""),43923)</f>
        <v>43923</v>
      </c>
      <c r="B34" s="7">
        <f ca="1">IFERROR(__xludf.DUMMYFUNCTION("""COMPUTED_VALUE"""),53)</f>
        <v>53</v>
      </c>
      <c r="C34" s="7">
        <f ca="1">IFERROR(__xludf.DUMMYFUNCTION("""COMPUTED_VALUE"""),454)</f>
        <v>454</v>
      </c>
      <c r="D34" s="7">
        <f ca="1">IFERROR(__xludf.DUMMYFUNCTION("""COMPUTED_VALUE"""),178)</f>
        <v>178</v>
      </c>
      <c r="E34" s="7">
        <f ca="1">IFERROR(__xludf.DUMMYFUNCTION("""COMPUTED_VALUE"""),4594)</f>
        <v>4594</v>
      </c>
    </row>
    <row r="35" spans="1:5" ht="13.2" x14ac:dyDescent="0.25">
      <c r="A35" s="93">
        <f ca="1">IFERROR(__xludf.DUMMYFUNCTION("""COMPUTED_VALUE"""),43924)</f>
        <v>43924</v>
      </c>
      <c r="B35" s="7">
        <f ca="1">IFERROR(__xludf.DUMMYFUNCTION("""COMPUTED_VALUE"""),50)</f>
        <v>50</v>
      </c>
      <c r="C35" s="7">
        <f ca="1">IFERROR(__xludf.DUMMYFUNCTION("""COMPUTED_VALUE"""),504)</f>
        <v>504</v>
      </c>
      <c r="D35" s="7">
        <f ca="1">IFERROR(__xludf.DUMMYFUNCTION("""COMPUTED_VALUE"""),143)</f>
        <v>143</v>
      </c>
      <c r="E35" s="7">
        <f ca="1">IFERROR(__xludf.DUMMYFUNCTION("""COMPUTED_VALUE"""),4737)</f>
        <v>4737</v>
      </c>
    </row>
    <row r="36" spans="1:5" ht="13.2" x14ac:dyDescent="0.25">
      <c r="A36" s="93">
        <f ca="1">IFERROR(__xludf.DUMMYFUNCTION("""COMPUTED_VALUE"""),43925)</f>
        <v>43925</v>
      </c>
      <c r="B36" s="7">
        <f ca="1">IFERROR(__xludf.DUMMYFUNCTION("""COMPUTED_VALUE"""),44)</f>
        <v>44</v>
      </c>
      <c r="C36" s="7">
        <f ca="1">IFERROR(__xludf.DUMMYFUNCTION("""COMPUTED_VALUE"""),548)</f>
        <v>548</v>
      </c>
      <c r="D36" s="7">
        <f ca="1">IFERROR(__xludf.DUMMYFUNCTION("""COMPUTED_VALUE"""),151)</f>
        <v>151</v>
      </c>
      <c r="E36" s="7">
        <f ca="1">IFERROR(__xludf.DUMMYFUNCTION("""COMPUTED_VALUE"""),4888)</f>
        <v>4888</v>
      </c>
    </row>
    <row r="37" spans="1:5" ht="13.2" x14ac:dyDescent="0.25">
      <c r="A37" s="93">
        <f ca="1">IFERROR(__xludf.DUMMYFUNCTION("""COMPUTED_VALUE"""),43926)</f>
        <v>43926</v>
      </c>
      <c r="B37" s="7">
        <f ca="1">IFERROR(__xludf.DUMMYFUNCTION("""COMPUTED_VALUE"""),48)</f>
        <v>48</v>
      </c>
      <c r="C37" s="7">
        <f ca="1">IFERROR(__xludf.DUMMYFUNCTION("""COMPUTED_VALUE"""),596)</f>
        <v>596</v>
      </c>
      <c r="D37" s="7">
        <f ca="1">IFERROR(__xludf.DUMMYFUNCTION("""COMPUTED_VALUE"""),160)</f>
        <v>160</v>
      </c>
      <c r="E37" s="7">
        <f ca="1">IFERROR(__xludf.DUMMYFUNCTION("""COMPUTED_VALUE"""),5048)</f>
        <v>5048</v>
      </c>
    </row>
    <row r="38" spans="1:5" ht="13.2" x14ac:dyDescent="0.25">
      <c r="A38" s="93">
        <f ca="1">IFERROR(__xludf.DUMMYFUNCTION("""COMPUTED_VALUE"""),43927)</f>
        <v>43927</v>
      </c>
      <c r="B38" s="7">
        <f ca="1">IFERROR(__xludf.DUMMYFUNCTION("""COMPUTED_VALUE"""),48)</f>
        <v>48</v>
      </c>
      <c r="C38" s="7">
        <f ca="1">IFERROR(__xludf.DUMMYFUNCTION("""COMPUTED_VALUE"""),644)</f>
        <v>644</v>
      </c>
      <c r="D38" s="7">
        <f ca="1">IFERROR(__xludf.DUMMYFUNCTION("""COMPUTED_VALUE"""),179)</f>
        <v>179</v>
      </c>
      <c r="E38" s="7">
        <f ca="1">IFERROR(__xludf.DUMMYFUNCTION("""COMPUTED_VALUE"""),5227)</f>
        <v>5227</v>
      </c>
    </row>
    <row r="39" spans="1:5" ht="13.2" x14ac:dyDescent="0.25">
      <c r="A39" s="93">
        <f ca="1">IFERROR(__xludf.DUMMYFUNCTION("""COMPUTED_VALUE"""),43928)</f>
        <v>43928</v>
      </c>
      <c r="B39" s="7">
        <f ca="1">IFERROR(__xludf.DUMMYFUNCTION("""COMPUTED_VALUE"""),53)</f>
        <v>53</v>
      </c>
      <c r="C39" s="7">
        <f ca="1">IFERROR(__xludf.DUMMYFUNCTION("""COMPUTED_VALUE"""),697)</f>
        <v>697</v>
      </c>
      <c r="D39" s="7">
        <f ca="1">IFERROR(__xludf.DUMMYFUNCTION("""COMPUTED_VALUE"""),159)</f>
        <v>159</v>
      </c>
      <c r="E39" s="7">
        <f ca="1">IFERROR(__xludf.DUMMYFUNCTION("""COMPUTED_VALUE"""),5386)</f>
        <v>5386</v>
      </c>
    </row>
    <row r="40" spans="1:5" ht="13.2" x14ac:dyDescent="0.25">
      <c r="A40" s="93">
        <f ca="1">IFERROR(__xludf.DUMMYFUNCTION("""COMPUTED_VALUE"""),43929)</f>
        <v>43929</v>
      </c>
      <c r="B40" s="7">
        <f ca="1">IFERROR(__xludf.DUMMYFUNCTION("""COMPUTED_VALUE"""),54)</f>
        <v>54</v>
      </c>
      <c r="C40" s="7">
        <f ca="1">IFERROR(__xludf.DUMMYFUNCTION("""COMPUTED_VALUE"""),751)</f>
        <v>751</v>
      </c>
      <c r="D40" s="7">
        <f ca="1">IFERROR(__xludf.DUMMYFUNCTION("""COMPUTED_VALUE"""),157)</f>
        <v>157</v>
      </c>
      <c r="E40" s="7">
        <f ca="1">IFERROR(__xludf.DUMMYFUNCTION("""COMPUTED_VALUE"""),5543)</f>
        <v>5543</v>
      </c>
    </row>
    <row r="41" spans="1:5" ht="13.2" x14ac:dyDescent="0.25">
      <c r="A41" s="93">
        <f ca="1">IFERROR(__xludf.DUMMYFUNCTION("""COMPUTED_VALUE"""),43930)</f>
        <v>43930</v>
      </c>
      <c r="B41" s="7">
        <f ca="1">IFERROR(__xludf.DUMMYFUNCTION("""COMPUTED_VALUE"""),47)</f>
        <v>47</v>
      </c>
      <c r="C41" s="7">
        <f ca="1">IFERROR(__xludf.DUMMYFUNCTION("""COMPUTED_VALUE"""),798)</f>
        <v>798</v>
      </c>
      <c r="D41" s="7">
        <f ca="1">IFERROR(__xludf.DUMMYFUNCTION("""COMPUTED_VALUE"""),134)</f>
        <v>134</v>
      </c>
      <c r="E41" s="7">
        <f ca="1">IFERROR(__xludf.DUMMYFUNCTION("""COMPUTED_VALUE"""),5677)</f>
        <v>5677</v>
      </c>
    </row>
    <row r="42" spans="1:5" ht="13.2" x14ac:dyDescent="0.25">
      <c r="A42" s="93">
        <f ca="1">IFERROR(__xludf.DUMMYFUNCTION("""COMPUTED_VALUE"""),43931)</f>
        <v>43931</v>
      </c>
      <c r="B42" s="7">
        <f ca="1">IFERROR(__xludf.DUMMYFUNCTION("""COMPUTED_VALUE"""),37)</f>
        <v>37</v>
      </c>
      <c r="C42" s="7">
        <f ca="1">IFERROR(__xludf.DUMMYFUNCTION("""COMPUTED_VALUE"""),835)</f>
        <v>835</v>
      </c>
      <c r="D42" s="7">
        <f ca="1">IFERROR(__xludf.DUMMYFUNCTION("""COMPUTED_VALUE"""),152)</f>
        <v>152</v>
      </c>
      <c r="E42" s="7">
        <f ca="1">IFERROR(__xludf.DUMMYFUNCTION("""COMPUTED_VALUE"""),5829)</f>
        <v>5829</v>
      </c>
    </row>
    <row r="43" spans="1:5" ht="13.2" x14ac:dyDescent="0.25">
      <c r="A43" s="93">
        <f ca="1">IFERROR(__xludf.DUMMYFUNCTION("""COMPUTED_VALUE"""),43932)</f>
        <v>43932</v>
      </c>
      <c r="B43" s="7">
        <f ca="1">IFERROR(__xludf.DUMMYFUNCTION("""COMPUTED_VALUE"""),39)</f>
        <v>39</v>
      </c>
      <c r="C43" s="7">
        <f ca="1">IFERROR(__xludf.DUMMYFUNCTION("""COMPUTED_VALUE"""),874)</f>
        <v>874</v>
      </c>
      <c r="D43" s="7">
        <f ca="1">IFERROR(__xludf.DUMMYFUNCTION("""COMPUTED_VALUE"""),148)</f>
        <v>148</v>
      </c>
      <c r="E43" s="7">
        <f ca="1">IFERROR(__xludf.DUMMYFUNCTION("""COMPUTED_VALUE"""),5977)</f>
        <v>5977</v>
      </c>
    </row>
    <row r="44" spans="1:5" ht="13.2" x14ac:dyDescent="0.25">
      <c r="A44" s="93">
        <f ca="1">IFERROR(__xludf.DUMMYFUNCTION("""COMPUTED_VALUE"""),43933)</f>
        <v>43933</v>
      </c>
      <c r="B44" s="7">
        <f ca="1">IFERROR(__xludf.DUMMYFUNCTION("""COMPUTED_VALUE"""),52)</f>
        <v>52</v>
      </c>
      <c r="C44" s="7">
        <f ca="1">IFERROR(__xludf.DUMMYFUNCTION("""COMPUTED_VALUE"""),926)</f>
        <v>926</v>
      </c>
      <c r="D44" s="7">
        <f ca="1">IFERROR(__xludf.DUMMYFUNCTION("""COMPUTED_VALUE"""),147)</f>
        <v>147</v>
      </c>
      <c r="E44" s="7">
        <f ca="1">IFERROR(__xludf.DUMMYFUNCTION("""COMPUTED_VALUE"""),6124)</f>
        <v>6124</v>
      </c>
    </row>
    <row r="45" spans="1:5" ht="13.2" x14ac:dyDescent="0.25">
      <c r="A45" s="93">
        <f ca="1">IFERROR(__xludf.DUMMYFUNCTION("""COMPUTED_VALUE"""),43934)</f>
        <v>43934</v>
      </c>
      <c r="B45" s="7">
        <f ca="1">IFERROR(__xludf.DUMMYFUNCTION("""COMPUTED_VALUE"""),40)</f>
        <v>40</v>
      </c>
      <c r="C45" s="7">
        <f ca="1">IFERROR(__xludf.DUMMYFUNCTION("""COMPUTED_VALUE"""),966)</f>
        <v>966</v>
      </c>
      <c r="D45" s="7">
        <f ca="1">IFERROR(__xludf.DUMMYFUNCTION("""COMPUTED_VALUE"""),173)</f>
        <v>173</v>
      </c>
      <c r="E45" s="7">
        <f ca="1">IFERROR(__xludf.DUMMYFUNCTION("""COMPUTED_VALUE"""),6297)</f>
        <v>6297</v>
      </c>
    </row>
    <row r="46" spans="1:5" ht="13.2" x14ac:dyDescent="0.25">
      <c r="A46" s="93">
        <f ca="1">IFERROR(__xludf.DUMMYFUNCTION("""COMPUTED_VALUE"""),43935)</f>
        <v>43935</v>
      </c>
      <c r="B46" s="7">
        <f ca="1">IFERROR(__xludf.DUMMYFUNCTION("""COMPUTED_VALUE"""),46)</f>
        <v>46</v>
      </c>
      <c r="C46" s="7">
        <f ca="1">IFERROR(__xludf.DUMMYFUNCTION("""COMPUTED_VALUE"""),1012)</f>
        <v>1012</v>
      </c>
      <c r="D46" s="7">
        <f ca="1">IFERROR(__xludf.DUMMYFUNCTION("""COMPUTED_VALUE"""),167)</f>
        <v>167</v>
      </c>
      <c r="E46" s="7">
        <f ca="1">IFERROR(__xludf.DUMMYFUNCTION("""COMPUTED_VALUE"""),6464)</f>
        <v>6464</v>
      </c>
    </row>
    <row r="47" spans="1:5" ht="13.2" x14ac:dyDescent="0.25">
      <c r="A47" s="93">
        <f ca="1">IFERROR(__xludf.DUMMYFUNCTION("""COMPUTED_VALUE"""),43936)</f>
        <v>43936</v>
      </c>
      <c r="B47" s="7">
        <f ca="1">IFERROR(__xludf.DUMMYFUNCTION("""COMPUTED_VALUE"""),31)</f>
        <v>31</v>
      </c>
      <c r="C47" s="7">
        <f ca="1">IFERROR(__xludf.DUMMYFUNCTION("""COMPUTED_VALUE"""),1043)</f>
        <v>1043</v>
      </c>
      <c r="D47" s="7">
        <f ca="1">IFERROR(__xludf.DUMMYFUNCTION("""COMPUTED_VALUE"""),143)</f>
        <v>143</v>
      </c>
      <c r="E47" s="7">
        <f ca="1">IFERROR(__xludf.DUMMYFUNCTION("""COMPUTED_VALUE"""),6607)</f>
        <v>6607</v>
      </c>
    </row>
    <row r="48" spans="1:5" ht="13.2" x14ac:dyDescent="0.25">
      <c r="A48" s="93">
        <f ca="1">IFERROR(__xludf.DUMMYFUNCTION("""COMPUTED_VALUE"""),43937)</f>
        <v>43937</v>
      </c>
      <c r="B48" s="7">
        <f ca="1">IFERROR(__xludf.DUMMYFUNCTION("""COMPUTED_VALUE"""),32)</f>
        <v>32</v>
      </c>
      <c r="C48" s="7">
        <f ca="1">IFERROR(__xludf.DUMMYFUNCTION("""COMPUTED_VALUE"""),1075)</f>
        <v>1075</v>
      </c>
      <c r="D48" s="7">
        <f ca="1">IFERROR(__xludf.DUMMYFUNCTION("""COMPUTED_VALUE"""),172)</f>
        <v>172</v>
      </c>
      <c r="E48" s="7">
        <f ca="1">IFERROR(__xludf.DUMMYFUNCTION("""COMPUTED_VALUE"""),6779)</f>
        <v>6779</v>
      </c>
    </row>
    <row r="49" spans="1:5" ht="13.2" x14ac:dyDescent="0.25">
      <c r="A49" s="93">
        <f ca="1">IFERROR(__xludf.DUMMYFUNCTION("""COMPUTED_VALUE"""),43938)</f>
        <v>43938</v>
      </c>
      <c r="B49" s="7">
        <f ca="1">IFERROR(__xludf.DUMMYFUNCTION("""COMPUTED_VALUE"""),42)</f>
        <v>42</v>
      </c>
      <c r="C49" s="7">
        <f ca="1">IFERROR(__xludf.DUMMYFUNCTION("""COMPUTED_VALUE"""),1117)</f>
        <v>1117</v>
      </c>
      <c r="D49" s="7">
        <f ca="1">IFERROR(__xludf.DUMMYFUNCTION("""COMPUTED_VALUE"""),145)</f>
        <v>145</v>
      </c>
      <c r="E49" s="7">
        <f ca="1">IFERROR(__xludf.DUMMYFUNCTION("""COMPUTED_VALUE"""),6924)</f>
        <v>6924</v>
      </c>
    </row>
    <row r="50" spans="1:5" ht="13.2" x14ac:dyDescent="0.25">
      <c r="A50" s="93">
        <f ca="1">IFERROR(__xludf.DUMMYFUNCTION("""COMPUTED_VALUE"""),43939)</f>
        <v>43939</v>
      </c>
      <c r="B50" s="7">
        <f ca="1">IFERROR(__xludf.DUMMYFUNCTION("""COMPUTED_VALUE"""),47)</f>
        <v>47</v>
      </c>
      <c r="C50" s="7">
        <f ca="1">IFERROR(__xludf.DUMMYFUNCTION("""COMPUTED_VALUE"""),1164)</f>
        <v>1164</v>
      </c>
      <c r="D50" s="7">
        <f ca="1">IFERROR(__xludf.DUMMYFUNCTION("""COMPUTED_VALUE"""),144)</f>
        <v>144</v>
      </c>
      <c r="E50" s="7">
        <f ca="1">IFERROR(__xludf.DUMMYFUNCTION("""COMPUTED_VALUE"""),7068)</f>
        <v>7068</v>
      </c>
    </row>
    <row r="51" spans="1:5" ht="13.2" x14ac:dyDescent="0.25">
      <c r="A51" s="93">
        <f ca="1">IFERROR(__xludf.DUMMYFUNCTION("""COMPUTED_VALUE"""),43940)</f>
        <v>43940</v>
      </c>
      <c r="B51" s="7">
        <f ca="1">IFERROR(__xludf.DUMMYFUNCTION("""COMPUTED_VALUE"""),29)</f>
        <v>29</v>
      </c>
      <c r="C51" s="7">
        <f ca="1">IFERROR(__xludf.DUMMYFUNCTION("""COMPUTED_VALUE"""),1193)</f>
        <v>1193</v>
      </c>
      <c r="D51" s="7">
        <f ca="1">IFERROR(__xludf.DUMMYFUNCTION("""COMPUTED_VALUE"""),136)</f>
        <v>136</v>
      </c>
      <c r="E51" s="7">
        <f ca="1">IFERROR(__xludf.DUMMYFUNCTION("""COMPUTED_VALUE"""),7204)</f>
        <v>7204</v>
      </c>
    </row>
    <row r="52" spans="1:5" ht="13.2" x14ac:dyDescent="0.25">
      <c r="A52" s="93">
        <f ca="1">IFERROR(__xludf.DUMMYFUNCTION("""COMPUTED_VALUE"""),43941)</f>
        <v>43941</v>
      </c>
      <c r="B52" s="7">
        <f ca="1">IFERROR(__xludf.DUMMYFUNCTION("""COMPUTED_VALUE"""),36)</f>
        <v>36</v>
      </c>
      <c r="C52" s="7">
        <f ca="1">IFERROR(__xludf.DUMMYFUNCTION("""COMPUTED_VALUE"""),1229)</f>
        <v>1229</v>
      </c>
      <c r="D52" s="7">
        <f ca="1">IFERROR(__xludf.DUMMYFUNCTION("""COMPUTED_VALUE"""),163)</f>
        <v>163</v>
      </c>
      <c r="E52" s="7">
        <f ca="1">IFERROR(__xludf.DUMMYFUNCTION("""COMPUTED_VALUE"""),7367)</f>
        <v>7367</v>
      </c>
    </row>
    <row r="53" spans="1:5" ht="13.2" x14ac:dyDescent="0.25">
      <c r="A53" s="93">
        <f ca="1">IFERROR(__xludf.DUMMYFUNCTION("""COMPUTED_VALUE"""),43942)</f>
        <v>43942</v>
      </c>
      <c r="B53" s="7">
        <f ca="1">IFERROR(__xludf.DUMMYFUNCTION("""COMPUTED_VALUE"""),38)</f>
        <v>38</v>
      </c>
      <c r="C53" s="7">
        <f ca="1">IFERROR(__xludf.DUMMYFUNCTION("""COMPUTED_VALUE"""),1267)</f>
        <v>1267</v>
      </c>
      <c r="D53" s="7">
        <f ca="1">IFERROR(__xludf.DUMMYFUNCTION("""COMPUTED_VALUE"""),153)</f>
        <v>153</v>
      </c>
      <c r="E53" s="7">
        <f ca="1">IFERROR(__xludf.DUMMYFUNCTION("""COMPUTED_VALUE"""),7520)</f>
        <v>7520</v>
      </c>
    </row>
    <row r="54" spans="1:5" ht="13.2" x14ac:dyDescent="0.25">
      <c r="A54" s="93">
        <f ca="1">IFERROR(__xludf.DUMMYFUNCTION("""COMPUTED_VALUE"""),43943)</f>
        <v>43943</v>
      </c>
      <c r="B54" s="7">
        <f ca="1">IFERROR(__xludf.DUMMYFUNCTION("""COMPUTED_VALUE"""),49)</f>
        <v>49</v>
      </c>
      <c r="C54" s="7">
        <f ca="1">IFERROR(__xludf.DUMMYFUNCTION("""COMPUTED_VALUE"""),1316)</f>
        <v>1316</v>
      </c>
      <c r="D54" s="7">
        <f ca="1">IFERROR(__xludf.DUMMYFUNCTION("""COMPUTED_VALUE"""),179)</f>
        <v>179</v>
      </c>
      <c r="E54" s="7">
        <f ca="1">IFERROR(__xludf.DUMMYFUNCTION("""COMPUTED_VALUE"""),7699)</f>
        <v>7699</v>
      </c>
    </row>
    <row r="55" spans="1:5" ht="13.2" x14ac:dyDescent="0.25">
      <c r="A55" s="93">
        <f ca="1">IFERROR(__xludf.DUMMYFUNCTION("""COMPUTED_VALUE"""),43944)</f>
        <v>43944</v>
      </c>
      <c r="B55" s="7">
        <f ca="1">IFERROR(__xludf.DUMMYFUNCTION("""COMPUTED_VALUE"""),45)</f>
        <v>45</v>
      </c>
      <c r="C55" s="7">
        <f ca="1">IFERROR(__xludf.DUMMYFUNCTION("""COMPUTED_VALUE"""),1361)</f>
        <v>1361</v>
      </c>
      <c r="D55" s="7">
        <f ca="1">IFERROR(__xludf.DUMMYFUNCTION("""COMPUTED_VALUE"""),169)</f>
        <v>169</v>
      </c>
      <c r="E55" s="7">
        <f ca="1">IFERROR(__xludf.DUMMYFUNCTION("""COMPUTED_VALUE"""),7868)</f>
        <v>7868</v>
      </c>
    </row>
    <row r="56" spans="1:5" ht="13.2" x14ac:dyDescent="0.25">
      <c r="A56" s="93">
        <f ca="1">IFERROR(__xludf.DUMMYFUNCTION("""COMPUTED_VALUE"""),43945)</f>
        <v>43945</v>
      </c>
      <c r="B56" s="7">
        <f ca="1">IFERROR(__xludf.DUMMYFUNCTION("""COMPUTED_VALUE"""),40)</f>
        <v>40</v>
      </c>
      <c r="C56" s="7">
        <f ca="1">IFERROR(__xludf.DUMMYFUNCTION("""COMPUTED_VALUE"""),1401)</f>
        <v>1401</v>
      </c>
      <c r="D56" s="7">
        <f ca="1">IFERROR(__xludf.DUMMYFUNCTION("""COMPUTED_VALUE"""),149)</f>
        <v>149</v>
      </c>
      <c r="E56" s="7">
        <f ca="1">IFERROR(__xludf.DUMMYFUNCTION("""COMPUTED_VALUE"""),8017)</f>
        <v>8017</v>
      </c>
    </row>
    <row r="57" spans="1:5" ht="13.2" x14ac:dyDescent="0.25">
      <c r="A57" s="93">
        <f ca="1">IFERROR(__xludf.DUMMYFUNCTION("""COMPUTED_VALUE"""),43946)</f>
        <v>43946</v>
      </c>
      <c r="B57" s="7">
        <f ca="1">IFERROR(__xludf.DUMMYFUNCTION("""COMPUTED_VALUE"""),44)</f>
        <v>44</v>
      </c>
      <c r="C57" s="7">
        <f ca="1">IFERROR(__xludf.DUMMYFUNCTION("""COMPUTED_VALUE"""),1445)</f>
        <v>1445</v>
      </c>
      <c r="D57" s="7">
        <f ca="1">IFERROR(__xludf.DUMMYFUNCTION("""COMPUTED_VALUE"""),186)</f>
        <v>186</v>
      </c>
      <c r="E57" s="7">
        <f ca="1">IFERROR(__xludf.DUMMYFUNCTION("""COMPUTED_VALUE"""),8203)</f>
        <v>8203</v>
      </c>
    </row>
    <row r="58" spans="1:5" ht="13.2" x14ac:dyDescent="0.25">
      <c r="A58" s="93">
        <f ca="1">IFERROR(__xludf.DUMMYFUNCTION("""COMPUTED_VALUE"""),43947)</f>
        <v>43947</v>
      </c>
      <c r="B58" s="7">
        <f ca="1">IFERROR(__xludf.DUMMYFUNCTION("""COMPUTED_VALUE"""),27)</f>
        <v>27</v>
      </c>
      <c r="C58" s="7">
        <f ca="1">IFERROR(__xludf.DUMMYFUNCTION("""COMPUTED_VALUE"""),1472)</f>
        <v>1472</v>
      </c>
      <c r="D58" s="7">
        <f ca="1">IFERROR(__xludf.DUMMYFUNCTION("""COMPUTED_VALUE"""),155)</f>
        <v>155</v>
      </c>
      <c r="E58" s="7">
        <f ca="1">IFERROR(__xludf.DUMMYFUNCTION("""COMPUTED_VALUE"""),8358)</f>
        <v>8358</v>
      </c>
    </row>
    <row r="59" spans="1:5" ht="13.2" x14ac:dyDescent="0.25">
      <c r="A59" s="93">
        <f ca="1">IFERROR(__xludf.DUMMYFUNCTION("""COMPUTED_VALUE"""),43948)</f>
        <v>43948</v>
      </c>
      <c r="B59" s="7">
        <f ca="1">IFERROR(__xludf.DUMMYFUNCTION("""COMPUTED_VALUE"""),38)</f>
        <v>38</v>
      </c>
      <c r="C59" s="7">
        <f ca="1">IFERROR(__xludf.DUMMYFUNCTION("""COMPUTED_VALUE"""),1510)</f>
        <v>1510</v>
      </c>
      <c r="D59" s="7">
        <f ca="1">IFERROR(__xludf.DUMMYFUNCTION("""COMPUTED_VALUE"""),140)</f>
        <v>140</v>
      </c>
      <c r="E59" s="7">
        <f ca="1">IFERROR(__xludf.DUMMYFUNCTION("""COMPUTED_VALUE"""),8498)</f>
        <v>8498</v>
      </c>
    </row>
    <row r="60" spans="1:5" ht="13.2" x14ac:dyDescent="0.25">
      <c r="A60" s="93">
        <f ca="1">IFERROR(__xludf.DUMMYFUNCTION("""COMPUTED_VALUE"""),43949)</f>
        <v>43949</v>
      </c>
      <c r="B60" s="7">
        <f ca="1">IFERROR(__xludf.DUMMYFUNCTION("""COMPUTED_VALUE"""),38)</f>
        <v>38</v>
      </c>
      <c r="C60" s="7">
        <f ca="1">IFERROR(__xludf.DUMMYFUNCTION("""COMPUTED_VALUE"""),1548)</f>
        <v>1548</v>
      </c>
      <c r="D60" s="7">
        <f ca="1">IFERROR(__xludf.DUMMYFUNCTION("""COMPUTED_VALUE"""),124)</f>
        <v>124</v>
      </c>
      <c r="E60" s="7">
        <f ca="1">IFERROR(__xludf.DUMMYFUNCTION("""COMPUTED_VALUE"""),8622)</f>
        <v>8622</v>
      </c>
    </row>
    <row r="61" spans="1:5" ht="13.2" x14ac:dyDescent="0.25">
      <c r="A61" s="93">
        <f ca="1">IFERROR(__xludf.DUMMYFUNCTION("""COMPUTED_VALUE"""),43950)</f>
        <v>43950</v>
      </c>
      <c r="B61" s="7">
        <f ca="1">IFERROR(__xludf.DUMMYFUNCTION("""COMPUTED_VALUE"""),25)</f>
        <v>25</v>
      </c>
      <c r="C61" s="7">
        <f ca="1">IFERROR(__xludf.DUMMYFUNCTION("""COMPUTED_VALUE"""),1573)</f>
        <v>1573</v>
      </c>
      <c r="D61" s="7">
        <f ca="1">IFERROR(__xludf.DUMMYFUNCTION("""COMPUTED_VALUE"""),110)</f>
        <v>110</v>
      </c>
      <c r="E61" s="7">
        <f ca="1">IFERROR(__xludf.DUMMYFUNCTION("""COMPUTED_VALUE"""),8732)</f>
        <v>8732</v>
      </c>
    </row>
    <row r="62" spans="1:5" ht="13.2" x14ac:dyDescent="0.25">
      <c r="A62" s="93">
        <f ca="1">IFERROR(__xludf.DUMMYFUNCTION("""COMPUTED_VALUE"""),43951)</f>
        <v>43951</v>
      </c>
      <c r="B62" s="7">
        <f ca="1">IFERROR(__xludf.DUMMYFUNCTION("""COMPUTED_VALUE"""),22)</f>
        <v>22</v>
      </c>
      <c r="C62" s="7">
        <f ca="1">IFERROR(__xludf.DUMMYFUNCTION("""COMPUTED_VALUE"""),1595)</f>
        <v>1595</v>
      </c>
      <c r="D62" s="7">
        <f ca="1">IFERROR(__xludf.DUMMYFUNCTION("""COMPUTED_VALUE"""),125)</f>
        <v>125</v>
      </c>
      <c r="E62" s="7">
        <f ca="1">IFERROR(__xludf.DUMMYFUNCTION("""COMPUTED_VALUE"""),8857)</f>
        <v>8857</v>
      </c>
    </row>
    <row r="63" spans="1:5" ht="13.2" x14ac:dyDescent="0.25">
      <c r="A63" s="93">
        <f ca="1">IFERROR(__xludf.DUMMYFUNCTION("""COMPUTED_VALUE"""),43952)</f>
        <v>43952</v>
      </c>
      <c r="B63" s="7">
        <f ca="1">IFERROR(__xludf.DUMMYFUNCTION("""COMPUTED_VALUE"""),35)</f>
        <v>35</v>
      </c>
      <c r="C63" s="7">
        <f ca="1">IFERROR(__xludf.DUMMYFUNCTION("""COMPUTED_VALUE"""),1630)</f>
        <v>1630</v>
      </c>
      <c r="D63" s="7">
        <f ca="1">IFERROR(__xludf.DUMMYFUNCTION("""COMPUTED_VALUE"""),125)</f>
        <v>125</v>
      </c>
      <c r="E63" s="7">
        <f ca="1">IFERROR(__xludf.DUMMYFUNCTION("""COMPUTED_VALUE"""),8982)</f>
        <v>8982</v>
      </c>
    </row>
    <row r="64" spans="1:5" ht="13.2" x14ac:dyDescent="0.25">
      <c r="A64" s="93">
        <f ca="1">IFERROR(__xludf.DUMMYFUNCTION("""COMPUTED_VALUE"""),43953)</f>
        <v>43953</v>
      </c>
      <c r="B64" s="7">
        <f ca="1">IFERROR(__xludf.DUMMYFUNCTION("""COMPUTED_VALUE"""),47)</f>
        <v>47</v>
      </c>
      <c r="C64" s="7">
        <f ca="1">IFERROR(__xludf.DUMMYFUNCTION("""COMPUTED_VALUE"""),1677)</f>
        <v>1677</v>
      </c>
      <c r="D64" s="7">
        <f ca="1">IFERROR(__xludf.DUMMYFUNCTION("""COMPUTED_VALUE"""),149)</f>
        <v>149</v>
      </c>
      <c r="E64" s="7">
        <f ca="1">IFERROR(__xludf.DUMMYFUNCTION("""COMPUTED_VALUE"""),9131)</f>
        <v>9131</v>
      </c>
    </row>
    <row r="65" spans="1:5" ht="13.2" x14ac:dyDescent="0.25">
      <c r="A65" s="93">
        <f ca="1">IFERROR(__xludf.DUMMYFUNCTION("""COMPUTED_VALUE"""),43954)</f>
        <v>43954</v>
      </c>
      <c r="B65" s="7">
        <f ca="1">IFERROR(__xludf.DUMMYFUNCTION("""COMPUTED_VALUE"""),26)</f>
        <v>26</v>
      </c>
      <c r="C65" s="7">
        <f ca="1">IFERROR(__xludf.DUMMYFUNCTION("""COMPUTED_VALUE"""),1703)</f>
        <v>1703</v>
      </c>
      <c r="D65" s="7">
        <f ca="1">IFERROR(__xludf.DUMMYFUNCTION("""COMPUTED_VALUE"""),129)</f>
        <v>129</v>
      </c>
      <c r="E65" s="7">
        <f ca="1">IFERROR(__xludf.DUMMYFUNCTION("""COMPUTED_VALUE"""),9260)</f>
        <v>9260</v>
      </c>
    </row>
    <row r="66" spans="1:5" ht="13.2" x14ac:dyDescent="0.25">
      <c r="A66" s="93">
        <f ca="1">IFERROR(__xludf.DUMMYFUNCTION("""COMPUTED_VALUE"""),43955)</f>
        <v>43955</v>
      </c>
      <c r="B66" s="7">
        <f ca="1">IFERROR(__xludf.DUMMYFUNCTION("""COMPUTED_VALUE"""),36)</f>
        <v>36</v>
      </c>
      <c r="C66" s="7">
        <f ca="1">IFERROR(__xludf.DUMMYFUNCTION("""COMPUTED_VALUE"""),1739)</f>
        <v>1739</v>
      </c>
      <c r="D66" s="7">
        <f ca="1">IFERROR(__xludf.DUMMYFUNCTION("""COMPUTED_VALUE"""),162)</f>
        <v>162</v>
      </c>
      <c r="E66" s="7">
        <f ca="1">IFERROR(__xludf.DUMMYFUNCTION("""COMPUTED_VALUE"""),9422)</f>
        <v>9422</v>
      </c>
    </row>
    <row r="67" spans="1:5" ht="13.2" x14ac:dyDescent="0.25">
      <c r="A67" s="93">
        <f ca="1">IFERROR(__xludf.DUMMYFUNCTION("""COMPUTED_VALUE"""),43956)</f>
        <v>43956</v>
      </c>
      <c r="B67" s="7">
        <f ca="1">IFERROR(__xludf.DUMMYFUNCTION("""COMPUTED_VALUE"""),36)</f>
        <v>36</v>
      </c>
      <c r="C67" s="7">
        <f ca="1">IFERROR(__xludf.DUMMYFUNCTION("""COMPUTED_VALUE"""),1775)</f>
        <v>1775</v>
      </c>
      <c r="D67" s="7">
        <f ca="1">IFERROR(__xludf.DUMMYFUNCTION("""COMPUTED_VALUE"""),145)</f>
        <v>145</v>
      </c>
      <c r="E67" s="7">
        <f ca="1">IFERROR(__xludf.DUMMYFUNCTION("""COMPUTED_VALUE"""),9567)</f>
        <v>9567</v>
      </c>
    </row>
    <row r="68" spans="1:5" ht="13.2" x14ac:dyDescent="0.25">
      <c r="A68" s="93">
        <f ca="1">IFERROR(__xludf.DUMMYFUNCTION("""COMPUTED_VALUE"""),43957)</f>
        <v>43957</v>
      </c>
      <c r="B68" s="7">
        <f ca="1">IFERROR(__xludf.DUMMYFUNCTION("""COMPUTED_VALUE"""),35)</f>
        <v>35</v>
      </c>
      <c r="C68" s="7">
        <f ca="1">IFERROR(__xludf.DUMMYFUNCTION("""COMPUTED_VALUE"""),1810)</f>
        <v>1810</v>
      </c>
      <c r="D68" s="7">
        <f ca="1">IFERROR(__xludf.DUMMYFUNCTION("""COMPUTED_VALUE"""),132)</f>
        <v>132</v>
      </c>
      <c r="E68" s="7">
        <f ca="1">IFERROR(__xludf.DUMMYFUNCTION("""COMPUTED_VALUE"""),9699)</f>
        <v>9699</v>
      </c>
    </row>
    <row r="69" spans="1:5" ht="13.2" x14ac:dyDescent="0.25">
      <c r="A69" s="93">
        <f ca="1">IFERROR(__xludf.DUMMYFUNCTION("""COMPUTED_VALUE"""),43958)</f>
        <v>43958</v>
      </c>
      <c r="B69" s="7">
        <f ca="1">IFERROR(__xludf.DUMMYFUNCTION("""COMPUTED_VALUE"""),28)</f>
        <v>28</v>
      </c>
      <c r="C69" s="7">
        <f ca="1">IFERROR(__xludf.DUMMYFUNCTION("""COMPUTED_VALUE"""),1838)</f>
        <v>1838</v>
      </c>
      <c r="D69" s="7">
        <f ca="1">IFERROR(__xludf.DUMMYFUNCTION("""COMPUTED_VALUE"""),139)</f>
        <v>139</v>
      </c>
      <c r="E69" s="7">
        <f ca="1">IFERROR(__xludf.DUMMYFUNCTION("""COMPUTED_VALUE"""),9838)</f>
        <v>9838</v>
      </c>
    </row>
    <row r="70" spans="1:5" ht="13.2" x14ac:dyDescent="0.25">
      <c r="A70" s="93">
        <f ca="1">IFERROR(__xludf.DUMMYFUNCTION("""COMPUTED_VALUE"""),43959)</f>
        <v>43959</v>
      </c>
      <c r="B70" s="7">
        <f ca="1">IFERROR(__xludf.DUMMYFUNCTION("""COMPUTED_VALUE"""),35)</f>
        <v>35</v>
      </c>
      <c r="C70" s="7">
        <f ca="1">IFERROR(__xludf.DUMMYFUNCTION("""COMPUTED_VALUE"""),1873)</f>
        <v>1873</v>
      </c>
      <c r="D70" s="7">
        <f ca="1">IFERROR(__xludf.DUMMYFUNCTION("""COMPUTED_VALUE"""),160)</f>
        <v>160</v>
      </c>
      <c r="E70" s="7">
        <f ca="1">IFERROR(__xludf.DUMMYFUNCTION("""COMPUTED_VALUE"""),9998)</f>
        <v>9998</v>
      </c>
    </row>
    <row r="71" spans="1:5" ht="13.2" x14ac:dyDescent="0.25">
      <c r="A71" s="93">
        <f ca="1">IFERROR(__xludf.DUMMYFUNCTION("""COMPUTED_VALUE"""),43960)</f>
        <v>43960</v>
      </c>
      <c r="B71" s="7">
        <f ca="1">IFERROR(__xludf.DUMMYFUNCTION("""COMPUTED_VALUE"""),30)</f>
        <v>30</v>
      </c>
      <c r="C71" s="7">
        <f ca="1">IFERROR(__xludf.DUMMYFUNCTION("""COMPUTED_VALUE"""),1903)</f>
        <v>1903</v>
      </c>
      <c r="D71" s="7">
        <f ca="1">IFERROR(__xludf.DUMMYFUNCTION("""COMPUTED_VALUE"""),139)</f>
        <v>139</v>
      </c>
      <c r="E71" s="7">
        <f ca="1">IFERROR(__xludf.DUMMYFUNCTION("""COMPUTED_VALUE"""),10137)</f>
        <v>10137</v>
      </c>
    </row>
    <row r="72" spans="1:5" ht="13.2" x14ac:dyDescent="0.25">
      <c r="A72" s="93">
        <f ca="1">IFERROR(__xludf.DUMMYFUNCTION("""COMPUTED_VALUE"""),43961)</f>
        <v>43961</v>
      </c>
      <c r="B72" s="7">
        <f ca="1">IFERROR(__xludf.DUMMYFUNCTION("""COMPUTED_VALUE"""),35)</f>
        <v>35</v>
      </c>
      <c r="C72" s="7">
        <f ca="1">IFERROR(__xludf.DUMMYFUNCTION("""COMPUTED_VALUE"""),1938)</f>
        <v>1938</v>
      </c>
      <c r="D72" s="7">
        <f ca="1">IFERROR(__xludf.DUMMYFUNCTION("""COMPUTED_VALUE"""),152)</f>
        <v>152</v>
      </c>
      <c r="E72" s="7">
        <f ca="1">IFERROR(__xludf.DUMMYFUNCTION("""COMPUTED_VALUE"""),10289)</f>
        <v>10289</v>
      </c>
    </row>
    <row r="73" spans="1:5" ht="13.2" x14ac:dyDescent="0.25">
      <c r="A73" s="93">
        <f ca="1">IFERROR(__xludf.DUMMYFUNCTION("""COMPUTED_VALUE"""),43962)</f>
        <v>43962</v>
      </c>
      <c r="B73" s="7">
        <f ca="1">IFERROR(__xludf.DUMMYFUNCTION("""COMPUTED_VALUE"""),27)</f>
        <v>27</v>
      </c>
      <c r="C73" s="7">
        <f ca="1">IFERROR(__xludf.DUMMYFUNCTION("""COMPUTED_VALUE"""),1965)</f>
        <v>1965</v>
      </c>
      <c r="D73" s="7">
        <f ca="1">IFERROR(__xludf.DUMMYFUNCTION("""COMPUTED_VALUE"""),112)</f>
        <v>112</v>
      </c>
      <c r="E73" s="7">
        <f ca="1">IFERROR(__xludf.DUMMYFUNCTION("""COMPUTED_VALUE"""),10401)</f>
        <v>10401</v>
      </c>
    </row>
    <row r="74" spans="1:5" ht="13.2" x14ac:dyDescent="0.25">
      <c r="A74" s="93">
        <f ca="1">IFERROR(__xludf.DUMMYFUNCTION("""COMPUTED_VALUE"""),43963)</f>
        <v>43963</v>
      </c>
      <c r="B74" s="7">
        <f ca="1">IFERROR(__xludf.DUMMYFUNCTION("""COMPUTED_VALUE"""),32)</f>
        <v>32</v>
      </c>
      <c r="C74" s="7">
        <f ca="1">IFERROR(__xludf.DUMMYFUNCTION("""COMPUTED_VALUE"""),1997)</f>
        <v>1997</v>
      </c>
      <c r="D74" s="7">
        <f ca="1">IFERROR(__xludf.DUMMYFUNCTION("""COMPUTED_VALUE"""),139)</f>
        <v>139</v>
      </c>
      <c r="E74" s="7">
        <f ca="1">IFERROR(__xludf.DUMMYFUNCTION("""COMPUTED_VALUE"""),10540)</f>
        <v>10540</v>
      </c>
    </row>
    <row r="75" spans="1:5" ht="13.2" x14ac:dyDescent="0.25">
      <c r="A75" s="93">
        <f ca="1">IFERROR(__xludf.DUMMYFUNCTION("""COMPUTED_VALUE"""),43964)</f>
        <v>43964</v>
      </c>
      <c r="B75" s="7">
        <f ca="1">IFERROR(__xludf.DUMMYFUNCTION("""COMPUTED_VALUE"""),38)</f>
        <v>38</v>
      </c>
      <c r="C75" s="7">
        <f ca="1">IFERROR(__xludf.DUMMYFUNCTION("""COMPUTED_VALUE"""),2035)</f>
        <v>2035</v>
      </c>
      <c r="D75" s="7">
        <f ca="1">IFERROR(__xludf.DUMMYFUNCTION("""COMPUTED_VALUE"""),165)</f>
        <v>165</v>
      </c>
      <c r="E75" s="7">
        <f ca="1">IFERROR(__xludf.DUMMYFUNCTION("""COMPUTED_VALUE"""),10705)</f>
        <v>10705</v>
      </c>
    </row>
    <row r="76" spans="1:5" ht="13.2" x14ac:dyDescent="0.25">
      <c r="A76" s="93">
        <f ca="1">IFERROR(__xludf.DUMMYFUNCTION("""COMPUTED_VALUE"""),43965)</f>
        <v>43965</v>
      </c>
      <c r="B76" s="7">
        <f ca="1">IFERROR(__xludf.DUMMYFUNCTION("""COMPUTED_VALUE"""),32)</f>
        <v>32</v>
      </c>
      <c r="C76" s="7">
        <f ca="1">IFERROR(__xludf.DUMMYFUNCTION("""COMPUTED_VALUE"""),2067)</f>
        <v>2067</v>
      </c>
      <c r="D76" s="7">
        <f ca="1">IFERROR(__xludf.DUMMYFUNCTION("""COMPUTED_VALUE"""),147)</f>
        <v>147</v>
      </c>
      <c r="E76" s="7">
        <f ca="1">IFERROR(__xludf.DUMMYFUNCTION("""COMPUTED_VALUE"""),10852)</f>
        <v>10852</v>
      </c>
    </row>
    <row r="77" spans="1:5" ht="13.2" x14ac:dyDescent="0.25">
      <c r="A77" s="93">
        <f ca="1">IFERROR(__xludf.DUMMYFUNCTION("""COMPUTED_VALUE"""),43966)</f>
        <v>43966</v>
      </c>
      <c r="B77" s="7">
        <f ca="1">IFERROR(__xludf.DUMMYFUNCTION("""COMPUTED_VALUE"""),28)</f>
        <v>28</v>
      </c>
      <c r="C77" s="7">
        <f ca="1">IFERROR(__xludf.DUMMYFUNCTION("""COMPUTED_VALUE"""),2095)</f>
        <v>2095</v>
      </c>
      <c r="D77" s="7">
        <f ca="1">IFERROR(__xludf.DUMMYFUNCTION("""COMPUTED_VALUE"""),154)</f>
        <v>154</v>
      </c>
      <c r="E77" s="7">
        <f ca="1">IFERROR(__xludf.DUMMYFUNCTION("""COMPUTED_VALUE"""),11006)</f>
        <v>11006</v>
      </c>
    </row>
    <row r="78" spans="1:5" ht="13.2" x14ac:dyDescent="0.25">
      <c r="A78" s="93">
        <f ca="1">IFERROR(__xludf.DUMMYFUNCTION("""COMPUTED_VALUE"""),43967)</f>
        <v>43967</v>
      </c>
      <c r="B78" s="7">
        <f ca="1">IFERROR(__xludf.DUMMYFUNCTION("""COMPUTED_VALUE"""),37)</f>
        <v>37</v>
      </c>
      <c r="C78" s="7">
        <f ca="1">IFERROR(__xludf.DUMMYFUNCTION("""COMPUTED_VALUE"""),2132)</f>
        <v>2132</v>
      </c>
      <c r="D78" s="7">
        <f ca="1">IFERROR(__xludf.DUMMYFUNCTION("""COMPUTED_VALUE"""),164)</f>
        <v>164</v>
      </c>
      <c r="E78" s="7">
        <f ca="1">IFERROR(__xludf.DUMMYFUNCTION("""COMPUTED_VALUE"""),11170)</f>
        <v>11170</v>
      </c>
    </row>
    <row r="79" spans="1:5" ht="13.2" x14ac:dyDescent="0.25">
      <c r="A79" s="93">
        <f ca="1">IFERROR(__xludf.DUMMYFUNCTION("""COMPUTED_VALUE"""),43968)</f>
        <v>43968</v>
      </c>
      <c r="B79" s="7">
        <f ca="1">IFERROR(__xludf.DUMMYFUNCTION("""COMPUTED_VALUE"""),34)</f>
        <v>34</v>
      </c>
      <c r="C79" s="7">
        <f ca="1">IFERROR(__xludf.DUMMYFUNCTION("""COMPUTED_VALUE"""),2166)</f>
        <v>2166</v>
      </c>
      <c r="D79" s="7">
        <f ca="1">IFERROR(__xludf.DUMMYFUNCTION("""COMPUTED_VALUE"""),171)</f>
        <v>171</v>
      </c>
      <c r="E79" s="7">
        <f ca="1">IFERROR(__xludf.DUMMYFUNCTION("""COMPUTED_VALUE"""),11341)</f>
        <v>11341</v>
      </c>
    </row>
    <row r="80" spans="1:5" ht="13.2" x14ac:dyDescent="0.25">
      <c r="A80" s="93">
        <f ca="1">IFERROR(__xludf.DUMMYFUNCTION("""COMPUTED_VALUE"""),43969)</f>
        <v>43969</v>
      </c>
      <c r="B80" s="7">
        <f ca="1">IFERROR(__xludf.DUMMYFUNCTION("""COMPUTED_VALUE"""),30)</f>
        <v>30</v>
      </c>
      <c r="C80" s="7">
        <f ca="1">IFERROR(__xludf.DUMMYFUNCTION("""COMPUTED_VALUE"""),2196)</f>
        <v>2196</v>
      </c>
      <c r="D80" s="7">
        <f ca="1">IFERROR(__xludf.DUMMYFUNCTION("""COMPUTED_VALUE"""),128)</f>
        <v>128</v>
      </c>
      <c r="E80" s="7">
        <f ca="1">IFERROR(__xludf.DUMMYFUNCTION("""COMPUTED_VALUE"""),11469)</f>
        <v>11469</v>
      </c>
    </row>
    <row r="81" spans="1:5" ht="13.2" x14ac:dyDescent="0.25">
      <c r="A81" s="93">
        <f ca="1">IFERROR(__xludf.DUMMYFUNCTION("""COMPUTED_VALUE"""),43970)</f>
        <v>43970</v>
      </c>
      <c r="B81" s="7">
        <f ca="1">IFERROR(__xludf.DUMMYFUNCTION("""COMPUTED_VALUE"""),30)</f>
        <v>30</v>
      </c>
      <c r="C81" s="7">
        <f ca="1">IFERROR(__xludf.DUMMYFUNCTION("""COMPUTED_VALUE"""),2226)</f>
        <v>2226</v>
      </c>
      <c r="D81" s="7">
        <f ca="1">IFERROR(__xludf.DUMMYFUNCTION("""COMPUTED_VALUE"""),144)</f>
        <v>144</v>
      </c>
      <c r="E81" s="7">
        <f ca="1">IFERROR(__xludf.DUMMYFUNCTION("""COMPUTED_VALUE"""),11613)</f>
        <v>11613</v>
      </c>
    </row>
    <row r="82" spans="1:5" ht="13.2" x14ac:dyDescent="0.25">
      <c r="A82" s="93">
        <f ca="1">IFERROR(__xludf.DUMMYFUNCTION("""COMPUTED_VALUE"""),43971)</f>
        <v>43971</v>
      </c>
      <c r="B82" s="7">
        <f ca="1">IFERROR(__xludf.DUMMYFUNCTION("""COMPUTED_VALUE"""),24)</f>
        <v>24</v>
      </c>
      <c r="C82" s="7">
        <f ca="1">IFERROR(__xludf.DUMMYFUNCTION("""COMPUTED_VALUE"""),2250)</f>
        <v>2250</v>
      </c>
      <c r="D82" s="7">
        <f ca="1">IFERROR(__xludf.DUMMYFUNCTION("""COMPUTED_VALUE"""),138)</f>
        <v>138</v>
      </c>
      <c r="E82" s="7">
        <f ca="1">IFERROR(__xludf.DUMMYFUNCTION("""COMPUTED_VALUE"""),11751)</f>
        <v>11751</v>
      </c>
    </row>
    <row r="83" spans="1:5" ht="13.2" x14ac:dyDescent="0.25">
      <c r="A83" s="93">
        <f ca="1">IFERROR(__xludf.DUMMYFUNCTION("""COMPUTED_VALUE"""),43972)</f>
        <v>43972</v>
      </c>
      <c r="B83" s="7">
        <f ca="1">IFERROR(__xludf.DUMMYFUNCTION("""COMPUTED_VALUE"""),20)</f>
        <v>20</v>
      </c>
      <c r="C83" s="7">
        <f ca="1">IFERROR(__xludf.DUMMYFUNCTION("""COMPUTED_VALUE"""),2270)</f>
        <v>2270</v>
      </c>
      <c r="D83" s="7">
        <f ca="1">IFERROR(__xludf.DUMMYFUNCTION("""COMPUTED_VALUE"""),139)</f>
        <v>139</v>
      </c>
      <c r="E83" s="7">
        <f ca="1">IFERROR(__xludf.DUMMYFUNCTION("""COMPUTED_VALUE"""),11890)</f>
        <v>11890</v>
      </c>
    </row>
    <row r="84" spans="1:5" ht="13.2" x14ac:dyDescent="0.25">
      <c r="A84" s="93">
        <f ca="1">IFERROR(__xludf.DUMMYFUNCTION("""COMPUTED_VALUE"""),43973)</f>
        <v>43973</v>
      </c>
      <c r="B84" s="7">
        <f ca="1">IFERROR(__xludf.DUMMYFUNCTION("""COMPUTED_VALUE"""),18)</f>
        <v>18</v>
      </c>
      <c r="C84" s="7">
        <f ca="1">IFERROR(__xludf.DUMMYFUNCTION("""COMPUTED_VALUE"""),2288)</f>
        <v>2288</v>
      </c>
      <c r="D84" s="7">
        <f ca="1">IFERROR(__xludf.DUMMYFUNCTION("""COMPUTED_VALUE"""),119)</f>
        <v>119</v>
      </c>
      <c r="E84" s="7">
        <f ca="1">IFERROR(__xludf.DUMMYFUNCTION("""COMPUTED_VALUE"""),12009)</f>
        <v>12009</v>
      </c>
    </row>
    <row r="85" spans="1:5" ht="13.2" x14ac:dyDescent="0.25">
      <c r="A85" s="93">
        <f ca="1">IFERROR(__xludf.DUMMYFUNCTION("""COMPUTED_VALUE"""),43974)</f>
        <v>43974</v>
      </c>
      <c r="B85" s="7">
        <f ca="1">IFERROR(__xludf.DUMMYFUNCTION("""COMPUTED_VALUE"""),21)</f>
        <v>21</v>
      </c>
      <c r="C85" s="7">
        <f ca="1">IFERROR(__xludf.DUMMYFUNCTION("""COMPUTED_VALUE"""),2309)</f>
        <v>2309</v>
      </c>
      <c r="D85" s="7">
        <f ca="1">IFERROR(__xludf.DUMMYFUNCTION("""COMPUTED_VALUE"""),132)</f>
        <v>132</v>
      </c>
      <c r="E85" s="7">
        <f ca="1">IFERROR(__xludf.DUMMYFUNCTION("""COMPUTED_VALUE"""),12141)</f>
        <v>12141</v>
      </c>
    </row>
    <row r="86" spans="1:5" ht="13.2" x14ac:dyDescent="0.25">
      <c r="A86" s="93">
        <f ca="1">IFERROR(__xludf.DUMMYFUNCTION("""COMPUTED_VALUE"""),43975)</f>
        <v>43975</v>
      </c>
      <c r="B86" s="7">
        <f ca="1">IFERROR(__xludf.DUMMYFUNCTION("""COMPUTED_VALUE"""),20)</f>
        <v>20</v>
      </c>
      <c r="C86" s="7">
        <f ca="1">IFERROR(__xludf.DUMMYFUNCTION("""COMPUTED_VALUE"""),2329)</f>
        <v>2329</v>
      </c>
      <c r="D86" s="7">
        <f ca="1">IFERROR(__xludf.DUMMYFUNCTION("""COMPUTED_VALUE"""),126)</f>
        <v>126</v>
      </c>
      <c r="E86" s="7">
        <f ca="1">IFERROR(__xludf.DUMMYFUNCTION("""COMPUTED_VALUE"""),12267)</f>
        <v>12267</v>
      </c>
    </row>
    <row r="87" spans="1:5" ht="13.2" x14ac:dyDescent="0.25">
      <c r="A87" s="93">
        <f ca="1">IFERROR(__xludf.DUMMYFUNCTION("""COMPUTED_VALUE"""),43976)</f>
        <v>43976</v>
      </c>
      <c r="B87" s="7">
        <f ca="1">IFERROR(__xludf.DUMMYFUNCTION("""COMPUTED_VALUE"""),20)</f>
        <v>20</v>
      </c>
      <c r="C87" s="7">
        <f ca="1">IFERROR(__xludf.DUMMYFUNCTION("""COMPUTED_VALUE"""),2349)</f>
        <v>2349</v>
      </c>
      <c r="D87" s="7">
        <f ca="1">IFERROR(__xludf.DUMMYFUNCTION("""COMPUTED_VALUE"""),165)</f>
        <v>165</v>
      </c>
      <c r="E87" s="7">
        <f ca="1">IFERROR(__xludf.DUMMYFUNCTION("""COMPUTED_VALUE"""),12432)</f>
        <v>12432</v>
      </c>
    </row>
    <row r="88" spans="1:5" ht="13.2" x14ac:dyDescent="0.25">
      <c r="A88" s="93">
        <f ca="1">IFERROR(__xludf.DUMMYFUNCTION("""COMPUTED_VALUE"""),43977)</f>
        <v>43977</v>
      </c>
      <c r="B88" s="7">
        <f ca="1">IFERROR(__xludf.DUMMYFUNCTION("""COMPUTED_VALUE"""),38)</f>
        <v>38</v>
      </c>
      <c r="C88" s="7">
        <f ca="1">IFERROR(__xludf.DUMMYFUNCTION("""COMPUTED_VALUE"""),2387)</f>
        <v>2387</v>
      </c>
      <c r="D88" s="7">
        <f ca="1">IFERROR(__xludf.DUMMYFUNCTION("""COMPUTED_VALUE"""),166)</f>
        <v>166</v>
      </c>
      <c r="E88" s="7">
        <f ca="1">IFERROR(__xludf.DUMMYFUNCTION("""COMPUTED_VALUE"""),12598)</f>
        <v>12598</v>
      </c>
    </row>
    <row r="89" spans="1:5" ht="13.2" x14ac:dyDescent="0.25">
      <c r="A89" s="93">
        <f ca="1">IFERROR(__xludf.DUMMYFUNCTION("""COMPUTED_VALUE"""),43978)</f>
        <v>43978</v>
      </c>
      <c r="B89" s="7">
        <f ca="1">IFERROR(__xludf.DUMMYFUNCTION("""COMPUTED_VALUE"""),24)</f>
        <v>24</v>
      </c>
      <c r="C89" s="7">
        <f ca="1">IFERROR(__xludf.DUMMYFUNCTION("""COMPUTED_VALUE"""),2411)</f>
        <v>2411</v>
      </c>
      <c r="D89" s="7">
        <f ca="1">IFERROR(__xludf.DUMMYFUNCTION("""COMPUTED_VALUE"""),154)</f>
        <v>154</v>
      </c>
      <c r="E89" s="7">
        <f ca="1">IFERROR(__xludf.DUMMYFUNCTION("""COMPUTED_VALUE"""),12752)</f>
        <v>12752</v>
      </c>
    </row>
    <row r="90" spans="1:5" ht="13.2" x14ac:dyDescent="0.25">
      <c r="A90" s="93">
        <f ca="1">IFERROR(__xludf.DUMMYFUNCTION("""COMPUTED_VALUE"""),43979)</f>
        <v>43979</v>
      </c>
      <c r="B90" s="7">
        <f ca="1">IFERROR(__xludf.DUMMYFUNCTION("""COMPUTED_VALUE"""),22)</f>
        <v>22</v>
      </c>
      <c r="C90" s="7">
        <f ca="1">IFERROR(__xludf.DUMMYFUNCTION("""COMPUTED_VALUE"""),2433)</f>
        <v>2433</v>
      </c>
      <c r="D90" s="7">
        <f ca="1">IFERROR(__xludf.DUMMYFUNCTION("""COMPUTED_VALUE"""),147)</f>
        <v>147</v>
      </c>
      <c r="E90" s="7">
        <f ca="1">IFERROR(__xludf.DUMMYFUNCTION("""COMPUTED_VALUE"""),12899)</f>
        <v>12899</v>
      </c>
    </row>
    <row r="91" spans="1:5" ht="13.2" x14ac:dyDescent="0.25">
      <c r="A91" s="93">
        <f ca="1">IFERROR(__xludf.DUMMYFUNCTION("""COMPUTED_VALUE"""),43980)</f>
        <v>43980</v>
      </c>
      <c r="B91" s="7">
        <f ca="1">IFERROR(__xludf.DUMMYFUNCTION("""COMPUTED_VALUE"""),20)</f>
        <v>20</v>
      </c>
      <c r="C91" s="7">
        <f ca="1">IFERROR(__xludf.DUMMYFUNCTION("""COMPUTED_VALUE"""),2453)</f>
        <v>2453</v>
      </c>
      <c r="D91" s="7">
        <f ca="1">IFERROR(__xludf.DUMMYFUNCTION("""COMPUTED_VALUE"""),155)</f>
        <v>155</v>
      </c>
      <c r="E91" s="7">
        <f ca="1">IFERROR(__xludf.DUMMYFUNCTION("""COMPUTED_VALUE"""),13054)</f>
        <v>13054</v>
      </c>
    </row>
    <row r="92" spans="1:5" ht="13.2" x14ac:dyDescent="0.25">
      <c r="A92" s="93">
        <f ca="1">IFERROR(__xludf.DUMMYFUNCTION("""COMPUTED_VALUE"""),43981)</f>
        <v>43981</v>
      </c>
      <c r="B92" s="7">
        <f ca="1">IFERROR(__xludf.DUMMYFUNCTION("""COMPUTED_VALUE"""),20)</f>
        <v>20</v>
      </c>
      <c r="C92" s="7">
        <f ca="1">IFERROR(__xludf.DUMMYFUNCTION("""COMPUTED_VALUE"""),2473)</f>
        <v>2473</v>
      </c>
      <c r="D92" s="7">
        <f ca="1">IFERROR(__xludf.DUMMYFUNCTION("""COMPUTED_VALUE"""),132)</f>
        <v>132</v>
      </c>
      <c r="E92" s="7">
        <f ca="1">IFERROR(__xludf.DUMMYFUNCTION("""COMPUTED_VALUE"""),13186)</f>
        <v>13186</v>
      </c>
    </row>
    <row r="93" spans="1:5" ht="13.2" x14ac:dyDescent="0.25">
      <c r="A93" s="93">
        <f ca="1">IFERROR(__xludf.DUMMYFUNCTION("""COMPUTED_VALUE"""),43982)</f>
        <v>43982</v>
      </c>
      <c r="B93" s="7">
        <f ca="1">IFERROR(__xludf.DUMMYFUNCTION("""COMPUTED_VALUE"""),14)</f>
        <v>14</v>
      </c>
      <c r="C93" s="7">
        <f ca="1">IFERROR(__xludf.DUMMYFUNCTION("""COMPUTED_VALUE"""),2487)</f>
        <v>2487</v>
      </c>
      <c r="D93" s="7">
        <f ca="1">IFERROR(__xludf.DUMMYFUNCTION("""COMPUTED_VALUE"""),126)</f>
        <v>126</v>
      </c>
      <c r="E93" s="7">
        <f ca="1">IFERROR(__xludf.DUMMYFUNCTION("""COMPUTED_VALUE"""),13312)</f>
        <v>13312</v>
      </c>
    </row>
    <row r="94" spans="1:5" ht="13.2" x14ac:dyDescent="0.25">
      <c r="A94" s="93">
        <f ca="1">IFERROR(__xludf.DUMMYFUNCTION("""COMPUTED_VALUE"""),43983)</f>
        <v>43983</v>
      </c>
      <c r="B94" s="7">
        <f ca="1">IFERROR(__xludf.DUMMYFUNCTION("""COMPUTED_VALUE"""),17)</f>
        <v>17</v>
      </c>
      <c r="C94" s="7">
        <f ca="1">IFERROR(__xludf.DUMMYFUNCTION("""COMPUTED_VALUE"""),2504)</f>
        <v>2504</v>
      </c>
      <c r="D94" s="7">
        <f ca="1">IFERROR(__xludf.DUMMYFUNCTION("""COMPUTED_VALUE"""),126)</f>
        <v>126</v>
      </c>
      <c r="E94" s="7">
        <f ca="1">IFERROR(__xludf.DUMMYFUNCTION("""COMPUTED_VALUE"""),13438)</f>
        <v>13438</v>
      </c>
    </row>
    <row r="95" spans="1:5" ht="13.2" x14ac:dyDescent="0.25">
      <c r="A95" s="93">
        <f ca="1">IFERROR(__xludf.DUMMYFUNCTION("""COMPUTED_VALUE"""),43984)</f>
        <v>43984</v>
      </c>
      <c r="B95" s="7">
        <f ca="1">IFERROR(__xludf.DUMMYFUNCTION("""COMPUTED_VALUE"""),19)</f>
        <v>19</v>
      </c>
      <c r="C95" s="7">
        <f ca="1">IFERROR(__xludf.DUMMYFUNCTION("""COMPUTED_VALUE"""),2523)</f>
        <v>2523</v>
      </c>
      <c r="D95" s="7">
        <f ca="1">IFERROR(__xludf.DUMMYFUNCTION("""COMPUTED_VALUE"""),138)</f>
        <v>138</v>
      </c>
      <c r="E95" s="7">
        <f ca="1">IFERROR(__xludf.DUMMYFUNCTION("""COMPUTED_VALUE"""),13576)</f>
        <v>13576</v>
      </c>
    </row>
    <row r="96" spans="1:5" ht="13.2" x14ac:dyDescent="0.25">
      <c r="A96" s="93">
        <f ca="1">IFERROR(__xludf.DUMMYFUNCTION("""COMPUTED_VALUE"""),43985)</f>
        <v>43985</v>
      </c>
      <c r="B96" s="7">
        <f ca="1">IFERROR(__xludf.DUMMYFUNCTION("""COMPUTED_VALUE"""),23)</f>
        <v>23</v>
      </c>
      <c r="C96" s="7">
        <f ca="1">IFERROR(__xludf.DUMMYFUNCTION("""COMPUTED_VALUE"""),2546)</f>
        <v>2546</v>
      </c>
      <c r="D96" s="7">
        <f ca="1">IFERROR(__xludf.DUMMYFUNCTION("""COMPUTED_VALUE"""),145)</f>
        <v>145</v>
      </c>
      <c r="E96" s="7">
        <f ca="1">IFERROR(__xludf.DUMMYFUNCTION("""COMPUTED_VALUE"""),13721)</f>
        <v>13721</v>
      </c>
    </row>
    <row r="97" spans="1:5" ht="13.2" x14ac:dyDescent="0.25">
      <c r="A97" s="93">
        <f ca="1">IFERROR(__xludf.DUMMYFUNCTION("""COMPUTED_VALUE"""),43986)</f>
        <v>43986</v>
      </c>
      <c r="B97" s="7">
        <f ca="1">IFERROR(__xludf.DUMMYFUNCTION("""COMPUTED_VALUE"""),24)</f>
        <v>24</v>
      </c>
      <c r="C97" s="7">
        <f ca="1">IFERROR(__xludf.DUMMYFUNCTION("""COMPUTED_VALUE"""),2570)</f>
        <v>2570</v>
      </c>
      <c r="D97" s="7">
        <f ca="1">IFERROR(__xludf.DUMMYFUNCTION("""COMPUTED_VALUE"""),138)</f>
        <v>138</v>
      </c>
      <c r="E97" s="7">
        <f ca="1">IFERROR(__xludf.DUMMYFUNCTION("""COMPUTED_VALUE"""),13859)</f>
        <v>13859</v>
      </c>
    </row>
    <row r="98" spans="1:5" ht="13.2" x14ac:dyDescent="0.25">
      <c r="A98" s="93">
        <f ca="1">IFERROR(__xludf.DUMMYFUNCTION("""COMPUTED_VALUE"""),43987)</f>
        <v>43987</v>
      </c>
      <c r="B98" s="7">
        <f ca="1">IFERROR(__xludf.DUMMYFUNCTION("""COMPUTED_VALUE"""),18)</f>
        <v>18</v>
      </c>
      <c r="C98" s="7">
        <f ca="1">IFERROR(__xludf.DUMMYFUNCTION("""COMPUTED_VALUE"""),2588)</f>
        <v>2588</v>
      </c>
      <c r="D98" s="7">
        <f ca="1">IFERROR(__xludf.DUMMYFUNCTION("""COMPUTED_VALUE"""),125)</f>
        <v>125</v>
      </c>
      <c r="E98" s="7">
        <f ca="1">IFERROR(__xludf.DUMMYFUNCTION("""COMPUTED_VALUE"""),13984)</f>
        <v>13984</v>
      </c>
    </row>
    <row r="99" spans="1:5" ht="13.2" x14ac:dyDescent="0.25">
      <c r="A99" s="93">
        <f ca="1">IFERROR(__xludf.DUMMYFUNCTION("""COMPUTED_VALUE"""),43988)</f>
        <v>43988</v>
      </c>
      <c r="B99" s="7">
        <f ca="1">IFERROR(__xludf.DUMMYFUNCTION("""COMPUTED_VALUE"""),21)</f>
        <v>21</v>
      </c>
      <c r="C99" s="7">
        <f ca="1">IFERROR(__xludf.DUMMYFUNCTION("""COMPUTED_VALUE"""),2609)</f>
        <v>2609</v>
      </c>
      <c r="D99" s="7">
        <f ca="1">IFERROR(__xludf.DUMMYFUNCTION("""COMPUTED_VALUE"""),149)</f>
        <v>149</v>
      </c>
      <c r="E99" s="7">
        <f ca="1">IFERROR(__xludf.DUMMYFUNCTION("""COMPUTED_VALUE"""),14133)</f>
        <v>14133</v>
      </c>
    </row>
    <row r="100" spans="1:5" ht="13.2" x14ac:dyDescent="0.25">
      <c r="A100" s="93">
        <f ca="1">IFERROR(__xludf.DUMMYFUNCTION("""COMPUTED_VALUE"""),43989)</f>
        <v>43989</v>
      </c>
      <c r="B100" s="7">
        <f ca="1">IFERROR(__xludf.DUMMYFUNCTION("""COMPUTED_VALUE"""),19)</f>
        <v>19</v>
      </c>
      <c r="C100" s="7">
        <f ca="1">IFERROR(__xludf.DUMMYFUNCTION("""COMPUTED_VALUE"""),2628)</f>
        <v>2628</v>
      </c>
      <c r="D100" s="7">
        <f ca="1">IFERROR(__xludf.DUMMYFUNCTION("""COMPUTED_VALUE"""),127)</f>
        <v>127</v>
      </c>
      <c r="E100" s="7">
        <f ca="1">IFERROR(__xludf.DUMMYFUNCTION("""COMPUTED_VALUE"""),14260)</f>
        <v>14260</v>
      </c>
    </row>
    <row r="101" spans="1:5" ht="13.2" x14ac:dyDescent="0.25">
      <c r="A101" s="93">
        <f ca="1">IFERROR(__xludf.DUMMYFUNCTION("""COMPUTED_VALUE"""),43990)</f>
        <v>43990</v>
      </c>
      <c r="B101" s="7">
        <f ca="1">IFERROR(__xludf.DUMMYFUNCTION("""COMPUTED_VALUE"""),21)</f>
        <v>21</v>
      </c>
      <c r="C101" s="7">
        <f ca="1">IFERROR(__xludf.DUMMYFUNCTION("""COMPUTED_VALUE"""),2649)</f>
        <v>2649</v>
      </c>
      <c r="D101" s="7">
        <f ca="1">IFERROR(__xludf.DUMMYFUNCTION("""COMPUTED_VALUE"""),131)</f>
        <v>131</v>
      </c>
      <c r="E101" s="7">
        <f ca="1">IFERROR(__xludf.DUMMYFUNCTION("""COMPUTED_VALUE"""),14391)</f>
        <v>14391</v>
      </c>
    </row>
    <row r="102" spans="1:5" ht="13.2" x14ac:dyDescent="0.25">
      <c r="A102" s="93">
        <f ca="1">IFERROR(__xludf.DUMMYFUNCTION("""COMPUTED_VALUE"""),43991)</f>
        <v>43991</v>
      </c>
      <c r="B102" s="7">
        <f ca="1">IFERROR(__xludf.DUMMYFUNCTION("""COMPUTED_VALUE"""),22)</f>
        <v>22</v>
      </c>
      <c r="C102" s="7">
        <f ca="1">IFERROR(__xludf.DUMMYFUNCTION("""COMPUTED_VALUE"""),2671)</f>
        <v>2671</v>
      </c>
      <c r="D102" s="7">
        <f ca="1">IFERROR(__xludf.DUMMYFUNCTION("""COMPUTED_VALUE"""),127)</f>
        <v>127</v>
      </c>
      <c r="E102" s="7">
        <f ca="1">IFERROR(__xludf.DUMMYFUNCTION("""COMPUTED_VALUE"""),14518)</f>
        <v>14518</v>
      </c>
    </row>
    <row r="103" spans="1:5" ht="13.2" x14ac:dyDescent="0.25">
      <c r="A103" s="93">
        <f ca="1">IFERROR(__xludf.DUMMYFUNCTION("""COMPUTED_VALUE"""),43992)</f>
        <v>43992</v>
      </c>
      <c r="B103" s="7">
        <f ca="1">IFERROR(__xludf.DUMMYFUNCTION("""COMPUTED_VALUE"""),15)</f>
        <v>15</v>
      </c>
      <c r="C103" s="7">
        <f ca="1">IFERROR(__xludf.DUMMYFUNCTION("""COMPUTED_VALUE"""),2686)</f>
        <v>2686</v>
      </c>
      <c r="D103" s="7">
        <f ca="1">IFERROR(__xludf.DUMMYFUNCTION("""COMPUTED_VALUE"""),132)</f>
        <v>132</v>
      </c>
      <c r="E103" s="7">
        <f ca="1">IFERROR(__xludf.DUMMYFUNCTION("""COMPUTED_VALUE"""),14650)</f>
        <v>14650</v>
      </c>
    </row>
    <row r="104" spans="1:5" ht="13.2" x14ac:dyDescent="0.25">
      <c r="A104" s="93">
        <f ca="1">IFERROR(__xludf.DUMMYFUNCTION("""COMPUTED_VALUE"""),43993)</f>
        <v>43993</v>
      </c>
      <c r="B104" s="7">
        <f ca="1">IFERROR(__xludf.DUMMYFUNCTION("""COMPUTED_VALUE"""),15)</f>
        <v>15</v>
      </c>
      <c r="C104" s="7">
        <f ca="1">IFERROR(__xludf.DUMMYFUNCTION("""COMPUTED_VALUE"""),2701)</f>
        <v>2701</v>
      </c>
      <c r="D104" s="7">
        <f ca="1">IFERROR(__xludf.DUMMYFUNCTION("""COMPUTED_VALUE"""),116)</f>
        <v>116</v>
      </c>
      <c r="E104" s="7">
        <f ca="1">IFERROR(__xludf.DUMMYFUNCTION("""COMPUTED_VALUE"""),14766)</f>
        <v>14766</v>
      </c>
    </row>
    <row r="105" spans="1:5" ht="13.2" x14ac:dyDescent="0.25">
      <c r="A105" s="93">
        <f ca="1">IFERROR(__xludf.DUMMYFUNCTION("""COMPUTED_VALUE"""),43994)</f>
        <v>43994</v>
      </c>
      <c r="B105" s="7">
        <f ca="1">IFERROR(__xludf.DUMMYFUNCTION("""COMPUTED_VALUE"""),21)</f>
        <v>21</v>
      </c>
      <c r="C105" s="7">
        <f ca="1">IFERROR(__xludf.DUMMYFUNCTION("""COMPUTED_VALUE"""),2722)</f>
        <v>2722</v>
      </c>
      <c r="D105" s="7">
        <f ca="1">IFERROR(__xludf.DUMMYFUNCTION("""COMPUTED_VALUE"""),133)</f>
        <v>133</v>
      </c>
      <c r="E105" s="7">
        <f ca="1">IFERROR(__xludf.DUMMYFUNCTION("""COMPUTED_VALUE"""),14899)</f>
        <v>14899</v>
      </c>
    </row>
    <row r="106" spans="1:5" ht="13.2" x14ac:dyDescent="0.25">
      <c r="A106" s="93">
        <f ca="1">IFERROR(__xludf.DUMMYFUNCTION("""COMPUTED_VALUE"""),43995)</f>
        <v>43995</v>
      </c>
      <c r="B106" s="7">
        <f ca="1">IFERROR(__xludf.DUMMYFUNCTION("""COMPUTED_VALUE"""),17)</f>
        <v>17</v>
      </c>
      <c r="C106" s="7">
        <f ca="1">IFERROR(__xludf.DUMMYFUNCTION("""COMPUTED_VALUE"""),2739)</f>
        <v>2739</v>
      </c>
      <c r="D106" s="7">
        <f ca="1">IFERROR(__xludf.DUMMYFUNCTION("""COMPUTED_VALUE"""),126)</f>
        <v>126</v>
      </c>
      <c r="E106" s="7">
        <f ca="1">IFERROR(__xludf.DUMMYFUNCTION("""COMPUTED_VALUE"""),15025)</f>
        <v>15025</v>
      </c>
    </row>
    <row r="107" spans="1:5" ht="13.2" x14ac:dyDescent="0.25">
      <c r="A107" s="93">
        <f ca="1">IFERROR(__xludf.DUMMYFUNCTION("""COMPUTED_VALUE"""),43996)</f>
        <v>43996</v>
      </c>
      <c r="B107" s="7">
        <f ca="1">IFERROR(__xludf.DUMMYFUNCTION("""COMPUTED_VALUE"""),30)</f>
        <v>30</v>
      </c>
      <c r="C107" s="7">
        <f ca="1">IFERROR(__xludf.DUMMYFUNCTION("""COMPUTED_VALUE"""),2769)</f>
        <v>2769</v>
      </c>
      <c r="D107" s="7">
        <f ca="1">IFERROR(__xludf.DUMMYFUNCTION("""COMPUTED_VALUE"""),129)</f>
        <v>129</v>
      </c>
      <c r="E107" s="7">
        <f ca="1">IFERROR(__xludf.DUMMYFUNCTION("""COMPUTED_VALUE"""),15154)</f>
        <v>15154</v>
      </c>
    </row>
    <row r="108" spans="1:5" ht="13.2" x14ac:dyDescent="0.25">
      <c r="A108" s="93">
        <f ca="1">IFERROR(__xludf.DUMMYFUNCTION("""COMPUTED_VALUE"""),43997)</f>
        <v>43997</v>
      </c>
      <c r="B108" s="7">
        <f ca="1">IFERROR(__xludf.DUMMYFUNCTION("""COMPUTED_VALUE"""),17)</f>
        <v>17</v>
      </c>
      <c r="C108" s="7">
        <f ca="1">IFERROR(__xludf.DUMMYFUNCTION("""COMPUTED_VALUE"""),2786)</f>
        <v>2786</v>
      </c>
      <c r="D108" s="7">
        <f ca="1">IFERROR(__xludf.DUMMYFUNCTION("""COMPUTED_VALUE"""),145)</f>
        <v>145</v>
      </c>
      <c r="E108" s="7">
        <f ca="1">IFERROR(__xludf.DUMMYFUNCTION("""COMPUTED_VALUE"""),15299)</f>
        <v>15299</v>
      </c>
    </row>
    <row r="109" spans="1:5" ht="13.2" x14ac:dyDescent="0.25">
      <c r="A109" s="93">
        <f ca="1">IFERROR(__xludf.DUMMYFUNCTION("""COMPUTED_VALUE"""),43998)</f>
        <v>43998</v>
      </c>
      <c r="B109" s="7">
        <f ca="1">IFERROR(__xludf.DUMMYFUNCTION("""COMPUTED_VALUE"""),10)</f>
        <v>10</v>
      </c>
      <c r="C109" s="7">
        <f ca="1">IFERROR(__xludf.DUMMYFUNCTION("""COMPUTED_VALUE"""),2796)</f>
        <v>2796</v>
      </c>
      <c r="D109" s="7">
        <f ca="1">IFERROR(__xludf.DUMMYFUNCTION("""COMPUTED_VALUE"""),145)</f>
        <v>145</v>
      </c>
      <c r="E109" s="7">
        <f ca="1">IFERROR(__xludf.DUMMYFUNCTION("""COMPUTED_VALUE"""),15444)</f>
        <v>15444</v>
      </c>
    </row>
    <row r="110" spans="1:5" ht="13.2" x14ac:dyDescent="0.25">
      <c r="A110" s="93">
        <f ca="1">IFERROR(__xludf.DUMMYFUNCTION("""COMPUTED_VALUE"""),43999)</f>
        <v>43999</v>
      </c>
      <c r="B110" s="7">
        <f ca="1">IFERROR(__xludf.DUMMYFUNCTION("""COMPUTED_VALUE"""),22)</f>
        <v>22</v>
      </c>
      <c r="C110" s="7">
        <f ca="1">IFERROR(__xludf.DUMMYFUNCTION("""COMPUTED_VALUE"""),2818)</f>
        <v>2818</v>
      </c>
      <c r="D110" s="7">
        <f ca="1">IFERROR(__xludf.DUMMYFUNCTION("""COMPUTED_VALUE"""),150)</f>
        <v>150</v>
      </c>
      <c r="E110" s="7">
        <f ca="1">IFERROR(__xludf.DUMMYFUNCTION("""COMPUTED_VALUE"""),15594)</f>
        <v>15594</v>
      </c>
    </row>
    <row r="111" spans="1:5" ht="13.2" x14ac:dyDescent="0.25">
      <c r="A111" s="93">
        <f ca="1">IFERROR(__xludf.DUMMYFUNCTION("""COMPUTED_VALUE"""),44000)</f>
        <v>44000</v>
      </c>
      <c r="B111" s="7">
        <f ca="1">IFERROR(__xludf.DUMMYFUNCTION("""COMPUTED_VALUE"""),16)</f>
        <v>16</v>
      </c>
      <c r="C111" s="7">
        <f ca="1">IFERROR(__xludf.DUMMYFUNCTION("""COMPUTED_VALUE"""),2834)</f>
        <v>2834</v>
      </c>
      <c r="D111" s="7">
        <f ca="1">IFERROR(__xludf.DUMMYFUNCTION("""COMPUTED_VALUE"""),135)</f>
        <v>135</v>
      </c>
      <c r="E111" s="7">
        <f ca="1">IFERROR(__xludf.DUMMYFUNCTION("""COMPUTED_VALUE"""),15729)</f>
        <v>15729</v>
      </c>
    </row>
    <row r="112" spans="1:5" ht="13.2" x14ac:dyDescent="0.25">
      <c r="A112" s="93">
        <f ca="1">IFERROR(__xludf.DUMMYFUNCTION("""COMPUTED_VALUE"""),44001)</f>
        <v>44001</v>
      </c>
      <c r="B112" s="7">
        <f ca="1">IFERROR(__xludf.DUMMYFUNCTION("""COMPUTED_VALUE"""),15)</f>
        <v>15</v>
      </c>
      <c r="C112" s="7">
        <f ca="1">IFERROR(__xludf.DUMMYFUNCTION("""COMPUTED_VALUE"""),2849)</f>
        <v>2849</v>
      </c>
      <c r="D112" s="7">
        <f ca="1">IFERROR(__xludf.DUMMYFUNCTION("""COMPUTED_VALUE"""),119)</f>
        <v>119</v>
      </c>
      <c r="E112" s="7">
        <f ca="1">IFERROR(__xludf.DUMMYFUNCTION("""COMPUTED_VALUE"""),15848)</f>
        <v>15848</v>
      </c>
    </row>
    <row r="113" spans="1:5" ht="13.2" x14ac:dyDescent="0.25">
      <c r="A113" s="93">
        <f ca="1">IFERROR(__xludf.DUMMYFUNCTION("""COMPUTED_VALUE"""),44002)</f>
        <v>44002</v>
      </c>
      <c r="B113" s="7">
        <f ca="1">IFERROR(__xludf.DUMMYFUNCTION("""COMPUTED_VALUE"""),25)</f>
        <v>25</v>
      </c>
      <c r="C113" s="7">
        <f ca="1">IFERROR(__xludf.DUMMYFUNCTION("""COMPUTED_VALUE"""),2874)</f>
        <v>2874</v>
      </c>
      <c r="D113" s="7">
        <f ca="1">IFERROR(__xludf.DUMMYFUNCTION("""COMPUTED_VALUE"""),125)</f>
        <v>125</v>
      </c>
      <c r="E113" s="7">
        <f ca="1">IFERROR(__xludf.DUMMYFUNCTION("""COMPUTED_VALUE"""),15973)</f>
        <v>15973</v>
      </c>
    </row>
    <row r="114" spans="1:5" ht="13.2" x14ac:dyDescent="0.25">
      <c r="A114" s="93">
        <f ca="1">IFERROR(__xludf.DUMMYFUNCTION("""COMPUTED_VALUE"""),44003)</f>
        <v>44003</v>
      </c>
      <c r="B114" s="7">
        <f ca="1">IFERROR(__xludf.DUMMYFUNCTION("""COMPUTED_VALUE"""),18)</f>
        <v>18</v>
      </c>
      <c r="C114" s="7">
        <f ca="1">IFERROR(__xludf.DUMMYFUNCTION("""COMPUTED_VALUE"""),2892)</f>
        <v>2892</v>
      </c>
      <c r="D114" s="7">
        <f ca="1">IFERROR(__xludf.DUMMYFUNCTION("""COMPUTED_VALUE"""),120)</f>
        <v>120</v>
      </c>
      <c r="E114" s="7">
        <f ca="1">IFERROR(__xludf.DUMMYFUNCTION("""COMPUTED_VALUE"""),16093)</f>
        <v>16093</v>
      </c>
    </row>
    <row r="115" spans="1:5" ht="13.2" x14ac:dyDescent="0.25">
      <c r="A115" s="93">
        <f ca="1">IFERROR(__xludf.DUMMYFUNCTION("""COMPUTED_VALUE"""),44004)</f>
        <v>44004</v>
      </c>
      <c r="B115" s="7">
        <f ca="1">IFERROR(__xludf.DUMMYFUNCTION("""COMPUTED_VALUE"""),28)</f>
        <v>28</v>
      </c>
      <c r="C115" s="7">
        <f ca="1">IFERROR(__xludf.DUMMYFUNCTION("""COMPUTED_VALUE"""),2920)</f>
        <v>2920</v>
      </c>
      <c r="D115" s="7">
        <f ca="1">IFERROR(__xludf.DUMMYFUNCTION("""COMPUTED_VALUE"""),124)</f>
        <v>124</v>
      </c>
      <c r="E115" s="7">
        <f ca="1">IFERROR(__xludf.DUMMYFUNCTION("""COMPUTED_VALUE"""),16217)</f>
        <v>16217</v>
      </c>
    </row>
    <row r="116" spans="1:5" ht="13.2" x14ac:dyDescent="0.25">
      <c r="A116" s="93">
        <f ca="1">IFERROR(__xludf.DUMMYFUNCTION("""COMPUTED_VALUE"""),44005)</f>
        <v>44005</v>
      </c>
      <c r="B116" s="7">
        <f ca="1">IFERROR(__xludf.DUMMYFUNCTION("""COMPUTED_VALUE"""),27)</f>
        <v>27</v>
      </c>
      <c r="C116" s="7">
        <f ca="1">IFERROR(__xludf.DUMMYFUNCTION("""COMPUTED_VALUE"""),2947)</f>
        <v>2947</v>
      </c>
      <c r="D116" s="7">
        <f ca="1">IFERROR(__xludf.DUMMYFUNCTION("""COMPUTED_VALUE"""),123)</f>
        <v>123</v>
      </c>
      <c r="E116" s="7">
        <f ca="1">IFERROR(__xludf.DUMMYFUNCTION("""COMPUTED_VALUE"""),16340)</f>
        <v>16340</v>
      </c>
    </row>
    <row r="117" spans="1:5" ht="13.2" x14ac:dyDescent="0.25">
      <c r="A117" s="93">
        <f ca="1">IFERROR(__xludf.DUMMYFUNCTION("""COMPUTED_VALUE"""),44006)</f>
        <v>44006</v>
      </c>
      <c r="B117" s="7">
        <f ca="1">IFERROR(__xludf.DUMMYFUNCTION("""COMPUTED_VALUE"""),12)</f>
        <v>12</v>
      </c>
      <c r="C117" s="7">
        <f ca="1">IFERROR(__xludf.DUMMYFUNCTION("""COMPUTED_VALUE"""),2959)</f>
        <v>2959</v>
      </c>
      <c r="D117" s="7">
        <f ca="1">IFERROR(__xludf.DUMMYFUNCTION("""COMPUTED_VALUE"""),129)</f>
        <v>129</v>
      </c>
      <c r="E117" s="7">
        <f ca="1">IFERROR(__xludf.DUMMYFUNCTION("""COMPUTED_VALUE"""),16469)</f>
        <v>16469</v>
      </c>
    </row>
    <row r="118" spans="1:5" ht="13.2" x14ac:dyDescent="0.25">
      <c r="A118" s="93">
        <f ca="1">IFERROR(__xludf.DUMMYFUNCTION("""COMPUTED_VALUE"""),44007)</f>
        <v>44007</v>
      </c>
      <c r="B118" s="7">
        <f ca="1">IFERROR(__xludf.DUMMYFUNCTION("""COMPUTED_VALUE"""),12)</f>
        <v>12</v>
      </c>
      <c r="C118" s="7">
        <f ca="1">IFERROR(__xludf.DUMMYFUNCTION("""COMPUTED_VALUE"""),2971)</f>
        <v>2971</v>
      </c>
      <c r="D118" s="7">
        <f ca="1">IFERROR(__xludf.DUMMYFUNCTION("""COMPUTED_VALUE"""),125)</f>
        <v>125</v>
      </c>
      <c r="E118" s="7">
        <f ca="1">IFERROR(__xludf.DUMMYFUNCTION("""COMPUTED_VALUE"""),16594)</f>
        <v>16594</v>
      </c>
    </row>
    <row r="119" spans="1:5" ht="13.2" x14ac:dyDescent="0.25">
      <c r="A119" s="93">
        <f ca="1">IFERROR(__xludf.DUMMYFUNCTION("""COMPUTED_VALUE"""),44008)</f>
        <v>44008</v>
      </c>
      <c r="B119" s="7">
        <f ca="1">IFERROR(__xludf.DUMMYFUNCTION("""COMPUTED_VALUE"""),25)</f>
        <v>25</v>
      </c>
      <c r="C119" s="7">
        <f ca="1">IFERROR(__xludf.DUMMYFUNCTION("""COMPUTED_VALUE"""),2996)</f>
        <v>2996</v>
      </c>
      <c r="D119" s="7">
        <f ca="1">IFERROR(__xludf.DUMMYFUNCTION("""COMPUTED_VALUE"""),148)</f>
        <v>148</v>
      </c>
      <c r="E119" s="7">
        <f ca="1">IFERROR(__xludf.DUMMYFUNCTION("""COMPUTED_VALUE"""),16742)</f>
        <v>16742</v>
      </c>
    </row>
    <row r="120" spans="1:5" ht="13.2" x14ac:dyDescent="0.25">
      <c r="A120" s="93">
        <f ca="1">IFERROR(__xludf.DUMMYFUNCTION("""COMPUTED_VALUE"""),44009)</f>
        <v>44009</v>
      </c>
      <c r="B120" s="7">
        <f ca="1">IFERROR(__xludf.DUMMYFUNCTION("""COMPUTED_VALUE"""),19)</f>
        <v>19</v>
      </c>
      <c r="C120" s="7">
        <f ca="1">IFERROR(__xludf.DUMMYFUNCTION("""COMPUTED_VALUE"""),3015)</f>
        <v>3015</v>
      </c>
      <c r="D120" s="7">
        <f ca="1">IFERROR(__xludf.DUMMYFUNCTION("""COMPUTED_VALUE"""),144)</f>
        <v>144</v>
      </c>
      <c r="E120" s="7">
        <f ca="1">IFERROR(__xludf.DUMMYFUNCTION("""COMPUTED_VALUE"""),16886)</f>
        <v>16886</v>
      </c>
    </row>
    <row r="121" spans="1:5" ht="13.2" x14ac:dyDescent="0.25">
      <c r="A121" s="93">
        <f ca="1">IFERROR(__xludf.DUMMYFUNCTION("""COMPUTED_VALUE"""),44010)</f>
        <v>44010</v>
      </c>
      <c r="B121" s="7">
        <f ca="1">IFERROR(__xludf.DUMMYFUNCTION("""COMPUTED_VALUE"""),20)</f>
        <v>20</v>
      </c>
      <c r="C121" s="7">
        <f ca="1">IFERROR(__xludf.DUMMYFUNCTION("""COMPUTED_VALUE"""),3035)</f>
        <v>3035</v>
      </c>
      <c r="D121" s="7">
        <f ca="1">IFERROR(__xludf.DUMMYFUNCTION("""COMPUTED_VALUE"""),128)</f>
        <v>128</v>
      </c>
      <c r="E121" s="7">
        <f ca="1">IFERROR(__xludf.DUMMYFUNCTION("""COMPUTED_VALUE"""),17014)</f>
        <v>17014</v>
      </c>
    </row>
    <row r="122" spans="1:5" ht="13.2" x14ac:dyDescent="0.25">
      <c r="A122" s="93">
        <f ca="1">IFERROR(__xludf.DUMMYFUNCTION("""COMPUTED_VALUE"""),44011)</f>
        <v>44011</v>
      </c>
      <c r="B122" s="7">
        <f ca="1">IFERROR(__xludf.DUMMYFUNCTION("""COMPUTED_VALUE"""),18)</f>
        <v>18</v>
      </c>
      <c r="C122" s="7">
        <f ca="1">IFERROR(__xludf.DUMMYFUNCTION("""COMPUTED_VALUE"""),3053)</f>
        <v>3053</v>
      </c>
      <c r="D122" s="7">
        <f ca="1">IFERROR(__xludf.DUMMYFUNCTION("""COMPUTED_VALUE"""),126)</f>
        <v>126</v>
      </c>
      <c r="E122" s="7">
        <f ca="1">IFERROR(__xludf.DUMMYFUNCTION("""COMPUTED_VALUE"""),17140)</f>
        <v>17140</v>
      </c>
    </row>
    <row r="123" spans="1:5" ht="13.2" x14ac:dyDescent="0.25">
      <c r="A123" s="93">
        <f ca="1">IFERROR(__xludf.DUMMYFUNCTION("""COMPUTED_VALUE"""),44012)</f>
        <v>44012</v>
      </c>
      <c r="B123" s="7">
        <f ca="1">IFERROR(__xludf.DUMMYFUNCTION("""COMPUTED_VALUE"""),9)</f>
        <v>9</v>
      </c>
      <c r="C123" s="7">
        <f ca="1">IFERROR(__xludf.DUMMYFUNCTION("""COMPUTED_VALUE"""),3062)</f>
        <v>3062</v>
      </c>
      <c r="D123" s="7">
        <f ca="1">IFERROR(__xludf.DUMMYFUNCTION("""COMPUTED_VALUE"""),147)</f>
        <v>147</v>
      </c>
      <c r="E123" s="7">
        <f ca="1">IFERROR(__xludf.DUMMYFUNCTION("""COMPUTED_VALUE"""),17287)</f>
        <v>17287</v>
      </c>
    </row>
    <row r="124" spans="1:5" ht="13.2" x14ac:dyDescent="0.25">
      <c r="A124" s="93">
        <f ca="1">IFERROR(__xludf.DUMMYFUNCTION("""COMPUTED_VALUE"""),44013)</f>
        <v>44013</v>
      </c>
      <c r="B124" s="7">
        <f ca="1">IFERROR(__xludf.DUMMYFUNCTION("""COMPUTED_VALUE"""),21)</f>
        <v>21</v>
      </c>
      <c r="C124" s="7">
        <f ca="1">IFERROR(__xludf.DUMMYFUNCTION("""COMPUTED_VALUE"""),3083)</f>
        <v>3083</v>
      </c>
      <c r="D124" s="7">
        <f ca="1">IFERROR(__xludf.DUMMYFUNCTION("""COMPUTED_VALUE"""),139)</f>
        <v>139</v>
      </c>
      <c r="E124" s="7">
        <f ca="1">IFERROR(__xludf.DUMMYFUNCTION("""COMPUTED_VALUE"""),17426)</f>
        <v>17426</v>
      </c>
    </row>
    <row r="125" spans="1:5" ht="13.2" x14ac:dyDescent="0.25">
      <c r="A125" s="93">
        <f ca="1">IFERROR(__xludf.DUMMYFUNCTION("""COMPUTED_VALUE"""),44014)</f>
        <v>44014</v>
      </c>
      <c r="B125" s="7">
        <f ca="1">IFERROR(__xludf.DUMMYFUNCTION("""COMPUTED_VALUE"""),21)</f>
        <v>21</v>
      </c>
      <c r="C125" s="7">
        <f ca="1">IFERROR(__xludf.DUMMYFUNCTION("""COMPUTED_VALUE"""),3104)</f>
        <v>3104</v>
      </c>
      <c r="D125" s="7">
        <f ca="1">IFERROR(__xludf.DUMMYFUNCTION("""COMPUTED_VALUE"""),122)</f>
        <v>122</v>
      </c>
      <c r="E125" s="7">
        <f ca="1">IFERROR(__xludf.DUMMYFUNCTION("""COMPUTED_VALUE"""),17548)</f>
        <v>17548</v>
      </c>
    </row>
    <row r="126" spans="1:5" ht="13.2" x14ac:dyDescent="0.25">
      <c r="A126" s="93">
        <f ca="1">IFERROR(__xludf.DUMMYFUNCTION("""COMPUTED_VALUE"""),44015)</f>
        <v>44015</v>
      </c>
      <c r="B126" s="7">
        <f ca="1">IFERROR(__xludf.DUMMYFUNCTION("""COMPUTED_VALUE"""),12)</f>
        <v>12</v>
      </c>
      <c r="C126" s="7">
        <f ca="1">IFERROR(__xludf.DUMMYFUNCTION("""COMPUTED_VALUE"""),3116)</f>
        <v>3116</v>
      </c>
      <c r="D126" s="7">
        <f ca="1">IFERROR(__xludf.DUMMYFUNCTION("""COMPUTED_VALUE"""),117)</f>
        <v>117</v>
      </c>
      <c r="E126" s="7">
        <f ca="1">IFERROR(__xludf.DUMMYFUNCTION("""COMPUTED_VALUE"""),17665)</f>
        <v>17665</v>
      </c>
    </row>
    <row r="127" spans="1:5" ht="13.2" x14ac:dyDescent="0.25">
      <c r="A127" s="93">
        <f ca="1">IFERROR(__xludf.DUMMYFUNCTION("""COMPUTED_VALUE"""),44016)</f>
        <v>44016</v>
      </c>
      <c r="B127" s="7">
        <f ca="1">IFERROR(__xludf.DUMMYFUNCTION("""COMPUTED_VALUE"""),19)</f>
        <v>19</v>
      </c>
      <c r="C127" s="7">
        <f ca="1">IFERROR(__xludf.DUMMYFUNCTION("""COMPUTED_VALUE"""),3135)</f>
        <v>3135</v>
      </c>
      <c r="D127" s="7">
        <f ca="1">IFERROR(__xludf.DUMMYFUNCTION("""COMPUTED_VALUE"""),142)</f>
        <v>142</v>
      </c>
      <c r="E127" s="7">
        <f ca="1">IFERROR(__xludf.DUMMYFUNCTION("""COMPUTED_VALUE"""),17807)</f>
        <v>17807</v>
      </c>
    </row>
    <row r="128" spans="1:5" ht="13.2" x14ac:dyDescent="0.25">
      <c r="A128" s="93">
        <f ca="1">IFERROR(__xludf.DUMMYFUNCTION("""COMPUTED_VALUE"""),44017)</f>
        <v>44017</v>
      </c>
      <c r="B128" s="7">
        <f ca="1">IFERROR(__xludf.DUMMYFUNCTION("""COMPUTED_VALUE"""),21)</f>
        <v>21</v>
      </c>
      <c r="C128" s="7">
        <f ca="1">IFERROR(__xludf.DUMMYFUNCTION("""COMPUTED_VALUE"""),3156)</f>
        <v>3156</v>
      </c>
      <c r="D128" s="7">
        <f ca="1">IFERROR(__xludf.DUMMYFUNCTION("""COMPUTED_VALUE"""),116)</f>
        <v>116</v>
      </c>
      <c r="E128" s="7">
        <f ca="1">IFERROR(__xludf.DUMMYFUNCTION("""COMPUTED_VALUE"""),17923)</f>
        <v>17923</v>
      </c>
    </row>
    <row r="129" spans="1:5" ht="13.2" x14ac:dyDescent="0.25">
      <c r="A129" s="93">
        <f ca="1">IFERROR(__xludf.DUMMYFUNCTION("""COMPUTED_VALUE"""),44018)</f>
        <v>44018</v>
      </c>
      <c r="B129" s="7">
        <f ca="1">IFERROR(__xludf.DUMMYFUNCTION("""COMPUTED_VALUE"""),20)</f>
        <v>20</v>
      </c>
      <c r="C129" s="7">
        <f ca="1">IFERROR(__xludf.DUMMYFUNCTION("""COMPUTED_VALUE"""),3176)</f>
        <v>3176</v>
      </c>
      <c r="D129" s="7">
        <f ca="1">IFERROR(__xludf.DUMMYFUNCTION("""COMPUTED_VALUE"""),127)</f>
        <v>127</v>
      </c>
      <c r="E129" s="7">
        <f ca="1">IFERROR(__xludf.DUMMYFUNCTION("""COMPUTED_VALUE"""),18050)</f>
        <v>18050</v>
      </c>
    </row>
    <row r="130" spans="1:5" ht="13.2" x14ac:dyDescent="0.25">
      <c r="A130" s="93">
        <f ca="1">IFERROR(__xludf.DUMMYFUNCTION("""COMPUTED_VALUE"""),44019)</f>
        <v>44019</v>
      </c>
      <c r="B130" s="7">
        <f ca="1">IFERROR(__xludf.DUMMYFUNCTION("""COMPUTED_VALUE"""),15)</f>
        <v>15</v>
      </c>
      <c r="C130" s="7">
        <f ca="1">IFERROR(__xludf.DUMMYFUNCTION("""COMPUTED_VALUE"""),3191)</f>
        <v>3191</v>
      </c>
      <c r="D130" s="7">
        <f ca="1">IFERROR(__xludf.DUMMYFUNCTION("""COMPUTED_VALUE"""),112)</f>
        <v>112</v>
      </c>
      <c r="E130" s="7">
        <f ca="1">IFERROR(__xludf.DUMMYFUNCTION("""COMPUTED_VALUE"""),18162)</f>
        <v>18162</v>
      </c>
    </row>
    <row r="131" spans="1:5" ht="13.2" x14ac:dyDescent="0.25">
      <c r="A131" s="93">
        <f ca="1">IFERROR(__xludf.DUMMYFUNCTION("""COMPUTED_VALUE"""),44020)</f>
        <v>44020</v>
      </c>
      <c r="B131" s="7">
        <f ca="1">IFERROR(__xludf.DUMMYFUNCTION("""COMPUTED_VALUE"""),17)</f>
        <v>17</v>
      </c>
      <c r="C131" s="7">
        <f ca="1">IFERROR(__xludf.DUMMYFUNCTION("""COMPUTED_VALUE"""),3208)</f>
        <v>3208</v>
      </c>
      <c r="D131" s="7">
        <f ca="1">IFERROR(__xludf.DUMMYFUNCTION("""COMPUTED_VALUE"""),145)</f>
        <v>145</v>
      </c>
      <c r="E131" s="7">
        <f ca="1">IFERROR(__xludf.DUMMYFUNCTION("""COMPUTED_VALUE"""),18307)</f>
        <v>18307</v>
      </c>
    </row>
    <row r="132" spans="1:5" ht="13.2" x14ac:dyDescent="0.25">
      <c r="A132" s="93">
        <f ca="1">IFERROR(__xludf.DUMMYFUNCTION("""COMPUTED_VALUE"""),44021)</f>
        <v>44021</v>
      </c>
      <c r="B132" s="7">
        <f ca="1">IFERROR(__xludf.DUMMYFUNCTION("""COMPUTED_VALUE"""),22)</f>
        <v>22</v>
      </c>
      <c r="C132" s="7">
        <f ca="1">IFERROR(__xludf.DUMMYFUNCTION("""COMPUTED_VALUE"""),3230)</f>
        <v>3230</v>
      </c>
      <c r="D132" s="7">
        <f ca="1">IFERROR(__xludf.DUMMYFUNCTION("""COMPUTED_VALUE"""),126)</f>
        <v>126</v>
      </c>
      <c r="E132" s="7">
        <f ca="1">IFERROR(__xludf.DUMMYFUNCTION("""COMPUTED_VALUE"""),18433)</f>
        <v>18433</v>
      </c>
    </row>
    <row r="133" spans="1:5" ht="13.2" x14ac:dyDescent="0.25">
      <c r="A133" s="93">
        <f ca="1">IFERROR(__xludf.DUMMYFUNCTION("""COMPUTED_VALUE"""),44022)</f>
        <v>44022</v>
      </c>
      <c r="B133" s="7">
        <f ca="1">IFERROR(__xludf.DUMMYFUNCTION("""COMPUTED_VALUE"""),21)</f>
        <v>21</v>
      </c>
      <c r="C133" s="7">
        <f ca="1">IFERROR(__xludf.DUMMYFUNCTION("""COMPUTED_VALUE"""),3251)</f>
        <v>3251</v>
      </c>
      <c r="D133" s="7">
        <f ca="1">IFERROR(__xludf.DUMMYFUNCTION("""COMPUTED_VALUE"""),118)</f>
        <v>118</v>
      </c>
      <c r="E133" s="7">
        <f ca="1">IFERROR(__xludf.DUMMYFUNCTION("""COMPUTED_VALUE"""),18551)</f>
        <v>18551</v>
      </c>
    </row>
    <row r="134" spans="1:5" ht="13.2" x14ac:dyDescent="0.25">
      <c r="A134" s="93">
        <f ca="1">IFERROR(__xludf.DUMMYFUNCTION("""COMPUTED_VALUE"""),44023)</f>
        <v>44023</v>
      </c>
      <c r="B134" s="7">
        <f ca="1">IFERROR(__xludf.DUMMYFUNCTION("""COMPUTED_VALUE"""),21)</f>
        <v>21</v>
      </c>
      <c r="C134" s="7">
        <f ca="1">IFERROR(__xludf.DUMMYFUNCTION("""COMPUTED_VALUE"""),3272)</f>
        <v>3272</v>
      </c>
      <c r="D134" s="7">
        <f ca="1">IFERROR(__xludf.DUMMYFUNCTION("""COMPUTED_VALUE"""),146)</f>
        <v>146</v>
      </c>
      <c r="E134" s="7">
        <f ca="1">IFERROR(__xludf.DUMMYFUNCTION("""COMPUTED_VALUE"""),18697)</f>
        <v>18697</v>
      </c>
    </row>
    <row r="135" spans="1:5" ht="13.2" x14ac:dyDescent="0.25">
      <c r="A135" s="93">
        <f ca="1">IFERROR(__xludf.DUMMYFUNCTION("""COMPUTED_VALUE"""),44024)</f>
        <v>44024</v>
      </c>
      <c r="B135" s="7">
        <f ca="1">IFERROR(__xludf.DUMMYFUNCTION("""COMPUTED_VALUE"""),20)</f>
        <v>20</v>
      </c>
      <c r="C135" s="7">
        <f ca="1">IFERROR(__xludf.DUMMYFUNCTION("""COMPUTED_VALUE"""),3292)</f>
        <v>3292</v>
      </c>
      <c r="D135" s="7">
        <f ca="1">IFERROR(__xludf.DUMMYFUNCTION("""COMPUTED_VALUE"""),139)</f>
        <v>139</v>
      </c>
      <c r="E135" s="7">
        <f ca="1">IFERROR(__xludf.DUMMYFUNCTION("""COMPUTED_VALUE"""),18836)</f>
        <v>18836</v>
      </c>
    </row>
    <row r="136" spans="1:5" ht="13.2" x14ac:dyDescent="0.25">
      <c r="A136" s="93">
        <f ca="1">IFERROR(__xludf.DUMMYFUNCTION("""COMPUTED_VALUE"""),44025)</f>
        <v>44025</v>
      </c>
      <c r="B136" s="7">
        <f ca="1">IFERROR(__xludf.DUMMYFUNCTION("""COMPUTED_VALUE"""),20)</f>
        <v>20</v>
      </c>
      <c r="C136" s="7">
        <f ca="1">IFERROR(__xludf.DUMMYFUNCTION("""COMPUTED_VALUE"""),3312)</f>
        <v>3312</v>
      </c>
      <c r="D136" s="7">
        <f ca="1">IFERROR(__xludf.DUMMYFUNCTION("""COMPUTED_VALUE"""),132)</f>
        <v>132</v>
      </c>
      <c r="E136" s="7">
        <f ca="1">IFERROR(__xludf.DUMMYFUNCTION("""COMPUTED_VALUE"""),18968)</f>
        <v>18968</v>
      </c>
    </row>
    <row r="137" spans="1:5" ht="13.2" x14ac:dyDescent="0.25">
      <c r="A137" s="93">
        <f ca="1">IFERROR(__xludf.DUMMYFUNCTION("""COMPUTED_VALUE"""),44026)</f>
        <v>44026</v>
      </c>
      <c r="B137" s="7">
        <f ca="1">IFERROR(__xludf.DUMMYFUNCTION("""COMPUTED_VALUE"""),14)</f>
        <v>14</v>
      </c>
      <c r="C137" s="7">
        <f ca="1">IFERROR(__xludf.DUMMYFUNCTION("""COMPUTED_VALUE"""),3326)</f>
        <v>3326</v>
      </c>
      <c r="D137" s="7">
        <f ca="1">IFERROR(__xludf.DUMMYFUNCTION("""COMPUTED_VALUE"""),146)</f>
        <v>146</v>
      </c>
      <c r="E137" s="7">
        <f ca="1">IFERROR(__xludf.DUMMYFUNCTION("""COMPUTED_VALUE"""),19114)</f>
        <v>19114</v>
      </c>
    </row>
    <row r="138" spans="1:5" ht="13.2" x14ac:dyDescent="0.25">
      <c r="A138" s="93">
        <f ca="1">IFERROR(__xludf.DUMMYFUNCTION("""COMPUTED_VALUE"""),44027)</f>
        <v>44027</v>
      </c>
      <c r="B138" s="7">
        <f ca="1">IFERROR(__xludf.DUMMYFUNCTION("""COMPUTED_VALUE"""),19)</f>
        <v>19</v>
      </c>
      <c r="C138" s="7">
        <f ca="1">IFERROR(__xludf.DUMMYFUNCTION("""COMPUTED_VALUE"""),3345)</f>
        <v>3345</v>
      </c>
      <c r="D138" s="7">
        <f ca="1">IFERROR(__xludf.DUMMYFUNCTION("""COMPUTED_VALUE"""),137)</f>
        <v>137</v>
      </c>
      <c r="E138" s="7">
        <f ca="1">IFERROR(__xludf.DUMMYFUNCTION("""COMPUTED_VALUE"""),19251)</f>
        <v>19251</v>
      </c>
    </row>
    <row r="139" spans="1:5" ht="13.2" x14ac:dyDescent="0.25">
      <c r="A139" s="93">
        <f ca="1">IFERROR(__xludf.DUMMYFUNCTION("""COMPUTED_VALUE"""),44028)</f>
        <v>44028</v>
      </c>
      <c r="B139" s="7">
        <f ca="1">IFERROR(__xludf.DUMMYFUNCTION("""COMPUTED_VALUE"""),14)</f>
        <v>14</v>
      </c>
      <c r="C139" s="7">
        <f ca="1">IFERROR(__xludf.DUMMYFUNCTION("""COMPUTED_VALUE"""),3359)</f>
        <v>3359</v>
      </c>
      <c r="D139" s="7">
        <f ca="1">IFERROR(__xludf.DUMMYFUNCTION("""COMPUTED_VALUE"""),111)</f>
        <v>111</v>
      </c>
      <c r="E139" s="7">
        <f ca="1">IFERROR(__xludf.DUMMYFUNCTION("""COMPUTED_VALUE"""),19362)</f>
        <v>19362</v>
      </c>
    </row>
    <row r="140" spans="1:5" ht="13.2" x14ac:dyDescent="0.25">
      <c r="A140" s="93">
        <f ca="1">IFERROR(__xludf.DUMMYFUNCTION("""COMPUTED_VALUE"""),44029)</f>
        <v>44029</v>
      </c>
      <c r="B140" s="7">
        <f ca="1">IFERROR(__xludf.DUMMYFUNCTION("""COMPUTED_VALUE"""),15)</f>
        <v>15</v>
      </c>
      <c r="C140" s="7">
        <f ca="1">IFERROR(__xludf.DUMMYFUNCTION("""COMPUTED_VALUE"""),3374)</f>
        <v>3374</v>
      </c>
      <c r="D140" s="7">
        <f ca="1">IFERROR(__xludf.DUMMYFUNCTION("""COMPUTED_VALUE"""),131)</f>
        <v>131</v>
      </c>
      <c r="E140" s="7">
        <f ca="1">IFERROR(__xludf.DUMMYFUNCTION("""COMPUTED_VALUE"""),19493)</f>
        <v>19493</v>
      </c>
    </row>
    <row r="141" spans="1:5" ht="13.2" x14ac:dyDescent="0.25">
      <c r="A141" s="93">
        <f ca="1">IFERROR(__xludf.DUMMYFUNCTION("""COMPUTED_VALUE"""),44030)</f>
        <v>44030</v>
      </c>
      <c r="B141" s="7">
        <f ca="1">IFERROR(__xludf.DUMMYFUNCTION("""COMPUTED_VALUE"""),24)</f>
        <v>24</v>
      </c>
      <c r="C141" s="7">
        <f ca="1">IFERROR(__xludf.DUMMYFUNCTION("""COMPUTED_VALUE"""),3398)</f>
        <v>3398</v>
      </c>
      <c r="D141" s="7">
        <f ca="1">IFERROR(__xludf.DUMMYFUNCTION("""COMPUTED_VALUE"""),150)</f>
        <v>150</v>
      </c>
      <c r="E141" s="7">
        <f ca="1">IFERROR(__xludf.DUMMYFUNCTION("""COMPUTED_VALUE"""),19643)</f>
        <v>19643</v>
      </c>
    </row>
    <row r="142" spans="1:5" ht="13.2" x14ac:dyDescent="0.25">
      <c r="A142" s="93">
        <f ca="1">IFERROR(__xludf.DUMMYFUNCTION("""COMPUTED_VALUE"""),44031)</f>
        <v>44031</v>
      </c>
      <c r="B142" s="7">
        <f ca="1">IFERROR(__xludf.DUMMYFUNCTION("""COMPUTED_VALUE"""),15)</f>
        <v>15</v>
      </c>
      <c r="C142" s="7">
        <f ca="1">IFERROR(__xludf.DUMMYFUNCTION("""COMPUTED_VALUE"""),3413)</f>
        <v>3413</v>
      </c>
      <c r="D142" s="7">
        <f ca="1">IFERROR(__xludf.DUMMYFUNCTION("""COMPUTED_VALUE"""),123)</f>
        <v>123</v>
      </c>
      <c r="E142" s="7">
        <f ca="1">IFERROR(__xludf.DUMMYFUNCTION("""COMPUTED_VALUE"""),19766)</f>
        <v>19766</v>
      </c>
    </row>
    <row r="143" spans="1:5" ht="13.2" x14ac:dyDescent="0.25">
      <c r="A143" s="93">
        <f ca="1">IFERROR(__xludf.DUMMYFUNCTION("""COMPUTED_VALUE"""),44032)</f>
        <v>44032</v>
      </c>
      <c r="B143" s="7">
        <f ca="1">IFERROR(__xludf.DUMMYFUNCTION("""COMPUTED_VALUE"""),23)</f>
        <v>23</v>
      </c>
      <c r="C143" s="7">
        <f ca="1">IFERROR(__xludf.DUMMYFUNCTION("""COMPUTED_VALUE"""),3436)</f>
        <v>3436</v>
      </c>
      <c r="D143" s="7">
        <f ca="1">IFERROR(__xludf.DUMMYFUNCTION("""COMPUTED_VALUE"""),151)</f>
        <v>151</v>
      </c>
      <c r="E143" s="7">
        <f ca="1">IFERROR(__xludf.DUMMYFUNCTION("""COMPUTED_VALUE"""),19917)</f>
        <v>19917</v>
      </c>
    </row>
    <row r="144" spans="1:5" ht="13.2" x14ac:dyDescent="0.25">
      <c r="A144" s="93">
        <f ca="1">IFERROR(__xludf.DUMMYFUNCTION("""COMPUTED_VALUE"""),44033)</f>
        <v>44033</v>
      </c>
      <c r="B144" s="7">
        <f ca="1">IFERROR(__xludf.DUMMYFUNCTION("""COMPUTED_VALUE"""),20)</f>
        <v>20</v>
      </c>
      <c r="C144" s="7">
        <f ca="1">IFERROR(__xludf.DUMMYFUNCTION("""COMPUTED_VALUE"""),3456)</f>
        <v>3456</v>
      </c>
      <c r="D144" s="7">
        <f ca="1">IFERROR(__xludf.DUMMYFUNCTION("""COMPUTED_VALUE"""),152)</f>
        <v>152</v>
      </c>
      <c r="E144" s="7">
        <f ca="1">IFERROR(__xludf.DUMMYFUNCTION("""COMPUTED_VALUE"""),20069)</f>
        <v>20069</v>
      </c>
    </row>
    <row r="145" spans="1:5" ht="13.2" x14ac:dyDescent="0.25">
      <c r="A145" s="93">
        <f ca="1">IFERROR(__xludf.DUMMYFUNCTION("""COMPUTED_VALUE"""),44034)</f>
        <v>44034</v>
      </c>
      <c r="B145" s="7">
        <f ca="1">IFERROR(__xludf.DUMMYFUNCTION("""COMPUTED_VALUE"""),21)</f>
        <v>21</v>
      </c>
      <c r="C145" s="7">
        <f ca="1">IFERROR(__xludf.DUMMYFUNCTION("""COMPUTED_VALUE"""),3477)</f>
        <v>3477</v>
      </c>
      <c r="D145" s="7">
        <f ca="1">IFERROR(__xludf.DUMMYFUNCTION("""COMPUTED_VALUE"""),132)</f>
        <v>132</v>
      </c>
      <c r="E145" s="7">
        <f ca="1">IFERROR(__xludf.DUMMYFUNCTION("""COMPUTED_VALUE"""),20201)</f>
        <v>20201</v>
      </c>
    </row>
    <row r="146" spans="1:5" ht="13.2" x14ac:dyDescent="0.25">
      <c r="A146" s="93">
        <f ca="1">IFERROR(__xludf.DUMMYFUNCTION("""COMPUTED_VALUE"""),44035)</f>
        <v>44035</v>
      </c>
      <c r="B146" s="7">
        <f ca="1">IFERROR(__xludf.DUMMYFUNCTION("""COMPUTED_VALUE"""),21)</f>
        <v>21</v>
      </c>
      <c r="C146" s="7">
        <f ca="1">IFERROR(__xludf.DUMMYFUNCTION("""COMPUTED_VALUE"""),3498)</f>
        <v>3498</v>
      </c>
      <c r="D146" s="7">
        <f ca="1">IFERROR(__xludf.DUMMYFUNCTION("""COMPUTED_VALUE"""),168)</f>
        <v>168</v>
      </c>
      <c r="E146" s="7">
        <f ca="1">IFERROR(__xludf.DUMMYFUNCTION("""COMPUTED_VALUE"""),20369)</f>
        <v>20369</v>
      </c>
    </row>
    <row r="147" spans="1:5" ht="13.2" x14ac:dyDescent="0.25">
      <c r="A147" s="93">
        <f ca="1">IFERROR(__xludf.DUMMYFUNCTION("""COMPUTED_VALUE"""),44036)</f>
        <v>44036</v>
      </c>
      <c r="B147" s="7">
        <f ca="1">IFERROR(__xludf.DUMMYFUNCTION("""COMPUTED_VALUE"""),25)</f>
        <v>25</v>
      </c>
      <c r="C147" s="7">
        <f ca="1">IFERROR(__xludf.DUMMYFUNCTION("""COMPUTED_VALUE"""),3523)</f>
        <v>3523</v>
      </c>
      <c r="D147" s="7">
        <f ca="1">IFERROR(__xludf.DUMMYFUNCTION("""COMPUTED_VALUE"""),155)</f>
        <v>155</v>
      </c>
      <c r="E147" s="7">
        <f ca="1">IFERROR(__xludf.DUMMYFUNCTION("""COMPUTED_VALUE"""),20524)</f>
        <v>20524</v>
      </c>
    </row>
    <row r="148" spans="1:5" ht="13.2" x14ac:dyDescent="0.25">
      <c r="A148" s="93">
        <f ca="1">IFERROR(__xludf.DUMMYFUNCTION("""COMPUTED_VALUE"""),44037)</f>
        <v>44037</v>
      </c>
      <c r="B148" s="7">
        <f ca="1">IFERROR(__xludf.DUMMYFUNCTION("""COMPUTED_VALUE"""),19)</f>
        <v>19</v>
      </c>
      <c r="C148" s="7">
        <f ca="1">IFERROR(__xludf.DUMMYFUNCTION("""COMPUTED_VALUE"""),3542)</f>
        <v>3542</v>
      </c>
      <c r="D148" s="7">
        <f ca="1">IFERROR(__xludf.DUMMYFUNCTION("""COMPUTED_VALUE"""),140)</f>
        <v>140</v>
      </c>
      <c r="E148" s="7">
        <f ca="1">IFERROR(__xludf.DUMMYFUNCTION("""COMPUTED_VALUE"""),20664)</f>
        <v>20664</v>
      </c>
    </row>
    <row r="149" spans="1:5" ht="13.2" x14ac:dyDescent="0.25">
      <c r="A149" s="93">
        <f ca="1">IFERROR(__xludf.DUMMYFUNCTION("""COMPUTED_VALUE"""),44038)</f>
        <v>44038</v>
      </c>
      <c r="B149" s="7">
        <f ca="1">IFERROR(__xludf.DUMMYFUNCTION("""COMPUTED_VALUE"""),23)</f>
        <v>23</v>
      </c>
      <c r="C149" s="7">
        <f ca="1">IFERROR(__xludf.DUMMYFUNCTION("""COMPUTED_VALUE"""),3565)</f>
        <v>3565</v>
      </c>
      <c r="D149" s="7">
        <f ca="1">IFERROR(__xludf.DUMMYFUNCTION("""COMPUTED_VALUE"""),117)</f>
        <v>117</v>
      </c>
      <c r="E149" s="7">
        <f ca="1">IFERROR(__xludf.DUMMYFUNCTION("""COMPUTED_VALUE"""),20781)</f>
        <v>20781</v>
      </c>
    </row>
    <row r="150" spans="1:5" ht="13.2" x14ac:dyDescent="0.25">
      <c r="A150" s="93">
        <f ca="1">IFERROR(__xludf.DUMMYFUNCTION("""COMPUTED_VALUE"""),44039)</f>
        <v>44039</v>
      </c>
      <c r="B150" s="7">
        <f ca="1">IFERROR(__xludf.DUMMYFUNCTION("""COMPUTED_VALUE"""),24)</f>
        <v>24</v>
      </c>
      <c r="C150" s="7">
        <f ca="1">IFERROR(__xludf.DUMMYFUNCTION("""COMPUTED_VALUE"""),3589)</f>
        <v>3589</v>
      </c>
      <c r="D150" s="7">
        <f ca="1">IFERROR(__xludf.DUMMYFUNCTION("""COMPUTED_VALUE"""),143)</f>
        <v>143</v>
      </c>
      <c r="E150" s="7">
        <f ca="1">IFERROR(__xludf.DUMMYFUNCTION("""COMPUTED_VALUE"""),20924)</f>
        <v>20924</v>
      </c>
    </row>
    <row r="151" spans="1:5" ht="13.2" x14ac:dyDescent="0.25">
      <c r="A151" s="93">
        <f ca="1">IFERROR(__xludf.DUMMYFUNCTION("""COMPUTED_VALUE"""),44040)</f>
        <v>44040</v>
      </c>
      <c r="B151" s="7">
        <f ca="1">IFERROR(__xludf.DUMMYFUNCTION("""COMPUTED_VALUE"""),30)</f>
        <v>30</v>
      </c>
      <c r="C151" s="7">
        <f ca="1">IFERROR(__xludf.DUMMYFUNCTION("""COMPUTED_VALUE"""),3619)</f>
        <v>3619</v>
      </c>
      <c r="D151" s="7">
        <f ca="1">IFERROR(__xludf.DUMMYFUNCTION("""COMPUTED_VALUE"""),144)</f>
        <v>144</v>
      </c>
      <c r="E151" s="7">
        <f ca="1">IFERROR(__xludf.DUMMYFUNCTION("""COMPUTED_VALUE"""),21068)</f>
        <v>21068</v>
      </c>
    </row>
    <row r="152" spans="1:5" ht="13.2" x14ac:dyDescent="0.25">
      <c r="A152" s="93">
        <f ca="1">IFERROR(__xludf.DUMMYFUNCTION("""COMPUTED_VALUE"""),44041)</f>
        <v>44041</v>
      </c>
      <c r="B152" s="7">
        <f ca="1">IFERROR(__xludf.DUMMYFUNCTION("""COMPUTED_VALUE"""),27)</f>
        <v>27</v>
      </c>
      <c r="C152" s="7">
        <f ca="1">IFERROR(__xludf.DUMMYFUNCTION("""COMPUTED_VALUE"""),3646)</f>
        <v>3646</v>
      </c>
      <c r="D152" s="7">
        <f ca="1">IFERROR(__xludf.DUMMYFUNCTION("""COMPUTED_VALUE"""),147)</f>
        <v>147</v>
      </c>
      <c r="E152" s="7">
        <f ca="1">IFERROR(__xludf.DUMMYFUNCTION("""COMPUTED_VALUE"""),21215)</f>
        <v>21215</v>
      </c>
    </row>
    <row r="153" spans="1:5" ht="13.2" x14ac:dyDescent="0.25">
      <c r="A153" s="93">
        <f ca="1">IFERROR(__xludf.DUMMYFUNCTION("""COMPUTED_VALUE"""),44042)</f>
        <v>44042</v>
      </c>
      <c r="B153" s="7">
        <f ca="1">IFERROR(__xludf.DUMMYFUNCTION("""COMPUTED_VALUE"""),20)</f>
        <v>20</v>
      </c>
      <c r="C153" s="7">
        <f ca="1">IFERROR(__xludf.DUMMYFUNCTION("""COMPUTED_VALUE"""),3666)</f>
        <v>3666</v>
      </c>
      <c r="D153" s="7">
        <f ca="1">IFERROR(__xludf.DUMMYFUNCTION("""COMPUTED_VALUE"""),141)</f>
        <v>141</v>
      </c>
      <c r="E153" s="7">
        <f ca="1">IFERROR(__xludf.DUMMYFUNCTION("""COMPUTED_VALUE"""),21356)</f>
        <v>21356</v>
      </c>
    </row>
    <row r="154" spans="1:5" ht="13.2" x14ac:dyDescent="0.25">
      <c r="A154" s="93">
        <f ca="1">IFERROR(__xludf.DUMMYFUNCTION("""COMPUTED_VALUE"""),44043)</f>
        <v>44043</v>
      </c>
      <c r="B154" s="7">
        <f ca="1">IFERROR(__xludf.DUMMYFUNCTION("""COMPUTED_VALUE"""),26)</f>
        <v>26</v>
      </c>
      <c r="C154" s="7">
        <f ca="1">IFERROR(__xludf.DUMMYFUNCTION("""COMPUTED_VALUE"""),3692)</f>
        <v>3692</v>
      </c>
      <c r="D154" s="7">
        <f ca="1">IFERROR(__xludf.DUMMYFUNCTION("""COMPUTED_VALUE"""),152)</f>
        <v>152</v>
      </c>
      <c r="E154" s="7">
        <f ca="1">IFERROR(__xludf.DUMMYFUNCTION("""COMPUTED_VALUE"""),21508)</f>
        <v>21508</v>
      </c>
    </row>
    <row r="155" spans="1:5" ht="13.2" x14ac:dyDescent="0.25">
      <c r="A155" s="93">
        <f ca="1">IFERROR(__xludf.DUMMYFUNCTION("""COMPUTED_VALUE"""),44044)</f>
        <v>44044</v>
      </c>
      <c r="B155" s="7">
        <f ca="1">IFERROR(__xludf.DUMMYFUNCTION("""COMPUTED_VALUE"""),31)</f>
        <v>31</v>
      </c>
      <c r="C155" s="7">
        <f ca="1">IFERROR(__xludf.DUMMYFUNCTION("""COMPUTED_VALUE"""),3723)</f>
        <v>3723</v>
      </c>
      <c r="D155" s="7">
        <f ca="1">IFERROR(__xludf.DUMMYFUNCTION("""COMPUTED_VALUE"""),151)</f>
        <v>151</v>
      </c>
      <c r="E155" s="7">
        <f ca="1">IFERROR(__xludf.DUMMYFUNCTION("""COMPUTED_VALUE"""),21659)</f>
        <v>21659</v>
      </c>
    </row>
    <row r="156" spans="1:5" ht="13.2" x14ac:dyDescent="0.25">
      <c r="A156" s="93">
        <f ca="1">IFERROR(__xludf.DUMMYFUNCTION("""COMPUTED_VALUE"""),44045)</f>
        <v>44045</v>
      </c>
      <c r="B156" s="7">
        <f ca="1">IFERROR(__xludf.DUMMYFUNCTION("""COMPUTED_VALUE"""),39)</f>
        <v>39</v>
      </c>
      <c r="C156" s="7">
        <f ca="1">IFERROR(__xludf.DUMMYFUNCTION("""COMPUTED_VALUE"""),3762)</f>
        <v>3762</v>
      </c>
      <c r="D156" s="7">
        <f ca="1">IFERROR(__xludf.DUMMYFUNCTION("""COMPUTED_VALUE"""),141)</f>
        <v>141</v>
      </c>
      <c r="E156" s="7">
        <f ca="1">IFERROR(__xludf.DUMMYFUNCTION("""COMPUTED_VALUE"""),21800)</f>
        <v>21800</v>
      </c>
    </row>
    <row r="157" spans="1:5" ht="13.2" x14ac:dyDescent="0.25">
      <c r="A157" s="93">
        <f ca="1">IFERROR(__xludf.DUMMYFUNCTION("""COMPUTED_VALUE"""),44046)</f>
        <v>44046</v>
      </c>
      <c r="B157" s="7">
        <f ca="1">IFERROR(__xludf.DUMMYFUNCTION("""COMPUTED_VALUE"""),25)</f>
        <v>25</v>
      </c>
      <c r="C157" s="7">
        <f ca="1">IFERROR(__xludf.DUMMYFUNCTION("""COMPUTED_VALUE"""),3787)</f>
        <v>3787</v>
      </c>
      <c r="D157" s="7">
        <f ca="1">IFERROR(__xludf.DUMMYFUNCTION("""COMPUTED_VALUE"""),129)</f>
        <v>129</v>
      </c>
      <c r="E157" s="7">
        <f ca="1">IFERROR(__xludf.DUMMYFUNCTION("""COMPUTED_VALUE"""),21929)</f>
        <v>21929</v>
      </c>
    </row>
    <row r="158" spans="1:5" ht="13.2" x14ac:dyDescent="0.25">
      <c r="A158" s="93">
        <f ca="1">IFERROR(__xludf.DUMMYFUNCTION("""COMPUTED_VALUE"""),44047)</f>
        <v>44047</v>
      </c>
      <c r="B158" s="7">
        <f ca="1">IFERROR(__xludf.DUMMYFUNCTION("""COMPUTED_VALUE"""),34)</f>
        <v>34</v>
      </c>
      <c r="C158" s="7">
        <f ca="1">IFERROR(__xludf.DUMMYFUNCTION("""COMPUTED_VALUE"""),3821)</f>
        <v>3821</v>
      </c>
      <c r="D158" s="7">
        <f ca="1">IFERROR(__xludf.DUMMYFUNCTION("""COMPUTED_VALUE"""),152)</f>
        <v>152</v>
      </c>
      <c r="E158" s="7">
        <f ca="1">IFERROR(__xludf.DUMMYFUNCTION("""COMPUTED_VALUE"""),22081)</f>
        <v>22081</v>
      </c>
    </row>
    <row r="159" spans="1:5" ht="13.2" x14ac:dyDescent="0.25">
      <c r="A159" s="93">
        <f ca="1">IFERROR(__xludf.DUMMYFUNCTION("""COMPUTED_VALUE"""),44048)</f>
        <v>44048</v>
      </c>
      <c r="B159" s="7">
        <f ca="1">IFERROR(__xludf.DUMMYFUNCTION("""COMPUTED_VALUE"""),36)</f>
        <v>36</v>
      </c>
      <c r="C159" s="7">
        <f ca="1">IFERROR(__xludf.DUMMYFUNCTION("""COMPUTED_VALUE"""),3857)</f>
        <v>3857</v>
      </c>
      <c r="D159" s="7">
        <f ca="1">IFERROR(__xludf.DUMMYFUNCTION("""COMPUTED_VALUE"""),138)</f>
        <v>138</v>
      </c>
      <c r="E159" s="7">
        <f ca="1">IFERROR(__xludf.DUMMYFUNCTION("""COMPUTED_VALUE"""),22219)</f>
        <v>22219</v>
      </c>
    </row>
    <row r="160" spans="1:5" ht="13.2" x14ac:dyDescent="0.25">
      <c r="A160" s="93">
        <f ca="1">IFERROR(__xludf.DUMMYFUNCTION("""COMPUTED_VALUE"""),44049)</f>
        <v>44049</v>
      </c>
      <c r="B160" s="7">
        <f ca="1">IFERROR(__xludf.DUMMYFUNCTION("""COMPUTED_VALUE"""),20)</f>
        <v>20</v>
      </c>
      <c r="C160" s="7">
        <f ca="1">IFERROR(__xludf.DUMMYFUNCTION("""COMPUTED_VALUE"""),3877)</f>
        <v>3877</v>
      </c>
      <c r="D160" s="7">
        <f ca="1">IFERROR(__xludf.DUMMYFUNCTION("""COMPUTED_VALUE"""),130)</f>
        <v>130</v>
      </c>
      <c r="E160" s="7">
        <f ca="1">IFERROR(__xludf.DUMMYFUNCTION("""COMPUTED_VALUE"""),22349)</f>
        <v>22349</v>
      </c>
    </row>
    <row r="161" spans="1:5" ht="13.2" x14ac:dyDescent="0.25">
      <c r="A161" s="93">
        <f ca="1">IFERROR(__xludf.DUMMYFUNCTION("""COMPUTED_VALUE"""),44050)</f>
        <v>44050</v>
      </c>
      <c r="B161" s="7">
        <f ca="1">IFERROR(__xludf.DUMMYFUNCTION("""COMPUTED_VALUE"""),36)</f>
        <v>36</v>
      </c>
      <c r="C161" s="7">
        <f ca="1">IFERROR(__xludf.DUMMYFUNCTION("""COMPUTED_VALUE"""),3913)</f>
        <v>3913</v>
      </c>
      <c r="D161" s="7">
        <f ca="1">IFERROR(__xludf.DUMMYFUNCTION("""COMPUTED_VALUE"""),159)</f>
        <v>159</v>
      </c>
      <c r="E161" s="7">
        <f ca="1">IFERROR(__xludf.DUMMYFUNCTION("""COMPUTED_VALUE"""),22508)</f>
        <v>22508</v>
      </c>
    </row>
    <row r="162" spans="1:5" ht="13.2" x14ac:dyDescent="0.25">
      <c r="A162" s="93">
        <f ca="1">IFERROR(__xludf.DUMMYFUNCTION("""COMPUTED_VALUE"""),44051)</f>
        <v>44051</v>
      </c>
      <c r="B162" s="7">
        <f ca="1">IFERROR(__xludf.DUMMYFUNCTION("""COMPUTED_VALUE"""),29)</f>
        <v>29</v>
      </c>
      <c r="C162" s="7">
        <f ca="1">IFERROR(__xludf.DUMMYFUNCTION("""COMPUTED_VALUE"""),3942)</f>
        <v>3942</v>
      </c>
      <c r="D162" s="7">
        <f ca="1">IFERROR(__xludf.DUMMYFUNCTION("""COMPUTED_VALUE"""),162)</f>
        <v>162</v>
      </c>
      <c r="E162" s="7">
        <f ca="1">IFERROR(__xludf.DUMMYFUNCTION("""COMPUTED_VALUE"""),22670)</f>
        <v>22670</v>
      </c>
    </row>
    <row r="163" spans="1:5" ht="13.2" x14ac:dyDescent="0.25">
      <c r="A163" s="93">
        <f ca="1">IFERROR(__xludf.DUMMYFUNCTION("""COMPUTED_VALUE"""),44052)</f>
        <v>44052</v>
      </c>
      <c r="B163" s="7">
        <f ca="1">IFERROR(__xludf.DUMMYFUNCTION("""COMPUTED_VALUE"""),35)</f>
        <v>35</v>
      </c>
      <c r="C163" s="7">
        <f ca="1">IFERROR(__xludf.DUMMYFUNCTION("""COMPUTED_VALUE"""),3977)</f>
        <v>3977</v>
      </c>
      <c r="D163" s="7">
        <f ca="1">IFERROR(__xludf.DUMMYFUNCTION("""COMPUTED_VALUE"""),145)</f>
        <v>145</v>
      </c>
      <c r="E163" s="7">
        <f ca="1">IFERROR(__xludf.DUMMYFUNCTION("""COMPUTED_VALUE"""),22815)</f>
        <v>22815</v>
      </c>
    </row>
    <row r="164" spans="1:5" ht="13.2" x14ac:dyDescent="0.25">
      <c r="A164" s="93">
        <f ca="1">IFERROR(__xludf.DUMMYFUNCTION("""COMPUTED_VALUE"""),44053)</f>
        <v>44053</v>
      </c>
      <c r="B164" s="7">
        <f ca="1">IFERROR(__xludf.DUMMYFUNCTION("""COMPUTED_VALUE"""),40)</f>
        <v>40</v>
      </c>
      <c r="C164" s="7">
        <f ca="1">IFERROR(__xludf.DUMMYFUNCTION("""COMPUTED_VALUE"""),4017)</f>
        <v>4017</v>
      </c>
      <c r="D164" s="7">
        <f ca="1">IFERROR(__xludf.DUMMYFUNCTION("""COMPUTED_VALUE"""),167)</f>
        <v>167</v>
      </c>
      <c r="E164" s="7">
        <f ca="1">IFERROR(__xludf.DUMMYFUNCTION("""COMPUTED_VALUE"""),22982)</f>
        <v>22982</v>
      </c>
    </row>
    <row r="165" spans="1:5" ht="13.2" x14ac:dyDescent="0.25">
      <c r="A165" s="93">
        <f ca="1">IFERROR(__xludf.DUMMYFUNCTION("""COMPUTED_VALUE"""),44054)</f>
        <v>44054</v>
      </c>
      <c r="B165" s="7">
        <f ca="1">IFERROR(__xludf.DUMMYFUNCTION("""COMPUTED_VALUE"""),36)</f>
        <v>36</v>
      </c>
      <c r="C165" s="7">
        <f ca="1">IFERROR(__xludf.DUMMYFUNCTION("""COMPUTED_VALUE"""),4053)</f>
        <v>4053</v>
      </c>
      <c r="D165" s="7">
        <f ca="1">IFERROR(__xludf.DUMMYFUNCTION("""COMPUTED_VALUE"""),136)</f>
        <v>136</v>
      </c>
      <c r="E165" s="7">
        <f ca="1">IFERROR(__xludf.DUMMYFUNCTION("""COMPUTED_VALUE"""),23118)</f>
        <v>23118</v>
      </c>
    </row>
    <row r="166" spans="1:5" ht="13.2" x14ac:dyDescent="0.25">
      <c r="A166" s="93">
        <f ca="1">IFERROR(__xludf.DUMMYFUNCTION("""COMPUTED_VALUE"""),44055)</f>
        <v>44055</v>
      </c>
      <c r="B166" s="7">
        <f ca="1">IFERROR(__xludf.DUMMYFUNCTION("""COMPUTED_VALUE"""),34)</f>
        <v>34</v>
      </c>
      <c r="C166" s="7">
        <f ca="1">IFERROR(__xludf.DUMMYFUNCTION("""COMPUTED_VALUE"""),4087)</f>
        <v>4087</v>
      </c>
      <c r="D166" s="7">
        <f ca="1">IFERROR(__xludf.DUMMYFUNCTION("""COMPUTED_VALUE"""),150)</f>
        <v>150</v>
      </c>
      <c r="E166" s="7">
        <f ca="1">IFERROR(__xludf.DUMMYFUNCTION("""COMPUTED_VALUE"""),23268)</f>
        <v>23268</v>
      </c>
    </row>
    <row r="167" spans="1:5" ht="13.2" x14ac:dyDescent="0.25">
      <c r="A167" s="93">
        <f ca="1">IFERROR(__xludf.DUMMYFUNCTION("""COMPUTED_VALUE"""),44056)</f>
        <v>44056</v>
      </c>
      <c r="B167" s="7">
        <f ca="1">IFERROR(__xludf.DUMMYFUNCTION("""COMPUTED_VALUE"""),34)</f>
        <v>34</v>
      </c>
      <c r="C167" s="7">
        <f ca="1">IFERROR(__xludf.DUMMYFUNCTION("""COMPUTED_VALUE"""),4121)</f>
        <v>4121</v>
      </c>
      <c r="D167" s="7">
        <f ca="1">IFERROR(__xludf.DUMMYFUNCTION("""COMPUTED_VALUE"""),149)</f>
        <v>149</v>
      </c>
      <c r="E167" s="7">
        <f ca="1">IFERROR(__xludf.DUMMYFUNCTION("""COMPUTED_VALUE"""),23417)</f>
        <v>23417</v>
      </c>
    </row>
    <row r="168" spans="1:5" ht="13.2" x14ac:dyDescent="0.25">
      <c r="A168" s="93">
        <f ca="1">IFERROR(__xludf.DUMMYFUNCTION("""COMPUTED_VALUE"""),44057)</f>
        <v>44057</v>
      </c>
      <c r="B168" s="7">
        <f ca="1">IFERROR(__xludf.DUMMYFUNCTION("""COMPUTED_VALUE"""),43)</f>
        <v>43</v>
      </c>
      <c r="C168" s="7">
        <f ca="1">IFERROR(__xludf.DUMMYFUNCTION("""COMPUTED_VALUE"""),4164)</f>
        <v>4164</v>
      </c>
      <c r="D168" s="7">
        <f ca="1">IFERROR(__xludf.DUMMYFUNCTION("""COMPUTED_VALUE"""),152)</f>
        <v>152</v>
      </c>
      <c r="E168" s="7">
        <f ca="1">IFERROR(__xludf.DUMMYFUNCTION("""COMPUTED_VALUE"""),23569)</f>
        <v>23569</v>
      </c>
    </row>
    <row r="169" spans="1:5" ht="13.2" x14ac:dyDescent="0.25">
      <c r="A169" s="93">
        <f ca="1">IFERROR(__xludf.DUMMYFUNCTION("""COMPUTED_VALUE"""),44058)</f>
        <v>44058</v>
      </c>
      <c r="B169" s="7">
        <f ca="1">IFERROR(__xludf.DUMMYFUNCTION("""COMPUTED_VALUE"""),30)</f>
        <v>30</v>
      </c>
      <c r="C169" s="7">
        <f ca="1">IFERROR(__xludf.DUMMYFUNCTION("""COMPUTED_VALUE"""),4194)</f>
        <v>4194</v>
      </c>
      <c r="D169" s="7">
        <f ca="1">IFERROR(__xludf.DUMMYFUNCTION("""COMPUTED_VALUE"""),150)</f>
        <v>150</v>
      </c>
      <c r="E169" s="7">
        <f ca="1">IFERROR(__xludf.DUMMYFUNCTION("""COMPUTED_VALUE"""),23719)</f>
        <v>23719</v>
      </c>
    </row>
    <row r="170" spans="1:5" ht="13.2" x14ac:dyDescent="0.25">
      <c r="A170" s="93">
        <f ca="1">IFERROR(__xludf.DUMMYFUNCTION("""COMPUTED_VALUE"""),44059)</f>
        <v>44059</v>
      </c>
      <c r="B170" s="7">
        <f ca="1">IFERROR(__xludf.DUMMYFUNCTION("""COMPUTED_VALUE"""),41)</f>
        <v>41</v>
      </c>
      <c r="C170" s="7">
        <f ca="1">IFERROR(__xludf.DUMMYFUNCTION("""COMPUTED_VALUE"""),4235)</f>
        <v>4235</v>
      </c>
      <c r="D170" s="7">
        <f ca="1">IFERROR(__xludf.DUMMYFUNCTION("""COMPUTED_VALUE"""),143)</f>
        <v>143</v>
      </c>
      <c r="E170" s="7">
        <f ca="1">IFERROR(__xludf.DUMMYFUNCTION("""COMPUTED_VALUE"""),23862)</f>
        <v>23862</v>
      </c>
    </row>
    <row r="171" spans="1:5" ht="13.2" x14ac:dyDescent="0.25">
      <c r="A171" s="93">
        <f ca="1">IFERROR(__xludf.DUMMYFUNCTION("""COMPUTED_VALUE"""),44060)</f>
        <v>44060</v>
      </c>
      <c r="B171" s="7">
        <f ca="1">IFERROR(__xludf.DUMMYFUNCTION("""COMPUTED_VALUE"""),39)</f>
        <v>39</v>
      </c>
      <c r="C171" s="7">
        <f ca="1">IFERROR(__xludf.DUMMYFUNCTION("""COMPUTED_VALUE"""),4274)</f>
        <v>4274</v>
      </c>
      <c r="D171" s="7">
        <f ca="1">IFERROR(__xludf.DUMMYFUNCTION("""COMPUTED_VALUE"""),157)</f>
        <v>157</v>
      </c>
      <c r="E171" s="7">
        <f ca="1">IFERROR(__xludf.DUMMYFUNCTION("""COMPUTED_VALUE"""),24019)</f>
        <v>24019</v>
      </c>
    </row>
    <row r="172" spans="1:5" ht="13.2" x14ac:dyDescent="0.25">
      <c r="A172" s="93">
        <f ca="1">IFERROR(__xludf.DUMMYFUNCTION("""COMPUTED_VALUE"""),44061)</f>
        <v>44061</v>
      </c>
      <c r="B172" s="7">
        <f ca="1">IFERROR(__xludf.DUMMYFUNCTION("""COMPUTED_VALUE"""),31)</f>
        <v>31</v>
      </c>
      <c r="C172" s="7">
        <f ca="1">IFERROR(__xludf.DUMMYFUNCTION("""COMPUTED_VALUE"""),4305)</f>
        <v>4305</v>
      </c>
      <c r="D172" s="7">
        <f ca="1">IFERROR(__xludf.DUMMYFUNCTION("""COMPUTED_VALUE"""),145)</f>
        <v>145</v>
      </c>
      <c r="E172" s="7">
        <f ca="1">IFERROR(__xludf.DUMMYFUNCTION("""COMPUTED_VALUE"""),24164)</f>
        <v>24164</v>
      </c>
    </row>
    <row r="173" spans="1:5" ht="13.2" x14ac:dyDescent="0.25">
      <c r="A173" s="93">
        <f ca="1">IFERROR(__xludf.DUMMYFUNCTION("""COMPUTED_VALUE"""),44062)</f>
        <v>44062</v>
      </c>
      <c r="B173" s="7">
        <f ca="1">IFERROR(__xludf.DUMMYFUNCTION("""COMPUTED_VALUE"""),35)</f>
        <v>35</v>
      </c>
      <c r="C173" s="7">
        <f ca="1">IFERROR(__xludf.DUMMYFUNCTION("""COMPUTED_VALUE"""),4340)</f>
        <v>4340</v>
      </c>
      <c r="D173" s="7">
        <f ca="1">IFERROR(__xludf.DUMMYFUNCTION("""COMPUTED_VALUE"""),147)</f>
        <v>147</v>
      </c>
      <c r="E173" s="7">
        <f ca="1">IFERROR(__xludf.DUMMYFUNCTION("""COMPUTED_VALUE"""),24311)</f>
        <v>24311</v>
      </c>
    </row>
    <row r="174" spans="1:5" ht="13.2" x14ac:dyDescent="0.25">
      <c r="A174" s="93">
        <f ca="1">IFERROR(__xludf.DUMMYFUNCTION("""COMPUTED_VALUE"""),44063)</f>
        <v>44063</v>
      </c>
      <c r="B174" s="7">
        <f ca="1">IFERROR(__xludf.DUMMYFUNCTION("""COMPUTED_VALUE"""),35)</f>
        <v>35</v>
      </c>
      <c r="C174" s="7">
        <f ca="1">IFERROR(__xludf.DUMMYFUNCTION("""COMPUTED_VALUE"""),4375)</f>
        <v>4375</v>
      </c>
      <c r="D174" s="7">
        <f ca="1">IFERROR(__xludf.DUMMYFUNCTION("""COMPUTED_VALUE"""),168)</f>
        <v>168</v>
      </c>
      <c r="E174" s="7">
        <f ca="1">IFERROR(__xludf.DUMMYFUNCTION("""COMPUTED_VALUE"""),24479)</f>
        <v>24479</v>
      </c>
    </row>
    <row r="175" spans="1:5" ht="13.2" x14ac:dyDescent="0.25">
      <c r="A175" s="93">
        <f ca="1">IFERROR(__xludf.DUMMYFUNCTION("""COMPUTED_VALUE"""),44064)</f>
        <v>44064</v>
      </c>
      <c r="B175" s="7">
        <f ca="1">IFERROR(__xludf.DUMMYFUNCTION("""COMPUTED_VALUE"""),37)</f>
        <v>37</v>
      </c>
      <c r="C175" s="7">
        <f ca="1">IFERROR(__xludf.DUMMYFUNCTION("""COMPUTED_VALUE"""),4412)</f>
        <v>4412</v>
      </c>
      <c r="D175" s="7">
        <f ca="1">IFERROR(__xludf.DUMMYFUNCTION("""COMPUTED_VALUE"""),160)</f>
        <v>160</v>
      </c>
      <c r="E175" s="7">
        <f ca="1">IFERROR(__xludf.DUMMYFUNCTION("""COMPUTED_VALUE"""),24639)</f>
        <v>24639</v>
      </c>
    </row>
    <row r="176" spans="1:5" ht="13.2" x14ac:dyDescent="0.25">
      <c r="A176" s="93">
        <f ca="1">IFERROR(__xludf.DUMMYFUNCTION("""COMPUTED_VALUE"""),44065)</f>
        <v>44065</v>
      </c>
      <c r="B176" s="7">
        <f ca="1">IFERROR(__xludf.DUMMYFUNCTION("""COMPUTED_VALUE"""),42)</f>
        <v>42</v>
      </c>
      <c r="C176" s="7">
        <f ca="1">IFERROR(__xludf.DUMMYFUNCTION("""COMPUTED_VALUE"""),4454)</f>
        <v>4454</v>
      </c>
      <c r="D176" s="7">
        <f ca="1">IFERROR(__xludf.DUMMYFUNCTION("""COMPUTED_VALUE"""),157)</f>
        <v>157</v>
      </c>
      <c r="E176" s="7">
        <f ca="1">IFERROR(__xludf.DUMMYFUNCTION("""COMPUTED_VALUE"""),24796)</f>
        <v>24796</v>
      </c>
    </row>
    <row r="177" spans="1:5" ht="13.2" x14ac:dyDescent="0.25">
      <c r="A177" s="93">
        <f ca="1">IFERROR(__xludf.DUMMYFUNCTION("""COMPUTED_VALUE"""),44066)</f>
        <v>44066</v>
      </c>
      <c r="B177" s="7">
        <f ca="1">IFERROR(__xludf.DUMMYFUNCTION("""COMPUTED_VALUE"""),37)</f>
        <v>37</v>
      </c>
      <c r="C177" s="7">
        <f ca="1">IFERROR(__xludf.DUMMYFUNCTION("""COMPUTED_VALUE"""),4491)</f>
        <v>4491</v>
      </c>
      <c r="D177" s="7">
        <f ca="1">IFERROR(__xludf.DUMMYFUNCTION("""COMPUTED_VALUE"""),139)</f>
        <v>139</v>
      </c>
      <c r="E177" s="7">
        <f ca="1">IFERROR(__xludf.DUMMYFUNCTION("""COMPUTED_VALUE"""),24935)</f>
        <v>24935</v>
      </c>
    </row>
    <row r="178" spans="1:5" ht="13.2" x14ac:dyDescent="0.25">
      <c r="A178" s="93">
        <f ca="1">IFERROR(__xludf.DUMMYFUNCTION("""COMPUTED_VALUE"""),44067)</f>
        <v>44067</v>
      </c>
      <c r="B178" s="7">
        <f ca="1">IFERROR(__xludf.DUMMYFUNCTION("""COMPUTED_VALUE"""),47)</f>
        <v>47</v>
      </c>
      <c r="C178" s="7">
        <f ca="1">IFERROR(__xludf.DUMMYFUNCTION("""COMPUTED_VALUE"""),4538)</f>
        <v>4538</v>
      </c>
      <c r="D178" s="7">
        <f ca="1">IFERROR(__xludf.DUMMYFUNCTION("""COMPUTED_VALUE"""),162)</f>
        <v>162</v>
      </c>
      <c r="E178" s="7">
        <f ca="1">IFERROR(__xludf.DUMMYFUNCTION("""COMPUTED_VALUE"""),25097)</f>
        <v>25097</v>
      </c>
    </row>
    <row r="179" spans="1:5" ht="13.2" x14ac:dyDescent="0.25">
      <c r="A179" s="93">
        <f ca="1">IFERROR(__xludf.DUMMYFUNCTION("""COMPUTED_VALUE"""),44068)</f>
        <v>44068</v>
      </c>
      <c r="B179" s="7">
        <f ca="1">IFERROR(__xludf.DUMMYFUNCTION("""COMPUTED_VALUE"""),38)</f>
        <v>38</v>
      </c>
      <c r="C179" s="7">
        <f ca="1">IFERROR(__xludf.DUMMYFUNCTION("""COMPUTED_VALUE"""),4576)</f>
        <v>4576</v>
      </c>
      <c r="D179" s="7">
        <f ca="1">IFERROR(__xludf.DUMMYFUNCTION("""COMPUTED_VALUE"""),161)</f>
        <v>161</v>
      </c>
      <c r="E179" s="7">
        <f ca="1">IFERROR(__xludf.DUMMYFUNCTION("""COMPUTED_VALUE"""),25258)</f>
        <v>25258</v>
      </c>
    </row>
    <row r="180" spans="1:5" ht="13.2" x14ac:dyDescent="0.25">
      <c r="A180" s="93">
        <f ca="1">IFERROR(__xludf.DUMMYFUNCTION("""COMPUTED_VALUE"""),44069)</f>
        <v>44069</v>
      </c>
      <c r="B180" s="7">
        <f ca="1">IFERROR(__xludf.DUMMYFUNCTION("""COMPUTED_VALUE"""),42)</f>
        <v>42</v>
      </c>
      <c r="C180" s="7">
        <f ca="1">IFERROR(__xludf.DUMMYFUNCTION("""COMPUTED_VALUE"""),4618)</f>
        <v>4618</v>
      </c>
      <c r="D180" s="7">
        <f ca="1">IFERROR(__xludf.DUMMYFUNCTION("""COMPUTED_VALUE"""),167)</f>
        <v>167</v>
      </c>
      <c r="E180" s="7">
        <f ca="1">IFERROR(__xludf.DUMMYFUNCTION("""COMPUTED_VALUE"""),25425)</f>
        <v>25425</v>
      </c>
    </row>
    <row r="181" spans="1:5" ht="13.2" x14ac:dyDescent="0.25">
      <c r="A181" s="93">
        <f ca="1">IFERROR(__xludf.DUMMYFUNCTION("""COMPUTED_VALUE"""),44070)</f>
        <v>44070</v>
      </c>
      <c r="B181" s="7">
        <f ca="1">IFERROR(__xludf.DUMMYFUNCTION("""COMPUTED_VALUE"""),50)</f>
        <v>50</v>
      </c>
      <c r="C181" s="7">
        <f ca="1">IFERROR(__xludf.DUMMYFUNCTION("""COMPUTED_VALUE"""),4668)</f>
        <v>4668</v>
      </c>
      <c r="D181" s="7">
        <f ca="1">IFERROR(__xludf.DUMMYFUNCTION("""COMPUTED_VALUE"""),165)</f>
        <v>165</v>
      </c>
      <c r="E181" s="7">
        <f ca="1">IFERROR(__xludf.DUMMYFUNCTION("""COMPUTED_VALUE"""),25590)</f>
        <v>25590</v>
      </c>
    </row>
    <row r="182" spans="1:5" ht="13.2" x14ac:dyDescent="0.25">
      <c r="A182" s="93">
        <f ca="1">IFERROR(__xludf.DUMMYFUNCTION("""COMPUTED_VALUE"""),44071)</f>
        <v>44071</v>
      </c>
      <c r="B182" s="7">
        <f ca="1">IFERROR(__xludf.DUMMYFUNCTION("""COMPUTED_VALUE"""),37)</f>
        <v>37</v>
      </c>
      <c r="C182" s="7">
        <f ca="1">IFERROR(__xludf.DUMMYFUNCTION("""COMPUTED_VALUE"""),4705)</f>
        <v>4705</v>
      </c>
      <c r="D182" s="7">
        <f ca="1">IFERROR(__xludf.DUMMYFUNCTION("""COMPUTED_VALUE"""),180)</f>
        <v>180</v>
      </c>
      <c r="E182" s="7">
        <f ca="1">IFERROR(__xludf.DUMMYFUNCTION("""COMPUTED_VALUE"""),25770)</f>
        <v>25770</v>
      </c>
    </row>
    <row r="183" spans="1:5" ht="13.2" x14ac:dyDescent="0.25">
      <c r="A183" s="93">
        <f ca="1">IFERROR(__xludf.DUMMYFUNCTION("""COMPUTED_VALUE"""),44072)</f>
        <v>44072</v>
      </c>
      <c r="B183" s="7">
        <f ca="1">IFERROR(__xludf.DUMMYFUNCTION("""COMPUTED_VALUE"""),54)</f>
        <v>54</v>
      </c>
      <c r="C183" s="7">
        <f ca="1">IFERROR(__xludf.DUMMYFUNCTION("""COMPUTED_VALUE"""),4759)</f>
        <v>4759</v>
      </c>
      <c r="D183" s="7">
        <f ca="1">IFERROR(__xludf.DUMMYFUNCTION("""COMPUTED_VALUE"""),152)</f>
        <v>152</v>
      </c>
      <c r="E183" s="7">
        <f ca="1">IFERROR(__xludf.DUMMYFUNCTION("""COMPUTED_VALUE"""),25922)</f>
        <v>25922</v>
      </c>
    </row>
    <row r="184" spans="1:5" ht="13.2" x14ac:dyDescent="0.25">
      <c r="A184" s="93">
        <f ca="1">IFERROR(__xludf.DUMMYFUNCTION("""COMPUTED_VALUE"""),44073)</f>
        <v>44073</v>
      </c>
      <c r="B184" s="7">
        <f ca="1">IFERROR(__xludf.DUMMYFUNCTION("""COMPUTED_VALUE"""),59)</f>
        <v>59</v>
      </c>
      <c r="C184" s="7">
        <f ca="1">IFERROR(__xludf.DUMMYFUNCTION("""COMPUTED_VALUE"""),4818)</f>
        <v>4818</v>
      </c>
      <c r="D184" s="7">
        <f ca="1">IFERROR(__xludf.DUMMYFUNCTION("""COMPUTED_VALUE"""),227)</f>
        <v>227</v>
      </c>
      <c r="E184" s="7">
        <f ca="1">IFERROR(__xludf.DUMMYFUNCTION("""COMPUTED_VALUE"""),26149)</f>
        <v>26149</v>
      </c>
    </row>
    <row r="185" spans="1:5" ht="13.2" x14ac:dyDescent="0.25">
      <c r="A185" s="93">
        <f ca="1">IFERROR(__xludf.DUMMYFUNCTION("""COMPUTED_VALUE"""),44074)</f>
        <v>44074</v>
      </c>
      <c r="B185" s="7">
        <f ca="1">IFERROR(__xludf.DUMMYFUNCTION("""COMPUTED_VALUE"""),57)</f>
        <v>57</v>
      </c>
      <c r="C185" s="7">
        <f ca="1">IFERROR(__xludf.DUMMYFUNCTION("""COMPUTED_VALUE"""),4875)</f>
        <v>4875</v>
      </c>
      <c r="D185" s="7">
        <f ca="1">IFERROR(__xludf.DUMMYFUNCTION("""COMPUTED_VALUE"""),166)</f>
        <v>166</v>
      </c>
      <c r="E185" s="7">
        <f ca="1">IFERROR(__xludf.DUMMYFUNCTION("""COMPUTED_VALUE"""),26315)</f>
        <v>26315</v>
      </c>
    </row>
    <row r="186" spans="1:5" ht="13.2" x14ac:dyDescent="0.25">
      <c r="A186" s="93">
        <f ca="1">IFERROR(__xludf.DUMMYFUNCTION("""COMPUTED_VALUE"""),44075)</f>
        <v>44075</v>
      </c>
      <c r="B186" s="7">
        <f ca="1">IFERROR(__xludf.DUMMYFUNCTION("""COMPUTED_VALUE"""),47)</f>
        <v>47</v>
      </c>
      <c r="C186" s="7">
        <f ca="1">IFERROR(__xludf.DUMMYFUNCTION("""COMPUTED_VALUE"""),4922)</f>
        <v>4922</v>
      </c>
      <c r="D186" s="7">
        <f ca="1">IFERROR(__xludf.DUMMYFUNCTION("""COMPUTED_VALUE"""),281)</f>
        <v>281</v>
      </c>
      <c r="E186" s="7">
        <f ca="1">IFERROR(__xludf.DUMMYFUNCTION("""COMPUTED_VALUE"""),26596)</f>
        <v>26596</v>
      </c>
    </row>
    <row r="187" spans="1:5" ht="13.2" x14ac:dyDescent="0.25">
      <c r="A187" s="93">
        <f ca="1">IFERROR(__xludf.DUMMYFUNCTION("""COMPUTED_VALUE"""),44076)</f>
        <v>44076</v>
      </c>
      <c r="B187" s="7">
        <f ca="1">IFERROR(__xludf.DUMMYFUNCTION("""COMPUTED_VALUE"""),60)</f>
        <v>60</v>
      </c>
      <c r="C187" s="7">
        <f ca="1">IFERROR(__xludf.DUMMYFUNCTION("""COMPUTED_VALUE"""),4982)</f>
        <v>4982</v>
      </c>
      <c r="D187" s="7">
        <f ca="1">IFERROR(__xludf.DUMMYFUNCTION("""COMPUTED_VALUE"""),181)</f>
        <v>181</v>
      </c>
      <c r="E187" s="7">
        <f ca="1">IFERROR(__xludf.DUMMYFUNCTION("""COMPUTED_VALUE"""),26777)</f>
        <v>26777</v>
      </c>
    </row>
    <row r="188" spans="1:5" ht="13.2" x14ac:dyDescent="0.25">
      <c r="A188" s="93">
        <f ca="1">IFERROR(__xludf.DUMMYFUNCTION("""COMPUTED_VALUE"""),44077)</f>
        <v>44077</v>
      </c>
      <c r="B188" s="7">
        <f ca="1">IFERROR(__xludf.DUMMYFUNCTION("""COMPUTED_VALUE"""),50)</f>
        <v>50</v>
      </c>
      <c r="C188" s="7">
        <f ca="1">IFERROR(__xludf.DUMMYFUNCTION("""COMPUTED_VALUE"""),5032)</f>
        <v>5032</v>
      </c>
      <c r="D188" s="7">
        <f ca="1">IFERROR(__xludf.DUMMYFUNCTION("""COMPUTED_VALUE"""),155)</f>
        <v>155</v>
      </c>
      <c r="E188" s="7">
        <f ca="1">IFERROR(__xludf.DUMMYFUNCTION("""COMPUTED_VALUE"""),26932)</f>
        <v>26932</v>
      </c>
    </row>
    <row r="189" spans="1:5" ht="13.2" x14ac:dyDescent="0.25">
      <c r="A189" s="93">
        <f ca="1">IFERROR(__xludf.DUMMYFUNCTION("""COMPUTED_VALUE"""),44078)</f>
        <v>44078</v>
      </c>
      <c r="B189" s="7">
        <f ca="1">IFERROR(__xludf.DUMMYFUNCTION("""COMPUTED_VALUE"""),52)</f>
        <v>52</v>
      </c>
      <c r="C189" s="7">
        <f ca="1">IFERROR(__xludf.DUMMYFUNCTION("""COMPUTED_VALUE"""),5084)</f>
        <v>5084</v>
      </c>
      <c r="D189" s="7">
        <f ca="1">IFERROR(__xludf.DUMMYFUNCTION("""COMPUTED_VALUE"""),176)</f>
        <v>176</v>
      </c>
      <c r="E189" s="7">
        <f ca="1">IFERROR(__xludf.DUMMYFUNCTION("""COMPUTED_VALUE"""),27108)</f>
        <v>27108</v>
      </c>
    </row>
    <row r="190" spans="1:5" ht="13.2" x14ac:dyDescent="0.25">
      <c r="A190" s="93">
        <f ca="1">IFERROR(__xludf.DUMMYFUNCTION("""COMPUTED_VALUE"""),44079)</f>
        <v>44079</v>
      </c>
      <c r="B190" s="7">
        <f ca="1">IFERROR(__xludf.DUMMYFUNCTION("""COMPUTED_VALUE"""),66)</f>
        <v>66</v>
      </c>
      <c r="C190" s="7">
        <f ca="1">IFERROR(__xludf.DUMMYFUNCTION("""COMPUTED_VALUE"""),5150)</f>
        <v>5150</v>
      </c>
      <c r="D190" s="7">
        <f ca="1">IFERROR(__xludf.DUMMYFUNCTION("""COMPUTED_VALUE"""),216)</f>
        <v>216</v>
      </c>
      <c r="E190" s="7">
        <f ca="1">IFERROR(__xludf.DUMMYFUNCTION("""COMPUTED_VALUE"""),27324)</f>
        <v>27324</v>
      </c>
    </row>
    <row r="191" spans="1:5" ht="13.2" x14ac:dyDescent="0.25">
      <c r="A191" s="93">
        <f ca="1">IFERROR(__xludf.DUMMYFUNCTION("""COMPUTED_VALUE"""),44080)</f>
        <v>44080</v>
      </c>
      <c r="B191" s="7">
        <f ca="1">IFERROR(__xludf.DUMMYFUNCTION("""COMPUTED_VALUE"""),50)</f>
        <v>50</v>
      </c>
      <c r="C191" s="7">
        <f ca="1">IFERROR(__xludf.DUMMYFUNCTION("""COMPUTED_VALUE"""),5200)</f>
        <v>5200</v>
      </c>
      <c r="D191" s="7">
        <f ca="1">IFERROR(__xludf.DUMMYFUNCTION("""COMPUTED_VALUE"""),183)</f>
        <v>183</v>
      </c>
      <c r="E191" s="7">
        <f ca="1">IFERROR(__xludf.DUMMYFUNCTION("""COMPUTED_VALUE"""),27507)</f>
        <v>27507</v>
      </c>
    </row>
    <row r="192" spans="1:5" ht="13.2" x14ac:dyDescent="0.25">
      <c r="A192" s="93">
        <f ca="1">IFERROR(__xludf.DUMMYFUNCTION("""COMPUTED_VALUE"""),44081)</f>
        <v>44081</v>
      </c>
      <c r="B192" s="7">
        <f ca="1">IFERROR(__xludf.DUMMYFUNCTION("""COMPUTED_VALUE"""),45)</f>
        <v>45</v>
      </c>
      <c r="C192" s="7">
        <f ca="1">IFERROR(__xludf.DUMMYFUNCTION("""COMPUTED_VALUE"""),5245)</f>
        <v>5245</v>
      </c>
      <c r="D192" s="7">
        <f ca="1">IFERROR(__xludf.DUMMYFUNCTION("""COMPUTED_VALUE"""),160)</f>
        <v>160</v>
      </c>
      <c r="E192" s="7">
        <f ca="1">IFERROR(__xludf.DUMMYFUNCTION("""COMPUTED_VALUE"""),27667)</f>
        <v>27667</v>
      </c>
    </row>
    <row r="193" spans="1:5" ht="13.2" x14ac:dyDescent="0.25">
      <c r="A193" s="93">
        <f ca="1">IFERROR(__xludf.DUMMYFUNCTION("""COMPUTED_VALUE"""),44082)</f>
        <v>44082</v>
      </c>
      <c r="B193" s="7">
        <f ca="1">IFERROR(__xludf.DUMMYFUNCTION("""COMPUTED_VALUE"""),46)</f>
        <v>46</v>
      </c>
      <c r="C193" s="7">
        <f ca="1">IFERROR(__xludf.DUMMYFUNCTION("""COMPUTED_VALUE"""),5291)</f>
        <v>5291</v>
      </c>
      <c r="D193" s="7">
        <f ca="1">IFERROR(__xludf.DUMMYFUNCTION("""COMPUTED_VALUE"""),189)</f>
        <v>189</v>
      </c>
      <c r="E193" s="7">
        <f ca="1">IFERROR(__xludf.DUMMYFUNCTION("""COMPUTED_VALUE"""),27856)</f>
        <v>27856</v>
      </c>
    </row>
    <row r="194" spans="1:5" ht="13.2" x14ac:dyDescent="0.25">
      <c r="A194" s="93">
        <f ca="1">IFERROR(__xludf.DUMMYFUNCTION("""COMPUTED_VALUE"""),44083)</f>
        <v>44083</v>
      </c>
      <c r="B194" s="7">
        <f ca="1">IFERROR(__xludf.DUMMYFUNCTION("""COMPUTED_VALUE"""),48)</f>
        <v>48</v>
      </c>
      <c r="C194" s="7">
        <f ca="1">IFERROR(__xludf.DUMMYFUNCTION("""COMPUTED_VALUE"""),5339)</f>
        <v>5339</v>
      </c>
      <c r="D194" s="7">
        <f ca="1">IFERROR(__xludf.DUMMYFUNCTION("""COMPUTED_VALUE"""),205)</f>
        <v>205</v>
      </c>
      <c r="E194" s="7">
        <f ca="1">IFERROR(__xludf.DUMMYFUNCTION("""COMPUTED_VALUE"""),28061)</f>
        <v>28061</v>
      </c>
    </row>
    <row r="195" spans="1:5" ht="13.2" x14ac:dyDescent="0.25">
      <c r="A195" s="93">
        <f ca="1">IFERROR(__xludf.DUMMYFUNCTION("""COMPUTED_VALUE"""),44084)</f>
        <v>44084</v>
      </c>
      <c r="B195" s="7">
        <f ca="1">IFERROR(__xludf.DUMMYFUNCTION("""COMPUTED_VALUE"""),60)</f>
        <v>60</v>
      </c>
      <c r="C195" s="7">
        <f ca="1">IFERROR(__xludf.DUMMYFUNCTION("""COMPUTED_VALUE"""),5399)</f>
        <v>5399</v>
      </c>
      <c r="D195" s="7">
        <f ca="1">IFERROR(__xludf.DUMMYFUNCTION("""COMPUTED_VALUE"""),214)</f>
        <v>214</v>
      </c>
      <c r="E195" s="7">
        <f ca="1">IFERROR(__xludf.DUMMYFUNCTION("""COMPUTED_VALUE"""),28275)</f>
        <v>28275</v>
      </c>
    </row>
    <row r="196" spans="1:5" ht="13.2" x14ac:dyDescent="0.25">
      <c r="A196" s="93">
        <f ca="1">IFERROR(__xludf.DUMMYFUNCTION("""COMPUTED_VALUE"""),44085)</f>
        <v>44085</v>
      </c>
      <c r="B196" s="7">
        <f ca="1">IFERROR(__xludf.DUMMYFUNCTION("""COMPUTED_VALUE"""),57)</f>
        <v>57</v>
      </c>
      <c r="C196" s="7">
        <f ca="1">IFERROR(__xludf.DUMMYFUNCTION("""COMPUTED_VALUE"""),5456)</f>
        <v>5456</v>
      </c>
      <c r="D196" s="7">
        <f ca="1">IFERROR(__xludf.DUMMYFUNCTION("""COMPUTED_VALUE"""),186)</f>
        <v>186</v>
      </c>
      <c r="E196" s="7">
        <f ca="1">IFERROR(__xludf.DUMMYFUNCTION("""COMPUTED_VALUE"""),28461)</f>
        <v>28461</v>
      </c>
    </row>
    <row r="197" spans="1:5" ht="13.2" x14ac:dyDescent="0.25">
      <c r="A197" s="93">
        <f ca="1">IFERROR(__xludf.DUMMYFUNCTION("""COMPUTED_VALUE"""),44086)</f>
        <v>44086</v>
      </c>
      <c r="B197" s="7">
        <f ca="1">IFERROR(__xludf.DUMMYFUNCTION("""COMPUTED_VALUE"""),47)</f>
        <v>47</v>
      </c>
      <c r="C197" s="7">
        <f ca="1">IFERROR(__xludf.DUMMYFUNCTION("""COMPUTED_VALUE"""),5503)</f>
        <v>5503</v>
      </c>
      <c r="D197" s="7">
        <f ca="1">IFERROR(__xludf.DUMMYFUNCTION("""COMPUTED_VALUE"""),189)</f>
        <v>189</v>
      </c>
      <c r="E197" s="7">
        <f ca="1">IFERROR(__xludf.DUMMYFUNCTION("""COMPUTED_VALUE"""),28650)</f>
        <v>28650</v>
      </c>
    </row>
    <row r="198" spans="1:5" ht="13.2" x14ac:dyDescent="0.25">
      <c r="A198" s="93">
        <f ca="1">IFERROR(__xludf.DUMMYFUNCTION("""COMPUTED_VALUE"""),44087)</f>
        <v>44087</v>
      </c>
      <c r="B198" s="7">
        <f ca="1">IFERROR(__xludf.DUMMYFUNCTION("""COMPUTED_VALUE"""),54)</f>
        <v>54</v>
      </c>
      <c r="C198" s="7">
        <f ca="1">IFERROR(__xludf.DUMMYFUNCTION("""COMPUTED_VALUE"""),5557)</f>
        <v>5557</v>
      </c>
      <c r="D198" s="7">
        <f ca="1">IFERROR(__xludf.DUMMYFUNCTION("""COMPUTED_VALUE"""),158)</f>
        <v>158</v>
      </c>
      <c r="E198" s="7">
        <f ca="1">IFERROR(__xludf.DUMMYFUNCTION("""COMPUTED_VALUE"""),28808)</f>
        <v>28808</v>
      </c>
    </row>
    <row r="199" spans="1:5" ht="13.2" x14ac:dyDescent="0.25">
      <c r="A199" s="93">
        <f ca="1">IFERROR(__xludf.DUMMYFUNCTION("""COMPUTED_VALUE"""),44088)</f>
        <v>44088</v>
      </c>
      <c r="B199" s="7">
        <f ca="1">IFERROR(__xludf.DUMMYFUNCTION("""COMPUTED_VALUE"""),52)</f>
        <v>52</v>
      </c>
      <c r="C199" s="7">
        <f ca="1">IFERROR(__xludf.DUMMYFUNCTION("""COMPUTED_VALUE"""),5609)</f>
        <v>5609</v>
      </c>
      <c r="D199" s="7">
        <f ca="1">IFERROR(__xludf.DUMMYFUNCTION("""COMPUTED_VALUE"""),198)</f>
        <v>198</v>
      </c>
      <c r="E199" s="7">
        <f ca="1">IFERROR(__xludf.DUMMYFUNCTION("""COMPUTED_VALUE"""),29006)</f>
        <v>29006</v>
      </c>
    </row>
    <row r="200" spans="1:5" ht="13.2" x14ac:dyDescent="0.25">
      <c r="A200" s="93">
        <f ca="1">IFERROR(__xludf.DUMMYFUNCTION("""COMPUTED_VALUE"""),44089)</f>
        <v>44089</v>
      </c>
      <c r="B200" s="7">
        <f ca="1">IFERROR(__xludf.DUMMYFUNCTION("""COMPUTED_VALUE"""),64)</f>
        <v>64</v>
      </c>
      <c r="C200" s="7">
        <f ca="1">IFERROR(__xludf.DUMMYFUNCTION("""COMPUTED_VALUE"""),5673)</f>
        <v>5673</v>
      </c>
      <c r="D200" s="7">
        <f ca="1">IFERROR(__xludf.DUMMYFUNCTION("""COMPUTED_VALUE"""),189)</f>
        <v>189</v>
      </c>
      <c r="E200" s="7">
        <f ca="1">IFERROR(__xludf.DUMMYFUNCTION("""COMPUTED_VALUE"""),29195)</f>
        <v>29195</v>
      </c>
    </row>
    <row r="201" spans="1:5" ht="13.2" x14ac:dyDescent="0.25">
      <c r="A201" s="93">
        <f ca="1">IFERROR(__xludf.DUMMYFUNCTION("""COMPUTED_VALUE"""),44090)</f>
        <v>44090</v>
      </c>
      <c r="B201" s="7">
        <f ca="1">IFERROR(__xludf.DUMMYFUNCTION("""COMPUTED_VALUE"""),67)</f>
        <v>67</v>
      </c>
      <c r="C201" s="7">
        <f ca="1">IFERROR(__xludf.DUMMYFUNCTION("""COMPUTED_VALUE"""),5740)</f>
        <v>5740</v>
      </c>
      <c r="D201" s="7">
        <f ca="1">IFERROR(__xludf.DUMMYFUNCTION("""COMPUTED_VALUE"""),161)</f>
        <v>161</v>
      </c>
      <c r="E201" s="7">
        <f ca="1">IFERROR(__xludf.DUMMYFUNCTION("""COMPUTED_VALUE"""),29356)</f>
        <v>29356</v>
      </c>
    </row>
    <row r="202" spans="1:5" ht="13.2" x14ac:dyDescent="0.25">
      <c r="A202" s="93">
        <f ca="1">IFERROR(__xludf.DUMMYFUNCTION("""COMPUTED_VALUE"""),44091)</f>
        <v>44091</v>
      </c>
      <c r="B202" s="7">
        <f ca="1">IFERROR(__xludf.DUMMYFUNCTION("""COMPUTED_VALUE"""),62)</f>
        <v>62</v>
      </c>
      <c r="C202" s="7">
        <f ca="1">IFERROR(__xludf.DUMMYFUNCTION("""COMPUTED_VALUE"""),5802)</f>
        <v>5802</v>
      </c>
      <c r="D202" s="7">
        <f ca="1">IFERROR(__xludf.DUMMYFUNCTION("""COMPUTED_VALUE"""),178)</f>
        <v>178</v>
      </c>
      <c r="E202" s="7">
        <f ca="1">IFERROR(__xludf.DUMMYFUNCTION("""COMPUTED_VALUE"""),29534)</f>
        <v>29534</v>
      </c>
    </row>
    <row r="203" spans="1:5" ht="13.2" x14ac:dyDescent="0.25">
      <c r="A203" s="93">
        <f ca="1">IFERROR(__xludf.DUMMYFUNCTION("""COMPUTED_VALUE"""),44092)</f>
        <v>44092</v>
      </c>
      <c r="B203" s="7">
        <f ca="1">IFERROR(__xludf.DUMMYFUNCTION("""COMPUTED_VALUE"""),65)</f>
        <v>65</v>
      </c>
      <c r="C203" s="7">
        <f ca="1">IFERROR(__xludf.DUMMYFUNCTION("""COMPUTED_VALUE"""),5867)</f>
        <v>5867</v>
      </c>
      <c r="D203" s="7">
        <f ca="1">IFERROR(__xludf.DUMMYFUNCTION("""COMPUTED_VALUE"""),172)</f>
        <v>172</v>
      </c>
      <c r="E203" s="7">
        <f ca="1">IFERROR(__xludf.DUMMYFUNCTION("""COMPUTED_VALUE"""),29706)</f>
        <v>29706</v>
      </c>
    </row>
    <row r="204" spans="1:5" ht="13.2" x14ac:dyDescent="0.25">
      <c r="A204" s="93">
        <f ca="1">IFERROR(__xludf.DUMMYFUNCTION("""COMPUTED_VALUE"""),44093)</f>
        <v>44093</v>
      </c>
      <c r="B204" s="7">
        <f ca="1">IFERROR(__xludf.DUMMYFUNCTION("""COMPUTED_VALUE"""),64)</f>
        <v>64</v>
      </c>
      <c r="C204" s="7">
        <f ca="1">IFERROR(__xludf.DUMMYFUNCTION("""COMPUTED_VALUE"""),5931)</f>
        <v>5931</v>
      </c>
      <c r="D204" s="7">
        <f ca="1">IFERROR(__xludf.DUMMYFUNCTION("""COMPUTED_VALUE"""),205)</f>
        <v>205</v>
      </c>
      <c r="E204" s="7">
        <f ca="1">IFERROR(__xludf.DUMMYFUNCTION("""COMPUTED_VALUE"""),29911)</f>
        <v>29911</v>
      </c>
    </row>
    <row r="205" spans="1:5" ht="13.2" x14ac:dyDescent="0.25">
      <c r="A205" s="93">
        <f ca="1">IFERROR(__xludf.DUMMYFUNCTION("""COMPUTED_VALUE"""),44094)</f>
        <v>44094</v>
      </c>
      <c r="B205" s="7">
        <f ca="1">IFERROR(__xludf.DUMMYFUNCTION("""COMPUTED_VALUE"""),52)</f>
        <v>52</v>
      </c>
      <c r="C205" s="7">
        <f ca="1">IFERROR(__xludf.DUMMYFUNCTION("""COMPUTED_VALUE"""),5983)</f>
        <v>5983</v>
      </c>
      <c r="D205" s="7">
        <f ca="1">IFERROR(__xludf.DUMMYFUNCTION("""COMPUTED_VALUE"""),175)</f>
        <v>175</v>
      </c>
      <c r="E205" s="7">
        <f ca="1">IFERROR(__xludf.DUMMYFUNCTION("""COMPUTED_VALUE"""),30086)</f>
        <v>30086</v>
      </c>
    </row>
    <row r="206" spans="1:5" ht="13.2" x14ac:dyDescent="0.25">
      <c r="A206" s="93">
        <f ca="1">IFERROR(__xludf.DUMMYFUNCTION("""COMPUTED_VALUE"""),44095)</f>
        <v>44095</v>
      </c>
      <c r="B206" s="7">
        <f ca="1">IFERROR(__xludf.DUMMYFUNCTION("""COMPUTED_VALUE"""),53)</f>
        <v>53</v>
      </c>
      <c r="C206" s="7">
        <f ca="1">IFERROR(__xludf.DUMMYFUNCTION("""COMPUTED_VALUE"""),6036)</f>
        <v>6036</v>
      </c>
      <c r="D206" s="7">
        <f ca="1">IFERROR(__xludf.DUMMYFUNCTION("""COMPUTED_VALUE"""),164)</f>
        <v>164</v>
      </c>
      <c r="E206" s="7">
        <f ca="1">IFERROR(__xludf.DUMMYFUNCTION("""COMPUTED_VALUE"""),30250)</f>
        <v>30250</v>
      </c>
    </row>
    <row r="207" spans="1:5" ht="13.2" x14ac:dyDescent="0.25">
      <c r="A207" s="93">
        <f ca="1">IFERROR(__xludf.DUMMYFUNCTION("""COMPUTED_VALUE"""),44096)</f>
        <v>44096</v>
      </c>
      <c r="B207" s="7">
        <f ca="1">IFERROR(__xludf.DUMMYFUNCTION("""COMPUTED_VALUE"""),55)</f>
        <v>55</v>
      </c>
      <c r="C207" s="7">
        <f ca="1">IFERROR(__xludf.DUMMYFUNCTION("""COMPUTED_VALUE"""),6091)</f>
        <v>6091</v>
      </c>
      <c r="D207" s="7">
        <f ca="1">IFERROR(__xludf.DUMMYFUNCTION("""COMPUTED_VALUE"""),133)</f>
        <v>133</v>
      </c>
      <c r="E207" s="7">
        <f ca="1">IFERROR(__xludf.DUMMYFUNCTION("""COMPUTED_VALUE"""),30383)</f>
        <v>30383</v>
      </c>
    </row>
    <row r="208" spans="1:5" ht="13.2" x14ac:dyDescent="0.25">
      <c r="A208" s="93">
        <f ca="1">IFERROR(__xludf.DUMMYFUNCTION("""COMPUTED_VALUE"""),44097)</f>
        <v>44097</v>
      </c>
      <c r="B208" s="7">
        <f ca="1">IFERROR(__xludf.DUMMYFUNCTION("""COMPUTED_VALUE"""),51)</f>
        <v>51</v>
      </c>
      <c r="C208" s="7">
        <f ca="1">IFERROR(__xludf.DUMMYFUNCTION("""COMPUTED_VALUE"""),6142)</f>
        <v>6142</v>
      </c>
      <c r="D208" s="7">
        <f ca="1">IFERROR(__xludf.DUMMYFUNCTION("""COMPUTED_VALUE"""),199)</f>
        <v>199</v>
      </c>
      <c r="E208" s="7">
        <f ca="1">IFERROR(__xludf.DUMMYFUNCTION("""COMPUTED_VALUE"""),30582)</f>
        <v>30582</v>
      </c>
    </row>
    <row r="209" spans="1:5" ht="13.2" x14ac:dyDescent="0.25">
      <c r="A209" s="93">
        <f ca="1">IFERROR(__xludf.DUMMYFUNCTION("""COMPUTED_VALUE"""),44098)</f>
        <v>44098</v>
      </c>
      <c r="B209" s="7">
        <f ca="1">IFERROR(__xludf.DUMMYFUNCTION("""COMPUTED_VALUE"""),66)</f>
        <v>66</v>
      </c>
      <c r="C209" s="7">
        <f ca="1">IFERROR(__xludf.DUMMYFUNCTION("""COMPUTED_VALUE"""),6208)</f>
        <v>6208</v>
      </c>
      <c r="D209" s="7">
        <f ca="1">IFERROR(__xludf.DUMMYFUNCTION("""COMPUTED_VALUE"""),163)</f>
        <v>163</v>
      </c>
      <c r="E209" s="7">
        <f ca="1">IFERROR(__xludf.DUMMYFUNCTION("""COMPUTED_VALUE"""),30745)</f>
        <v>30745</v>
      </c>
    </row>
    <row r="210" spans="1:5" ht="13.2" x14ac:dyDescent="0.25">
      <c r="A210" s="93">
        <f ca="1">IFERROR(__xludf.DUMMYFUNCTION("""COMPUTED_VALUE"""),44099)</f>
        <v>44099</v>
      </c>
      <c r="B210" s="7">
        <f ca="1">IFERROR(__xludf.DUMMYFUNCTION("""COMPUTED_VALUE"""),72)</f>
        <v>72</v>
      </c>
      <c r="C210" s="7">
        <f ca="1">IFERROR(__xludf.DUMMYFUNCTION("""COMPUTED_VALUE"""),6280)</f>
        <v>6280</v>
      </c>
      <c r="D210" s="7">
        <f ca="1">IFERROR(__xludf.DUMMYFUNCTION("""COMPUTED_VALUE"""),192)</f>
        <v>192</v>
      </c>
      <c r="E210" s="7">
        <f ca="1">IFERROR(__xludf.DUMMYFUNCTION("""COMPUTED_VALUE"""),30937)</f>
        <v>30937</v>
      </c>
    </row>
    <row r="211" spans="1:5" ht="13.2" x14ac:dyDescent="0.25">
      <c r="A211" s="93">
        <f ca="1">IFERROR(__xludf.DUMMYFUNCTION("""COMPUTED_VALUE"""),44100)</f>
        <v>44100</v>
      </c>
      <c r="B211" s="7">
        <f ca="1">IFERROR(__xludf.DUMMYFUNCTION("""COMPUTED_VALUE"""),50)</f>
        <v>50</v>
      </c>
      <c r="C211" s="7">
        <f ca="1">IFERROR(__xludf.DUMMYFUNCTION("""COMPUTED_VALUE"""),6330)</f>
        <v>6330</v>
      </c>
      <c r="D211" s="7">
        <f ca="1">IFERROR(__xludf.DUMMYFUNCTION("""COMPUTED_VALUE"""),194)</f>
        <v>194</v>
      </c>
      <c r="E211" s="7">
        <f ca="1">IFERROR(__xludf.DUMMYFUNCTION("""COMPUTED_VALUE"""),31131)</f>
        <v>31131</v>
      </c>
    </row>
    <row r="212" spans="1:5" ht="13.2" x14ac:dyDescent="0.25">
      <c r="A212" s="93">
        <f ca="1">IFERROR(__xludf.DUMMYFUNCTION("""COMPUTED_VALUE"""),44101)</f>
        <v>44101</v>
      </c>
      <c r="B212" s="7">
        <f ca="1">IFERROR(__xludf.DUMMYFUNCTION("""COMPUTED_VALUE"""),59)</f>
        <v>59</v>
      </c>
      <c r="C212" s="7">
        <f ca="1">IFERROR(__xludf.DUMMYFUNCTION("""COMPUTED_VALUE"""),6389)</f>
        <v>6389</v>
      </c>
      <c r="D212" s="7">
        <f ca="1">IFERROR(__xludf.DUMMYFUNCTION("""COMPUTED_VALUE"""),193)</f>
        <v>193</v>
      </c>
      <c r="E212" s="7">
        <f ca="1">IFERROR(__xludf.DUMMYFUNCTION("""COMPUTED_VALUE"""),31324)</f>
        <v>31324</v>
      </c>
    </row>
    <row r="213" spans="1:5" ht="13.2" x14ac:dyDescent="0.25">
      <c r="A213" s="93">
        <f ca="1">IFERROR(__xludf.DUMMYFUNCTION("""COMPUTED_VALUE"""),44102)</f>
        <v>44102</v>
      </c>
      <c r="B213" s="7">
        <f ca="1">IFERROR(__xludf.DUMMYFUNCTION("""COMPUTED_VALUE"""),52)</f>
        <v>52</v>
      </c>
      <c r="C213" s="7">
        <f ca="1">IFERROR(__xludf.DUMMYFUNCTION("""COMPUTED_VALUE"""),6441)</f>
        <v>6441</v>
      </c>
      <c r="D213" s="7">
        <f ca="1">IFERROR(__xludf.DUMMYFUNCTION("""COMPUTED_VALUE"""),143)</f>
        <v>143</v>
      </c>
      <c r="E213" s="7">
        <f ca="1">IFERROR(__xludf.DUMMYFUNCTION("""COMPUTED_VALUE"""),31467)</f>
        <v>31467</v>
      </c>
    </row>
    <row r="214" spans="1:5" ht="13.2" x14ac:dyDescent="0.25">
      <c r="A214" s="93">
        <f ca="1">IFERROR(__xludf.DUMMYFUNCTION("""COMPUTED_VALUE"""),44103)</f>
        <v>44103</v>
      </c>
      <c r="B214" s="7">
        <f ca="1">IFERROR(__xludf.DUMMYFUNCTION("""COMPUTED_VALUE"""),52)</f>
        <v>52</v>
      </c>
      <c r="C214" s="7">
        <f ca="1">IFERROR(__xludf.DUMMYFUNCTION("""COMPUTED_VALUE"""),6493)</f>
        <v>6493</v>
      </c>
      <c r="D214" s="7">
        <f ca="1">IFERROR(__xludf.DUMMYFUNCTION("""COMPUTED_VALUE"""),159)</f>
        <v>159</v>
      </c>
      <c r="E214" s="7">
        <f ca="1">IFERROR(__xludf.DUMMYFUNCTION("""COMPUTED_VALUE"""),31626)</f>
        <v>31626</v>
      </c>
    </row>
    <row r="215" spans="1:5" ht="13.2" x14ac:dyDescent="0.25">
      <c r="A215" s="93">
        <f ca="1">IFERROR(__xludf.DUMMYFUNCTION("""COMPUTED_VALUE"""),44104)</f>
        <v>44104</v>
      </c>
      <c r="B215" s="7">
        <f ca="1">IFERROR(__xludf.DUMMYFUNCTION("""COMPUTED_VALUE"""),41)</f>
        <v>41</v>
      </c>
      <c r="C215" s="7">
        <f ca="1">IFERROR(__xludf.DUMMYFUNCTION("""COMPUTED_VALUE"""),6534)</f>
        <v>6534</v>
      </c>
      <c r="D215" s="7">
        <f ca="1">IFERROR(__xludf.DUMMYFUNCTION("""COMPUTED_VALUE"""),181)</f>
        <v>181</v>
      </c>
      <c r="E215" s="7">
        <f ca="1">IFERROR(__xludf.DUMMYFUNCTION("""COMPUTED_VALUE"""),31807)</f>
        <v>31807</v>
      </c>
    </row>
    <row r="216" spans="1:5" ht="13.2" x14ac:dyDescent="0.25">
      <c r="A216" s="93">
        <f ca="1">IFERROR(__xludf.DUMMYFUNCTION("""COMPUTED_VALUE"""),44105)</f>
        <v>44105</v>
      </c>
      <c r="B216" s="7">
        <f ca="1">IFERROR(__xludf.DUMMYFUNCTION("""COMPUTED_VALUE"""),48)</f>
        <v>48</v>
      </c>
      <c r="C216" s="7">
        <f ca="1">IFERROR(__xludf.DUMMYFUNCTION("""COMPUTED_VALUE"""),6582)</f>
        <v>6582</v>
      </c>
      <c r="D216" s="7">
        <f ca="1">IFERROR(__xludf.DUMMYFUNCTION("""COMPUTED_VALUE"""),180)</f>
        <v>180</v>
      </c>
      <c r="E216" s="7">
        <f ca="1">IFERROR(__xludf.DUMMYFUNCTION("""COMPUTED_VALUE"""),31987)</f>
        <v>31987</v>
      </c>
    </row>
    <row r="217" spans="1:5" ht="13.2" x14ac:dyDescent="0.25">
      <c r="A217" s="93">
        <f ca="1">IFERROR(__xludf.DUMMYFUNCTION("""COMPUTED_VALUE"""),44106)</f>
        <v>44106</v>
      </c>
      <c r="B217" s="7">
        <f ca="1">IFERROR(__xludf.DUMMYFUNCTION("""COMPUTED_VALUE"""),61)</f>
        <v>61</v>
      </c>
      <c r="C217" s="7">
        <f ca="1">IFERROR(__xludf.DUMMYFUNCTION("""COMPUTED_VALUE"""),6643)</f>
        <v>6643</v>
      </c>
      <c r="D217" s="7">
        <f ca="1">IFERROR(__xludf.DUMMYFUNCTION("""COMPUTED_VALUE"""),190)</f>
        <v>190</v>
      </c>
      <c r="E217" s="7">
        <f ca="1">IFERROR(__xludf.DUMMYFUNCTION("""COMPUTED_VALUE"""),32177)</f>
        <v>32177</v>
      </c>
    </row>
    <row r="218" spans="1:5" ht="13.2" x14ac:dyDescent="0.25">
      <c r="A218" s="93">
        <f ca="1">IFERROR(__xludf.DUMMYFUNCTION("""COMPUTED_VALUE"""),44107)</f>
        <v>44107</v>
      </c>
      <c r="B218" s="7">
        <f ca="1">IFERROR(__xludf.DUMMYFUNCTION("""COMPUTED_VALUE"""),41)</f>
        <v>41</v>
      </c>
      <c r="C218" s="7">
        <f ca="1">IFERROR(__xludf.DUMMYFUNCTION("""COMPUTED_VALUE"""),6684)</f>
        <v>6684</v>
      </c>
      <c r="D218" s="7">
        <f ca="1">IFERROR(__xludf.DUMMYFUNCTION("""COMPUTED_VALUE"""),163)</f>
        <v>163</v>
      </c>
      <c r="E218" s="7">
        <f ca="1">IFERROR(__xludf.DUMMYFUNCTION("""COMPUTED_VALUE"""),32340)</f>
        <v>32340</v>
      </c>
    </row>
    <row r="219" spans="1:5" ht="13.2" x14ac:dyDescent="0.25">
      <c r="A219" s="93">
        <f ca="1">IFERROR(__xludf.DUMMYFUNCTION("""COMPUTED_VALUE"""),44108)</f>
        <v>44108</v>
      </c>
      <c r="B219" s="7">
        <f ca="1">IFERROR(__xludf.DUMMYFUNCTION("""COMPUTED_VALUE"""),54)</f>
        <v>54</v>
      </c>
      <c r="C219" s="7">
        <f ca="1">IFERROR(__xludf.DUMMYFUNCTION("""COMPUTED_VALUE"""),6738)</f>
        <v>6738</v>
      </c>
      <c r="D219" s="7">
        <f ca="1">IFERROR(__xludf.DUMMYFUNCTION("""COMPUTED_VALUE"""),178)</f>
        <v>178</v>
      </c>
      <c r="E219" s="7">
        <f ca="1">IFERROR(__xludf.DUMMYFUNCTION("""COMPUTED_VALUE"""),32518)</f>
        <v>32518</v>
      </c>
    </row>
    <row r="220" spans="1:5" ht="13.2" x14ac:dyDescent="0.25">
      <c r="A220" s="93">
        <f ca="1">IFERROR(__xludf.DUMMYFUNCTION("""COMPUTED_VALUE"""),44109)</f>
        <v>44109</v>
      </c>
      <c r="B220" s="7">
        <f ca="1">IFERROR(__xludf.DUMMYFUNCTION("""COMPUTED_VALUE"""),43)</f>
        <v>43</v>
      </c>
      <c r="C220" s="7">
        <f ca="1">IFERROR(__xludf.DUMMYFUNCTION("""COMPUTED_VALUE"""),6781)</f>
        <v>6781</v>
      </c>
      <c r="D220" s="7">
        <f ca="1">IFERROR(__xludf.DUMMYFUNCTION("""COMPUTED_VALUE"""),150)</f>
        <v>150</v>
      </c>
      <c r="E220" s="7">
        <f ca="1">IFERROR(__xludf.DUMMYFUNCTION("""COMPUTED_VALUE"""),32668)</f>
        <v>32668</v>
      </c>
    </row>
    <row r="221" spans="1:5" ht="13.2" x14ac:dyDescent="0.25">
      <c r="A221" s="93">
        <f ca="1">IFERROR(__xludf.DUMMYFUNCTION("""COMPUTED_VALUE"""),44110)</f>
        <v>44110</v>
      </c>
      <c r="B221" s="7">
        <f ca="1">IFERROR(__xludf.DUMMYFUNCTION("""COMPUTED_VALUE"""),41)</f>
        <v>41</v>
      </c>
      <c r="C221" s="7">
        <f ca="1">IFERROR(__xludf.DUMMYFUNCTION("""COMPUTED_VALUE"""),6822)</f>
        <v>6822</v>
      </c>
      <c r="D221" s="7">
        <f ca="1">IFERROR(__xludf.DUMMYFUNCTION("""COMPUTED_VALUE"""),139)</f>
        <v>139</v>
      </c>
      <c r="E221" s="7">
        <f ca="1">IFERROR(__xludf.DUMMYFUNCTION("""COMPUTED_VALUE"""),32807)</f>
        <v>32807</v>
      </c>
    </row>
    <row r="222" spans="1:5" ht="13.2" x14ac:dyDescent="0.25">
      <c r="A222" s="93">
        <f ca="1">IFERROR(__xludf.DUMMYFUNCTION("""COMPUTED_VALUE"""),44111)</f>
        <v>44111</v>
      </c>
      <c r="B222" s="7">
        <f ca="1">IFERROR(__xludf.DUMMYFUNCTION("""COMPUTED_VALUE"""),48)</f>
        <v>48</v>
      </c>
      <c r="C222" s="7">
        <f ca="1">IFERROR(__xludf.DUMMYFUNCTION("""COMPUTED_VALUE"""),6870)</f>
        <v>6870</v>
      </c>
      <c r="D222" s="7">
        <f ca="1">IFERROR(__xludf.DUMMYFUNCTION("""COMPUTED_VALUE"""),152)</f>
        <v>152</v>
      </c>
      <c r="E222" s="7">
        <f ca="1">IFERROR(__xludf.DUMMYFUNCTION("""COMPUTED_VALUE"""),32959)</f>
        <v>32959</v>
      </c>
    </row>
    <row r="223" spans="1:5" ht="13.2" x14ac:dyDescent="0.25">
      <c r="A223" s="93">
        <f ca="1">IFERROR(__xludf.DUMMYFUNCTION("""COMPUTED_VALUE"""),44112)</f>
        <v>44112</v>
      </c>
      <c r="B223" s="7">
        <f ca="1">IFERROR(__xludf.DUMMYFUNCTION("""COMPUTED_VALUE"""),39)</f>
        <v>39</v>
      </c>
      <c r="C223" s="7">
        <f ca="1">IFERROR(__xludf.DUMMYFUNCTION("""COMPUTED_VALUE"""),6909)</f>
        <v>6909</v>
      </c>
      <c r="D223" s="7">
        <f ca="1">IFERROR(__xludf.DUMMYFUNCTION("""COMPUTED_VALUE"""),160)</f>
        <v>160</v>
      </c>
      <c r="E223" s="7">
        <f ca="1">IFERROR(__xludf.DUMMYFUNCTION("""COMPUTED_VALUE"""),33119)</f>
        <v>33119</v>
      </c>
    </row>
    <row r="224" spans="1:5" ht="13.2" x14ac:dyDescent="0.25">
      <c r="A224" s="93">
        <f ca="1">IFERROR(__xludf.DUMMYFUNCTION("""COMPUTED_VALUE"""),44113)</f>
        <v>44113</v>
      </c>
      <c r="B224" s="7">
        <f ca="1">IFERROR(__xludf.DUMMYFUNCTION("""COMPUTED_VALUE"""),42)</f>
        <v>42</v>
      </c>
      <c r="C224" s="7">
        <f ca="1">IFERROR(__xludf.DUMMYFUNCTION("""COMPUTED_VALUE"""),6951)</f>
        <v>6951</v>
      </c>
      <c r="D224" s="7">
        <f ca="1">IFERROR(__xludf.DUMMYFUNCTION("""COMPUTED_VALUE"""),152)</f>
        <v>152</v>
      </c>
      <c r="E224" s="7">
        <f ca="1">IFERROR(__xludf.DUMMYFUNCTION("""COMPUTED_VALUE"""),33271)</f>
        <v>33271</v>
      </c>
    </row>
    <row r="225" spans="1:5" ht="13.2" x14ac:dyDescent="0.25">
      <c r="A225" s="93">
        <f ca="1">IFERROR(__xludf.DUMMYFUNCTION("""COMPUTED_VALUE"""),44114)</f>
        <v>44114</v>
      </c>
      <c r="B225" s="7">
        <f ca="1">IFERROR(__xludf.DUMMYFUNCTION("""COMPUTED_VALUE"""),44)</f>
        <v>44</v>
      </c>
      <c r="C225" s="7">
        <f ca="1">IFERROR(__xludf.DUMMYFUNCTION("""COMPUTED_VALUE"""),6995)</f>
        <v>6995</v>
      </c>
      <c r="D225" s="7">
        <f ca="1">IFERROR(__xludf.DUMMYFUNCTION("""COMPUTED_VALUE"""),154)</f>
        <v>154</v>
      </c>
      <c r="E225" s="7">
        <f ca="1">IFERROR(__xludf.DUMMYFUNCTION("""COMPUTED_VALUE"""),33425)</f>
        <v>33425</v>
      </c>
    </row>
    <row r="226" spans="1:5" ht="13.2" x14ac:dyDescent="0.25">
      <c r="A226" s="93">
        <f ca="1">IFERROR(__xludf.DUMMYFUNCTION("""COMPUTED_VALUE"""),44115)</f>
        <v>44115</v>
      </c>
      <c r="B226" s="7">
        <f ca="1">IFERROR(__xludf.DUMMYFUNCTION("""COMPUTED_VALUE"""),30)</f>
        <v>30</v>
      </c>
      <c r="C226" s="7">
        <f ca="1">IFERROR(__xludf.DUMMYFUNCTION("""COMPUTED_VALUE"""),7025)</f>
        <v>7025</v>
      </c>
      <c r="D226" s="7">
        <f ca="1">IFERROR(__xludf.DUMMYFUNCTION("""COMPUTED_VALUE"""),155)</f>
        <v>155</v>
      </c>
      <c r="E226" s="7">
        <f ca="1">IFERROR(__xludf.DUMMYFUNCTION("""COMPUTED_VALUE"""),33580)</f>
        <v>33580</v>
      </c>
    </row>
    <row r="227" spans="1:5" ht="13.2" x14ac:dyDescent="0.25">
      <c r="A227" s="93">
        <f ca="1">IFERROR(__xludf.DUMMYFUNCTION("""COMPUTED_VALUE"""),44116)</f>
        <v>44116</v>
      </c>
      <c r="B227" s="7">
        <f ca="1">IFERROR(__xludf.DUMMYFUNCTION("""COMPUTED_VALUE"""),50)</f>
        <v>50</v>
      </c>
      <c r="C227" s="7">
        <f ca="1">IFERROR(__xludf.DUMMYFUNCTION("""COMPUTED_VALUE"""),7075)</f>
        <v>7075</v>
      </c>
      <c r="D227" s="7">
        <f ca="1">IFERROR(__xludf.DUMMYFUNCTION("""COMPUTED_VALUE"""),153)</f>
        <v>153</v>
      </c>
      <c r="E227" s="7">
        <f ca="1">IFERROR(__xludf.DUMMYFUNCTION("""COMPUTED_VALUE"""),33733)</f>
        <v>33733</v>
      </c>
    </row>
    <row r="228" spans="1:5" ht="13.2" x14ac:dyDescent="0.25">
      <c r="A228" s="93">
        <f ca="1">IFERROR(__xludf.DUMMYFUNCTION("""COMPUTED_VALUE"""),44117)</f>
        <v>44117</v>
      </c>
      <c r="B228" s="7">
        <f ca="1">IFERROR(__xludf.DUMMYFUNCTION("""COMPUTED_VALUE"""),47)</f>
        <v>47</v>
      </c>
      <c r="C228" s="7">
        <f ca="1">IFERROR(__xludf.DUMMYFUNCTION("""COMPUTED_VALUE"""),7122)</f>
        <v>7122</v>
      </c>
      <c r="D228" s="7">
        <f ca="1">IFERROR(__xludf.DUMMYFUNCTION("""COMPUTED_VALUE"""),143)</f>
        <v>143</v>
      </c>
      <c r="E228" s="7">
        <f ca="1">IFERROR(__xludf.DUMMYFUNCTION("""COMPUTED_VALUE"""),33876)</f>
        <v>33876</v>
      </c>
    </row>
    <row r="229" spans="1:5" ht="13.2" x14ac:dyDescent="0.25">
      <c r="A229" s="93">
        <f ca="1">IFERROR(__xludf.DUMMYFUNCTION("""COMPUTED_VALUE"""),44118)</f>
        <v>44118</v>
      </c>
      <c r="B229" s="7">
        <f ca="1">IFERROR(__xludf.DUMMYFUNCTION("""COMPUTED_VALUE"""),34)</f>
        <v>34</v>
      </c>
      <c r="C229" s="7">
        <f ca="1">IFERROR(__xludf.DUMMYFUNCTION("""COMPUTED_VALUE"""),7156)</f>
        <v>7156</v>
      </c>
      <c r="D229" s="7">
        <f ca="1">IFERROR(__xludf.DUMMYFUNCTION("""COMPUTED_VALUE"""),158)</f>
        <v>158</v>
      </c>
      <c r="E229" s="7">
        <f ca="1">IFERROR(__xludf.DUMMYFUNCTION("""COMPUTED_VALUE"""),34034)</f>
        <v>34034</v>
      </c>
    </row>
    <row r="230" spans="1:5" ht="13.2" x14ac:dyDescent="0.25">
      <c r="A230" s="93">
        <f ca="1">IFERROR(__xludf.DUMMYFUNCTION("""COMPUTED_VALUE"""),44119)</f>
        <v>44119</v>
      </c>
      <c r="B230" s="7">
        <f ca="1">IFERROR(__xludf.DUMMYFUNCTION("""COMPUTED_VALUE"""),46)</f>
        <v>46</v>
      </c>
      <c r="C230" s="7">
        <f ca="1">IFERROR(__xludf.DUMMYFUNCTION("""COMPUTED_VALUE"""),7202)</f>
        <v>7202</v>
      </c>
      <c r="D230" s="7">
        <f ca="1">IFERROR(__xludf.DUMMYFUNCTION("""COMPUTED_VALUE"""),155)</f>
        <v>155</v>
      </c>
      <c r="E230" s="7">
        <f ca="1">IFERROR(__xludf.DUMMYFUNCTION("""COMPUTED_VALUE"""),34189)</f>
        <v>34189</v>
      </c>
    </row>
    <row r="231" spans="1:5" ht="13.2" x14ac:dyDescent="0.25">
      <c r="A231" s="93">
        <f ca="1">IFERROR(__xludf.DUMMYFUNCTION("""COMPUTED_VALUE"""),44120)</f>
        <v>44120</v>
      </c>
      <c r="B231" s="7">
        <f ca="1">IFERROR(__xludf.DUMMYFUNCTION("""COMPUTED_VALUE"""),30)</f>
        <v>30</v>
      </c>
      <c r="C231" s="7">
        <f ca="1">IFERROR(__xludf.DUMMYFUNCTION("""COMPUTED_VALUE"""),7232)</f>
        <v>7232</v>
      </c>
      <c r="D231" s="7">
        <f ca="1">IFERROR(__xludf.DUMMYFUNCTION("""COMPUTED_VALUE"""),147)</f>
        <v>147</v>
      </c>
      <c r="E231" s="7">
        <f ca="1">IFERROR(__xludf.DUMMYFUNCTION("""COMPUTED_VALUE"""),34336)</f>
        <v>34336</v>
      </c>
    </row>
    <row r="232" spans="1:5" ht="13.2" x14ac:dyDescent="0.25">
      <c r="A232" s="93">
        <f ca="1">IFERROR(__xludf.DUMMYFUNCTION("""COMPUTED_VALUE"""),44121)</f>
        <v>44121</v>
      </c>
      <c r="B232" s="7">
        <f ca="1">IFERROR(__xludf.DUMMYFUNCTION("""COMPUTED_VALUE"""),46)</f>
        <v>46</v>
      </c>
      <c r="C232" s="7">
        <f ca="1">IFERROR(__xludf.DUMMYFUNCTION("""COMPUTED_VALUE"""),7278)</f>
        <v>7278</v>
      </c>
      <c r="D232" s="7">
        <f ca="1">IFERROR(__xludf.DUMMYFUNCTION("""COMPUTED_VALUE"""),153)</f>
        <v>153</v>
      </c>
      <c r="E232" s="7">
        <f ca="1">IFERROR(__xludf.DUMMYFUNCTION("""COMPUTED_VALUE"""),34489)</f>
        <v>34489</v>
      </c>
    </row>
    <row r="233" spans="1:5" ht="13.2" x14ac:dyDescent="0.25">
      <c r="A233" s="93">
        <f ca="1">IFERROR(__xludf.DUMMYFUNCTION("""COMPUTED_VALUE"""),44122)</f>
        <v>44122</v>
      </c>
      <c r="B233" s="7">
        <f ca="1">IFERROR(__xludf.DUMMYFUNCTION("""COMPUTED_VALUE"""),35)</f>
        <v>35</v>
      </c>
      <c r="C233" s="7">
        <f ca="1">IFERROR(__xludf.DUMMYFUNCTION("""COMPUTED_VALUE"""),7313)</f>
        <v>7313</v>
      </c>
      <c r="D233" s="7">
        <f ca="1">IFERROR(__xludf.DUMMYFUNCTION("""COMPUTED_VALUE"""),138)</f>
        <v>138</v>
      </c>
      <c r="E233" s="7">
        <f ca="1">IFERROR(__xludf.DUMMYFUNCTION("""COMPUTED_VALUE"""),34627)</f>
        <v>34627</v>
      </c>
    </row>
    <row r="234" spans="1:5" ht="13.2" x14ac:dyDescent="0.25">
      <c r="A234" s="93">
        <f ca="1">IFERROR(__xludf.DUMMYFUNCTION("""COMPUTED_VALUE"""),44123)</f>
        <v>44123</v>
      </c>
      <c r="B234" s="7">
        <f ca="1">IFERROR(__xludf.DUMMYFUNCTION("""COMPUTED_VALUE"""),44)</f>
        <v>44</v>
      </c>
      <c r="C234" s="7">
        <f ca="1">IFERROR(__xludf.DUMMYFUNCTION("""COMPUTED_VALUE"""),7357)</f>
        <v>7357</v>
      </c>
      <c r="D234" s="7">
        <f ca="1">IFERROR(__xludf.DUMMYFUNCTION("""COMPUTED_VALUE"""),163)</f>
        <v>163</v>
      </c>
      <c r="E234" s="7">
        <f ca="1">IFERROR(__xludf.DUMMYFUNCTION("""COMPUTED_VALUE"""),34790)</f>
        <v>34790</v>
      </c>
    </row>
    <row r="235" spans="1:5" ht="13.2" x14ac:dyDescent="0.25">
      <c r="A235" s="93">
        <f ca="1">IFERROR(__xludf.DUMMYFUNCTION("""COMPUTED_VALUE"""),44124)</f>
        <v>44124</v>
      </c>
      <c r="B235" s="7">
        <f ca="1">IFERROR(__xludf.DUMMYFUNCTION("""COMPUTED_VALUE"""),40)</f>
        <v>40</v>
      </c>
      <c r="C235" s="7">
        <f ca="1">IFERROR(__xludf.DUMMYFUNCTION("""COMPUTED_VALUE"""),7397)</f>
        <v>7397</v>
      </c>
      <c r="D235" s="7">
        <f ca="1">IFERROR(__xludf.DUMMYFUNCTION("""COMPUTED_VALUE"""),136)</f>
        <v>136</v>
      </c>
      <c r="E235" s="7">
        <f ca="1">IFERROR(__xludf.DUMMYFUNCTION("""COMPUTED_VALUE"""),34926)</f>
        <v>34926</v>
      </c>
    </row>
    <row r="236" spans="1:5" ht="13.2" x14ac:dyDescent="0.25">
      <c r="A236" s="93">
        <f ca="1">IFERROR(__xludf.DUMMYFUNCTION("""COMPUTED_VALUE"""),44125)</f>
        <v>44125</v>
      </c>
      <c r="B236" s="7">
        <f ca="1">IFERROR(__xludf.DUMMYFUNCTION("""COMPUTED_VALUE"""),42)</f>
        <v>42</v>
      </c>
      <c r="C236" s="7">
        <f ca="1">IFERROR(__xludf.DUMMYFUNCTION("""COMPUTED_VALUE"""),7439)</f>
        <v>7439</v>
      </c>
      <c r="D236" s="7">
        <f ca="1">IFERROR(__xludf.DUMMYFUNCTION("""COMPUTED_VALUE"""),148)</f>
        <v>148</v>
      </c>
      <c r="E236" s="7">
        <f ca="1">IFERROR(__xludf.DUMMYFUNCTION("""COMPUTED_VALUE"""),35074)</f>
        <v>35074</v>
      </c>
    </row>
    <row r="237" spans="1:5" ht="13.2" x14ac:dyDescent="0.25">
      <c r="A237" s="93">
        <f ca="1">IFERROR(__xludf.DUMMYFUNCTION("""COMPUTED_VALUE"""),44126)</f>
        <v>44126</v>
      </c>
      <c r="B237" s="7">
        <f ca="1">IFERROR(__xludf.DUMMYFUNCTION("""COMPUTED_VALUE"""),34)</f>
        <v>34</v>
      </c>
      <c r="C237" s="7">
        <f ca="1">IFERROR(__xludf.DUMMYFUNCTION("""COMPUTED_VALUE"""),7473)</f>
        <v>7473</v>
      </c>
      <c r="D237" s="7">
        <f ca="1">IFERROR(__xludf.DUMMYFUNCTION("""COMPUTED_VALUE"""),118)</f>
        <v>118</v>
      </c>
      <c r="E237" s="7">
        <f ca="1">IFERROR(__xludf.DUMMYFUNCTION("""COMPUTED_VALUE"""),35192)</f>
        <v>35192</v>
      </c>
    </row>
    <row r="238" spans="1:5" ht="13.2" x14ac:dyDescent="0.25">
      <c r="A238" s="93">
        <f ca="1">IFERROR(__xludf.DUMMYFUNCTION("""COMPUTED_VALUE"""),44127)</f>
        <v>44127</v>
      </c>
      <c r="B238" s="7">
        <f ca="1">IFERROR(__xludf.DUMMYFUNCTION("""COMPUTED_VALUE"""),44)</f>
        <v>44</v>
      </c>
      <c r="C238" s="7">
        <f ca="1">IFERROR(__xludf.DUMMYFUNCTION("""COMPUTED_VALUE"""),7517)</f>
        <v>7517</v>
      </c>
      <c r="D238" s="7">
        <f ca="1">IFERROR(__xludf.DUMMYFUNCTION("""COMPUTED_VALUE"""),170)</f>
        <v>170</v>
      </c>
      <c r="E238" s="7">
        <f ca="1">IFERROR(__xludf.DUMMYFUNCTION("""COMPUTED_VALUE"""),35362)</f>
        <v>35362</v>
      </c>
    </row>
    <row r="239" spans="1:5" ht="13.2" x14ac:dyDescent="0.25">
      <c r="A239" s="93">
        <f ca="1">IFERROR(__xludf.DUMMYFUNCTION("""COMPUTED_VALUE"""),44128)</f>
        <v>44128</v>
      </c>
      <c r="B239" s="7">
        <f ca="1">IFERROR(__xludf.DUMMYFUNCTION("""COMPUTED_VALUE"""),28)</f>
        <v>28</v>
      </c>
      <c r="C239" s="7">
        <f ca="1">IFERROR(__xludf.DUMMYFUNCTION("""COMPUTED_VALUE"""),7545)</f>
        <v>7545</v>
      </c>
      <c r="D239" s="7">
        <f ca="1">IFERROR(__xludf.DUMMYFUNCTION("""COMPUTED_VALUE"""),158)</f>
        <v>158</v>
      </c>
      <c r="E239" s="7">
        <f ca="1">IFERROR(__xludf.DUMMYFUNCTION("""COMPUTED_VALUE"""),35520)</f>
        <v>35520</v>
      </c>
    </row>
    <row r="240" spans="1:5" ht="13.2" x14ac:dyDescent="0.25">
      <c r="A240" s="93">
        <f ca="1">IFERROR(__xludf.DUMMYFUNCTION("""COMPUTED_VALUE"""),44129)</f>
        <v>44129</v>
      </c>
      <c r="B240" s="7">
        <f ca="1">IFERROR(__xludf.DUMMYFUNCTION("""COMPUTED_VALUE"""),32)</f>
        <v>32</v>
      </c>
      <c r="C240" s="7">
        <f ca="1">IFERROR(__xludf.DUMMYFUNCTION("""COMPUTED_VALUE"""),7577)</f>
        <v>7577</v>
      </c>
      <c r="D240" s="7">
        <f ca="1">IFERROR(__xludf.DUMMYFUNCTION("""COMPUTED_VALUE"""),153)</f>
        <v>153</v>
      </c>
      <c r="E240" s="7">
        <f ca="1">IFERROR(__xludf.DUMMYFUNCTION("""COMPUTED_VALUE"""),35673)</f>
        <v>35673</v>
      </c>
    </row>
    <row r="241" spans="1:5" ht="13.2" x14ac:dyDescent="0.25">
      <c r="A241" s="93">
        <f ca="1">IFERROR(__xludf.DUMMYFUNCTION("""COMPUTED_VALUE"""),44130)</f>
        <v>44130</v>
      </c>
      <c r="B241" s="7">
        <f ca="1">IFERROR(__xludf.DUMMYFUNCTION("""COMPUTED_VALUE"""),37)</f>
        <v>37</v>
      </c>
      <c r="C241" s="7">
        <f ca="1">IFERROR(__xludf.DUMMYFUNCTION("""COMPUTED_VALUE"""),7614)</f>
        <v>7614</v>
      </c>
      <c r="D241" s="7">
        <f ca="1">IFERROR(__xludf.DUMMYFUNCTION("""COMPUTED_VALUE"""),146)</f>
        <v>146</v>
      </c>
      <c r="E241" s="7">
        <f ca="1">IFERROR(__xludf.DUMMYFUNCTION("""COMPUTED_VALUE"""),35819)</f>
        <v>35819</v>
      </c>
    </row>
    <row r="242" spans="1:5" ht="13.2" x14ac:dyDescent="0.25">
      <c r="A242" s="93">
        <f ca="1">IFERROR(__xludf.DUMMYFUNCTION("""COMPUTED_VALUE"""),44131)</f>
        <v>44131</v>
      </c>
      <c r="B242" s="7">
        <f ca="1">IFERROR(__xludf.DUMMYFUNCTION("""COMPUTED_VALUE"""),39)</f>
        <v>39</v>
      </c>
      <c r="C242" s="7">
        <f ca="1">IFERROR(__xludf.DUMMYFUNCTION("""COMPUTED_VALUE"""),7653)</f>
        <v>7653</v>
      </c>
      <c r="D242" s="7">
        <f ca="1">IFERROR(__xludf.DUMMYFUNCTION("""COMPUTED_VALUE"""),145)</f>
        <v>145</v>
      </c>
      <c r="E242" s="7">
        <f ca="1">IFERROR(__xludf.DUMMYFUNCTION("""COMPUTED_VALUE"""),35964)</f>
        <v>35964</v>
      </c>
    </row>
    <row r="243" spans="1:5" ht="13.2" x14ac:dyDescent="0.25">
      <c r="A243" s="93">
        <f ca="1">IFERROR(__xludf.DUMMYFUNCTION("""COMPUTED_VALUE"""),44132)</f>
        <v>44132</v>
      </c>
      <c r="B243" s="7">
        <f ca="1">IFERROR(__xludf.DUMMYFUNCTION("""COMPUTED_VALUE"""),40)</f>
        <v>40</v>
      </c>
      <c r="C243" s="7">
        <f ca="1">IFERROR(__xludf.DUMMYFUNCTION("""COMPUTED_VALUE"""),7693)</f>
        <v>7693</v>
      </c>
      <c r="D243" s="7">
        <f ca="1">IFERROR(__xludf.DUMMYFUNCTION("""COMPUTED_VALUE"""),124)</f>
        <v>124</v>
      </c>
      <c r="E243" s="7">
        <f ca="1">IFERROR(__xludf.DUMMYFUNCTION("""COMPUTED_VALUE"""),36088)</f>
        <v>36088</v>
      </c>
    </row>
    <row r="244" spans="1:5" ht="13.2" x14ac:dyDescent="0.25">
      <c r="A244" s="93">
        <f ca="1">IFERROR(__xludf.DUMMYFUNCTION("""COMPUTED_VALUE"""),44133)</f>
        <v>44133</v>
      </c>
      <c r="B244" s="7">
        <f ca="1">IFERROR(__xludf.DUMMYFUNCTION("""COMPUTED_VALUE"""),31)</f>
        <v>31</v>
      </c>
      <c r="C244" s="7">
        <f ca="1">IFERROR(__xludf.DUMMYFUNCTION("""COMPUTED_VALUE"""),7724)</f>
        <v>7724</v>
      </c>
      <c r="D244" s="7">
        <f ca="1">IFERROR(__xludf.DUMMYFUNCTION("""COMPUTED_VALUE"""),140)</f>
        <v>140</v>
      </c>
      <c r="E244" s="7">
        <f ca="1">IFERROR(__xludf.DUMMYFUNCTION("""COMPUTED_VALUE"""),36228)</f>
        <v>36228</v>
      </c>
    </row>
    <row r="245" spans="1:5" ht="13.2" x14ac:dyDescent="0.25">
      <c r="A245" s="93">
        <f ca="1">IFERROR(__xludf.DUMMYFUNCTION("""COMPUTED_VALUE"""),44134)</f>
        <v>44134</v>
      </c>
      <c r="B245" s="7">
        <f ca="1">IFERROR(__xludf.DUMMYFUNCTION("""COMPUTED_VALUE"""),33)</f>
        <v>33</v>
      </c>
      <c r="C245" s="7">
        <f ca="1">IFERROR(__xludf.DUMMYFUNCTION("""COMPUTED_VALUE"""),7757)</f>
        <v>7757</v>
      </c>
      <c r="D245" s="7">
        <f ca="1">IFERROR(__xludf.DUMMYFUNCTION("""COMPUTED_VALUE"""),150)</f>
        <v>150</v>
      </c>
      <c r="E245" s="7">
        <f ca="1">IFERROR(__xludf.DUMMYFUNCTION("""COMPUTED_VALUE"""),36378)</f>
        <v>36378</v>
      </c>
    </row>
    <row r="246" spans="1:5" ht="13.2" x14ac:dyDescent="0.25">
      <c r="A246" s="93">
        <f ca="1">IFERROR(__xludf.DUMMYFUNCTION("""COMPUTED_VALUE"""),44135)</f>
        <v>44135</v>
      </c>
      <c r="B246" s="7">
        <f ca="1">IFERROR(__xludf.DUMMYFUNCTION("""COMPUTED_VALUE"""),38)</f>
        <v>38</v>
      </c>
      <c r="C246" s="7">
        <f ca="1">IFERROR(__xludf.DUMMYFUNCTION("""COMPUTED_VALUE"""),7795)</f>
        <v>7795</v>
      </c>
      <c r="D246" s="7">
        <f ca="1">IFERROR(__xludf.DUMMYFUNCTION("""COMPUTED_VALUE"""),141)</f>
        <v>141</v>
      </c>
      <c r="E246" s="7">
        <f ca="1">IFERROR(__xludf.DUMMYFUNCTION("""COMPUTED_VALUE"""),36519)</f>
        <v>36519</v>
      </c>
    </row>
    <row r="247" spans="1:5" ht="13.2" x14ac:dyDescent="0.25">
      <c r="A247" s="93">
        <f ca="1">IFERROR(__xludf.DUMMYFUNCTION("""COMPUTED_VALUE"""),44136)</f>
        <v>44136</v>
      </c>
      <c r="B247" s="7">
        <f ca="1">IFERROR(__xludf.DUMMYFUNCTION("""COMPUTED_VALUE"""),28)</f>
        <v>28</v>
      </c>
      <c r="C247" s="7">
        <f ca="1">IFERROR(__xludf.DUMMYFUNCTION("""COMPUTED_VALUE"""),7823)</f>
        <v>7823</v>
      </c>
      <c r="D247" s="7">
        <f ca="1">IFERROR(__xludf.DUMMYFUNCTION("""COMPUTED_VALUE"""),130)</f>
        <v>130</v>
      </c>
      <c r="E247" s="7">
        <f ca="1">IFERROR(__xludf.DUMMYFUNCTION("""COMPUTED_VALUE"""),36649)</f>
        <v>36649</v>
      </c>
    </row>
    <row r="248" spans="1:5" ht="13.2" x14ac:dyDescent="0.25">
      <c r="A248" s="93">
        <f ca="1">IFERROR(__xludf.DUMMYFUNCTION("""COMPUTED_VALUE"""),44137)</f>
        <v>44137</v>
      </c>
      <c r="B248" s="7">
        <f ca="1">IFERROR(__xludf.DUMMYFUNCTION("""COMPUTED_VALUE"""),29)</f>
        <v>29</v>
      </c>
      <c r="C248" s="7">
        <f ca="1">IFERROR(__xludf.DUMMYFUNCTION("""COMPUTED_VALUE"""),7852)</f>
        <v>7852</v>
      </c>
      <c r="D248" s="7">
        <f ca="1">IFERROR(__xludf.DUMMYFUNCTION("""COMPUTED_VALUE"""),127)</f>
        <v>127</v>
      </c>
      <c r="E248" s="7">
        <f ca="1">IFERROR(__xludf.DUMMYFUNCTION("""COMPUTED_VALUE"""),36776)</f>
        <v>36776</v>
      </c>
    </row>
    <row r="249" spans="1:5" ht="13.2" x14ac:dyDescent="0.25">
      <c r="A249" s="93">
        <f ca="1">IFERROR(__xludf.DUMMYFUNCTION("""COMPUTED_VALUE"""),44138)</f>
        <v>44138</v>
      </c>
      <c r="B249" s="7">
        <f ca="1">IFERROR(__xludf.DUMMYFUNCTION("""COMPUTED_VALUE"""),40)</f>
        <v>40</v>
      </c>
      <c r="C249" s="7">
        <f ca="1">IFERROR(__xludf.DUMMYFUNCTION("""COMPUTED_VALUE"""),7892)</f>
        <v>7892</v>
      </c>
      <c r="D249" s="7">
        <f ca="1">IFERROR(__xludf.DUMMYFUNCTION("""COMPUTED_VALUE"""),158)</f>
        <v>158</v>
      </c>
      <c r="E249" s="7">
        <f ca="1">IFERROR(__xludf.DUMMYFUNCTION("""COMPUTED_VALUE"""),36934)</f>
        <v>36934</v>
      </c>
    </row>
    <row r="250" spans="1:5" ht="13.2" x14ac:dyDescent="0.25">
      <c r="A250" s="93">
        <f ca="1">IFERROR(__xludf.DUMMYFUNCTION("""COMPUTED_VALUE"""),44139)</f>
        <v>44139</v>
      </c>
      <c r="B250" s="7">
        <f ca="1">IFERROR(__xludf.DUMMYFUNCTION("""COMPUTED_VALUE"""),23)</f>
        <v>23</v>
      </c>
      <c r="C250" s="7">
        <f ca="1">IFERROR(__xludf.DUMMYFUNCTION("""COMPUTED_VALUE"""),7915)</f>
        <v>7915</v>
      </c>
      <c r="D250" s="7">
        <f ca="1">IFERROR(__xludf.DUMMYFUNCTION("""COMPUTED_VALUE"""),153)</f>
        <v>153</v>
      </c>
      <c r="E250" s="7">
        <f ca="1">IFERROR(__xludf.DUMMYFUNCTION("""COMPUTED_VALUE"""),37087)</f>
        <v>37087</v>
      </c>
    </row>
    <row r="251" spans="1:5" ht="13.2" x14ac:dyDescent="0.25">
      <c r="A251" s="93">
        <f ca="1">IFERROR(__xludf.DUMMYFUNCTION("""COMPUTED_VALUE"""),44140)</f>
        <v>44140</v>
      </c>
      <c r="B251" s="7">
        <f ca="1">IFERROR(__xludf.DUMMYFUNCTION("""COMPUTED_VALUE"""),36)</f>
        <v>36</v>
      </c>
      <c r="C251" s="7">
        <f ca="1">IFERROR(__xludf.DUMMYFUNCTION("""COMPUTED_VALUE"""),7951)</f>
        <v>7951</v>
      </c>
      <c r="D251" s="7">
        <f ca="1">IFERROR(__xludf.DUMMYFUNCTION("""COMPUTED_VALUE"""),135)</f>
        <v>135</v>
      </c>
      <c r="E251" s="7">
        <f ca="1">IFERROR(__xludf.DUMMYFUNCTION("""COMPUTED_VALUE"""),37222)</f>
        <v>37222</v>
      </c>
    </row>
    <row r="252" spans="1:5" ht="13.2" x14ac:dyDescent="0.25">
      <c r="A252" s="93">
        <f ca="1">IFERROR(__xludf.DUMMYFUNCTION("""COMPUTED_VALUE"""),44141)</f>
        <v>44141</v>
      </c>
      <c r="B252" s="7">
        <f ca="1">IFERROR(__xludf.DUMMYFUNCTION("""COMPUTED_VALUE"""),36)</f>
        <v>36</v>
      </c>
      <c r="C252" s="7">
        <f ca="1">IFERROR(__xludf.DUMMYFUNCTION("""COMPUTED_VALUE"""),7987)</f>
        <v>7987</v>
      </c>
      <c r="D252" s="7">
        <f ca="1">IFERROR(__xludf.DUMMYFUNCTION("""COMPUTED_VALUE"""),173)</f>
        <v>173</v>
      </c>
      <c r="E252" s="7">
        <f ca="1">IFERROR(__xludf.DUMMYFUNCTION("""COMPUTED_VALUE"""),37395)</f>
        <v>37395</v>
      </c>
    </row>
    <row r="253" spans="1:5" ht="13.2" x14ac:dyDescent="0.25">
      <c r="A253" s="93">
        <f ca="1">IFERROR(__xludf.DUMMYFUNCTION("""COMPUTED_VALUE"""),44142)</f>
        <v>44142</v>
      </c>
      <c r="B253" s="7">
        <f ca="1">IFERROR(__xludf.DUMMYFUNCTION("""COMPUTED_VALUE"""),32)</f>
        <v>32</v>
      </c>
      <c r="C253" s="7">
        <f ca="1">IFERROR(__xludf.DUMMYFUNCTION("""COMPUTED_VALUE"""),8019)</f>
        <v>8019</v>
      </c>
      <c r="D253" s="7">
        <f ca="1">IFERROR(__xludf.DUMMYFUNCTION("""COMPUTED_VALUE"""),132)</f>
        <v>132</v>
      </c>
      <c r="E253" s="7">
        <f ca="1">IFERROR(__xludf.DUMMYFUNCTION("""COMPUTED_VALUE"""),37527)</f>
        <v>37527</v>
      </c>
    </row>
    <row r="254" spans="1:5" ht="13.2" x14ac:dyDescent="0.25">
      <c r="A254" s="93">
        <f ca="1">IFERROR(__xludf.DUMMYFUNCTION("""COMPUTED_VALUE"""),44143)</f>
        <v>44143</v>
      </c>
      <c r="B254" s="7">
        <f ca="1">IFERROR(__xludf.DUMMYFUNCTION("""COMPUTED_VALUE"""),33)</f>
        <v>33</v>
      </c>
      <c r="C254" s="7">
        <f ca="1">IFERROR(__xludf.DUMMYFUNCTION("""COMPUTED_VALUE"""),8052)</f>
        <v>8052</v>
      </c>
      <c r="D254" s="7">
        <f ca="1">IFERROR(__xludf.DUMMYFUNCTION("""COMPUTED_VALUE"""),131)</f>
        <v>131</v>
      </c>
      <c r="E254" s="7">
        <f ca="1">IFERROR(__xludf.DUMMYFUNCTION("""COMPUTED_VALUE"""),37658)</f>
        <v>37658</v>
      </c>
    </row>
    <row r="255" spans="1:5" ht="13.2" x14ac:dyDescent="0.25">
      <c r="A255" s="93">
        <f ca="1">IFERROR(__xludf.DUMMYFUNCTION("""COMPUTED_VALUE"""),44144)</f>
        <v>44144</v>
      </c>
      <c r="B255" s="7">
        <f ca="1">IFERROR(__xludf.DUMMYFUNCTION("""COMPUTED_VALUE"""),32)</f>
        <v>32</v>
      </c>
      <c r="C255" s="7">
        <f ca="1">IFERROR(__xludf.DUMMYFUNCTION("""COMPUTED_VALUE"""),8084)</f>
        <v>8084</v>
      </c>
      <c r="D255" s="7">
        <f ca="1">IFERROR(__xludf.DUMMYFUNCTION("""COMPUTED_VALUE"""),143)</f>
        <v>143</v>
      </c>
      <c r="E255" s="7">
        <f ca="1">IFERROR(__xludf.DUMMYFUNCTION("""COMPUTED_VALUE"""),37801)</f>
        <v>37801</v>
      </c>
    </row>
    <row r="256" spans="1:5" ht="13.2" x14ac:dyDescent="0.25">
      <c r="A256" s="93">
        <f ca="1">IFERROR(__xludf.DUMMYFUNCTION("""COMPUTED_VALUE"""),44145)</f>
        <v>44145</v>
      </c>
      <c r="B256" s="7">
        <f ca="1">IFERROR(__xludf.DUMMYFUNCTION("""COMPUTED_VALUE"""),37)</f>
        <v>37</v>
      </c>
      <c r="C256" s="7">
        <f ca="1">IFERROR(__xludf.DUMMYFUNCTION("""COMPUTED_VALUE"""),8121)</f>
        <v>8121</v>
      </c>
      <c r="D256" s="7">
        <f ca="1">IFERROR(__xludf.DUMMYFUNCTION("""COMPUTED_VALUE"""),182)</f>
        <v>182</v>
      </c>
      <c r="E256" s="7">
        <f ca="1">IFERROR(__xludf.DUMMYFUNCTION("""COMPUTED_VALUE"""),37983)</f>
        <v>37983</v>
      </c>
    </row>
    <row r="257" spans="1:5" ht="13.2" x14ac:dyDescent="0.25">
      <c r="A257" s="93">
        <f ca="1">IFERROR(__xludf.DUMMYFUNCTION("""COMPUTED_VALUE"""),44146)</f>
        <v>44146</v>
      </c>
      <c r="B257" s="7">
        <f ca="1">IFERROR(__xludf.DUMMYFUNCTION("""COMPUTED_VALUE"""),41)</f>
        <v>41</v>
      </c>
      <c r="C257" s="7">
        <f ca="1">IFERROR(__xludf.DUMMYFUNCTION("""COMPUTED_VALUE"""),8162)</f>
        <v>8162</v>
      </c>
      <c r="D257" s="7">
        <f ca="1">IFERROR(__xludf.DUMMYFUNCTION("""COMPUTED_VALUE"""),166)</f>
        <v>166</v>
      </c>
      <c r="E257" s="7">
        <f ca="1">IFERROR(__xludf.DUMMYFUNCTION("""COMPUTED_VALUE"""),38149)</f>
        <v>38149</v>
      </c>
    </row>
    <row r="258" spans="1:5" ht="13.2" x14ac:dyDescent="0.25">
      <c r="A258" s="93">
        <f ca="1">IFERROR(__xludf.DUMMYFUNCTION("""COMPUTED_VALUE"""),44147)</f>
        <v>44147</v>
      </c>
      <c r="B258" s="7">
        <f ca="1">IFERROR(__xludf.DUMMYFUNCTION("""COMPUTED_VALUE"""),53)</f>
        <v>53</v>
      </c>
      <c r="C258" s="7">
        <f ca="1">IFERROR(__xludf.DUMMYFUNCTION("""COMPUTED_VALUE"""),8215)</f>
        <v>8215</v>
      </c>
      <c r="D258" s="7">
        <f ca="1">IFERROR(__xludf.DUMMYFUNCTION("""COMPUTED_VALUE"""),157)</f>
        <v>157</v>
      </c>
      <c r="E258" s="7">
        <f ca="1">IFERROR(__xludf.DUMMYFUNCTION("""COMPUTED_VALUE"""),38306)</f>
        <v>38306</v>
      </c>
    </row>
    <row r="259" spans="1:5" ht="13.2" x14ac:dyDescent="0.25">
      <c r="A259" s="93">
        <f ca="1">IFERROR(__xludf.DUMMYFUNCTION("""COMPUTED_VALUE"""),44148)</f>
        <v>44148</v>
      </c>
      <c r="B259" s="7">
        <f ca="1">IFERROR(__xludf.DUMMYFUNCTION("""COMPUTED_VALUE"""),36)</f>
        <v>36</v>
      </c>
      <c r="C259" s="7">
        <f ca="1">IFERROR(__xludf.DUMMYFUNCTION("""COMPUTED_VALUE"""),8251)</f>
        <v>8251</v>
      </c>
      <c r="D259" s="7">
        <f ca="1">IFERROR(__xludf.DUMMYFUNCTION("""COMPUTED_VALUE"""),177)</f>
        <v>177</v>
      </c>
      <c r="E259" s="7">
        <f ca="1">IFERROR(__xludf.DUMMYFUNCTION("""COMPUTED_VALUE"""),38483)</f>
        <v>38483</v>
      </c>
    </row>
    <row r="260" spans="1:5" ht="13.2" x14ac:dyDescent="0.25">
      <c r="A260" s="93">
        <f ca="1">IFERROR(__xludf.DUMMYFUNCTION("""COMPUTED_VALUE"""),44149)</f>
        <v>44149</v>
      </c>
      <c r="B260" s="7">
        <f ca="1">IFERROR(__xludf.DUMMYFUNCTION("""COMPUTED_VALUE"""),37)</f>
        <v>37</v>
      </c>
      <c r="C260" s="7">
        <f ca="1">IFERROR(__xludf.DUMMYFUNCTION("""COMPUTED_VALUE"""),8288)</f>
        <v>8288</v>
      </c>
      <c r="D260" s="7">
        <f ca="1">IFERROR(__xludf.DUMMYFUNCTION("""COMPUTED_VALUE"""),170)</f>
        <v>170</v>
      </c>
      <c r="E260" s="7">
        <f ca="1">IFERROR(__xludf.DUMMYFUNCTION("""COMPUTED_VALUE"""),38653)</f>
        <v>38653</v>
      </c>
    </row>
    <row r="261" spans="1:5" ht="13.2" x14ac:dyDescent="0.25">
      <c r="A261" s="93">
        <f ca="1">IFERROR(__xludf.DUMMYFUNCTION("""COMPUTED_VALUE"""),44150)</f>
        <v>44150</v>
      </c>
      <c r="B261" s="7">
        <f ca="1">IFERROR(__xludf.DUMMYFUNCTION("""COMPUTED_VALUE"""),34)</f>
        <v>34</v>
      </c>
      <c r="C261" s="7">
        <f ca="1">IFERROR(__xludf.DUMMYFUNCTION("""COMPUTED_VALUE"""),8322)</f>
        <v>8322</v>
      </c>
      <c r="D261" s="7">
        <f ca="1">IFERROR(__xludf.DUMMYFUNCTION("""COMPUTED_VALUE"""),168)</f>
        <v>168</v>
      </c>
      <c r="E261" s="7">
        <f ca="1">IFERROR(__xludf.DUMMYFUNCTION("""COMPUTED_VALUE"""),38821)</f>
        <v>38821</v>
      </c>
    </row>
    <row r="262" spans="1:5" ht="13.2" x14ac:dyDescent="0.25">
      <c r="A262" s="93">
        <f ca="1">IFERROR(__xludf.DUMMYFUNCTION("""COMPUTED_VALUE"""),44151)</f>
        <v>44151</v>
      </c>
      <c r="B262" s="7">
        <f ca="1">IFERROR(__xludf.DUMMYFUNCTION("""COMPUTED_VALUE"""),37)</f>
        <v>37</v>
      </c>
      <c r="C262" s="7">
        <f ca="1">IFERROR(__xludf.DUMMYFUNCTION("""COMPUTED_VALUE"""),8359)</f>
        <v>8359</v>
      </c>
      <c r="D262" s="7">
        <f ca="1">IFERROR(__xludf.DUMMYFUNCTION("""COMPUTED_VALUE"""),156)</f>
        <v>156</v>
      </c>
      <c r="E262" s="7">
        <f ca="1">IFERROR(__xludf.DUMMYFUNCTION("""COMPUTED_VALUE"""),38977)</f>
        <v>38977</v>
      </c>
    </row>
    <row r="263" spans="1:5" ht="13.2" x14ac:dyDescent="0.25">
      <c r="A263" s="93">
        <f ca="1">IFERROR(__xludf.DUMMYFUNCTION("""COMPUTED_VALUE"""),44152)</f>
        <v>44152</v>
      </c>
      <c r="B263" s="7">
        <f ca="1">IFERROR(__xludf.DUMMYFUNCTION("""COMPUTED_VALUE"""),44)</f>
        <v>44</v>
      </c>
      <c r="C263" s="7">
        <f ca="1">IFERROR(__xludf.DUMMYFUNCTION("""COMPUTED_VALUE"""),8403)</f>
        <v>8403</v>
      </c>
      <c r="D263" s="7">
        <f ca="1">IFERROR(__xludf.DUMMYFUNCTION("""COMPUTED_VALUE"""),176)</f>
        <v>176</v>
      </c>
      <c r="E263" s="7">
        <f ca="1">IFERROR(__xludf.DUMMYFUNCTION("""COMPUTED_VALUE"""),39153)</f>
        <v>39153</v>
      </c>
    </row>
    <row r="264" spans="1:5" ht="13.2" x14ac:dyDescent="0.25">
      <c r="A264" s="93">
        <f ca="1">IFERROR(__xludf.DUMMYFUNCTION("""COMPUTED_VALUE"""),44153)</f>
        <v>44153</v>
      </c>
      <c r="B264" s="7">
        <f ca="1">IFERROR(__xludf.DUMMYFUNCTION("""COMPUTED_VALUE"""),52)</f>
        <v>52</v>
      </c>
      <c r="C264" s="7">
        <f ca="1">IFERROR(__xludf.DUMMYFUNCTION("""COMPUTED_VALUE"""),8455)</f>
        <v>8455</v>
      </c>
      <c r="D264" s="7">
        <f ca="1">IFERROR(__xludf.DUMMYFUNCTION("""COMPUTED_VALUE"""),172)</f>
        <v>172</v>
      </c>
      <c r="E264" s="7">
        <f ca="1">IFERROR(__xludf.DUMMYFUNCTION("""COMPUTED_VALUE"""),39325)</f>
        <v>39325</v>
      </c>
    </row>
    <row r="265" spans="1:5" ht="13.2" x14ac:dyDescent="0.25">
      <c r="A265" s="93">
        <f ca="1">IFERROR(__xludf.DUMMYFUNCTION("""COMPUTED_VALUE"""),44154)</f>
        <v>44154</v>
      </c>
      <c r="B265" s="7">
        <f ca="1">IFERROR(__xludf.DUMMYFUNCTION("""COMPUTED_VALUE"""),43)</f>
        <v>43</v>
      </c>
      <c r="C265" s="7">
        <f ca="1">IFERROR(__xludf.DUMMYFUNCTION("""COMPUTED_VALUE"""),8498)</f>
        <v>8498</v>
      </c>
      <c r="D265" s="7">
        <f ca="1">IFERROR(__xludf.DUMMYFUNCTION("""COMPUTED_VALUE"""),169)</f>
        <v>169</v>
      </c>
      <c r="E265" s="7">
        <f ca="1">IFERROR(__xludf.DUMMYFUNCTION("""COMPUTED_VALUE"""),39494)</f>
        <v>39494</v>
      </c>
    </row>
    <row r="266" spans="1:5" ht="13.2" x14ac:dyDescent="0.25">
      <c r="A266" s="93">
        <f ca="1">IFERROR(__xludf.DUMMYFUNCTION("""COMPUTED_VALUE"""),44155)</f>
        <v>44155</v>
      </c>
      <c r="B266" s="7">
        <f ca="1">IFERROR(__xludf.DUMMYFUNCTION("""COMPUTED_VALUE"""),44)</f>
        <v>44</v>
      </c>
      <c r="C266" s="7">
        <f ca="1">IFERROR(__xludf.DUMMYFUNCTION("""COMPUTED_VALUE"""),8542)</f>
        <v>8542</v>
      </c>
      <c r="D266" s="7">
        <f ca="1">IFERROR(__xludf.DUMMYFUNCTION("""COMPUTED_VALUE"""),167)</f>
        <v>167</v>
      </c>
      <c r="E266" s="7">
        <f ca="1">IFERROR(__xludf.DUMMYFUNCTION("""COMPUTED_VALUE"""),39661)</f>
        <v>39661</v>
      </c>
    </row>
    <row r="267" spans="1:5" ht="13.2" x14ac:dyDescent="0.25">
      <c r="A267" s="93">
        <f ca="1">IFERROR(__xludf.DUMMYFUNCTION("""COMPUTED_VALUE"""),44156)</f>
        <v>44156</v>
      </c>
      <c r="B267" s="7">
        <f ca="1">IFERROR(__xludf.DUMMYFUNCTION("""COMPUTED_VALUE"""),42)</f>
        <v>42</v>
      </c>
      <c r="C267" s="7">
        <f ca="1">IFERROR(__xludf.DUMMYFUNCTION("""COMPUTED_VALUE"""),8584)</f>
        <v>8584</v>
      </c>
      <c r="D267" s="7">
        <f ca="1">IFERROR(__xludf.DUMMYFUNCTION("""COMPUTED_VALUE"""),165)</f>
        <v>165</v>
      </c>
      <c r="E267" s="7">
        <f ca="1">IFERROR(__xludf.DUMMYFUNCTION("""COMPUTED_VALUE"""),39826)</f>
        <v>39826</v>
      </c>
    </row>
    <row r="268" spans="1:5" ht="13.2" x14ac:dyDescent="0.25">
      <c r="A268" s="93">
        <f ca="1">IFERROR(__xludf.DUMMYFUNCTION("""COMPUTED_VALUE"""),44157)</f>
        <v>44157</v>
      </c>
      <c r="B268" s="7">
        <f ca="1">IFERROR(__xludf.DUMMYFUNCTION("""COMPUTED_VALUE"""),30)</f>
        <v>30</v>
      </c>
      <c r="C268" s="7">
        <f ca="1">IFERROR(__xludf.DUMMYFUNCTION("""COMPUTED_VALUE"""),8614)</f>
        <v>8614</v>
      </c>
      <c r="D268" s="7">
        <f ca="1">IFERROR(__xludf.DUMMYFUNCTION("""COMPUTED_VALUE"""),148)</f>
        <v>148</v>
      </c>
      <c r="E268" s="7">
        <f ca="1">IFERROR(__xludf.DUMMYFUNCTION("""COMPUTED_VALUE"""),39974)</f>
        <v>39974</v>
      </c>
    </row>
    <row r="269" spans="1:5" ht="13.2" x14ac:dyDescent="0.25">
      <c r="A269" s="93">
        <f ca="1">IFERROR(__xludf.DUMMYFUNCTION("""COMPUTED_VALUE"""),44158)</f>
        <v>44158</v>
      </c>
      <c r="B269" s="7">
        <f ca="1">IFERROR(__xludf.DUMMYFUNCTION("""COMPUTED_VALUE"""),38)</f>
        <v>38</v>
      </c>
      <c r="C269" s="7">
        <f ca="1">IFERROR(__xludf.DUMMYFUNCTION("""COMPUTED_VALUE"""),8652)</f>
        <v>8652</v>
      </c>
      <c r="D269" s="7">
        <f ca="1">IFERROR(__xludf.DUMMYFUNCTION("""COMPUTED_VALUE"""),142)</f>
        <v>142</v>
      </c>
      <c r="E269" s="7">
        <f ca="1">IFERROR(__xludf.DUMMYFUNCTION("""COMPUTED_VALUE"""),40116)</f>
        <v>40116</v>
      </c>
    </row>
    <row r="270" spans="1:5" ht="13.2" x14ac:dyDescent="0.25">
      <c r="A270" s="93">
        <f ca="1">IFERROR(__xludf.DUMMYFUNCTION("""COMPUTED_VALUE"""),44159)</f>
        <v>44159</v>
      </c>
      <c r="B270" s="7">
        <f ca="1">IFERROR(__xludf.DUMMYFUNCTION("""COMPUTED_VALUE"""),46)</f>
        <v>46</v>
      </c>
      <c r="C270" s="7">
        <f ca="1">IFERROR(__xludf.DUMMYFUNCTION("""COMPUTED_VALUE"""),8698)</f>
        <v>8698</v>
      </c>
      <c r="D270" s="7">
        <f ca="1">IFERROR(__xludf.DUMMYFUNCTION("""COMPUTED_VALUE"""),149)</f>
        <v>149</v>
      </c>
      <c r="E270" s="7">
        <f ca="1">IFERROR(__xludf.DUMMYFUNCTION("""COMPUTED_VALUE"""),40265)</f>
        <v>40265</v>
      </c>
    </row>
    <row r="271" spans="1:5" ht="13.2" x14ac:dyDescent="0.25">
      <c r="A271" s="93">
        <f ca="1">IFERROR(__xludf.DUMMYFUNCTION("""COMPUTED_VALUE"""),44160)</f>
        <v>44160</v>
      </c>
      <c r="B271" s="7">
        <f ca="1">IFERROR(__xludf.DUMMYFUNCTION("""COMPUTED_VALUE"""),40)</f>
        <v>40</v>
      </c>
      <c r="C271" s="7">
        <f ca="1">IFERROR(__xludf.DUMMYFUNCTION("""COMPUTED_VALUE"""),8738)</f>
        <v>8738</v>
      </c>
      <c r="D271" s="7">
        <f ca="1">IFERROR(__xludf.DUMMYFUNCTION("""COMPUTED_VALUE"""),143)</f>
        <v>143</v>
      </c>
      <c r="E271" s="7">
        <f ca="1">IFERROR(__xludf.DUMMYFUNCTION("""COMPUTED_VALUE"""),40408)</f>
        <v>40408</v>
      </c>
    </row>
    <row r="272" spans="1:5" ht="13.2" x14ac:dyDescent="0.25">
      <c r="A272" s="93">
        <f ca="1">IFERROR(__xludf.DUMMYFUNCTION("""COMPUTED_VALUE"""),44161)</f>
        <v>44161</v>
      </c>
      <c r="B272" s="7">
        <f ca="1">IFERROR(__xludf.DUMMYFUNCTION("""COMPUTED_VALUE"""),54)</f>
        <v>54</v>
      </c>
      <c r="C272" s="7">
        <f ca="1">IFERROR(__xludf.DUMMYFUNCTION("""COMPUTED_VALUE"""),8792)</f>
        <v>8792</v>
      </c>
      <c r="D272" s="7">
        <f ca="1">IFERROR(__xludf.DUMMYFUNCTION("""COMPUTED_VALUE"""),160)</f>
        <v>160</v>
      </c>
      <c r="E272" s="7">
        <f ca="1">IFERROR(__xludf.DUMMYFUNCTION("""COMPUTED_VALUE"""),40568)</f>
        <v>40568</v>
      </c>
    </row>
    <row r="273" spans="1:5" ht="13.2" x14ac:dyDescent="0.25">
      <c r="A273" s="93">
        <f ca="1">IFERROR(__xludf.DUMMYFUNCTION("""COMPUTED_VALUE"""),44162)</f>
        <v>44162</v>
      </c>
      <c r="B273" s="7">
        <f ca="1">IFERROR(__xludf.DUMMYFUNCTION("""COMPUTED_VALUE"""),46)</f>
        <v>46</v>
      </c>
      <c r="C273" s="7">
        <f ca="1">IFERROR(__xludf.DUMMYFUNCTION("""COMPUTED_VALUE"""),8838)</f>
        <v>8838</v>
      </c>
      <c r="D273" s="7">
        <f ca="1">IFERROR(__xludf.DUMMYFUNCTION("""COMPUTED_VALUE"""),172)</f>
        <v>172</v>
      </c>
      <c r="E273" s="7">
        <f ca="1">IFERROR(__xludf.DUMMYFUNCTION("""COMPUTED_VALUE"""),40740)</f>
        <v>40740</v>
      </c>
    </row>
    <row r="274" spans="1:5" ht="13.2" x14ac:dyDescent="0.25">
      <c r="A274" s="93">
        <f ca="1">IFERROR(__xludf.DUMMYFUNCTION("""COMPUTED_VALUE"""),44163)</f>
        <v>44163</v>
      </c>
      <c r="B274" s="7">
        <f ca="1">IFERROR(__xludf.DUMMYFUNCTION("""COMPUTED_VALUE"""),53)</f>
        <v>53</v>
      </c>
      <c r="C274" s="7">
        <f ca="1">IFERROR(__xludf.DUMMYFUNCTION("""COMPUTED_VALUE"""),8891)</f>
        <v>8891</v>
      </c>
      <c r="D274" s="7">
        <f ca="1">IFERROR(__xludf.DUMMYFUNCTION("""COMPUTED_VALUE"""),149)</f>
        <v>149</v>
      </c>
      <c r="E274" s="7">
        <f ca="1">IFERROR(__xludf.DUMMYFUNCTION("""COMPUTED_VALUE"""),40889)</f>
        <v>40889</v>
      </c>
    </row>
    <row r="275" spans="1:5" ht="13.2" x14ac:dyDescent="0.25">
      <c r="A275" s="93">
        <f ca="1">IFERROR(__xludf.DUMMYFUNCTION("""COMPUTED_VALUE"""),44164)</f>
        <v>44164</v>
      </c>
      <c r="B275" s="7">
        <f ca="1">IFERROR(__xludf.DUMMYFUNCTION("""COMPUTED_VALUE"""),45)</f>
        <v>45</v>
      </c>
      <c r="C275" s="7">
        <f ca="1">IFERROR(__xludf.DUMMYFUNCTION("""COMPUTED_VALUE"""),8936)</f>
        <v>8936</v>
      </c>
      <c r="D275" s="7">
        <f ca="1">IFERROR(__xludf.DUMMYFUNCTION("""COMPUTED_VALUE"""),161)</f>
        <v>161</v>
      </c>
      <c r="E275" s="7">
        <f ca="1">IFERROR(__xludf.DUMMYFUNCTION("""COMPUTED_VALUE"""),41050)</f>
        <v>41050</v>
      </c>
    </row>
    <row r="276" spans="1:5" ht="13.2" x14ac:dyDescent="0.25">
      <c r="A276" s="93">
        <f ca="1">IFERROR(__xludf.DUMMYFUNCTION("""COMPUTED_VALUE"""),44165)</f>
        <v>44165</v>
      </c>
      <c r="B276" s="7">
        <f ca="1">IFERROR(__xludf.DUMMYFUNCTION("""COMPUTED_VALUE"""),62)</f>
        <v>62</v>
      </c>
      <c r="C276" s="7">
        <f ca="1">IFERROR(__xludf.DUMMYFUNCTION("""COMPUTED_VALUE"""),8998)</f>
        <v>8998</v>
      </c>
      <c r="D276" s="7">
        <f ca="1">IFERROR(__xludf.DUMMYFUNCTION("""COMPUTED_VALUE"""),167)</f>
        <v>167</v>
      </c>
      <c r="E276" s="7">
        <f ca="1">IFERROR(__xludf.DUMMYFUNCTION("""COMPUTED_VALUE"""),41217)</f>
        <v>41217</v>
      </c>
    </row>
    <row r="277" spans="1:5" ht="13.2" x14ac:dyDescent="0.25">
      <c r="A277" s="93">
        <f ca="1">IFERROR(__xludf.DUMMYFUNCTION("""COMPUTED_VALUE"""),44166)</f>
        <v>44166</v>
      </c>
      <c r="B277" s="7">
        <f ca="1">IFERROR(__xludf.DUMMYFUNCTION("""COMPUTED_VALUE"""),47)</f>
        <v>47</v>
      </c>
      <c r="C277" s="7">
        <f ca="1">IFERROR(__xludf.DUMMYFUNCTION("""COMPUTED_VALUE"""),9045)</f>
        <v>9045</v>
      </c>
      <c r="D277" s="7">
        <f ca="1">IFERROR(__xludf.DUMMYFUNCTION("""COMPUTED_VALUE"""),178)</f>
        <v>178</v>
      </c>
      <c r="E277" s="7">
        <f ca="1">IFERROR(__xludf.DUMMYFUNCTION("""COMPUTED_VALUE"""),41395)</f>
        <v>41395</v>
      </c>
    </row>
    <row r="278" spans="1:5" ht="13.2" x14ac:dyDescent="0.25">
      <c r="A278" s="93">
        <f ca="1">IFERROR(__xludf.DUMMYFUNCTION("""COMPUTED_VALUE"""),44167)</f>
        <v>44167</v>
      </c>
      <c r="B278" s="7">
        <f ca="1">IFERROR(__xludf.DUMMYFUNCTION("""COMPUTED_VALUE"""),56)</f>
        <v>56</v>
      </c>
      <c r="C278" s="7">
        <f ca="1">IFERROR(__xludf.DUMMYFUNCTION("""COMPUTED_VALUE"""),9101)</f>
        <v>9101</v>
      </c>
      <c r="D278" s="7">
        <f ca="1">IFERROR(__xludf.DUMMYFUNCTION("""COMPUTED_VALUE"""),177)</f>
        <v>177</v>
      </c>
      <c r="E278" s="7">
        <f ca="1">IFERROR(__xludf.DUMMYFUNCTION("""COMPUTED_VALUE"""),41572)</f>
        <v>41572</v>
      </c>
    </row>
    <row r="279" spans="1:5" ht="13.2" x14ac:dyDescent="0.25">
      <c r="A279" s="93">
        <f ca="1">IFERROR(__xludf.DUMMYFUNCTION("""COMPUTED_VALUE"""),44168)</f>
        <v>44168</v>
      </c>
      <c r="B279" s="7">
        <f ca="1">IFERROR(__xludf.DUMMYFUNCTION("""COMPUTED_VALUE"""),50)</f>
        <v>50</v>
      </c>
      <c r="C279" s="7">
        <f ca="1">IFERROR(__xludf.DUMMYFUNCTION("""COMPUTED_VALUE"""),9151)</f>
        <v>9151</v>
      </c>
      <c r="D279" s="7">
        <f ca="1">IFERROR(__xludf.DUMMYFUNCTION("""COMPUTED_VALUE"""),149)</f>
        <v>149</v>
      </c>
      <c r="E279" s="7">
        <f ca="1">IFERROR(__xludf.DUMMYFUNCTION("""COMPUTED_VALUE"""),41721)</f>
        <v>41721</v>
      </c>
    </row>
    <row r="280" spans="1:5" ht="13.2" x14ac:dyDescent="0.25">
      <c r="A280" s="93">
        <f ca="1">IFERROR(__xludf.DUMMYFUNCTION("""COMPUTED_VALUE"""),44169)</f>
        <v>44169</v>
      </c>
      <c r="B280" s="7">
        <f ca="1">IFERROR(__xludf.DUMMYFUNCTION("""COMPUTED_VALUE"""),49)</f>
        <v>49</v>
      </c>
      <c r="C280" s="7">
        <f ca="1">IFERROR(__xludf.DUMMYFUNCTION("""COMPUTED_VALUE"""),9200)</f>
        <v>9200</v>
      </c>
      <c r="D280" s="7">
        <f ca="1">IFERROR(__xludf.DUMMYFUNCTION("""COMPUTED_VALUE"""),139)</f>
        <v>139</v>
      </c>
      <c r="E280" s="7">
        <f ca="1">IFERROR(__xludf.DUMMYFUNCTION("""COMPUTED_VALUE"""),41860)</f>
        <v>41860</v>
      </c>
    </row>
    <row r="281" spans="1:5" ht="13.2" x14ac:dyDescent="0.25">
      <c r="A281" s="93">
        <f ca="1">IFERROR(__xludf.DUMMYFUNCTION("""COMPUTED_VALUE"""),44170)</f>
        <v>44170</v>
      </c>
      <c r="B281" s="7">
        <f ca="1">IFERROR(__xludf.DUMMYFUNCTION("""COMPUTED_VALUE"""),52)</f>
        <v>52</v>
      </c>
      <c r="C281" s="7">
        <f ca="1">IFERROR(__xludf.DUMMYFUNCTION("""COMPUTED_VALUE"""),9252)</f>
        <v>9252</v>
      </c>
      <c r="D281" s="7">
        <f ca="1">IFERROR(__xludf.DUMMYFUNCTION("""COMPUTED_VALUE"""),148)</f>
        <v>148</v>
      </c>
      <c r="E281" s="7">
        <f ca="1">IFERROR(__xludf.DUMMYFUNCTION("""COMPUTED_VALUE"""),42008)</f>
        <v>42008</v>
      </c>
    </row>
    <row r="282" spans="1:5" ht="13.2" x14ac:dyDescent="0.25">
      <c r="A282" s="93">
        <f ca="1">IFERROR(__xludf.DUMMYFUNCTION("""COMPUTED_VALUE"""),44171)</f>
        <v>44171</v>
      </c>
      <c r="B282" s="7">
        <f ca="1">IFERROR(__xludf.DUMMYFUNCTION("""COMPUTED_VALUE"""),50)</f>
        <v>50</v>
      </c>
      <c r="C282" s="7">
        <f ca="1">IFERROR(__xludf.DUMMYFUNCTION("""COMPUTED_VALUE"""),9302)</f>
        <v>9302</v>
      </c>
      <c r="D282" s="7">
        <f ca="1">IFERROR(__xludf.DUMMYFUNCTION("""COMPUTED_VALUE"""),164)</f>
        <v>164</v>
      </c>
      <c r="E282" s="7">
        <f ca="1">IFERROR(__xludf.DUMMYFUNCTION("""COMPUTED_VALUE"""),42172)</f>
        <v>42172</v>
      </c>
    </row>
    <row r="283" spans="1:5" ht="13.2" x14ac:dyDescent="0.25">
      <c r="A283" s="93">
        <f ca="1">IFERROR(__xludf.DUMMYFUNCTION("""COMPUTED_VALUE"""),44172)</f>
        <v>44172</v>
      </c>
      <c r="B283" s="7">
        <f ca="1">IFERROR(__xludf.DUMMYFUNCTION("""COMPUTED_VALUE"""),55)</f>
        <v>55</v>
      </c>
      <c r="C283" s="7">
        <f ca="1">IFERROR(__xludf.DUMMYFUNCTION("""COMPUTED_VALUE"""),9357)</f>
        <v>9357</v>
      </c>
      <c r="D283" s="7">
        <f ca="1">IFERROR(__xludf.DUMMYFUNCTION("""COMPUTED_VALUE"""),165)</f>
        <v>165</v>
      </c>
      <c r="E283" s="7">
        <f ca="1">IFERROR(__xludf.DUMMYFUNCTION("""COMPUTED_VALUE"""),42337)</f>
        <v>42337</v>
      </c>
    </row>
    <row r="284" spans="1:5" ht="13.2" x14ac:dyDescent="0.25">
      <c r="A284" s="93">
        <f ca="1">IFERROR(__xludf.DUMMYFUNCTION("""COMPUTED_VALUE"""),44173)</f>
        <v>44173</v>
      </c>
      <c r="B284" s="7">
        <f ca="1">IFERROR(__xludf.DUMMYFUNCTION("""COMPUTED_VALUE"""),50)</f>
        <v>50</v>
      </c>
      <c r="C284" s="7">
        <f ca="1">IFERROR(__xludf.DUMMYFUNCTION("""COMPUTED_VALUE"""),9407)</f>
        <v>9407</v>
      </c>
      <c r="D284" s="7">
        <f ca="1">IFERROR(__xludf.DUMMYFUNCTION("""COMPUTED_VALUE"""),155)</f>
        <v>155</v>
      </c>
      <c r="E284" s="7">
        <f ca="1">IFERROR(__xludf.DUMMYFUNCTION("""COMPUTED_VALUE"""),42492)</f>
        <v>42492</v>
      </c>
    </row>
    <row r="285" spans="1:5" ht="13.2" x14ac:dyDescent="0.25">
      <c r="A285" s="93">
        <f ca="1">IFERROR(__xludf.DUMMYFUNCTION("""COMPUTED_VALUE"""),44174)</f>
        <v>44174</v>
      </c>
      <c r="B285" s="7">
        <f ca="1">IFERROR(__xludf.DUMMYFUNCTION("""COMPUTED_VALUE"""),55)</f>
        <v>55</v>
      </c>
      <c r="C285" s="7">
        <f ca="1">IFERROR(__xludf.DUMMYFUNCTION("""COMPUTED_VALUE"""),9462)</f>
        <v>9462</v>
      </c>
      <c r="D285" s="7">
        <f ca="1">IFERROR(__xludf.DUMMYFUNCTION("""COMPUTED_VALUE"""),164)</f>
        <v>164</v>
      </c>
      <c r="E285" s="7">
        <f ca="1">IFERROR(__xludf.DUMMYFUNCTION("""COMPUTED_VALUE"""),42656)</f>
        <v>42656</v>
      </c>
    </row>
    <row r="286" spans="1:5" ht="13.2" x14ac:dyDescent="0.25">
      <c r="A286" s="93">
        <f ca="1">IFERROR(__xludf.DUMMYFUNCTION("""COMPUTED_VALUE"""),44175)</f>
        <v>44175</v>
      </c>
      <c r="B286" s="7">
        <f ca="1">IFERROR(__xludf.DUMMYFUNCTION("""COMPUTED_VALUE"""),55)</f>
        <v>55</v>
      </c>
      <c r="C286" s="7">
        <f ca="1">IFERROR(__xludf.DUMMYFUNCTION("""COMPUTED_VALUE"""),9517)</f>
        <v>9517</v>
      </c>
      <c r="D286" s="7">
        <f ca="1">IFERROR(__xludf.DUMMYFUNCTION("""COMPUTED_VALUE"""),159)</f>
        <v>159</v>
      </c>
      <c r="E286" s="7">
        <f ca="1">IFERROR(__xludf.DUMMYFUNCTION("""COMPUTED_VALUE"""),42815)</f>
        <v>42815</v>
      </c>
    </row>
    <row r="287" spans="1:5" ht="13.2" x14ac:dyDescent="0.25">
      <c r="A287" s="93">
        <f ca="1">IFERROR(__xludf.DUMMYFUNCTION("""COMPUTED_VALUE"""),44176)</f>
        <v>44176</v>
      </c>
      <c r="B287" s="7">
        <f ca="1">IFERROR(__xludf.DUMMYFUNCTION("""COMPUTED_VALUE"""),61)</f>
        <v>61</v>
      </c>
      <c r="C287" s="7">
        <f ca="1">IFERROR(__xludf.DUMMYFUNCTION("""COMPUTED_VALUE"""),9578)</f>
        <v>9578</v>
      </c>
      <c r="D287" s="7">
        <f ca="1">IFERROR(__xludf.DUMMYFUNCTION("""COMPUTED_VALUE"""),165)</f>
        <v>165</v>
      </c>
      <c r="E287" s="7">
        <f ca="1">IFERROR(__xludf.DUMMYFUNCTION("""COMPUTED_VALUE"""),42980)</f>
        <v>42980</v>
      </c>
    </row>
    <row r="288" spans="1:5" ht="13.2" x14ac:dyDescent="0.25">
      <c r="A288" s="93">
        <f ca="1">IFERROR(__xludf.DUMMYFUNCTION("""COMPUTED_VALUE"""),44177)</f>
        <v>44177</v>
      </c>
      <c r="B288" s="7">
        <f ca="1">IFERROR(__xludf.DUMMYFUNCTION("""COMPUTED_VALUE"""),52)</f>
        <v>52</v>
      </c>
      <c r="C288" s="7">
        <f ca="1">IFERROR(__xludf.DUMMYFUNCTION("""COMPUTED_VALUE"""),9630)</f>
        <v>9630</v>
      </c>
      <c r="D288" s="7">
        <f ca="1">IFERROR(__xludf.DUMMYFUNCTION("""COMPUTED_VALUE"""),158)</f>
        <v>158</v>
      </c>
      <c r="E288" s="7">
        <f ca="1">IFERROR(__xludf.DUMMYFUNCTION("""COMPUTED_VALUE"""),43138)</f>
        <v>43138</v>
      </c>
    </row>
    <row r="289" spans="1:5" ht="13.2" x14ac:dyDescent="0.25">
      <c r="A289" s="93">
        <f ca="1">IFERROR(__xludf.DUMMYFUNCTION("""COMPUTED_VALUE"""),44178)</f>
        <v>44178</v>
      </c>
      <c r="B289" s="7">
        <f ca="1">IFERROR(__xludf.DUMMYFUNCTION("""COMPUTED_VALUE"""),56)</f>
        <v>56</v>
      </c>
      <c r="C289" s="7">
        <f ca="1">IFERROR(__xludf.DUMMYFUNCTION("""COMPUTED_VALUE"""),9686)</f>
        <v>9686</v>
      </c>
      <c r="D289" s="7">
        <f ca="1">IFERROR(__xludf.DUMMYFUNCTION("""COMPUTED_VALUE"""),147)</f>
        <v>147</v>
      </c>
      <c r="E289" s="7">
        <f ca="1">IFERROR(__xludf.DUMMYFUNCTION("""COMPUTED_VALUE"""),43285)</f>
        <v>43285</v>
      </c>
    </row>
    <row r="290" spans="1:5" ht="13.2" x14ac:dyDescent="0.25">
      <c r="A290" s="93">
        <f ca="1">IFERROR(__xludf.DUMMYFUNCTION("""COMPUTED_VALUE"""),44179)</f>
        <v>44179</v>
      </c>
      <c r="B290" s="7">
        <f ca="1">IFERROR(__xludf.DUMMYFUNCTION("""COMPUTED_VALUE"""),48)</f>
        <v>48</v>
      </c>
      <c r="C290" s="7">
        <f ca="1">IFERROR(__xludf.DUMMYFUNCTION("""COMPUTED_VALUE"""),9734)</f>
        <v>9734</v>
      </c>
      <c r="D290" s="7">
        <f ca="1">IFERROR(__xludf.DUMMYFUNCTION("""COMPUTED_VALUE"""),181)</f>
        <v>181</v>
      </c>
      <c r="E290" s="7">
        <f ca="1">IFERROR(__xludf.DUMMYFUNCTION("""COMPUTED_VALUE"""),43466)</f>
        <v>43466</v>
      </c>
    </row>
    <row r="291" spans="1:5" ht="13.2" x14ac:dyDescent="0.25">
      <c r="A291" s="93">
        <f ca="1">IFERROR(__xludf.DUMMYFUNCTION("""COMPUTED_VALUE"""),44180)</f>
        <v>44180</v>
      </c>
      <c r="B291" s="7">
        <f ca="1">IFERROR(__xludf.DUMMYFUNCTION("""COMPUTED_VALUE"""),62)</f>
        <v>62</v>
      </c>
      <c r="C291" s="7">
        <f ca="1">IFERROR(__xludf.DUMMYFUNCTION("""COMPUTED_VALUE"""),9796)</f>
        <v>9796</v>
      </c>
      <c r="D291" s="7">
        <f ca="1">IFERROR(__xludf.DUMMYFUNCTION("""COMPUTED_VALUE"""),179)</f>
        <v>179</v>
      </c>
      <c r="E291" s="7">
        <f ca="1">IFERROR(__xludf.DUMMYFUNCTION("""COMPUTED_VALUE"""),43645)</f>
        <v>43645</v>
      </c>
    </row>
    <row r="292" spans="1:5" ht="13.2" x14ac:dyDescent="0.25">
      <c r="A292" s="93">
        <f ca="1">IFERROR(__xludf.DUMMYFUNCTION("""COMPUTED_VALUE"""),44181)</f>
        <v>44181</v>
      </c>
      <c r="B292" s="7">
        <f ca="1">IFERROR(__xludf.DUMMYFUNCTION("""COMPUTED_VALUE"""),53)</f>
        <v>53</v>
      </c>
      <c r="C292" s="7">
        <f ca="1">IFERROR(__xludf.DUMMYFUNCTION("""COMPUTED_VALUE"""),9849)</f>
        <v>9849</v>
      </c>
      <c r="D292" s="7">
        <f ca="1">IFERROR(__xludf.DUMMYFUNCTION("""COMPUTED_VALUE"""),175)</f>
        <v>175</v>
      </c>
      <c r="E292" s="7">
        <f ca="1">IFERROR(__xludf.DUMMYFUNCTION("""COMPUTED_VALUE"""),43820)</f>
        <v>43820</v>
      </c>
    </row>
    <row r="293" spans="1:5" ht="13.2" x14ac:dyDescent="0.25">
      <c r="A293" s="93">
        <f ca="1">IFERROR(__xludf.DUMMYFUNCTION("""COMPUTED_VALUE"""),44182)</f>
        <v>44182</v>
      </c>
      <c r="B293" s="7">
        <f ca="1">IFERROR(__xludf.DUMMYFUNCTION("""COMPUTED_VALUE"""),59)</f>
        <v>59</v>
      </c>
      <c r="C293" s="7">
        <f ca="1">IFERROR(__xludf.DUMMYFUNCTION("""COMPUTED_VALUE"""),9908)</f>
        <v>9908</v>
      </c>
      <c r="D293" s="7">
        <f ca="1">IFERROR(__xludf.DUMMYFUNCTION("""COMPUTED_VALUE"""),176)</f>
        <v>176</v>
      </c>
      <c r="E293" s="7">
        <f ca="1">IFERROR(__xludf.DUMMYFUNCTION("""COMPUTED_VALUE"""),43996)</f>
        <v>43996</v>
      </c>
    </row>
    <row r="294" spans="1:5" ht="13.2" x14ac:dyDescent="0.25">
      <c r="A294" s="93">
        <f ca="1">IFERROR(__xludf.DUMMYFUNCTION("""COMPUTED_VALUE"""),44183)</f>
        <v>44183</v>
      </c>
      <c r="B294" s="7">
        <f ca="1">IFERROR(__xludf.DUMMYFUNCTION("""COMPUTED_VALUE"""),62)</f>
        <v>62</v>
      </c>
      <c r="C294" s="7">
        <f ca="1">IFERROR(__xludf.DUMMYFUNCTION("""COMPUTED_VALUE"""),9970)</f>
        <v>9970</v>
      </c>
      <c r="D294" s="7">
        <f ca="1">IFERROR(__xludf.DUMMYFUNCTION("""COMPUTED_VALUE"""),163)</f>
        <v>163</v>
      </c>
      <c r="E294" s="7">
        <f ca="1">IFERROR(__xludf.DUMMYFUNCTION("""COMPUTED_VALUE"""),44159)</f>
        <v>44159</v>
      </c>
    </row>
    <row r="295" spans="1:5" ht="13.2" x14ac:dyDescent="0.25">
      <c r="A295" s="93">
        <f ca="1">IFERROR(__xludf.DUMMYFUNCTION("""COMPUTED_VALUE"""),44184)</f>
        <v>44184</v>
      </c>
      <c r="B295" s="7">
        <f ca="1">IFERROR(__xludf.DUMMYFUNCTION("""COMPUTED_VALUE"""),58)</f>
        <v>58</v>
      </c>
      <c r="C295" s="7">
        <f ca="1">IFERROR(__xludf.DUMMYFUNCTION("""COMPUTED_VALUE"""),10028)</f>
        <v>10028</v>
      </c>
      <c r="D295" s="7">
        <f ca="1">IFERROR(__xludf.DUMMYFUNCTION("""COMPUTED_VALUE"""),152)</f>
        <v>152</v>
      </c>
      <c r="E295" s="7">
        <f ca="1">IFERROR(__xludf.DUMMYFUNCTION("""COMPUTED_VALUE"""),44311)</f>
        <v>44311</v>
      </c>
    </row>
    <row r="296" spans="1:5" ht="13.2" x14ac:dyDescent="0.25">
      <c r="A296" s="93">
        <f ca="1">IFERROR(__xludf.DUMMYFUNCTION("""COMPUTED_VALUE"""),44185)</f>
        <v>44185</v>
      </c>
      <c r="B296" s="7">
        <f ca="1">IFERROR(__xludf.DUMMYFUNCTION("""COMPUTED_VALUE"""),60)</f>
        <v>60</v>
      </c>
      <c r="C296" s="7">
        <f ca="1">IFERROR(__xludf.DUMMYFUNCTION("""COMPUTED_VALUE"""),10088)</f>
        <v>10088</v>
      </c>
      <c r="D296" s="7">
        <f ca="1">IFERROR(__xludf.DUMMYFUNCTION("""COMPUTED_VALUE"""),169)</f>
        <v>169</v>
      </c>
      <c r="E296" s="7">
        <f ca="1">IFERROR(__xludf.DUMMYFUNCTION("""COMPUTED_VALUE"""),44480)</f>
        <v>44480</v>
      </c>
    </row>
    <row r="297" spans="1:5" ht="13.2" x14ac:dyDescent="0.25">
      <c r="A297" s="93">
        <f ca="1">IFERROR(__xludf.DUMMYFUNCTION("""COMPUTED_VALUE"""),44186)</f>
        <v>44186</v>
      </c>
      <c r="B297" s="7">
        <f ca="1">IFERROR(__xludf.DUMMYFUNCTION("""COMPUTED_VALUE"""),52)</f>
        <v>52</v>
      </c>
      <c r="C297" s="7">
        <f ca="1">IFERROR(__xludf.DUMMYFUNCTION("""COMPUTED_VALUE"""),10140)</f>
        <v>10140</v>
      </c>
      <c r="D297" s="7">
        <f ca="1">IFERROR(__xludf.DUMMYFUNCTION("""COMPUTED_VALUE"""),188)</f>
        <v>188</v>
      </c>
      <c r="E297" s="7">
        <f ca="1">IFERROR(__xludf.DUMMYFUNCTION("""COMPUTED_VALUE"""),44668)</f>
        <v>44668</v>
      </c>
    </row>
    <row r="298" spans="1:5" ht="13.2" x14ac:dyDescent="0.25">
      <c r="A298" s="93">
        <f ca="1">IFERROR(__xludf.DUMMYFUNCTION("""COMPUTED_VALUE"""),44187)</f>
        <v>44187</v>
      </c>
      <c r="B298" s="7">
        <f ca="1">IFERROR(__xludf.DUMMYFUNCTION("""COMPUTED_VALUE"""),66)</f>
        <v>66</v>
      </c>
      <c r="C298" s="7">
        <f ca="1">IFERROR(__xludf.DUMMYFUNCTION("""COMPUTED_VALUE"""),10206)</f>
        <v>10206</v>
      </c>
      <c r="D298" s="7">
        <f ca="1">IFERROR(__xludf.DUMMYFUNCTION("""COMPUTED_VALUE"""),199)</f>
        <v>199</v>
      </c>
      <c r="E298" s="7">
        <f ca="1">IFERROR(__xludf.DUMMYFUNCTION("""COMPUTED_VALUE"""),44867)</f>
        <v>44867</v>
      </c>
    </row>
    <row r="299" spans="1:5" ht="13.2" x14ac:dyDescent="0.25">
      <c r="A299" s="93">
        <f ca="1">IFERROR(__xludf.DUMMYFUNCTION("""COMPUTED_VALUE"""),44188)</f>
        <v>44188</v>
      </c>
      <c r="B299" s="7">
        <f ca="1">IFERROR(__xludf.DUMMYFUNCTION("""COMPUTED_VALUE"""),71)</f>
        <v>71</v>
      </c>
      <c r="C299" s="7">
        <f ca="1">IFERROR(__xludf.DUMMYFUNCTION("""COMPUTED_VALUE"""),10277)</f>
        <v>10277</v>
      </c>
      <c r="D299" s="7">
        <f ca="1">IFERROR(__xludf.DUMMYFUNCTION("""COMPUTED_VALUE"""),185)</f>
        <v>185</v>
      </c>
      <c r="E299" s="7">
        <f ca="1">IFERROR(__xludf.DUMMYFUNCTION("""COMPUTED_VALUE"""),45052)</f>
        <v>45052</v>
      </c>
    </row>
    <row r="300" spans="1:5" ht="13.2" x14ac:dyDescent="0.25">
      <c r="A300" s="93">
        <f ca="1">IFERROR(__xludf.DUMMYFUNCTION("""COMPUTED_VALUE"""),44189)</f>
        <v>44189</v>
      </c>
      <c r="B300" s="7">
        <f ca="1">IFERROR(__xludf.DUMMYFUNCTION("""COMPUTED_VALUE"""),70)</f>
        <v>70</v>
      </c>
      <c r="C300" s="7">
        <f ca="1">IFERROR(__xludf.DUMMYFUNCTION("""COMPUTED_VALUE"""),10347)</f>
        <v>10347</v>
      </c>
      <c r="D300" s="7">
        <f ca="1">IFERROR(__xludf.DUMMYFUNCTION("""COMPUTED_VALUE"""),204)</f>
        <v>204</v>
      </c>
      <c r="E300" s="7">
        <f ca="1">IFERROR(__xludf.DUMMYFUNCTION("""COMPUTED_VALUE"""),45256)</f>
        <v>45256</v>
      </c>
    </row>
    <row r="301" spans="1:5" ht="13.2" x14ac:dyDescent="0.25">
      <c r="A301" s="93">
        <f ca="1">IFERROR(__xludf.DUMMYFUNCTION("""COMPUTED_VALUE"""),44190)</f>
        <v>44190</v>
      </c>
      <c r="B301" s="7">
        <f ca="1">IFERROR(__xludf.DUMMYFUNCTION("""COMPUTED_VALUE"""),77)</f>
        <v>77</v>
      </c>
      <c r="C301" s="7">
        <f ca="1">IFERROR(__xludf.DUMMYFUNCTION("""COMPUTED_VALUE"""),10424)</f>
        <v>10424</v>
      </c>
      <c r="D301" s="7">
        <f ca="1">IFERROR(__xludf.DUMMYFUNCTION("""COMPUTED_VALUE"""),206)</f>
        <v>206</v>
      </c>
      <c r="E301" s="7">
        <f ca="1">IFERROR(__xludf.DUMMYFUNCTION("""COMPUTED_VALUE"""),45462)</f>
        <v>45462</v>
      </c>
    </row>
    <row r="302" spans="1:5" ht="13.2" x14ac:dyDescent="0.25">
      <c r="A302" s="93">
        <f ca="1">IFERROR(__xludf.DUMMYFUNCTION("""COMPUTED_VALUE"""),44191)</f>
        <v>44191</v>
      </c>
      <c r="B302" s="7">
        <f ca="1">IFERROR(__xludf.DUMMYFUNCTION("""COMPUTED_VALUE"""),77)</f>
        <v>77</v>
      </c>
      <c r="C302" s="7">
        <f ca="1">IFERROR(__xludf.DUMMYFUNCTION("""COMPUTED_VALUE"""),10501)</f>
        <v>10501</v>
      </c>
      <c r="D302" s="7">
        <f ca="1">IFERROR(__xludf.DUMMYFUNCTION("""COMPUTED_VALUE"""),213)</f>
        <v>213</v>
      </c>
      <c r="E302" s="7">
        <f ca="1">IFERROR(__xludf.DUMMYFUNCTION("""COMPUTED_VALUE"""),45675)</f>
        <v>45675</v>
      </c>
    </row>
    <row r="303" spans="1:5" ht="13.2" x14ac:dyDescent="0.25">
      <c r="A303" s="93">
        <f ca="1">IFERROR(__xludf.DUMMYFUNCTION("""COMPUTED_VALUE"""),44192)</f>
        <v>44192</v>
      </c>
      <c r="B303" s="7">
        <f ca="1">IFERROR(__xludf.DUMMYFUNCTION("""COMPUTED_VALUE"""),69)</f>
        <v>69</v>
      </c>
      <c r="C303" s="7">
        <f ca="1">IFERROR(__xludf.DUMMYFUNCTION("""COMPUTED_VALUE"""),10570)</f>
        <v>10570</v>
      </c>
      <c r="D303" s="7">
        <f ca="1">IFERROR(__xludf.DUMMYFUNCTION("""COMPUTED_VALUE"""),217)</f>
        <v>217</v>
      </c>
      <c r="E303" s="7">
        <f ca="1">IFERROR(__xludf.DUMMYFUNCTION("""COMPUTED_VALUE"""),45892)</f>
        <v>45892</v>
      </c>
    </row>
    <row r="304" spans="1:5" ht="13.2" x14ac:dyDescent="0.25">
      <c r="A304" s="93">
        <f ca="1">IFERROR(__xludf.DUMMYFUNCTION("""COMPUTED_VALUE"""),44193)</f>
        <v>44193</v>
      </c>
      <c r="B304" s="7">
        <f ca="1">IFERROR(__xludf.DUMMYFUNCTION("""COMPUTED_VALUE"""),101)</f>
        <v>101</v>
      </c>
      <c r="C304" s="7">
        <f ca="1">IFERROR(__xludf.DUMMYFUNCTION("""COMPUTED_VALUE"""),10671)</f>
        <v>10671</v>
      </c>
      <c r="D304" s="7">
        <f ca="1">IFERROR(__xludf.DUMMYFUNCTION("""COMPUTED_VALUE"""),223)</f>
        <v>223</v>
      </c>
      <c r="E304" s="7">
        <f ca="1">IFERROR(__xludf.DUMMYFUNCTION("""COMPUTED_VALUE"""),46115)</f>
        <v>46115</v>
      </c>
    </row>
    <row r="305" spans="1:5" ht="13.2" x14ac:dyDescent="0.25">
      <c r="A305" s="93">
        <f ca="1">IFERROR(__xludf.DUMMYFUNCTION("""COMPUTED_VALUE"""),44194)</f>
        <v>44194</v>
      </c>
      <c r="B305" s="7">
        <f ca="1">IFERROR(__xludf.DUMMYFUNCTION("""COMPUTED_VALUE"""),68)</f>
        <v>68</v>
      </c>
      <c r="C305" s="7">
        <f ca="1">IFERROR(__xludf.DUMMYFUNCTION("""COMPUTED_VALUE"""),10739)</f>
        <v>10739</v>
      </c>
      <c r="D305" s="7">
        <f ca="1">IFERROR(__xludf.DUMMYFUNCTION("""COMPUTED_VALUE"""),196)</f>
        <v>196</v>
      </c>
      <c r="E305" s="7">
        <f ca="1">IFERROR(__xludf.DUMMYFUNCTION("""COMPUTED_VALUE"""),46311)</f>
        <v>46311</v>
      </c>
    </row>
    <row r="306" spans="1:5" ht="13.2" x14ac:dyDescent="0.25">
      <c r="A306" s="93">
        <f ca="1">IFERROR(__xludf.DUMMYFUNCTION("""COMPUTED_VALUE"""),44195)</f>
        <v>44195</v>
      </c>
      <c r="B306" s="7">
        <f ca="1">IFERROR(__xludf.DUMMYFUNCTION("""COMPUTED_VALUE"""),75)</f>
        <v>75</v>
      </c>
      <c r="C306" s="7">
        <f ca="1">IFERROR(__xludf.DUMMYFUNCTION("""COMPUTED_VALUE"""),10814)</f>
        <v>10814</v>
      </c>
      <c r="D306" s="7">
        <f ca="1">IFERROR(__xludf.DUMMYFUNCTION("""COMPUTED_VALUE"""),196)</f>
        <v>196</v>
      </c>
      <c r="E306" s="7">
        <f ca="1">IFERROR(__xludf.DUMMYFUNCTION("""COMPUTED_VALUE"""),46507)</f>
        <v>46507</v>
      </c>
    </row>
    <row r="307" spans="1:5" ht="13.2" x14ac:dyDescent="0.25">
      <c r="A307" s="93">
        <f ca="1">IFERROR(__xludf.DUMMYFUNCTION("""COMPUTED_VALUE"""),44196)</f>
        <v>44196</v>
      </c>
      <c r="B307" s="7">
        <f ca="1">IFERROR(__xludf.DUMMYFUNCTION("""COMPUTED_VALUE"""),80)</f>
        <v>80</v>
      </c>
      <c r="C307" s="7">
        <f ca="1">IFERROR(__xludf.DUMMYFUNCTION("""COMPUTED_VALUE"""),10894)</f>
        <v>10894</v>
      </c>
      <c r="D307" s="7">
        <f ca="1">IFERROR(__xludf.DUMMYFUNCTION("""COMPUTED_VALUE"""),185)</f>
        <v>185</v>
      </c>
      <c r="E307" s="7">
        <f ca="1">IFERROR(__xludf.DUMMYFUNCTION("""COMPUTED_VALUE"""),46692)</f>
        <v>46692</v>
      </c>
    </row>
    <row r="308" spans="1:5" ht="13.2" x14ac:dyDescent="0.25">
      <c r="A308" s="93">
        <f ca="1">IFERROR(__xludf.DUMMYFUNCTION("""COMPUTED_VALUE"""),44197)</f>
        <v>44197</v>
      </c>
      <c r="B308" s="7">
        <f ca="1">IFERROR(__xludf.DUMMYFUNCTION("""COMPUTED_VALUE"""),82)</f>
        <v>82</v>
      </c>
      <c r="C308" s="7">
        <f ca="1">IFERROR(__xludf.DUMMYFUNCTION("""COMPUTED_VALUE"""),10976)</f>
        <v>10976</v>
      </c>
      <c r="D308" s="7">
        <f ca="1">IFERROR(__xludf.DUMMYFUNCTION("""COMPUTED_VALUE"""),190)</f>
        <v>190</v>
      </c>
      <c r="E308" s="7">
        <f ca="1">IFERROR(__xludf.DUMMYFUNCTION("""COMPUTED_VALUE"""),46882)</f>
        <v>46882</v>
      </c>
    </row>
    <row r="309" spans="1:5" ht="13.2" x14ac:dyDescent="0.25">
      <c r="A309" s="93">
        <f ca="1">IFERROR(__xludf.DUMMYFUNCTION("""COMPUTED_VALUE"""),44198)</f>
        <v>44198</v>
      </c>
      <c r="B309" s="7">
        <f ca="1">IFERROR(__xludf.DUMMYFUNCTION("""COMPUTED_VALUE"""),88)</f>
        <v>88</v>
      </c>
      <c r="C309" s="7">
        <f ca="1">IFERROR(__xludf.DUMMYFUNCTION("""COMPUTED_VALUE"""),11064)</f>
        <v>11064</v>
      </c>
      <c r="D309" s="7">
        <f ca="1">IFERROR(__xludf.DUMMYFUNCTION("""COMPUTED_VALUE"""),191)</f>
        <v>191</v>
      </c>
      <c r="E309" s="7">
        <f ca="1">IFERROR(__xludf.DUMMYFUNCTION("""COMPUTED_VALUE"""),47073)</f>
        <v>47073</v>
      </c>
    </row>
    <row r="310" spans="1:5" ht="13.2" x14ac:dyDescent="0.25">
      <c r="A310" s="93">
        <f ca="1">IFERROR(__xludf.DUMMYFUNCTION("""COMPUTED_VALUE"""),44199)</f>
        <v>44199</v>
      </c>
      <c r="B310" s="7">
        <f ca="1">IFERROR(__xludf.DUMMYFUNCTION("""COMPUTED_VALUE"""),106)</f>
        <v>106</v>
      </c>
      <c r="C310" s="7">
        <f ca="1">IFERROR(__xludf.DUMMYFUNCTION("""COMPUTED_VALUE"""),11170)</f>
        <v>11170</v>
      </c>
      <c r="D310" s="7">
        <f ca="1">IFERROR(__xludf.DUMMYFUNCTION("""COMPUTED_VALUE"""),212)</f>
        <v>212</v>
      </c>
      <c r="E310" s="7">
        <f ca="1">IFERROR(__xludf.DUMMYFUNCTION("""COMPUTED_VALUE"""),47285)</f>
        <v>47285</v>
      </c>
    </row>
    <row r="311" spans="1:5" ht="13.2" x14ac:dyDescent="0.25">
      <c r="A311" s="93">
        <f ca="1">IFERROR(__xludf.DUMMYFUNCTION("""COMPUTED_VALUE"""),44200)</f>
        <v>44200</v>
      </c>
      <c r="B311" s="7">
        <f ca="1">IFERROR(__xludf.DUMMYFUNCTION("""COMPUTED_VALUE"""),94)</f>
        <v>94</v>
      </c>
      <c r="C311" s="7">
        <f ca="1">IFERROR(__xludf.DUMMYFUNCTION("""COMPUTED_VALUE"""),11264)</f>
        <v>11264</v>
      </c>
      <c r="D311" s="7">
        <f ca="1">IFERROR(__xludf.DUMMYFUNCTION("""COMPUTED_VALUE"""),202)</f>
        <v>202</v>
      </c>
      <c r="E311" s="7">
        <f ca="1">IFERROR(__xludf.DUMMYFUNCTION("""COMPUTED_VALUE"""),47487)</f>
        <v>47487</v>
      </c>
    </row>
    <row r="312" spans="1:5" ht="13.2" x14ac:dyDescent="0.25">
      <c r="A312" s="93">
        <f ca="1">IFERROR(__xludf.DUMMYFUNCTION("""COMPUTED_VALUE"""),44201)</f>
        <v>44201</v>
      </c>
      <c r="B312" s="7">
        <f ca="1">IFERROR(__xludf.DUMMYFUNCTION("""COMPUTED_VALUE"""),88)</f>
        <v>88</v>
      </c>
      <c r="C312" s="7">
        <f ca="1">IFERROR(__xludf.DUMMYFUNCTION("""COMPUTED_VALUE"""),11352)</f>
        <v>11352</v>
      </c>
      <c r="D312" s="7">
        <f ca="1">IFERROR(__xludf.DUMMYFUNCTION("""COMPUTED_VALUE"""),198)</f>
        <v>198</v>
      </c>
      <c r="E312" s="7">
        <f ca="1">IFERROR(__xludf.DUMMYFUNCTION("""COMPUTED_VALUE"""),47685)</f>
        <v>47685</v>
      </c>
    </row>
    <row r="313" spans="1:5" ht="13.2" x14ac:dyDescent="0.25">
      <c r="A313" s="93">
        <f ca="1">IFERROR(__xludf.DUMMYFUNCTION("""COMPUTED_VALUE"""),44202)</f>
        <v>44202</v>
      </c>
      <c r="B313" s="7">
        <f ca="1">IFERROR(__xludf.DUMMYFUNCTION("""COMPUTED_VALUE"""),94)</f>
        <v>94</v>
      </c>
      <c r="C313" s="7">
        <f ca="1">IFERROR(__xludf.DUMMYFUNCTION("""COMPUTED_VALUE"""),11446)</f>
        <v>11446</v>
      </c>
      <c r="D313" s="7">
        <f ca="1">IFERROR(__xludf.DUMMYFUNCTION("""COMPUTED_VALUE"""),238)</f>
        <v>238</v>
      </c>
      <c r="E313" s="7">
        <f ca="1">IFERROR(__xludf.DUMMYFUNCTION("""COMPUTED_VALUE"""),47923)</f>
        <v>47923</v>
      </c>
    </row>
    <row r="314" spans="1:5" ht="13.2" x14ac:dyDescent="0.25">
      <c r="A314" s="93">
        <f ca="1">IFERROR(__xludf.DUMMYFUNCTION("""COMPUTED_VALUE"""),44203)</f>
        <v>44203</v>
      </c>
      <c r="B314" s="7">
        <f ca="1">IFERROR(__xludf.DUMMYFUNCTION("""COMPUTED_VALUE"""),84)</f>
        <v>84</v>
      </c>
      <c r="C314" s="7">
        <f ca="1">IFERROR(__xludf.DUMMYFUNCTION("""COMPUTED_VALUE"""),11530)</f>
        <v>11530</v>
      </c>
      <c r="D314" s="7">
        <f ca="1">IFERROR(__xludf.DUMMYFUNCTION("""COMPUTED_VALUE"""),211)</f>
        <v>211</v>
      </c>
      <c r="E314" s="7">
        <f ca="1">IFERROR(__xludf.DUMMYFUNCTION("""COMPUTED_VALUE"""),48134)</f>
        <v>48134</v>
      </c>
    </row>
    <row r="315" spans="1:5" ht="13.2" x14ac:dyDescent="0.25">
      <c r="A315" s="93">
        <f ca="1">IFERROR(__xludf.DUMMYFUNCTION("""COMPUTED_VALUE"""),44204)</f>
        <v>44204</v>
      </c>
      <c r="B315" s="7">
        <f ca="1">IFERROR(__xludf.DUMMYFUNCTION("""COMPUTED_VALUE"""),92)</f>
        <v>92</v>
      </c>
      <c r="C315" s="7">
        <f ca="1">IFERROR(__xludf.DUMMYFUNCTION("""COMPUTED_VALUE"""),11622)</f>
        <v>11622</v>
      </c>
      <c r="D315" s="7">
        <f ca="1">IFERROR(__xludf.DUMMYFUNCTION("""COMPUTED_VALUE"""),234)</f>
        <v>234</v>
      </c>
      <c r="E315" s="7">
        <f ca="1">IFERROR(__xludf.DUMMYFUNCTION("""COMPUTED_VALUE"""),48368)</f>
        <v>48368</v>
      </c>
    </row>
    <row r="316" spans="1:5" ht="13.2" x14ac:dyDescent="0.25">
      <c r="A316" s="93">
        <f ca="1">IFERROR(__xludf.DUMMYFUNCTION("""COMPUTED_VALUE"""),44205)</f>
        <v>44205</v>
      </c>
      <c r="B316" s="7">
        <f ca="1">IFERROR(__xludf.DUMMYFUNCTION("""COMPUTED_VALUE"""),107)</f>
        <v>107</v>
      </c>
      <c r="C316" s="7">
        <f ca="1">IFERROR(__xludf.DUMMYFUNCTION("""COMPUTED_VALUE"""),11729)</f>
        <v>11729</v>
      </c>
      <c r="D316" s="7">
        <f ca="1">IFERROR(__xludf.DUMMYFUNCTION("""COMPUTED_VALUE"""),243)</f>
        <v>243</v>
      </c>
      <c r="E316" s="7">
        <f ca="1">IFERROR(__xludf.DUMMYFUNCTION("""COMPUTED_VALUE"""),48611)</f>
        <v>48611</v>
      </c>
    </row>
    <row r="317" spans="1:5" ht="13.2" x14ac:dyDescent="0.25">
      <c r="A317" s="93">
        <f ca="1">IFERROR(__xludf.DUMMYFUNCTION("""COMPUTED_VALUE"""),44206)</f>
        <v>44206</v>
      </c>
      <c r="B317" s="7">
        <f ca="1">IFERROR(__xludf.DUMMYFUNCTION("""COMPUTED_VALUE"""),78)</f>
        <v>78</v>
      </c>
      <c r="C317" s="7">
        <f ca="1">IFERROR(__xludf.DUMMYFUNCTION("""COMPUTED_VALUE"""),11807)</f>
        <v>11807</v>
      </c>
      <c r="D317" s="7">
        <f ca="1">IFERROR(__xludf.DUMMYFUNCTION("""COMPUTED_VALUE"""),194)</f>
        <v>194</v>
      </c>
      <c r="E317" s="7">
        <f ca="1">IFERROR(__xludf.DUMMYFUNCTION("""COMPUTED_VALUE"""),48805)</f>
        <v>48805</v>
      </c>
    </row>
    <row r="318" spans="1:5" ht="13.2" x14ac:dyDescent="0.25">
      <c r="A318" s="93">
        <f ca="1">IFERROR(__xludf.DUMMYFUNCTION("""COMPUTED_VALUE"""),44207)</f>
        <v>44207</v>
      </c>
      <c r="B318" s="7">
        <f ca="1">IFERROR(__xludf.DUMMYFUNCTION("""COMPUTED_VALUE"""),106)</f>
        <v>106</v>
      </c>
      <c r="C318" s="7">
        <f ca="1">IFERROR(__xludf.DUMMYFUNCTION("""COMPUTED_VALUE"""),11913)</f>
        <v>11913</v>
      </c>
      <c r="D318" s="7">
        <f ca="1">IFERROR(__xludf.DUMMYFUNCTION("""COMPUTED_VALUE"""),229)</f>
        <v>229</v>
      </c>
      <c r="E318" s="7">
        <f ca="1">IFERROR(__xludf.DUMMYFUNCTION("""COMPUTED_VALUE"""),49034)</f>
        <v>49034</v>
      </c>
    </row>
    <row r="319" spans="1:5" ht="13.2" x14ac:dyDescent="0.25">
      <c r="A319" s="93">
        <f ca="1">IFERROR(__xludf.DUMMYFUNCTION("""COMPUTED_VALUE"""),44208)</f>
        <v>44208</v>
      </c>
      <c r="B319" s="7">
        <f ca="1">IFERROR(__xludf.DUMMYFUNCTION("""COMPUTED_VALUE"""),107)</f>
        <v>107</v>
      </c>
      <c r="C319" s="7">
        <f ca="1">IFERROR(__xludf.DUMMYFUNCTION("""COMPUTED_VALUE"""),12020)</f>
        <v>12020</v>
      </c>
      <c r="D319" s="7">
        <f ca="1">IFERROR(__xludf.DUMMYFUNCTION("""COMPUTED_VALUE"""),223)</f>
        <v>223</v>
      </c>
      <c r="E319" s="7">
        <f ca="1">IFERROR(__xludf.DUMMYFUNCTION("""COMPUTED_VALUE"""),49257)</f>
        <v>49257</v>
      </c>
    </row>
    <row r="320" spans="1:5" ht="13.2" x14ac:dyDescent="0.25">
      <c r="A320" s="93">
        <f ca="1">IFERROR(__xludf.DUMMYFUNCTION("""COMPUTED_VALUE"""),44209)</f>
        <v>44209</v>
      </c>
      <c r="B320" s="7">
        <f ca="1">IFERROR(__xludf.DUMMYFUNCTION("""COMPUTED_VALUE"""),98)</f>
        <v>98</v>
      </c>
      <c r="C320" s="7">
        <f ca="1">IFERROR(__xludf.DUMMYFUNCTION("""COMPUTED_VALUE"""),12118)</f>
        <v>12118</v>
      </c>
      <c r="D320" s="7">
        <f ca="1">IFERROR(__xludf.DUMMYFUNCTION("""COMPUTED_VALUE"""),231)</f>
        <v>231</v>
      </c>
      <c r="E320" s="7">
        <f ca="1">IFERROR(__xludf.DUMMYFUNCTION("""COMPUTED_VALUE"""),49488)</f>
        <v>49488</v>
      </c>
    </row>
    <row r="321" spans="1:5" ht="13.2" x14ac:dyDescent="0.25">
      <c r="A321" s="93">
        <f ca="1">IFERROR(__xludf.DUMMYFUNCTION("""COMPUTED_VALUE"""),44210)</f>
        <v>44210</v>
      </c>
      <c r="B321" s="7">
        <f ca="1">IFERROR(__xludf.DUMMYFUNCTION("""COMPUTED_VALUE"""),113)</f>
        <v>113</v>
      </c>
      <c r="C321" s="7">
        <f ca="1">IFERROR(__xludf.DUMMYFUNCTION("""COMPUTED_VALUE"""),12231)</f>
        <v>12231</v>
      </c>
      <c r="D321" s="7">
        <f ca="1">IFERROR(__xludf.DUMMYFUNCTION("""COMPUTED_VALUE"""),206)</f>
        <v>206</v>
      </c>
      <c r="E321" s="7">
        <f ca="1">IFERROR(__xludf.DUMMYFUNCTION("""COMPUTED_VALUE"""),49694)</f>
        <v>49694</v>
      </c>
    </row>
    <row r="322" spans="1:5" ht="13.2" x14ac:dyDescent="0.25">
      <c r="A322" s="93">
        <f ca="1">IFERROR(__xludf.DUMMYFUNCTION("""COMPUTED_VALUE"""),44211)</f>
        <v>44211</v>
      </c>
      <c r="B322" s="7">
        <f ca="1">IFERROR(__xludf.DUMMYFUNCTION("""COMPUTED_VALUE"""),88)</f>
        <v>88</v>
      </c>
      <c r="C322" s="7">
        <f ca="1">IFERROR(__xludf.DUMMYFUNCTION("""COMPUTED_VALUE"""),12319)</f>
        <v>12319</v>
      </c>
      <c r="D322" s="7">
        <f ca="1">IFERROR(__xludf.DUMMYFUNCTION("""COMPUTED_VALUE"""),210)</f>
        <v>210</v>
      </c>
      <c r="E322" s="7">
        <f ca="1">IFERROR(__xludf.DUMMYFUNCTION("""COMPUTED_VALUE"""),49904)</f>
        <v>49904</v>
      </c>
    </row>
    <row r="323" spans="1:5" ht="13.2" x14ac:dyDescent="0.25">
      <c r="A323" s="93">
        <f ca="1">IFERROR(__xludf.DUMMYFUNCTION("""COMPUTED_VALUE"""),44212)</f>
        <v>44212</v>
      </c>
      <c r="B323" s="7">
        <f ca="1">IFERROR(__xludf.DUMMYFUNCTION("""COMPUTED_VALUE"""),103)</f>
        <v>103</v>
      </c>
      <c r="C323" s="7">
        <f ca="1">IFERROR(__xludf.DUMMYFUNCTION("""COMPUTED_VALUE"""),12422)</f>
        <v>12422</v>
      </c>
      <c r="D323" s="7">
        <f ca="1">IFERROR(__xludf.DUMMYFUNCTION("""COMPUTED_VALUE"""),225)</f>
        <v>225</v>
      </c>
      <c r="E323" s="7">
        <f ca="1">IFERROR(__xludf.DUMMYFUNCTION("""COMPUTED_VALUE"""),50129)</f>
        <v>50129</v>
      </c>
    </row>
    <row r="324" spans="1:5" ht="13.2" x14ac:dyDescent="0.25">
      <c r="A324" s="93">
        <f ca="1">IFERROR(__xludf.DUMMYFUNCTION("""COMPUTED_VALUE"""),44213)</f>
        <v>44213</v>
      </c>
      <c r="B324" s="7">
        <f ca="1">IFERROR(__xludf.DUMMYFUNCTION("""COMPUTED_VALUE"""),99)</f>
        <v>99</v>
      </c>
      <c r="C324" s="7">
        <f ca="1">IFERROR(__xludf.DUMMYFUNCTION("""COMPUTED_VALUE"""),12521)</f>
        <v>12521</v>
      </c>
      <c r="D324" s="7">
        <f ca="1">IFERROR(__xludf.DUMMYFUNCTION("""COMPUTED_VALUE"""),225)</f>
        <v>225</v>
      </c>
      <c r="E324" s="7">
        <f ca="1">IFERROR(__xludf.DUMMYFUNCTION("""COMPUTED_VALUE"""),50354)</f>
        <v>50354</v>
      </c>
    </row>
    <row r="325" spans="1:5" ht="13.2" x14ac:dyDescent="0.25">
      <c r="A325" s="93">
        <f ca="1">IFERROR(__xludf.DUMMYFUNCTION("""COMPUTED_VALUE"""),44214)</f>
        <v>44214</v>
      </c>
      <c r="B325" s="7">
        <f ca="1">IFERROR(__xludf.DUMMYFUNCTION("""COMPUTED_VALUE"""),111)</f>
        <v>111</v>
      </c>
      <c r="C325" s="7">
        <f ca="1">IFERROR(__xludf.DUMMYFUNCTION("""COMPUTED_VALUE"""),12632)</f>
        <v>12632</v>
      </c>
      <c r="D325" s="7">
        <f ca="1">IFERROR(__xludf.DUMMYFUNCTION("""COMPUTED_VALUE"""),214)</f>
        <v>214</v>
      </c>
      <c r="E325" s="7">
        <f ca="1">IFERROR(__xludf.DUMMYFUNCTION("""COMPUTED_VALUE"""),50568)</f>
        <v>50568</v>
      </c>
    </row>
    <row r="326" spans="1:5" ht="13.2" x14ac:dyDescent="0.25">
      <c r="A326" s="93">
        <f ca="1">IFERROR(__xludf.DUMMYFUNCTION("""COMPUTED_VALUE"""),44215)</f>
        <v>44215</v>
      </c>
      <c r="B326" s="7">
        <f ca="1">IFERROR(__xludf.DUMMYFUNCTION("""COMPUTED_VALUE"""),100)</f>
        <v>100</v>
      </c>
      <c r="C326" s="7">
        <f ca="1">IFERROR(__xludf.DUMMYFUNCTION("""COMPUTED_VALUE"""),12732)</f>
        <v>12732</v>
      </c>
      <c r="D326" s="7">
        <f ca="1">IFERROR(__xludf.DUMMYFUNCTION("""COMPUTED_VALUE"""),222)</f>
        <v>222</v>
      </c>
      <c r="E326" s="7">
        <f ca="1">IFERROR(__xludf.DUMMYFUNCTION("""COMPUTED_VALUE"""),50790)</f>
        <v>50790</v>
      </c>
    </row>
    <row r="327" spans="1:5" ht="13.2" x14ac:dyDescent="0.25">
      <c r="A327" s="93">
        <f ca="1">IFERROR(__xludf.DUMMYFUNCTION("""COMPUTED_VALUE"""),44216)</f>
        <v>44216</v>
      </c>
      <c r="B327" s="7">
        <f ca="1">IFERROR(__xludf.DUMMYFUNCTION("""COMPUTED_VALUE"""),95)</f>
        <v>95</v>
      </c>
      <c r="C327" s="7">
        <f ca="1">IFERROR(__xludf.DUMMYFUNCTION("""COMPUTED_VALUE"""),12827)</f>
        <v>12827</v>
      </c>
      <c r="D327" s="7">
        <f ca="1">IFERROR(__xludf.DUMMYFUNCTION("""COMPUTED_VALUE"""),217)</f>
        <v>217</v>
      </c>
      <c r="E327" s="7">
        <f ca="1">IFERROR(__xludf.DUMMYFUNCTION("""COMPUTED_VALUE"""),51007)</f>
        <v>51007</v>
      </c>
    </row>
    <row r="328" spans="1:5" ht="13.2" x14ac:dyDescent="0.25">
      <c r="A328" s="93">
        <f ca="1">IFERROR(__xludf.DUMMYFUNCTION("""COMPUTED_VALUE"""),44217)</f>
        <v>44217</v>
      </c>
      <c r="B328" s="7">
        <f ca="1">IFERROR(__xludf.DUMMYFUNCTION("""COMPUTED_VALUE"""),92)</f>
        <v>92</v>
      </c>
      <c r="C328" s="7">
        <f ca="1">IFERROR(__xludf.DUMMYFUNCTION("""COMPUTED_VALUE"""),12919)</f>
        <v>12919</v>
      </c>
      <c r="D328" s="7">
        <f ca="1">IFERROR(__xludf.DUMMYFUNCTION("""COMPUTED_VALUE"""),214)</f>
        <v>214</v>
      </c>
      <c r="E328" s="7">
        <f ca="1">IFERROR(__xludf.DUMMYFUNCTION("""COMPUTED_VALUE"""),51221)</f>
        <v>51221</v>
      </c>
    </row>
    <row r="329" spans="1:5" ht="13.2" x14ac:dyDescent="0.25">
      <c r="A329" s="93">
        <f ca="1">IFERROR(__xludf.DUMMYFUNCTION("""COMPUTED_VALUE"""),44218)</f>
        <v>44218</v>
      </c>
      <c r="B329" s="7">
        <f ca="1">IFERROR(__xludf.DUMMYFUNCTION("""COMPUTED_VALUE"""),87)</f>
        <v>87</v>
      </c>
      <c r="C329" s="7">
        <f ca="1">IFERROR(__xludf.DUMMYFUNCTION("""COMPUTED_VALUE"""),13006)</f>
        <v>13006</v>
      </c>
      <c r="D329" s="7">
        <f ca="1">IFERROR(__xludf.DUMMYFUNCTION("""COMPUTED_VALUE"""),177)</f>
        <v>177</v>
      </c>
      <c r="E329" s="7">
        <f ca="1">IFERROR(__xludf.DUMMYFUNCTION("""COMPUTED_VALUE"""),51398)</f>
        <v>51398</v>
      </c>
    </row>
    <row r="330" spans="1:5" ht="13.2" x14ac:dyDescent="0.25">
      <c r="A330" s="93">
        <f ca="1">IFERROR(__xludf.DUMMYFUNCTION("""COMPUTED_VALUE"""),44219)</f>
        <v>44219</v>
      </c>
      <c r="B330" s="7">
        <f ca="1">IFERROR(__xludf.DUMMYFUNCTION("""COMPUTED_VALUE"""),95)</f>
        <v>95</v>
      </c>
      <c r="C330" s="7">
        <f ca="1">IFERROR(__xludf.DUMMYFUNCTION("""COMPUTED_VALUE"""),13101)</f>
        <v>13101</v>
      </c>
      <c r="D330" s="7">
        <f ca="1">IFERROR(__xludf.DUMMYFUNCTION("""COMPUTED_VALUE"""),208)</f>
        <v>208</v>
      </c>
      <c r="E330" s="7">
        <f ca="1">IFERROR(__xludf.DUMMYFUNCTION("""COMPUTED_VALUE"""),51606)</f>
        <v>51606</v>
      </c>
    </row>
    <row r="331" spans="1:5" ht="13.2" x14ac:dyDescent="0.25">
      <c r="A331" s="93">
        <f ca="1">IFERROR(__xludf.DUMMYFUNCTION("""COMPUTED_VALUE"""),44220)</f>
        <v>44220</v>
      </c>
      <c r="B331" s="7">
        <f ca="1">IFERROR(__xludf.DUMMYFUNCTION("""COMPUTED_VALUE"""),79)</f>
        <v>79</v>
      </c>
      <c r="C331" s="7">
        <f ca="1">IFERROR(__xludf.DUMMYFUNCTION("""COMPUTED_VALUE"""),13180)</f>
        <v>13180</v>
      </c>
      <c r="D331" s="7">
        <f ca="1">IFERROR(__xludf.DUMMYFUNCTION("""COMPUTED_VALUE"""),201)</f>
        <v>201</v>
      </c>
      <c r="E331" s="7">
        <f ca="1">IFERROR(__xludf.DUMMYFUNCTION("""COMPUTED_VALUE"""),51807)</f>
        <v>51807</v>
      </c>
    </row>
    <row r="332" spans="1:5" ht="13.2" x14ac:dyDescent="0.25">
      <c r="A332" s="93">
        <f ca="1">IFERROR(__xludf.DUMMYFUNCTION("""COMPUTED_VALUE"""),44221)</f>
        <v>44221</v>
      </c>
      <c r="B332" s="7">
        <f ca="1">IFERROR(__xludf.DUMMYFUNCTION("""COMPUTED_VALUE"""),95)</f>
        <v>95</v>
      </c>
      <c r="C332" s="7">
        <f ca="1">IFERROR(__xludf.DUMMYFUNCTION("""COMPUTED_VALUE"""),13275)</f>
        <v>13275</v>
      </c>
      <c r="D332" s="7">
        <f ca="1">IFERROR(__xludf.DUMMYFUNCTION("""COMPUTED_VALUE"""),196)</f>
        <v>196</v>
      </c>
      <c r="E332" s="7">
        <f ca="1">IFERROR(__xludf.DUMMYFUNCTION("""COMPUTED_VALUE"""),52003)</f>
        <v>52003</v>
      </c>
    </row>
    <row r="333" spans="1:5" ht="13.2" x14ac:dyDescent="0.25">
      <c r="A333" s="93">
        <f ca="1">IFERROR(__xludf.DUMMYFUNCTION("""COMPUTED_VALUE"""),44222)</f>
        <v>44222</v>
      </c>
      <c r="B333" s="7">
        <f ca="1">IFERROR(__xludf.DUMMYFUNCTION("""COMPUTED_VALUE"""),106)</f>
        <v>106</v>
      </c>
      <c r="C333" s="7">
        <f ca="1">IFERROR(__xludf.DUMMYFUNCTION("""COMPUTED_VALUE"""),13381)</f>
        <v>13381</v>
      </c>
      <c r="D333" s="7">
        <f ca="1">IFERROR(__xludf.DUMMYFUNCTION("""COMPUTED_VALUE"""),237)</f>
        <v>237</v>
      </c>
      <c r="E333" s="7">
        <f ca="1">IFERROR(__xludf.DUMMYFUNCTION("""COMPUTED_VALUE"""),52240)</f>
        <v>52240</v>
      </c>
    </row>
    <row r="334" spans="1:5" ht="13.2" x14ac:dyDescent="0.25">
      <c r="A334" s="93">
        <f ca="1">IFERROR(__xludf.DUMMYFUNCTION("""COMPUTED_VALUE"""),44223)</f>
        <v>44223</v>
      </c>
      <c r="B334" s="7">
        <f ca="1">IFERROR(__xludf.DUMMYFUNCTION("""COMPUTED_VALUE"""),104)</f>
        <v>104</v>
      </c>
      <c r="C334" s="7">
        <f ca="1">IFERROR(__xludf.DUMMYFUNCTION("""COMPUTED_VALUE"""),13485)</f>
        <v>13485</v>
      </c>
      <c r="D334" s="7">
        <f ca="1">IFERROR(__xludf.DUMMYFUNCTION("""COMPUTED_VALUE"""),203)</f>
        <v>203</v>
      </c>
      <c r="E334" s="7">
        <f ca="1">IFERROR(__xludf.DUMMYFUNCTION("""COMPUTED_VALUE"""),52443)</f>
        <v>52443</v>
      </c>
    </row>
    <row r="335" spans="1:5" ht="13.2" x14ac:dyDescent="0.25">
      <c r="A335" s="93">
        <f ca="1">IFERROR(__xludf.DUMMYFUNCTION("""COMPUTED_VALUE"""),44224)</f>
        <v>44224</v>
      </c>
      <c r="B335" s="7">
        <f ca="1">IFERROR(__xludf.DUMMYFUNCTION("""COMPUTED_VALUE"""),110)</f>
        <v>110</v>
      </c>
      <c r="C335" s="7">
        <f ca="1">IFERROR(__xludf.DUMMYFUNCTION("""COMPUTED_VALUE"""),13595)</f>
        <v>13595</v>
      </c>
      <c r="D335" s="7">
        <f ca="1">IFERROR(__xludf.DUMMYFUNCTION("""COMPUTED_VALUE"""),218)</f>
        <v>218</v>
      </c>
      <c r="E335" s="7">
        <f ca="1">IFERROR(__xludf.DUMMYFUNCTION("""COMPUTED_VALUE"""),52661)</f>
        <v>52661</v>
      </c>
    </row>
    <row r="336" spans="1:5" ht="13.2" x14ac:dyDescent="0.25">
      <c r="A336" s="93">
        <f ca="1">IFERROR(__xludf.DUMMYFUNCTION("""COMPUTED_VALUE"""),44225)</f>
        <v>44225</v>
      </c>
      <c r="B336" s="7">
        <f ca="1">IFERROR(__xludf.DUMMYFUNCTION("""COMPUTED_VALUE"""),85)</f>
        <v>85</v>
      </c>
      <c r="C336" s="7">
        <f ca="1">IFERROR(__xludf.DUMMYFUNCTION("""COMPUTED_VALUE"""),13680)</f>
        <v>13680</v>
      </c>
      <c r="D336" s="7">
        <f ca="1">IFERROR(__xludf.DUMMYFUNCTION("""COMPUTED_VALUE"""),175)</f>
        <v>175</v>
      </c>
      <c r="E336" s="7">
        <f ca="1">IFERROR(__xludf.DUMMYFUNCTION("""COMPUTED_VALUE"""),52836)</f>
        <v>52836</v>
      </c>
    </row>
    <row r="337" spans="1:5" ht="13.2" x14ac:dyDescent="0.25">
      <c r="A337" s="93">
        <f ca="1">IFERROR(__xludf.DUMMYFUNCTION("""COMPUTED_VALUE"""),44226)</f>
        <v>44226</v>
      </c>
      <c r="B337" s="7">
        <f ca="1">IFERROR(__xludf.DUMMYFUNCTION("""COMPUTED_VALUE"""),75)</f>
        <v>75</v>
      </c>
      <c r="C337" s="7">
        <f ca="1">IFERROR(__xludf.DUMMYFUNCTION("""COMPUTED_VALUE"""),13755)</f>
        <v>13755</v>
      </c>
      <c r="D337" s="7">
        <f ca="1">IFERROR(__xludf.DUMMYFUNCTION("""COMPUTED_VALUE"""),199)</f>
        <v>199</v>
      </c>
      <c r="E337" s="7">
        <f ca="1">IFERROR(__xludf.DUMMYFUNCTION("""COMPUTED_VALUE"""),53035)</f>
        <v>53035</v>
      </c>
    </row>
    <row r="338" spans="1:5" ht="13.2" x14ac:dyDescent="0.25">
      <c r="A338" s="93">
        <f ca="1">IFERROR(__xludf.DUMMYFUNCTION("""COMPUTED_VALUE"""),44227)</f>
        <v>44227</v>
      </c>
      <c r="B338" s="7">
        <f ca="1">IFERROR(__xludf.DUMMYFUNCTION("""COMPUTED_VALUE"""),96)</f>
        <v>96</v>
      </c>
      <c r="C338" s="7">
        <f ca="1">IFERROR(__xludf.DUMMYFUNCTION("""COMPUTED_VALUE"""),13851)</f>
        <v>13851</v>
      </c>
      <c r="D338" s="7">
        <f ca="1">IFERROR(__xludf.DUMMYFUNCTION("""COMPUTED_VALUE"""),171)</f>
        <v>171</v>
      </c>
      <c r="E338" s="7">
        <f ca="1">IFERROR(__xludf.DUMMYFUNCTION("""COMPUTED_VALUE"""),53206)</f>
        <v>53206</v>
      </c>
    </row>
    <row r="339" spans="1:5" ht="13.2" x14ac:dyDescent="0.25">
      <c r="A339" s="93">
        <f ca="1">IFERROR(__xludf.DUMMYFUNCTION("""COMPUTED_VALUE"""),44228)</f>
        <v>44228</v>
      </c>
      <c r="B339" s="7">
        <f ca="1">IFERROR(__xludf.DUMMYFUNCTION("""COMPUTED_VALUE"""),87)</f>
        <v>87</v>
      </c>
      <c r="C339" s="7">
        <f ca="1">IFERROR(__xludf.DUMMYFUNCTION("""COMPUTED_VALUE"""),13938)</f>
        <v>13938</v>
      </c>
      <c r="D339" s="7">
        <f ca="1">IFERROR(__xludf.DUMMYFUNCTION("""COMPUTED_VALUE"""),192)</f>
        <v>192</v>
      </c>
      <c r="E339" s="7">
        <f ca="1">IFERROR(__xludf.DUMMYFUNCTION("""COMPUTED_VALUE"""),53398)</f>
        <v>53398</v>
      </c>
    </row>
    <row r="340" spans="1:5" ht="13.2" x14ac:dyDescent="0.25">
      <c r="A340" s="93">
        <f ca="1">IFERROR(__xludf.DUMMYFUNCTION("""COMPUTED_VALUE"""),44229)</f>
        <v>44229</v>
      </c>
      <c r="B340" s="7">
        <f ca="1">IFERROR(__xludf.DUMMYFUNCTION("""COMPUTED_VALUE"""),70)</f>
        <v>70</v>
      </c>
      <c r="C340" s="7">
        <f ca="1">IFERROR(__xludf.DUMMYFUNCTION("""COMPUTED_VALUE"""),14008)</f>
        <v>14008</v>
      </c>
      <c r="D340" s="7">
        <f ca="1">IFERROR(__xludf.DUMMYFUNCTION("""COMPUTED_VALUE"""),198)</f>
        <v>198</v>
      </c>
      <c r="E340" s="7">
        <f ca="1">IFERROR(__xludf.DUMMYFUNCTION("""COMPUTED_VALUE"""),53596)</f>
        <v>53596</v>
      </c>
    </row>
    <row r="341" spans="1:5" ht="13.2" x14ac:dyDescent="0.25">
      <c r="A341" s="93">
        <f ca="1">IFERROR(__xludf.DUMMYFUNCTION("""COMPUTED_VALUE"""),44230)</f>
        <v>44230</v>
      </c>
      <c r="B341" s="7">
        <f ca="1">IFERROR(__xludf.DUMMYFUNCTION("""COMPUTED_VALUE"""),78)</f>
        <v>78</v>
      </c>
      <c r="C341" s="7">
        <f ca="1">IFERROR(__xludf.DUMMYFUNCTION("""COMPUTED_VALUE"""),14086)</f>
        <v>14086</v>
      </c>
      <c r="D341" s="7">
        <f ca="1">IFERROR(__xludf.DUMMYFUNCTION("""COMPUTED_VALUE"""),201)</f>
        <v>201</v>
      </c>
      <c r="E341" s="7">
        <f ca="1">IFERROR(__xludf.DUMMYFUNCTION("""COMPUTED_VALUE"""),53797)</f>
        <v>53797</v>
      </c>
    </row>
    <row r="342" spans="1:5" ht="13.2" x14ac:dyDescent="0.25">
      <c r="A342" s="93">
        <f ca="1">IFERROR(__xludf.DUMMYFUNCTION("""COMPUTED_VALUE"""),44231)</f>
        <v>44231</v>
      </c>
      <c r="B342" s="7">
        <f ca="1">IFERROR(__xludf.DUMMYFUNCTION("""COMPUTED_VALUE"""),71)</f>
        <v>71</v>
      </c>
      <c r="C342" s="7">
        <f ca="1">IFERROR(__xludf.DUMMYFUNCTION("""COMPUTED_VALUE"""),14157)</f>
        <v>14157</v>
      </c>
      <c r="D342" s="7">
        <f ca="1">IFERROR(__xludf.DUMMYFUNCTION("""COMPUTED_VALUE"""),176)</f>
        <v>176</v>
      </c>
      <c r="E342" s="7">
        <f ca="1">IFERROR(__xludf.DUMMYFUNCTION("""COMPUTED_VALUE"""),53973)</f>
        <v>53973</v>
      </c>
    </row>
    <row r="343" spans="1:5" ht="13.2" x14ac:dyDescent="0.25">
      <c r="A343" s="93">
        <f ca="1">IFERROR(__xludf.DUMMYFUNCTION("""COMPUTED_VALUE"""),44232)</f>
        <v>44232</v>
      </c>
      <c r="B343" s="7">
        <f ca="1">IFERROR(__xludf.DUMMYFUNCTION("""COMPUTED_VALUE"""),80)</f>
        <v>80</v>
      </c>
      <c r="C343" s="7">
        <f ca="1">IFERROR(__xludf.DUMMYFUNCTION("""COMPUTED_VALUE"""),14237)</f>
        <v>14237</v>
      </c>
      <c r="D343" s="7">
        <f ca="1">IFERROR(__xludf.DUMMYFUNCTION("""COMPUTED_VALUE"""),209)</f>
        <v>209</v>
      </c>
      <c r="E343" s="7">
        <f ca="1">IFERROR(__xludf.DUMMYFUNCTION("""COMPUTED_VALUE"""),54182)</f>
        <v>54182</v>
      </c>
    </row>
    <row r="344" spans="1:5" ht="13.2" x14ac:dyDescent="0.25">
      <c r="A344" s="93">
        <f ca="1">IFERROR(__xludf.DUMMYFUNCTION("""COMPUTED_VALUE"""),44233)</f>
        <v>44233</v>
      </c>
      <c r="B344" s="7">
        <f ca="1">IFERROR(__xludf.DUMMYFUNCTION("""COMPUTED_VALUE"""),68)</f>
        <v>68</v>
      </c>
      <c r="C344" s="7">
        <f ca="1">IFERROR(__xludf.DUMMYFUNCTION("""COMPUTED_VALUE"""),14305)</f>
        <v>14305</v>
      </c>
      <c r="D344" s="7">
        <f ca="1">IFERROR(__xludf.DUMMYFUNCTION("""COMPUTED_VALUE"""),185)</f>
        <v>185</v>
      </c>
      <c r="E344" s="7">
        <f ca="1">IFERROR(__xludf.DUMMYFUNCTION("""COMPUTED_VALUE"""),54367)</f>
        <v>54367</v>
      </c>
    </row>
    <row r="345" spans="1:5" ht="13.2" x14ac:dyDescent="0.25">
      <c r="A345" s="93">
        <f ca="1">IFERROR(__xludf.DUMMYFUNCTION("""COMPUTED_VALUE"""),44234)</f>
        <v>44234</v>
      </c>
      <c r="B345" s="7">
        <f ca="1">IFERROR(__xludf.DUMMYFUNCTION("""COMPUTED_VALUE"""),62)</f>
        <v>62</v>
      </c>
      <c r="C345" s="7">
        <f ca="1">IFERROR(__xludf.DUMMYFUNCTION("""COMPUTED_VALUE"""),14367)</f>
        <v>14367</v>
      </c>
      <c r="D345" s="7">
        <f ca="1">IFERROR(__xludf.DUMMYFUNCTION("""COMPUTED_VALUE"""),163)</f>
        <v>163</v>
      </c>
      <c r="E345" s="7">
        <f ca="1">IFERROR(__xludf.DUMMYFUNCTION("""COMPUTED_VALUE"""),54530)</f>
        <v>54530</v>
      </c>
    </row>
    <row r="346" spans="1:5" ht="13.2" x14ac:dyDescent="0.25">
      <c r="A346" s="93">
        <f ca="1">IFERROR(__xludf.DUMMYFUNCTION("""COMPUTED_VALUE"""),44235)</f>
        <v>44235</v>
      </c>
      <c r="B346" s="7">
        <f ca="1">IFERROR(__xludf.DUMMYFUNCTION("""COMPUTED_VALUE"""),74)</f>
        <v>74</v>
      </c>
      <c r="C346" s="7">
        <f ca="1">IFERROR(__xludf.DUMMYFUNCTION("""COMPUTED_VALUE"""),14441)</f>
        <v>14441</v>
      </c>
      <c r="D346" s="7">
        <f ca="1">IFERROR(__xludf.DUMMYFUNCTION("""COMPUTED_VALUE"""),168)</f>
        <v>168</v>
      </c>
      <c r="E346" s="7">
        <f ca="1">IFERROR(__xludf.DUMMYFUNCTION("""COMPUTED_VALUE"""),54698)</f>
        <v>54698</v>
      </c>
    </row>
    <row r="347" spans="1:5" ht="13.2" x14ac:dyDescent="0.25">
      <c r="A347" s="93">
        <f ca="1">IFERROR(__xludf.DUMMYFUNCTION("""COMPUTED_VALUE"""),44236)</f>
        <v>44236</v>
      </c>
      <c r="B347" s="7">
        <f ca="1">IFERROR(__xludf.DUMMYFUNCTION("""COMPUTED_VALUE"""),83)</f>
        <v>83</v>
      </c>
      <c r="C347" s="7">
        <f ca="1">IFERROR(__xludf.DUMMYFUNCTION("""COMPUTED_VALUE"""),14524)</f>
        <v>14524</v>
      </c>
      <c r="D347" s="7">
        <f ca="1">IFERROR(__xludf.DUMMYFUNCTION("""COMPUTED_VALUE"""),194)</f>
        <v>194</v>
      </c>
      <c r="E347" s="7">
        <f ca="1">IFERROR(__xludf.DUMMYFUNCTION("""COMPUTED_VALUE"""),54892)</f>
        <v>54892</v>
      </c>
    </row>
    <row r="348" spans="1:5" ht="13.2" x14ac:dyDescent="0.25">
      <c r="A348" s="93">
        <f ca="1">IFERROR(__xludf.DUMMYFUNCTION("""COMPUTED_VALUE"""),44237)</f>
        <v>44237</v>
      </c>
      <c r="B348" s="7">
        <f ca="1">IFERROR(__xludf.DUMMYFUNCTION("""COMPUTED_VALUE"""),70)</f>
        <v>70</v>
      </c>
      <c r="C348" s="7">
        <f ca="1">IFERROR(__xludf.DUMMYFUNCTION("""COMPUTED_VALUE"""),14594)</f>
        <v>14594</v>
      </c>
      <c r="D348" s="7">
        <f ca="1">IFERROR(__xludf.DUMMYFUNCTION("""COMPUTED_VALUE"""),203)</f>
        <v>203</v>
      </c>
      <c r="E348" s="7">
        <f ca="1">IFERROR(__xludf.DUMMYFUNCTION("""COMPUTED_VALUE"""),55095)</f>
        <v>55095</v>
      </c>
    </row>
    <row r="349" spans="1:5" ht="13.2" x14ac:dyDescent="0.25">
      <c r="A349" s="93">
        <f ca="1">IFERROR(__xludf.DUMMYFUNCTION("""COMPUTED_VALUE"""),44238)</f>
        <v>44238</v>
      </c>
      <c r="B349" s="7">
        <f ca="1">IFERROR(__xludf.DUMMYFUNCTION("""COMPUTED_VALUE"""),68)</f>
        <v>68</v>
      </c>
      <c r="C349" s="7">
        <f ca="1">IFERROR(__xludf.DUMMYFUNCTION("""COMPUTED_VALUE"""),14662)</f>
        <v>14662</v>
      </c>
      <c r="D349" s="7">
        <f ca="1">IFERROR(__xludf.DUMMYFUNCTION("""COMPUTED_VALUE"""),175)</f>
        <v>175</v>
      </c>
      <c r="E349" s="7">
        <f ca="1">IFERROR(__xludf.DUMMYFUNCTION("""COMPUTED_VALUE"""),55270)</f>
        <v>55270</v>
      </c>
    </row>
    <row r="350" spans="1:5" ht="13.2" x14ac:dyDescent="0.25">
      <c r="A350" s="93">
        <f ca="1">IFERROR(__xludf.DUMMYFUNCTION("""COMPUTED_VALUE"""),44239)</f>
        <v>44239</v>
      </c>
      <c r="B350" s="7">
        <f ca="1">IFERROR(__xludf.DUMMYFUNCTION("""COMPUTED_VALUE"""),75)</f>
        <v>75</v>
      </c>
      <c r="C350" s="7">
        <f ca="1">IFERROR(__xludf.DUMMYFUNCTION("""COMPUTED_VALUE"""),14737)</f>
        <v>14737</v>
      </c>
      <c r="D350" s="7">
        <f ca="1">IFERROR(__xludf.DUMMYFUNCTION("""COMPUTED_VALUE"""),186)</f>
        <v>186</v>
      </c>
      <c r="E350" s="7">
        <f ca="1">IFERROR(__xludf.DUMMYFUNCTION("""COMPUTED_VALUE"""),55456)</f>
        <v>55456</v>
      </c>
    </row>
    <row r="351" spans="1:5" ht="13.2" x14ac:dyDescent="0.25">
      <c r="A351" s="93">
        <f ca="1">IFERROR(__xludf.DUMMYFUNCTION("""COMPUTED_VALUE"""),44240)</f>
        <v>44240</v>
      </c>
      <c r="B351" s="7">
        <f ca="1">IFERROR(__xludf.DUMMYFUNCTION("""COMPUTED_VALUE"""),89)</f>
        <v>89</v>
      </c>
      <c r="C351" s="7">
        <f ca="1">IFERROR(__xludf.DUMMYFUNCTION("""COMPUTED_VALUE"""),14826)</f>
        <v>14826</v>
      </c>
      <c r="D351" s="7">
        <f ca="1">IFERROR(__xludf.DUMMYFUNCTION("""COMPUTED_VALUE"""),180)</f>
        <v>180</v>
      </c>
      <c r="E351" s="7">
        <f ca="1">IFERROR(__xludf.DUMMYFUNCTION("""COMPUTED_VALUE"""),55636)</f>
        <v>55636</v>
      </c>
    </row>
    <row r="352" spans="1:5" ht="13.2" x14ac:dyDescent="0.25">
      <c r="A352" s="93">
        <f ca="1">IFERROR(__xludf.DUMMYFUNCTION("""COMPUTED_VALUE"""),44241)</f>
        <v>44241</v>
      </c>
      <c r="B352" s="7">
        <f ca="1">IFERROR(__xludf.DUMMYFUNCTION("""COMPUTED_VALUE"""),63)</f>
        <v>63</v>
      </c>
      <c r="C352" s="7">
        <f ca="1">IFERROR(__xludf.DUMMYFUNCTION("""COMPUTED_VALUE"""),14889)</f>
        <v>14889</v>
      </c>
      <c r="D352" s="7">
        <f ca="1">IFERROR(__xludf.DUMMYFUNCTION("""COMPUTED_VALUE"""),148)</f>
        <v>148</v>
      </c>
      <c r="E352" s="7">
        <f ca="1">IFERROR(__xludf.DUMMYFUNCTION("""COMPUTED_VALUE"""),55784)</f>
        <v>55784</v>
      </c>
    </row>
    <row r="353" spans="1:5" ht="13.2" x14ac:dyDescent="0.25">
      <c r="A353" s="93">
        <f ca="1">IFERROR(__xludf.DUMMYFUNCTION("""COMPUTED_VALUE"""),44242)</f>
        <v>44242</v>
      </c>
      <c r="B353" s="7">
        <f ca="1">IFERROR(__xludf.DUMMYFUNCTION("""COMPUTED_VALUE"""),65)</f>
        <v>65</v>
      </c>
      <c r="C353" s="7">
        <f ca="1">IFERROR(__xludf.DUMMYFUNCTION("""COMPUTED_VALUE"""),14954)</f>
        <v>14954</v>
      </c>
      <c r="D353" s="7">
        <f ca="1">IFERROR(__xludf.DUMMYFUNCTION("""COMPUTED_VALUE"""),174)</f>
        <v>174</v>
      </c>
      <c r="E353" s="7">
        <f ca="1">IFERROR(__xludf.DUMMYFUNCTION("""COMPUTED_VALUE"""),55958)</f>
        <v>55958</v>
      </c>
    </row>
    <row r="354" spans="1:5" ht="13.2" x14ac:dyDescent="0.25">
      <c r="A354" s="93">
        <f ca="1">IFERROR(__xludf.DUMMYFUNCTION("""COMPUTED_VALUE"""),44243)</f>
        <v>44243</v>
      </c>
      <c r="B354" s="7">
        <f ca="1">IFERROR(__xludf.DUMMYFUNCTION("""COMPUTED_VALUE"""),75)</f>
        <v>75</v>
      </c>
      <c r="C354" s="7">
        <f ca="1">IFERROR(__xludf.DUMMYFUNCTION("""COMPUTED_VALUE"""),15029)</f>
        <v>15029</v>
      </c>
      <c r="D354" s="7">
        <f ca="1">IFERROR(__xludf.DUMMYFUNCTION("""COMPUTED_VALUE"""),192)</f>
        <v>192</v>
      </c>
      <c r="E354" s="7">
        <f ca="1">IFERROR(__xludf.DUMMYFUNCTION("""COMPUTED_VALUE"""),56150)</f>
        <v>56150</v>
      </c>
    </row>
    <row r="355" spans="1:5" ht="13.2" x14ac:dyDescent="0.25">
      <c r="A355" s="93">
        <f ca="1">IFERROR(__xludf.DUMMYFUNCTION("""COMPUTED_VALUE"""),44244)</f>
        <v>44244</v>
      </c>
      <c r="B355" s="7">
        <f ca="1">IFERROR(__xludf.DUMMYFUNCTION("""COMPUTED_VALUE"""),76)</f>
        <v>76</v>
      </c>
      <c r="C355" s="7">
        <f ca="1">IFERROR(__xludf.DUMMYFUNCTION("""COMPUTED_VALUE"""),15105)</f>
        <v>15105</v>
      </c>
      <c r="D355" s="7">
        <f ca="1">IFERROR(__xludf.DUMMYFUNCTION("""COMPUTED_VALUE"""),175)</f>
        <v>175</v>
      </c>
      <c r="E355" s="7">
        <f ca="1">IFERROR(__xludf.DUMMYFUNCTION("""COMPUTED_VALUE"""),56325)</f>
        <v>56325</v>
      </c>
    </row>
    <row r="356" spans="1:5" ht="13.2" x14ac:dyDescent="0.25">
      <c r="A356" s="93">
        <f ca="1">IFERROR(__xludf.DUMMYFUNCTION("""COMPUTED_VALUE"""),44245)</f>
        <v>44245</v>
      </c>
      <c r="B356" s="7">
        <f ca="1">IFERROR(__xludf.DUMMYFUNCTION("""COMPUTED_VALUE"""),69)</f>
        <v>69</v>
      </c>
      <c r="C356" s="7">
        <f ca="1">IFERROR(__xludf.DUMMYFUNCTION("""COMPUTED_VALUE"""),15174)</f>
        <v>15174</v>
      </c>
      <c r="D356" s="7">
        <f ca="1">IFERROR(__xludf.DUMMYFUNCTION("""COMPUTED_VALUE"""),179)</f>
        <v>179</v>
      </c>
      <c r="E356" s="7">
        <f ca="1">IFERROR(__xludf.DUMMYFUNCTION("""COMPUTED_VALUE"""),56504)</f>
        <v>56504</v>
      </c>
    </row>
    <row r="357" spans="1:5" ht="13.2" x14ac:dyDescent="0.25">
      <c r="A357" s="93">
        <f ca="1">IFERROR(__xludf.DUMMYFUNCTION("""COMPUTED_VALUE"""),44246)</f>
        <v>44246</v>
      </c>
      <c r="B357" s="7">
        <f ca="1">IFERROR(__xludf.DUMMYFUNCTION("""COMPUTED_VALUE"""),72)</f>
        <v>72</v>
      </c>
      <c r="C357" s="7">
        <f ca="1">IFERROR(__xludf.DUMMYFUNCTION("""COMPUTED_VALUE"""),15246)</f>
        <v>15246</v>
      </c>
      <c r="D357" s="7">
        <f ca="1">IFERROR(__xludf.DUMMYFUNCTION("""COMPUTED_VALUE"""),179)</f>
        <v>179</v>
      </c>
      <c r="E357" s="7">
        <f ca="1">IFERROR(__xludf.DUMMYFUNCTION("""COMPUTED_VALUE"""),56683)</f>
        <v>56683</v>
      </c>
    </row>
    <row r="358" spans="1:5" ht="13.2" x14ac:dyDescent="0.25">
      <c r="A358" s="93">
        <f ca="1">IFERROR(__xludf.DUMMYFUNCTION("""COMPUTED_VALUE"""),44247)</f>
        <v>44247</v>
      </c>
      <c r="B358" s="7">
        <f ca="1">IFERROR(__xludf.DUMMYFUNCTION("""COMPUTED_VALUE"""),60)</f>
        <v>60</v>
      </c>
      <c r="C358" s="7">
        <f ca="1">IFERROR(__xludf.DUMMYFUNCTION("""COMPUTED_VALUE"""),15306)</f>
        <v>15306</v>
      </c>
      <c r="D358" s="7">
        <f ca="1">IFERROR(__xludf.DUMMYFUNCTION("""COMPUTED_VALUE"""),157)</f>
        <v>157</v>
      </c>
      <c r="E358" s="7">
        <f ca="1">IFERROR(__xludf.DUMMYFUNCTION("""COMPUTED_VALUE"""),56840)</f>
        <v>56840</v>
      </c>
    </row>
    <row r="359" spans="1:5" ht="13.2" x14ac:dyDescent="0.25">
      <c r="A359" s="93">
        <f ca="1">IFERROR(__xludf.DUMMYFUNCTION("""COMPUTED_VALUE"""),44248)</f>
        <v>44248</v>
      </c>
      <c r="B359" s="7">
        <f ca="1">IFERROR(__xludf.DUMMYFUNCTION("""COMPUTED_VALUE"""),61)</f>
        <v>61</v>
      </c>
      <c r="C359" s="7">
        <f ca="1">IFERROR(__xludf.DUMMYFUNCTION("""COMPUTED_VALUE"""),15367)</f>
        <v>15367</v>
      </c>
      <c r="D359" s="7">
        <f ca="1">IFERROR(__xludf.DUMMYFUNCTION("""COMPUTED_VALUE"""),170)</f>
        <v>170</v>
      </c>
      <c r="E359" s="7">
        <f ca="1">IFERROR(__xludf.DUMMYFUNCTION("""COMPUTED_VALUE"""),57010)</f>
        <v>57010</v>
      </c>
    </row>
    <row r="360" spans="1:5" ht="13.2" x14ac:dyDescent="0.25">
      <c r="A360" s="93">
        <f ca="1">IFERROR(__xludf.DUMMYFUNCTION("""COMPUTED_VALUE"""),44249)</f>
        <v>44249</v>
      </c>
      <c r="B360" s="7">
        <f ca="1">IFERROR(__xludf.DUMMYFUNCTION("""COMPUTED_VALUE"""),60)</f>
        <v>60</v>
      </c>
      <c r="C360" s="7">
        <f ca="1">IFERROR(__xludf.DUMMYFUNCTION("""COMPUTED_VALUE"""),15427)</f>
        <v>15427</v>
      </c>
      <c r="D360" s="7">
        <f ca="1">IFERROR(__xludf.DUMMYFUNCTION("""COMPUTED_VALUE"""),166)</f>
        <v>166</v>
      </c>
      <c r="E360" s="7">
        <f ca="1">IFERROR(__xludf.DUMMYFUNCTION("""COMPUTED_VALUE"""),57176)</f>
        <v>57176</v>
      </c>
    </row>
    <row r="361" spans="1:5" ht="13.2" x14ac:dyDescent="0.25">
      <c r="A361" s="93">
        <f ca="1">IFERROR(__xludf.DUMMYFUNCTION("""COMPUTED_VALUE"""),44250)</f>
        <v>44250</v>
      </c>
      <c r="B361" s="7">
        <f ca="1">IFERROR(__xludf.DUMMYFUNCTION("""COMPUTED_VALUE"""),65)</f>
        <v>65</v>
      </c>
      <c r="C361" s="7">
        <f ca="1">IFERROR(__xludf.DUMMYFUNCTION("""COMPUTED_VALUE"""),15492)</f>
        <v>15492</v>
      </c>
      <c r="D361" s="7">
        <f ca="1">IFERROR(__xludf.DUMMYFUNCTION("""COMPUTED_VALUE"""),159)</f>
        <v>159</v>
      </c>
      <c r="E361" s="7">
        <f ca="1">IFERROR(__xludf.DUMMYFUNCTION("""COMPUTED_VALUE"""),57335)</f>
        <v>57335</v>
      </c>
    </row>
    <row r="362" spans="1:5" ht="13.2" x14ac:dyDescent="0.25">
      <c r="A362" s="93">
        <f ca="1">IFERROR(__xludf.DUMMYFUNCTION("""COMPUTED_VALUE"""),44251)</f>
        <v>44251</v>
      </c>
      <c r="B362" s="7">
        <f ca="1">IFERROR(__xludf.DUMMYFUNCTION("""COMPUTED_VALUE"""),40)</f>
        <v>40</v>
      </c>
      <c r="C362" s="7">
        <f ca="1">IFERROR(__xludf.DUMMYFUNCTION("""COMPUTED_VALUE"""),15532)</f>
        <v>15532</v>
      </c>
      <c r="D362" s="7">
        <f ca="1">IFERROR(__xludf.DUMMYFUNCTION("""COMPUTED_VALUE"""),156)</f>
        <v>156</v>
      </c>
      <c r="E362" s="7">
        <f ca="1">IFERROR(__xludf.DUMMYFUNCTION("""COMPUTED_VALUE"""),57491)</f>
        <v>57491</v>
      </c>
    </row>
    <row r="363" spans="1:5" ht="13.2" x14ac:dyDescent="0.25">
      <c r="A363" s="93">
        <f ca="1">IFERROR(__xludf.DUMMYFUNCTION("""COMPUTED_VALUE"""),44252)</f>
        <v>44252</v>
      </c>
      <c r="B363" s="7">
        <f ca="1">IFERROR(__xludf.DUMMYFUNCTION("""COMPUTED_VALUE"""),56)</f>
        <v>56</v>
      </c>
      <c r="C363" s="7">
        <f ca="1">IFERROR(__xludf.DUMMYFUNCTION("""COMPUTED_VALUE"""),15588)</f>
        <v>15588</v>
      </c>
      <c r="D363" s="7">
        <f ca="1">IFERROR(__xludf.DUMMYFUNCTION("""COMPUTED_VALUE"""),171)</f>
        <v>171</v>
      </c>
      <c r="E363" s="7">
        <f ca="1">IFERROR(__xludf.DUMMYFUNCTION("""COMPUTED_VALUE"""),57662)</f>
        <v>57662</v>
      </c>
    </row>
    <row r="364" spans="1:5" ht="13.2" x14ac:dyDescent="0.25">
      <c r="A364" s="93">
        <f ca="1">IFERROR(__xludf.DUMMYFUNCTION("""COMPUTED_VALUE"""),44253)</f>
        <v>44253</v>
      </c>
      <c r="B364" s="7">
        <f ca="1">IFERROR(__xludf.DUMMYFUNCTION("""COMPUTED_VALUE"""),63)</f>
        <v>63</v>
      </c>
      <c r="C364" s="7">
        <f ca="1">IFERROR(__xludf.DUMMYFUNCTION("""COMPUTED_VALUE"""),15651)</f>
        <v>15651</v>
      </c>
      <c r="D364" s="7">
        <f ca="1">IFERROR(__xludf.DUMMYFUNCTION("""COMPUTED_VALUE"""),146)</f>
        <v>146</v>
      </c>
      <c r="E364" s="7">
        <f ca="1">IFERROR(__xludf.DUMMYFUNCTION("""COMPUTED_VALUE"""),57808)</f>
        <v>57808</v>
      </c>
    </row>
    <row r="365" spans="1:5" ht="13.2" x14ac:dyDescent="0.25">
      <c r="A365" s="93">
        <f ca="1">IFERROR(__xludf.DUMMYFUNCTION("""COMPUTED_VALUE"""),44254)</f>
        <v>44254</v>
      </c>
      <c r="B365" s="7">
        <f ca="1">IFERROR(__xludf.DUMMYFUNCTION("""COMPUTED_VALUE"""),62)</f>
        <v>62</v>
      </c>
      <c r="C365" s="7">
        <f ca="1">IFERROR(__xludf.DUMMYFUNCTION("""COMPUTED_VALUE"""),15713)</f>
        <v>15713</v>
      </c>
      <c r="D365" s="7">
        <f ca="1">IFERROR(__xludf.DUMMYFUNCTION("""COMPUTED_VALUE"""),150)</f>
        <v>150</v>
      </c>
      <c r="E365" s="7">
        <f ca="1">IFERROR(__xludf.DUMMYFUNCTION("""COMPUTED_VALUE"""),57958)</f>
        <v>57958</v>
      </c>
    </row>
    <row r="366" spans="1:5" ht="13.2" x14ac:dyDescent="0.25">
      <c r="A366" s="93">
        <f ca="1">IFERROR(__xludf.DUMMYFUNCTION("""COMPUTED_VALUE"""),44255)</f>
        <v>44255</v>
      </c>
      <c r="B366" s="7">
        <f ca="1">IFERROR(__xludf.DUMMYFUNCTION("""COMPUTED_VALUE"""),50)</f>
        <v>50</v>
      </c>
      <c r="C366" s="7">
        <f ca="1">IFERROR(__xludf.DUMMYFUNCTION("""COMPUTED_VALUE"""),15763)</f>
        <v>15763</v>
      </c>
      <c r="D366" s="7">
        <f ca="1">IFERROR(__xludf.DUMMYFUNCTION("""COMPUTED_VALUE"""),180)</f>
        <v>180</v>
      </c>
      <c r="E366" s="7">
        <f ca="1">IFERROR(__xludf.DUMMYFUNCTION("""COMPUTED_VALUE"""),58138)</f>
        <v>58138</v>
      </c>
    </row>
    <row r="367" spans="1:5" ht="13.2" x14ac:dyDescent="0.25">
      <c r="A367" s="93">
        <f ca="1">IFERROR(__xludf.DUMMYFUNCTION("""COMPUTED_VALUE"""),44256)</f>
        <v>44256</v>
      </c>
      <c r="B367" s="7">
        <f ca="1">IFERROR(__xludf.DUMMYFUNCTION("""COMPUTED_VALUE"""),75)</f>
        <v>75</v>
      </c>
      <c r="C367" s="7">
        <f ca="1">IFERROR(__xludf.DUMMYFUNCTION("""COMPUTED_VALUE"""),15838)</f>
        <v>15838</v>
      </c>
      <c r="D367" s="7">
        <f ca="1">IFERROR(__xludf.DUMMYFUNCTION("""COMPUTED_VALUE"""),176)</f>
        <v>176</v>
      </c>
      <c r="E367" s="7">
        <f ca="1">IFERROR(__xludf.DUMMYFUNCTION("""COMPUTED_VALUE"""),58314)</f>
        <v>58314</v>
      </c>
    </row>
    <row r="368" spans="1:5" ht="13.2" x14ac:dyDescent="0.25">
      <c r="A368" s="93">
        <f ca="1">IFERROR(__xludf.DUMMYFUNCTION("""COMPUTED_VALUE"""),44257)</f>
        <v>44257</v>
      </c>
      <c r="B368" s="7">
        <f ca="1">IFERROR(__xludf.DUMMYFUNCTION("""COMPUTED_VALUE"""),57)</f>
        <v>57</v>
      </c>
      <c r="C368" s="7">
        <f ca="1">IFERROR(__xludf.DUMMYFUNCTION("""COMPUTED_VALUE"""),15895)</f>
        <v>15895</v>
      </c>
      <c r="D368" s="7">
        <f ca="1">IFERROR(__xludf.DUMMYFUNCTION("""COMPUTED_VALUE"""),159)</f>
        <v>159</v>
      </c>
      <c r="E368" s="7">
        <f ca="1">IFERROR(__xludf.DUMMYFUNCTION("""COMPUTED_VALUE"""),58473)</f>
        <v>58473</v>
      </c>
    </row>
    <row r="369" spans="1:5" ht="13.2" x14ac:dyDescent="0.25">
      <c r="A369" s="93">
        <f ca="1">IFERROR(__xludf.DUMMYFUNCTION("""COMPUTED_VALUE"""),44258)</f>
        <v>44258</v>
      </c>
      <c r="B369" s="7">
        <f ca="1">IFERROR(__xludf.DUMMYFUNCTION("""COMPUTED_VALUE"""),62)</f>
        <v>62</v>
      </c>
      <c r="C369" s="7">
        <f ca="1">IFERROR(__xludf.DUMMYFUNCTION("""COMPUTED_VALUE"""),15957)</f>
        <v>15957</v>
      </c>
      <c r="D369" s="7">
        <f ca="1">IFERROR(__xludf.DUMMYFUNCTION("""COMPUTED_VALUE"""),169)</f>
        <v>169</v>
      </c>
      <c r="E369" s="7">
        <f ca="1">IFERROR(__xludf.DUMMYFUNCTION("""COMPUTED_VALUE"""),58642)</f>
        <v>58642</v>
      </c>
    </row>
    <row r="370" spans="1:5" ht="13.2" x14ac:dyDescent="0.25">
      <c r="A370" s="93">
        <f ca="1">IFERROR(__xludf.DUMMYFUNCTION("""COMPUTED_VALUE"""),44259)</f>
        <v>44259</v>
      </c>
      <c r="B370" s="7">
        <f ca="1">IFERROR(__xludf.DUMMYFUNCTION("""COMPUTED_VALUE"""),51)</f>
        <v>51</v>
      </c>
      <c r="C370" s="7">
        <f ca="1">IFERROR(__xludf.DUMMYFUNCTION("""COMPUTED_VALUE"""),16008)</f>
        <v>16008</v>
      </c>
      <c r="D370" s="7">
        <f ca="1">IFERROR(__xludf.DUMMYFUNCTION("""COMPUTED_VALUE"""),166)</f>
        <v>166</v>
      </c>
      <c r="E370" s="7">
        <f ca="1">IFERROR(__xludf.DUMMYFUNCTION("""COMPUTED_VALUE"""),58808)</f>
        <v>58808</v>
      </c>
    </row>
    <row r="371" spans="1:5" ht="13.2" x14ac:dyDescent="0.25">
      <c r="A371" s="93">
        <f ca="1">IFERROR(__xludf.DUMMYFUNCTION("""COMPUTED_VALUE"""),44260)</f>
        <v>44260</v>
      </c>
      <c r="B371" s="7">
        <f ca="1">IFERROR(__xludf.DUMMYFUNCTION("""COMPUTED_VALUE"""),45)</f>
        <v>45</v>
      </c>
      <c r="C371" s="7">
        <f ca="1">IFERROR(__xludf.DUMMYFUNCTION("""COMPUTED_VALUE"""),16053)</f>
        <v>16053</v>
      </c>
      <c r="D371" s="7">
        <f ca="1">IFERROR(__xludf.DUMMYFUNCTION("""COMPUTED_VALUE"""),142)</f>
        <v>142</v>
      </c>
      <c r="E371" s="7">
        <f ca="1">IFERROR(__xludf.DUMMYFUNCTION("""COMPUTED_VALUE"""),58950)</f>
        <v>58950</v>
      </c>
    </row>
    <row r="372" spans="1:5" ht="13.2" x14ac:dyDescent="0.25">
      <c r="A372" s="93">
        <f ca="1">IFERROR(__xludf.DUMMYFUNCTION("""COMPUTED_VALUE"""),44261)</f>
        <v>44261</v>
      </c>
      <c r="B372" s="7">
        <f ca="1">IFERROR(__xludf.DUMMYFUNCTION("""COMPUTED_VALUE"""),56)</f>
        <v>56</v>
      </c>
      <c r="C372" s="7">
        <f ca="1">IFERROR(__xludf.DUMMYFUNCTION("""COMPUTED_VALUE"""),16109)</f>
        <v>16109</v>
      </c>
      <c r="D372" s="7">
        <f ca="1">IFERROR(__xludf.DUMMYFUNCTION("""COMPUTED_VALUE"""),152)</f>
        <v>152</v>
      </c>
      <c r="E372" s="7">
        <f ca="1">IFERROR(__xludf.DUMMYFUNCTION("""COMPUTED_VALUE"""),59102)</f>
        <v>59102</v>
      </c>
    </row>
    <row r="373" spans="1:5" ht="13.2" x14ac:dyDescent="0.25">
      <c r="A373" s="93">
        <f ca="1">IFERROR(__xludf.DUMMYFUNCTION("""COMPUTED_VALUE"""),44262)</f>
        <v>44262</v>
      </c>
      <c r="B373" s="7">
        <f ca="1">IFERROR(__xludf.DUMMYFUNCTION("""COMPUTED_VALUE"""),41)</f>
        <v>41</v>
      </c>
      <c r="C373" s="7">
        <f ca="1">IFERROR(__xludf.DUMMYFUNCTION("""COMPUTED_VALUE"""),16150)</f>
        <v>16150</v>
      </c>
      <c r="D373" s="7">
        <f ca="1">IFERROR(__xludf.DUMMYFUNCTION("""COMPUTED_VALUE"""),125)</f>
        <v>125</v>
      </c>
      <c r="E373" s="7">
        <f ca="1">IFERROR(__xludf.DUMMYFUNCTION("""COMPUTED_VALUE"""),59227)</f>
        <v>59227</v>
      </c>
    </row>
    <row r="374" spans="1:5" ht="13.2" x14ac:dyDescent="0.25">
      <c r="A374" s="93">
        <f ca="1">IFERROR(__xludf.DUMMYFUNCTION("""COMPUTED_VALUE"""),44263)</f>
        <v>44263</v>
      </c>
      <c r="B374" s="7">
        <f ca="1">IFERROR(__xludf.DUMMYFUNCTION("""COMPUTED_VALUE"""),50)</f>
        <v>50</v>
      </c>
      <c r="C374" s="7">
        <f ca="1">IFERROR(__xludf.DUMMYFUNCTION("""COMPUTED_VALUE"""),16200)</f>
        <v>16200</v>
      </c>
      <c r="D374" s="7">
        <f ca="1">IFERROR(__xludf.DUMMYFUNCTION("""COMPUTED_VALUE"""),163)</f>
        <v>163</v>
      </c>
      <c r="E374" s="7">
        <f ca="1">IFERROR(__xludf.DUMMYFUNCTION("""COMPUTED_VALUE"""),59390)</f>
        <v>59390</v>
      </c>
    </row>
    <row r="375" spans="1:5" ht="13.2" x14ac:dyDescent="0.25">
      <c r="A375" s="93">
        <f ca="1">IFERROR(__xludf.DUMMYFUNCTION("""COMPUTED_VALUE"""),44264)</f>
        <v>44264</v>
      </c>
      <c r="B375" s="7">
        <f ca="1">IFERROR(__xludf.DUMMYFUNCTION("""COMPUTED_VALUE"""),51)</f>
        <v>51</v>
      </c>
      <c r="C375" s="7">
        <f ca="1">IFERROR(__xludf.DUMMYFUNCTION("""COMPUTED_VALUE"""),16251)</f>
        <v>16251</v>
      </c>
      <c r="D375" s="7">
        <f ca="1">IFERROR(__xludf.DUMMYFUNCTION("""COMPUTED_VALUE"""),146)</f>
        <v>146</v>
      </c>
      <c r="E375" s="7">
        <f ca="1">IFERROR(__xludf.DUMMYFUNCTION("""COMPUTED_VALUE"""),59536)</f>
        <v>59536</v>
      </c>
    </row>
    <row r="376" spans="1:5" ht="13.2" x14ac:dyDescent="0.25">
      <c r="A376" s="93">
        <f ca="1">IFERROR(__xludf.DUMMYFUNCTION("""COMPUTED_VALUE"""),44265)</f>
        <v>44265</v>
      </c>
      <c r="B376" s="7">
        <f ca="1">IFERROR(__xludf.DUMMYFUNCTION("""COMPUTED_VALUE"""),38)</f>
        <v>38</v>
      </c>
      <c r="C376" s="7">
        <f ca="1">IFERROR(__xludf.DUMMYFUNCTION("""COMPUTED_VALUE"""),16289)</f>
        <v>16289</v>
      </c>
      <c r="D376" s="7">
        <f ca="1">IFERROR(__xludf.DUMMYFUNCTION("""COMPUTED_VALUE"""),149)</f>
        <v>149</v>
      </c>
      <c r="E376" s="7">
        <f ca="1">IFERROR(__xludf.DUMMYFUNCTION("""COMPUTED_VALUE"""),59685)</f>
        <v>59685</v>
      </c>
    </row>
    <row r="377" spans="1:5" ht="13.2" x14ac:dyDescent="0.25">
      <c r="A377" s="93">
        <f ca="1">IFERROR(__xludf.DUMMYFUNCTION("""COMPUTED_VALUE"""),44266)</f>
        <v>44266</v>
      </c>
      <c r="B377" s="7">
        <f ca="1">IFERROR(__xludf.DUMMYFUNCTION("""COMPUTED_VALUE"""),57)</f>
        <v>57</v>
      </c>
      <c r="C377" s="7">
        <f ca="1">IFERROR(__xludf.DUMMYFUNCTION("""COMPUTED_VALUE"""),16346)</f>
        <v>16346</v>
      </c>
      <c r="D377" s="7">
        <f ca="1">IFERROR(__xludf.DUMMYFUNCTION("""COMPUTED_VALUE"""),133)</f>
        <v>133</v>
      </c>
      <c r="E377" s="7">
        <f ca="1">IFERROR(__xludf.DUMMYFUNCTION("""COMPUTED_VALUE"""),59818)</f>
        <v>59818</v>
      </c>
    </row>
    <row r="378" spans="1:5" ht="13.2" x14ac:dyDescent="0.25">
      <c r="A378" s="93">
        <f ca="1">IFERROR(__xludf.DUMMYFUNCTION("""COMPUTED_VALUE"""),44267)</f>
        <v>44267</v>
      </c>
      <c r="B378" s="7">
        <f ca="1">IFERROR(__xludf.DUMMYFUNCTION("""COMPUTED_VALUE"""),48)</f>
        <v>48</v>
      </c>
      <c r="C378" s="7">
        <f ca="1">IFERROR(__xludf.DUMMYFUNCTION("""COMPUTED_VALUE"""),16394)</f>
        <v>16394</v>
      </c>
      <c r="D378" s="7">
        <f ca="1">IFERROR(__xludf.DUMMYFUNCTION("""COMPUTED_VALUE"""),173)</f>
        <v>173</v>
      </c>
      <c r="E378" s="7">
        <f ca="1">IFERROR(__xludf.DUMMYFUNCTION("""COMPUTED_VALUE"""),59991)</f>
        <v>59991</v>
      </c>
    </row>
    <row r="379" spans="1:5" ht="13.2" x14ac:dyDescent="0.25">
      <c r="A379" s="93">
        <f ca="1">IFERROR(__xludf.DUMMYFUNCTION("""COMPUTED_VALUE"""),44268)</f>
        <v>44268</v>
      </c>
      <c r="B379" s="7">
        <f ca="1">IFERROR(__xludf.DUMMYFUNCTION("""COMPUTED_VALUE"""),51)</f>
        <v>51</v>
      </c>
      <c r="C379" s="7">
        <f ca="1">IFERROR(__xludf.DUMMYFUNCTION("""COMPUTED_VALUE"""),16445)</f>
        <v>16445</v>
      </c>
      <c r="D379" s="7">
        <f ca="1">IFERROR(__xludf.DUMMYFUNCTION("""COMPUTED_VALUE"""),156)</f>
        <v>156</v>
      </c>
      <c r="E379" s="7">
        <f ca="1">IFERROR(__xludf.DUMMYFUNCTION("""COMPUTED_VALUE"""),60147)</f>
        <v>60147</v>
      </c>
    </row>
    <row r="380" spans="1:5" ht="13.2" x14ac:dyDescent="0.25">
      <c r="A380" s="93">
        <f ca="1">IFERROR(__xludf.DUMMYFUNCTION("""COMPUTED_VALUE"""),44269)</f>
        <v>44269</v>
      </c>
      <c r="B380" s="7">
        <f ca="1">IFERROR(__xludf.DUMMYFUNCTION("""COMPUTED_VALUE"""),24)</f>
        <v>24</v>
      </c>
      <c r="C380" s="7">
        <f ca="1">IFERROR(__xludf.DUMMYFUNCTION("""COMPUTED_VALUE"""),16469)</f>
        <v>16469</v>
      </c>
      <c r="D380" s="7">
        <f ca="1">IFERROR(__xludf.DUMMYFUNCTION("""COMPUTED_VALUE"""),123)</f>
        <v>123</v>
      </c>
      <c r="E380" s="7">
        <f ca="1">IFERROR(__xludf.DUMMYFUNCTION("""COMPUTED_VALUE"""),60270)</f>
        <v>60270</v>
      </c>
    </row>
    <row r="381" spans="1:5" ht="13.2" x14ac:dyDescent="0.25">
      <c r="A381" s="93">
        <f ca="1">IFERROR(__xludf.DUMMYFUNCTION("""COMPUTED_VALUE"""),44270)</f>
        <v>44270</v>
      </c>
      <c r="B381" s="7">
        <f ca="1">IFERROR(__xludf.DUMMYFUNCTION("""COMPUTED_VALUE"""),43)</f>
        <v>43</v>
      </c>
      <c r="C381" s="7">
        <f ca="1">IFERROR(__xludf.DUMMYFUNCTION("""COMPUTED_VALUE"""),16512)</f>
        <v>16512</v>
      </c>
      <c r="D381" s="7">
        <f ca="1">IFERROR(__xludf.DUMMYFUNCTION("""COMPUTED_VALUE"""),153)</f>
        <v>153</v>
      </c>
      <c r="E381" s="7">
        <f ca="1">IFERROR(__xludf.DUMMYFUNCTION("""COMPUTED_VALUE"""),60423)</f>
        <v>60423</v>
      </c>
    </row>
    <row r="382" spans="1:5" ht="13.2" x14ac:dyDescent="0.25">
      <c r="A382" s="93">
        <f ca="1">IFERROR(__xludf.DUMMYFUNCTION("""COMPUTED_VALUE"""),44271)</f>
        <v>44271</v>
      </c>
      <c r="B382" s="7">
        <f ca="1">IFERROR(__xludf.DUMMYFUNCTION("""COMPUTED_VALUE"""),52)</f>
        <v>52</v>
      </c>
      <c r="C382" s="7">
        <f ca="1">IFERROR(__xludf.DUMMYFUNCTION("""COMPUTED_VALUE"""),16564)</f>
        <v>16564</v>
      </c>
      <c r="D382" s="7">
        <f ca="1">IFERROR(__xludf.DUMMYFUNCTION("""COMPUTED_VALUE"""),152)</f>
        <v>152</v>
      </c>
      <c r="E382" s="7">
        <f ca="1">IFERROR(__xludf.DUMMYFUNCTION("""COMPUTED_VALUE"""),60575)</f>
        <v>60575</v>
      </c>
    </row>
    <row r="383" spans="1:5" ht="13.2" x14ac:dyDescent="0.25">
      <c r="A383" s="93">
        <f ca="1">IFERROR(__xludf.DUMMYFUNCTION("""COMPUTED_VALUE"""),44272)</f>
        <v>44272</v>
      </c>
      <c r="B383" s="7">
        <f ca="1">IFERROR(__xludf.DUMMYFUNCTION("""COMPUTED_VALUE"""),59)</f>
        <v>59</v>
      </c>
      <c r="C383" s="7">
        <f ca="1">IFERROR(__xludf.DUMMYFUNCTION("""COMPUTED_VALUE"""),16623)</f>
        <v>16623</v>
      </c>
      <c r="D383" s="7">
        <f ca="1">IFERROR(__xludf.DUMMYFUNCTION("""COMPUTED_VALUE"""),177)</f>
        <v>177</v>
      </c>
      <c r="E383" s="7">
        <f ca="1">IFERROR(__xludf.DUMMYFUNCTION("""COMPUTED_VALUE"""),60752)</f>
        <v>60752</v>
      </c>
    </row>
    <row r="384" spans="1:5" ht="13.2" x14ac:dyDescent="0.25">
      <c r="A384" s="93">
        <f ca="1">IFERROR(__xludf.DUMMYFUNCTION("""COMPUTED_VALUE"""),44273)</f>
        <v>44273</v>
      </c>
      <c r="B384" s="7">
        <f ca="1">IFERROR(__xludf.DUMMYFUNCTION("""COMPUTED_VALUE"""),41)</f>
        <v>41</v>
      </c>
      <c r="C384" s="7">
        <f ca="1">IFERROR(__xludf.DUMMYFUNCTION("""COMPUTED_VALUE"""),16664)</f>
        <v>16664</v>
      </c>
      <c r="D384" s="7">
        <f ca="1">IFERROR(__xludf.DUMMYFUNCTION("""COMPUTED_VALUE"""),172)</f>
        <v>172</v>
      </c>
      <c r="E384" s="7">
        <f ca="1">IFERROR(__xludf.DUMMYFUNCTION("""COMPUTED_VALUE"""),60924)</f>
        <v>60924</v>
      </c>
    </row>
    <row r="385" spans="1:5" ht="13.2" x14ac:dyDescent="0.25">
      <c r="A385" s="93">
        <f ca="1">IFERROR(__xludf.DUMMYFUNCTION("""COMPUTED_VALUE"""),44274)</f>
        <v>44274</v>
      </c>
      <c r="B385" s="7">
        <f ca="1">IFERROR(__xludf.DUMMYFUNCTION("""COMPUTED_VALUE"""),49)</f>
        <v>49</v>
      </c>
      <c r="C385" s="7">
        <f ca="1">IFERROR(__xludf.DUMMYFUNCTION("""COMPUTED_VALUE"""),16713)</f>
        <v>16713</v>
      </c>
      <c r="D385" s="7">
        <f ca="1">IFERROR(__xludf.DUMMYFUNCTION("""COMPUTED_VALUE"""),173)</f>
        <v>173</v>
      </c>
      <c r="E385" s="7">
        <f ca="1">IFERROR(__xludf.DUMMYFUNCTION("""COMPUTED_VALUE"""),61097)</f>
        <v>61097</v>
      </c>
    </row>
    <row r="386" spans="1:5" ht="13.2" x14ac:dyDescent="0.25">
      <c r="A386" s="93">
        <f ca="1">IFERROR(__xludf.DUMMYFUNCTION("""COMPUTED_VALUE"""),44275)</f>
        <v>44275</v>
      </c>
      <c r="B386" s="7">
        <f ca="1">IFERROR(__xludf.DUMMYFUNCTION("""COMPUTED_VALUE"""),49)</f>
        <v>49</v>
      </c>
      <c r="C386" s="7">
        <f ca="1">IFERROR(__xludf.DUMMYFUNCTION("""COMPUTED_VALUE"""),16762)</f>
        <v>16762</v>
      </c>
      <c r="D386" s="7">
        <f ca="1">IFERROR(__xludf.DUMMYFUNCTION("""COMPUTED_VALUE"""),137)</f>
        <v>137</v>
      </c>
      <c r="E386" s="7">
        <f ca="1">IFERROR(__xludf.DUMMYFUNCTION("""COMPUTED_VALUE"""),61234)</f>
        <v>61234</v>
      </c>
    </row>
    <row r="387" spans="1:5" ht="13.2" x14ac:dyDescent="0.25">
      <c r="A387" s="93">
        <f ca="1">IFERROR(__xludf.DUMMYFUNCTION("""COMPUTED_VALUE"""),44276)</f>
        <v>44276</v>
      </c>
      <c r="B387" s="7">
        <f ca="1">IFERROR(__xludf.DUMMYFUNCTION("""COMPUTED_VALUE"""),42)</f>
        <v>42</v>
      </c>
      <c r="C387" s="7">
        <f ca="1">IFERROR(__xludf.DUMMYFUNCTION("""COMPUTED_VALUE"""),16804)</f>
        <v>16804</v>
      </c>
      <c r="D387" s="7">
        <f ca="1">IFERROR(__xludf.DUMMYFUNCTION("""COMPUTED_VALUE"""),166)</f>
        <v>166</v>
      </c>
      <c r="E387" s="7">
        <f ca="1">IFERROR(__xludf.DUMMYFUNCTION("""COMPUTED_VALUE"""),61400)</f>
        <v>61400</v>
      </c>
    </row>
    <row r="388" spans="1:5" ht="13.2" x14ac:dyDescent="0.25">
      <c r="A388" s="93">
        <f ca="1">IFERROR(__xludf.DUMMYFUNCTION("""COMPUTED_VALUE"""),44277)</f>
        <v>44277</v>
      </c>
      <c r="B388" s="7">
        <f ca="1">IFERROR(__xludf.DUMMYFUNCTION("""COMPUTED_VALUE"""),49)</f>
        <v>49</v>
      </c>
      <c r="C388" s="7">
        <f ca="1">IFERROR(__xludf.DUMMYFUNCTION("""COMPUTED_VALUE"""),16853)</f>
        <v>16853</v>
      </c>
      <c r="D388" s="7">
        <f ca="1">IFERROR(__xludf.DUMMYFUNCTION("""COMPUTED_VALUE"""),154)</f>
        <v>154</v>
      </c>
      <c r="E388" s="7">
        <f ca="1">IFERROR(__xludf.DUMMYFUNCTION("""COMPUTED_VALUE"""),61554)</f>
        <v>61554</v>
      </c>
    </row>
    <row r="389" spans="1:5" ht="13.2" x14ac:dyDescent="0.25">
      <c r="A389" s="93">
        <f ca="1">IFERROR(__xludf.DUMMYFUNCTION("""COMPUTED_VALUE"""),44278)</f>
        <v>44278</v>
      </c>
      <c r="B389" s="7">
        <f ca="1">IFERROR(__xludf.DUMMYFUNCTION("""COMPUTED_VALUE"""),45)</f>
        <v>45</v>
      </c>
      <c r="C389" s="7">
        <f ca="1">IFERROR(__xludf.DUMMYFUNCTION("""COMPUTED_VALUE"""),16898)</f>
        <v>16898</v>
      </c>
      <c r="D389" s="7">
        <f ca="1">IFERROR(__xludf.DUMMYFUNCTION("""COMPUTED_VALUE"""),161)</f>
        <v>161</v>
      </c>
      <c r="E389" s="7">
        <f ca="1">IFERROR(__xludf.DUMMYFUNCTION("""COMPUTED_VALUE"""),61715)</f>
        <v>61715</v>
      </c>
    </row>
    <row r="390" spans="1:5" ht="13.2" x14ac:dyDescent="0.25">
      <c r="A390" s="93">
        <f ca="1">IFERROR(__xludf.DUMMYFUNCTION("""COMPUTED_VALUE"""),44279)</f>
        <v>44279</v>
      </c>
      <c r="B390" s="7">
        <f ca="1">IFERROR(__xludf.DUMMYFUNCTION("""COMPUTED_VALUE"""),39)</f>
        <v>39</v>
      </c>
      <c r="C390" s="7">
        <f ca="1">IFERROR(__xludf.DUMMYFUNCTION("""COMPUTED_VALUE"""),16937)</f>
        <v>16937</v>
      </c>
      <c r="D390" s="7">
        <f ca="1">IFERROR(__xludf.DUMMYFUNCTION("""COMPUTED_VALUE"""),156)</f>
        <v>156</v>
      </c>
      <c r="E390" s="7">
        <f ca="1">IFERROR(__xludf.DUMMYFUNCTION("""COMPUTED_VALUE"""),61871)</f>
        <v>61871</v>
      </c>
    </row>
    <row r="391" spans="1:5" ht="13.2" x14ac:dyDescent="0.25">
      <c r="A391" s="93">
        <f ca="1">IFERROR(__xludf.DUMMYFUNCTION("""COMPUTED_VALUE"""),44280)</f>
        <v>44280</v>
      </c>
      <c r="B391" s="7">
        <f ca="1">IFERROR(__xludf.DUMMYFUNCTION("""COMPUTED_VALUE"""),48)</f>
        <v>48</v>
      </c>
      <c r="C391" s="7">
        <f ca="1">IFERROR(__xludf.DUMMYFUNCTION("""COMPUTED_VALUE"""),16985)</f>
        <v>16985</v>
      </c>
      <c r="D391" s="7">
        <f ca="1">IFERROR(__xludf.DUMMYFUNCTION("""COMPUTED_VALUE"""),164)</f>
        <v>164</v>
      </c>
      <c r="E391" s="7">
        <f ca="1">IFERROR(__xludf.DUMMYFUNCTION("""COMPUTED_VALUE"""),62035)</f>
        <v>62035</v>
      </c>
    </row>
    <row r="392" spans="1:5" ht="13.2" x14ac:dyDescent="0.25">
      <c r="A392" s="93">
        <f ca="1">IFERROR(__xludf.DUMMYFUNCTION("""COMPUTED_VALUE"""),44281)</f>
        <v>44281</v>
      </c>
      <c r="B392" s="7">
        <f ca="1">IFERROR(__xludf.DUMMYFUNCTION("""COMPUTED_VALUE"""),37)</f>
        <v>37</v>
      </c>
      <c r="C392" s="7">
        <f ca="1">IFERROR(__xludf.DUMMYFUNCTION("""COMPUTED_VALUE"""),17022)</f>
        <v>17022</v>
      </c>
      <c r="D392" s="7">
        <f ca="1">IFERROR(__xludf.DUMMYFUNCTION("""COMPUTED_VALUE"""),131)</f>
        <v>131</v>
      </c>
      <c r="E392" s="7">
        <f ca="1">IFERROR(__xludf.DUMMYFUNCTION("""COMPUTED_VALUE"""),62166)</f>
        <v>62166</v>
      </c>
    </row>
    <row r="393" spans="1:5" ht="13.2" x14ac:dyDescent="0.25">
      <c r="A393" s="93">
        <f ca="1">IFERROR(__xludf.DUMMYFUNCTION("""COMPUTED_VALUE"""),44282)</f>
        <v>44282</v>
      </c>
      <c r="B393" s="7">
        <f ca="1">IFERROR(__xludf.DUMMYFUNCTION("""COMPUTED_VALUE"""),31)</f>
        <v>31</v>
      </c>
      <c r="C393" s="7">
        <f ca="1">IFERROR(__xludf.DUMMYFUNCTION("""COMPUTED_VALUE"""),17053)</f>
        <v>17053</v>
      </c>
      <c r="D393" s="7">
        <f ca="1">IFERROR(__xludf.DUMMYFUNCTION("""COMPUTED_VALUE"""),146)</f>
        <v>146</v>
      </c>
      <c r="E393" s="7">
        <f ca="1">IFERROR(__xludf.DUMMYFUNCTION("""COMPUTED_VALUE"""),62312)</f>
        <v>62312</v>
      </c>
    </row>
    <row r="394" spans="1:5" ht="13.2" x14ac:dyDescent="0.25">
      <c r="A394" s="93">
        <f ca="1">IFERROR(__xludf.DUMMYFUNCTION("""COMPUTED_VALUE"""),44283)</f>
        <v>44283</v>
      </c>
      <c r="B394" s="7">
        <f ca="1">IFERROR(__xludf.DUMMYFUNCTION("""COMPUTED_VALUE"""),37)</f>
        <v>37</v>
      </c>
      <c r="C394" s="7">
        <f ca="1">IFERROR(__xludf.DUMMYFUNCTION("""COMPUTED_VALUE"""),17090)</f>
        <v>17090</v>
      </c>
      <c r="D394" s="7">
        <f ca="1">IFERROR(__xludf.DUMMYFUNCTION("""COMPUTED_VALUE"""),158)</f>
        <v>158</v>
      </c>
      <c r="E394" s="7">
        <f ca="1">IFERROR(__xludf.DUMMYFUNCTION("""COMPUTED_VALUE"""),62470)</f>
        <v>62470</v>
      </c>
    </row>
    <row r="395" spans="1:5" ht="13.2" x14ac:dyDescent="0.25">
      <c r="A395" s="93">
        <f ca="1">IFERROR(__xludf.DUMMYFUNCTION("""COMPUTED_VALUE"""),44284)</f>
        <v>44284</v>
      </c>
      <c r="B395" s="7">
        <f ca="1">IFERROR(__xludf.DUMMYFUNCTION("""COMPUTED_VALUE"""),39)</f>
        <v>39</v>
      </c>
      <c r="C395" s="7">
        <f ca="1">IFERROR(__xludf.DUMMYFUNCTION("""COMPUTED_VALUE"""),17129)</f>
        <v>17129</v>
      </c>
      <c r="D395" s="7">
        <f ca="1">IFERROR(__xludf.DUMMYFUNCTION("""COMPUTED_VALUE"""),151)</f>
        <v>151</v>
      </c>
      <c r="E395" s="7">
        <f ca="1">IFERROR(__xludf.DUMMYFUNCTION("""COMPUTED_VALUE"""),62621)</f>
        <v>62621</v>
      </c>
    </row>
    <row r="396" spans="1:5" ht="13.2" x14ac:dyDescent="0.25">
      <c r="A396" s="93">
        <f ca="1">IFERROR(__xludf.DUMMYFUNCTION("""COMPUTED_VALUE"""),44285)</f>
        <v>44285</v>
      </c>
      <c r="B396" s="7">
        <f ca="1">IFERROR(__xludf.DUMMYFUNCTION("""COMPUTED_VALUE"""),34)</f>
        <v>34</v>
      </c>
      <c r="C396" s="7">
        <f ca="1">IFERROR(__xludf.DUMMYFUNCTION("""COMPUTED_VALUE"""),17163)</f>
        <v>17163</v>
      </c>
      <c r="D396" s="7">
        <f ca="1">IFERROR(__xludf.DUMMYFUNCTION("""COMPUTED_VALUE"""),130)</f>
        <v>130</v>
      </c>
      <c r="E396" s="7">
        <f ca="1">IFERROR(__xludf.DUMMYFUNCTION("""COMPUTED_VALUE"""),62751)</f>
        <v>62751</v>
      </c>
    </row>
    <row r="397" spans="1:5" ht="13.2" x14ac:dyDescent="0.25">
      <c r="A397" s="93">
        <f ca="1">IFERROR(__xludf.DUMMYFUNCTION("""COMPUTED_VALUE"""),44286)</f>
        <v>44286</v>
      </c>
      <c r="B397" s="7">
        <f ca="1">IFERROR(__xludf.DUMMYFUNCTION("""COMPUTED_VALUE"""),37)</f>
        <v>37</v>
      </c>
      <c r="C397" s="7">
        <f ca="1">IFERROR(__xludf.DUMMYFUNCTION("""COMPUTED_VALUE"""),17200)</f>
        <v>17200</v>
      </c>
      <c r="D397" s="7">
        <f ca="1">IFERROR(__xludf.DUMMYFUNCTION("""COMPUTED_VALUE"""),151)</f>
        <v>151</v>
      </c>
      <c r="E397" s="7">
        <f ca="1">IFERROR(__xludf.DUMMYFUNCTION("""COMPUTED_VALUE"""),62902)</f>
        <v>62902</v>
      </c>
    </row>
    <row r="398" spans="1:5" ht="13.2" x14ac:dyDescent="0.25">
      <c r="A398" s="93">
        <f ca="1">IFERROR(__xludf.DUMMYFUNCTION("""COMPUTED_VALUE"""),44287)</f>
        <v>44287</v>
      </c>
      <c r="B398" s="7">
        <f ca="1">IFERROR(__xludf.DUMMYFUNCTION("""COMPUTED_VALUE"""),32)</f>
        <v>32</v>
      </c>
      <c r="C398" s="7">
        <f ca="1">IFERROR(__xludf.DUMMYFUNCTION("""COMPUTED_VALUE"""),17232)</f>
        <v>17232</v>
      </c>
      <c r="D398" s="7">
        <f ca="1">IFERROR(__xludf.DUMMYFUNCTION("""COMPUTED_VALUE"""),135)</f>
        <v>135</v>
      </c>
      <c r="E398" s="7">
        <f ca="1">IFERROR(__xludf.DUMMYFUNCTION("""COMPUTED_VALUE"""),63037)</f>
        <v>63037</v>
      </c>
    </row>
    <row r="399" spans="1:5" ht="13.2" x14ac:dyDescent="0.25">
      <c r="A399" s="93">
        <f ca="1">IFERROR(__xludf.DUMMYFUNCTION("""COMPUTED_VALUE"""),44288)</f>
        <v>44288</v>
      </c>
      <c r="B399" s="7">
        <f ca="1">IFERROR(__xludf.DUMMYFUNCTION("""COMPUTED_VALUE"""),33)</f>
        <v>33</v>
      </c>
      <c r="C399" s="7">
        <f ca="1">IFERROR(__xludf.DUMMYFUNCTION("""COMPUTED_VALUE"""),17265)</f>
        <v>17265</v>
      </c>
      <c r="D399" s="7">
        <f ca="1">IFERROR(__xludf.DUMMYFUNCTION("""COMPUTED_VALUE"""),152)</f>
        <v>152</v>
      </c>
      <c r="E399" s="7">
        <f ca="1">IFERROR(__xludf.DUMMYFUNCTION("""COMPUTED_VALUE"""),63189)</f>
        <v>63189</v>
      </c>
    </row>
    <row r="400" spans="1:5" ht="13.2" x14ac:dyDescent="0.25">
      <c r="A400" s="93">
        <f ca="1">IFERROR(__xludf.DUMMYFUNCTION("""COMPUTED_VALUE"""),44289)</f>
        <v>44289</v>
      </c>
      <c r="B400" s="7">
        <f ca="1">IFERROR(__xludf.DUMMYFUNCTION("""COMPUTED_VALUE"""),40)</f>
        <v>40</v>
      </c>
      <c r="C400" s="7">
        <f ca="1">IFERROR(__xludf.DUMMYFUNCTION("""COMPUTED_VALUE"""),17305)</f>
        <v>17305</v>
      </c>
      <c r="D400" s="7">
        <f ca="1">IFERROR(__xludf.DUMMYFUNCTION("""COMPUTED_VALUE"""),151)</f>
        <v>151</v>
      </c>
      <c r="E400" s="7">
        <f ca="1">IFERROR(__xludf.DUMMYFUNCTION("""COMPUTED_VALUE"""),63340)</f>
        <v>63340</v>
      </c>
    </row>
    <row r="401" spans="1:5" ht="13.2" x14ac:dyDescent="0.25">
      <c r="A401" s="93">
        <f ca="1">IFERROR(__xludf.DUMMYFUNCTION("""COMPUTED_VALUE"""),44290)</f>
        <v>44290</v>
      </c>
      <c r="B401" s="7">
        <f ca="1">IFERROR(__xludf.DUMMYFUNCTION("""COMPUTED_VALUE"""),38)</f>
        <v>38</v>
      </c>
      <c r="C401" s="7">
        <f ca="1">IFERROR(__xludf.DUMMYFUNCTION("""COMPUTED_VALUE"""),17343)</f>
        <v>17343</v>
      </c>
      <c r="D401" s="7">
        <f ca="1">IFERROR(__xludf.DUMMYFUNCTION("""COMPUTED_VALUE"""),137)</f>
        <v>137</v>
      </c>
      <c r="E401" s="7">
        <f ca="1">IFERROR(__xludf.DUMMYFUNCTION("""COMPUTED_VALUE"""),63477)</f>
        <v>63477</v>
      </c>
    </row>
    <row r="402" spans="1:5" ht="13.2" x14ac:dyDescent="0.25">
      <c r="A402" s="93">
        <f ca="1">IFERROR(__xludf.DUMMYFUNCTION("""COMPUTED_VALUE"""),44291)</f>
        <v>44291</v>
      </c>
      <c r="B402" s="7">
        <f ca="1">IFERROR(__xludf.DUMMYFUNCTION("""COMPUTED_VALUE"""),37)</f>
        <v>37</v>
      </c>
      <c r="C402" s="7">
        <f ca="1">IFERROR(__xludf.DUMMYFUNCTION("""COMPUTED_VALUE"""),17380)</f>
        <v>17380</v>
      </c>
      <c r="D402" s="7">
        <f ca="1">IFERROR(__xludf.DUMMYFUNCTION("""COMPUTED_VALUE"""),140)</f>
        <v>140</v>
      </c>
      <c r="E402" s="7">
        <f ca="1">IFERROR(__xludf.DUMMYFUNCTION("""COMPUTED_VALUE"""),63617)</f>
        <v>63617</v>
      </c>
    </row>
    <row r="403" spans="1:5" ht="13.2" x14ac:dyDescent="0.25">
      <c r="A403" s="93">
        <f ca="1">IFERROR(__xludf.DUMMYFUNCTION("""COMPUTED_VALUE"""),44292)</f>
        <v>44292</v>
      </c>
      <c r="B403" s="7">
        <f ca="1">IFERROR(__xludf.DUMMYFUNCTION("""COMPUTED_VALUE"""),26)</f>
        <v>26</v>
      </c>
      <c r="C403" s="7">
        <f ca="1">IFERROR(__xludf.DUMMYFUNCTION("""COMPUTED_VALUE"""),17406)</f>
        <v>17406</v>
      </c>
      <c r="D403" s="7">
        <f ca="1">IFERROR(__xludf.DUMMYFUNCTION("""COMPUTED_VALUE"""),130)</f>
        <v>130</v>
      </c>
      <c r="E403" s="7">
        <f ca="1">IFERROR(__xludf.DUMMYFUNCTION("""COMPUTED_VALUE"""),63747)</f>
        <v>63747</v>
      </c>
    </row>
    <row r="404" spans="1:5" ht="13.2" x14ac:dyDescent="0.25">
      <c r="A404" s="93">
        <f ca="1">IFERROR(__xludf.DUMMYFUNCTION("""COMPUTED_VALUE"""),44293)</f>
        <v>44293</v>
      </c>
      <c r="B404" s="7">
        <f ca="1">IFERROR(__xludf.DUMMYFUNCTION("""COMPUTED_VALUE"""),27)</f>
        <v>27</v>
      </c>
      <c r="C404" s="7">
        <f ca="1">IFERROR(__xludf.DUMMYFUNCTION("""COMPUTED_VALUE"""),17433)</f>
        <v>17433</v>
      </c>
      <c r="D404" s="7">
        <f ca="1">IFERROR(__xludf.DUMMYFUNCTION("""COMPUTED_VALUE"""),147)</f>
        <v>147</v>
      </c>
      <c r="E404" s="7">
        <f ca="1">IFERROR(__xludf.DUMMYFUNCTION("""COMPUTED_VALUE"""),63894)</f>
        <v>63894</v>
      </c>
    </row>
    <row r="405" spans="1:5" ht="13.2" x14ac:dyDescent="0.25">
      <c r="A405" s="93">
        <f ca="1">IFERROR(__xludf.DUMMYFUNCTION("""COMPUTED_VALUE"""),44294)</f>
        <v>44294</v>
      </c>
      <c r="B405" s="7">
        <f ca="1">IFERROR(__xludf.DUMMYFUNCTION("""COMPUTED_VALUE"""),22)</f>
        <v>22</v>
      </c>
      <c r="C405" s="7">
        <f ca="1">IFERROR(__xludf.DUMMYFUNCTION("""COMPUTED_VALUE"""),17455)</f>
        <v>17455</v>
      </c>
      <c r="D405" s="7">
        <f ca="1">IFERROR(__xludf.DUMMYFUNCTION("""COMPUTED_VALUE"""),139)</f>
        <v>139</v>
      </c>
      <c r="E405" s="7">
        <f ca="1">IFERROR(__xludf.DUMMYFUNCTION("""COMPUTED_VALUE"""),64033)</f>
        <v>64033</v>
      </c>
    </row>
    <row r="406" spans="1:5" ht="13.2" x14ac:dyDescent="0.25">
      <c r="A406" s="93">
        <f ca="1">IFERROR(__xludf.DUMMYFUNCTION("""COMPUTED_VALUE"""),44295)</f>
        <v>44295</v>
      </c>
      <c r="B406" s="7">
        <f ca="1">IFERROR(__xludf.DUMMYFUNCTION("""COMPUTED_VALUE"""),31)</f>
        <v>31</v>
      </c>
      <c r="C406" s="7">
        <f ca="1">IFERROR(__xludf.DUMMYFUNCTION("""COMPUTED_VALUE"""),17486)</f>
        <v>17486</v>
      </c>
      <c r="D406" s="7">
        <f ca="1">IFERROR(__xludf.DUMMYFUNCTION("""COMPUTED_VALUE"""),141)</f>
        <v>141</v>
      </c>
      <c r="E406" s="7">
        <f ca="1">IFERROR(__xludf.DUMMYFUNCTION("""COMPUTED_VALUE"""),64174)</f>
        <v>64174</v>
      </c>
    </row>
    <row r="407" spans="1:5" ht="13.2" x14ac:dyDescent="0.25">
      <c r="A407" s="93">
        <f ca="1">IFERROR(__xludf.DUMMYFUNCTION("""COMPUTED_VALUE"""),44296)</f>
        <v>44296</v>
      </c>
      <c r="B407" s="7">
        <f ca="1">IFERROR(__xludf.DUMMYFUNCTION("""COMPUTED_VALUE"""),24)</f>
        <v>24</v>
      </c>
      <c r="C407" s="7">
        <f ca="1">IFERROR(__xludf.DUMMYFUNCTION("""COMPUTED_VALUE"""),17510)</f>
        <v>17510</v>
      </c>
      <c r="D407" s="7">
        <f ca="1">IFERROR(__xludf.DUMMYFUNCTION("""COMPUTED_VALUE"""),155)</f>
        <v>155</v>
      </c>
      <c r="E407" s="7">
        <f ca="1">IFERROR(__xludf.DUMMYFUNCTION("""COMPUTED_VALUE"""),64329)</f>
        <v>64329</v>
      </c>
    </row>
    <row r="408" spans="1:5" ht="13.2" x14ac:dyDescent="0.25">
      <c r="A408" s="93">
        <f ca="1">IFERROR(__xludf.DUMMYFUNCTION("""COMPUTED_VALUE"""),44297)</f>
        <v>44297</v>
      </c>
      <c r="B408" s="7">
        <f ca="1">IFERROR(__xludf.DUMMYFUNCTION("""COMPUTED_VALUE"""),23)</f>
        <v>23</v>
      </c>
      <c r="C408" s="7">
        <f ca="1">IFERROR(__xludf.DUMMYFUNCTION("""COMPUTED_VALUE"""),17533)</f>
        <v>17533</v>
      </c>
      <c r="D408" s="7">
        <f ca="1">IFERROR(__xludf.DUMMYFUNCTION("""COMPUTED_VALUE"""),148)</f>
        <v>148</v>
      </c>
      <c r="E408" s="7">
        <f ca="1">IFERROR(__xludf.DUMMYFUNCTION("""COMPUTED_VALUE"""),64477)</f>
        <v>64477</v>
      </c>
    </row>
    <row r="409" spans="1:5" ht="13.2" x14ac:dyDescent="0.25">
      <c r="A409" s="93">
        <f ca="1">IFERROR(__xludf.DUMMYFUNCTION("""COMPUTED_VALUE"""),44298)</f>
        <v>44298</v>
      </c>
      <c r="B409" s="7">
        <f ca="1">IFERROR(__xludf.DUMMYFUNCTION("""COMPUTED_VALUE"""),27)</f>
        <v>27</v>
      </c>
      <c r="C409" s="7">
        <f ca="1">IFERROR(__xludf.DUMMYFUNCTION("""COMPUTED_VALUE"""),17560)</f>
        <v>17560</v>
      </c>
      <c r="D409" s="7">
        <f ca="1">IFERROR(__xludf.DUMMYFUNCTION("""COMPUTED_VALUE"""),151)</f>
        <v>151</v>
      </c>
      <c r="E409" s="7">
        <f ca="1">IFERROR(__xludf.DUMMYFUNCTION("""COMPUTED_VALUE"""),64628)</f>
        <v>64628</v>
      </c>
    </row>
    <row r="410" spans="1:5" ht="13.2" x14ac:dyDescent="0.25">
      <c r="A410" s="93">
        <f ca="1">IFERROR(__xludf.DUMMYFUNCTION("""COMPUTED_VALUE"""),44299)</f>
        <v>44299</v>
      </c>
      <c r="B410" s="7">
        <f ca="1">IFERROR(__xludf.DUMMYFUNCTION("""COMPUTED_VALUE"""),31)</f>
        <v>31</v>
      </c>
      <c r="C410" s="7">
        <f ca="1">IFERROR(__xludf.DUMMYFUNCTION("""COMPUTED_VALUE"""),17591)</f>
        <v>17591</v>
      </c>
      <c r="D410" s="7">
        <f ca="1">IFERROR(__xludf.DUMMYFUNCTION("""COMPUTED_VALUE"""),127)</f>
        <v>127</v>
      </c>
      <c r="E410" s="7">
        <f ca="1">IFERROR(__xludf.DUMMYFUNCTION("""COMPUTED_VALUE"""),64755)</f>
        <v>64755</v>
      </c>
    </row>
    <row r="411" spans="1:5" ht="13.2" x14ac:dyDescent="0.25">
      <c r="A411" s="93">
        <f ca="1">IFERROR(__xludf.DUMMYFUNCTION("""COMPUTED_VALUE"""),44300)</f>
        <v>44300</v>
      </c>
      <c r="B411" s="7">
        <f ca="1">IFERROR(__xludf.DUMMYFUNCTION("""COMPUTED_VALUE"""),28)</f>
        <v>28</v>
      </c>
      <c r="C411" s="7">
        <f ca="1">IFERROR(__xludf.DUMMYFUNCTION("""COMPUTED_VALUE"""),17619)</f>
        <v>17619</v>
      </c>
      <c r="D411" s="7">
        <f ca="1">IFERROR(__xludf.DUMMYFUNCTION("""COMPUTED_VALUE"""),152)</f>
        <v>152</v>
      </c>
      <c r="E411" s="7">
        <f ca="1">IFERROR(__xludf.DUMMYFUNCTION("""COMPUTED_VALUE"""),64907)</f>
        <v>64907</v>
      </c>
    </row>
    <row r="412" spans="1:5" ht="13.2" x14ac:dyDescent="0.25">
      <c r="A412" s="93">
        <f ca="1">IFERROR(__xludf.DUMMYFUNCTION("""COMPUTED_VALUE"""),44301)</f>
        <v>44301</v>
      </c>
      <c r="B412" s="7">
        <f ca="1">IFERROR(__xludf.DUMMYFUNCTION("""COMPUTED_VALUE"""),37)</f>
        <v>37</v>
      </c>
      <c r="C412" s="7">
        <f ca="1">IFERROR(__xludf.DUMMYFUNCTION("""COMPUTED_VALUE"""),17656)</f>
        <v>17656</v>
      </c>
      <c r="D412" s="7">
        <f ca="1">IFERROR(__xludf.DUMMYFUNCTION("""COMPUTED_VALUE"""),142)</f>
        <v>142</v>
      </c>
      <c r="E412" s="7">
        <f ca="1">IFERROR(__xludf.DUMMYFUNCTION("""COMPUTED_VALUE"""),65049)</f>
        <v>65049</v>
      </c>
    </row>
    <row r="413" spans="1:5" ht="13.2" x14ac:dyDescent="0.25">
      <c r="A413" s="93">
        <f ca="1">IFERROR(__xludf.DUMMYFUNCTION("""COMPUTED_VALUE"""),44302)</f>
        <v>44302</v>
      </c>
      <c r="B413" s="7">
        <f ca="1">IFERROR(__xludf.DUMMYFUNCTION("""COMPUTED_VALUE"""),32)</f>
        <v>32</v>
      </c>
      <c r="C413" s="7">
        <f ca="1">IFERROR(__xludf.DUMMYFUNCTION("""COMPUTED_VALUE"""),17688)</f>
        <v>17688</v>
      </c>
      <c r="D413" s="7">
        <f ca="1">IFERROR(__xludf.DUMMYFUNCTION("""COMPUTED_VALUE"""),131)</f>
        <v>131</v>
      </c>
      <c r="E413" s="7">
        <f ca="1">IFERROR(__xludf.DUMMYFUNCTION("""COMPUTED_VALUE"""),65180)</f>
        <v>65180</v>
      </c>
    </row>
    <row r="414" spans="1:5" ht="13.2" x14ac:dyDescent="0.25">
      <c r="A414" s="93">
        <f ca="1">IFERROR(__xludf.DUMMYFUNCTION("""COMPUTED_VALUE"""),44303)</f>
        <v>44303</v>
      </c>
      <c r="B414" s="7">
        <f ca="1">IFERROR(__xludf.DUMMYFUNCTION("""COMPUTED_VALUE"""),35)</f>
        <v>35</v>
      </c>
      <c r="C414" s="7">
        <f ca="1">IFERROR(__xludf.DUMMYFUNCTION("""COMPUTED_VALUE"""),17723)</f>
        <v>17723</v>
      </c>
      <c r="D414" s="7">
        <f ca="1">IFERROR(__xludf.DUMMYFUNCTION("""COMPUTED_VALUE"""),156)</f>
        <v>156</v>
      </c>
      <c r="E414" s="7">
        <f ca="1">IFERROR(__xludf.DUMMYFUNCTION("""COMPUTED_VALUE"""),65336)</f>
        <v>65336</v>
      </c>
    </row>
    <row r="415" spans="1:5" ht="13.2" x14ac:dyDescent="0.25">
      <c r="A415" s="93">
        <f ca="1">IFERROR(__xludf.DUMMYFUNCTION("""COMPUTED_VALUE"""),44304)</f>
        <v>44304</v>
      </c>
      <c r="B415" s="7">
        <f ca="1">IFERROR(__xludf.DUMMYFUNCTION("""COMPUTED_VALUE"""),20)</f>
        <v>20</v>
      </c>
      <c r="C415" s="7">
        <f ca="1">IFERROR(__xludf.DUMMYFUNCTION("""COMPUTED_VALUE"""),17743)</f>
        <v>17743</v>
      </c>
      <c r="D415" s="7">
        <f ca="1">IFERROR(__xludf.DUMMYFUNCTION("""COMPUTED_VALUE"""),108)</f>
        <v>108</v>
      </c>
      <c r="E415" s="7">
        <f ca="1">IFERROR(__xludf.DUMMYFUNCTION("""COMPUTED_VALUE"""),65444)</f>
        <v>65444</v>
      </c>
    </row>
    <row r="416" spans="1:5" ht="13.2" x14ac:dyDescent="0.25">
      <c r="A416" s="93">
        <f ca="1">IFERROR(__xludf.DUMMYFUNCTION("""COMPUTED_VALUE"""),44305)</f>
        <v>44305</v>
      </c>
      <c r="B416" s="7">
        <f ca="1">IFERROR(__xludf.DUMMYFUNCTION("""COMPUTED_VALUE"""),23)</f>
        <v>23</v>
      </c>
      <c r="C416" s="7">
        <f ca="1">IFERROR(__xludf.DUMMYFUNCTION("""COMPUTED_VALUE"""),17766)</f>
        <v>17766</v>
      </c>
      <c r="D416" s="7">
        <f ca="1">IFERROR(__xludf.DUMMYFUNCTION("""COMPUTED_VALUE"""),153)</f>
        <v>153</v>
      </c>
      <c r="E416" s="7">
        <f ca="1">IFERROR(__xludf.DUMMYFUNCTION("""COMPUTED_VALUE"""),65597)</f>
        <v>65597</v>
      </c>
    </row>
    <row r="417" spans="1:5" ht="13.2" x14ac:dyDescent="0.25">
      <c r="A417" s="93">
        <f ca="1">IFERROR(__xludf.DUMMYFUNCTION("""COMPUTED_VALUE"""),44306)</f>
        <v>44306</v>
      </c>
      <c r="B417" s="7">
        <f ca="1">IFERROR(__xludf.DUMMYFUNCTION("""COMPUTED_VALUE"""),29)</f>
        <v>29</v>
      </c>
      <c r="C417" s="7">
        <f ca="1">IFERROR(__xludf.DUMMYFUNCTION("""COMPUTED_VALUE"""),17795)</f>
        <v>17795</v>
      </c>
      <c r="D417" s="7">
        <f ca="1">IFERROR(__xludf.DUMMYFUNCTION("""COMPUTED_VALUE"""),142)</f>
        <v>142</v>
      </c>
      <c r="E417" s="7">
        <f ca="1">IFERROR(__xludf.DUMMYFUNCTION("""COMPUTED_VALUE"""),65739)</f>
        <v>65739</v>
      </c>
    </row>
    <row r="418" spans="1:5" ht="13.2" x14ac:dyDescent="0.25">
      <c r="A418" s="93">
        <f ca="1">IFERROR(__xludf.DUMMYFUNCTION("""COMPUTED_VALUE"""),44307)</f>
        <v>44307</v>
      </c>
      <c r="B418" s="7">
        <f ca="1">IFERROR(__xludf.DUMMYFUNCTION("""COMPUTED_VALUE"""),26)</f>
        <v>26</v>
      </c>
      <c r="C418" s="7">
        <f ca="1">IFERROR(__xludf.DUMMYFUNCTION("""COMPUTED_VALUE"""),17821)</f>
        <v>17821</v>
      </c>
      <c r="D418" s="7">
        <f ca="1">IFERROR(__xludf.DUMMYFUNCTION("""COMPUTED_VALUE"""),134)</f>
        <v>134</v>
      </c>
      <c r="E418" s="7">
        <f ca="1">IFERROR(__xludf.DUMMYFUNCTION("""COMPUTED_VALUE"""),65873)</f>
        <v>65873</v>
      </c>
    </row>
    <row r="419" spans="1:5" ht="13.2" x14ac:dyDescent="0.25">
      <c r="A419" s="93">
        <f ca="1">IFERROR(__xludf.DUMMYFUNCTION("""COMPUTED_VALUE"""),44308)</f>
        <v>44308</v>
      </c>
      <c r="B419" s="7">
        <f ca="1">IFERROR(__xludf.DUMMYFUNCTION("""COMPUTED_VALUE"""),16)</f>
        <v>16</v>
      </c>
      <c r="C419" s="7">
        <f ca="1">IFERROR(__xludf.DUMMYFUNCTION("""COMPUTED_VALUE"""),17837)</f>
        <v>17837</v>
      </c>
      <c r="D419" s="7">
        <f ca="1">IFERROR(__xludf.DUMMYFUNCTION("""COMPUTED_VALUE"""),130)</f>
        <v>130</v>
      </c>
      <c r="E419" s="7">
        <f ca="1">IFERROR(__xludf.DUMMYFUNCTION("""COMPUTED_VALUE"""),66003)</f>
        <v>66003</v>
      </c>
    </row>
    <row r="420" spans="1:5" ht="13.2" x14ac:dyDescent="0.25">
      <c r="A420" s="93">
        <f ca="1">IFERROR(__xludf.DUMMYFUNCTION("""COMPUTED_VALUE"""),44309)</f>
        <v>44309</v>
      </c>
      <c r="B420" s="7">
        <f ca="1">IFERROR(__xludf.DUMMYFUNCTION("""COMPUTED_VALUE"""),19)</f>
        <v>19</v>
      </c>
      <c r="C420" s="7">
        <f ca="1">IFERROR(__xludf.DUMMYFUNCTION("""COMPUTED_VALUE"""),17856)</f>
        <v>17856</v>
      </c>
      <c r="D420" s="7">
        <f ca="1">IFERROR(__xludf.DUMMYFUNCTION("""COMPUTED_VALUE"""),111)</f>
        <v>111</v>
      </c>
      <c r="E420" s="7">
        <f ca="1">IFERROR(__xludf.DUMMYFUNCTION("""COMPUTED_VALUE"""),66114)</f>
        <v>66114</v>
      </c>
    </row>
    <row r="421" spans="1:5" ht="13.2" x14ac:dyDescent="0.25">
      <c r="A421" s="93">
        <f ca="1">IFERROR(__xludf.DUMMYFUNCTION("""COMPUTED_VALUE"""),44310)</f>
        <v>44310</v>
      </c>
      <c r="B421" s="7">
        <f ca="1">IFERROR(__xludf.DUMMYFUNCTION("""COMPUTED_VALUE"""),15)</f>
        <v>15</v>
      </c>
      <c r="C421" s="7">
        <f ca="1">IFERROR(__xludf.DUMMYFUNCTION("""COMPUTED_VALUE"""),17871)</f>
        <v>17871</v>
      </c>
      <c r="D421" s="7">
        <f ca="1">IFERROR(__xludf.DUMMYFUNCTION("""COMPUTED_VALUE"""),135)</f>
        <v>135</v>
      </c>
      <c r="E421" s="7">
        <f ca="1">IFERROR(__xludf.DUMMYFUNCTION("""COMPUTED_VALUE"""),66249)</f>
        <v>66249</v>
      </c>
    </row>
    <row r="422" spans="1:5" ht="13.2" x14ac:dyDescent="0.25">
      <c r="A422" s="93">
        <f ca="1">IFERROR(__xludf.DUMMYFUNCTION("""COMPUTED_VALUE"""),44311)</f>
        <v>44311</v>
      </c>
      <c r="B422" s="7">
        <f ca="1">IFERROR(__xludf.DUMMYFUNCTION("""COMPUTED_VALUE"""),17)</f>
        <v>17</v>
      </c>
      <c r="C422" s="7">
        <f ca="1">IFERROR(__xludf.DUMMYFUNCTION("""COMPUTED_VALUE"""),17888)</f>
        <v>17888</v>
      </c>
      <c r="D422" s="7">
        <f ca="1">IFERROR(__xludf.DUMMYFUNCTION("""COMPUTED_VALUE"""),123)</f>
        <v>123</v>
      </c>
      <c r="E422" s="7">
        <f ca="1">IFERROR(__xludf.DUMMYFUNCTION("""COMPUTED_VALUE"""),66372)</f>
        <v>66372</v>
      </c>
    </row>
    <row r="423" spans="1:5" ht="13.2" x14ac:dyDescent="0.25">
      <c r="A423" s="93">
        <f ca="1">IFERROR(__xludf.DUMMYFUNCTION("""COMPUTED_VALUE"""),44312)</f>
        <v>44312</v>
      </c>
      <c r="B423" s="7">
        <f ca="1">IFERROR(__xludf.DUMMYFUNCTION("""COMPUTED_VALUE"""),14)</f>
        <v>14</v>
      </c>
      <c r="C423" s="7">
        <f ca="1">IFERROR(__xludf.DUMMYFUNCTION("""COMPUTED_VALUE"""),17902)</f>
        <v>17902</v>
      </c>
      <c r="D423" s="7">
        <f ca="1">IFERROR(__xludf.DUMMYFUNCTION("""COMPUTED_VALUE"""),142)</f>
        <v>142</v>
      </c>
      <c r="E423" s="7">
        <f ca="1">IFERROR(__xludf.DUMMYFUNCTION("""COMPUTED_VALUE"""),66514)</f>
        <v>66514</v>
      </c>
    </row>
    <row r="424" spans="1:5" ht="13.2" x14ac:dyDescent="0.25">
      <c r="A424" s="93">
        <f ca="1">IFERROR(__xludf.DUMMYFUNCTION("""COMPUTED_VALUE"""),44313)</f>
        <v>44313</v>
      </c>
      <c r="B424" s="7">
        <f ca="1">IFERROR(__xludf.DUMMYFUNCTION("""COMPUTED_VALUE"""),23)</f>
        <v>23</v>
      </c>
      <c r="C424" s="7">
        <f ca="1">IFERROR(__xludf.DUMMYFUNCTION("""COMPUTED_VALUE"""),17925)</f>
        <v>17925</v>
      </c>
      <c r="D424" s="7">
        <f ca="1">IFERROR(__xludf.DUMMYFUNCTION("""COMPUTED_VALUE"""),148)</f>
        <v>148</v>
      </c>
      <c r="E424" s="7">
        <f ca="1">IFERROR(__xludf.DUMMYFUNCTION("""COMPUTED_VALUE"""),66662)</f>
        <v>66662</v>
      </c>
    </row>
    <row r="425" spans="1:5" ht="13.2" x14ac:dyDescent="0.25">
      <c r="A425" s="93">
        <f ca="1">IFERROR(__xludf.DUMMYFUNCTION("""COMPUTED_VALUE"""),44314)</f>
        <v>44314</v>
      </c>
      <c r="B425" s="7">
        <f ca="1">IFERROR(__xludf.DUMMYFUNCTION("""COMPUTED_VALUE"""),27)</f>
        <v>27</v>
      </c>
      <c r="C425" s="7">
        <f ca="1">IFERROR(__xludf.DUMMYFUNCTION("""COMPUTED_VALUE"""),17952)</f>
        <v>17952</v>
      </c>
      <c r="D425" s="7">
        <f ca="1">IFERROR(__xludf.DUMMYFUNCTION("""COMPUTED_VALUE"""),147)</f>
        <v>147</v>
      </c>
      <c r="E425" s="7">
        <f ca="1">IFERROR(__xludf.DUMMYFUNCTION("""COMPUTED_VALUE"""),66809)</f>
        <v>66809</v>
      </c>
    </row>
    <row r="426" spans="1:5" ht="13.2" x14ac:dyDescent="0.25">
      <c r="A426" s="93">
        <f ca="1">IFERROR(__xludf.DUMMYFUNCTION("""COMPUTED_VALUE"""),44315)</f>
        <v>44315</v>
      </c>
      <c r="B426" s="7">
        <f ca="1">IFERROR(__xludf.DUMMYFUNCTION("""COMPUTED_VALUE"""),17)</f>
        <v>17</v>
      </c>
      <c r="C426" s="7">
        <f ca="1">IFERROR(__xludf.DUMMYFUNCTION("""COMPUTED_VALUE"""),17969)</f>
        <v>17969</v>
      </c>
      <c r="D426" s="7">
        <f ca="1">IFERROR(__xludf.DUMMYFUNCTION("""COMPUTED_VALUE"""),131)</f>
        <v>131</v>
      </c>
      <c r="E426" s="7">
        <f ca="1">IFERROR(__xludf.DUMMYFUNCTION("""COMPUTED_VALUE"""),66940)</f>
        <v>66940</v>
      </c>
    </row>
    <row r="427" spans="1:5" ht="13.2" x14ac:dyDescent="0.25">
      <c r="A427" s="93">
        <f ca="1">IFERROR(__xludf.DUMMYFUNCTION("""COMPUTED_VALUE"""),44316)</f>
        <v>44316</v>
      </c>
      <c r="B427" s="7">
        <f ca="1">IFERROR(__xludf.DUMMYFUNCTION("""COMPUTED_VALUE"""),18)</f>
        <v>18</v>
      </c>
      <c r="C427" s="7">
        <f ca="1">IFERROR(__xludf.DUMMYFUNCTION("""COMPUTED_VALUE"""),17987)</f>
        <v>17987</v>
      </c>
      <c r="D427" s="7">
        <f ca="1">IFERROR(__xludf.DUMMYFUNCTION("""COMPUTED_VALUE"""),117)</f>
        <v>117</v>
      </c>
      <c r="E427" s="7">
        <f ca="1">IFERROR(__xludf.DUMMYFUNCTION("""COMPUTED_VALUE"""),67057)</f>
        <v>67057</v>
      </c>
    </row>
    <row r="428" spans="1:5" ht="13.2" x14ac:dyDescent="0.25">
      <c r="A428" s="93">
        <f ca="1">IFERROR(__xludf.DUMMYFUNCTION("""COMPUTED_VALUE"""),44317)</f>
        <v>44317</v>
      </c>
      <c r="B428" s="7">
        <f ca="1">IFERROR(__xludf.DUMMYFUNCTION("""COMPUTED_VALUE"""),25)</f>
        <v>25</v>
      </c>
      <c r="C428" s="7">
        <f ca="1">IFERROR(__xludf.DUMMYFUNCTION("""COMPUTED_VALUE"""),18012)</f>
        <v>18012</v>
      </c>
      <c r="D428" s="7">
        <f ca="1">IFERROR(__xludf.DUMMYFUNCTION("""COMPUTED_VALUE"""),123)</f>
        <v>123</v>
      </c>
      <c r="E428" s="7">
        <f ca="1">IFERROR(__xludf.DUMMYFUNCTION("""COMPUTED_VALUE"""),67180)</f>
        <v>67180</v>
      </c>
    </row>
    <row r="429" spans="1:5" ht="13.2" x14ac:dyDescent="0.25">
      <c r="A429" s="93">
        <f ca="1">IFERROR(__xludf.DUMMYFUNCTION("""COMPUTED_VALUE"""),44318)</f>
        <v>44318</v>
      </c>
      <c r="B429" s="7">
        <f ca="1">IFERROR(__xludf.DUMMYFUNCTION("""COMPUTED_VALUE"""),26)</f>
        <v>26</v>
      </c>
      <c r="C429" s="7">
        <f ca="1">IFERROR(__xludf.DUMMYFUNCTION("""COMPUTED_VALUE"""),18038)</f>
        <v>18038</v>
      </c>
      <c r="D429" s="7">
        <f ca="1">IFERROR(__xludf.DUMMYFUNCTION("""COMPUTED_VALUE"""),165)</f>
        <v>165</v>
      </c>
      <c r="E429" s="7">
        <f ca="1">IFERROR(__xludf.DUMMYFUNCTION("""COMPUTED_VALUE"""),67345)</f>
        <v>67345</v>
      </c>
    </row>
    <row r="430" spans="1:5" ht="13.2" x14ac:dyDescent="0.25">
      <c r="A430" s="93">
        <f ca="1">IFERROR(__xludf.DUMMYFUNCTION("""COMPUTED_VALUE"""),44319)</f>
        <v>44319</v>
      </c>
      <c r="B430" s="7">
        <f ca="1">IFERROR(__xludf.DUMMYFUNCTION("""COMPUTED_VALUE"""),23)</f>
        <v>23</v>
      </c>
      <c r="C430" s="7">
        <f ca="1">IFERROR(__xludf.DUMMYFUNCTION("""COMPUTED_VALUE"""),18061)</f>
        <v>18061</v>
      </c>
      <c r="D430" s="7">
        <f ca="1">IFERROR(__xludf.DUMMYFUNCTION("""COMPUTED_VALUE"""),129)</f>
        <v>129</v>
      </c>
      <c r="E430" s="7">
        <f ca="1">IFERROR(__xludf.DUMMYFUNCTION("""COMPUTED_VALUE"""),67474)</f>
        <v>67474</v>
      </c>
    </row>
    <row r="431" spans="1:5" ht="13.2" x14ac:dyDescent="0.25">
      <c r="A431" s="93">
        <f ca="1">IFERROR(__xludf.DUMMYFUNCTION("""COMPUTED_VALUE"""),44320)</f>
        <v>44320</v>
      </c>
      <c r="B431" s="7">
        <f ca="1">IFERROR(__xludf.DUMMYFUNCTION("""COMPUTED_VALUE"""),21)</f>
        <v>21</v>
      </c>
      <c r="C431" s="7">
        <f ca="1">IFERROR(__xludf.DUMMYFUNCTION("""COMPUTED_VALUE"""),18082)</f>
        <v>18082</v>
      </c>
      <c r="D431" s="7">
        <f ca="1">IFERROR(__xludf.DUMMYFUNCTION("""COMPUTED_VALUE"""),150)</f>
        <v>150</v>
      </c>
      <c r="E431" s="7">
        <f ca="1">IFERROR(__xludf.DUMMYFUNCTION("""COMPUTED_VALUE"""),67624)</f>
        <v>67624</v>
      </c>
    </row>
    <row r="432" spans="1:5" ht="13.2" x14ac:dyDescent="0.25">
      <c r="A432" s="93">
        <f ca="1">IFERROR(__xludf.DUMMYFUNCTION("""COMPUTED_VALUE"""),44321)</f>
        <v>44321</v>
      </c>
      <c r="B432" s="7">
        <f ca="1">IFERROR(__xludf.DUMMYFUNCTION("""COMPUTED_VALUE"""),19)</f>
        <v>19</v>
      </c>
      <c r="C432" s="7">
        <f ca="1">IFERROR(__xludf.DUMMYFUNCTION("""COMPUTED_VALUE"""),18101)</f>
        <v>18101</v>
      </c>
      <c r="D432" s="7">
        <f ca="1">IFERROR(__xludf.DUMMYFUNCTION("""COMPUTED_VALUE"""),134)</f>
        <v>134</v>
      </c>
      <c r="E432" s="7">
        <f ca="1">IFERROR(__xludf.DUMMYFUNCTION("""COMPUTED_VALUE"""),67758)</f>
        <v>67758</v>
      </c>
    </row>
    <row r="433" spans="1:5" ht="13.2" x14ac:dyDescent="0.25">
      <c r="A433" s="93">
        <f ca="1">IFERROR(__xludf.DUMMYFUNCTION("""COMPUTED_VALUE"""),44322)</f>
        <v>44322</v>
      </c>
      <c r="B433" s="7">
        <f ca="1">IFERROR(__xludf.DUMMYFUNCTION("""COMPUTED_VALUE"""),17)</f>
        <v>17</v>
      </c>
      <c r="C433" s="7">
        <f ca="1">IFERROR(__xludf.DUMMYFUNCTION("""COMPUTED_VALUE"""),18118)</f>
        <v>18118</v>
      </c>
      <c r="D433" s="7">
        <f ca="1">IFERROR(__xludf.DUMMYFUNCTION("""COMPUTED_VALUE"""),123)</f>
        <v>123</v>
      </c>
      <c r="E433" s="7">
        <f ca="1">IFERROR(__xludf.DUMMYFUNCTION("""COMPUTED_VALUE"""),67881)</f>
        <v>67881</v>
      </c>
    </row>
    <row r="434" spans="1:5" ht="13.2" x14ac:dyDescent="0.25">
      <c r="A434" s="93">
        <f ca="1">IFERROR(__xludf.DUMMYFUNCTION("""COMPUTED_VALUE"""),44323)</f>
        <v>44323</v>
      </c>
      <c r="B434" s="7">
        <f ca="1">IFERROR(__xludf.DUMMYFUNCTION("""COMPUTED_VALUE"""),17)</f>
        <v>17</v>
      </c>
      <c r="C434" s="7">
        <f ca="1">IFERROR(__xludf.DUMMYFUNCTION("""COMPUTED_VALUE"""),18135)</f>
        <v>18135</v>
      </c>
      <c r="D434" s="7">
        <f ca="1">IFERROR(__xludf.DUMMYFUNCTION("""COMPUTED_VALUE"""),123)</f>
        <v>123</v>
      </c>
      <c r="E434" s="7">
        <f ca="1">IFERROR(__xludf.DUMMYFUNCTION("""COMPUTED_VALUE"""),68004)</f>
        <v>68004</v>
      </c>
    </row>
    <row r="435" spans="1:5" ht="13.2" x14ac:dyDescent="0.25">
      <c r="A435" s="93">
        <f ca="1">IFERROR(__xludf.DUMMYFUNCTION("""COMPUTED_VALUE"""),44324)</f>
        <v>44324</v>
      </c>
      <c r="B435" s="7">
        <f ca="1">IFERROR(__xludf.DUMMYFUNCTION("""COMPUTED_VALUE"""),16)</f>
        <v>16</v>
      </c>
      <c r="C435" s="7">
        <f ca="1">IFERROR(__xludf.DUMMYFUNCTION("""COMPUTED_VALUE"""),18151)</f>
        <v>18151</v>
      </c>
      <c r="D435" s="7">
        <f ca="1">IFERROR(__xludf.DUMMYFUNCTION("""COMPUTED_VALUE"""),128)</f>
        <v>128</v>
      </c>
      <c r="E435" s="7">
        <f ca="1">IFERROR(__xludf.DUMMYFUNCTION("""COMPUTED_VALUE"""),68132)</f>
        <v>68132</v>
      </c>
    </row>
    <row r="436" spans="1:5" ht="13.2" x14ac:dyDescent="0.25">
      <c r="A436" s="93">
        <f ca="1">IFERROR(__xludf.DUMMYFUNCTION("""COMPUTED_VALUE"""),44325)</f>
        <v>44325</v>
      </c>
      <c r="B436" s="7">
        <f ca="1">IFERROR(__xludf.DUMMYFUNCTION("""COMPUTED_VALUE"""),19)</f>
        <v>19</v>
      </c>
      <c r="C436" s="7">
        <f ca="1">IFERROR(__xludf.DUMMYFUNCTION("""COMPUTED_VALUE"""),18170)</f>
        <v>18170</v>
      </c>
      <c r="D436" s="7">
        <f ca="1">IFERROR(__xludf.DUMMYFUNCTION("""COMPUTED_VALUE"""),116)</f>
        <v>116</v>
      </c>
      <c r="E436" s="7">
        <f ca="1">IFERROR(__xludf.DUMMYFUNCTION("""COMPUTED_VALUE"""),68248)</f>
        <v>68248</v>
      </c>
    </row>
    <row r="437" spans="1:5" ht="13.2" x14ac:dyDescent="0.25">
      <c r="A437" s="93">
        <f ca="1">IFERROR(__xludf.DUMMYFUNCTION("""COMPUTED_VALUE"""),44326)</f>
        <v>44326</v>
      </c>
      <c r="B437" s="7">
        <f ca="1">IFERROR(__xludf.DUMMYFUNCTION("""COMPUTED_VALUE"""),23)</f>
        <v>23</v>
      </c>
      <c r="C437" s="7">
        <f ca="1">IFERROR(__xludf.DUMMYFUNCTION("""COMPUTED_VALUE"""),18193)</f>
        <v>18193</v>
      </c>
      <c r="D437" s="7">
        <f ca="1">IFERROR(__xludf.DUMMYFUNCTION("""COMPUTED_VALUE"""),127)</f>
        <v>127</v>
      </c>
      <c r="E437" s="7">
        <f ca="1">IFERROR(__xludf.DUMMYFUNCTION("""COMPUTED_VALUE"""),68375)</f>
        <v>68375</v>
      </c>
    </row>
    <row r="438" spans="1:5" ht="13.2" x14ac:dyDescent="0.25">
      <c r="A438" s="93">
        <f ca="1">IFERROR(__xludf.DUMMYFUNCTION("""COMPUTED_VALUE"""),44327)</f>
        <v>44327</v>
      </c>
      <c r="B438" s="7">
        <f ca="1">IFERROR(__xludf.DUMMYFUNCTION("""COMPUTED_VALUE"""),25)</f>
        <v>25</v>
      </c>
      <c r="C438" s="7">
        <f ca="1">IFERROR(__xludf.DUMMYFUNCTION("""COMPUTED_VALUE"""),18218)</f>
        <v>18218</v>
      </c>
      <c r="D438" s="7">
        <f ca="1">IFERROR(__xludf.DUMMYFUNCTION("""COMPUTED_VALUE"""),154)</f>
        <v>154</v>
      </c>
      <c r="E438" s="7">
        <f ca="1">IFERROR(__xludf.DUMMYFUNCTION("""COMPUTED_VALUE"""),68529)</f>
        <v>68529</v>
      </c>
    </row>
    <row r="439" spans="1:5" ht="13.2" x14ac:dyDescent="0.25">
      <c r="A439" s="93">
        <f ca="1">IFERROR(__xludf.DUMMYFUNCTION("""COMPUTED_VALUE"""),44328)</f>
        <v>44328</v>
      </c>
      <c r="B439" s="7">
        <f ca="1">IFERROR(__xludf.DUMMYFUNCTION("""COMPUTED_VALUE"""),16)</f>
        <v>16</v>
      </c>
      <c r="C439" s="7">
        <f ca="1">IFERROR(__xludf.DUMMYFUNCTION("""COMPUTED_VALUE"""),18234)</f>
        <v>18234</v>
      </c>
      <c r="D439" s="7">
        <f ca="1">IFERROR(__xludf.DUMMYFUNCTION("""COMPUTED_VALUE"""),150)</f>
        <v>150</v>
      </c>
      <c r="E439" s="7">
        <f ca="1">IFERROR(__xludf.DUMMYFUNCTION("""COMPUTED_VALUE"""),68679)</f>
        <v>68679</v>
      </c>
    </row>
    <row r="440" spans="1:5" ht="13.2" x14ac:dyDescent="0.25">
      <c r="A440" s="93">
        <f ca="1">IFERROR(__xludf.DUMMYFUNCTION("""COMPUTED_VALUE"""),44329)</f>
        <v>44329</v>
      </c>
      <c r="B440" s="7">
        <f ca="1">IFERROR(__xludf.DUMMYFUNCTION("""COMPUTED_VALUE"""),11)</f>
        <v>11</v>
      </c>
      <c r="C440" s="7">
        <f ca="1">IFERROR(__xludf.DUMMYFUNCTION("""COMPUTED_VALUE"""),18245)</f>
        <v>18245</v>
      </c>
      <c r="D440" s="7">
        <f ca="1">IFERROR(__xludf.DUMMYFUNCTION("""COMPUTED_VALUE"""),132)</f>
        <v>132</v>
      </c>
      <c r="E440" s="7">
        <f ca="1">IFERROR(__xludf.DUMMYFUNCTION("""COMPUTED_VALUE"""),68811)</f>
        <v>68811</v>
      </c>
    </row>
    <row r="441" spans="1:5" ht="13.2" x14ac:dyDescent="0.25">
      <c r="A441" s="93">
        <f ca="1">IFERROR(__xludf.DUMMYFUNCTION("""COMPUTED_VALUE"""),44330)</f>
        <v>44330</v>
      </c>
      <c r="B441" s="7">
        <f ca="1">IFERROR(__xludf.DUMMYFUNCTION("""COMPUTED_VALUE"""),16)</f>
        <v>16</v>
      </c>
      <c r="C441" s="7">
        <f ca="1">IFERROR(__xludf.DUMMYFUNCTION("""COMPUTED_VALUE"""),18261)</f>
        <v>18261</v>
      </c>
      <c r="D441" s="7">
        <f ca="1">IFERROR(__xludf.DUMMYFUNCTION("""COMPUTED_VALUE"""),150)</f>
        <v>150</v>
      </c>
      <c r="E441" s="7">
        <f ca="1">IFERROR(__xludf.DUMMYFUNCTION("""COMPUTED_VALUE"""),68961)</f>
        <v>68961</v>
      </c>
    </row>
    <row r="442" spans="1:5" ht="13.2" x14ac:dyDescent="0.25">
      <c r="A442" s="93">
        <f ca="1">IFERROR(__xludf.DUMMYFUNCTION("""COMPUTED_VALUE"""),44331)</f>
        <v>44331</v>
      </c>
      <c r="B442" s="7">
        <f ca="1">IFERROR(__xludf.DUMMYFUNCTION("""COMPUTED_VALUE"""),11)</f>
        <v>11</v>
      </c>
      <c r="C442" s="7">
        <f ca="1">IFERROR(__xludf.DUMMYFUNCTION("""COMPUTED_VALUE"""),18272)</f>
        <v>18272</v>
      </c>
      <c r="D442" s="7">
        <f ca="1">IFERROR(__xludf.DUMMYFUNCTION("""COMPUTED_VALUE"""),143)</f>
        <v>143</v>
      </c>
      <c r="E442" s="7">
        <f ca="1">IFERROR(__xludf.DUMMYFUNCTION("""COMPUTED_VALUE"""),69104)</f>
        <v>69104</v>
      </c>
    </row>
    <row r="443" spans="1:5" ht="13.2" x14ac:dyDescent="0.25">
      <c r="A443" s="93">
        <f ca="1">IFERROR(__xludf.DUMMYFUNCTION("""COMPUTED_VALUE"""),44332)</f>
        <v>44332</v>
      </c>
      <c r="B443" s="7">
        <f ca="1">IFERROR(__xludf.DUMMYFUNCTION("""COMPUTED_VALUE"""),19)</f>
        <v>19</v>
      </c>
      <c r="C443" s="7">
        <f ca="1">IFERROR(__xludf.DUMMYFUNCTION("""COMPUTED_VALUE"""),18291)</f>
        <v>18291</v>
      </c>
      <c r="D443" s="7">
        <f ca="1">IFERROR(__xludf.DUMMYFUNCTION("""COMPUTED_VALUE"""),124)</f>
        <v>124</v>
      </c>
      <c r="E443" s="7">
        <f ca="1">IFERROR(__xludf.DUMMYFUNCTION("""COMPUTED_VALUE"""),69228)</f>
        <v>69228</v>
      </c>
    </row>
    <row r="444" spans="1:5" ht="13.2" x14ac:dyDescent="0.25">
      <c r="A444" s="93">
        <f ca="1">IFERROR(__xludf.DUMMYFUNCTION("""COMPUTED_VALUE"""),44333)</f>
        <v>44333</v>
      </c>
      <c r="B444" s="7">
        <f ca="1">IFERROR(__xludf.DUMMYFUNCTION("""COMPUTED_VALUE"""),19)</f>
        <v>19</v>
      </c>
      <c r="C444" s="7">
        <f ca="1">IFERROR(__xludf.DUMMYFUNCTION("""COMPUTED_VALUE"""),18310)</f>
        <v>18310</v>
      </c>
      <c r="D444" s="7">
        <f ca="1">IFERROR(__xludf.DUMMYFUNCTION("""COMPUTED_VALUE"""),116)</f>
        <v>116</v>
      </c>
      <c r="E444" s="7">
        <f ca="1">IFERROR(__xludf.DUMMYFUNCTION("""COMPUTED_VALUE"""),69344)</f>
        <v>69344</v>
      </c>
    </row>
    <row r="445" spans="1:5" ht="13.2" x14ac:dyDescent="0.25">
      <c r="A445" s="93">
        <f ca="1">IFERROR(__xludf.DUMMYFUNCTION("""COMPUTED_VALUE"""),44334)</f>
        <v>44334</v>
      </c>
      <c r="B445" s="7">
        <f ca="1">IFERROR(__xludf.DUMMYFUNCTION("""COMPUTED_VALUE"""),10)</f>
        <v>10</v>
      </c>
      <c r="C445" s="7">
        <f ca="1">IFERROR(__xludf.DUMMYFUNCTION("""COMPUTED_VALUE"""),18320)</f>
        <v>18320</v>
      </c>
      <c r="D445" s="7">
        <f ca="1">IFERROR(__xludf.DUMMYFUNCTION("""COMPUTED_VALUE"""),112)</f>
        <v>112</v>
      </c>
      <c r="E445" s="7">
        <f ca="1">IFERROR(__xludf.DUMMYFUNCTION("""COMPUTED_VALUE"""),69456)</f>
        <v>69456</v>
      </c>
    </row>
    <row r="446" spans="1:5" ht="13.2" x14ac:dyDescent="0.25">
      <c r="A446" s="93">
        <f ca="1">IFERROR(__xludf.DUMMYFUNCTION("""COMPUTED_VALUE"""),44335)</f>
        <v>44335</v>
      </c>
      <c r="B446" s="7">
        <f ca="1">IFERROR(__xludf.DUMMYFUNCTION("""COMPUTED_VALUE"""),13)</f>
        <v>13</v>
      </c>
      <c r="C446" s="7">
        <f ca="1">IFERROR(__xludf.DUMMYFUNCTION("""COMPUTED_VALUE"""),18333)</f>
        <v>18333</v>
      </c>
      <c r="D446" s="7">
        <f ca="1">IFERROR(__xludf.DUMMYFUNCTION("""COMPUTED_VALUE"""),94)</f>
        <v>94</v>
      </c>
      <c r="E446" s="7">
        <f ca="1">IFERROR(__xludf.DUMMYFUNCTION("""COMPUTED_VALUE"""),69550)</f>
        <v>69550</v>
      </c>
    </row>
    <row r="447" spans="1:5" ht="13.2" x14ac:dyDescent="0.25">
      <c r="A447" s="93">
        <f ca="1">IFERROR(__xludf.DUMMYFUNCTION("""COMPUTED_VALUE"""),44336)</f>
        <v>44336</v>
      </c>
      <c r="B447" s="7">
        <f ca="1">IFERROR(__xludf.DUMMYFUNCTION("""COMPUTED_VALUE"""),16)</f>
        <v>16</v>
      </c>
      <c r="C447" s="7">
        <f ca="1">IFERROR(__xludf.DUMMYFUNCTION("""COMPUTED_VALUE"""),18349)</f>
        <v>18349</v>
      </c>
      <c r="D447" s="7">
        <f ca="1">IFERROR(__xludf.DUMMYFUNCTION("""COMPUTED_VALUE"""),151)</f>
        <v>151</v>
      </c>
      <c r="E447" s="7">
        <f ca="1">IFERROR(__xludf.DUMMYFUNCTION("""COMPUTED_VALUE"""),69701)</f>
        <v>69701</v>
      </c>
    </row>
    <row r="448" spans="1:5" ht="13.2" x14ac:dyDescent="0.25">
      <c r="A448" s="93">
        <f ca="1">IFERROR(__xludf.DUMMYFUNCTION("""COMPUTED_VALUE"""),44337)</f>
        <v>44337</v>
      </c>
      <c r="B448" s="7">
        <f ca="1">IFERROR(__xludf.DUMMYFUNCTION("""COMPUTED_VALUE"""),8)</f>
        <v>8</v>
      </c>
      <c r="C448" s="7">
        <f ca="1">IFERROR(__xludf.DUMMYFUNCTION("""COMPUTED_VALUE"""),18357)</f>
        <v>18357</v>
      </c>
      <c r="D448" s="7">
        <f ca="1">IFERROR(__xludf.DUMMYFUNCTION("""COMPUTED_VALUE"""),138)</f>
        <v>138</v>
      </c>
      <c r="E448" s="7">
        <f ca="1">IFERROR(__xludf.DUMMYFUNCTION("""COMPUTED_VALUE"""),69839)</f>
        <v>69839</v>
      </c>
    </row>
    <row r="449" spans="1:5" ht="13.2" x14ac:dyDescent="0.25">
      <c r="A449" s="93">
        <f ca="1">IFERROR(__xludf.DUMMYFUNCTION("""COMPUTED_VALUE"""),44338)</f>
        <v>44338</v>
      </c>
      <c r="B449" s="7">
        <f ca="1">IFERROR(__xludf.DUMMYFUNCTION("""COMPUTED_VALUE"""),7)</f>
        <v>7</v>
      </c>
      <c r="C449" s="7">
        <f ca="1">IFERROR(__xludf.DUMMYFUNCTION("""COMPUTED_VALUE"""),18364)</f>
        <v>18364</v>
      </c>
      <c r="D449" s="7">
        <f ca="1">IFERROR(__xludf.DUMMYFUNCTION("""COMPUTED_VALUE"""),117)</f>
        <v>117</v>
      </c>
      <c r="E449" s="7">
        <f ca="1">IFERROR(__xludf.DUMMYFUNCTION("""COMPUTED_VALUE"""),69956)</f>
        <v>69956</v>
      </c>
    </row>
    <row r="450" spans="1:5" ht="13.2" x14ac:dyDescent="0.25">
      <c r="A450" s="93">
        <f ca="1">IFERROR(__xludf.DUMMYFUNCTION("""COMPUTED_VALUE"""),44339)</f>
        <v>44339</v>
      </c>
      <c r="B450" s="7">
        <f ca="1">IFERROR(__xludf.DUMMYFUNCTION("""COMPUTED_VALUE"""),16)</f>
        <v>16</v>
      </c>
      <c r="C450" s="7">
        <f ca="1">IFERROR(__xludf.DUMMYFUNCTION("""COMPUTED_VALUE"""),18380)</f>
        <v>18380</v>
      </c>
      <c r="D450" s="7">
        <f ca="1">IFERROR(__xludf.DUMMYFUNCTION("""COMPUTED_VALUE"""),113)</f>
        <v>113</v>
      </c>
      <c r="E450" s="7">
        <f ca="1">IFERROR(__xludf.DUMMYFUNCTION("""COMPUTED_VALUE"""),70069)</f>
        <v>70069</v>
      </c>
    </row>
    <row r="451" spans="1:5" ht="13.2" x14ac:dyDescent="0.25">
      <c r="A451" s="93">
        <f ca="1">IFERROR(__xludf.DUMMYFUNCTION("""COMPUTED_VALUE"""),44340)</f>
        <v>44340</v>
      </c>
      <c r="B451" s="7">
        <f ca="1">IFERROR(__xludf.DUMMYFUNCTION("""COMPUTED_VALUE"""),17)</f>
        <v>17</v>
      </c>
      <c r="C451" s="7">
        <f ca="1">IFERROR(__xludf.DUMMYFUNCTION("""COMPUTED_VALUE"""),18397)</f>
        <v>18397</v>
      </c>
      <c r="D451" s="7">
        <f ca="1">IFERROR(__xludf.DUMMYFUNCTION("""COMPUTED_VALUE"""),133)</f>
        <v>133</v>
      </c>
      <c r="E451" s="7">
        <f ca="1">IFERROR(__xludf.DUMMYFUNCTION("""COMPUTED_VALUE"""),70202)</f>
        <v>70202</v>
      </c>
    </row>
    <row r="452" spans="1:5" ht="13.2" x14ac:dyDescent="0.25">
      <c r="A452" s="93">
        <f ca="1">IFERROR(__xludf.DUMMYFUNCTION("""COMPUTED_VALUE"""),44341)</f>
        <v>44341</v>
      </c>
      <c r="B452" s="7">
        <f ca="1">IFERROR(__xludf.DUMMYFUNCTION("""COMPUTED_VALUE"""),17)</f>
        <v>17</v>
      </c>
      <c r="C452" s="7">
        <f ca="1">IFERROR(__xludf.DUMMYFUNCTION("""COMPUTED_VALUE"""),18414)</f>
        <v>18414</v>
      </c>
      <c r="D452" s="7">
        <f ca="1">IFERROR(__xludf.DUMMYFUNCTION("""COMPUTED_VALUE"""),153)</f>
        <v>153</v>
      </c>
      <c r="E452" s="7">
        <f ca="1">IFERROR(__xludf.DUMMYFUNCTION("""COMPUTED_VALUE"""),70355)</f>
        <v>70355</v>
      </c>
    </row>
    <row r="453" spans="1:5" ht="13.2" x14ac:dyDescent="0.25">
      <c r="A453" s="93">
        <f ca="1">IFERROR(__xludf.DUMMYFUNCTION("""COMPUTED_VALUE"""),44342)</f>
        <v>44342</v>
      </c>
      <c r="B453" s="7">
        <f ca="1">IFERROR(__xludf.DUMMYFUNCTION("""COMPUTED_VALUE"""),12)</f>
        <v>12</v>
      </c>
      <c r="C453" s="7">
        <f ca="1">IFERROR(__xludf.DUMMYFUNCTION("""COMPUTED_VALUE"""),18426)</f>
        <v>18426</v>
      </c>
      <c r="D453" s="7">
        <f ca="1">IFERROR(__xludf.DUMMYFUNCTION("""COMPUTED_VALUE"""),117)</f>
        <v>117</v>
      </c>
      <c r="E453" s="7">
        <f ca="1">IFERROR(__xludf.DUMMYFUNCTION("""COMPUTED_VALUE"""),70472)</f>
        <v>70472</v>
      </c>
    </row>
    <row r="454" spans="1:5" ht="13.2" x14ac:dyDescent="0.25">
      <c r="A454" s="93">
        <f ca="1">IFERROR(__xludf.DUMMYFUNCTION("""COMPUTED_VALUE"""),44343)</f>
        <v>44343</v>
      </c>
      <c r="B454" s="7">
        <f ca="1">IFERROR(__xludf.DUMMYFUNCTION("""COMPUTED_VALUE"""),11)</f>
        <v>11</v>
      </c>
      <c r="C454" s="7">
        <f ca="1">IFERROR(__xludf.DUMMYFUNCTION("""COMPUTED_VALUE"""),18437)</f>
        <v>18437</v>
      </c>
      <c r="D454" s="7">
        <f ca="1">IFERROR(__xludf.DUMMYFUNCTION("""COMPUTED_VALUE"""),117)</f>
        <v>117</v>
      </c>
      <c r="E454" s="7">
        <f ca="1">IFERROR(__xludf.DUMMYFUNCTION("""COMPUTED_VALUE"""),70589)</f>
        <v>70589</v>
      </c>
    </row>
    <row r="455" spans="1:5" ht="13.2" x14ac:dyDescent="0.25">
      <c r="A455" s="93">
        <f ca="1">IFERROR(__xludf.DUMMYFUNCTION("""COMPUTED_VALUE"""),44344)</f>
        <v>44344</v>
      </c>
      <c r="B455" s="7">
        <f ca="1">IFERROR(__xludf.DUMMYFUNCTION("""COMPUTED_VALUE"""),11)</f>
        <v>11</v>
      </c>
      <c r="C455" s="7">
        <f ca="1">IFERROR(__xludf.DUMMYFUNCTION("""COMPUTED_VALUE"""),18448)</f>
        <v>18448</v>
      </c>
      <c r="D455" s="7">
        <f ca="1">IFERROR(__xludf.DUMMYFUNCTION("""COMPUTED_VALUE"""),136)</f>
        <v>136</v>
      </c>
      <c r="E455" s="7">
        <f ca="1">IFERROR(__xludf.DUMMYFUNCTION("""COMPUTED_VALUE"""),70725)</f>
        <v>70725</v>
      </c>
    </row>
    <row r="456" spans="1:5" ht="13.2" x14ac:dyDescent="0.25">
      <c r="A456" s="93">
        <f ca="1">IFERROR(__xludf.DUMMYFUNCTION("""COMPUTED_VALUE"""),44345)</f>
        <v>44345</v>
      </c>
      <c r="B456" s="7">
        <f ca="1">IFERROR(__xludf.DUMMYFUNCTION("""COMPUTED_VALUE"""),15)</f>
        <v>15</v>
      </c>
      <c r="C456" s="7">
        <f ca="1">IFERROR(__xludf.DUMMYFUNCTION("""COMPUTED_VALUE"""),18463)</f>
        <v>18463</v>
      </c>
      <c r="D456" s="7">
        <f ca="1">IFERROR(__xludf.DUMMYFUNCTION("""COMPUTED_VALUE"""),131)</f>
        <v>131</v>
      </c>
      <c r="E456" s="7">
        <f ca="1">IFERROR(__xludf.DUMMYFUNCTION("""COMPUTED_VALUE"""),70856)</f>
        <v>70856</v>
      </c>
    </row>
    <row r="457" spans="1:5" ht="13.2" x14ac:dyDescent="0.25">
      <c r="A457" s="93">
        <f ca="1">IFERROR(__xludf.DUMMYFUNCTION("""COMPUTED_VALUE"""),44346)</f>
        <v>44346</v>
      </c>
      <c r="B457" s="7">
        <f ca="1">IFERROR(__xludf.DUMMYFUNCTION("""COMPUTED_VALUE"""),32)</f>
        <v>32</v>
      </c>
      <c r="C457" s="7">
        <f ca="1">IFERROR(__xludf.DUMMYFUNCTION("""COMPUTED_VALUE"""),18495)</f>
        <v>18495</v>
      </c>
      <c r="D457" s="7">
        <f ca="1">IFERROR(__xludf.DUMMYFUNCTION("""COMPUTED_VALUE"""),131)</f>
        <v>131</v>
      </c>
      <c r="E457" s="7">
        <f ca="1">IFERROR(__xludf.DUMMYFUNCTION("""COMPUTED_VALUE"""),70987)</f>
        <v>70987</v>
      </c>
    </row>
    <row r="458" spans="1:5" ht="13.2" x14ac:dyDescent="0.25">
      <c r="A458" s="93">
        <f ca="1">IFERROR(__xludf.DUMMYFUNCTION("""COMPUTED_VALUE"""),44347)</f>
        <v>44347</v>
      </c>
      <c r="B458" s="7">
        <f ca="1">IFERROR(__xludf.DUMMYFUNCTION("""COMPUTED_VALUE"""),21)</f>
        <v>21</v>
      </c>
      <c r="C458" s="7">
        <f ca="1">IFERROR(__xludf.DUMMYFUNCTION("""COMPUTED_VALUE"""),18516)</f>
        <v>18516</v>
      </c>
      <c r="D458" s="7">
        <f ca="1">IFERROR(__xludf.DUMMYFUNCTION("""COMPUTED_VALUE"""),131)</f>
        <v>131</v>
      </c>
      <c r="E458" s="7">
        <f ca="1">IFERROR(__xludf.DUMMYFUNCTION("""COMPUTED_VALUE"""),71118)</f>
        <v>71118</v>
      </c>
    </row>
    <row r="459" spans="1:5" ht="13.2" x14ac:dyDescent="0.25">
      <c r="A459" s="93">
        <f ca="1">IFERROR(__xludf.DUMMYFUNCTION("""COMPUTED_VALUE"""),44348)</f>
        <v>44348</v>
      </c>
      <c r="B459" s="7">
        <f ca="1">IFERROR(__xludf.DUMMYFUNCTION("""COMPUTED_VALUE"""),16)</f>
        <v>16</v>
      </c>
      <c r="C459" s="7">
        <f ca="1">IFERROR(__xludf.DUMMYFUNCTION("""COMPUTED_VALUE"""),18532)</f>
        <v>18532</v>
      </c>
      <c r="D459" s="7">
        <f ca="1">IFERROR(__xludf.DUMMYFUNCTION("""COMPUTED_VALUE"""),121)</f>
        <v>121</v>
      </c>
      <c r="E459" s="7">
        <f ca="1">IFERROR(__xludf.DUMMYFUNCTION("""COMPUTED_VALUE"""),71239)</f>
        <v>71239</v>
      </c>
    </row>
    <row r="460" spans="1:5" ht="13.2" x14ac:dyDescent="0.25">
      <c r="A460" s="93">
        <f ca="1">IFERROR(__xludf.DUMMYFUNCTION("""COMPUTED_VALUE"""),44349)</f>
        <v>44349</v>
      </c>
      <c r="B460" s="7">
        <f ca="1">IFERROR(__xludf.DUMMYFUNCTION("""COMPUTED_VALUE"""),22)</f>
        <v>22</v>
      </c>
      <c r="C460" s="7">
        <f ca="1">IFERROR(__xludf.DUMMYFUNCTION("""COMPUTED_VALUE"""),18554)</f>
        <v>18554</v>
      </c>
      <c r="D460" s="7">
        <f ca="1">IFERROR(__xludf.DUMMYFUNCTION("""COMPUTED_VALUE"""),142)</f>
        <v>142</v>
      </c>
      <c r="E460" s="7">
        <f ca="1">IFERROR(__xludf.DUMMYFUNCTION("""COMPUTED_VALUE"""),71381)</f>
        <v>71381</v>
      </c>
    </row>
    <row r="461" spans="1:5" ht="13.2" x14ac:dyDescent="0.25">
      <c r="A461" s="93">
        <f ca="1">IFERROR(__xludf.DUMMYFUNCTION("""COMPUTED_VALUE"""),44350)</f>
        <v>44350</v>
      </c>
      <c r="B461" s="7">
        <f ca="1">IFERROR(__xludf.DUMMYFUNCTION("""COMPUTED_VALUE"""),18)</f>
        <v>18</v>
      </c>
      <c r="C461" s="7">
        <f ca="1">IFERROR(__xludf.DUMMYFUNCTION("""COMPUTED_VALUE"""),18572)</f>
        <v>18572</v>
      </c>
      <c r="D461" s="7">
        <f ca="1">IFERROR(__xludf.DUMMYFUNCTION("""COMPUTED_VALUE"""),139)</f>
        <v>139</v>
      </c>
      <c r="E461" s="7">
        <f ca="1">IFERROR(__xludf.DUMMYFUNCTION("""COMPUTED_VALUE"""),71520)</f>
        <v>71520</v>
      </c>
    </row>
    <row r="462" spans="1:5" ht="13.2" x14ac:dyDescent="0.25">
      <c r="A462" s="93">
        <f ca="1">IFERROR(__xludf.DUMMYFUNCTION("""COMPUTED_VALUE"""),44351)</f>
        <v>44351</v>
      </c>
      <c r="B462" s="7">
        <f ca="1">IFERROR(__xludf.DUMMYFUNCTION("""COMPUTED_VALUE"""),20)</f>
        <v>20</v>
      </c>
      <c r="C462" s="7">
        <f ca="1">IFERROR(__xludf.DUMMYFUNCTION("""COMPUTED_VALUE"""),18592)</f>
        <v>18592</v>
      </c>
      <c r="D462" s="7">
        <f ca="1">IFERROR(__xludf.DUMMYFUNCTION("""COMPUTED_VALUE"""),134)</f>
        <v>134</v>
      </c>
      <c r="E462" s="7">
        <f ca="1">IFERROR(__xludf.DUMMYFUNCTION("""COMPUTED_VALUE"""),71654)</f>
        <v>71654</v>
      </c>
    </row>
    <row r="463" spans="1:5" ht="13.2" x14ac:dyDescent="0.25">
      <c r="A463" s="93">
        <f ca="1">IFERROR(__xludf.DUMMYFUNCTION("""COMPUTED_VALUE"""),44352)</f>
        <v>44352</v>
      </c>
      <c r="B463" s="7">
        <f ca="1">IFERROR(__xludf.DUMMYFUNCTION("""COMPUTED_VALUE"""),22)</f>
        <v>22</v>
      </c>
      <c r="C463" s="7">
        <f ca="1">IFERROR(__xludf.DUMMYFUNCTION("""COMPUTED_VALUE"""),18614)</f>
        <v>18614</v>
      </c>
      <c r="D463" s="7">
        <f ca="1">IFERROR(__xludf.DUMMYFUNCTION("""COMPUTED_VALUE"""),151)</f>
        <v>151</v>
      </c>
      <c r="E463" s="7">
        <f ca="1">IFERROR(__xludf.DUMMYFUNCTION("""COMPUTED_VALUE"""),71805)</f>
        <v>71805</v>
      </c>
    </row>
    <row r="464" spans="1:5" ht="13.2" x14ac:dyDescent="0.25">
      <c r="A464" s="93">
        <f ca="1">IFERROR(__xludf.DUMMYFUNCTION("""COMPUTED_VALUE"""),44353)</f>
        <v>44353</v>
      </c>
      <c r="B464" s="7">
        <f ca="1">IFERROR(__xludf.DUMMYFUNCTION("""COMPUTED_VALUE"""),25)</f>
        <v>25</v>
      </c>
      <c r="C464" s="7">
        <f ca="1">IFERROR(__xludf.DUMMYFUNCTION("""COMPUTED_VALUE"""),18639)</f>
        <v>18639</v>
      </c>
      <c r="D464" s="7">
        <f ca="1">IFERROR(__xludf.DUMMYFUNCTION("""COMPUTED_VALUE"""),154)</f>
        <v>154</v>
      </c>
      <c r="E464" s="7">
        <f ca="1">IFERROR(__xludf.DUMMYFUNCTION("""COMPUTED_VALUE"""),71959)</f>
        <v>71959</v>
      </c>
    </row>
    <row r="465" spans="1:5" ht="13.2" x14ac:dyDescent="0.25">
      <c r="A465" s="93">
        <f ca="1">IFERROR(__xludf.DUMMYFUNCTION("""COMPUTED_VALUE"""),44354)</f>
        <v>44354</v>
      </c>
      <c r="B465" s="7">
        <f ca="1">IFERROR(__xludf.DUMMYFUNCTION("""COMPUTED_VALUE"""),21)</f>
        <v>21</v>
      </c>
      <c r="C465" s="7">
        <f ca="1">IFERROR(__xludf.DUMMYFUNCTION("""COMPUTED_VALUE"""),18660)</f>
        <v>18660</v>
      </c>
      <c r="D465" s="7">
        <f ca="1">IFERROR(__xludf.DUMMYFUNCTION("""COMPUTED_VALUE"""),150)</f>
        <v>150</v>
      </c>
      <c r="E465" s="7">
        <f ca="1">IFERROR(__xludf.DUMMYFUNCTION("""COMPUTED_VALUE"""),72109)</f>
        <v>72109</v>
      </c>
    </row>
    <row r="466" spans="1:5" ht="13.2" x14ac:dyDescent="0.25">
      <c r="A466" s="93">
        <f ca="1">IFERROR(__xludf.DUMMYFUNCTION("""COMPUTED_VALUE"""),44355)</f>
        <v>44355</v>
      </c>
      <c r="B466" s="7">
        <f ca="1">IFERROR(__xludf.DUMMYFUNCTION("""COMPUTED_VALUE"""),33)</f>
        <v>33</v>
      </c>
      <c r="C466" s="7">
        <f ca="1">IFERROR(__xludf.DUMMYFUNCTION("""COMPUTED_VALUE"""),18693)</f>
        <v>18693</v>
      </c>
      <c r="D466" s="7">
        <f ca="1">IFERROR(__xludf.DUMMYFUNCTION("""COMPUTED_VALUE"""),159)</f>
        <v>159</v>
      </c>
      <c r="E466" s="7">
        <f ca="1">IFERROR(__xludf.DUMMYFUNCTION("""COMPUTED_VALUE"""),72268)</f>
        <v>72268</v>
      </c>
    </row>
    <row r="467" spans="1:5" ht="13.2" x14ac:dyDescent="0.25">
      <c r="A467" s="93">
        <f ca="1">IFERROR(__xludf.DUMMYFUNCTION("""COMPUTED_VALUE"""),44356)</f>
        <v>44356</v>
      </c>
      <c r="B467" s="7">
        <f ca="1">IFERROR(__xludf.DUMMYFUNCTION("""COMPUTED_VALUE"""),38)</f>
        <v>38</v>
      </c>
      <c r="C467" s="7">
        <f ca="1">IFERROR(__xludf.DUMMYFUNCTION("""COMPUTED_VALUE"""),18731)</f>
        <v>18731</v>
      </c>
      <c r="D467" s="7">
        <f ca="1">IFERROR(__xludf.DUMMYFUNCTION("""COMPUTED_VALUE"""),158)</f>
        <v>158</v>
      </c>
      <c r="E467" s="7">
        <f ca="1">IFERROR(__xludf.DUMMYFUNCTION("""COMPUTED_VALUE"""),72426)</f>
        <v>72426</v>
      </c>
    </row>
    <row r="468" spans="1:5" ht="13.2" x14ac:dyDescent="0.25">
      <c r="A468" s="93">
        <f ca="1">IFERROR(__xludf.DUMMYFUNCTION("""COMPUTED_VALUE"""),44357)</f>
        <v>44357</v>
      </c>
      <c r="B468" s="7">
        <f ca="1">IFERROR(__xludf.DUMMYFUNCTION("""COMPUTED_VALUE"""),38)</f>
        <v>38</v>
      </c>
      <c r="C468" s="7">
        <f ca="1">IFERROR(__xludf.DUMMYFUNCTION("""COMPUTED_VALUE"""),18769)</f>
        <v>18769</v>
      </c>
      <c r="D468" s="7">
        <f ca="1">IFERROR(__xludf.DUMMYFUNCTION("""COMPUTED_VALUE"""),144)</f>
        <v>144</v>
      </c>
      <c r="E468" s="7">
        <f ca="1">IFERROR(__xludf.DUMMYFUNCTION("""COMPUTED_VALUE"""),72570)</f>
        <v>72570</v>
      </c>
    </row>
    <row r="469" spans="1:5" ht="13.2" x14ac:dyDescent="0.25">
      <c r="A469" s="93">
        <f ca="1">IFERROR(__xludf.DUMMYFUNCTION("""COMPUTED_VALUE"""),44358)</f>
        <v>44358</v>
      </c>
      <c r="B469" s="7">
        <f ca="1">IFERROR(__xludf.DUMMYFUNCTION("""COMPUTED_VALUE"""),47)</f>
        <v>47</v>
      </c>
      <c r="C469" s="7">
        <f ca="1">IFERROR(__xludf.DUMMYFUNCTION("""COMPUTED_VALUE"""),18816)</f>
        <v>18816</v>
      </c>
      <c r="D469" s="7">
        <f ca="1">IFERROR(__xludf.DUMMYFUNCTION("""COMPUTED_VALUE"""),166)</f>
        <v>166</v>
      </c>
      <c r="E469" s="7">
        <f ca="1">IFERROR(__xludf.DUMMYFUNCTION("""COMPUTED_VALUE"""),72736)</f>
        <v>72736</v>
      </c>
    </row>
    <row r="470" spans="1:5" ht="13.2" x14ac:dyDescent="0.25">
      <c r="A470" s="93">
        <f ca="1">IFERROR(__xludf.DUMMYFUNCTION("""COMPUTED_VALUE"""),44359)</f>
        <v>44359</v>
      </c>
      <c r="B470" s="7">
        <f ca="1">IFERROR(__xludf.DUMMYFUNCTION("""COMPUTED_VALUE"""),51)</f>
        <v>51</v>
      </c>
      <c r="C470" s="7">
        <f ca="1">IFERROR(__xludf.DUMMYFUNCTION("""COMPUTED_VALUE"""),18867)</f>
        <v>18867</v>
      </c>
      <c r="D470" s="7">
        <f ca="1">IFERROR(__xludf.DUMMYFUNCTION("""COMPUTED_VALUE"""),156)</f>
        <v>156</v>
      </c>
      <c r="E470" s="7">
        <f ca="1">IFERROR(__xludf.DUMMYFUNCTION("""COMPUTED_VALUE"""),72892)</f>
        <v>72892</v>
      </c>
    </row>
    <row r="471" spans="1:5" ht="13.2" x14ac:dyDescent="0.25">
      <c r="A471" s="93">
        <f ca="1">IFERROR(__xludf.DUMMYFUNCTION("""COMPUTED_VALUE"""),44360)</f>
        <v>44360</v>
      </c>
      <c r="B471" s="7">
        <f ca="1">IFERROR(__xludf.DUMMYFUNCTION("""COMPUTED_VALUE"""),64)</f>
        <v>64</v>
      </c>
      <c r="C471" s="7">
        <f ca="1">IFERROR(__xludf.DUMMYFUNCTION("""COMPUTED_VALUE"""),18931)</f>
        <v>18931</v>
      </c>
      <c r="D471" s="7">
        <f ca="1">IFERROR(__xludf.DUMMYFUNCTION("""COMPUTED_VALUE"""),149)</f>
        <v>149</v>
      </c>
      <c r="E471" s="7">
        <f ca="1">IFERROR(__xludf.DUMMYFUNCTION("""COMPUTED_VALUE"""),73041)</f>
        <v>73041</v>
      </c>
    </row>
    <row r="472" spans="1:5" ht="13.2" x14ac:dyDescent="0.25">
      <c r="A472" s="93">
        <f ca="1">IFERROR(__xludf.DUMMYFUNCTION("""COMPUTED_VALUE"""),44361)</f>
        <v>44361</v>
      </c>
      <c r="B472" s="7">
        <f ca="1">IFERROR(__xludf.DUMMYFUNCTION("""COMPUTED_VALUE"""),54)</f>
        <v>54</v>
      </c>
      <c r="C472" s="7">
        <f ca="1">IFERROR(__xludf.DUMMYFUNCTION("""COMPUTED_VALUE"""),18985)</f>
        <v>18985</v>
      </c>
      <c r="D472" s="7">
        <f ca="1">IFERROR(__xludf.DUMMYFUNCTION("""COMPUTED_VALUE"""),191)</f>
        <v>191</v>
      </c>
      <c r="E472" s="7">
        <f ca="1">IFERROR(__xludf.DUMMYFUNCTION("""COMPUTED_VALUE"""),73232)</f>
        <v>73232</v>
      </c>
    </row>
    <row r="473" spans="1:5" ht="13.2" x14ac:dyDescent="0.25">
      <c r="A473" s="93">
        <f ca="1">IFERROR(__xludf.DUMMYFUNCTION("""COMPUTED_VALUE"""),44362)</f>
        <v>44362</v>
      </c>
      <c r="B473" s="7">
        <f ca="1">IFERROR(__xludf.DUMMYFUNCTION("""COMPUTED_VALUE"""),88)</f>
        <v>88</v>
      </c>
      <c r="C473" s="7">
        <f ca="1">IFERROR(__xludf.DUMMYFUNCTION("""COMPUTED_VALUE"""),19073)</f>
        <v>19073</v>
      </c>
      <c r="D473" s="7">
        <f ca="1">IFERROR(__xludf.DUMMYFUNCTION("""COMPUTED_VALUE"""),207)</f>
        <v>207</v>
      </c>
      <c r="E473" s="7">
        <f ca="1">IFERROR(__xludf.DUMMYFUNCTION("""COMPUTED_VALUE"""),73439)</f>
        <v>73439</v>
      </c>
    </row>
    <row r="474" spans="1:5" ht="13.2" x14ac:dyDescent="0.25">
      <c r="A474" s="93">
        <f ca="1">IFERROR(__xludf.DUMMYFUNCTION("""COMPUTED_VALUE"""),44363)</f>
        <v>44363</v>
      </c>
      <c r="B474" s="7">
        <f ca="1">IFERROR(__xludf.DUMMYFUNCTION("""COMPUTED_VALUE"""),83)</f>
        <v>83</v>
      </c>
      <c r="C474" s="7">
        <f ca="1">IFERROR(__xludf.DUMMYFUNCTION("""COMPUTED_VALUE"""),19156)</f>
        <v>19156</v>
      </c>
      <c r="D474" s="7">
        <f ca="1">IFERROR(__xludf.DUMMYFUNCTION("""COMPUTED_VALUE"""),228)</f>
        <v>228</v>
      </c>
      <c r="E474" s="7">
        <f ca="1">IFERROR(__xludf.DUMMYFUNCTION("""COMPUTED_VALUE"""),73667)</f>
        <v>73667</v>
      </c>
    </row>
    <row r="475" spans="1:5" ht="13.2" x14ac:dyDescent="0.25">
      <c r="A475" s="93">
        <f ca="1">IFERROR(__xludf.DUMMYFUNCTION("""COMPUTED_VALUE"""),44364)</f>
        <v>44364</v>
      </c>
      <c r="B475" s="7">
        <f ca="1">IFERROR(__xludf.DUMMYFUNCTION("""COMPUTED_VALUE"""),119)</f>
        <v>119</v>
      </c>
      <c r="C475" s="7">
        <f ca="1">IFERROR(__xludf.DUMMYFUNCTION("""COMPUTED_VALUE"""),19275)</f>
        <v>19275</v>
      </c>
      <c r="D475" s="7">
        <f ca="1">IFERROR(__xludf.DUMMYFUNCTION("""COMPUTED_VALUE"""),221)</f>
        <v>221</v>
      </c>
      <c r="E475" s="7">
        <f ca="1">IFERROR(__xludf.DUMMYFUNCTION("""COMPUTED_VALUE"""),73888)</f>
        <v>73888</v>
      </c>
    </row>
    <row r="476" spans="1:5" ht="13.2" x14ac:dyDescent="0.25">
      <c r="A476" s="93">
        <f ca="1">IFERROR(__xludf.DUMMYFUNCTION("""COMPUTED_VALUE"""),44365)</f>
        <v>44365</v>
      </c>
      <c r="B476" s="7">
        <f ca="1">IFERROR(__xludf.DUMMYFUNCTION("""COMPUTED_VALUE"""),112)</f>
        <v>112</v>
      </c>
      <c r="C476" s="7">
        <f ca="1">IFERROR(__xludf.DUMMYFUNCTION("""COMPUTED_VALUE"""),19387)</f>
        <v>19387</v>
      </c>
      <c r="D476" s="7">
        <f ca="1">IFERROR(__xludf.DUMMYFUNCTION("""COMPUTED_VALUE"""),234)</f>
        <v>234</v>
      </c>
      <c r="E476" s="7">
        <f ca="1">IFERROR(__xludf.DUMMYFUNCTION("""COMPUTED_VALUE"""),74122)</f>
        <v>74122</v>
      </c>
    </row>
    <row r="477" spans="1:5" ht="13.2" x14ac:dyDescent="0.25">
      <c r="A477" s="93">
        <f ca="1">IFERROR(__xludf.DUMMYFUNCTION("""COMPUTED_VALUE"""),44366)</f>
        <v>44366</v>
      </c>
      <c r="B477" s="7">
        <f ca="1">IFERROR(__xludf.DUMMYFUNCTION("""COMPUTED_VALUE"""),127)</f>
        <v>127</v>
      </c>
      <c r="C477" s="7">
        <f ca="1">IFERROR(__xludf.DUMMYFUNCTION("""COMPUTED_VALUE"""),19514)</f>
        <v>19514</v>
      </c>
      <c r="D477" s="7">
        <f ca="1">IFERROR(__xludf.DUMMYFUNCTION("""COMPUTED_VALUE"""),220)</f>
        <v>220</v>
      </c>
      <c r="E477" s="7">
        <f ca="1">IFERROR(__xludf.DUMMYFUNCTION("""COMPUTED_VALUE"""),74342)</f>
        <v>74342</v>
      </c>
    </row>
    <row r="478" spans="1:5" ht="13.2" x14ac:dyDescent="0.25">
      <c r="A478" s="93">
        <f ca="1">IFERROR(__xludf.DUMMYFUNCTION("""COMPUTED_VALUE"""),44367)</f>
        <v>44367</v>
      </c>
      <c r="B478" s="7">
        <f ca="1">IFERROR(__xludf.DUMMYFUNCTION("""COMPUTED_VALUE"""),155)</f>
        <v>155</v>
      </c>
      <c r="C478" s="7">
        <f ca="1">IFERROR(__xludf.DUMMYFUNCTION("""COMPUTED_VALUE"""),19669)</f>
        <v>19669</v>
      </c>
      <c r="D478" s="7">
        <f ca="1">IFERROR(__xludf.DUMMYFUNCTION("""COMPUTED_VALUE"""),252)</f>
        <v>252</v>
      </c>
      <c r="E478" s="7">
        <f ca="1">IFERROR(__xludf.DUMMYFUNCTION("""COMPUTED_VALUE"""),74594)</f>
        <v>74594</v>
      </c>
    </row>
    <row r="479" spans="1:5" ht="13.2" x14ac:dyDescent="0.25">
      <c r="A479" s="93">
        <f ca="1">IFERROR(__xludf.DUMMYFUNCTION("""COMPUTED_VALUE"""),44368)</f>
        <v>44368</v>
      </c>
      <c r="B479" s="7">
        <f ca="1">IFERROR(__xludf.DUMMYFUNCTION("""COMPUTED_VALUE"""),102)</f>
        <v>102</v>
      </c>
      <c r="C479" s="7">
        <f ca="1">IFERROR(__xludf.DUMMYFUNCTION("""COMPUTED_VALUE"""),19771)</f>
        <v>19771</v>
      </c>
      <c r="D479" s="7">
        <f ca="1">IFERROR(__xludf.DUMMYFUNCTION("""COMPUTED_VALUE"""),244)</f>
        <v>244</v>
      </c>
      <c r="E479" s="7">
        <f ca="1">IFERROR(__xludf.DUMMYFUNCTION("""COMPUTED_VALUE"""),74838)</f>
        <v>74838</v>
      </c>
    </row>
    <row r="480" spans="1:5" ht="13.2" x14ac:dyDescent="0.25">
      <c r="A480" s="93">
        <f ca="1">IFERROR(__xludf.DUMMYFUNCTION("""COMPUTED_VALUE"""),44369)</f>
        <v>44369</v>
      </c>
      <c r="B480" s="7">
        <f ca="1">IFERROR(__xludf.DUMMYFUNCTION("""COMPUTED_VALUE"""),146)</f>
        <v>146</v>
      </c>
      <c r="C480" s="7">
        <f ca="1">IFERROR(__xludf.DUMMYFUNCTION("""COMPUTED_VALUE"""),19917)</f>
        <v>19917</v>
      </c>
      <c r="D480" s="7">
        <f ca="1">IFERROR(__xludf.DUMMYFUNCTION("""COMPUTED_VALUE"""),327)</f>
        <v>327</v>
      </c>
      <c r="E480" s="7">
        <f ca="1">IFERROR(__xludf.DUMMYFUNCTION("""COMPUTED_VALUE"""),75165)</f>
        <v>75165</v>
      </c>
    </row>
    <row r="481" spans="1:5" ht="13.2" x14ac:dyDescent="0.25">
      <c r="A481" s="93">
        <f ca="1">IFERROR(__xludf.DUMMYFUNCTION("""COMPUTED_VALUE"""),44370)</f>
        <v>44370</v>
      </c>
      <c r="B481" s="7">
        <f ca="1">IFERROR(__xludf.DUMMYFUNCTION("""COMPUTED_VALUE"""),178)</f>
        <v>178</v>
      </c>
      <c r="C481" s="7">
        <f ca="1">IFERROR(__xludf.DUMMYFUNCTION("""COMPUTED_VALUE"""),20095)</f>
        <v>20095</v>
      </c>
      <c r="D481" s="7">
        <f ca="1">IFERROR(__xludf.DUMMYFUNCTION("""COMPUTED_VALUE"""),306)</f>
        <v>306</v>
      </c>
      <c r="E481" s="7">
        <f ca="1">IFERROR(__xludf.DUMMYFUNCTION("""COMPUTED_VALUE"""),75471)</f>
        <v>75471</v>
      </c>
    </row>
    <row r="482" spans="1:5" ht="13.2" x14ac:dyDescent="0.25">
      <c r="A482" s="93">
        <f ca="1">IFERROR(__xludf.DUMMYFUNCTION("""COMPUTED_VALUE"""),44371)</f>
        <v>44371</v>
      </c>
      <c r="B482" s="7">
        <f ca="1">IFERROR(__xludf.DUMMYFUNCTION("""COMPUTED_VALUE"""),186)</f>
        <v>186</v>
      </c>
      <c r="C482" s="7">
        <f ca="1">IFERROR(__xludf.DUMMYFUNCTION("""COMPUTED_VALUE"""),20281)</f>
        <v>20281</v>
      </c>
      <c r="D482" s="7">
        <f ca="1">IFERROR(__xludf.DUMMYFUNCTION("""COMPUTED_VALUE"""),362)</f>
        <v>362</v>
      </c>
      <c r="E482" s="7">
        <f ca="1">IFERROR(__xludf.DUMMYFUNCTION("""COMPUTED_VALUE"""),75833)</f>
        <v>75833</v>
      </c>
    </row>
    <row r="483" spans="1:5" ht="13.2" x14ac:dyDescent="0.25">
      <c r="A483" s="93">
        <f ca="1">IFERROR(__xludf.DUMMYFUNCTION("""COMPUTED_VALUE"""),44372)</f>
        <v>44372</v>
      </c>
      <c r="B483" s="7">
        <f ca="1">IFERROR(__xludf.DUMMYFUNCTION("""COMPUTED_VALUE"""),188)</f>
        <v>188</v>
      </c>
      <c r="C483" s="7">
        <f ca="1">IFERROR(__xludf.DUMMYFUNCTION("""COMPUTED_VALUE"""),20469)</f>
        <v>20469</v>
      </c>
      <c r="D483" s="7">
        <f ca="1">IFERROR(__xludf.DUMMYFUNCTION("""COMPUTED_VALUE"""),414)</f>
        <v>414</v>
      </c>
      <c r="E483" s="7">
        <f ca="1">IFERROR(__xludf.DUMMYFUNCTION("""COMPUTED_VALUE"""),76247)</f>
        <v>76247</v>
      </c>
    </row>
    <row r="484" spans="1:5" ht="13.2" x14ac:dyDescent="0.25">
      <c r="A484" s="93">
        <f ca="1">IFERROR(__xludf.DUMMYFUNCTION("""COMPUTED_VALUE"""),44373)</f>
        <v>44373</v>
      </c>
      <c r="B484" s="7">
        <f ca="1">IFERROR(__xludf.DUMMYFUNCTION("""COMPUTED_VALUE"""),227)</f>
        <v>227</v>
      </c>
      <c r="C484" s="7">
        <f ca="1">IFERROR(__xludf.DUMMYFUNCTION("""COMPUTED_VALUE"""),20696)</f>
        <v>20696</v>
      </c>
      <c r="D484" s="7">
        <f ca="1">IFERROR(__xludf.DUMMYFUNCTION("""COMPUTED_VALUE"""),394)</f>
        <v>394</v>
      </c>
      <c r="E484" s="7">
        <f ca="1">IFERROR(__xludf.DUMMYFUNCTION("""COMPUTED_VALUE"""),76641)</f>
        <v>76641</v>
      </c>
    </row>
    <row r="485" spans="1:5" ht="13.2" x14ac:dyDescent="0.25">
      <c r="A485" s="93">
        <f ca="1">IFERROR(__xludf.DUMMYFUNCTION("""COMPUTED_VALUE"""),44374)</f>
        <v>44374</v>
      </c>
      <c r="B485" s="7">
        <f ca="1">IFERROR(__xludf.DUMMYFUNCTION("""COMPUTED_VALUE"""),212)</f>
        <v>212</v>
      </c>
      <c r="C485" s="7">
        <f ca="1">IFERROR(__xludf.DUMMYFUNCTION("""COMPUTED_VALUE"""),20908)</f>
        <v>20908</v>
      </c>
      <c r="D485" s="7">
        <f ca="1">IFERROR(__xludf.DUMMYFUNCTION("""COMPUTED_VALUE"""),499)</f>
        <v>499</v>
      </c>
      <c r="E485" s="7">
        <f ca="1">IFERROR(__xludf.DUMMYFUNCTION("""COMPUTED_VALUE"""),77140)</f>
        <v>77140</v>
      </c>
    </row>
    <row r="486" spans="1:5" ht="13.2" x14ac:dyDescent="0.25">
      <c r="A486" s="93">
        <f ca="1">IFERROR(__xludf.DUMMYFUNCTION("""COMPUTED_VALUE"""),44375)</f>
        <v>44375</v>
      </c>
      <c r="B486" s="7">
        <f ca="1">IFERROR(__xludf.DUMMYFUNCTION("""COMPUTED_VALUE"""),228)</f>
        <v>228</v>
      </c>
      <c r="C486" s="7">
        <f ca="1">IFERROR(__xludf.DUMMYFUNCTION("""COMPUTED_VALUE"""),21136)</f>
        <v>21136</v>
      </c>
      <c r="D486" s="7">
        <f ca="1">IFERROR(__xludf.DUMMYFUNCTION("""COMPUTED_VALUE"""),605)</f>
        <v>605</v>
      </c>
      <c r="E486" s="7">
        <f ca="1">IFERROR(__xludf.DUMMYFUNCTION("""COMPUTED_VALUE"""),77745)</f>
        <v>77745</v>
      </c>
    </row>
    <row r="487" spans="1:5" ht="13.2" x14ac:dyDescent="0.25">
      <c r="A487" s="93">
        <f ca="1">IFERROR(__xludf.DUMMYFUNCTION("""COMPUTED_VALUE"""),44376)</f>
        <v>44376</v>
      </c>
      <c r="B487" s="7">
        <f ca="1">IFERROR(__xludf.DUMMYFUNCTION("""COMPUTED_VALUE"""),304)</f>
        <v>304</v>
      </c>
      <c r="C487" s="7">
        <f ca="1">IFERROR(__xludf.DUMMYFUNCTION("""COMPUTED_VALUE"""),21440)</f>
        <v>21440</v>
      </c>
      <c r="D487" s="7">
        <f ca="1">IFERROR(__xludf.DUMMYFUNCTION("""COMPUTED_VALUE"""),503)</f>
        <v>503</v>
      </c>
      <c r="E487" s="7">
        <f ca="1">IFERROR(__xludf.DUMMYFUNCTION("""COMPUTED_VALUE"""),78248)</f>
        <v>78248</v>
      </c>
    </row>
    <row r="488" spans="1:5" ht="13.2" x14ac:dyDescent="0.25">
      <c r="A488" s="93">
        <f ca="1">IFERROR(__xludf.DUMMYFUNCTION("""COMPUTED_VALUE"""),44377)</f>
        <v>44377</v>
      </c>
      <c r="B488" s="7">
        <f ca="1">IFERROR(__xludf.DUMMYFUNCTION("""COMPUTED_VALUE"""),210)</f>
        <v>210</v>
      </c>
      <c r="C488" s="7">
        <f ca="1">IFERROR(__xludf.DUMMYFUNCTION("""COMPUTED_VALUE"""),21650)</f>
        <v>21650</v>
      </c>
      <c r="D488" s="7">
        <f ca="1">IFERROR(__xludf.DUMMYFUNCTION("""COMPUTED_VALUE"""),626)</f>
        <v>626</v>
      </c>
      <c r="E488" s="7">
        <f ca="1">IFERROR(__xludf.DUMMYFUNCTION("""COMPUTED_VALUE"""),78874)</f>
        <v>78874</v>
      </c>
    </row>
    <row r="489" spans="1:5" ht="13.2" x14ac:dyDescent="0.25">
      <c r="A489" s="93">
        <f ca="1">IFERROR(__xludf.DUMMYFUNCTION("""COMPUTED_VALUE"""),44378)</f>
        <v>44378</v>
      </c>
      <c r="B489" s="7">
        <f ca="1">IFERROR(__xludf.DUMMYFUNCTION("""COMPUTED_VALUE"""),294)</f>
        <v>294</v>
      </c>
      <c r="C489" s="7">
        <f ca="1">IFERROR(__xludf.DUMMYFUNCTION("""COMPUTED_VALUE"""),21944)</f>
        <v>21944</v>
      </c>
      <c r="D489" s="7">
        <f ca="1">IFERROR(__xludf.DUMMYFUNCTION("""COMPUTED_VALUE"""),624)</f>
        <v>624</v>
      </c>
      <c r="E489" s="7">
        <f ca="1">IFERROR(__xludf.DUMMYFUNCTION("""COMPUTED_VALUE"""),79498)</f>
        <v>79498</v>
      </c>
    </row>
    <row r="490" spans="1:5" ht="13.2" x14ac:dyDescent="0.25">
      <c r="A490" s="93">
        <f ca="1">IFERROR(__xludf.DUMMYFUNCTION("""COMPUTED_VALUE"""),44379)</f>
        <v>44379</v>
      </c>
      <c r="B490" s="7">
        <f ca="1">IFERROR(__xludf.DUMMYFUNCTION("""COMPUTED_VALUE"""),362)</f>
        <v>362</v>
      </c>
      <c r="C490" s="7">
        <f ca="1">IFERROR(__xludf.DUMMYFUNCTION("""COMPUTED_VALUE"""),22306)</f>
        <v>22306</v>
      </c>
      <c r="D490" s="7">
        <f ca="1">IFERROR(__xludf.DUMMYFUNCTION("""COMPUTED_VALUE"""),754)</f>
        <v>754</v>
      </c>
      <c r="E490" s="7">
        <f ca="1">IFERROR(__xludf.DUMMYFUNCTION("""COMPUTED_VALUE"""),80252)</f>
        <v>80252</v>
      </c>
    </row>
    <row r="491" spans="1:5" ht="13.2" x14ac:dyDescent="0.25">
      <c r="A491" s="93">
        <f ca="1">IFERROR(__xludf.DUMMYFUNCTION("""COMPUTED_VALUE"""),44380)</f>
        <v>44380</v>
      </c>
      <c r="B491" s="7">
        <f ca="1">IFERROR(__xludf.DUMMYFUNCTION("""COMPUTED_VALUE"""),392)</f>
        <v>392</v>
      </c>
      <c r="C491" s="7">
        <f ca="1">IFERROR(__xludf.DUMMYFUNCTION("""COMPUTED_VALUE"""),22698)</f>
        <v>22698</v>
      </c>
      <c r="D491" s="7">
        <f ca="1">IFERROR(__xludf.DUMMYFUNCTION("""COMPUTED_VALUE"""),578)</f>
        <v>578</v>
      </c>
      <c r="E491" s="7">
        <f ca="1">IFERROR(__xludf.DUMMYFUNCTION("""COMPUTED_VALUE"""),80830)</f>
        <v>80830</v>
      </c>
    </row>
    <row r="492" spans="1:5" ht="13.2" x14ac:dyDescent="0.25">
      <c r="A492" s="93">
        <f ca="1">IFERROR(__xludf.DUMMYFUNCTION("""COMPUTED_VALUE"""),44381)</f>
        <v>44381</v>
      </c>
      <c r="B492" s="7">
        <f ca="1">IFERROR(__xludf.DUMMYFUNCTION("""COMPUTED_VALUE"""),394)</f>
        <v>394</v>
      </c>
      <c r="C492" s="7">
        <f ca="1">IFERROR(__xludf.DUMMYFUNCTION("""COMPUTED_VALUE"""),23092)</f>
        <v>23092</v>
      </c>
      <c r="D492" s="7">
        <f ca="1">IFERROR(__xludf.DUMMYFUNCTION("""COMPUTED_VALUE"""),663)</f>
        <v>663</v>
      </c>
      <c r="E492" s="7">
        <f ca="1">IFERROR(__xludf.DUMMYFUNCTION("""COMPUTED_VALUE"""),81493)</f>
        <v>81493</v>
      </c>
    </row>
    <row r="493" spans="1:5" ht="13.2" x14ac:dyDescent="0.25">
      <c r="A493" s="93">
        <f ca="1">IFERROR(__xludf.DUMMYFUNCTION("""COMPUTED_VALUE"""),44382)</f>
        <v>44382</v>
      </c>
      <c r="B493" s="7">
        <f ca="1">IFERROR(__xludf.DUMMYFUNCTION("""COMPUTED_VALUE"""),386)</f>
        <v>386</v>
      </c>
      <c r="C493" s="7">
        <f ca="1">IFERROR(__xludf.DUMMYFUNCTION("""COMPUTED_VALUE"""),23478)</f>
        <v>23478</v>
      </c>
      <c r="D493" s="7">
        <f ca="1">IFERROR(__xludf.DUMMYFUNCTION("""COMPUTED_VALUE"""),815)</f>
        <v>815</v>
      </c>
      <c r="E493" s="7">
        <f ca="1">IFERROR(__xludf.DUMMYFUNCTION("""COMPUTED_VALUE"""),82308)</f>
        <v>82308</v>
      </c>
    </row>
    <row r="494" spans="1:5" ht="13.2" x14ac:dyDescent="0.25">
      <c r="A494" s="93">
        <f ca="1">IFERROR(__xludf.DUMMYFUNCTION("""COMPUTED_VALUE"""),44383)</f>
        <v>44383</v>
      </c>
      <c r="B494" s="7">
        <f ca="1">IFERROR(__xludf.DUMMYFUNCTION("""COMPUTED_VALUE"""),363)</f>
        <v>363</v>
      </c>
      <c r="C494" s="7">
        <f ca="1">IFERROR(__xludf.DUMMYFUNCTION("""COMPUTED_VALUE"""),23841)</f>
        <v>23841</v>
      </c>
      <c r="D494" s="7">
        <f ca="1">IFERROR(__xludf.DUMMYFUNCTION("""COMPUTED_VALUE"""),657)</f>
        <v>657</v>
      </c>
      <c r="E494" s="7">
        <f ca="1">IFERROR(__xludf.DUMMYFUNCTION("""COMPUTED_VALUE"""),82965)</f>
        <v>82965</v>
      </c>
    </row>
    <row r="495" spans="1:5" ht="13.2" x14ac:dyDescent="0.25">
      <c r="A495" s="93">
        <f ca="1">IFERROR(__xludf.DUMMYFUNCTION("""COMPUTED_VALUE"""),44384)</f>
        <v>44384</v>
      </c>
      <c r="B495" s="7">
        <f ca="1">IFERROR(__xludf.DUMMYFUNCTION("""COMPUTED_VALUE"""),342)</f>
        <v>342</v>
      </c>
      <c r="C495" s="7">
        <f ca="1">IFERROR(__xludf.DUMMYFUNCTION("""COMPUTED_VALUE"""),24183)</f>
        <v>24183</v>
      </c>
      <c r="D495" s="7">
        <f ca="1">IFERROR(__xludf.DUMMYFUNCTION("""COMPUTED_VALUE"""),675)</f>
        <v>675</v>
      </c>
      <c r="E495" s="7">
        <f ca="1">IFERROR(__xludf.DUMMYFUNCTION("""COMPUTED_VALUE"""),83640)</f>
        <v>83640</v>
      </c>
    </row>
    <row r="496" spans="1:5" ht="13.2" x14ac:dyDescent="0.25">
      <c r="A496" s="93">
        <f ca="1">IFERROR(__xludf.DUMMYFUNCTION("""COMPUTED_VALUE"""),44385)</f>
        <v>44385</v>
      </c>
      <c r="B496" s="7">
        <f ca="1">IFERROR(__xludf.DUMMYFUNCTION("""COMPUTED_VALUE"""),401)</f>
        <v>401</v>
      </c>
      <c r="C496" s="7">
        <f ca="1">IFERROR(__xludf.DUMMYFUNCTION("""COMPUTED_VALUE"""),24584)</f>
        <v>24584</v>
      </c>
      <c r="D496" s="7">
        <f ca="1">IFERROR(__xludf.DUMMYFUNCTION("""COMPUTED_VALUE"""),643)</f>
        <v>643</v>
      </c>
      <c r="E496" s="7">
        <f ca="1">IFERROR(__xludf.DUMMYFUNCTION("""COMPUTED_VALUE"""),84283)</f>
        <v>84283</v>
      </c>
    </row>
    <row r="497" spans="1:5" ht="13.2" x14ac:dyDescent="0.25">
      <c r="A497" s="93">
        <f ca="1">IFERROR(__xludf.DUMMYFUNCTION("""COMPUTED_VALUE"""),44386)</f>
        <v>44386</v>
      </c>
      <c r="B497" s="7">
        <f ca="1">IFERROR(__xludf.DUMMYFUNCTION("""COMPUTED_VALUE"""),369)</f>
        <v>369</v>
      </c>
      <c r="C497" s="7">
        <f ca="1">IFERROR(__xludf.DUMMYFUNCTION("""COMPUTED_VALUE"""),24953)</f>
        <v>24953</v>
      </c>
      <c r="D497" s="7">
        <f ca="1">IFERROR(__xludf.DUMMYFUNCTION("""COMPUTED_VALUE"""),726)</f>
        <v>726</v>
      </c>
      <c r="E497" s="7">
        <f ca="1">IFERROR(__xludf.DUMMYFUNCTION("""COMPUTED_VALUE"""),85009)</f>
        <v>85009</v>
      </c>
    </row>
    <row r="498" spans="1:5" ht="13.2" x14ac:dyDescent="0.25">
      <c r="A498" s="93">
        <f ca="1">IFERROR(__xludf.DUMMYFUNCTION("""COMPUTED_VALUE"""),44387)</f>
        <v>44387</v>
      </c>
      <c r="B498" s="7">
        <f ca="1">IFERROR(__xludf.DUMMYFUNCTION("""COMPUTED_VALUE"""),407)</f>
        <v>407</v>
      </c>
      <c r="C498" s="7">
        <f ca="1">IFERROR(__xludf.DUMMYFUNCTION("""COMPUTED_VALUE"""),25360)</f>
        <v>25360</v>
      </c>
      <c r="D498" s="7">
        <f ca="1">IFERROR(__xludf.DUMMYFUNCTION("""COMPUTED_VALUE"""),812)</f>
        <v>812</v>
      </c>
      <c r="E498" s="7">
        <f ca="1">IFERROR(__xludf.DUMMYFUNCTION("""COMPUTED_VALUE"""),85821)</f>
        <v>85821</v>
      </c>
    </row>
    <row r="499" spans="1:5" ht="13.2" x14ac:dyDescent="0.25">
      <c r="A499" s="93">
        <f ca="1">IFERROR(__xludf.DUMMYFUNCTION("""COMPUTED_VALUE"""),44388)</f>
        <v>44388</v>
      </c>
      <c r="B499" s="7">
        <f ca="1">IFERROR(__xludf.DUMMYFUNCTION("""COMPUTED_VALUE"""),305)</f>
        <v>305</v>
      </c>
      <c r="C499" s="7">
        <f ca="1">IFERROR(__xludf.DUMMYFUNCTION("""COMPUTED_VALUE"""),25665)</f>
        <v>25665</v>
      </c>
      <c r="D499" s="7">
        <f ca="1">IFERROR(__xludf.DUMMYFUNCTION("""COMPUTED_VALUE"""),683)</f>
        <v>683</v>
      </c>
      <c r="E499" s="7">
        <f ca="1">IFERROR(__xludf.DUMMYFUNCTION("""COMPUTED_VALUE"""),86504)</f>
        <v>86504</v>
      </c>
    </row>
    <row r="500" spans="1:5" ht="13.2" x14ac:dyDescent="0.25">
      <c r="A500" s="93">
        <f ca="1">IFERROR(__xludf.DUMMYFUNCTION("""COMPUTED_VALUE"""),44389)</f>
        <v>44389</v>
      </c>
      <c r="B500" s="7">
        <f ca="1">IFERROR(__xludf.DUMMYFUNCTION("""COMPUTED_VALUE"""),364)</f>
        <v>364</v>
      </c>
      <c r="C500" s="7">
        <f ca="1">IFERROR(__xludf.DUMMYFUNCTION("""COMPUTED_VALUE"""),26029)</f>
        <v>26029</v>
      </c>
      <c r="D500" s="7">
        <f ca="1">IFERROR(__xludf.DUMMYFUNCTION("""COMPUTED_VALUE"""),596)</f>
        <v>596</v>
      </c>
      <c r="E500" s="7">
        <f ca="1">IFERROR(__xludf.DUMMYFUNCTION("""COMPUTED_VALUE"""),87100)</f>
        <v>87100</v>
      </c>
    </row>
    <row r="501" spans="1:5" ht="13.2" x14ac:dyDescent="0.25">
      <c r="A501" s="93">
        <f ca="1">IFERROR(__xludf.DUMMYFUNCTION("""COMPUTED_VALUE"""),44390)</f>
        <v>44390</v>
      </c>
      <c r="B501" s="7">
        <f ca="1">IFERROR(__xludf.DUMMYFUNCTION("""COMPUTED_VALUE"""),301)</f>
        <v>301</v>
      </c>
      <c r="C501" s="7">
        <f ca="1">IFERROR(__xludf.DUMMYFUNCTION("""COMPUTED_VALUE"""),26330)</f>
        <v>26330</v>
      </c>
      <c r="D501" s="7">
        <f ca="1">IFERROR(__xludf.DUMMYFUNCTION("""COMPUTED_VALUE"""),528)</f>
        <v>528</v>
      </c>
      <c r="E501" s="7">
        <f ca="1">IFERROR(__xludf.DUMMYFUNCTION("""COMPUTED_VALUE"""),87628)</f>
        <v>87628</v>
      </c>
    </row>
    <row r="502" spans="1:5" ht="13.2" x14ac:dyDescent="0.25">
      <c r="A502" s="93">
        <f ca="1">IFERROR(__xludf.DUMMYFUNCTION("""COMPUTED_VALUE"""),44391)</f>
        <v>44391</v>
      </c>
      <c r="B502" s="7">
        <f ca="1">IFERROR(__xludf.DUMMYFUNCTION("""COMPUTED_VALUE"""),315)</f>
        <v>315</v>
      </c>
      <c r="C502" s="7">
        <f ca="1">IFERROR(__xludf.DUMMYFUNCTION("""COMPUTED_VALUE"""),26645)</f>
        <v>26645</v>
      </c>
      <c r="D502" s="7">
        <f ca="1">IFERROR(__xludf.DUMMYFUNCTION("""COMPUTED_VALUE"""),518)</f>
        <v>518</v>
      </c>
      <c r="E502" s="7">
        <f ca="1">IFERROR(__xludf.DUMMYFUNCTION("""COMPUTED_VALUE"""),88146)</f>
        <v>88146</v>
      </c>
    </row>
    <row r="503" spans="1:5" ht="13.2" x14ac:dyDescent="0.25">
      <c r="A503" s="93">
        <f ca="1">IFERROR(__xludf.DUMMYFUNCTION("""COMPUTED_VALUE"""),44392)</f>
        <v>44392</v>
      </c>
      <c r="B503" s="7">
        <f ca="1">IFERROR(__xludf.DUMMYFUNCTION("""COMPUTED_VALUE"""),313)</f>
        <v>313</v>
      </c>
      <c r="C503" s="7">
        <f ca="1">IFERROR(__xludf.DUMMYFUNCTION("""COMPUTED_VALUE"""),26958)</f>
        <v>26958</v>
      </c>
      <c r="D503" s="7">
        <f ca="1">IFERROR(__xludf.DUMMYFUNCTION("""COMPUTED_VALUE"""),544)</f>
        <v>544</v>
      </c>
      <c r="E503" s="7">
        <f ca="1">IFERROR(__xludf.DUMMYFUNCTION("""COMPUTED_VALUE"""),88690)</f>
        <v>88690</v>
      </c>
    </row>
    <row r="504" spans="1:5" ht="13.2" x14ac:dyDescent="0.25">
      <c r="A504" s="93">
        <f ca="1">IFERROR(__xludf.DUMMYFUNCTION("""COMPUTED_VALUE"""),44393)</f>
        <v>44393</v>
      </c>
      <c r="B504" s="7">
        <f ca="1">IFERROR(__xludf.DUMMYFUNCTION("""COMPUTED_VALUE"""),352)</f>
        <v>352</v>
      </c>
      <c r="C504" s="7">
        <f ca="1">IFERROR(__xludf.DUMMYFUNCTION("""COMPUTED_VALUE"""),27310)</f>
        <v>27310</v>
      </c>
      <c r="D504" s="7">
        <f ca="1">IFERROR(__xludf.DUMMYFUNCTION("""COMPUTED_VALUE"""),557)</f>
        <v>557</v>
      </c>
      <c r="E504" s="7">
        <f ca="1">IFERROR(__xludf.DUMMYFUNCTION("""COMPUTED_VALUE"""),89247)</f>
        <v>89247</v>
      </c>
    </row>
    <row r="505" spans="1:5" ht="13.2" x14ac:dyDescent="0.25">
      <c r="A505" s="93">
        <f ca="1">IFERROR(__xludf.DUMMYFUNCTION("""COMPUTED_VALUE"""),44394)</f>
        <v>44394</v>
      </c>
      <c r="B505" s="7">
        <f ca="1">IFERROR(__xludf.DUMMYFUNCTION("""COMPUTED_VALUE"""),266)</f>
        <v>266</v>
      </c>
      <c r="C505" s="7">
        <f ca="1">IFERROR(__xludf.DUMMYFUNCTION("""COMPUTED_VALUE"""),27576)</f>
        <v>27576</v>
      </c>
      <c r="D505" s="7">
        <f ca="1">IFERROR(__xludf.DUMMYFUNCTION("""COMPUTED_VALUE"""),490)</f>
        <v>490</v>
      </c>
      <c r="E505" s="7">
        <f ca="1">IFERROR(__xludf.DUMMYFUNCTION("""COMPUTED_VALUE"""),89737)</f>
        <v>89737</v>
      </c>
    </row>
    <row r="506" spans="1:5" ht="13.2" x14ac:dyDescent="0.25">
      <c r="A506" s="93">
        <f ca="1">IFERROR(__xludf.DUMMYFUNCTION("""COMPUTED_VALUE"""),44395)</f>
        <v>44395</v>
      </c>
      <c r="B506" s="7">
        <f ca="1">IFERROR(__xludf.DUMMYFUNCTION("""COMPUTED_VALUE"""),253)</f>
        <v>253</v>
      </c>
      <c r="C506" s="7">
        <f ca="1">IFERROR(__xludf.DUMMYFUNCTION("""COMPUTED_VALUE"""),27829)</f>
        <v>27829</v>
      </c>
      <c r="D506" s="7">
        <f ca="1">IFERROR(__xludf.DUMMYFUNCTION("""COMPUTED_VALUE"""),492)</f>
        <v>492</v>
      </c>
      <c r="E506" s="7">
        <f ca="1">IFERROR(__xludf.DUMMYFUNCTION("""COMPUTED_VALUE"""),90229)</f>
        <v>90229</v>
      </c>
    </row>
    <row r="507" spans="1:5" ht="13.2" x14ac:dyDescent="0.25">
      <c r="A507" s="93">
        <f ca="1">IFERROR(__xludf.DUMMYFUNCTION("""COMPUTED_VALUE"""),44396)</f>
        <v>44396</v>
      </c>
      <c r="B507" s="7">
        <f ca="1">IFERROR(__xludf.DUMMYFUNCTION("""COMPUTED_VALUE"""),285)</f>
        <v>285</v>
      </c>
      <c r="C507" s="7">
        <f ca="1">IFERROR(__xludf.DUMMYFUNCTION("""COMPUTED_VALUE"""),28114)</f>
        <v>28114</v>
      </c>
      <c r="D507" s="7">
        <f ca="1">IFERROR(__xludf.DUMMYFUNCTION("""COMPUTED_VALUE"""),465)</f>
        <v>465</v>
      </c>
      <c r="E507" s="7">
        <f ca="1">IFERROR(__xludf.DUMMYFUNCTION("""COMPUTED_VALUE"""),90694)</f>
        <v>90694</v>
      </c>
    </row>
    <row r="508" spans="1:5" ht="13.2" x14ac:dyDescent="0.25">
      <c r="A508" s="93">
        <f ca="1">IFERROR(__xludf.DUMMYFUNCTION("""COMPUTED_VALUE"""),44397)</f>
        <v>44397</v>
      </c>
      <c r="B508" s="7">
        <f ca="1">IFERROR(__xludf.DUMMYFUNCTION("""COMPUTED_VALUE"""),239)</f>
        <v>239</v>
      </c>
      <c r="C508" s="7">
        <f ca="1">IFERROR(__xludf.DUMMYFUNCTION("""COMPUTED_VALUE"""),28353)</f>
        <v>28353</v>
      </c>
      <c r="D508" s="7">
        <f ca="1">IFERROR(__xludf.DUMMYFUNCTION("""COMPUTED_VALUE"""),445)</f>
        <v>445</v>
      </c>
      <c r="E508" s="7">
        <f ca="1">IFERROR(__xludf.DUMMYFUNCTION("""COMPUTED_VALUE"""),91139)</f>
        <v>91139</v>
      </c>
    </row>
    <row r="509" spans="1:5" ht="13.2" x14ac:dyDescent="0.25">
      <c r="A509" s="93">
        <f ca="1">IFERROR(__xludf.DUMMYFUNCTION("""COMPUTED_VALUE"""),44398)</f>
        <v>44398</v>
      </c>
      <c r="B509" s="7">
        <f ca="1">IFERROR(__xludf.DUMMYFUNCTION("""COMPUTED_VALUE"""),229)</f>
        <v>229</v>
      </c>
      <c r="C509" s="7">
        <f ca="1">IFERROR(__xludf.DUMMYFUNCTION("""COMPUTED_VALUE"""),28582)</f>
        <v>28582</v>
      </c>
      <c r="D509" s="7">
        <f ca="1">IFERROR(__xludf.DUMMYFUNCTION("""COMPUTED_VALUE"""),411)</f>
        <v>411</v>
      </c>
      <c r="E509" s="7">
        <f ca="1">IFERROR(__xludf.DUMMYFUNCTION("""COMPUTED_VALUE"""),91550)</f>
        <v>91550</v>
      </c>
    </row>
    <row r="510" spans="1:5" ht="13.2" x14ac:dyDescent="0.25">
      <c r="A510" s="93">
        <f ca="1">IFERROR(__xludf.DUMMYFUNCTION("""COMPUTED_VALUE"""),44399)</f>
        <v>44399</v>
      </c>
      <c r="B510" s="7">
        <f ca="1">IFERROR(__xludf.DUMMYFUNCTION("""COMPUTED_VALUE"""),189)</f>
        <v>189</v>
      </c>
      <c r="C510" s="7">
        <f ca="1">IFERROR(__xludf.DUMMYFUNCTION("""COMPUTED_VALUE"""),28771)</f>
        <v>28771</v>
      </c>
      <c r="D510" s="7">
        <f ca="1">IFERROR(__xludf.DUMMYFUNCTION("""COMPUTED_VALUE"""),337)</f>
        <v>337</v>
      </c>
      <c r="E510" s="7">
        <f ca="1">IFERROR(__xludf.DUMMYFUNCTION("""COMPUTED_VALUE"""),91887)</f>
        <v>91887</v>
      </c>
    </row>
    <row r="511" spans="1:5" ht="13.2" x14ac:dyDescent="0.25">
      <c r="A511" s="93">
        <f ca="1">IFERROR(__xludf.DUMMYFUNCTION("""COMPUTED_VALUE"""),44400)</f>
        <v>44400</v>
      </c>
      <c r="B511" s="7">
        <f ca="1">IFERROR(__xludf.DUMMYFUNCTION("""COMPUTED_VALUE"""),183)</f>
        <v>183</v>
      </c>
      <c r="C511" s="7">
        <f ca="1">IFERROR(__xludf.DUMMYFUNCTION("""COMPUTED_VALUE"""),28954)</f>
        <v>28954</v>
      </c>
      <c r="D511" s="7">
        <f ca="1">IFERROR(__xludf.DUMMYFUNCTION("""COMPUTED_VALUE"""),319)</f>
        <v>319</v>
      </c>
      <c r="E511" s="7">
        <f ca="1">IFERROR(__xludf.DUMMYFUNCTION("""COMPUTED_VALUE"""),92206)</f>
        <v>92206</v>
      </c>
    </row>
    <row r="512" spans="1:5" ht="13.2" x14ac:dyDescent="0.25">
      <c r="A512" s="93">
        <f ca="1">IFERROR(__xludf.DUMMYFUNCTION("""COMPUTED_VALUE"""),44401)</f>
        <v>44401</v>
      </c>
      <c r="B512" s="7">
        <f ca="1">IFERROR(__xludf.DUMMYFUNCTION("""COMPUTED_VALUE"""),198)</f>
        <v>198</v>
      </c>
      <c r="C512" s="7">
        <f ca="1">IFERROR(__xludf.DUMMYFUNCTION("""COMPUTED_VALUE"""),29152)</f>
        <v>29152</v>
      </c>
      <c r="D512" s="7">
        <f ca="1">IFERROR(__xludf.DUMMYFUNCTION("""COMPUTED_VALUE"""),299)</f>
        <v>299</v>
      </c>
      <c r="E512" s="7">
        <f ca="1">IFERROR(__xludf.DUMMYFUNCTION("""COMPUTED_VALUE"""),92505)</f>
        <v>92505</v>
      </c>
    </row>
    <row r="513" spans="1:5" ht="13.2" x14ac:dyDescent="0.25">
      <c r="A513" s="93">
        <f ca="1">IFERROR(__xludf.DUMMYFUNCTION("""COMPUTED_VALUE"""),44402)</f>
        <v>44402</v>
      </c>
      <c r="B513" s="7">
        <f ca="1">IFERROR(__xludf.DUMMYFUNCTION("""COMPUTED_VALUE"""),150)</f>
        <v>150</v>
      </c>
      <c r="C513" s="7">
        <f ca="1">IFERROR(__xludf.DUMMYFUNCTION("""COMPUTED_VALUE"""),29302)</f>
        <v>29302</v>
      </c>
      <c r="D513" s="7">
        <f ca="1">IFERROR(__xludf.DUMMYFUNCTION("""COMPUTED_VALUE"""),275)</f>
        <v>275</v>
      </c>
      <c r="E513" s="7">
        <f ca="1">IFERROR(__xludf.DUMMYFUNCTION("""COMPUTED_VALUE"""),92780)</f>
        <v>92780</v>
      </c>
    </row>
    <row r="514" spans="1:5" ht="13.2" x14ac:dyDescent="0.25">
      <c r="A514" s="93">
        <f ca="1">IFERROR(__xludf.DUMMYFUNCTION("""COMPUTED_VALUE"""),44403)</f>
        <v>44403</v>
      </c>
      <c r="B514" s="7">
        <f ca="1">IFERROR(__xludf.DUMMYFUNCTION("""COMPUTED_VALUE"""),180)</f>
        <v>180</v>
      </c>
      <c r="C514" s="7">
        <f ca="1">IFERROR(__xludf.DUMMYFUNCTION("""COMPUTED_VALUE"""),29482)</f>
        <v>29482</v>
      </c>
      <c r="D514" s="7">
        <f ca="1">IFERROR(__xludf.DUMMYFUNCTION("""COMPUTED_VALUE"""),290)</f>
        <v>290</v>
      </c>
      <c r="E514" s="7">
        <f ca="1">IFERROR(__xludf.DUMMYFUNCTION("""COMPUTED_VALUE"""),93070)</f>
        <v>93070</v>
      </c>
    </row>
    <row r="515" spans="1:5" ht="13.2" x14ac:dyDescent="0.25">
      <c r="A515" s="93">
        <f ca="1">IFERROR(__xludf.DUMMYFUNCTION("""COMPUTED_VALUE"""),44404)</f>
        <v>44404</v>
      </c>
      <c r="B515" s="7">
        <f ca="1">IFERROR(__xludf.DUMMYFUNCTION("""COMPUTED_VALUE"""),147)</f>
        <v>147</v>
      </c>
      <c r="C515" s="7">
        <f ca="1">IFERROR(__xludf.DUMMYFUNCTION("""COMPUTED_VALUE"""),29629)</f>
        <v>29629</v>
      </c>
      <c r="D515" s="7">
        <f ca="1">IFERROR(__xludf.DUMMYFUNCTION("""COMPUTED_VALUE"""),298)</f>
        <v>298</v>
      </c>
      <c r="E515" s="7">
        <f ca="1">IFERROR(__xludf.DUMMYFUNCTION("""COMPUTED_VALUE"""),93368)</f>
        <v>93368</v>
      </c>
    </row>
    <row r="516" spans="1:5" ht="13.2" x14ac:dyDescent="0.25">
      <c r="A516" s="93">
        <f ca="1">IFERROR(__xludf.DUMMYFUNCTION("""COMPUTED_VALUE"""),44405)</f>
        <v>44405</v>
      </c>
      <c r="B516" s="7">
        <f ca="1">IFERROR(__xludf.DUMMYFUNCTION("""COMPUTED_VALUE"""),176)</f>
        <v>176</v>
      </c>
      <c r="C516" s="7">
        <f ca="1">IFERROR(__xludf.DUMMYFUNCTION("""COMPUTED_VALUE"""),29805)</f>
        <v>29805</v>
      </c>
      <c r="D516" s="7">
        <f ca="1">IFERROR(__xludf.DUMMYFUNCTION("""COMPUTED_VALUE"""),269)</f>
        <v>269</v>
      </c>
      <c r="E516" s="7">
        <f ca="1">IFERROR(__xludf.DUMMYFUNCTION("""COMPUTED_VALUE"""),93637)</f>
        <v>93637</v>
      </c>
    </row>
    <row r="517" spans="1:5" ht="13.2" x14ac:dyDescent="0.25">
      <c r="A517" s="93">
        <f ca="1">IFERROR(__xludf.DUMMYFUNCTION("""COMPUTED_VALUE"""),44406)</f>
        <v>44406</v>
      </c>
      <c r="B517" s="7">
        <f ca="1">IFERROR(__xludf.DUMMYFUNCTION("""COMPUTED_VALUE"""),153)</f>
        <v>153</v>
      </c>
      <c r="C517" s="7">
        <f ca="1">IFERROR(__xludf.DUMMYFUNCTION("""COMPUTED_VALUE"""),29958)</f>
        <v>29958</v>
      </c>
      <c r="D517" s="7">
        <f ca="1">IFERROR(__xludf.DUMMYFUNCTION("""COMPUTED_VALUE"""),285)</f>
        <v>285</v>
      </c>
      <c r="E517" s="7">
        <f ca="1">IFERROR(__xludf.DUMMYFUNCTION("""COMPUTED_VALUE"""),93922)</f>
        <v>93922</v>
      </c>
    </row>
    <row r="518" spans="1:5" ht="13.2" x14ac:dyDescent="0.25">
      <c r="A518" s="93">
        <f ca="1">IFERROR(__xludf.DUMMYFUNCTION("""COMPUTED_VALUE"""),44407)</f>
        <v>44407</v>
      </c>
      <c r="B518" s="7">
        <f ca="1">IFERROR(__xludf.DUMMYFUNCTION("""COMPUTED_VALUE"""),130)</f>
        <v>130</v>
      </c>
      <c r="C518" s="7">
        <f ca="1">IFERROR(__xludf.DUMMYFUNCTION("""COMPUTED_VALUE"""),30088)</f>
        <v>30088</v>
      </c>
      <c r="D518" s="7">
        <f ca="1">IFERROR(__xludf.DUMMYFUNCTION("""COMPUTED_VALUE"""),228)</f>
        <v>228</v>
      </c>
      <c r="E518" s="7">
        <f ca="1">IFERROR(__xludf.DUMMYFUNCTION("""COMPUTED_VALUE"""),94150)</f>
        <v>94150</v>
      </c>
    </row>
    <row r="519" spans="1:5" ht="13.2" x14ac:dyDescent="0.25">
      <c r="A519" s="93">
        <f ca="1">IFERROR(__xludf.DUMMYFUNCTION("""COMPUTED_VALUE"""),44408)</f>
        <v>44408</v>
      </c>
      <c r="B519" s="7">
        <f ca="1">IFERROR(__xludf.DUMMYFUNCTION("""COMPUTED_VALUE"""),133)</f>
        <v>133</v>
      </c>
      <c r="C519" s="7">
        <f ca="1">IFERROR(__xludf.DUMMYFUNCTION("""COMPUTED_VALUE"""),30221)</f>
        <v>30221</v>
      </c>
      <c r="D519" s="7">
        <f ca="1">IFERROR(__xludf.DUMMYFUNCTION("""COMPUTED_VALUE"""),251)</f>
        <v>251</v>
      </c>
      <c r="E519" s="7">
        <f ca="1">IFERROR(__xludf.DUMMYFUNCTION("""COMPUTED_VALUE"""),94401)</f>
        <v>94401</v>
      </c>
    </row>
    <row r="520" spans="1:5" ht="13.2" x14ac:dyDescent="0.25">
      <c r="A520" s="93">
        <f ca="1">IFERROR(__xludf.DUMMYFUNCTION("""COMPUTED_VALUE"""),44409)</f>
        <v>44409</v>
      </c>
      <c r="B520" s="7">
        <f ca="1">IFERROR(__xludf.DUMMYFUNCTION("""COMPUTED_VALUE"""),130)</f>
        <v>130</v>
      </c>
      <c r="C520" s="7">
        <f ca="1">IFERROR(__xludf.DUMMYFUNCTION("""COMPUTED_VALUE"""),30351)</f>
        <v>30351</v>
      </c>
      <c r="D520" s="7">
        <f ca="1">IFERROR(__xludf.DUMMYFUNCTION("""COMPUTED_VALUE"""),205)</f>
        <v>205</v>
      </c>
      <c r="E520" s="7">
        <f ca="1">IFERROR(__xludf.DUMMYFUNCTION("""COMPUTED_VALUE"""),94606)</f>
        <v>94606</v>
      </c>
    </row>
    <row r="521" spans="1:5" ht="13.2" x14ac:dyDescent="0.25">
      <c r="A521" s="93">
        <f ca="1">IFERROR(__xludf.DUMMYFUNCTION("""COMPUTED_VALUE"""),44410)</f>
        <v>44410</v>
      </c>
      <c r="B521" s="7">
        <f ca="1">IFERROR(__xludf.DUMMYFUNCTION("""COMPUTED_VALUE"""),102)</f>
        <v>102</v>
      </c>
      <c r="C521" s="7">
        <f ca="1">IFERROR(__xludf.DUMMYFUNCTION("""COMPUTED_VALUE"""),30453)</f>
        <v>30453</v>
      </c>
      <c r="D521" s="7">
        <f ca="1">IFERROR(__xludf.DUMMYFUNCTION("""COMPUTED_VALUE"""),220)</f>
        <v>220</v>
      </c>
      <c r="E521" s="7">
        <f ca="1">IFERROR(__xludf.DUMMYFUNCTION("""COMPUTED_VALUE"""),94826)</f>
        <v>94826</v>
      </c>
    </row>
    <row r="522" spans="1:5" ht="13.2" x14ac:dyDescent="0.25">
      <c r="A522" s="93">
        <f ca="1">IFERROR(__xludf.DUMMYFUNCTION("""COMPUTED_VALUE"""),44411)</f>
        <v>44411</v>
      </c>
      <c r="B522" s="7">
        <f ca="1">IFERROR(__xludf.DUMMYFUNCTION("""COMPUTED_VALUE"""),116)</f>
        <v>116</v>
      </c>
      <c r="C522" s="7">
        <f ca="1">IFERROR(__xludf.DUMMYFUNCTION("""COMPUTED_VALUE"""),30569)</f>
        <v>30569</v>
      </c>
      <c r="D522" s="7">
        <f ca="1">IFERROR(__xludf.DUMMYFUNCTION("""COMPUTED_VALUE"""),190)</f>
        <v>190</v>
      </c>
      <c r="E522" s="7">
        <f ca="1">IFERROR(__xludf.DUMMYFUNCTION("""COMPUTED_VALUE"""),95016)</f>
        <v>95016</v>
      </c>
    </row>
    <row r="523" spans="1:5" ht="13.2" x14ac:dyDescent="0.25">
      <c r="A523" s="93">
        <f ca="1">IFERROR(__xludf.DUMMYFUNCTION("""COMPUTED_VALUE"""),44412)</f>
        <v>44412</v>
      </c>
      <c r="B523" s="7">
        <f ca="1">IFERROR(__xludf.DUMMYFUNCTION("""COMPUTED_VALUE"""),105)</f>
        <v>105</v>
      </c>
      <c r="C523" s="7">
        <f ca="1">IFERROR(__xludf.DUMMYFUNCTION("""COMPUTED_VALUE"""),30674)</f>
        <v>30674</v>
      </c>
      <c r="D523" s="7">
        <f ca="1">IFERROR(__xludf.DUMMYFUNCTION("""COMPUTED_VALUE"""),208)</f>
        <v>208</v>
      </c>
      <c r="E523" s="7">
        <f ca="1">IFERROR(__xludf.DUMMYFUNCTION("""COMPUTED_VALUE"""),95224)</f>
        <v>95224</v>
      </c>
    </row>
    <row r="524" spans="1:5" ht="13.2" x14ac:dyDescent="0.25">
      <c r="A524" s="93">
        <f ca="1">IFERROR(__xludf.DUMMYFUNCTION("""COMPUTED_VALUE"""),44413)</f>
        <v>44413</v>
      </c>
      <c r="B524" s="7">
        <f ca="1">IFERROR(__xludf.DUMMYFUNCTION("""COMPUTED_VALUE"""),88)</f>
        <v>88</v>
      </c>
      <c r="C524" s="7">
        <f ca="1">IFERROR(__xludf.DUMMYFUNCTION("""COMPUTED_VALUE"""),30762)</f>
        <v>30762</v>
      </c>
      <c r="D524" s="7">
        <f ca="1">IFERROR(__xludf.DUMMYFUNCTION("""COMPUTED_VALUE"""),190)</f>
        <v>190</v>
      </c>
      <c r="E524" s="7">
        <f ca="1">IFERROR(__xludf.DUMMYFUNCTION("""COMPUTED_VALUE"""),95414)</f>
        <v>95414</v>
      </c>
    </row>
    <row r="525" spans="1:5" ht="13.2" x14ac:dyDescent="0.25">
      <c r="A525" s="93">
        <f ca="1">IFERROR(__xludf.DUMMYFUNCTION("""COMPUTED_VALUE"""),44414)</f>
        <v>44414</v>
      </c>
      <c r="B525" s="7">
        <f ca="1">IFERROR(__xludf.DUMMYFUNCTION("""COMPUTED_VALUE"""),66)</f>
        <v>66</v>
      </c>
      <c r="C525" s="7">
        <f ca="1">IFERROR(__xludf.DUMMYFUNCTION("""COMPUTED_VALUE"""),30828)</f>
        <v>30828</v>
      </c>
      <c r="D525" s="7">
        <f ca="1">IFERROR(__xludf.DUMMYFUNCTION("""COMPUTED_VALUE"""),175)</f>
        <v>175</v>
      </c>
      <c r="E525" s="7">
        <f ca="1">IFERROR(__xludf.DUMMYFUNCTION("""COMPUTED_VALUE"""),95589)</f>
        <v>95589</v>
      </c>
    </row>
    <row r="526" spans="1:5" ht="13.2" x14ac:dyDescent="0.25">
      <c r="A526" s="93">
        <f ca="1">IFERROR(__xludf.DUMMYFUNCTION("""COMPUTED_VALUE"""),44415)</f>
        <v>44415</v>
      </c>
      <c r="B526" s="7">
        <f ca="1">IFERROR(__xludf.DUMMYFUNCTION("""COMPUTED_VALUE"""),76)</f>
        <v>76</v>
      </c>
      <c r="C526" s="7">
        <f ca="1">IFERROR(__xludf.DUMMYFUNCTION("""COMPUTED_VALUE"""),30904)</f>
        <v>30904</v>
      </c>
      <c r="D526" s="7">
        <f ca="1">IFERROR(__xludf.DUMMYFUNCTION("""COMPUTED_VALUE"""),187)</f>
        <v>187</v>
      </c>
      <c r="E526" s="7">
        <f ca="1">IFERROR(__xludf.DUMMYFUNCTION("""COMPUTED_VALUE"""),95776)</f>
        <v>95776</v>
      </c>
    </row>
    <row r="527" spans="1:5" ht="13.2" x14ac:dyDescent="0.25">
      <c r="A527" s="93">
        <f ca="1">IFERROR(__xludf.DUMMYFUNCTION("""COMPUTED_VALUE"""),44416)</f>
        <v>44416</v>
      </c>
      <c r="B527" s="7">
        <f ca="1">IFERROR(__xludf.DUMMYFUNCTION("""COMPUTED_VALUE"""),69)</f>
        <v>69</v>
      </c>
      <c r="C527" s="7">
        <f ca="1">IFERROR(__xludf.DUMMYFUNCTION("""COMPUTED_VALUE"""),30973)</f>
        <v>30973</v>
      </c>
      <c r="D527" s="7">
        <f ca="1">IFERROR(__xludf.DUMMYFUNCTION("""COMPUTED_VALUE"""),156)</f>
        <v>156</v>
      </c>
      <c r="E527" s="7">
        <f ca="1">IFERROR(__xludf.DUMMYFUNCTION("""COMPUTED_VALUE"""),95932)</f>
        <v>95932</v>
      </c>
    </row>
    <row r="528" spans="1:5" ht="13.2" x14ac:dyDescent="0.25">
      <c r="A528" s="93">
        <f ca="1">IFERROR(__xludf.DUMMYFUNCTION("""COMPUTED_VALUE"""),44417)</f>
        <v>44417</v>
      </c>
      <c r="B528" s="7">
        <f ca="1">IFERROR(__xludf.DUMMYFUNCTION("""COMPUTED_VALUE"""),72)</f>
        <v>72</v>
      </c>
      <c r="C528" s="7">
        <f ca="1">IFERROR(__xludf.DUMMYFUNCTION("""COMPUTED_VALUE"""),31045)</f>
        <v>31045</v>
      </c>
      <c r="D528" s="7">
        <f ca="1">IFERROR(__xludf.DUMMYFUNCTION("""COMPUTED_VALUE"""),145)</f>
        <v>145</v>
      </c>
      <c r="E528" s="7">
        <f ca="1">IFERROR(__xludf.DUMMYFUNCTION("""COMPUTED_VALUE"""),96077)</f>
        <v>96077</v>
      </c>
    </row>
    <row r="529" spans="1:5" ht="13.2" x14ac:dyDescent="0.25">
      <c r="A529" s="93">
        <f ca="1">IFERROR(__xludf.DUMMYFUNCTION("""COMPUTED_VALUE"""),44418)</f>
        <v>44418</v>
      </c>
      <c r="B529" s="7">
        <f ca="1">IFERROR(__xludf.DUMMYFUNCTION("""COMPUTED_VALUE"""),70)</f>
        <v>70</v>
      </c>
      <c r="C529" s="7">
        <f ca="1">IFERROR(__xludf.DUMMYFUNCTION("""COMPUTED_VALUE"""),31115)</f>
        <v>31115</v>
      </c>
      <c r="D529" s="7">
        <f ca="1">IFERROR(__xludf.DUMMYFUNCTION("""COMPUTED_VALUE"""),165)</f>
        <v>165</v>
      </c>
      <c r="E529" s="7">
        <f ca="1">IFERROR(__xludf.DUMMYFUNCTION("""COMPUTED_VALUE"""),96242)</f>
        <v>96242</v>
      </c>
    </row>
    <row r="530" spans="1:5" ht="13.2" x14ac:dyDescent="0.25">
      <c r="A530" s="93">
        <f ca="1">IFERROR(__xludf.DUMMYFUNCTION("""COMPUTED_VALUE"""),44419)</f>
        <v>44419</v>
      </c>
      <c r="B530" s="7">
        <f ca="1">IFERROR(__xludf.DUMMYFUNCTION("""COMPUTED_VALUE"""),52)</f>
        <v>52</v>
      </c>
      <c r="C530" s="7">
        <f ca="1">IFERROR(__xludf.DUMMYFUNCTION("""COMPUTED_VALUE"""),31167)</f>
        <v>31167</v>
      </c>
      <c r="D530" s="7">
        <f ca="1">IFERROR(__xludf.DUMMYFUNCTION("""COMPUTED_VALUE"""),138)</f>
        <v>138</v>
      </c>
      <c r="E530" s="7">
        <f ca="1">IFERROR(__xludf.DUMMYFUNCTION("""COMPUTED_VALUE"""),96380)</f>
        <v>96380</v>
      </c>
    </row>
    <row r="531" spans="1:5" ht="13.2" x14ac:dyDescent="0.25">
      <c r="A531" s="93">
        <f ca="1">IFERROR(__xludf.DUMMYFUNCTION("""COMPUTED_VALUE"""),44420)</f>
        <v>44420</v>
      </c>
      <c r="B531" s="7">
        <f ca="1">IFERROR(__xludf.DUMMYFUNCTION("""COMPUTED_VALUE"""),55)</f>
        <v>55</v>
      </c>
      <c r="C531" s="7">
        <f ca="1">IFERROR(__xludf.DUMMYFUNCTION("""COMPUTED_VALUE"""),31222)</f>
        <v>31222</v>
      </c>
      <c r="D531" s="7">
        <f ca="1">IFERROR(__xludf.DUMMYFUNCTION("""COMPUTED_VALUE"""),152)</f>
        <v>152</v>
      </c>
      <c r="E531" s="7">
        <f ca="1">IFERROR(__xludf.DUMMYFUNCTION("""COMPUTED_VALUE"""),96532)</f>
        <v>96532</v>
      </c>
    </row>
    <row r="532" spans="1:5" ht="13.2" x14ac:dyDescent="0.25">
      <c r="A532" s="93">
        <f ca="1">IFERROR(__xludf.DUMMYFUNCTION("""COMPUTED_VALUE"""),44421)</f>
        <v>44421</v>
      </c>
      <c r="B532" s="7">
        <f ca="1">IFERROR(__xludf.DUMMYFUNCTION("""COMPUTED_VALUE"""),43)</f>
        <v>43</v>
      </c>
      <c r="C532" s="7">
        <f ca="1">IFERROR(__xludf.DUMMYFUNCTION("""COMPUTED_VALUE"""),31265)</f>
        <v>31265</v>
      </c>
      <c r="D532" s="7">
        <f ca="1">IFERROR(__xludf.DUMMYFUNCTION("""COMPUTED_VALUE"""),129)</f>
        <v>129</v>
      </c>
      <c r="E532" s="7">
        <f ca="1">IFERROR(__xludf.DUMMYFUNCTION("""COMPUTED_VALUE"""),96661)</f>
        <v>96661</v>
      </c>
    </row>
    <row r="533" spans="1:5" ht="13.2" x14ac:dyDescent="0.25">
      <c r="A533" s="93">
        <f ca="1">IFERROR(__xludf.DUMMYFUNCTION("""COMPUTED_VALUE"""),44422)</f>
        <v>44422</v>
      </c>
      <c r="B533" s="7">
        <f ca="1">IFERROR(__xludf.DUMMYFUNCTION("""COMPUTED_VALUE"""),61)</f>
        <v>61</v>
      </c>
      <c r="C533" s="7">
        <f ca="1">IFERROR(__xludf.DUMMYFUNCTION("""COMPUTED_VALUE"""),31326)</f>
        <v>31326</v>
      </c>
      <c r="D533" s="7">
        <f ca="1">IFERROR(__xludf.DUMMYFUNCTION("""COMPUTED_VALUE"""),112)</f>
        <v>112</v>
      </c>
      <c r="E533" s="7">
        <f ca="1">IFERROR(__xludf.DUMMYFUNCTION("""COMPUTED_VALUE"""),96773)</f>
        <v>96773</v>
      </c>
    </row>
    <row r="534" spans="1:5" ht="13.2" x14ac:dyDescent="0.25">
      <c r="A534" s="93">
        <f ca="1">IFERROR(__xludf.DUMMYFUNCTION("""COMPUTED_VALUE"""),44423)</f>
        <v>44423</v>
      </c>
      <c r="B534" s="7">
        <f ca="1">IFERROR(__xludf.DUMMYFUNCTION("""COMPUTED_VALUE"""),31)</f>
        <v>31</v>
      </c>
      <c r="C534" s="7">
        <f ca="1">IFERROR(__xludf.DUMMYFUNCTION("""COMPUTED_VALUE"""),31357)</f>
        <v>31357</v>
      </c>
      <c r="D534" s="7">
        <f ca="1">IFERROR(__xludf.DUMMYFUNCTION("""COMPUTED_VALUE"""),134)</f>
        <v>134</v>
      </c>
      <c r="E534" s="7">
        <f ca="1">IFERROR(__xludf.DUMMYFUNCTION("""COMPUTED_VALUE"""),96907)</f>
        <v>96907</v>
      </c>
    </row>
    <row r="535" spans="1:5" ht="13.2" x14ac:dyDescent="0.25">
      <c r="A535" s="93">
        <f ca="1">IFERROR(__xludf.DUMMYFUNCTION("""COMPUTED_VALUE"""),44424)</f>
        <v>44424</v>
      </c>
      <c r="B535" s="7">
        <f ca="1">IFERROR(__xludf.DUMMYFUNCTION("""COMPUTED_VALUE"""),37)</f>
        <v>37</v>
      </c>
      <c r="C535" s="7">
        <f ca="1">IFERROR(__xludf.DUMMYFUNCTION("""COMPUTED_VALUE"""),31394)</f>
        <v>31394</v>
      </c>
      <c r="D535" s="7">
        <f ca="1">IFERROR(__xludf.DUMMYFUNCTION("""COMPUTED_VALUE"""),133)</f>
        <v>133</v>
      </c>
      <c r="E535" s="7">
        <f ca="1">IFERROR(__xludf.DUMMYFUNCTION("""COMPUTED_VALUE"""),97040)</f>
        <v>97040</v>
      </c>
    </row>
    <row r="536" spans="1:5" ht="13.2" x14ac:dyDescent="0.25">
      <c r="A536" s="93">
        <f ca="1">IFERROR(__xludf.DUMMYFUNCTION("""COMPUTED_VALUE"""),44425)</f>
        <v>44425</v>
      </c>
      <c r="B536" s="7">
        <f ca="1">IFERROR(__xludf.DUMMYFUNCTION("""COMPUTED_VALUE"""),44)</f>
        <v>44</v>
      </c>
      <c r="C536" s="7">
        <f ca="1">IFERROR(__xludf.DUMMYFUNCTION("""COMPUTED_VALUE"""),31438)</f>
        <v>31438</v>
      </c>
      <c r="D536" s="7">
        <f ca="1">IFERROR(__xludf.DUMMYFUNCTION("""COMPUTED_VALUE"""),115)</f>
        <v>115</v>
      </c>
      <c r="E536" s="7">
        <f ca="1">IFERROR(__xludf.DUMMYFUNCTION("""COMPUTED_VALUE"""),97155)</f>
        <v>97155</v>
      </c>
    </row>
    <row r="537" spans="1:5" ht="13.2" x14ac:dyDescent="0.25">
      <c r="A537" s="93">
        <f ca="1">IFERROR(__xludf.DUMMYFUNCTION("""COMPUTED_VALUE"""),44426)</f>
        <v>44426</v>
      </c>
      <c r="B537" s="7">
        <f ca="1">IFERROR(__xludf.DUMMYFUNCTION("""COMPUTED_VALUE"""),36)</f>
        <v>36</v>
      </c>
      <c r="C537" s="7">
        <f ca="1">IFERROR(__xludf.DUMMYFUNCTION("""COMPUTED_VALUE"""),31474)</f>
        <v>31474</v>
      </c>
      <c r="D537" s="7">
        <f ca="1">IFERROR(__xludf.DUMMYFUNCTION("""COMPUTED_VALUE"""),114)</f>
        <v>114</v>
      </c>
      <c r="E537" s="7">
        <f ca="1">IFERROR(__xludf.DUMMYFUNCTION("""COMPUTED_VALUE"""),97269)</f>
        <v>97269</v>
      </c>
    </row>
    <row r="538" spans="1:5" ht="13.2" x14ac:dyDescent="0.25">
      <c r="A538" s="93">
        <f ca="1">IFERROR(__xludf.DUMMYFUNCTION("""COMPUTED_VALUE"""),44427)</f>
        <v>44427</v>
      </c>
      <c r="B538" s="7">
        <f ca="1">IFERROR(__xludf.DUMMYFUNCTION("""COMPUTED_VALUE"""),38)</f>
        <v>38</v>
      </c>
      <c r="C538" s="7">
        <f ca="1">IFERROR(__xludf.DUMMYFUNCTION("""COMPUTED_VALUE"""),31512)</f>
        <v>31512</v>
      </c>
      <c r="D538" s="7">
        <f ca="1">IFERROR(__xludf.DUMMYFUNCTION("""COMPUTED_VALUE"""),89)</f>
        <v>89</v>
      </c>
      <c r="E538" s="7">
        <f ca="1">IFERROR(__xludf.DUMMYFUNCTION("""COMPUTED_VALUE"""),97358)</f>
        <v>97358</v>
      </c>
    </row>
    <row r="539" spans="1:5" ht="13.2" x14ac:dyDescent="0.25">
      <c r="A539" s="93">
        <f ca="1">IFERROR(__xludf.DUMMYFUNCTION("""COMPUTED_VALUE"""),44428)</f>
        <v>44428</v>
      </c>
      <c r="B539" s="7">
        <f ca="1">IFERROR(__xludf.DUMMYFUNCTION("""COMPUTED_VALUE"""),23)</f>
        <v>23</v>
      </c>
      <c r="C539" s="7">
        <f ca="1">IFERROR(__xludf.DUMMYFUNCTION("""COMPUTED_VALUE"""),31535)</f>
        <v>31535</v>
      </c>
      <c r="D539" s="7">
        <f ca="1">IFERROR(__xludf.DUMMYFUNCTION("""COMPUTED_VALUE"""),120)</f>
        <v>120</v>
      </c>
      <c r="E539" s="7">
        <f ca="1">IFERROR(__xludf.DUMMYFUNCTION("""COMPUTED_VALUE"""),97478)</f>
        <v>97478</v>
      </c>
    </row>
    <row r="540" spans="1:5" ht="13.2" x14ac:dyDescent="0.25">
      <c r="A540" s="93">
        <f ca="1">IFERROR(__xludf.DUMMYFUNCTION("""COMPUTED_VALUE"""),44429)</f>
        <v>44429</v>
      </c>
      <c r="B540" s="7">
        <f ca="1">IFERROR(__xludf.DUMMYFUNCTION("""COMPUTED_VALUE"""),33)</f>
        <v>33</v>
      </c>
      <c r="C540" s="7">
        <f ca="1">IFERROR(__xludf.DUMMYFUNCTION("""COMPUTED_VALUE"""),31568)</f>
        <v>31568</v>
      </c>
      <c r="D540" s="7">
        <f ca="1">IFERROR(__xludf.DUMMYFUNCTION("""COMPUTED_VALUE"""),89)</f>
        <v>89</v>
      </c>
      <c r="E540" s="7">
        <f ca="1">IFERROR(__xludf.DUMMYFUNCTION("""COMPUTED_VALUE"""),97567)</f>
        <v>97567</v>
      </c>
    </row>
    <row r="541" spans="1:5" ht="13.2" x14ac:dyDescent="0.25">
      <c r="A541" s="93">
        <f ca="1">IFERROR(__xludf.DUMMYFUNCTION("""COMPUTED_VALUE"""),44430)</f>
        <v>44430</v>
      </c>
      <c r="B541" s="7">
        <f ca="1">IFERROR(__xludf.DUMMYFUNCTION("""COMPUTED_VALUE"""),29)</f>
        <v>29</v>
      </c>
      <c r="C541" s="7">
        <f ca="1">IFERROR(__xludf.DUMMYFUNCTION("""COMPUTED_VALUE"""),31597)</f>
        <v>31597</v>
      </c>
      <c r="D541" s="7">
        <f ca="1">IFERROR(__xludf.DUMMYFUNCTION("""COMPUTED_VALUE"""),89)</f>
        <v>89</v>
      </c>
      <c r="E541" s="7">
        <f ca="1">IFERROR(__xludf.DUMMYFUNCTION("""COMPUTED_VALUE"""),97656)</f>
        <v>97656</v>
      </c>
    </row>
    <row r="542" spans="1:5" ht="13.2" x14ac:dyDescent="0.25">
      <c r="A542" s="93">
        <f ca="1">IFERROR(__xludf.DUMMYFUNCTION("""COMPUTED_VALUE"""),44431)</f>
        <v>44431</v>
      </c>
      <c r="B542" s="7">
        <f ca="1">IFERROR(__xludf.DUMMYFUNCTION("""COMPUTED_VALUE"""),22)</f>
        <v>22</v>
      </c>
      <c r="C542" s="7">
        <f ca="1">IFERROR(__xludf.DUMMYFUNCTION("""COMPUTED_VALUE"""),31619)</f>
        <v>31619</v>
      </c>
      <c r="D542" s="7">
        <f ca="1">IFERROR(__xludf.DUMMYFUNCTION("""COMPUTED_VALUE"""),105)</f>
        <v>105</v>
      </c>
      <c r="E542" s="7">
        <f ca="1">IFERROR(__xludf.DUMMYFUNCTION("""COMPUTED_VALUE"""),97761)</f>
        <v>97761</v>
      </c>
    </row>
    <row r="543" spans="1:5" ht="13.2" x14ac:dyDescent="0.25">
      <c r="A543" s="93">
        <f ca="1">IFERROR(__xludf.DUMMYFUNCTION("""COMPUTED_VALUE"""),44432)</f>
        <v>44432</v>
      </c>
      <c r="B543" s="7">
        <f ca="1">IFERROR(__xludf.DUMMYFUNCTION("""COMPUTED_VALUE"""),17)</f>
        <v>17</v>
      </c>
      <c r="C543" s="7">
        <f ca="1">IFERROR(__xludf.DUMMYFUNCTION("""COMPUTED_VALUE"""),31636)</f>
        <v>31636</v>
      </c>
      <c r="D543" s="7">
        <f ca="1">IFERROR(__xludf.DUMMYFUNCTION("""COMPUTED_VALUE"""),91)</f>
        <v>91</v>
      </c>
      <c r="E543" s="7">
        <f ca="1">IFERROR(__xludf.DUMMYFUNCTION("""COMPUTED_VALUE"""),97852)</f>
        <v>97852</v>
      </c>
    </row>
    <row r="544" spans="1:5" ht="13.2" x14ac:dyDescent="0.25">
      <c r="A544" s="93">
        <f ca="1">IFERROR(__xludf.DUMMYFUNCTION("""COMPUTED_VALUE"""),44433)</f>
        <v>44433</v>
      </c>
      <c r="B544" s="7">
        <f ca="1">IFERROR(__xludf.DUMMYFUNCTION("""COMPUTED_VALUE"""),25)</f>
        <v>25</v>
      </c>
      <c r="C544" s="7">
        <f ca="1">IFERROR(__xludf.DUMMYFUNCTION("""COMPUTED_VALUE"""),31661)</f>
        <v>31661</v>
      </c>
      <c r="D544" s="7">
        <f ca="1">IFERROR(__xludf.DUMMYFUNCTION("""COMPUTED_VALUE"""),93)</f>
        <v>93</v>
      </c>
      <c r="E544" s="7">
        <f ca="1">IFERROR(__xludf.DUMMYFUNCTION("""COMPUTED_VALUE"""),97945)</f>
        <v>97945</v>
      </c>
    </row>
    <row r="545" spans="1:5" ht="13.2" x14ac:dyDescent="0.25">
      <c r="A545" s="93">
        <f ca="1">IFERROR(__xludf.DUMMYFUNCTION("""COMPUTED_VALUE"""),44434)</f>
        <v>44434</v>
      </c>
      <c r="B545" s="7">
        <f ca="1">IFERROR(__xludf.DUMMYFUNCTION("""COMPUTED_VALUE"""),25)</f>
        <v>25</v>
      </c>
      <c r="C545" s="7">
        <f ca="1">IFERROR(__xludf.DUMMYFUNCTION("""COMPUTED_VALUE"""),31686)</f>
        <v>31686</v>
      </c>
      <c r="D545" s="7">
        <f ca="1">IFERROR(__xludf.DUMMYFUNCTION("""COMPUTED_VALUE"""),103)</f>
        <v>103</v>
      </c>
      <c r="E545" s="7">
        <f ca="1">IFERROR(__xludf.DUMMYFUNCTION("""COMPUTED_VALUE"""),98048)</f>
        <v>98048</v>
      </c>
    </row>
    <row r="546" spans="1:5" ht="13.2" x14ac:dyDescent="0.25">
      <c r="A546" s="93">
        <f ca="1">IFERROR(__xludf.DUMMYFUNCTION("""COMPUTED_VALUE"""),44435)</f>
        <v>44435</v>
      </c>
      <c r="B546" s="7">
        <f ca="1">IFERROR(__xludf.DUMMYFUNCTION("""COMPUTED_VALUE"""),23)</f>
        <v>23</v>
      </c>
      <c r="C546" s="7">
        <f ca="1">IFERROR(__xludf.DUMMYFUNCTION("""COMPUTED_VALUE"""),31709)</f>
        <v>31709</v>
      </c>
      <c r="D546" s="7">
        <f ca="1">IFERROR(__xludf.DUMMYFUNCTION("""COMPUTED_VALUE"""),91)</f>
        <v>91</v>
      </c>
      <c r="E546" s="7">
        <f ca="1">IFERROR(__xludf.DUMMYFUNCTION("""COMPUTED_VALUE"""),98139)</f>
        <v>98139</v>
      </c>
    </row>
    <row r="547" spans="1:5" ht="13.2" x14ac:dyDescent="0.25">
      <c r="A547" s="93">
        <f ca="1">IFERROR(__xludf.DUMMYFUNCTION("""COMPUTED_VALUE"""),44436)</f>
        <v>44436</v>
      </c>
      <c r="B547" s="7">
        <f ca="1">IFERROR(__xludf.DUMMYFUNCTION("""COMPUTED_VALUE"""),19)</f>
        <v>19</v>
      </c>
      <c r="C547" s="7">
        <f ca="1">IFERROR(__xludf.DUMMYFUNCTION("""COMPUTED_VALUE"""),31728)</f>
        <v>31728</v>
      </c>
      <c r="D547" s="7">
        <f ca="1">IFERROR(__xludf.DUMMYFUNCTION("""COMPUTED_VALUE"""),65)</f>
        <v>65</v>
      </c>
      <c r="E547" s="7">
        <f ca="1">IFERROR(__xludf.DUMMYFUNCTION("""COMPUTED_VALUE"""),98204)</f>
        <v>98204</v>
      </c>
    </row>
    <row r="548" spans="1:5" ht="13.2" x14ac:dyDescent="0.25">
      <c r="A548" s="93">
        <f ca="1">IFERROR(__xludf.DUMMYFUNCTION("""COMPUTED_VALUE"""),44437)</f>
        <v>44437</v>
      </c>
      <c r="B548" s="7">
        <f ca="1">IFERROR(__xludf.DUMMYFUNCTION("""COMPUTED_VALUE"""),17)</f>
        <v>17</v>
      </c>
      <c r="C548" s="7">
        <f ca="1">IFERROR(__xludf.DUMMYFUNCTION("""COMPUTED_VALUE"""),31745)</f>
        <v>31745</v>
      </c>
      <c r="D548" s="7">
        <f ca="1">IFERROR(__xludf.DUMMYFUNCTION("""COMPUTED_VALUE"""),20)</f>
        <v>20</v>
      </c>
      <c r="E548" s="7">
        <f ca="1">IFERROR(__xludf.DUMMYFUNCTION("""COMPUTED_VALUE"""),98224)</f>
        <v>98224</v>
      </c>
    </row>
    <row r="549" spans="1:5" ht="13.2" x14ac:dyDescent="0.25">
      <c r="A549" s="7"/>
      <c r="B549" s="7"/>
      <c r="C549" s="7"/>
      <c r="D549" s="7"/>
      <c r="E549" s="7"/>
    </row>
    <row r="550" spans="1:5" ht="13.2" x14ac:dyDescent="0.25">
      <c r="A550" s="7"/>
      <c r="B550" s="7"/>
      <c r="C550" s="7"/>
      <c r="D550" s="7"/>
      <c r="E550" s="7"/>
    </row>
    <row r="551" spans="1:5" ht="13.2" x14ac:dyDescent="0.25">
      <c r="A551" s="7"/>
      <c r="B551" s="7"/>
      <c r="C551" s="7"/>
      <c r="D551" s="7"/>
      <c r="E551" s="7"/>
    </row>
    <row r="552" spans="1:5" ht="13.2" x14ac:dyDescent="0.25">
      <c r="A552" s="7"/>
      <c r="B552" s="7"/>
      <c r="C552" s="7"/>
      <c r="D552" s="7"/>
      <c r="E552" s="7"/>
    </row>
    <row r="553" spans="1:5" ht="13.2" x14ac:dyDescent="0.25">
      <c r="A553" s="7"/>
      <c r="B553" s="7"/>
      <c r="C553" s="7"/>
      <c r="D553" s="7"/>
      <c r="E553" s="7"/>
    </row>
    <row r="554" spans="1:5" ht="13.2" x14ac:dyDescent="0.25">
      <c r="A554" s="7"/>
      <c r="B554" s="7"/>
      <c r="C554" s="7"/>
      <c r="D554" s="7"/>
      <c r="E554" s="7"/>
    </row>
    <row r="555" spans="1:5" ht="13.2" x14ac:dyDescent="0.25">
      <c r="A555" s="7"/>
      <c r="B555" s="7"/>
      <c r="C555" s="7"/>
      <c r="D555" s="7"/>
      <c r="E555" s="7"/>
    </row>
    <row r="556" spans="1:5" ht="13.2" x14ac:dyDescent="0.25">
      <c r="A556" s="7"/>
      <c r="B556" s="7"/>
      <c r="C556" s="7"/>
      <c r="D556" s="7"/>
      <c r="E556" s="7"/>
    </row>
    <row r="557" spans="1:5" ht="13.2" x14ac:dyDescent="0.25">
      <c r="A557" s="7"/>
      <c r="B557" s="7"/>
      <c r="C557" s="7"/>
      <c r="D557" s="7"/>
      <c r="E557" s="7"/>
    </row>
    <row r="558" spans="1:5" ht="13.2" x14ac:dyDescent="0.25">
      <c r="A558" s="7"/>
      <c r="B558" s="7"/>
      <c r="C558" s="7"/>
      <c r="D558" s="7"/>
      <c r="E558" s="7"/>
    </row>
    <row r="559" spans="1:5" ht="13.2" x14ac:dyDescent="0.25">
      <c r="A559" s="7"/>
      <c r="B559" s="7"/>
      <c r="C559" s="7"/>
      <c r="D559" s="7"/>
      <c r="E559" s="7"/>
    </row>
    <row r="560" spans="1:5" ht="13.2" x14ac:dyDescent="0.25">
      <c r="A560" s="7"/>
      <c r="B560" s="7"/>
      <c r="C560" s="7"/>
      <c r="D560" s="7"/>
      <c r="E560" s="7"/>
    </row>
    <row r="561" spans="1:5" ht="13.2" x14ac:dyDescent="0.25">
      <c r="A561" s="7"/>
      <c r="B561" s="7"/>
      <c r="C561" s="7"/>
      <c r="D561" s="7"/>
      <c r="E561" s="7"/>
    </row>
    <row r="562" spans="1:5" ht="13.2" x14ac:dyDescent="0.25">
      <c r="A562" s="7"/>
      <c r="B562" s="7"/>
      <c r="C562" s="7"/>
      <c r="D562" s="7"/>
      <c r="E562" s="7"/>
    </row>
    <row r="563" spans="1:5" ht="13.2" x14ac:dyDescent="0.25">
      <c r="A563" s="7"/>
      <c r="B563" s="7"/>
      <c r="C563" s="7"/>
      <c r="D563" s="7"/>
      <c r="E563" s="7"/>
    </row>
    <row r="564" spans="1:5" ht="13.2" x14ac:dyDescent="0.25">
      <c r="A564" s="7"/>
      <c r="B564" s="7"/>
      <c r="C564" s="7"/>
      <c r="D564" s="7"/>
      <c r="E564" s="7"/>
    </row>
    <row r="565" spans="1:5" ht="13.2" x14ac:dyDescent="0.25">
      <c r="A565" s="7"/>
      <c r="B565" s="7"/>
      <c r="C565" s="7"/>
      <c r="D565" s="7"/>
      <c r="E565" s="7"/>
    </row>
    <row r="566" spans="1:5" ht="13.2" x14ac:dyDescent="0.25">
      <c r="A566" s="7"/>
      <c r="B566" s="7"/>
      <c r="C566" s="7"/>
      <c r="D566" s="7"/>
      <c r="E566" s="7"/>
    </row>
    <row r="567" spans="1:5" ht="13.2" x14ac:dyDescent="0.25">
      <c r="A567" s="7"/>
      <c r="B567" s="7"/>
      <c r="C567" s="7"/>
      <c r="D567" s="7"/>
      <c r="E567" s="7"/>
    </row>
    <row r="568" spans="1:5" ht="13.2" x14ac:dyDescent="0.25">
      <c r="A568" s="7"/>
      <c r="B568" s="7"/>
      <c r="C568" s="7"/>
      <c r="D568" s="7"/>
      <c r="E568" s="7"/>
    </row>
    <row r="569" spans="1:5" ht="13.2" x14ac:dyDescent="0.25">
      <c r="A569" s="7"/>
      <c r="B569" s="7"/>
      <c r="C569" s="7"/>
      <c r="D569" s="7"/>
      <c r="E569" s="7"/>
    </row>
    <row r="570" spans="1:5" ht="13.2" x14ac:dyDescent="0.25">
      <c r="A570" s="7"/>
      <c r="B570" s="7"/>
      <c r="C570" s="7"/>
      <c r="D570" s="7"/>
      <c r="E570" s="7"/>
    </row>
    <row r="571" spans="1:5" ht="13.2" x14ac:dyDescent="0.25">
      <c r="A571" s="7"/>
      <c r="B571" s="7"/>
      <c r="C571" s="7"/>
      <c r="D571" s="7"/>
      <c r="E571" s="7"/>
    </row>
    <row r="572" spans="1:5" ht="13.2" x14ac:dyDescent="0.25">
      <c r="A572" s="7"/>
      <c r="B572" s="7"/>
      <c r="C572" s="7"/>
      <c r="D572" s="7"/>
      <c r="E572" s="7"/>
    </row>
    <row r="573" spans="1:5" ht="13.2" x14ac:dyDescent="0.25">
      <c r="A573" s="7"/>
      <c r="B573" s="7"/>
      <c r="C573" s="7"/>
      <c r="D573" s="7"/>
      <c r="E573" s="7"/>
    </row>
    <row r="574" spans="1:5" ht="13.2" x14ac:dyDescent="0.25">
      <c r="A574" s="7"/>
      <c r="B574" s="7"/>
      <c r="C574" s="7"/>
      <c r="D574" s="7"/>
      <c r="E574" s="7"/>
    </row>
    <row r="575" spans="1:5" ht="13.2" x14ac:dyDescent="0.25">
      <c r="A575" s="7"/>
      <c r="B575" s="7"/>
      <c r="C575" s="7"/>
      <c r="D575" s="7"/>
      <c r="E575" s="7"/>
    </row>
    <row r="576" spans="1:5" ht="13.2" x14ac:dyDescent="0.25">
      <c r="A576" s="7"/>
      <c r="B576" s="7"/>
      <c r="C576" s="7"/>
      <c r="D576" s="7"/>
      <c r="E576" s="7"/>
    </row>
    <row r="577" spans="1:5" ht="13.2" x14ac:dyDescent="0.25">
      <c r="A577" s="7"/>
      <c r="B577" s="7"/>
      <c r="C577" s="7"/>
      <c r="D577" s="7"/>
      <c r="E577" s="7"/>
    </row>
    <row r="578" spans="1:5" ht="13.2" x14ac:dyDescent="0.25">
      <c r="A578" s="7"/>
      <c r="B578" s="7"/>
      <c r="C578" s="7"/>
      <c r="D578" s="7"/>
      <c r="E578" s="7"/>
    </row>
    <row r="579" spans="1:5" ht="13.2" x14ac:dyDescent="0.25">
      <c r="A579" s="7"/>
      <c r="B579" s="7"/>
      <c r="C579" s="7"/>
      <c r="D579" s="7"/>
      <c r="E579" s="7"/>
    </row>
    <row r="580" spans="1:5" ht="13.2" x14ac:dyDescent="0.25">
      <c r="A580" s="7"/>
      <c r="B580" s="7"/>
      <c r="C580" s="7"/>
      <c r="D580" s="7"/>
      <c r="E580" s="7"/>
    </row>
    <row r="581" spans="1:5" ht="13.2" x14ac:dyDescent="0.25">
      <c r="A581" s="7"/>
      <c r="B581" s="7"/>
      <c r="C581" s="7"/>
      <c r="D581" s="7"/>
      <c r="E581" s="7"/>
    </row>
    <row r="582" spans="1:5" ht="13.2" x14ac:dyDescent="0.25">
      <c r="A582" s="7"/>
      <c r="B582" s="7"/>
      <c r="C582" s="7"/>
      <c r="D582" s="7"/>
      <c r="E582" s="7"/>
    </row>
    <row r="583" spans="1:5" ht="13.2" x14ac:dyDescent="0.25">
      <c r="A583" s="7"/>
      <c r="B583" s="7"/>
      <c r="C583" s="7"/>
      <c r="D583" s="7"/>
      <c r="E583" s="7"/>
    </row>
    <row r="584" spans="1:5" ht="13.2" x14ac:dyDescent="0.25">
      <c r="A584" s="7"/>
      <c r="B584" s="7"/>
      <c r="C584" s="7"/>
      <c r="D584" s="7"/>
      <c r="E584" s="7"/>
    </row>
    <row r="585" spans="1:5" ht="13.2" x14ac:dyDescent="0.25">
      <c r="A585" s="7"/>
      <c r="B585" s="7"/>
      <c r="C585" s="7"/>
      <c r="D585" s="7"/>
      <c r="E585" s="7"/>
    </row>
    <row r="586" spans="1:5" ht="13.2" x14ac:dyDescent="0.25">
      <c r="A586" s="7"/>
      <c r="B586" s="7"/>
      <c r="C586" s="7"/>
      <c r="D586" s="7"/>
      <c r="E586" s="7"/>
    </row>
    <row r="587" spans="1:5" ht="13.2" x14ac:dyDescent="0.25">
      <c r="A587" s="7"/>
      <c r="B587" s="7"/>
      <c r="C587" s="7"/>
      <c r="D587" s="7"/>
      <c r="E587" s="7"/>
    </row>
    <row r="588" spans="1:5" ht="13.2" x14ac:dyDescent="0.25">
      <c r="A588" s="7"/>
      <c r="B588" s="7"/>
      <c r="C588" s="7"/>
      <c r="D588" s="7"/>
      <c r="E588" s="7"/>
    </row>
    <row r="589" spans="1:5" ht="13.2" x14ac:dyDescent="0.25">
      <c r="A589" s="7"/>
      <c r="B589" s="7"/>
      <c r="C589" s="7"/>
      <c r="D589" s="7"/>
      <c r="E589" s="7"/>
    </row>
    <row r="590" spans="1:5" ht="13.2" x14ac:dyDescent="0.25">
      <c r="A590" s="7"/>
      <c r="B590" s="7"/>
      <c r="C590" s="7"/>
      <c r="D590" s="7"/>
      <c r="E590" s="7"/>
    </row>
    <row r="591" spans="1:5" ht="13.2" x14ac:dyDescent="0.25">
      <c r="A591" s="7"/>
      <c r="B591" s="7"/>
      <c r="C591" s="7"/>
      <c r="D591" s="7"/>
      <c r="E591" s="7"/>
    </row>
    <row r="592" spans="1:5" ht="13.2" x14ac:dyDescent="0.25">
      <c r="A592" s="7"/>
      <c r="B592" s="7"/>
      <c r="C592" s="7"/>
      <c r="D592" s="7"/>
      <c r="E592" s="7"/>
    </row>
    <row r="593" spans="1:5" ht="13.2" x14ac:dyDescent="0.25">
      <c r="A593" s="7"/>
      <c r="B593" s="7"/>
      <c r="C593" s="7"/>
      <c r="D593" s="7"/>
      <c r="E593" s="7"/>
    </row>
    <row r="594" spans="1:5" ht="13.2" x14ac:dyDescent="0.25">
      <c r="A594" s="7"/>
      <c r="B594" s="7"/>
      <c r="C594" s="7"/>
      <c r="D594" s="7"/>
      <c r="E594" s="7"/>
    </row>
    <row r="595" spans="1:5" ht="13.2" x14ac:dyDescent="0.25">
      <c r="A595" s="7"/>
      <c r="B595" s="7"/>
      <c r="C595" s="7"/>
      <c r="D595" s="7"/>
      <c r="E595" s="7"/>
    </row>
    <row r="596" spans="1:5" ht="13.2" x14ac:dyDescent="0.25">
      <c r="A596" s="7"/>
      <c r="B596" s="7"/>
      <c r="C596" s="7"/>
      <c r="D596" s="7"/>
      <c r="E596" s="7"/>
    </row>
    <row r="597" spans="1:5" ht="13.2" x14ac:dyDescent="0.25">
      <c r="A597" s="7"/>
      <c r="B597" s="7"/>
      <c r="C597" s="7"/>
      <c r="D597" s="7"/>
      <c r="E597" s="7"/>
    </row>
    <row r="598" spans="1:5" ht="13.2" x14ac:dyDescent="0.25">
      <c r="A598" s="7"/>
      <c r="B598" s="7"/>
      <c r="C598" s="7"/>
      <c r="D598" s="7"/>
      <c r="E598" s="7"/>
    </row>
    <row r="599" spans="1:5" ht="13.2" x14ac:dyDescent="0.25">
      <c r="A599" s="7"/>
      <c r="B599" s="7"/>
      <c r="C599" s="7"/>
      <c r="D599" s="7"/>
      <c r="E599" s="7"/>
    </row>
    <row r="600" spans="1:5" ht="13.2" x14ac:dyDescent="0.25">
      <c r="A600" s="7"/>
      <c r="B600" s="7"/>
      <c r="C600" s="7"/>
      <c r="D600" s="7"/>
      <c r="E600" s="7"/>
    </row>
    <row r="601" spans="1:5" ht="13.2" x14ac:dyDescent="0.25">
      <c r="A601" s="7"/>
      <c r="B601" s="7"/>
      <c r="C601" s="7"/>
      <c r="D601" s="7"/>
      <c r="E601" s="7"/>
    </row>
    <row r="602" spans="1:5" ht="13.2" x14ac:dyDescent="0.25">
      <c r="A602" s="7"/>
      <c r="B602" s="7"/>
      <c r="C602" s="7"/>
      <c r="D602" s="7"/>
      <c r="E602" s="7"/>
    </row>
    <row r="603" spans="1:5" ht="13.2" x14ac:dyDescent="0.25">
      <c r="A603" s="7"/>
      <c r="B603" s="7"/>
      <c r="C603" s="7"/>
      <c r="D603" s="7"/>
      <c r="E603" s="7"/>
    </row>
    <row r="604" spans="1:5" ht="13.2" x14ac:dyDescent="0.25">
      <c r="A604" s="7"/>
      <c r="B604" s="7"/>
      <c r="C604" s="7"/>
      <c r="D604" s="7"/>
      <c r="E604" s="7"/>
    </row>
    <row r="605" spans="1:5" ht="13.2" x14ac:dyDescent="0.25">
      <c r="A605" s="7"/>
      <c r="B605" s="7"/>
      <c r="C605" s="7"/>
      <c r="D605" s="7"/>
      <c r="E605" s="7"/>
    </row>
    <row r="606" spans="1:5" ht="13.2" x14ac:dyDescent="0.25">
      <c r="A606" s="7"/>
      <c r="B606" s="7"/>
      <c r="C606" s="7"/>
      <c r="D606" s="7"/>
      <c r="E606" s="7"/>
    </row>
    <row r="607" spans="1:5" ht="13.2" x14ac:dyDescent="0.25">
      <c r="A607" s="7"/>
      <c r="B607" s="7"/>
      <c r="C607" s="7"/>
      <c r="D607" s="7"/>
      <c r="E607" s="7"/>
    </row>
    <row r="608" spans="1:5" ht="13.2" x14ac:dyDescent="0.25">
      <c r="A608" s="7"/>
      <c r="B608" s="7"/>
      <c r="C608" s="7"/>
      <c r="D608" s="7"/>
      <c r="E608" s="7"/>
    </row>
    <row r="609" spans="1:5" ht="13.2" x14ac:dyDescent="0.25">
      <c r="A609" s="7"/>
      <c r="B609" s="7"/>
      <c r="C609" s="7"/>
      <c r="D609" s="7"/>
      <c r="E609" s="7"/>
    </row>
    <row r="610" spans="1:5" ht="13.2" x14ac:dyDescent="0.25">
      <c r="A610" s="7"/>
      <c r="B610" s="7"/>
      <c r="C610" s="7"/>
      <c r="D610" s="7"/>
      <c r="E610" s="7"/>
    </row>
    <row r="611" spans="1:5" ht="13.2" x14ac:dyDescent="0.25">
      <c r="A611" s="7"/>
      <c r="B611" s="7"/>
      <c r="C611" s="7"/>
      <c r="D611" s="7"/>
      <c r="E611" s="7"/>
    </row>
    <row r="612" spans="1:5" ht="13.2" x14ac:dyDescent="0.25">
      <c r="A612" s="7"/>
      <c r="B612" s="7"/>
      <c r="C612" s="7"/>
      <c r="D612" s="7"/>
      <c r="E612" s="7"/>
    </row>
    <row r="613" spans="1:5" ht="13.2" x14ac:dyDescent="0.25">
      <c r="A613" s="7"/>
      <c r="B613" s="7"/>
      <c r="C613" s="7"/>
      <c r="D613" s="7"/>
      <c r="E613" s="7"/>
    </row>
    <row r="614" spans="1:5" ht="13.2" x14ac:dyDescent="0.25">
      <c r="A614" s="7"/>
      <c r="B614" s="7"/>
      <c r="C614" s="7"/>
      <c r="D614" s="7"/>
      <c r="E614" s="7"/>
    </row>
    <row r="615" spans="1:5" ht="13.2" x14ac:dyDescent="0.25">
      <c r="A615" s="7"/>
      <c r="B615" s="7"/>
      <c r="C615" s="7"/>
      <c r="D615" s="7"/>
      <c r="E615" s="7"/>
    </row>
    <row r="616" spans="1:5" ht="13.2" x14ac:dyDescent="0.25">
      <c r="A616" s="7"/>
      <c r="B616" s="7"/>
      <c r="C616" s="7"/>
      <c r="D616" s="7"/>
      <c r="E616" s="7"/>
    </row>
    <row r="617" spans="1:5" ht="13.2" x14ac:dyDescent="0.25">
      <c r="A617" s="7"/>
      <c r="B617" s="7"/>
      <c r="C617" s="7"/>
      <c r="D617" s="7"/>
      <c r="E617" s="7"/>
    </row>
    <row r="618" spans="1:5" ht="13.2" x14ac:dyDescent="0.25">
      <c r="A618" s="7"/>
      <c r="B618" s="7"/>
      <c r="C618" s="7"/>
      <c r="D618" s="7"/>
      <c r="E618" s="7"/>
    </row>
    <row r="619" spans="1:5" ht="13.2" x14ac:dyDescent="0.25">
      <c r="A619" s="7"/>
      <c r="B619" s="7"/>
      <c r="C619" s="7"/>
      <c r="D619" s="7"/>
      <c r="E619" s="7"/>
    </row>
    <row r="620" spans="1:5" ht="13.2" x14ac:dyDescent="0.25">
      <c r="A620" s="7"/>
      <c r="B620" s="7"/>
      <c r="C620" s="7"/>
      <c r="D620" s="7"/>
      <c r="E620" s="7"/>
    </row>
    <row r="621" spans="1:5" ht="13.2" x14ac:dyDescent="0.25">
      <c r="A621" s="7"/>
      <c r="B621" s="7"/>
      <c r="C621" s="7"/>
      <c r="D621" s="7"/>
      <c r="E621" s="7"/>
    </row>
    <row r="622" spans="1:5" ht="13.2" x14ac:dyDescent="0.25">
      <c r="A622" s="7"/>
      <c r="B622" s="7"/>
      <c r="C622" s="7"/>
      <c r="D622" s="7"/>
      <c r="E622" s="7"/>
    </row>
    <row r="623" spans="1:5" ht="13.2" x14ac:dyDescent="0.25">
      <c r="A623" s="7"/>
      <c r="B623" s="7"/>
      <c r="C623" s="7"/>
      <c r="D623" s="7"/>
      <c r="E623" s="7"/>
    </row>
    <row r="624" spans="1:5" ht="13.2" x14ac:dyDescent="0.25">
      <c r="A624" s="7"/>
      <c r="B624" s="7"/>
      <c r="C624" s="7"/>
      <c r="D624" s="7"/>
      <c r="E624" s="7"/>
    </row>
    <row r="625" spans="1:5" ht="13.2" x14ac:dyDescent="0.25">
      <c r="A625" s="7"/>
      <c r="B625" s="7"/>
      <c r="C625" s="7"/>
      <c r="D625" s="7"/>
      <c r="E625" s="7"/>
    </row>
    <row r="626" spans="1:5" ht="13.2" x14ac:dyDescent="0.25">
      <c r="A626" s="7"/>
      <c r="B626" s="7"/>
      <c r="C626" s="7"/>
      <c r="D626" s="7"/>
      <c r="E626" s="7"/>
    </row>
    <row r="627" spans="1:5" ht="13.2" x14ac:dyDescent="0.25">
      <c r="A627" s="7"/>
      <c r="B627" s="7"/>
      <c r="C627" s="7"/>
      <c r="D627" s="7"/>
      <c r="E627" s="7"/>
    </row>
    <row r="628" spans="1:5" ht="13.2" x14ac:dyDescent="0.25">
      <c r="A628" s="7"/>
      <c r="B628" s="7"/>
      <c r="C628" s="7"/>
      <c r="D628" s="7"/>
      <c r="E628" s="7"/>
    </row>
    <row r="629" spans="1:5" ht="13.2" x14ac:dyDescent="0.25">
      <c r="A629" s="7"/>
      <c r="B629" s="7"/>
      <c r="C629" s="7"/>
      <c r="D629" s="7"/>
      <c r="E629" s="7"/>
    </row>
    <row r="630" spans="1:5" ht="13.2" x14ac:dyDescent="0.25">
      <c r="A630" s="7"/>
      <c r="B630" s="7"/>
      <c r="C630" s="7"/>
      <c r="D630" s="7"/>
      <c r="E630" s="7"/>
    </row>
    <row r="631" spans="1:5" ht="13.2" x14ac:dyDescent="0.25">
      <c r="A631" s="7"/>
      <c r="B631" s="7"/>
      <c r="C631" s="7"/>
      <c r="D631" s="7"/>
      <c r="E631" s="7"/>
    </row>
    <row r="632" spans="1:5" ht="13.2" x14ac:dyDescent="0.25">
      <c r="A632" s="7"/>
      <c r="B632" s="7"/>
      <c r="C632" s="7"/>
      <c r="D632" s="7"/>
      <c r="E632" s="7"/>
    </row>
    <row r="633" spans="1:5" ht="13.2" x14ac:dyDescent="0.25">
      <c r="A633" s="7"/>
      <c r="B633" s="7"/>
      <c r="C633" s="7"/>
      <c r="D633" s="7"/>
      <c r="E633" s="7"/>
    </row>
    <row r="634" spans="1:5" ht="13.2" x14ac:dyDescent="0.25">
      <c r="A634" s="7"/>
      <c r="B634" s="7"/>
      <c r="C634" s="7"/>
      <c r="D634" s="7"/>
      <c r="E634" s="7"/>
    </row>
    <row r="635" spans="1:5" ht="13.2" x14ac:dyDescent="0.25">
      <c r="A635" s="7"/>
      <c r="B635" s="7"/>
      <c r="C635" s="7"/>
      <c r="D635" s="7"/>
      <c r="E635" s="7"/>
    </row>
    <row r="636" spans="1:5" ht="13.2" x14ac:dyDescent="0.25">
      <c r="A636" s="7"/>
      <c r="B636" s="7"/>
      <c r="C636" s="7"/>
      <c r="D636" s="7"/>
      <c r="E636" s="7"/>
    </row>
    <row r="637" spans="1:5" ht="13.2" x14ac:dyDescent="0.25">
      <c r="A637" s="7"/>
      <c r="B637" s="7"/>
      <c r="C637" s="7"/>
      <c r="D637" s="7"/>
      <c r="E637" s="7"/>
    </row>
    <row r="638" spans="1:5" ht="13.2" x14ac:dyDescent="0.25">
      <c r="A638" s="7"/>
      <c r="B638" s="7"/>
      <c r="C638" s="7"/>
      <c r="D638" s="7"/>
      <c r="E638" s="7"/>
    </row>
    <row r="639" spans="1:5" ht="13.2" x14ac:dyDescent="0.25">
      <c r="A639" s="7"/>
      <c r="B639" s="7"/>
      <c r="C639" s="7"/>
      <c r="D639" s="7"/>
      <c r="E639" s="7"/>
    </row>
    <row r="640" spans="1:5" ht="13.2" x14ac:dyDescent="0.25">
      <c r="A640" s="7"/>
      <c r="B640" s="7"/>
      <c r="C640" s="7"/>
      <c r="D640" s="7"/>
      <c r="E640" s="7"/>
    </row>
    <row r="641" spans="1:5" ht="13.2" x14ac:dyDescent="0.25">
      <c r="A641" s="7"/>
      <c r="B641" s="7"/>
      <c r="C641" s="7"/>
      <c r="D641" s="7"/>
      <c r="E641" s="7"/>
    </row>
    <row r="642" spans="1:5" ht="13.2" x14ac:dyDescent="0.25">
      <c r="A642" s="7"/>
      <c r="B642" s="7"/>
      <c r="C642" s="7"/>
      <c r="D642" s="7"/>
      <c r="E642" s="7"/>
    </row>
    <row r="643" spans="1:5" ht="13.2" x14ac:dyDescent="0.25">
      <c r="A643" s="7"/>
      <c r="B643" s="7"/>
      <c r="C643" s="7"/>
      <c r="D643" s="7"/>
      <c r="E643" s="7"/>
    </row>
    <row r="644" spans="1:5" ht="13.2" x14ac:dyDescent="0.25">
      <c r="A644" s="7"/>
      <c r="B644" s="7"/>
      <c r="C644" s="7"/>
      <c r="D644" s="7"/>
      <c r="E644" s="7"/>
    </row>
    <row r="645" spans="1:5" ht="13.2" x14ac:dyDescent="0.25">
      <c r="A645" s="7"/>
      <c r="B645" s="7"/>
      <c r="C645" s="7"/>
      <c r="D645" s="7"/>
      <c r="E645" s="7"/>
    </row>
    <row r="646" spans="1:5" ht="13.2" x14ac:dyDescent="0.25">
      <c r="A646" s="7"/>
      <c r="B646" s="7"/>
      <c r="C646" s="7"/>
      <c r="D646" s="7"/>
      <c r="E646" s="7"/>
    </row>
    <row r="647" spans="1:5" ht="13.2" x14ac:dyDescent="0.25">
      <c r="A647" s="7"/>
      <c r="B647" s="7"/>
      <c r="C647" s="7"/>
      <c r="D647" s="7"/>
      <c r="E647" s="7"/>
    </row>
    <row r="648" spans="1:5" ht="13.2" x14ac:dyDescent="0.25">
      <c r="A648" s="7"/>
      <c r="B648" s="7"/>
      <c r="C648" s="7"/>
      <c r="D648" s="7"/>
      <c r="E648" s="7"/>
    </row>
    <row r="649" spans="1:5" ht="13.2" x14ac:dyDescent="0.25">
      <c r="A649" s="7"/>
      <c r="B649" s="7"/>
      <c r="C649" s="7"/>
      <c r="D649" s="7"/>
      <c r="E649" s="7"/>
    </row>
    <row r="650" spans="1:5" ht="13.2" x14ac:dyDescent="0.25">
      <c r="A650" s="7"/>
      <c r="B650" s="7"/>
      <c r="C650" s="7"/>
      <c r="D650" s="7"/>
      <c r="E650" s="7"/>
    </row>
    <row r="651" spans="1:5" ht="13.2" x14ac:dyDescent="0.25">
      <c r="A651" s="7"/>
      <c r="B651" s="7"/>
      <c r="C651" s="7"/>
      <c r="D651" s="7"/>
      <c r="E651" s="7"/>
    </row>
    <row r="652" spans="1:5" ht="13.2" x14ac:dyDescent="0.25">
      <c r="A652" s="7"/>
      <c r="B652" s="7"/>
      <c r="C652" s="7"/>
      <c r="D652" s="7"/>
      <c r="E652" s="7"/>
    </row>
    <row r="653" spans="1:5" ht="13.2" x14ac:dyDescent="0.25">
      <c r="A653" s="7"/>
      <c r="B653" s="7"/>
      <c r="C653" s="7"/>
      <c r="D653" s="7"/>
      <c r="E653" s="7"/>
    </row>
    <row r="654" spans="1:5" ht="13.2" x14ac:dyDescent="0.25">
      <c r="A654" s="7"/>
      <c r="B654" s="7"/>
      <c r="C654" s="7"/>
      <c r="D654" s="7"/>
      <c r="E654" s="7"/>
    </row>
    <row r="655" spans="1:5" ht="13.2" x14ac:dyDescent="0.25">
      <c r="A655" s="7"/>
      <c r="B655" s="7"/>
      <c r="C655" s="7"/>
      <c r="D655" s="7"/>
      <c r="E655" s="7"/>
    </row>
    <row r="656" spans="1:5" ht="13.2" x14ac:dyDescent="0.25">
      <c r="A656" s="7"/>
      <c r="B656" s="7"/>
      <c r="C656" s="7"/>
      <c r="D656" s="7"/>
      <c r="E656" s="7"/>
    </row>
    <row r="657" spans="1:5" ht="13.2" x14ac:dyDescent="0.25">
      <c r="A657" s="7"/>
      <c r="B657" s="7"/>
      <c r="C657" s="7"/>
      <c r="D657" s="7"/>
      <c r="E657" s="7"/>
    </row>
    <row r="658" spans="1:5" ht="13.2" x14ac:dyDescent="0.25">
      <c r="A658" s="7"/>
      <c r="B658" s="7"/>
      <c r="C658" s="7"/>
      <c r="D658" s="7"/>
      <c r="E658" s="7"/>
    </row>
    <row r="659" spans="1:5" ht="13.2" x14ac:dyDescent="0.25">
      <c r="A659" s="7"/>
      <c r="B659" s="7"/>
      <c r="C659" s="7"/>
      <c r="D659" s="7"/>
      <c r="E659" s="7"/>
    </row>
    <row r="660" spans="1:5" ht="13.2" x14ac:dyDescent="0.25">
      <c r="A660" s="7"/>
      <c r="B660" s="7"/>
      <c r="C660" s="7"/>
      <c r="D660" s="7"/>
      <c r="E660" s="7"/>
    </row>
    <row r="661" spans="1:5" ht="13.2" x14ac:dyDescent="0.25">
      <c r="A661" s="7"/>
      <c r="B661" s="7"/>
      <c r="C661" s="7"/>
      <c r="D661" s="7"/>
      <c r="E661" s="7"/>
    </row>
    <row r="662" spans="1:5" ht="13.2" x14ac:dyDescent="0.25">
      <c r="A662" s="7"/>
      <c r="B662" s="7"/>
      <c r="C662" s="7"/>
      <c r="D662" s="7"/>
      <c r="E662" s="7"/>
    </row>
    <row r="663" spans="1:5" ht="13.2" x14ac:dyDescent="0.25">
      <c r="A663" s="7"/>
      <c r="B663" s="7"/>
      <c r="C663" s="7"/>
      <c r="D663" s="7"/>
      <c r="E663" s="7"/>
    </row>
    <row r="664" spans="1:5" ht="13.2" x14ac:dyDescent="0.25">
      <c r="A664" s="7"/>
      <c r="B664" s="7"/>
      <c r="C664" s="7"/>
      <c r="D664" s="7"/>
      <c r="E664" s="7"/>
    </row>
    <row r="665" spans="1:5" ht="13.2" x14ac:dyDescent="0.25">
      <c r="A665" s="7"/>
      <c r="B665" s="7"/>
      <c r="C665" s="7"/>
      <c r="D665" s="7"/>
      <c r="E665" s="7"/>
    </row>
    <row r="666" spans="1:5" ht="13.2" x14ac:dyDescent="0.25">
      <c r="A666" s="7"/>
      <c r="B666" s="7"/>
      <c r="C666" s="7"/>
      <c r="D666" s="7"/>
      <c r="E666" s="7"/>
    </row>
    <row r="667" spans="1:5" ht="13.2" x14ac:dyDescent="0.25">
      <c r="A667" s="7"/>
      <c r="B667" s="7"/>
      <c r="C667" s="7"/>
      <c r="D667" s="7"/>
      <c r="E667" s="7"/>
    </row>
    <row r="668" spans="1:5" ht="13.2" x14ac:dyDescent="0.25">
      <c r="A668" s="7"/>
      <c r="B668" s="7"/>
      <c r="C668" s="7"/>
      <c r="D668" s="7"/>
      <c r="E668" s="7"/>
    </row>
    <row r="669" spans="1:5" ht="13.2" x14ac:dyDescent="0.25">
      <c r="A669" s="7"/>
      <c r="B669" s="7"/>
      <c r="C669" s="7"/>
      <c r="D669" s="7"/>
      <c r="E669" s="7"/>
    </row>
    <row r="670" spans="1:5" ht="13.2" x14ac:dyDescent="0.25">
      <c r="A670" s="7"/>
      <c r="B670" s="7"/>
      <c r="C670" s="7"/>
      <c r="D670" s="7"/>
      <c r="E670" s="7"/>
    </row>
    <row r="671" spans="1:5" ht="13.2" x14ac:dyDescent="0.25">
      <c r="A671" s="7"/>
      <c r="B671" s="7"/>
      <c r="C671" s="7"/>
      <c r="D671" s="7"/>
      <c r="E671" s="7"/>
    </row>
    <row r="672" spans="1:5" ht="13.2" x14ac:dyDescent="0.25">
      <c r="A672" s="7"/>
      <c r="B672" s="7"/>
      <c r="C672" s="7"/>
      <c r="D672" s="7"/>
      <c r="E672" s="7"/>
    </row>
    <row r="673" spans="1:5" ht="13.2" x14ac:dyDescent="0.25">
      <c r="A673" s="7"/>
      <c r="B673" s="7"/>
      <c r="C673" s="7"/>
      <c r="D673" s="7"/>
      <c r="E673" s="7"/>
    </row>
    <row r="674" spans="1:5" ht="13.2" x14ac:dyDescent="0.25">
      <c r="A674" s="7"/>
      <c r="B674" s="7"/>
      <c r="C674" s="7"/>
      <c r="D674" s="7"/>
      <c r="E674" s="7"/>
    </row>
    <row r="675" spans="1:5" ht="13.2" x14ac:dyDescent="0.25">
      <c r="A675" s="7"/>
      <c r="B675" s="7"/>
      <c r="C675" s="7"/>
      <c r="D675" s="7"/>
      <c r="E675" s="7"/>
    </row>
    <row r="676" spans="1:5" ht="13.2" x14ac:dyDescent="0.25">
      <c r="A676" s="7"/>
      <c r="B676" s="7"/>
      <c r="C676" s="7"/>
      <c r="D676" s="7"/>
      <c r="E676" s="7"/>
    </row>
    <row r="677" spans="1:5" ht="13.2" x14ac:dyDescent="0.25">
      <c r="A677" s="7"/>
      <c r="B677" s="7"/>
      <c r="C677" s="7"/>
      <c r="D677" s="7"/>
      <c r="E677" s="7"/>
    </row>
    <row r="678" spans="1:5" ht="13.2" x14ac:dyDescent="0.25">
      <c r="A678" s="7"/>
      <c r="B678" s="7"/>
      <c r="C678" s="7"/>
      <c r="D678" s="7"/>
      <c r="E678" s="7"/>
    </row>
    <row r="679" spans="1:5" ht="13.2" x14ac:dyDescent="0.25">
      <c r="A679" s="7"/>
      <c r="B679" s="7"/>
      <c r="C679" s="7"/>
      <c r="D679" s="7"/>
      <c r="E679" s="7"/>
    </row>
    <row r="680" spans="1:5" ht="13.2" x14ac:dyDescent="0.25">
      <c r="A680" s="7"/>
      <c r="B680" s="7"/>
      <c r="C680" s="7"/>
      <c r="D680" s="7"/>
      <c r="E680" s="7"/>
    </row>
    <row r="681" spans="1:5" ht="13.2" x14ac:dyDescent="0.25">
      <c r="A681" s="7"/>
      <c r="B681" s="7"/>
      <c r="C681" s="7"/>
      <c r="D681" s="7"/>
      <c r="E681" s="7"/>
    </row>
    <row r="682" spans="1:5" ht="13.2" x14ac:dyDescent="0.25">
      <c r="A682" s="7"/>
      <c r="B682" s="7"/>
      <c r="C682" s="7"/>
      <c r="D682" s="7"/>
      <c r="E682" s="7"/>
    </row>
    <row r="683" spans="1:5" ht="13.2" x14ac:dyDescent="0.25">
      <c r="A683" s="7"/>
      <c r="B683" s="7"/>
      <c r="C683" s="7"/>
      <c r="D683" s="7"/>
      <c r="E683" s="7"/>
    </row>
    <row r="684" spans="1:5" ht="13.2" x14ac:dyDescent="0.25">
      <c r="A684" s="7"/>
      <c r="B684" s="7"/>
      <c r="C684" s="7"/>
      <c r="D684" s="7"/>
      <c r="E684" s="7"/>
    </row>
    <row r="685" spans="1:5" ht="13.2" x14ac:dyDescent="0.25">
      <c r="A685" s="7"/>
      <c r="B685" s="7"/>
      <c r="C685" s="7"/>
      <c r="D685" s="7"/>
      <c r="E685" s="7"/>
    </row>
    <row r="686" spans="1:5" ht="13.2" x14ac:dyDescent="0.25">
      <c r="A686" s="7"/>
      <c r="B686" s="7"/>
      <c r="C686" s="7"/>
      <c r="D686" s="7"/>
      <c r="E686" s="7"/>
    </row>
    <row r="687" spans="1:5" ht="13.2" x14ac:dyDescent="0.25">
      <c r="A687" s="7"/>
      <c r="B687" s="7"/>
      <c r="C687" s="7"/>
      <c r="D687" s="7"/>
      <c r="E687" s="7"/>
    </row>
    <row r="688" spans="1:5" ht="13.2" x14ac:dyDescent="0.25">
      <c r="A688" s="7"/>
      <c r="B688" s="7"/>
      <c r="C688" s="7"/>
      <c r="D688" s="7"/>
      <c r="E688" s="7"/>
    </row>
    <row r="689" spans="1:5" ht="13.2" x14ac:dyDescent="0.25">
      <c r="A689" s="7"/>
      <c r="B689" s="7"/>
      <c r="C689" s="7"/>
      <c r="D689" s="7"/>
      <c r="E689" s="7"/>
    </row>
    <row r="690" spans="1:5" ht="13.2" x14ac:dyDescent="0.25">
      <c r="A690" s="7"/>
      <c r="B690" s="7"/>
      <c r="C690" s="7"/>
      <c r="D690" s="7"/>
      <c r="E690" s="7"/>
    </row>
    <row r="691" spans="1:5" ht="13.2" x14ac:dyDescent="0.25">
      <c r="A691" s="7"/>
      <c r="B691" s="7"/>
      <c r="C691" s="7"/>
      <c r="D691" s="7"/>
      <c r="E691" s="7"/>
    </row>
    <row r="692" spans="1:5" ht="13.2" x14ac:dyDescent="0.25">
      <c r="A692" s="7"/>
      <c r="B692" s="7"/>
      <c r="C692" s="7"/>
      <c r="D692" s="7"/>
      <c r="E692" s="7"/>
    </row>
    <row r="693" spans="1:5" ht="13.2" x14ac:dyDescent="0.25">
      <c r="A693" s="7"/>
      <c r="B693" s="7"/>
      <c r="C693" s="7"/>
      <c r="D693" s="7"/>
      <c r="E693" s="7"/>
    </row>
    <row r="694" spans="1:5" ht="13.2" x14ac:dyDescent="0.25">
      <c r="A694" s="7"/>
      <c r="B694" s="7"/>
      <c r="C694" s="7"/>
      <c r="D694" s="7"/>
      <c r="E694" s="7"/>
    </row>
    <row r="695" spans="1:5" ht="13.2" x14ac:dyDescent="0.25">
      <c r="A695" s="7"/>
      <c r="B695" s="7"/>
      <c r="C695" s="7"/>
      <c r="D695" s="7"/>
      <c r="E695" s="7"/>
    </row>
    <row r="696" spans="1:5" ht="13.2" x14ac:dyDescent="0.25">
      <c r="A696" s="7"/>
      <c r="B696" s="7"/>
      <c r="C696" s="7"/>
      <c r="D696" s="7"/>
      <c r="E696" s="7"/>
    </row>
    <row r="697" spans="1:5" ht="13.2" x14ac:dyDescent="0.25">
      <c r="A697" s="7"/>
      <c r="B697" s="7"/>
      <c r="C697" s="7"/>
      <c r="D697" s="7"/>
      <c r="E697" s="7"/>
    </row>
    <row r="698" spans="1:5" ht="13.2" x14ac:dyDescent="0.25">
      <c r="A698" s="7"/>
      <c r="B698" s="7"/>
      <c r="C698" s="7"/>
      <c r="D698" s="7"/>
      <c r="E698" s="7"/>
    </row>
    <row r="699" spans="1:5" ht="13.2" x14ac:dyDescent="0.25">
      <c r="A699" s="7"/>
      <c r="B699" s="7"/>
      <c r="C699" s="7"/>
      <c r="D699" s="7"/>
      <c r="E699" s="7"/>
    </row>
    <row r="700" spans="1:5" ht="13.2" x14ac:dyDescent="0.25">
      <c r="A700" s="7"/>
      <c r="B700" s="7"/>
      <c r="C700" s="7"/>
      <c r="D700" s="7"/>
      <c r="E700" s="7"/>
    </row>
    <row r="701" spans="1:5" ht="13.2" x14ac:dyDescent="0.25">
      <c r="A701" s="7"/>
      <c r="B701" s="7"/>
      <c r="C701" s="7"/>
      <c r="D701" s="7"/>
      <c r="E701" s="7"/>
    </row>
    <row r="702" spans="1:5" ht="13.2" x14ac:dyDescent="0.25">
      <c r="A702" s="7"/>
      <c r="B702" s="7"/>
      <c r="C702" s="7"/>
      <c r="D702" s="7"/>
      <c r="E702" s="7"/>
    </row>
    <row r="703" spans="1:5" ht="13.2" x14ac:dyDescent="0.25">
      <c r="A703" s="7"/>
      <c r="B703" s="7"/>
      <c r="C703" s="7"/>
      <c r="D703" s="7"/>
      <c r="E703" s="7"/>
    </row>
    <row r="704" spans="1:5" ht="13.2" x14ac:dyDescent="0.25">
      <c r="A704" s="7"/>
      <c r="B704" s="7"/>
      <c r="C704" s="7"/>
      <c r="D704" s="7"/>
      <c r="E704" s="7"/>
    </row>
    <row r="705" spans="1:5" ht="13.2" x14ac:dyDescent="0.25">
      <c r="A705" s="7"/>
      <c r="B705" s="7"/>
      <c r="C705" s="7"/>
      <c r="D705" s="7"/>
      <c r="E705" s="7"/>
    </row>
    <row r="706" spans="1:5" ht="13.2" x14ac:dyDescent="0.25">
      <c r="A706" s="7"/>
      <c r="B706" s="7"/>
      <c r="C706" s="7"/>
      <c r="D706" s="7"/>
      <c r="E706" s="7"/>
    </row>
    <row r="707" spans="1:5" ht="13.2" x14ac:dyDescent="0.25">
      <c r="A707" s="7"/>
      <c r="B707" s="7"/>
      <c r="C707" s="7"/>
      <c r="D707" s="7"/>
      <c r="E707" s="7"/>
    </row>
    <row r="708" spans="1:5" ht="13.2" x14ac:dyDescent="0.25">
      <c r="A708" s="7"/>
      <c r="B708" s="7"/>
      <c r="C708" s="7"/>
      <c r="D708" s="7"/>
      <c r="E708" s="7"/>
    </row>
    <row r="709" spans="1:5" ht="13.2" x14ac:dyDescent="0.25">
      <c r="A709" s="7"/>
      <c r="B709" s="7"/>
      <c r="C709" s="7"/>
      <c r="D709" s="7"/>
      <c r="E709" s="7"/>
    </row>
    <row r="710" spans="1:5" ht="13.2" x14ac:dyDescent="0.25">
      <c r="A710" s="7"/>
      <c r="B710" s="7"/>
      <c r="C710" s="7"/>
      <c r="D710" s="7"/>
      <c r="E710" s="7"/>
    </row>
    <row r="711" spans="1:5" ht="13.2" x14ac:dyDescent="0.25">
      <c r="A711" s="7"/>
      <c r="B711" s="7"/>
      <c r="C711" s="7"/>
      <c r="D711" s="7"/>
      <c r="E711" s="7"/>
    </row>
    <row r="712" spans="1:5" ht="13.2" x14ac:dyDescent="0.25">
      <c r="A712" s="7"/>
      <c r="B712" s="7"/>
      <c r="C712" s="7"/>
      <c r="D712" s="7"/>
      <c r="E712" s="7"/>
    </row>
    <row r="713" spans="1:5" ht="13.2" x14ac:dyDescent="0.25">
      <c r="A713" s="7"/>
      <c r="B713" s="7"/>
      <c r="C713" s="7"/>
      <c r="D713" s="7"/>
      <c r="E713" s="7"/>
    </row>
    <row r="714" spans="1:5" ht="13.2" x14ac:dyDescent="0.25">
      <c r="A714" s="7"/>
      <c r="B714" s="7"/>
      <c r="C714" s="7"/>
      <c r="D714" s="7"/>
      <c r="E714" s="7"/>
    </row>
    <row r="715" spans="1:5" ht="13.2" x14ac:dyDescent="0.25">
      <c r="A715" s="7"/>
      <c r="B715" s="7"/>
      <c r="C715" s="7"/>
      <c r="D715" s="7"/>
      <c r="E715" s="7"/>
    </row>
    <row r="716" spans="1:5" ht="13.2" x14ac:dyDescent="0.25">
      <c r="A716" s="7"/>
      <c r="B716" s="7"/>
      <c r="C716" s="7"/>
      <c r="D716" s="7"/>
      <c r="E716" s="7"/>
    </row>
    <row r="717" spans="1:5" ht="13.2" x14ac:dyDescent="0.25">
      <c r="A717" s="7"/>
      <c r="B717" s="7"/>
      <c r="C717" s="7"/>
      <c r="D717" s="7"/>
      <c r="E717" s="7"/>
    </row>
    <row r="718" spans="1:5" ht="13.2" x14ac:dyDescent="0.25">
      <c r="A718" s="7"/>
      <c r="B718" s="7"/>
      <c r="C718" s="7"/>
      <c r="D718" s="7"/>
      <c r="E718" s="7"/>
    </row>
    <row r="719" spans="1:5" ht="13.2" x14ac:dyDescent="0.25">
      <c r="A719" s="7"/>
      <c r="B719" s="7"/>
      <c r="C719" s="7"/>
      <c r="D719" s="7"/>
      <c r="E719" s="7"/>
    </row>
    <row r="720" spans="1:5" ht="13.2" x14ac:dyDescent="0.25">
      <c r="A720" s="7"/>
      <c r="B720" s="7"/>
      <c r="C720" s="7"/>
      <c r="D720" s="7"/>
      <c r="E720" s="7"/>
    </row>
    <row r="721" spans="1:5" ht="13.2" x14ac:dyDescent="0.25">
      <c r="A721" s="7"/>
      <c r="B721" s="7"/>
      <c r="C721" s="7"/>
      <c r="D721" s="7"/>
      <c r="E721" s="7"/>
    </row>
    <row r="722" spans="1:5" ht="13.2" x14ac:dyDescent="0.25">
      <c r="A722" s="7"/>
      <c r="B722" s="7"/>
      <c r="C722" s="7"/>
      <c r="D722" s="7"/>
      <c r="E722" s="7"/>
    </row>
    <row r="723" spans="1:5" ht="13.2" x14ac:dyDescent="0.25">
      <c r="A723" s="7"/>
      <c r="B723" s="7"/>
      <c r="C723" s="7"/>
      <c r="D723" s="7"/>
      <c r="E723" s="7"/>
    </row>
    <row r="724" spans="1:5" ht="13.2" x14ac:dyDescent="0.25">
      <c r="A724" s="7"/>
      <c r="B724" s="7"/>
      <c r="C724" s="7"/>
      <c r="D724" s="7"/>
      <c r="E724" s="7"/>
    </row>
    <row r="725" spans="1:5" ht="13.2" x14ac:dyDescent="0.25">
      <c r="A725" s="7"/>
      <c r="B725" s="7"/>
      <c r="C725" s="7"/>
      <c r="D725" s="7"/>
      <c r="E725" s="7"/>
    </row>
    <row r="726" spans="1:5" ht="13.2" x14ac:dyDescent="0.25">
      <c r="A726" s="7"/>
      <c r="B726" s="7"/>
      <c r="C726" s="7"/>
      <c r="D726" s="7"/>
      <c r="E726" s="7"/>
    </row>
    <row r="727" spans="1:5" ht="13.2" x14ac:dyDescent="0.25">
      <c r="A727" s="7"/>
      <c r="B727" s="7"/>
      <c r="C727" s="7"/>
      <c r="D727" s="7"/>
      <c r="E727" s="7"/>
    </row>
    <row r="728" spans="1:5" ht="13.2" x14ac:dyDescent="0.25">
      <c r="A728" s="7"/>
      <c r="B728" s="7"/>
      <c r="C728" s="7"/>
      <c r="D728" s="7"/>
      <c r="E728" s="7"/>
    </row>
    <row r="729" spans="1:5" ht="13.2" x14ac:dyDescent="0.25">
      <c r="A729" s="7"/>
      <c r="B729" s="7"/>
      <c r="C729" s="7"/>
      <c r="D729" s="7"/>
      <c r="E729" s="7"/>
    </row>
    <row r="730" spans="1:5" ht="13.2" x14ac:dyDescent="0.25">
      <c r="A730" s="7"/>
      <c r="B730" s="7"/>
      <c r="C730" s="7"/>
      <c r="D730" s="7"/>
      <c r="E730" s="7"/>
    </row>
    <row r="731" spans="1:5" ht="13.2" x14ac:dyDescent="0.25">
      <c r="A731" s="7"/>
      <c r="B731" s="7"/>
      <c r="C731" s="7"/>
      <c r="D731" s="7"/>
      <c r="E731" s="7"/>
    </row>
    <row r="732" spans="1:5" ht="13.2" x14ac:dyDescent="0.25">
      <c r="A732" s="7"/>
      <c r="B732" s="7"/>
      <c r="C732" s="7"/>
      <c r="D732" s="7"/>
      <c r="E732" s="7"/>
    </row>
    <row r="733" spans="1:5" ht="13.2" x14ac:dyDescent="0.25">
      <c r="A733" s="7"/>
      <c r="B733" s="7"/>
      <c r="C733" s="7"/>
      <c r="D733" s="7"/>
      <c r="E733" s="7"/>
    </row>
    <row r="734" spans="1:5" ht="13.2" x14ac:dyDescent="0.25">
      <c r="A734" s="7"/>
      <c r="B734" s="7"/>
      <c r="C734" s="7"/>
      <c r="D734" s="7"/>
      <c r="E734" s="7"/>
    </row>
    <row r="735" spans="1:5" ht="13.2" x14ac:dyDescent="0.25">
      <c r="A735" s="7"/>
      <c r="B735" s="7"/>
      <c r="C735" s="7"/>
      <c r="D735" s="7"/>
      <c r="E735" s="7"/>
    </row>
    <row r="736" spans="1:5" ht="13.2" x14ac:dyDescent="0.25">
      <c r="A736" s="7"/>
      <c r="B736" s="7"/>
      <c r="C736" s="7"/>
      <c r="D736" s="7"/>
      <c r="E736" s="7"/>
    </row>
    <row r="737" spans="1:5" ht="13.2" x14ac:dyDescent="0.25">
      <c r="A737" s="7"/>
      <c r="B737" s="7"/>
      <c r="C737" s="7"/>
      <c r="D737" s="7"/>
      <c r="E737" s="7"/>
    </row>
    <row r="738" spans="1:5" ht="13.2" x14ac:dyDescent="0.25">
      <c r="A738" s="7"/>
      <c r="B738" s="7"/>
      <c r="C738" s="7"/>
      <c r="D738" s="7"/>
      <c r="E738" s="7"/>
    </row>
    <row r="739" spans="1:5" ht="13.2" x14ac:dyDescent="0.25">
      <c r="A739" s="7"/>
      <c r="B739" s="7"/>
      <c r="C739" s="7"/>
      <c r="D739" s="7"/>
      <c r="E739" s="7"/>
    </row>
    <row r="740" spans="1:5" ht="13.2" x14ac:dyDescent="0.25">
      <c r="A740" s="7"/>
      <c r="B740" s="7"/>
      <c r="C740" s="7"/>
      <c r="D740" s="7"/>
      <c r="E740" s="7"/>
    </row>
    <row r="741" spans="1:5" ht="13.2" x14ac:dyDescent="0.25">
      <c r="A741" s="7"/>
      <c r="B741" s="7"/>
      <c r="C741" s="7"/>
      <c r="D741" s="7"/>
      <c r="E741" s="7"/>
    </row>
    <row r="742" spans="1:5" ht="13.2" x14ac:dyDescent="0.25">
      <c r="A742" s="7"/>
      <c r="B742" s="7"/>
      <c r="C742" s="7"/>
      <c r="D742" s="7"/>
      <c r="E742" s="7"/>
    </row>
    <row r="743" spans="1:5" ht="13.2" x14ac:dyDescent="0.25">
      <c r="A743" s="7"/>
      <c r="B743" s="7"/>
      <c r="C743" s="7"/>
      <c r="D743" s="7"/>
      <c r="E743" s="7"/>
    </row>
    <row r="744" spans="1:5" ht="13.2" x14ac:dyDescent="0.25">
      <c r="A744" s="7"/>
      <c r="B744" s="7"/>
      <c r="C744" s="7"/>
      <c r="D744" s="7"/>
      <c r="E744" s="7"/>
    </row>
    <row r="745" spans="1:5" ht="13.2" x14ac:dyDescent="0.25">
      <c r="A745" s="7"/>
      <c r="B745" s="7"/>
      <c r="C745" s="7"/>
      <c r="D745" s="7"/>
      <c r="E745" s="7"/>
    </row>
    <row r="746" spans="1:5" ht="13.2" x14ac:dyDescent="0.25">
      <c r="A746" s="7"/>
      <c r="B746" s="7"/>
      <c r="C746" s="7"/>
      <c r="D746" s="7"/>
      <c r="E746" s="7"/>
    </row>
    <row r="747" spans="1:5" ht="13.2" x14ac:dyDescent="0.25">
      <c r="A747" s="7"/>
      <c r="B747" s="7"/>
      <c r="C747" s="7"/>
      <c r="D747" s="7"/>
      <c r="E747" s="7"/>
    </row>
    <row r="748" spans="1:5" ht="13.2" x14ac:dyDescent="0.25">
      <c r="A748" s="7"/>
      <c r="B748" s="7"/>
      <c r="C748" s="7"/>
      <c r="D748" s="7"/>
      <c r="E748" s="7"/>
    </row>
    <row r="749" spans="1:5" ht="13.2" x14ac:dyDescent="0.25">
      <c r="A749" s="7"/>
      <c r="B749" s="7"/>
      <c r="C749" s="7"/>
      <c r="D749" s="7"/>
      <c r="E749" s="7"/>
    </row>
    <row r="750" spans="1:5" ht="13.2" x14ac:dyDescent="0.25">
      <c r="A750" s="7"/>
      <c r="B750" s="7"/>
      <c r="C750" s="7"/>
      <c r="D750" s="7"/>
      <c r="E750" s="7"/>
    </row>
    <row r="751" spans="1:5" ht="13.2" x14ac:dyDescent="0.25">
      <c r="A751" s="7"/>
      <c r="B751" s="7"/>
      <c r="C751" s="7"/>
      <c r="D751" s="7"/>
      <c r="E751" s="7"/>
    </row>
    <row r="752" spans="1:5" ht="13.2" x14ac:dyDescent="0.25">
      <c r="A752" s="7"/>
      <c r="B752" s="7"/>
      <c r="C752" s="7"/>
      <c r="D752" s="7"/>
      <c r="E752" s="7"/>
    </row>
    <row r="753" spans="1:5" ht="13.2" x14ac:dyDescent="0.25">
      <c r="A753" s="7"/>
      <c r="B753" s="7"/>
      <c r="C753" s="7"/>
      <c r="D753" s="7"/>
      <c r="E753" s="7"/>
    </row>
    <row r="754" spans="1:5" ht="13.2" x14ac:dyDescent="0.25">
      <c r="A754" s="7"/>
      <c r="B754" s="7"/>
      <c r="C754" s="7"/>
      <c r="D754" s="7"/>
      <c r="E754" s="7"/>
    </row>
    <row r="755" spans="1:5" ht="13.2" x14ac:dyDescent="0.25">
      <c r="A755" s="7"/>
      <c r="B755" s="7"/>
      <c r="C755" s="7"/>
      <c r="D755" s="7"/>
      <c r="E755" s="7"/>
    </row>
    <row r="756" spans="1:5" ht="13.2" x14ac:dyDescent="0.25">
      <c r="A756" s="7"/>
      <c r="B756" s="7"/>
      <c r="C756" s="7"/>
      <c r="D756" s="7"/>
      <c r="E756" s="7"/>
    </row>
    <row r="757" spans="1:5" ht="13.2" x14ac:dyDescent="0.25">
      <c r="A757" s="7"/>
      <c r="B757" s="7"/>
      <c r="C757" s="7"/>
      <c r="D757" s="7"/>
      <c r="E757" s="7"/>
    </row>
    <row r="758" spans="1:5" ht="13.2" x14ac:dyDescent="0.25">
      <c r="A758" s="7"/>
      <c r="B758" s="7"/>
      <c r="C758" s="7"/>
      <c r="D758" s="7"/>
      <c r="E758" s="7"/>
    </row>
    <row r="759" spans="1:5" ht="13.2" x14ac:dyDescent="0.25">
      <c r="A759" s="7"/>
      <c r="B759" s="7"/>
      <c r="C759" s="7"/>
      <c r="D759" s="7"/>
      <c r="E759" s="7"/>
    </row>
    <row r="760" spans="1:5" ht="13.2" x14ac:dyDescent="0.25">
      <c r="A760" s="7"/>
      <c r="B760" s="7"/>
      <c r="C760" s="7"/>
      <c r="D760" s="7"/>
      <c r="E760" s="7"/>
    </row>
    <row r="761" spans="1:5" ht="13.2" x14ac:dyDescent="0.25">
      <c r="A761" s="7"/>
      <c r="B761" s="7"/>
      <c r="C761" s="7"/>
      <c r="D761" s="7"/>
      <c r="E761" s="7"/>
    </row>
    <row r="762" spans="1:5" ht="13.2" x14ac:dyDescent="0.25">
      <c r="A762" s="7"/>
      <c r="B762" s="7"/>
      <c r="C762" s="7"/>
      <c r="D762" s="7"/>
      <c r="E762" s="7"/>
    </row>
    <row r="763" spans="1:5" ht="13.2" x14ac:dyDescent="0.25">
      <c r="A763" s="7"/>
      <c r="B763" s="7"/>
      <c r="C763" s="7"/>
      <c r="D763" s="7"/>
      <c r="E763" s="7"/>
    </row>
    <row r="764" spans="1:5" ht="13.2" x14ac:dyDescent="0.25">
      <c r="A764" s="7"/>
      <c r="B764" s="7"/>
      <c r="C764" s="7"/>
      <c r="D764" s="7"/>
      <c r="E764" s="7"/>
    </row>
    <row r="765" spans="1:5" ht="13.2" x14ac:dyDescent="0.25">
      <c r="A765" s="7"/>
      <c r="B765" s="7"/>
      <c r="C765" s="7"/>
      <c r="D765" s="7"/>
      <c r="E765" s="7"/>
    </row>
    <row r="766" spans="1:5" ht="13.2" x14ac:dyDescent="0.25">
      <c r="A766" s="7"/>
      <c r="B766" s="7"/>
      <c r="C766" s="7"/>
      <c r="D766" s="7"/>
      <c r="E766" s="7"/>
    </row>
    <row r="767" spans="1:5" ht="13.2" x14ac:dyDescent="0.25">
      <c r="A767" s="7"/>
      <c r="B767" s="7"/>
      <c r="C767" s="7"/>
      <c r="D767" s="7"/>
      <c r="E767" s="7"/>
    </row>
    <row r="768" spans="1:5" ht="13.2" x14ac:dyDescent="0.25">
      <c r="A768" s="7"/>
      <c r="B768" s="7"/>
      <c r="C768" s="7"/>
      <c r="D768" s="7"/>
      <c r="E768" s="7"/>
    </row>
    <row r="769" spans="1:5" ht="13.2" x14ac:dyDescent="0.25">
      <c r="A769" s="7"/>
      <c r="B769" s="7"/>
      <c r="C769" s="7"/>
      <c r="D769" s="7"/>
      <c r="E769" s="7"/>
    </row>
    <row r="770" spans="1:5" ht="13.2" x14ac:dyDescent="0.25">
      <c r="A770" s="7"/>
      <c r="B770" s="7"/>
      <c r="C770" s="7"/>
      <c r="D770" s="7"/>
      <c r="E770" s="7"/>
    </row>
    <row r="771" spans="1:5" ht="13.2" x14ac:dyDescent="0.25">
      <c r="A771" s="7"/>
      <c r="B771" s="7"/>
      <c r="C771" s="7"/>
      <c r="D771" s="7"/>
      <c r="E771" s="7"/>
    </row>
    <row r="772" spans="1:5" ht="13.2" x14ac:dyDescent="0.25">
      <c r="A772" s="7"/>
      <c r="B772" s="7"/>
      <c r="C772" s="7"/>
      <c r="D772" s="7"/>
      <c r="E772" s="7"/>
    </row>
    <row r="773" spans="1:5" ht="13.2" x14ac:dyDescent="0.25">
      <c r="A773" s="7"/>
      <c r="B773" s="7"/>
      <c r="C773" s="7"/>
      <c r="D773" s="7"/>
      <c r="E773" s="7"/>
    </row>
    <row r="774" spans="1:5" ht="13.2" x14ac:dyDescent="0.25">
      <c r="A774" s="7"/>
      <c r="B774" s="7"/>
      <c r="C774" s="7"/>
      <c r="D774" s="7"/>
      <c r="E774" s="7"/>
    </row>
    <row r="775" spans="1:5" ht="13.2" x14ac:dyDescent="0.25">
      <c r="A775" s="7"/>
      <c r="B775" s="7"/>
      <c r="C775" s="7"/>
      <c r="D775" s="7"/>
      <c r="E775" s="7"/>
    </row>
    <row r="776" spans="1:5" ht="13.2" x14ac:dyDescent="0.25">
      <c r="A776" s="7"/>
      <c r="B776" s="7"/>
      <c r="C776" s="7"/>
      <c r="D776" s="7"/>
      <c r="E776" s="7"/>
    </row>
    <row r="777" spans="1:5" ht="13.2" x14ac:dyDescent="0.25">
      <c r="A777" s="7"/>
      <c r="B777" s="7"/>
      <c r="C777" s="7"/>
      <c r="D777" s="7"/>
      <c r="E777" s="7"/>
    </row>
    <row r="778" spans="1:5" ht="13.2" x14ac:dyDescent="0.25">
      <c r="A778" s="7"/>
      <c r="B778" s="7"/>
      <c r="C778" s="7"/>
      <c r="D778" s="7"/>
      <c r="E778" s="7"/>
    </row>
    <row r="779" spans="1:5" ht="13.2" x14ac:dyDescent="0.25">
      <c r="A779" s="7"/>
      <c r="B779" s="7"/>
      <c r="C779" s="7"/>
      <c r="D779" s="7"/>
      <c r="E779" s="7"/>
    </row>
    <row r="780" spans="1:5" ht="13.2" x14ac:dyDescent="0.25">
      <c r="A780" s="7"/>
      <c r="B780" s="7"/>
      <c r="C780" s="7"/>
      <c r="D780" s="7"/>
      <c r="E780" s="7"/>
    </row>
    <row r="781" spans="1:5" ht="13.2" x14ac:dyDescent="0.25">
      <c r="A781" s="7"/>
      <c r="B781" s="7"/>
      <c r="C781" s="7"/>
      <c r="D781" s="7"/>
      <c r="E781" s="7"/>
    </row>
    <row r="782" spans="1:5" ht="13.2" x14ac:dyDescent="0.25">
      <c r="A782" s="7"/>
      <c r="B782" s="7"/>
      <c r="C782" s="7"/>
      <c r="D782" s="7"/>
      <c r="E782" s="7"/>
    </row>
    <row r="783" spans="1:5" ht="13.2" x14ac:dyDescent="0.25">
      <c r="A783" s="7"/>
      <c r="B783" s="7"/>
      <c r="C783" s="7"/>
      <c r="D783" s="7"/>
      <c r="E783" s="7"/>
    </row>
    <row r="784" spans="1:5" ht="13.2" x14ac:dyDescent="0.25">
      <c r="A784" s="7"/>
      <c r="B784" s="7"/>
      <c r="C784" s="7"/>
      <c r="D784" s="7"/>
      <c r="E784" s="7"/>
    </row>
    <row r="785" spans="1:5" ht="13.2" x14ac:dyDescent="0.25">
      <c r="A785" s="7"/>
      <c r="B785" s="7"/>
      <c r="C785" s="7"/>
      <c r="D785" s="7"/>
      <c r="E785" s="7"/>
    </row>
    <row r="786" spans="1:5" ht="13.2" x14ac:dyDescent="0.25">
      <c r="A786" s="7"/>
      <c r="B786" s="7"/>
      <c r="C786" s="7"/>
      <c r="D786" s="7"/>
      <c r="E786" s="7"/>
    </row>
    <row r="787" spans="1:5" ht="13.2" x14ac:dyDescent="0.25">
      <c r="A787" s="7"/>
      <c r="B787" s="7"/>
      <c r="C787" s="7"/>
      <c r="D787" s="7"/>
      <c r="E787" s="7"/>
    </row>
    <row r="788" spans="1:5" ht="13.2" x14ac:dyDescent="0.25">
      <c r="A788" s="7"/>
      <c r="B788" s="7"/>
      <c r="C788" s="7"/>
      <c r="D788" s="7"/>
      <c r="E788" s="7"/>
    </row>
    <row r="789" spans="1:5" ht="13.2" x14ac:dyDescent="0.25">
      <c r="A789" s="7"/>
      <c r="B789" s="7"/>
      <c r="C789" s="7"/>
      <c r="D789" s="7"/>
      <c r="E789" s="7"/>
    </row>
    <row r="790" spans="1:5" ht="13.2" x14ac:dyDescent="0.25">
      <c r="A790" s="7"/>
      <c r="B790" s="7"/>
      <c r="C790" s="7"/>
      <c r="D790" s="7"/>
      <c r="E790" s="7"/>
    </row>
    <row r="791" spans="1:5" ht="13.2" x14ac:dyDescent="0.25">
      <c r="A791" s="7"/>
      <c r="B791" s="7"/>
      <c r="C791" s="7"/>
      <c r="D791" s="7"/>
      <c r="E791" s="7"/>
    </row>
    <row r="792" spans="1:5" ht="13.2" x14ac:dyDescent="0.25">
      <c r="A792" s="7"/>
      <c r="B792" s="7"/>
      <c r="C792" s="7"/>
      <c r="D792" s="7"/>
      <c r="E792" s="7"/>
    </row>
    <row r="793" spans="1:5" ht="13.2" x14ac:dyDescent="0.25">
      <c r="A793" s="7"/>
      <c r="B793" s="7"/>
      <c r="C793" s="7"/>
      <c r="D793" s="7"/>
      <c r="E793" s="7"/>
    </row>
    <row r="794" spans="1:5" ht="13.2" x14ac:dyDescent="0.25">
      <c r="A794" s="7"/>
      <c r="B794" s="7"/>
      <c r="C794" s="7"/>
      <c r="D794" s="7"/>
      <c r="E794" s="7"/>
    </row>
    <row r="795" spans="1:5" ht="13.2" x14ac:dyDescent="0.25">
      <c r="A795" s="7"/>
      <c r="B795" s="7"/>
      <c r="C795" s="7"/>
      <c r="D795" s="7"/>
      <c r="E795" s="7"/>
    </row>
    <row r="796" spans="1:5" ht="13.2" x14ac:dyDescent="0.25">
      <c r="A796" s="7"/>
      <c r="B796" s="7"/>
      <c r="C796" s="7"/>
      <c r="D796" s="7"/>
      <c r="E796" s="7"/>
    </row>
    <row r="797" spans="1:5" ht="13.2" x14ac:dyDescent="0.25">
      <c r="A797" s="7"/>
      <c r="B797" s="7"/>
      <c r="C797" s="7"/>
      <c r="D797" s="7"/>
      <c r="E797" s="7"/>
    </row>
    <row r="798" spans="1:5" ht="13.2" x14ac:dyDescent="0.25">
      <c r="A798" s="7"/>
      <c r="B798" s="7"/>
      <c r="C798" s="7"/>
      <c r="D798" s="7"/>
      <c r="E798" s="7"/>
    </row>
    <row r="799" spans="1:5" ht="13.2" x14ac:dyDescent="0.25">
      <c r="A799" s="7"/>
      <c r="B799" s="7"/>
      <c r="C799" s="7"/>
      <c r="D799" s="7"/>
      <c r="E799" s="7"/>
    </row>
    <row r="800" spans="1:5" ht="13.2" x14ac:dyDescent="0.25">
      <c r="A800" s="7"/>
      <c r="B800" s="7"/>
      <c r="C800" s="7"/>
      <c r="D800" s="7"/>
      <c r="E800" s="7"/>
    </row>
    <row r="801" spans="1:5" ht="13.2" x14ac:dyDescent="0.25">
      <c r="A801" s="7"/>
      <c r="B801" s="7"/>
      <c r="C801" s="7"/>
      <c r="D801" s="7"/>
      <c r="E801" s="7"/>
    </row>
    <row r="802" spans="1:5" ht="13.2" x14ac:dyDescent="0.25">
      <c r="A802" s="7"/>
      <c r="B802" s="7"/>
      <c r="C802" s="7"/>
      <c r="D802" s="7"/>
      <c r="E802" s="7"/>
    </row>
    <row r="803" spans="1:5" ht="13.2" x14ac:dyDescent="0.25">
      <c r="A803" s="7"/>
      <c r="B803" s="7"/>
      <c r="C803" s="7"/>
      <c r="D803" s="7"/>
      <c r="E803" s="7"/>
    </row>
    <row r="804" spans="1:5" ht="13.2" x14ac:dyDescent="0.25">
      <c r="A804" s="7"/>
      <c r="B804" s="7"/>
      <c r="C804" s="7"/>
      <c r="D804" s="7"/>
      <c r="E804" s="7"/>
    </row>
    <row r="805" spans="1:5" ht="13.2" x14ac:dyDescent="0.25">
      <c r="A805" s="7"/>
      <c r="B805" s="7"/>
      <c r="C805" s="7"/>
      <c r="D805" s="7"/>
      <c r="E805" s="7"/>
    </row>
    <row r="806" spans="1:5" ht="13.2" x14ac:dyDescent="0.25">
      <c r="A806" s="7"/>
      <c r="B806" s="7"/>
      <c r="C806" s="7"/>
      <c r="D806" s="7"/>
      <c r="E806" s="7"/>
    </row>
    <row r="807" spans="1:5" ht="13.2" x14ac:dyDescent="0.25">
      <c r="A807" s="7"/>
      <c r="B807" s="7"/>
      <c r="C807" s="7"/>
      <c r="D807" s="7"/>
      <c r="E807" s="7"/>
    </row>
    <row r="808" spans="1:5" ht="13.2" x14ac:dyDescent="0.25">
      <c r="A808" s="7"/>
      <c r="B808" s="7"/>
      <c r="C808" s="7"/>
      <c r="D808" s="7"/>
      <c r="E808" s="7"/>
    </row>
    <row r="809" spans="1:5" ht="13.2" x14ac:dyDescent="0.25">
      <c r="A809" s="7"/>
      <c r="B809" s="7"/>
      <c r="C809" s="7"/>
      <c r="D809" s="7"/>
      <c r="E809" s="7"/>
    </row>
    <row r="810" spans="1:5" ht="13.2" x14ac:dyDescent="0.25">
      <c r="A810" s="7"/>
      <c r="B810" s="7"/>
      <c r="C810" s="7"/>
      <c r="D810" s="7"/>
      <c r="E810" s="7"/>
    </row>
    <row r="811" spans="1:5" ht="13.2" x14ac:dyDescent="0.25">
      <c r="A811" s="7"/>
      <c r="B811" s="7"/>
      <c r="C811" s="7"/>
      <c r="D811" s="7"/>
      <c r="E811" s="7"/>
    </row>
    <row r="812" spans="1:5" ht="13.2" x14ac:dyDescent="0.25">
      <c r="A812" s="7"/>
      <c r="B812" s="7"/>
      <c r="C812" s="7"/>
      <c r="D812" s="7"/>
      <c r="E812" s="7"/>
    </row>
    <row r="813" spans="1:5" ht="13.2" x14ac:dyDescent="0.25">
      <c r="A813" s="7"/>
      <c r="B813" s="7"/>
      <c r="C813" s="7"/>
      <c r="D813" s="7"/>
      <c r="E813" s="7"/>
    </row>
    <row r="814" spans="1:5" ht="13.2" x14ac:dyDescent="0.25">
      <c r="A814" s="7"/>
      <c r="B814" s="7"/>
      <c r="C814" s="7"/>
      <c r="D814" s="7"/>
      <c r="E814" s="7"/>
    </row>
    <row r="815" spans="1:5" ht="13.2" x14ac:dyDescent="0.25">
      <c r="A815" s="7"/>
      <c r="B815" s="7"/>
      <c r="C815" s="7"/>
      <c r="D815" s="7"/>
      <c r="E815" s="7"/>
    </row>
    <row r="816" spans="1:5" ht="13.2" x14ac:dyDescent="0.25">
      <c r="A816" s="7"/>
      <c r="B816" s="7"/>
      <c r="C816" s="7"/>
      <c r="D816" s="7"/>
      <c r="E816" s="7"/>
    </row>
    <row r="817" spans="1:5" ht="13.2" x14ac:dyDescent="0.25">
      <c r="A817" s="7"/>
      <c r="B817" s="7"/>
      <c r="C817" s="7"/>
      <c r="D817" s="7"/>
      <c r="E817" s="7"/>
    </row>
    <row r="818" spans="1:5" ht="13.2" x14ac:dyDescent="0.25">
      <c r="A818" s="7"/>
      <c r="B818" s="7"/>
      <c r="C818" s="7"/>
      <c r="D818" s="7"/>
      <c r="E818" s="7"/>
    </row>
    <row r="819" spans="1:5" ht="13.2" x14ac:dyDescent="0.25">
      <c r="A819" s="7"/>
      <c r="B819" s="7"/>
      <c r="C819" s="7"/>
      <c r="D819" s="7"/>
      <c r="E819" s="7"/>
    </row>
    <row r="820" spans="1:5" ht="13.2" x14ac:dyDescent="0.25">
      <c r="A820" s="7"/>
      <c r="B820" s="7"/>
      <c r="C820" s="7"/>
      <c r="D820" s="7"/>
      <c r="E820" s="7"/>
    </row>
    <row r="821" spans="1:5" ht="13.2" x14ac:dyDescent="0.25">
      <c r="A821" s="7"/>
      <c r="B821" s="7"/>
      <c r="C821" s="7"/>
      <c r="D821" s="7"/>
      <c r="E821" s="7"/>
    </row>
    <row r="822" spans="1:5" ht="13.2" x14ac:dyDescent="0.25">
      <c r="A822" s="7"/>
      <c r="B822" s="7"/>
      <c r="C822" s="7"/>
      <c r="D822" s="7"/>
      <c r="E822" s="7"/>
    </row>
    <row r="823" spans="1:5" ht="13.2" x14ac:dyDescent="0.25">
      <c r="A823" s="7"/>
      <c r="B823" s="7"/>
      <c r="C823" s="7"/>
      <c r="D823" s="7"/>
      <c r="E823" s="7"/>
    </row>
    <row r="824" spans="1:5" ht="13.2" x14ac:dyDescent="0.25">
      <c r="A824" s="7"/>
      <c r="B824" s="7"/>
      <c r="C824" s="7"/>
      <c r="D824" s="7"/>
      <c r="E824" s="7"/>
    </row>
    <row r="825" spans="1:5" ht="13.2" x14ac:dyDescent="0.25">
      <c r="A825" s="7"/>
      <c r="B825" s="7"/>
      <c r="C825" s="7"/>
      <c r="D825" s="7"/>
      <c r="E825" s="7"/>
    </row>
    <row r="826" spans="1:5" ht="13.2" x14ac:dyDescent="0.25">
      <c r="A826" s="7"/>
      <c r="B826" s="7"/>
      <c r="C826" s="7"/>
      <c r="D826" s="7"/>
      <c r="E826" s="7"/>
    </row>
    <row r="827" spans="1:5" ht="13.2" x14ac:dyDescent="0.25">
      <c r="A827" s="7"/>
      <c r="B827" s="7"/>
      <c r="C827" s="7"/>
      <c r="D827" s="7"/>
      <c r="E827" s="7"/>
    </row>
    <row r="828" spans="1:5" ht="13.2" x14ac:dyDescent="0.25">
      <c r="A828" s="7"/>
      <c r="B828" s="7"/>
      <c r="C828" s="7"/>
      <c r="D828" s="7"/>
      <c r="E828" s="7"/>
    </row>
    <row r="829" spans="1:5" ht="13.2" x14ac:dyDescent="0.25">
      <c r="A829" s="7"/>
      <c r="B829" s="7"/>
      <c r="C829" s="7"/>
      <c r="D829" s="7"/>
      <c r="E829" s="7"/>
    </row>
    <row r="830" spans="1:5" ht="13.2" x14ac:dyDescent="0.25">
      <c r="A830" s="7"/>
      <c r="B830" s="7"/>
      <c r="C830" s="7"/>
      <c r="D830" s="7"/>
      <c r="E830" s="7"/>
    </row>
    <row r="831" spans="1:5" ht="13.2" x14ac:dyDescent="0.25">
      <c r="A831" s="7"/>
      <c r="B831" s="7"/>
      <c r="C831" s="7"/>
      <c r="D831" s="7"/>
      <c r="E831" s="7"/>
    </row>
    <row r="832" spans="1:5" ht="13.2" x14ac:dyDescent="0.25">
      <c r="A832" s="7"/>
      <c r="B832" s="7"/>
      <c r="C832" s="7"/>
      <c r="D832" s="7"/>
      <c r="E832" s="7"/>
    </row>
    <row r="833" spans="1:5" ht="13.2" x14ac:dyDescent="0.25">
      <c r="A833" s="7"/>
      <c r="B833" s="7"/>
      <c r="C833" s="7"/>
      <c r="D833" s="7"/>
      <c r="E833" s="7"/>
    </row>
    <row r="834" spans="1:5" ht="13.2" x14ac:dyDescent="0.25">
      <c r="A834" s="7"/>
      <c r="B834" s="7"/>
      <c r="C834" s="7"/>
      <c r="D834" s="7"/>
      <c r="E834" s="7"/>
    </row>
    <row r="835" spans="1:5" ht="13.2" x14ac:dyDescent="0.25">
      <c r="A835" s="7"/>
      <c r="B835" s="7"/>
      <c r="C835" s="7"/>
      <c r="D835" s="7"/>
      <c r="E835" s="7"/>
    </row>
    <row r="836" spans="1:5" ht="13.2" x14ac:dyDescent="0.25">
      <c r="A836" s="7"/>
      <c r="B836" s="7"/>
      <c r="C836" s="7"/>
      <c r="D836" s="7"/>
      <c r="E836" s="7"/>
    </row>
    <row r="837" spans="1:5" ht="13.2" x14ac:dyDescent="0.25">
      <c r="A837" s="7"/>
      <c r="B837" s="7"/>
      <c r="C837" s="7"/>
      <c r="D837" s="7"/>
      <c r="E837" s="7"/>
    </row>
    <row r="838" spans="1:5" ht="13.2" x14ac:dyDescent="0.25">
      <c r="A838" s="7"/>
      <c r="B838" s="7"/>
      <c r="C838" s="7"/>
      <c r="D838" s="7"/>
      <c r="E838" s="7"/>
    </row>
    <row r="839" spans="1:5" ht="13.2" x14ac:dyDescent="0.25">
      <c r="A839" s="7"/>
      <c r="B839" s="7"/>
      <c r="C839" s="7"/>
      <c r="D839" s="7"/>
      <c r="E839" s="7"/>
    </row>
    <row r="840" spans="1:5" ht="13.2" x14ac:dyDescent="0.25">
      <c r="A840" s="7"/>
      <c r="B840" s="7"/>
      <c r="C840" s="7"/>
      <c r="D840" s="7"/>
      <c r="E840" s="7"/>
    </row>
    <row r="841" spans="1:5" ht="13.2" x14ac:dyDescent="0.25">
      <c r="A841" s="7"/>
      <c r="B841" s="7"/>
      <c r="C841" s="7"/>
      <c r="D841" s="7"/>
      <c r="E841" s="7"/>
    </row>
    <row r="842" spans="1:5" ht="13.2" x14ac:dyDescent="0.25">
      <c r="A842" s="7"/>
      <c r="B842" s="7"/>
      <c r="C842" s="7"/>
      <c r="D842" s="7"/>
      <c r="E842" s="7"/>
    </row>
    <row r="843" spans="1:5" ht="13.2" x14ac:dyDescent="0.25">
      <c r="A843" s="7"/>
      <c r="B843" s="7"/>
      <c r="C843" s="7"/>
      <c r="D843" s="7"/>
      <c r="E843" s="7"/>
    </row>
    <row r="844" spans="1:5" ht="13.2" x14ac:dyDescent="0.25">
      <c r="A844" s="7"/>
      <c r="B844" s="7"/>
      <c r="C844" s="7"/>
      <c r="D844" s="7"/>
      <c r="E844" s="7"/>
    </row>
    <row r="845" spans="1:5" ht="13.2" x14ac:dyDescent="0.25">
      <c r="A845" s="7"/>
      <c r="B845" s="7"/>
      <c r="C845" s="7"/>
      <c r="D845" s="7"/>
      <c r="E845" s="7"/>
    </row>
    <row r="846" spans="1:5" ht="13.2" x14ac:dyDescent="0.25">
      <c r="A846" s="7"/>
      <c r="B846" s="7"/>
      <c r="C846" s="7"/>
      <c r="D846" s="7"/>
      <c r="E846" s="7"/>
    </row>
    <row r="847" spans="1:5" ht="13.2" x14ac:dyDescent="0.25">
      <c r="A847" s="7"/>
      <c r="B847" s="7"/>
      <c r="C847" s="7"/>
      <c r="D847" s="7"/>
      <c r="E847" s="7"/>
    </row>
    <row r="848" spans="1:5" ht="13.2" x14ac:dyDescent="0.25">
      <c r="A848" s="7"/>
      <c r="B848" s="7"/>
      <c r="C848" s="7"/>
      <c r="D848" s="7"/>
      <c r="E848" s="7"/>
    </row>
    <row r="849" spans="1:5" ht="13.2" x14ac:dyDescent="0.25">
      <c r="A849" s="7"/>
      <c r="B849" s="7"/>
      <c r="C849" s="7"/>
      <c r="D849" s="7"/>
      <c r="E849" s="7"/>
    </row>
    <row r="850" spans="1:5" ht="13.2" x14ac:dyDescent="0.25">
      <c r="A850" s="7"/>
      <c r="B850" s="7"/>
      <c r="C850" s="7"/>
      <c r="D850" s="7"/>
      <c r="E850" s="7"/>
    </row>
    <row r="851" spans="1:5" ht="13.2" x14ac:dyDescent="0.25">
      <c r="A851" s="7"/>
      <c r="B851" s="7"/>
      <c r="C851" s="7"/>
      <c r="D851" s="7"/>
      <c r="E851" s="7"/>
    </row>
    <row r="852" spans="1:5" ht="13.2" x14ac:dyDescent="0.25">
      <c r="A852" s="7"/>
      <c r="B852" s="7"/>
      <c r="C852" s="7"/>
      <c r="D852" s="7"/>
      <c r="E852" s="7"/>
    </row>
    <row r="853" spans="1:5" ht="13.2" x14ac:dyDescent="0.25">
      <c r="A853" s="7"/>
      <c r="B853" s="7"/>
      <c r="C853" s="7"/>
      <c r="D853" s="7"/>
      <c r="E853" s="7"/>
    </row>
    <row r="854" spans="1:5" ht="13.2" x14ac:dyDescent="0.25">
      <c r="A854" s="7"/>
      <c r="B854" s="7"/>
      <c r="C854" s="7"/>
      <c r="D854" s="7"/>
      <c r="E854" s="7"/>
    </row>
    <row r="855" spans="1:5" ht="13.2" x14ac:dyDescent="0.25">
      <c r="A855" s="7"/>
      <c r="B855" s="7"/>
      <c r="C855" s="7"/>
      <c r="D855" s="7"/>
      <c r="E855" s="7"/>
    </row>
    <row r="856" spans="1:5" ht="13.2" x14ac:dyDescent="0.25">
      <c r="A856" s="7"/>
      <c r="B856" s="7"/>
      <c r="C856" s="7"/>
      <c r="D856" s="7"/>
      <c r="E856" s="7"/>
    </row>
    <row r="857" spans="1:5" ht="13.2" x14ac:dyDescent="0.25">
      <c r="A857" s="7"/>
      <c r="B857" s="7"/>
      <c r="C857" s="7"/>
      <c r="D857" s="7"/>
      <c r="E857" s="7"/>
    </row>
    <row r="858" spans="1:5" ht="13.2" x14ac:dyDescent="0.25">
      <c r="A858" s="7"/>
      <c r="B858" s="7"/>
      <c r="C858" s="7"/>
      <c r="D858" s="7"/>
      <c r="E858" s="7"/>
    </row>
    <row r="859" spans="1:5" ht="13.2" x14ac:dyDescent="0.25">
      <c r="A859" s="7"/>
      <c r="B859" s="7"/>
      <c r="C859" s="7"/>
      <c r="D859" s="7"/>
      <c r="E859" s="7"/>
    </row>
    <row r="860" spans="1:5" ht="13.2" x14ac:dyDescent="0.25">
      <c r="A860" s="7"/>
      <c r="B860" s="7"/>
      <c r="C860" s="7"/>
      <c r="D860" s="7"/>
      <c r="E860" s="7"/>
    </row>
    <row r="861" spans="1:5" ht="13.2" x14ac:dyDescent="0.25">
      <c r="A861" s="7"/>
      <c r="B861" s="7"/>
      <c r="C861" s="7"/>
      <c r="D861" s="7"/>
      <c r="E861" s="7"/>
    </row>
    <row r="862" spans="1:5" ht="13.2" x14ac:dyDescent="0.25">
      <c r="A862" s="7"/>
      <c r="B862" s="7"/>
      <c r="C862" s="7"/>
      <c r="D862" s="7"/>
      <c r="E862" s="7"/>
    </row>
    <row r="863" spans="1:5" ht="13.2" x14ac:dyDescent="0.25">
      <c r="A863" s="7"/>
      <c r="B863" s="7"/>
      <c r="C863" s="7"/>
      <c r="D863" s="7"/>
      <c r="E863" s="7"/>
    </row>
    <row r="864" spans="1:5" ht="13.2" x14ac:dyDescent="0.25">
      <c r="A864" s="7"/>
      <c r="B864" s="7"/>
      <c r="C864" s="7"/>
      <c r="D864" s="7"/>
      <c r="E864" s="7"/>
    </row>
    <row r="865" spans="1:5" ht="13.2" x14ac:dyDescent="0.25">
      <c r="A865" s="7"/>
      <c r="B865" s="7"/>
      <c r="C865" s="7"/>
      <c r="D865" s="7"/>
      <c r="E865" s="7"/>
    </row>
    <row r="866" spans="1:5" ht="13.2" x14ac:dyDescent="0.25">
      <c r="A866" s="7"/>
      <c r="B866" s="7"/>
      <c r="C866" s="7"/>
      <c r="D866" s="7"/>
      <c r="E866" s="7"/>
    </row>
    <row r="867" spans="1:5" ht="13.2" x14ac:dyDescent="0.25">
      <c r="A867" s="7"/>
      <c r="B867" s="7"/>
      <c r="C867" s="7"/>
      <c r="D867" s="7"/>
      <c r="E867" s="7"/>
    </row>
    <row r="868" spans="1:5" ht="13.2" x14ac:dyDescent="0.25">
      <c r="A868" s="7"/>
      <c r="B868" s="7"/>
      <c r="C868" s="7"/>
      <c r="D868" s="7"/>
      <c r="E868" s="7"/>
    </row>
    <row r="869" spans="1:5" ht="13.2" x14ac:dyDescent="0.25">
      <c r="A869" s="7"/>
      <c r="B869" s="7"/>
      <c r="C869" s="7"/>
      <c r="D869" s="7"/>
      <c r="E869" s="7"/>
    </row>
    <row r="870" spans="1:5" ht="13.2" x14ac:dyDescent="0.25">
      <c r="A870" s="7"/>
      <c r="B870" s="7"/>
      <c r="C870" s="7"/>
      <c r="D870" s="7"/>
      <c r="E870" s="7"/>
    </row>
    <row r="871" spans="1:5" ht="13.2" x14ac:dyDescent="0.25">
      <c r="A871" s="7"/>
      <c r="B871" s="7"/>
      <c r="C871" s="7"/>
      <c r="D871" s="7"/>
      <c r="E871" s="7"/>
    </row>
    <row r="872" spans="1:5" ht="13.2" x14ac:dyDescent="0.25">
      <c r="A872" s="7"/>
      <c r="B872" s="7"/>
      <c r="C872" s="7"/>
      <c r="D872" s="7"/>
      <c r="E872" s="7"/>
    </row>
    <row r="873" spans="1:5" ht="13.2" x14ac:dyDescent="0.25">
      <c r="A873" s="7"/>
      <c r="B873" s="7"/>
      <c r="C873" s="7"/>
      <c r="D873" s="7"/>
      <c r="E873" s="7"/>
    </row>
    <row r="874" spans="1:5" ht="13.2" x14ac:dyDescent="0.25">
      <c r="A874" s="7"/>
      <c r="B874" s="7"/>
      <c r="C874" s="7"/>
      <c r="D874" s="7"/>
      <c r="E874" s="7"/>
    </row>
    <row r="875" spans="1:5" ht="13.2" x14ac:dyDescent="0.25">
      <c r="A875" s="7"/>
      <c r="B875" s="7"/>
      <c r="C875" s="7"/>
      <c r="D875" s="7"/>
      <c r="E875" s="7"/>
    </row>
    <row r="876" spans="1:5" ht="13.2" x14ac:dyDescent="0.25">
      <c r="A876" s="7"/>
      <c r="B876" s="7"/>
      <c r="C876" s="7"/>
      <c r="D876" s="7"/>
      <c r="E876" s="7"/>
    </row>
    <row r="877" spans="1:5" ht="13.2" x14ac:dyDescent="0.25">
      <c r="A877" s="7"/>
      <c r="B877" s="7"/>
      <c r="C877" s="7"/>
      <c r="D877" s="7"/>
      <c r="E877" s="7"/>
    </row>
    <row r="878" spans="1:5" ht="13.2" x14ac:dyDescent="0.25">
      <c r="A878" s="7"/>
      <c r="B878" s="7"/>
      <c r="C878" s="7"/>
      <c r="D878" s="7"/>
      <c r="E878" s="7"/>
    </row>
    <row r="879" spans="1:5" ht="13.2" x14ac:dyDescent="0.25">
      <c r="A879" s="7"/>
      <c r="B879" s="7"/>
      <c r="C879" s="7"/>
      <c r="D879" s="7"/>
      <c r="E879" s="7"/>
    </row>
    <row r="880" spans="1:5" ht="13.2" x14ac:dyDescent="0.25">
      <c r="A880" s="7"/>
      <c r="B880" s="7"/>
      <c r="C880" s="7"/>
      <c r="D880" s="7"/>
      <c r="E880" s="7"/>
    </row>
    <row r="881" spans="1:5" ht="13.2" x14ac:dyDescent="0.25">
      <c r="A881" s="7"/>
      <c r="B881" s="7"/>
      <c r="C881" s="7"/>
      <c r="D881" s="7"/>
      <c r="E881" s="7"/>
    </row>
    <row r="882" spans="1:5" ht="13.2" x14ac:dyDescent="0.25">
      <c r="A882" s="7"/>
      <c r="B882" s="7"/>
      <c r="C882" s="7"/>
      <c r="D882" s="7"/>
      <c r="E882" s="7"/>
    </row>
    <row r="883" spans="1:5" ht="13.2" x14ac:dyDescent="0.25">
      <c r="A883" s="7"/>
      <c r="B883" s="7"/>
      <c r="C883" s="7"/>
      <c r="D883" s="7"/>
      <c r="E883" s="7"/>
    </row>
    <row r="884" spans="1:5" ht="13.2" x14ac:dyDescent="0.25">
      <c r="A884" s="7"/>
      <c r="B884" s="7"/>
      <c r="C884" s="7"/>
      <c r="D884" s="7"/>
      <c r="E884" s="7"/>
    </row>
    <row r="885" spans="1:5" ht="13.2" x14ac:dyDescent="0.25">
      <c r="A885" s="7"/>
      <c r="B885" s="7"/>
      <c r="C885" s="7"/>
      <c r="D885" s="7"/>
      <c r="E885" s="7"/>
    </row>
    <row r="886" spans="1:5" ht="13.2" x14ac:dyDescent="0.25">
      <c r="A886" s="7"/>
      <c r="B886" s="7"/>
      <c r="C886" s="7"/>
      <c r="D886" s="7"/>
      <c r="E886" s="7"/>
    </row>
    <row r="887" spans="1:5" ht="13.2" x14ac:dyDescent="0.25">
      <c r="A887" s="7"/>
      <c r="B887" s="7"/>
      <c r="C887" s="7"/>
      <c r="D887" s="7"/>
      <c r="E887" s="7"/>
    </row>
    <row r="888" spans="1:5" ht="13.2" x14ac:dyDescent="0.25">
      <c r="A888" s="7"/>
      <c r="B888" s="7"/>
      <c r="C888" s="7"/>
      <c r="D888" s="7"/>
      <c r="E888" s="7"/>
    </row>
    <row r="889" spans="1:5" ht="13.2" x14ac:dyDescent="0.25">
      <c r="A889" s="7"/>
      <c r="B889" s="7"/>
      <c r="C889" s="7"/>
      <c r="D889" s="7"/>
      <c r="E889" s="7"/>
    </row>
    <row r="890" spans="1:5" ht="13.2" x14ac:dyDescent="0.25">
      <c r="A890" s="7"/>
      <c r="B890" s="7"/>
      <c r="C890" s="7"/>
      <c r="D890" s="7"/>
      <c r="E890" s="7"/>
    </row>
    <row r="891" spans="1:5" ht="13.2" x14ac:dyDescent="0.25">
      <c r="A891" s="7"/>
      <c r="B891" s="7"/>
      <c r="C891" s="7"/>
      <c r="D891" s="7"/>
      <c r="E891" s="7"/>
    </row>
    <row r="892" spans="1:5" ht="13.2" x14ac:dyDescent="0.25">
      <c r="A892" s="7"/>
      <c r="B892" s="7"/>
      <c r="C892" s="7"/>
      <c r="D892" s="7"/>
      <c r="E892" s="7"/>
    </row>
    <row r="893" spans="1:5" ht="13.2" x14ac:dyDescent="0.25">
      <c r="A893" s="7"/>
      <c r="B893" s="7"/>
      <c r="C893" s="7"/>
      <c r="D893" s="7"/>
      <c r="E893" s="7"/>
    </row>
    <row r="894" spans="1:5" ht="13.2" x14ac:dyDescent="0.25">
      <c r="A894" s="7"/>
      <c r="B894" s="7"/>
      <c r="C894" s="7"/>
      <c r="D894" s="7"/>
      <c r="E894" s="7"/>
    </row>
    <row r="895" spans="1:5" ht="13.2" x14ac:dyDescent="0.25">
      <c r="A895" s="7"/>
      <c r="B895" s="7"/>
      <c r="C895" s="7"/>
      <c r="D895" s="7"/>
      <c r="E895" s="7"/>
    </row>
    <row r="896" spans="1:5" ht="13.2" x14ac:dyDescent="0.25">
      <c r="A896" s="7"/>
      <c r="B896" s="7"/>
      <c r="C896" s="7"/>
      <c r="D896" s="7"/>
      <c r="E896" s="7"/>
    </row>
    <row r="897" spans="1:5" ht="13.2" x14ac:dyDescent="0.25">
      <c r="A897" s="7"/>
      <c r="B897" s="7"/>
      <c r="C897" s="7"/>
      <c r="D897" s="7"/>
      <c r="E897" s="7"/>
    </row>
    <row r="898" spans="1:5" ht="13.2" x14ac:dyDescent="0.25">
      <c r="A898" s="7"/>
      <c r="B898" s="7"/>
      <c r="C898" s="7"/>
      <c r="D898" s="7"/>
      <c r="E898" s="7"/>
    </row>
    <row r="899" spans="1:5" ht="13.2" x14ac:dyDescent="0.25">
      <c r="A899" s="7"/>
      <c r="B899" s="7"/>
      <c r="C899" s="7"/>
      <c r="D899" s="7"/>
      <c r="E899" s="7"/>
    </row>
    <row r="900" spans="1:5" ht="13.2" x14ac:dyDescent="0.25">
      <c r="A900" s="7"/>
      <c r="B900" s="7"/>
      <c r="C900" s="7"/>
      <c r="D900" s="7"/>
      <c r="E900" s="7"/>
    </row>
    <row r="901" spans="1:5" ht="13.2" x14ac:dyDescent="0.25">
      <c r="A901" s="7"/>
      <c r="B901" s="7"/>
      <c r="C901" s="7"/>
      <c r="D901" s="7"/>
      <c r="E901" s="7"/>
    </row>
    <row r="902" spans="1:5" ht="13.2" x14ac:dyDescent="0.25">
      <c r="A902" s="7"/>
      <c r="B902" s="7"/>
      <c r="C902" s="7"/>
      <c r="D902" s="7"/>
      <c r="E902" s="7"/>
    </row>
    <row r="903" spans="1:5" ht="13.2" x14ac:dyDescent="0.25">
      <c r="A903" s="7"/>
      <c r="B903" s="7"/>
      <c r="C903" s="7"/>
      <c r="D903" s="7"/>
      <c r="E903" s="7"/>
    </row>
    <row r="904" spans="1:5" ht="13.2" x14ac:dyDescent="0.25">
      <c r="A904" s="7"/>
      <c r="B904" s="7"/>
      <c r="C904" s="7"/>
      <c r="D904" s="7"/>
      <c r="E904" s="7"/>
    </row>
    <row r="905" spans="1:5" ht="13.2" x14ac:dyDescent="0.25">
      <c r="A905" s="7"/>
      <c r="B905" s="7"/>
      <c r="C905" s="7"/>
      <c r="D905" s="7"/>
      <c r="E905" s="7"/>
    </row>
    <row r="906" spans="1:5" ht="13.2" x14ac:dyDescent="0.25">
      <c r="A906" s="7"/>
      <c r="B906" s="7"/>
      <c r="C906" s="7"/>
      <c r="D906" s="7"/>
      <c r="E906" s="7"/>
    </row>
    <row r="907" spans="1:5" ht="13.2" x14ac:dyDescent="0.25">
      <c r="A907" s="7"/>
      <c r="B907" s="7"/>
      <c r="C907" s="7"/>
      <c r="D907" s="7"/>
      <c r="E907" s="7"/>
    </row>
    <row r="908" spans="1:5" ht="13.2" x14ac:dyDescent="0.25">
      <c r="A908" s="7"/>
      <c r="B908" s="7"/>
      <c r="C908" s="7"/>
      <c r="D908" s="7"/>
      <c r="E908" s="7"/>
    </row>
    <row r="909" spans="1:5" ht="13.2" x14ac:dyDescent="0.25">
      <c r="A909" s="7"/>
      <c r="B909" s="7"/>
      <c r="C909" s="7"/>
      <c r="D909" s="7"/>
      <c r="E909" s="7"/>
    </row>
    <row r="910" spans="1:5" ht="13.2" x14ac:dyDescent="0.25">
      <c r="A910" s="7"/>
      <c r="B910" s="7"/>
      <c r="C910" s="7"/>
      <c r="D910" s="7"/>
      <c r="E910" s="7"/>
    </row>
    <row r="911" spans="1:5" ht="13.2" x14ac:dyDescent="0.25">
      <c r="A911" s="7"/>
      <c r="B911" s="7"/>
      <c r="C911" s="7"/>
      <c r="D911" s="7"/>
      <c r="E911" s="7"/>
    </row>
    <row r="912" spans="1:5" ht="13.2" x14ac:dyDescent="0.25">
      <c r="A912" s="7"/>
      <c r="B912" s="7"/>
      <c r="C912" s="7"/>
      <c r="D912" s="7"/>
      <c r="E912" s="7"/>
    </row>
    <row r="913" spans="1:5" ht="13.2" x14ac:dyDescent="0.25">
      <c r="A913" s="7"/>
      <c r="B913" s="7"/>
      <c r="C913" s="7"/>
      <c r="D913" s="7"/>
      <c r="E913" s="7"/>
    </row>
    <row r="914" spans="1:5" ht="13.2" x14ac:dyDescent="0.25">
      <c r="A914" s="7"/>
      <c r="B914" s="7"/>
      <c r="C914" s="7"/>
      <c r="D914" s="7"/>
      <c r="E914" s="7"/>
    </row>
    <row r="915" spans="1:5" ht="13.2" x14ac:dyDescent="0.25">
      <c r="A915" s="7"/>
      <c r="B915" s="7"/>
      <c r="C915" s="7"/>
      <c r="D915" s="7"/>
      <c r="E915" s="7"/>
    </row>
    <row r="916" spans="1:5" ht="13.2" x14ac:dyDescent="0.25">
      <c r="A916" s="7"/>
      <c r="B916" s="7"/>
      <c r="C916" s="7"/>
      <c r="D916" s="7"/>
      <c r="E916" s="7"/>
    </row>
    <row r="917" spans="1:5" ht="13.2" x14ac:dyDescent="0.25">
      <c r="A917" s="7"/>
      <c r="B917" s="7"/>
      <c r="C917" s="7"/>
      <c r="D917" s="7"/>
      <c r="E917" s="7"/>
    </row>
    <row r="918" spans="1:5" ht="13.2" x14ac:dyDescent="0.25">
      <c r="A918" s="7"/>
      <c r="B918" s="7"/>
      <c r="C918" s="7"/>
      <c r="D918" s="7"/>
      <c r="E918" s="7"/>
    </row>
    <row r="919" spans="1:5" ht="13.2" x14ac:dyDescent="0.25">
      <c r="A919" s="7"/>
      <c r="B919" s="7"/>
      <c r="C919" s="7"/>
      <c r="D919" s="7"/>
      <c r="E919" s="7"/>
    </row>
    <row r="920" spans="1:5" ht="13.2" x14ac:dyDescent="0.25">
      <c r="A920" s="7"/>
      <c r="B920" s="7"/>
      <c r="C920" s="7"/>
      <c r="D920" s="7"/>
      <c r="E920" s="7"/>
    </row>
    <row r="921" spans="1:5" ht="13.2" x14ac:dyDescent="0.25">
      <c r="A921" s="7"/>
      <c r="B921" s="7"/>
      <c r="C921" s="7"/>
      <c r="D921" s="7"/>
      <c r="E921" s="7"/>
    </row>
    <row r="922" spans="1:5" ht="13.2" x14ac:dyDescent="0.25">
      <c r="A922" s="7"/>
      <c r="B922" s="7"/>
      <c r="C922" s="7"/>
      <c r="D922" s="7"/>
      <c r="E922" s="7"/>
    </row>
    <row r="923" spans="1:5" ht="13.2" x14ac:dyDescent="0.25">
      <c r="A923" s="7"/>
      <c r="B923" s="7"/>
      <c r="C923" s="7"/>
      <c r="D923" s="7"/>
      <c r="E923" s="7"/>
    </row>
    <row r="924" spans="1:5" ht="13.2" x14ac:dyDescent="0.25">
      <c r="A924" s="7"/>
      <c r="B924" s="7"/>
      <c r="C924" s="7"/>
      <c r="D924" s="7"/>
      <c r="E924" s="7"/>
    </row>
    <row r="925" spans="1:5" ht="13.2" x14ac:dyDescent="0.25">
      <c r="A925" s="7"/>
      <c r="B925" s="7"/>
      <c r="C925" s="7"/>
      <c r="D925" s="7"/>
      <c r="E925" s="7"/>
    </row>
    <row r="926" spans="1:5" ht="13.2" x14ac:dyDescent="0.25">
      <c r="A926" s="7"/>
      <c r="B926" s="7"/>
      <c r="C926" s="7"/>
      <c r="D926" s="7"/>
      <c r="E926" s="7"/>
    </row>
    <row r="927" spans="1:5" ht="13.2" x14ac:dyDescent="0.25">
      <c r="A927" s="7"/>
      <c r="B927" s="7"/>
      <c r="C927" s="7"/>
      <c r="D927" s="7"/>
      <c r="E927" s="7"/>
    </row>
    <row r="928" spans="1:5" ht="13.2" x14ac:dyDescent="0.25">
      <c r="A928" s="7"/>
      <c r="B928" s="7"/>
      <c r="C928" s="7"/>
      <c r="D928" s="7"/>
      <c r="E928" s="7"/>
    </row>
    <row r="929" spans="1:5" ht="13.2" x14ac:dyDescent="0.25">
      <c r="A929" s="7"/>
      <c r="B929" s="7"/>
      <c r="C929" s="7"/>
      <c r="D929" s="7"/>
      <c r="E929" s="7"/>
    </row>
    <row r="930" spans="1:5" ht="13.2" x14ac:dyDescent="0.25">
      <c r="A930" s="7"/>
      <c r="B930" s="7"/>
      <c r="C930" s="7"/>
      <c r="D930" s="7"/>
      <c r="E930" s="7"/>
    </row>
    <row r="931" spans="1:5" ht="13.2" x14ac:dyDescent="0.25">
      <c r="A931" s="7"/>
      <c r="B931" s="7"/>
      <c r="C931" s="7"/>
      <c r="D931" s="7"/>
      <c r="E931" s="7"/>
    </row>
    <row r="932" spans="1:5" ht="13.2" x14ac:dyDescent="0.25">
      <c r="A932" s="7"/>
      <c r="B932" s="7"/>
      <c r="C932" s="7"/>
      <c r="D932" s="7"/>
      <c r="E932" s="7"/>
    </row>
    <row r="933" spans="1:5" ht="13.2" x14ac:dyDescent="0.25">
      <c r="A933" s="7"/>
      <c r="B933" s="7"/>
      <c r="C933" s="7"/>
      <c r="D933" s="7"/>
      <c r="E933" s="7"/>
    </row>
    <row r="934" spans="1:5" ht="13.2" x14ac:dyDescent="0.25">
      <c r="A934" s="7"/>
      <c r="B934" s="7"/>
      <c r="C934" s="7"/>
      <c r="D934" s="7"/>
      <c r="E934" s="7"/>
    </row>
    <row r="935" spans="1:5" ht="13.2" x14ac:dyDescent="0.25">
      <c r="A935" s="7"/>
      <c r="B935" s="7"/>
      <c r="C935" s="7"/>
      <c r="D935" s="7"/>
      <c r="E935" s="7"/>
    </row>
    <row r="936" spans="1:5" ht="13.2" x14ac:dyDescent="0.25">
      <c r="A936" s="7"/>
      <c r="B936" s="7"/>
      <c r="C936" s="7"/>
      <c r="D936" s="7"/>
      <c r="E936" s="7"/>
    </row>
    <row r="937" spans="1:5" ht="13.2" x14ac:dyDescent="0.25">
      <c r="A937" s="7"/>
      <c r="B937" s="7"/>
      <c r="C937" s="7"/>
      <c r="D937" s="7"/>
      <c r="E937" s="7"/>
    </row>
    <row r="938" spans="1:5" ht="13.2" x14ac:dyDescent="0.25">
      <c r="A938" s="7"/>
      <c r="B938" s="7"/>
      <c r="C938" s="7"/>
      <c r="D938" s="7"/>
      <c r="E938" s="7"/>
    </row>
    <row r="939" spans="1:5" ht="13.2" x14ac:dyDescent="0.25">
      <c r="A939" s="7"/>
      <c r="B939" s="7"/>
      <c r="C939" s="7"/>
      <c r="D939" s="7"/>
      <c r="E939" s="7"/>
    </row>
    <row r="940" spans="1:5" ht="13.2" x14ac:dyDescent="0.25">
      <c r="A940" s="7"/>
      <c r="B940" s="7"/>
      <c r="C940" s="7"/>
      <c r="D940" s="7"/>
      <c r="E940" s="7"/>
    </row>
    <row r="941" spans="1:5" ht="13.2" x14ac:dyDescent="0.25">
      <c r="A941" s="7"/>
      <c r="B941" s="7"/>
      <c r="C941" s="7"/>
      <c r="D941" s="7"/>
      <c r="E941" s="7"/>
    </row>
    <row r="942" spans="1:5" ht="13.2" x14ac:dyDescent="0.25">
      <c r="A942" s="7"/>
      <c r="B942" s="7"/>
      <c r="C942" s="7"/>
      <c r="D942" s="7"/>
      <c r="E942" s="7"/>
    </row>
    <row r="943" spans="1:5" ht="13.2" x14ac:dyDescent="0.25">
      <c r="A943" s="7"/>
      <c r="B943" s="7"/>
      <c r="C943" s="7"/>
      <c r="D943" s="7"/>
      <c r="E943" s="7"/>
    </row>
    <row r="944" spans="1:5" ht="13.2" x14ac:dyDescent="0.25">
      <c r="A944" s="7"/>
      <c r="B944" s="7"/>
      <c r="C944" s="7"/>
      <c r="D944" s="7"/>
      <c r="E944" s="7"/>
    </row>
    <row r="945" spans="1:5" ht="13.2" x14ac:dyDescent="0.25">
      <c r="A945" s="7"/>
      <c r="B945" s="7"/>
      <c r="C945" s="7"/>
      <c r="D945" s="7"/>
      <c r="E945" s="7"/>
    </row>
    <row r="946" spans="1:5" ht="13.2" x14ac:dyDescent="0.25">
      <c r="A946" s="7"/>
      <c r="B946" s="7"/>
      <c r="C946" s="7"/>
      <c r="D946" s="7"/>
      <c r="E946" s="7"/>
    </row>
    <row r="947" spans="1:5" ht="13.2" x14ac:dyDescent="0.25">
      <c r="A947" s="7"/>
      <c r="B947" s="7"/>
      <c r="C947" s="7"/>
      <c r="D947" s="7"/>
      <c r="E947" s="7"/>
    </row>
    <row r="948" spans="1:5" ht="13.2" x14ac:dyDescent="0.25">
      <c r="A948" s="7"/>
      <c r="B948" s="7"/>
      <c r="C948" s="7"/>
      <c r="D948" s="7"/>
      <c r="E948" s="7"/>
    </row>
    <row r="949" spans="1:5" ht="13.2" x14ac:dyDescent="0.25">
      <c r="A949" s="7"/>
      <c r="B949" s="7"/>
      <c r="C949" s="7"/>
      <c r="D949" s="7"/>
      <c r="E949" s="7"/>
    </row>
    <row r="950" spans="1:5" ht="13.2" x14ac:dyDescent="0.25">
      <c r="A950" s="7"/>
      <c r="B950" s="7"/>
      <c r="C950" s="7"/>
      <c r="D950" s="7"/>
      <c r="E950" s="7"/>
    </row>
    <row r="951" spans="1:5" ht="13.2" x14ac:dyDescent="0.25">
      <c r="A951" s="7"/>
      <c r="B951" s="7"/>
      <c r="C951" s="7"/>
      <c r="D951" s="7"/>
      <c r="E951" s="7"/>
    </row>
    <row r="952" spans="1:5" ht="13.2" x14ac:dyDescent="0.25">
      <c r="A952" s="7"/>
      <c r="B952" s="7"/>
      <c r="C952" s="7"/>
      <c r="D952" s="7"/>
      <c r="E952" s="7"/>
    </row>
    <row r="953" spans="1:5" ht="13.2" x14ac:dyDescent="0.25">
      <c r="A953" s="7"/>
      <c r="B953" s="7"/>
      <c r="C953" s="7"/>
      <c r="D953" s="7"/>
      <c r="E953" s="7"/>
    </row>
    <row r="954" spans="1:5" ht="13.2" x14ac:dyDescent="0.25">
      <c r="A954" s="7"/>
      <c r="B954" s="7"/>
      <c r="C954" s="7"/>
      <c r="D954" s="7"/>
      <c r="E954" s="7"/>
    </row>
    <row r="955" spans="1:5" ht="13.2" x14ac:dyDescent="0.25">
      <c r="A955" s="7"/>
      <c r="B955" s="7"/>
      <c r="C955" s="7"/>
      <c r="D955" s="7"/>
      <c r="E955" s="7"/>
    </row>
    <row r="956" spans="1:5" ht="13.2" x14ac:dyDescent="0.25">
      <c r="A956" s="7"/>
      <c r="B956" s="7"/>
      <c r="C956" s="7"/>
      <c r="D956" s="7"/>
      <c r="E956" s="7"/>
    </row>
    <row r="957" spans="1:5" ht="13.2" x14ac:dyDescent="0.25">
      <c r="A957" s="7"/>
      <c r="B957" s="7"/>
      <c r="C957" s="7"/>
      <c r="D957" s="7"/>
      <c r="E957" s="7"/>
    </row>
    <row r="958" spans="1:5" ht="13.2" x14ac:dyDescent="0.25">
      <c r="A958" s="7"/>
      <c r="B958" s="7"/>
      <c r="C958" s="7"/>
      <c r="D958" s="7"/>
      <c r="E958" s="7"/>
    </row>
    <row r="959" spans="1:5" ht="13.2" x14ac:dyDescent="0.25">
      <c r="A959" s="7"/>
      <c r="B959" s="7"/>
      <c r="C959" s="7"/>
      <c r="D959" s="7"/>
      <c r="E959" s="7"/>
    </row>
    <row r="960" spans="1:5" ht="13.2" x14ac:dyDescent="0.25">
      <c r="A960" s="7"/>
      <c r="B960" s="7"/>
      <c r="C960" s="7"/>
      <c r="D960" s="7"/>
      <c r="E960" s="7"/>
    </row>
    <row r="961" spans="1:5" ht="13.2" x14ac:dyDescent="0.25">
      <c r="A961" s="7"/>
      <c r="B961" s="7"/>
      <c r="C961" s="7"/>
      <c r="D961" s="7"/>
      <c r="E961" s="7"/>
    </row>
    <row r="962" spans="1:5" ht="13.2" x14ac:dyDescent="0.25">
      <c r="A962" s="7"/>
      <c r="B962" s="7"/>
      <c r="C962" s="7"/>
      <c r="D962" s="7"/>
      <c r="E962" s="7"/>
    </row>
    <row r="963" spans="1:5" ht="13.2" x14ac:dyDescent="0.25">
      <c r="A963" s="7"/>
      <c r="B963" s="7"/>
      <c r="C963" s="7"/>
      <c r="D963" s="7"/>
      <c r="E963" s="7"/>
    </row>
    <row r="964" spans="1:5" ht="13.2" x14ac:dyDescent="0.25">
      <c r="A964" s="7"/>
      <c r="B964" s="7"/>
      <c r="C964" s="7"/>
      <c r="D964" s="7"/>
      <c r="E964" s="7"/>
    </row>
    <row r="965" spans="1:5" ht="13.2" x14ac:dyDescent="0.25">
      <c r="A965" s="7"/>
      <c r="B965" s="7"/>
      <c r="C965" s="7"/>
      <c r="D965" s="7"/>
      <c r="E965" s="7"/>
    </row>
    <row r="966" spans="1:5" ht="13.2" x14ac:dyDescent="0.25">
      <c r="A966" s="7"/>
      <c r="B966" s="7"/>
      <c r="C966" s="7"/>
      <c r="D966" s="7"/>
      <c r="E966" s="7"/>
    </row>
    <row r="967" spans="1:5" ht="13.2" x14ac:dyDescent="0.25">
      <c r="A967" s="7"/>
      <c r="B967" s="7"/>
      <c r="C967" s="7"/>
      <c r="D967" s="7"/>
      <c r="E967" s="7"/>
    </row>
    <row r="968" spans="1:5" ht="13.2" x14ac:dyDescent="0.25">
      <c r="A968" s="7"/>
      <c r="B968" s="7"/>
      <c r="C968" s="7"/>
      <c r="D968" s="7"/>
      <c r="E968" s="7"/>
    </row>
    <row r="969" spans="1:5" ht="13.2" x14ac:dyDescent="0.25">
      <c r="A969" s="7"/>
      <c r="B969" s="7"/>
      <c r="C969" s="7"/>
      <c r="D969" s="7"/>
      <c r="E969" s="7"/>
    </row>
    <row r="970" spans="1:5" ht="13.2" x14ac:dyDescent="0.25">
      <c r="A970" s="7"/>
      <c r="B970" s="7"/>
      <c r="C970" s="7"/>
      <c r="D970" s="7"/>
      <c r="E970" s="7"/>
    </row>
    <row r="971" spans="1:5" ht="13.2" x14ac:dyDescent="0.25">
      <c r="A971" s="7"/>
      <c r="B971" s="7"/>
      <c r="C971" s="7"/>
      <c r="D971" s="7"/>
      <c r="E971" s="7"/>
    </row>
    <row r="972" spans="1:5" ht="13.2" x14ac:dyDescent="0.25">
      <c r="A972" s="7"/>
      <c r="B972" s="7"/>
      <c r="C972" s="7"/>
      <c r="D972" s="7"/>
      <c r="E972" s="7"/>
    </row>
    <row r="973" spans="1:5" ht="13.2" x14ac:dyDescent="0.25">
      <c r="A973" s="7"/>
      <c r="B973" s="7"/>
      <c r="C973" s="7"/>
      <c r="D973" s="7"/>
      <c r="E973" s="7"/>
    </row>
    <row r="974" spans="1:5" ht="13.2" x14ac:dyDescent="0.25">
      <c r="A974" s="7"/>
      <c r="B974" s="7"/>
      <c r="C974" s="7"/>
      <c r="D974" s="7"/>
      <c r="E974" s="7"/>
    </row>
    <row r="975" spans="1:5" ht="13.2" x14ac:dyDescent="0.25">
      <c r="A975" s="7"/>
      <c r="B975" s="7"/>
      <c r="C975" s="7"/>
      <c r="D975" s="7"/>
      <c r="E975" s="7"/>
    </row>
    <row r="976" spans="1:5" ht="13.2" x14ac:dyDescent="0.25">
      <c r="A976" s="7"/>
      <c r="B976" s="7"/>
      <c r="C976" s="7"/>
      <c r="D976" s="7"/>
      <c r="E976" s="7"/>
    </row>
    <row r="977" spans="1:5" ht="13.2" x14ac:dyDescent="0.25">
      <c r="A977" s="7"/>
      <c r="B977" s="7"/>
      <c r="C977" s="7"/>
      <c r="D977" s="7"/>
      <c r="E977" s="7"/>
    </row>
    <row r="978" spans="1:5" ht="13.2" x14ac:dyDescent="0.25">
      <c r="A978" s="7"/>
      <c r="B978" s="7"/>
      <c r="C978" s="7"/>
      <c r="D978" s="7"/>
      <c r="E978" s="7"/>
    </row>
    <row r="979" spans="1:5" ht="13.2" x14ac:dyDescent="0.25">
      <c r="A979" s="7"/>
      <c r="B979" s="7"/>
      <c r="C979" s="7"/>
      <c r="D979" s="7"/>
      <c r="E979" s="7"/>
    </row>
    <row r="980" spans="1:5" ht="13.2" x14ac:dyDescent="0.25">
      <c r="A980" s="7"/>
      <c r="B980" s="7"/>
      <c r="C980" s="7"/>
      <c r="D980" s="7"/>
      <c r="E980" s="7"/>
    </row>
    <row r="981" spans="1:5" ht="13.2" x14ac:dyDescent="0.25">
      <c r="A981" s="7"/>
      <c r="B981" s="7"/>
      <c r="C981" s="7"/>
      <c r="D981" s="7"/>
      <c r="E981" s="7"/>
    </row>
    <row r="982" spans="1:5" ht="13.2" x14ac:dyDescent="0.25">
      <c r="A982" s="7"/>
      <c r="B982" s="7"/>
      <c r="C982" s="7"/>
      <c r="D982" s="7"/>
      <c r="E982" s="7"/>
    </row>
    <row r="983" spans="1:5" ht="13.2" x14ac:dyDescent="0.25">
      <c r="A983" s="7"/>
      <c r="B983" s="7"/>
      <c r="C983" s="7"/>
      <c r="D983" s="7"/>
      <c r="E983" s="7"/>
    </row>
    <row r="984" spans="1:5" ht="13.2" x14ac:dyDescent="0.25">
      <c r="A984" s="7"/>
      <c r="B984" s="7"/>
      <c r="C984" s="7"/>
      <c r="D984" s="7"/>
      <c r="E984" s="7"/>
    </row>
    <row r="985" spans="1:5" ht="13.2" x14ac:dyDescent="0.25">
      <c r="A985" s="7"/>
      <c r="B985" s="7"/>
      <c r="C985" s="7"/>
      <c r="D985" s="7"/>
      <c r="E985" s="7"/>
    </row>
    <row r="986" spans="1:5" ht="13.2" x14ac:dyDescent="0.25">
      <c r="A986" s="7"/>
      <c r="B986" s="7"/>
      <c r="C986" s="7"/>
      <c r="D986" s="7"/>
      <c r="E986" s="7"/>
    </row>
    <row r="987" spans="1:5" ht="13.2" x14ac:dyDescent="0.25">
      <c r="A987" s="7"/>
      <c r="B987" s="7"/>
      <c r="C987" s="7"/>
      <c r="D987" s="7"/>
      <c r="E987" s="7"/>
    </row>
    <row r="988" spans="1:5" ht="13.2" x14ac:dyDescent="0.25">
      <c r="A988" s="7"/>
      <c r="B988" s="7"/>
      <c r="C988" s="7"/>
      <c r="D988" s="7"/>
      <c r="E988" s="7"/>
    </row>
    <row r="989" spans="1:5" ht="13.2" x14ac:dyDescent="0.25">
      <c r="A989" s="7"/>
      <c r="B989" s="7"/>
      <c r="C989" s="7"/>
      <c r="D989" s="7"/>
      <c r="E989" s="7"/>
    </row>
    <row r="990" spans="1:5" ht="13.2" x14ac:dyDescent="0.25">
      <c r="A990" s="7"/>
      <c r="B990" s="7"/>
      <c r="C990" s="7"/>
      <c r="D990" s="7"/>
      <c r="E990" s="7"/>
    </row>
    <row r="991" spans="1:5" ht="13.2" x14ac:dyDescent="0.25">
      <c r="A991" s="7"/>
      <c r="B991" s="7"/>
      <c r="C991" s="7"/>
      <c r="D991" s="7"/>
      <c r="E991" s="7"/>
    </row>
    <row r="992" spans="1:5" ht="13.2" x14ac:dyDescent="0.25">
      <c r="A992" s="7"/>
      <c r="B992" s="7"/>
      <c r="C992" s="7"/>
      <c r="D992" s="7"/>
      <c r="E992" s="7"/>
    </row>
    <row r="993" spans="1:5" ht="13.2" x14ac:dyDescent="0.25">
      <c r="A993" s="7"/>
      <c r="B993" s="7"/>
      <c r="C993" s="7"/>
      <c r="D993" s="7"/>
      <c r="E993" s="7"/>
    </row>
    <row r="994" spans="1:5" ht="13.2" x14ac:dyDescent="0.25">
      <c r="A994" s="7"/>
      <c r="B994" s="7"/>
      <c r="C994" s="7"/>
      <c r="D994" s="7"/>
      <c r="E994" s="7"/>
    </row>
    <row r="995" spans="1:5" ht="13.2" x14ac:dyDescent="0.25">
      <c r="A995" s="7"/>
      <c r="B995" s="7"/>
      <c r="C995" s="7"/>
      <c r="D995" s="7"/>
      <c r="E995" s="7"/>
    </row>
    <row r="996" spans="1:5" ht="13.2" x14ac:dyDescent="0.25">
      <c r="A996" s="7"/>
      <c r="B996" s="7"/>
      <c r="C996" s="7"/>
      <c r="D996" s="7"/>
      <c r="E996" s="7"/>
    </row>
    <row r="997" spans="1:5" ht="13.2" x14ac:dyDescent="0.25">
      <c r="A997" s="7"/>
      <c r="B997" s="7"/>
      <c r="C997" s="7"/>
      <c r="D997" s="7"/>
      <c r="E997" s="7"/>
    </row>
    <row r="998" spans="1:5" ht="13.2" x14ac:dyDescent="0.25">
      <c r="A998" s="7"/>
      <c r="B998" s="7"/>
      <c r="C998" s="7"/>
      <c r="D998" s="7"/>
      <c r="E998"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S988"/>
  <sheetViews>
    <sheetView workbookViewId="0">
      <pane xSplit="1" ySplit="7" topLeftCell="AT166" activePane="bottomRight" state="frozen"/>
      <selection pane="topRight" activeCell="B1" sqref="B1"/>
      <selection pane="bottomLeft" activeCell="A8" sqref="A8"/>
      <selection pane="bottomRight" activeCell="AX6" sqref="AX6:AY184"/>
    </sheetView>
  </sheetViews>
  <sheetFormatPr defaultColWidth="14.44140625" defaultRowHeight="15.75" customHeight="1" x14ac:dyDescent="0.25"/>
  <sheetData>
    <row r="1" spans="1:71" x14ac:dyDescent="0.25">
      <c r="A1" s="94" t="s">
        <v>343</v>
      </c>
      <c r="B1" s="95"/>
      <c r="C1" s="95"/>
      <c r="D1" s="96" t="s">
        <v>344</v>
      </c>
      <c r="E1" s="97"/>
      <c r="F1" s="97"/>
      <c r="G1" s="95"/>
      <c r="H1" s="95"/>
      <c r="I1" s="95"/>
      <c r="J1" s="98"/>
      <c r="K1" s="98"/>
      <c r="L1" s="95"/>
      <c r="M1" s="95"/>
      <c r="N1" s="95"/>
      <c r="O1" s="97"/>
      <c r="P1" s="97"/>
      <c r="Q1" s="95"/>
      <c r="R1" s="95"/>
      <c r="S1" s="95"/>
      <c r="T1" s="97"/>
      <c r="U1" s="97"/>
      <c r="V1" s="95"/>
      <c r="W1" s="95"/>
      <c r="X1" s="95"/>
      <c r="Y1" s="95"/>
      <c r="Z1" s="95"/>
      <c r="AA1" s="97"/>
      <c r="AB1" s="97"/>
      <c r="AC1" s="95"/>
      <c r="AD1" s="95"/>
      <c r="AE1" s="95"/>
      <c r="AF1" s="97"/>
      <c r="AG1" s="97"/>
      <c r="AH1" s="95"/>
      <c r="AI1" s="95"/>
      <c r="AJ1" s="95"/>
      <c r="AK1" s="97"/>
      <c r="AL1" s="97"/>
      <c r="AM1" s="95"/>
      <c r="AN1" s="95"/>
      <c r="AO1" s="95"/>
      <c r="AP1" s="97"/>
      <c r="AQ1" s="97"/>
      <c r="AR1" s="95"/>
      <c r="AS1" s="95"/>
      <c r="AT1" s="95"/>
      <c r="AU1" s="97"/>
      <c r="AV1" s="97"/>
      <c r="AW1" s="95"/>
      <c r="AX1" s="95"/>
      <c r="AY1" s="95"/>
      <c r="AZ1" s="97"/>
      <c r="BA1" s="97"/>
      <c r="BB1" s="95"/>
      <c r="BC1" s="95"/>
      <c r="BD1" s="95"/>
      <c r="BE1" s="95"/>
      <c r="BF1" s="95"/>
      <c r="BG1" s="99"/>
      <c r="BH1" s="99"/>
      <c r="BI1" s="95"/>
      <c r="BJ1" s="95"/>
      <c r="BK1" s="100"/>
      <c r="BL1" s="97"/>
      <c r="BM1" s="97"/>
      <c r="BN1" s="97"/>
      <c r="BO1" s="97"/>
      <c r="BP1" s="101"/>
      <c r="BQ1" s="101"/>
      <c r="BR1" s="101"/>
      <c r="BS1" s="101"/>
    </row>
    <row r="2" spans="1:71" x14ac:dyDescent="0.25">
      <c r="A2" s="94" t="s">
        <v>345</v>
      </c>
      <c r="B2" s="95"/>
      <c r="C2" s="95"/>
      <c r="D2" s="95"/>
      <c r="E2" s="97"/>
      <c r="F2" s="97"/>
      <c r="G2" s="95"/>
      <c r="H2" s="95"/>
      <c r="I2" s="95"/>
      <c r="J2" s="98"/>
      <c r="K2" s="98"/>
      <c r="L2" s="95"/>
      <c r="M2" s="95"/>
      <c r="N2" s="95"/>
      <c r="O2" s="97"/>
      <c r="P2" s="97"/>
      <c r="Q2" s="95"/>
      <c r="R2" s="95"/>
      <c r="S2" s="95"/>
      <c r="T2" s="97"/>
      <c r="U2" s="97"/>
      <c r="V2" s="95"/>
      <c r="W2" s="95"/>
      <c r="X2" s="95"/>
      <c r="Y2" s="95"/>
      <c r="Z2" s="95"/>
      <c r="AA2" s="97"/>
      <c r="AB2" s="97"/>
      <c r="AC2" s="95"/>
      <c r="AD2" s="95"/>
      <c r="AE2" s="95"/>
      <c r="AF2" s="97"/>
      <c r="AG2" s="97"/>
      <c r="AH2" s="95"/>
      <c r="AI2" s="95"/>
      <c r="AJ2" s="95"/>
      <c r="AK2" s="97"/>
      <c r="AL2" s="97"/>
      <c r="AM2" s="95"/>
      <c r="AN2" s="95"/>
      <c r="AO2" s="95"/>
      <c r="AP2" s="97"/>
      <c r="AQ2" s="97"/>
      <c r="AR2" s="95"/>
      <c r="AS2" s="95"/>
      <c r="AT2" s="95"/>
      <c r="AU2" s="97"/>
      <c r="AV2" s="97"/>
      <c r="AW2" s="95"/>
      <c r="AX2" s="95"/>
      <c r="AY2" s="95"/>
      <c r="AZ2" s="97"/>
      <c r="BA2" s="97"/>
      <c r="BB2" s="95"/>
      <c r="BC2" s="95"/>
      <c r="BD2" s="95"/>
      <c r="BE2" s="95"/>
      <c r="BF2" s="95"/>
      <c r="BG2" s="99"/>
      <c r="BH2" s="99"/>
      <c r="BI2" s="95"/>
      <c r="BJ2" s="95"/>
      <c r="BK2" s="100"/>
      <c r="BL2" s="97"/>
      <c r="BM2" s="97"/>
      <c r="BN2" s="97"/>
      <c r="BO2" s="97"/>
      <c r="BP2" s="101"/>
      <c r="BQ2" s="101"/>
      <c r="BR2" s="101"/>
      <c r="BS2" s="101"/>
    </row>
    <row r="3" spans="1:71" x14ac:dyDescent="0.25">
      <c r="A3" s="231" t="s">
        <v>0</v>
      </c>
      <c r="B3" s="233" t="s">
        <v>346</v>
      </c>
      <c r="C3" s="226"/>
      <c r="D3" s="226"/>
      <c r="E3" s="226"/>
      <c r="F3" s="226"/>
      <c r="G3" s="226"/>
      <c r="H3" s="226"/>
      <c r="I3" s="226"/>
      <c r="J3" s="226"/>
      <c r="K3" s="226"/>
      <c r="L3" s="226"/>
      <c r="M3" s="226"/>
      <c r="N3" s="226"/>
      <c r="O3" s="226"/>
      <c r="P3" s="226"/>
      <c r="Q3" s="226"/>
      <c r="R3" s="226"/>
      <c r="S3" s="226"/>
      <c r="T3" s="226"/>
      <c r="U3" s="226"/>
      <c r="V3" s="226"/>
      <c r="W3" s="226"/>
      <c r="X3" s="226"/>
      <c r="Y3" s="226"/>
      <c r="Z3" s="226"/>
      <c r="AA3" s="226"/>
      <c r="AB3" s="227"/>
      <c r="AC3" s="102"/>
      <c r="AD3" s="102"/>
      <c r="AE3" s="102"/>
      <c r="AF3" s="103"/>
      <c r="AG3" s="103"/>
      <c r="AH3" s="233"/>
      <c r="AI3" s="226"/>
      <c r="AJ3" s="226"/>
      <c r="AK3" s="226"/>
      <c r="AL3" s="226"/>
      <c r="AM3" s="226"/>
      <c r="AN3" s="226"/>
      <c r="AO3" s="226"/>
      <c r="AP3" s="226"/>
      <c r="AQ3" s="226"/>
      <c r="AR3" s="226"/>
      <c r="AS3" s="226"/>
      <c r="AT3" s="226"/>
      <c r="AU3" s="226"/>
      <c r="AV3" s="226"/>
      <c r="AW3" s="226"/>
      <c r="AX3" s="226"/>
      <c r="AY3" s="226"/>
      <c r="AZ3" s="226"/>
      <c r="BA3" s="226"/>
      <c r="BB3" s="226"/>
      <c r="BC3" s="226"/>
      <c r="BD3" s="226"/>
      <c r="BE3" s="226"/>
      <c r="BF3" s="226"/>
      <c r="BG3" s="226"/>
      <c r="BH3" s="227"/>
      <c r="BI3" s="102"/>
      <c r="BJ3" s="102"/>
      <c r="BK3" s="104"/>
      <c r="BL3" s="103"/>
      <c r="BM3" s="103"/>
      <c r="BN3" s="103"/>
      <c r="BO3" s="103"/>
      <c r="BP3" s="233" t="s">
        <v>347</v>
      </c>
      <c r="BQ3" s="226"/>
      <c r="BR3" s="226"/>
      <c r="BS3" s="227"/>
    </row>
    <row r="4" spans="1:71" x14ac:dyDescent="0.25">
      <c r="A4" s="232"/>
      <c r="B4" s="225" t="s">
        <v>348</v>
      </c>
      <c r="C4" s="226"/>
      <c r="D4" s="226"/>
      <c r="E4" s="226"/>
      <c r="F4" s="227"/>
      <c r="G4" s="225" t="s">
        <v>349</v>
      </c>
      <c r="H4" s="226"/>
      <c r="I4" s="226"/>
      <c r="J4" s="226"/>
      <c r="K4" s="227"/>
      <c r="L4" s="225" t="s">
        <v>350</v>
      </c>
      <c r="M4" s="226"/>
      <c r="N4" s="226"/>
      <c r="O4" s="226"/>
      <c r="P4" s="227"/>
      <c r="Q4" s="225" t="s">
        <v>70</v>
      </c>
      <c r="R4" s="226"/>
      <c r="S4" s="226"/>
      <c r="T4" s="226"/>
      <c r="U4" s="227"/>
      <c r="V4" s="225" t="s">
        <v>351</v>
      </c>
      <c r="W4" s="227"/>
      <c r="X4" s="225" t="s">
        <v>352</v>
      </c>
      <c r="Y4" s="226"/>
      <c r="Z4" s="226"/>
      <c r="AA4" s="226"/>
      <c r="AB4" s="227"/>
      <c r="AC4" s="225" t="s">
        <v>353</v>
      </c>
      <c r="AD4" s="226"/>
      <c r="AE4" s="226"/>
      <c r="AF4" s="226"/>
      <c r="AG4" s="227"/>
      <c r="AH4" s="225" t="s">
        <v>348</v>
      </c>
      <c r="AI4" s="226"/>
      <c r="AJ4" s="226"/>
      <c r="AK4" s="226"/>
      <c r="AL4" s="227"/>
      <c r="AM4" s="225" t="s">
        <v>349</v>
      </c>
      <c r="AN4" s="226"/>
      <c r="AO4" s="226"/>
      <c r="AP4" s="226"/>
      <c r="AQ4" s="227"/>
      <c r="AR4" s="225" t="s">
        <v>350</v>
      </c>
      <c r="AS4" s="226"/>
      <c r="AT4" s="226"/>
      <c r="AU4" s="226"/>
      <c r="AV4" s="227"/>
      <c r="AW4" s="225" t="s">
        <v>354</v>
      </c>
      <c r="AX4" s="226"/>
      <c r="AY4" s="226"/>
      <c r="AZ4" s="226"/>
      <c r="BA4" s="227"/>
      <c r="BB4" s="225" t="s">
        <v>351</v>
      </c>
      <c r="BC4" s="227"/>
      <c r="BD4" s="225" t="s">
        <v>355</v>
      </c>
      <c r="BE4" s="226"/>
      <c r="BF4" s="226"/>
      <c r="BG4" s="226"/>
      <c r="BH4" s="227"/>
      <c r="BI4" s="225" t="s">
        <v>356</v>
      </c>
      <c r="BJ4" s="226"/>
      <c r="BK4" s="226"/>
      <c r="BL4" s="226"/>
      <c r="BM4" s="227"/>
      <c r="BN4" s="228" t="s">
        <v>357</v>
      </c>
      <c r="BO4" s="230" t="s">
        <v>358</v>
      </c>
      <c r="BP4" s="225" t="s">
        <v>359</v>
      </c>
      <c r="BQ4" s="227"/>
      <c r="BR4" s="225" t="s">
        <v>360</v>
      </c>
      <c r="BS4" s="227"/>
    </row>
    <row r="5" spans="1:71" x14ac:dyDescent="0.25">
      <c r="A5" s="229"/>
      <c r="B5" s="105" t="s">
        <v>361</v>
      </c>
      <c r="C5" s="105" t="s">
        <v>362</v>
      </c>
      <c r="D5" s="105" t="s">
        <v>363</v>
      </c>
      <c r="E5" s="103" t="s">
        <v>364</v>
      </c>
      <c r="F5" s="103" t="s">
        <v>365</v>
      </c>
      <c r="G5" s="105" t="s">
        <v>361</v>
      </c>
      <c r="H5" s="105" t="s">
        <v>362</v>
      </c>
      <c r="I5" s="105" t="s">
        <v>363</v>
      </c>
      <c r="J5" s="106" t="s">
        <v>364</v>
      </c>
      <c r="K5" s="106" t="s">
        <v>365</v>
      </c>
      <c r="L5" s="105" t="s">
        <v>361</v>
      </c>
      <c r="M5" s="105" t="s">
        <v>362</v>
      </c>
      <c r="N5" s="105" t="s">
        <v>363</v>
      </c>
      <c r="O5" s="103" t="s">
        <v>364</v>
      </c>
      <c r="P5" s="103" t="s">
        <v>365</v>
      </c>
      <c r="Q5" s="105" t="s">
        <v>361</v>
      </c>
      <c r="R5" s="105" t="s">
        <v>362</v>
      </c>
      <c r="S5" s="105" t="s">
        <v>363</v>
      </c>
      <c r="T5" s="103" t="s">
        <v>364</v>
      </c>
      <c r="U5" s="103" t="s">
        <v>365</v>
      </c>
      <c r="V5" s="102" t="s">
        <v>362</v>
      </c>
      <c r="W5" s="102" t="s">
        <v>363</v>
      </c>
      <c r="X5" s="105" t="s">
        <v>361</v>
      </c>
      <c r="Y5" s="105" t="s">
        <v>362</v>
      </c>
      <c r="Z5" s="105" t="s">
        <v>363</v>
      </c>
      <c r="AA5" s="103" t="s">
        <v>364</v>
      </c>
      <c r="AB5" s="103" t="s">
        <v>365</v>
      </c>
      <c r="AC5" s="105" t="s">
        <v>361</v>
      </c>
      <c r="AD5" s="105" t="s">
        <v>362</v>
      </c>
      <c r="AE5" s="105" t="s">
        <v>363</v>
      </c>
      <c r="AF5" s="103" t="s">
        <v>364</v>
      </c>
      <c r="AG5" s="103" t="s">
        <v>365</v>
      </c>
      <c r="AH5" s="105" t="s">
        <v>361</v>
      </c>
      <c r="AI5" s="105" t="s">
        <v>362</v>
      </c>
      <c r="AJ5" s="105" t="s">
        <v>363</v>
      </c>
      <c r="AK5" s="103" t="s">
        <v>364</v>
      </c>
      <c r="AL5" s="103" t="s">
        <v>365</v>
      </c>
      <c r="AM5" s="105" t="s">
        <v>361</v>
      </c>
      <c r="AN5" s="105" t="s">
        <v>362</v>
      </c>
      <c r="AO5" s="105" t="s">
        <v>363</v>
      </c>
      <c r="AP5" s="103" t="s">
        <v>364</v>
      </c>
      <c r="AQ5" s="103" t="s">
        <v>365</v>
      </c>
      <c r="AR5" s="105" t="s">
        <v>361</v>
      </c>
      <c r="AS5" s="105" t="s">
        <v>362</v>
      </c>
      <c r="AT5" s="105" t="s">
        <v>363</v>
      </c>
      <c r="AU5" s="103" t="s">
        <v>364</v>
      </c>
      <c r="AV5" s="103" t="s">
        <v>365</v>
      </c>
      <c r="AW5" s="105" t="s">
        <v>361</v>
      </c>
      <c r="AX5" s="105" t="s">
        <v>362</v>
      </c>
      <c r="AY5" s="105" t="s">
        <v>363</v>
      </c>
      <c r="AZ5" s="103" t="s">
        <v>364</v>
      </c>
      <c r="BA5" s="103" t="s">
        <v>365</v>
      </c>
      <c r="BB5" s="102" t="s">
        <v>362</v>
      </c>
      <c r="BC5" s="102" t="s">
        <v>363</v>
      </c>
      <c r="BD5" s="105" t="s">
        <v>361</v>
      </c>
      <c r="BE5" s="105" t="s">
        <v>362</v>
      </c>
      <c r="BF5" s="105" t="s">
        <v>363</v>
      </c>
      <c r="BG5" s="103" t="s">
        <v>364</v>
      </c>
      <c r="BH5" s="103" t="s">
        <v>365</v>
      </c>
      <c r="BI5" s="105" t="s">
        <v>361</v>
      </c>
      <c r="BJ5" s="105" t="s">
        <v>362</v>
      </c>
      <c r="BK5" s="107" t="s">
        <v>363</v>
      </c>
      <c r="BL5" s="103" t="s">
        <v>364</v>
      </c>
      <c r="BM5" s="103" t="s">
        <v>365</v>
      </c>
      <c r="BN5" s="229"/>
      <c r="BO5" s="229"/>
      <c r="BP5" s="108" t="s">
        <v>362</v>
      </c>
      <c r="BQ5" s="108" t="s">
        <v>363</v>
      </c>
      <c r="BR5" s="108" t="s">
        <v>362</v>
      </c>
      <c r="BS5" s="108" t="s">
        <v>363</v>
      </c>
    </row>
    <row r="6" spans="1:71" x14ac:dyDescent="0.25">
      <c r="A6" s="109">
        <v>44260</v>
      </c>
      <c r="B6" s="110">
        <v>112301</v>
      </c>
      <c r="C6" s="110">
        <v>141425</v>
      </c>
      <c r="D6" s="110">
        <v>91078</v>
      </c>
      <c r="E6" s="111">
        <f t="shared" ref="E6:E184" si="0">C6/B6</f>
        <v>1.2593387414181529</v>
      </c>
      <c r="F6" s="111">
        <f t="shared" ref="F6:F184" si="1">D6/B6</f>
        <v>0.81101682086535298</v>
      </c>
      <c r="G6" s="110">
        <v>911631</v>
      </c>
      <c r="H6" s="110">
        <v>76451</v>
      </c>
      <c r="I6" s="110">
        <v>0</v>
      </c>
      <c r="J6" s="112">
        <f t="shared" ref="J6:J184" si="2">H6/G6</f>
        <v>8.386178179548523E-2</v>
      </c>
      <c r="K6" s="112">
        <f t="shared" ref="K6:K184" si="3">I6/G6</f>
        <v>0</v>
      </c>
      <c r="L6" s="110">
        <v>1976757</v>
      </c>
      <c r="M6" s="110">
        <v>64121</v>
      </c>
      <c r="N6" s="110">
        <v>0</v>
      </c>
      <c r="O6" s="111">
        <f t="shared" ref="O6:O184" si="4">M6/L6</f>
        <v>3.2437472081798625E-2</v>
      </c>
      <c r="P6" s="111">
        <f t="shared" ref="P6:P184" si="5">N6/L6</f>
        <v>0</v>
      </c>
      <c r="Q6" s="110">
        <f t="shared" ref="Q6:Q7" si="6">SUM(B6,G6,L6)</f>
        <v>3000689</v>
      </c>
      <c r="R6" s="110">
        <f t="shared" ref="R6:S6" si="7">C6+H6+M6</f>
        <v>281997</v>
      </c>
      <c r="S6" s="110">
        <f t="shared" si="7"/>
        <v>91078</v>
      </c>
      <c r="T6" s="113">
        <f t="shared" ref="T6:T184" si="8">R6/Q6</f>
        <v>9.3977416520005908E-2</v>
      </c>
      <c r="U6" s="113">
        <f t="shared" ref="U6:U184" si="9">S6/Q6</f>
        <v>3.0352362407433758E-2</v>
      </c>
      <c r="V6" s="110"/>
      <c r="W6" s="110"/>
      <c r="X6" s="110"/>
      <c r="Y6" s="110"/>
      <c r="Z6" s="110"/>
      <c r="AA6" s="113"/>
      <c r="AB6" s="113"/>
      <c r="AC6" s="110"/>
      <c r="AD6" s="110"/>
      <c r="AE6" s="110"/>
      <c r="AF6" s="113"/>
      <c r="AG6" s="113"/>
      <c r="AH6" s="110">
        <v>1468764</v>
      </c>
      <c r="AI6" s="110">
        <v>1692016</v>
      </c>
      <c r="AJ6" s="110">
        <v>1111938</v>
      </c>
      <c r="AK6" s="111">
        <f t="shared" ref="AK6:AK112" si="10">AI6/AH6</f>
        <v>1.1519999128518945</v>
      </c>
      <c r="AL6" s="111">
        <f t="shared" ref="AL6:AL112" si="11">AJ6/AH6</f>
        <v>0.7570569540103107</v>
      </c>
      <c r="AM6" s="114">
        <v>21553118</v>
      </c>
      <c r="AN6" s="114">
        <v>179711</v>
      </c>
      <c r="AO6" s="114">
        <v>2</v>
      </c>
      <c r="AP6" s="111">
        <f t="shared" ref="AP6:AP112" si="12">AN6/AM6</f>
        <v>8.338051134875242E-3</v>
      </c>
      <c r="AQ6" s="111">
        <f t="shared" ref="AQ6:AQ112" si="13">AO6/AM6</f>
        <v>9.2793998529586303E-8</v>
      </c>
      <c r="AR6" s="110">
        <v>17327169</v>
      </c>
      <c r="AS6" s="110">
        <v>541888</v>
      </c>
      <c r="AT6" s="110">
        <v>2597</v>
      </c>
      <c r="AU6" s="111">
        <f t="shared" ref="AU6:AU112" si="14">AS6/AR6</f>
        <v>3.1273891309076512E-2</v>
      </c>
      <c r="AV6" s="111">
        <f t="shared" ref="AV6:AV112" si="15">AT6/AR6</f>
        <v>1.4988022567333418E-4</v>
      </c>
      <c r="AW6" s="115">
        <f t="shared" ref="AW6:AW110" si="16">SUM(AH6,AM6,AR6)</f>
        <v>40349051</v>
      </c>
      <c r="AX6" s="115">
        <f t="shared" ref="AX6:AY6" si="17">AI6+AN6+AS6</f>
        <v>2413615</v>
      </c>
      <c r="AY6" s="115">
        <f t="shared" si="17"/>
        <v>1114537</v>
      </c>
      <c r="AZ6" s="111">
        <f t="shared" ref="AZ6:AZ184" si="18">AX6/AW6</f>
        <v>5.981838333694639E-2</v>
      </c>
      <c r="BA6" s="111">
        <f t="shared" ref="BA6:BA184" si="19">AY6/AW6</f>
        <v>2.762238447689885E-2</v>
      </c>
      <c r="BB6" s="115"/>
      <c r="BC6" s="115"/>
      <c r="BD6" s="110"/>
      <c r="BE6" s="110"/>
      <c r="BF6" s="110"/>
      <c r="BG6" s="116"/>
      <c r="BH6" s="116"/>
      <c r="BI6" s="110"/>
      <c r="BJ6" s="110"/>
      <c r="BK6" s="117"/>
      <c r="BL6" s="113"/>
      <c r="BM6" s="113"/>
      <c r="BN6" s="113"/>
      <c r="BO6" s="113"/>
      <c r="BP6" s="118">
        <v>0</v>
      </c>
      <c r="BQ6" s="118">
        <v>0</v>
      </c>
      <c r="BR6" s="118">
        <v>0</v>
      </c>
      <c r="BS6" s="118">
        <v>0</v>
      </c>
    </row>
    <row r="7" spans="1:71" x14ac:dyDescent="0.25">
      <c r="A7" s="109">
        <v>44261</v>
      </c>
      <c r="B7" s="110">
        <v>112301</v>
      </c>
      <c r="C7" s="114">
        <v>144046</v>
      </c>
      <c r="D7" s="114">
        <v>91379</v>
      </c>
      <c r="E7" s="111">
        <f t="shared" si="0"/>
        <v>1.2826778034033535</v>
      </c>
      <c r="F7" s="111">
        <f t="shared" si="1"/>
        <v>0.8136971175679647</v>
      </c>
      <c r="G7" s="110">
        <v>911631</v>
      </c>
      <c r="H7" s="114">
        <v>79421</v>
      </c>
      <c r="I7" s="114">
        <v>0</v>
      </c>
      <c r="J7" s="112">
        <f t="shared" si="2"/>
        <v>8.7119678905171055E-2</v>
      </c>
      <c r="K7" s="112">
        <f t="shared" si="3"/>
        <v>0</v>
      </c>
      <c r="L7" s="110">
        <v>1976757</v>
      </c>
      <c r="M7" s="114">
        <v>66484</v>
      </c>
      <c r="N7" s="114">
        <v>0</v>
      </c>
      <c r="O7" s="111">
        <f t="shared" si="4"/>
        <v>3.3632864332844147E-2</v>
      </c>
      <c r="P7" s="111">
        <f t="shared" si="5"/>
        <v>0</v>
      </c>
      <c r="Q7" s="110">
        <f t="shared" si="6"/>
        <v>3000689</v>
      </c>
      <c r="R7" s="110">
        <f t="shared" ref="R7:S7" si="20">C7+H7+M7</f>
        <v>289951</v>
      </c>
      <c r="S7" s="110">
        <f t="shared" si="20"/>
        <v>91379</v>
      </c>
      <c r="T7" s="113">
        <f t="shared" si="8"/>
        <v>9.6628141070267529E-2</v>
      </c>
      <c r="U7" s="113">
        <f t="shared" si="9"/>
        <v>3.0452672702835915E-2</v>
      </c>
      <c r="V7" s="110"/>
      <c r="W7" s="110"/>
      <c r="X7" s="110"/>
      <c r="Y7" s="110"/>
      <c r="Z7" s="110"/>
      <c r="AA7" s="113"/>
      <c r="AB7" s="113"/>
      <c r="AC7" s="110"/>
      <c r="AD7" s="110"/>
      <c r="AE7" s="110"/>
      <c r="AF7" s="113"/>
      <c r="AG7" s="113"/>
      <c r="AH7" s="110">
        <v>1468764</v>
      </c>
      <c r="AI7" s="114">
        <v>1741784</v>
      </c>
      <c r="AJ7" s="114">
        <v>1126353</v>
      </c>
      <c r="AK7" s="111">
        <f t="shared" si="10"/>
        <v>1.1858841856145712</v>
      </c>
      <c r="AL7" s="111">
        <f t="shared" si="11"/>
        <v>0.76687132854563433</v>
      </c>
      <c r="AM7" s="114">
        <v>21553118</v>
      </c>
      <c r="AN7" s="114">
        <v>206025</v>
      </c>
      <c r="AO7" s="114">
        <v>2</v>
      </c>
      <c r="AP7" s="111">
        <f t="shared" si="12"/>
        <v>9.5589417735290078E-3</v>
      </c>
      <c r="AQ7" s="111">
        <f t="shared" si="13"/>
        <v>9.2793998529586303E-8</v>
      </c>
      <c r="AR7" s="110">
        <v>17327169</v>
      </c>
      <c r="AS7" s="114">
        <v>604456</v>
      </c>
      <c r="AT7" s="114">
        <v>4169</v>
      </c>
      <c r="AU7" s="111">
        <f t="shared" si="14"/>
        <v>3.4884867805006117E-2</v>
      </c>
      <c r="AV7" s="111">
        <f t="shared" si="15"/>
        <v>2.4060479816408555E-4</v>
      </c>
      <c r="AW7" s="115">
        <f t="shared" si="16"/>
        <v>40349051</v>
      </c>
      <c r="AX7" s="114">
        <f t="shared" ref="AX7:AY7" si="21">AI7+AN7+AS7</f>
        <v>2552265</v>
      </c>
      <c r="AY7" s="119">
        <f t="shared" si="21"/>
        <v>1130524</v>
      </c>
      <c r="AZ7" s="111">
        <f t="shared" si="18"/>
        <v>6.3254647550446727E-2</v>
      </c>
      <c r="BA7" s="111">
        <f t="shared" si="19"/>
        <v>2.801860197405882E-2</v>
      </c>
      <c r="BB7" s="115">
        <f>AX7-AX6</f>
        <v>138650</v>
      </c>
      <c r="BC7" s="115"/>
      <c r="BD7" s="110"/>
      <c r="BE7" s="110"/>
      <c r="BF7" s="110"/>
      <c r="BG7" s="116"/>
      <c r="BH7" s="116"/>
      <c r="BI7" s="110"/>
      <c r="BJ7" s="110"/>
      <c r="BK7" s="117"/>
      <c r="BL7" s="113"/>
      <c r="BM7" s="113"/>
      <c r="BN7" s="113"/>
      <c r="BO7" s="113"/>
      <c r="BP7" s="118">
        <v>0</v>
      </c>
      <c r="BQ7" s="118">
        <v>0</v>
      </c>
      <c r="BR7" s="118">
        <v>0</v>
      </c>
      <c r="BS7" s="118">
        <v>0</v>
      </c>
    </row>
    <row r="8" spans="1:71" x14ac:dyDescent="0.25">
      <c r="A8" s="109">
        <v>44262</v>
      </c>
      <c r="B8" s="110">
        <v>112301</v>
      </c>
      <c r="C8" s="114">
        <v>177126</v>
      </c>
      <c r="D8" s="114">
        <v>91460</v>
      </c>
      <c r="E8" s="111">
        <f t="shared" si="0"/>
        <v>1.5772433014844036</v>
      </c>
      <c r="F8" s="111">
        <f t="shared" si="1"/>
        <v>0.8144183934248137</v>
      </c>
      <c r="G8" s="110">
        <v>911631</v>
      </c>
      <c r="H8" s="114">
        <v>83628</v>
      </c>
      <c r="I8" s="114">
        <v>0</v>
      </c>
      <c r="J8" s="112">
        <f t="shared" si="2"/>
        <v>9.173448467636576E-2</v>
      </c>
      <c r="K8" s="112">
        <f t="shared" si="3"/>
        <v>0</v>
      </c>
      <c r="L8" s="110">
        <v>1976757</v>
      </c>
      <c r="M8" s="114">
        <v>73752</v>
      </c>
      <c r="N8" s="114">
        <v>2514</v>
      </c>
      <c r="O8" s="111">
        <f t="shared" si="4"/>
        <v>3.7309593440164879E-2</v>
      </c>
      <c r="P8" s="111">
        <f t="shared" si="5"/>
        <v>1.2717799911673513E-3</v>
      </c>
      <c r="Q8" s="110">
        <v>3000689</v>
      </c>
      <c r="R8" s="110">
        <f t="shared" ref="R8:S8" si="22">C8+H8+M8</f>
        <v>334506</v>
      </c>
      <c r="S8" s="110">
        <f t="shared" si="22"/>
        <v>93974</v>
      </c>
      <c r="T8" s="113">
        <f t="shared" si="8"/>
        <v>0.1114763975873541</v>
      </c>
      <c r="U8" s="113">
        <f t="shared" si="9"/>
        <v>3.1317474086784737E-2</v>
      </c>
      <c r="V8" s="110"/>
      <c r="W8" s="110"/>
      <c r="X8" s="110"/>
      <c r="Y8" s="110"/>
      <c r="Z8" s="110"/>
      <c r="AA8" s="113"/>
      <c r="AB8" s="113"/>
      <c r="AC8" s="110"/>
      <c r="AD8" s="110"/>
      <c r="AE8" s="110"/>
      <c r="AF8" s="113"/>
      <c r="AG8" s="113"/>
      <c r="AH8" s="110">
        <v>1468764</v>
      </c>
      <c r="AI8" s="114">
        <v>2049651</v>
      </c>
      <c r="AJ8" s="114">
        <v>1129340</v>
      </c>
      <c r="AK8" s="111">
        <f t="shared" si="10"/>
        <v>1.3954937621020123</v>
      </c>
      <c r="AL8" s="111">
        <f t="shared" si="11"/>
        <v>0.76890501128840305</v>
      </c>
      <c r="AM8" s="114">
        <v>21553118</v>
      </c>
      <c r="AN8" s="114">
        <v>215632</v>
      </c>
      <c r="AO8" s="114">
        <v>2</v>
      </c>
      <c r="AP8" s="111">
        <f t="shared" si="12"/>
        <v>1.0004677745465877E-2</v>
      </c>
      <c r="AQ8" s="111">
        <f t="shared" si="13"/>
        <v>9.2793998529586303E-8</v>
      </c>
      <c r="AR8" s="110">
        <v>17327169</v>
      </c>
      <c r="AS8" s="114">
        <v>623474</v>
      </c>
      <c r="AT8" s="114">
        <v>4445</v>
      </c>
      <c r="AU8" s="111">
        <f t="shared" si="14"/>
        <v>3.598245045108061E-2</v>
      </c>
      <c r="AV8" s="111">
        <f t="shared" si="15"/>
        <v>2.5653353989910294E-4</v>
      </c>
      <c r="AW8" s="115">
        <f t="shared" si="16"/>
        <v>40349051</v>
      </c>
      <c r="AX8" s="114">
        <f t="shared" ref="AX8:AY8" si="23">AI8+AN8+AS8</f>
        <v>2888757</v>
      </c>
      <c r="AY8" s="119">
        <f t="shared" si="23"/>
        <v>1133787</v>
      </c>
      <c r="AZ8" s="111">
        <f t="shared" si="18"/>
        <v>7.1594174544526462E-2</v>
      </c>
      <c r="BA8" s="111">
        <f t="shared" si="19"/>
        <v>2.8099471286201997E-2</v>
      </c>
      <c r="BB8" s="118">
        <f t="shared" ref="BB8:BB71" si="24">AX8-AX7</f>
        <v>336492</v>
      </c>
      <c r="BC8" s="115"/>
      <c r="BD8" s="110"/>
      <c r="BE8" s="110"/>
      <c r="BF8" s="110"/>
      <c r="BG8" s="116"/>
      <c r="BH8" s="116"/>
      <c r="BI8" s="110"/>
      <c r="BJ8" s="110"/>
      <c r="BK8" s="117"/>
      <c r="BL8" s="113"/>
      <c r="BM8" s="113"/>
      <c r="BN8" s="113"/>
      <c r="BO8" s="113"/>
      <c r="BP8" s="118">
        <v>0</v>
      </c>
      <c r="BQ8" s="118">
        <v>0</v>
      </c>
      <c r="BR8" s="118">
        <v>0</v>
      </c>
      <c r="BS8" s="118">
        <v>0</v>
      </c>
    </row>
    <row r="9" spans="1:71" x14ac:dyDescent="0.25">
      <c r="A9" s="109">
        <v>44263</v>
      </c>
      <c r="B9" s="110">
        <v>112301</v>
      </c>
      <c r="C9" s="114">
        <v>181237</v>
      </c>
      <c r="D9" s="114">
        <v>92988</v>
      </c>
      <c r="E9" s="111">
        <f t="shared" si="0"/>
        <v>1.6138502773795425</v>
      </c>
      <c r="F9" s="111">
        <f t="shared" si="1"/>
        <v>0.82802468366265658</v>
      </c>
      <c r="G9" s="110">
        <v>911631</v>
      </c>
      <c r="H9" s="114">
        <v>95140</v>
      </c>
      <c r="I9" s="114">
        <v>1</v>
      </c>
      <c r="J9" s="112">
        <f t="shared" si="2"/>
        <v>0.10436240101532308</v>
      </c>
      <c r="K9" s="112">
        <f t="shared" si="3"/>
        <v>1.0969350537662716E-6</v>
      </c>
      <c r="L9" s="110">
        <v>1976757</v>
      </c>
      <c r="M9" s="114">
        <v>85333</v>
      </c>
      <c r="N9" s="114">
        <v>3989</v>
      </c>
      <c r="O9" s="111">
        <f t="shared" si="4"/>
        <v>4.3168178992157358E-2</v>
      </c>
      <c r="P9" s="111">
        <f t="shared" si="5"/>
        <v>2.0179516248077026E-3</v>
      </c>
      <c r="Q9" s="110">
        <v>3000689</v>
      </c>
      <c r="R9" s="110">
        <f t="shared" ref="R9:S9" si="25">C9+H9+M9</f>
        <v>361710</v>
      </c>
      <c r="S9" s="110">
        <f t="shared" si="25"/>
        <v>96978</v>
      </c>
      <c r="T9" s="113">
        <f t="shared" si="8"/>
        <v>0.12054231544821872</v>
      </c>
      <c r="U9" s="113">
        <f t="shared" si="9"/>
        <v>3.2318577500034161E-2</v>
      </c>
      <c r="V9" s="110"/>
      <c r="W9" s="110"/>
      <c r="X9" s="110"/>
      <c r="Y9" s="110"/>
      <c r="Z9" s="110"/>
      <c r="AA9" s="113"/>
      <c r="AB9" s="113"/>
      <c r="AC9" s="110"/>
      <c r="AD9" s="110"/>
      <c r="AE9" s="110"/>
      <c r="AF9" s="113"/>
      <c r="AG9" s="113"/>
      <c r="AH9" s="110">
        <v>1468764</v>
      </c>
      <c r="AI9" s="114">
        <v>2114655</v>
      </c>
      <c r="AJ9" s="114">
        <v>1149547</v>
      </c>
      <c r="AK9" s="111">
        <f t="shared" si="10"/>
        <v>1.4397513827953299</v>
      </c>
      <c r="AL9" s="111">
        <f t="shared" si="11"/>
        <v>0.78266283759678201</v>
      </c>
      <c r="AM9" s="114">
        <v>21553118</v>
      </c>
      <c r="AN9" s="114">
        <v>267603</v>
      </c>
      <c r="AO9" s="114">
        <v>5</v>
      </c>
      <c r="AP9" s="111">
        <f t="shared" si="12"/>
        <v>1.2415976194256441E-2</v>
      </c>
      <c r="AQ9" s="111">
        <f t="shared" si="13"/>
        <v>2.3198499632396576E-7</v>
      </c>
      <c r="AR9" s="110">
        <v>17327169</v>
      </c>
      <c r="AS9" s="114">
        <v>715767</v>
      </c>
      <c r="AT9" s="114">
        <v>8880</v>
      </c>
      <c r="AU9" s="111">
        <f t="shared" si="14"/>
        <v>4.1308940889305111E-2</v>
      </c>
      <c r="AV9" s="111">
        <f t="shared" si="15"/>
        <v>5.1248995147447341E-4</v>
      </c>
      <c r="AW9" s="115">
        <f t="shared" si="16"/>
        <v>40349051</v>
      </c>
      <c r="AX9" s="114">
        <f t="shared" ref="AX9:AY9" si="26">AI9+AN9+AS9</f>
        <v>3098025</v>
      </c>
      <c r="AY9" s="119">
        <f t="shared" si="26"/>
        <v>1158432</v>
      </c>
      <c r="AZ9" s="111">
        <f t="shared" si="18"/>
        <v>7.6780616228123932E-2</v>
      </c>
      <c r="BA9" s="111">
        <f t="shared" si="19"/>
        <v>2.8710266320761794E-2</v>
      </c>
      <c r="BB9" s="118">
        <f t="shared" si="24"/>
        <v>209268</v>
      </c>
      <c r="BC9" s="115"/>
      <c r="BD9" s="110"/>
      <c r="BE9" s="110"/>
      <c r="BF9" s="110"/>
      <c r="BG9" s="116"/>
      <c r="BH9" s="116"/>
      <c r="BI9" s="110"/>
      <c r="BJ9" s="110"/>
      <c r="BK9" s="117"/>
      <c r="BL9" s="113"/>
      <c r="BM9" s="113"/>
      <c r="BN9" s="113"/>
      <c r="BO9" s="113"/>
      <c r="BP9" s="118">
        <v>0</v>
      </c>
      <c r="BQ9" s="118">
        <v>0</v>
      </c>
      <c r="BR9" s="118">
        <v>0</v>
      </c>
      <c r="BS9" s="118">
        <v>0</v>
      </c>
    </row>
    <row r="10" spans="1:71" x14ac:dyDescent="0.25">
      <c r="A10" s="109">
        <v>44264</v>
      </c>
      <c r="B10" s="110">
        <v>112301</v>
      </c>
      <c r="C10" s="114">
        <v>113326</v>
      </c>
      <c r="D10" s="114">
        <v>89984</v>
      </c>
      <c r="E10" s="111">
        <f t="shared" si="0"/>
        <v>1.0091272562132128</v>
      </c>
      <c r="F10" s="111">
        <f t="shared" si="1"/>
        <v>0.80127514447778736</v>
      </c>
      <c r="G10" s="110">
        <v>911631</v>
      </c>
      <c r="H10" s="114">
        <v>135128</v>
      </c>
      <c r="I10" s="114">
        <v>675</v>
      </c>
      <c r="J10" s="112">
        <f t="shared" si="2"/>
        <v>0.14822663994532875</v>
      </c>
      <c r="K10" s="112">
        <f t="shared" si="3"/>
        <v>7.4043116129223342E-4</v>
      </c>
      <c r="L10" s="110">
        <v>1976757</v>
      </c>
      <c r="M10" s="114">
        <v>174685</v>
      </c>
      <c r="N10" s="114">
        <v>29195</v>
      </c>
      <c r="O10" s="111">
        <f t="shared" si="4"/>
        <v>8.8369485981332055E-2</v>
      </c>
      <c r="P10" s="111">
        <f t="shared" si="5"/>
        <v>1.4769139555342412E-2</v>
      </c>
      <c r="Q10" s="110">
        <v>3000689</v>
      </c>
      <c r="R10" s="110">
        <f t="shared" ref="R10:S10" si="27">C10+H10+M10</f>
        <v>423139</v>
      </c>
      <c r="S10" s="110">
        <f t="shared" si="27"/>
        <v>119854</v>
      </c>
      <c r="T10" s="113">
        <f t="shared" si="8"/>
        <v>0.14101394713014245</v>
      </c>
      <c r="U10" s="113">
        <f t="shared" si="9"/>
        <v>3.9942159950598015E-2</v>
      </c>
      <c r="V10" s="110"/>
      <c r="W10" s="110"/>
      <c r="X10" s="110"/>
      <c r="Y10" s="110"/>
      <c r="Z10" s="110"/>
      <c r="AA10" s="113"/>
      <c r="AB10" s="113"/>
      <c r="AC10" s="110"/>
      <c r="AD10" s="110"/>
      <c r="AE10" s="110"/>
      <c r="AF10" s="113"/>
      <c r="AG10" s="113"/>
      <c r="AH10" s="110">
        <v>1468764</v>
      </c>
      <c r="AI10" s="114">
        <v>1395498</v>
      </c>
      <c r="AJ10" s="114">
        <v>1127633</v>
      </c>
      <c r="AK10" s="111">
        <f t="shared" si="10"/>
        <v>0.95011724143565612</v>
      </c>
      <c r="AL10" s="111">
        <f t="shared" si="11"/>
        <v>0.76774280960045316</v>
      </c>
      <c r="AM10" s="114">
        <v>21553118</v>
      </c>
      <c r="AN10" s="114">
        <v>430591</v>
      </c>
      <c r="AO10" s="114">
        <v>1612</v>
      </c>
      <c r="AP10" s="111">
        <f t="shared" si="12"/>
        <v>1.9978130310426546E-2</v>
      </c>
      <c r="AQ10" s="111">
        <f t="shared" si="13"/>
        <v>7.4791962814846564E-5</v>
      </c>
      <c r="AR10" s="110">
        <v>17327169</v>
      </c>
      <c r="AS10" s="114">
        <v>1510937</v>
      </c>
      <c r="AT10" s="114">
        <v>68527</v>
      </c>
      <c r="AU10" s="111">
        <f t="shared" si="14"/>
        <v>8.7200453807543515E-2</v>
      </c>
      <c r="AV10" s="111">
        <f t="shared" si="15"/>
        <v>3.9548872640418065E-3</v>
      </c>
      <c r="AW10" s="115">
        <f t="shared" si="16"/>
        <v>40349051</v>
      </c>
      <c r="AX10" s="114">
        <f t="shared" ref="AX10:AY10" si="28">AI10+AN10+AS10</f>
        <v>3337026</v>
      </c>
      <c r="AY10" s="119">
        <f t="shared" si="28"/>
        <v>1197772</v>
      </c>
      <c r="AZ10" s="111">
        <f t="shared" si="18"/>
        <v>8.2703952566319336E-2</v>
      </c>
      <c r="BA10" s="111">
        <f t="shared" si="19"/>
        <v>2.9685258272864955E-2</v>
      </c>
      <c r="BB10" s="118">
        <f t="shared" si="24"/>
        <v>239001</v>
      </c>
      <c r="BC10" s="115"/>
      <c r="BD10" s="110"/>
      <c r="BE10" s="110"/>
      <c r="BF10" s="110"/>
      <c r="BG10" s="116"/>
      <c r="BH10" s="116"/>
      <c r="BI10" s="110"/>
      <c r="BJ10" s="110"/>
      <c r="BK10" s="117"/>
      <c r="BL10" s="113"/>
      <c r="BM10" s="113"/>
      <c r="BN10" s="113"/>
      <c r="BO10" s="113"/>
      <c r="BP10" s="118">
        <v>0</v>
      </c>
      <c r="BQ10" s="118">
        <v>0</v>
      </c>
      <c r="BR10" s="118">
        <v>0</v>
      </c>
      <c r="BS10" s="118">
        <v>0</v>
      </c>
    </row>
    <row r="11" spans="1:71" x14ac:dyDescent="0.25">
      <c r="A11" s="109">
        <v>44265</v>
      </c>
      <c r="B11" s="110">
        <v>112301</v>
      </c>
      <c r="C11" s="114">
        <v>116791</v>
      </c>
      <c r="D11" s="114">
        <v>90681</v>
      </c>
      <c r="E11" s="111">
        <f t="shared" si="0"/>
        <v>1.0399818345339757</v>
      </c>
      <c r="F11" s="111">
        <f t="shared" si="1"/>
        <v>0.80748167870277199</v>
      </c>
      <c r="G11" s="110">
        <v>911631</v>
      </c>
      <c r="H11" s="114">
        <v>154251</v>
      </c>
      <c r="I11" s="114">
        <v>1100</v>
      </c>
      <c r="J11" s="112">
        <f t="shared" si="2"/>
        <v>0.16920332897850118</v>
      </c>
      <c r="K11" s="112">
        <f t="shared" si="3"/>
        <v>1.2066285591428988E-3</v>
      </c>
      <c r="L11" s="110">
        <v>1976757</v>
      </c>
      <c r="M11" s="114">
        <v>202452</v>
      </c>
      <c r="N11" s="114">
        <v>17773</v>
      </c>
      <c r="O11" s="111">
        <f t="shared" si="4"/>
        <v>0.10241623021949588</v>
      </c>
      <c r="P11" s="111">
        <f t="shared" si="5"/>
        <v>8.9909887760609934E-3</v>
      </c>
      <c r="Q11" s="110">
        <v>3000689</v>
      </c>
      <c r="R11" s="110">
        <f t="shared" ref="R11:S11" si="29">C11+H11+M11</f>
        <v>473494</v>
      </c>
      <c r="S11" s="110">
        <f t="shared" si="29"/>
        <v>109554</v>
      </c>
      <c r="T11" s="113">
        <f t="shared" si="8"/>
        <v>0.15779509306029382</v>
      </c>
      <c r="U11" s="113">
        <f t="shared" si="9"/>
        <v>3.6509614958431212E-2</v>
      </c>
      <c r="V11" s="110"/>
      <c r="W11" s="110"/>
      <c r="X11" s="110"/>
      <c r="Y11" s="110"/>
      <c r="Z11" s="110"/>
      <c r="AA11" s="113"/>
      <c r="AB11" s="113"/>
      <c r="AC11" s="110"/>
      <c r="AD11" s="110"/>
      <c r="AE11" s="110"/>
      <c r="AF11" s="113"/>
      <c r="AG11" s="113"/>
      <c r="AH11" s="110">
        <v>1468764</v>
      </c>
      <c r="AI11" s="114">
        <v>1395498</v>
      </c>
      <c r="AJ11" s="114">
        <v>1127633</v>
      </c>
      <c r="AK11" s="111">
        <f t="shared" si="10"/>
        <v>0.95011724143565612</v>
      </c>
      <c r="AL11" s="111">
        <f t="shared" si="11"/>
        <v>0.76774280960045316</v>
      </c>
      <c r="AM11" s="114">
        <v>21553118</v>
      </c>
      <c r="AN11" s="114">
        <v>494125</v>
      </c>
      <c r="AO11" s="114">
        <v>2694</v>
      </c>
      <c r="AP11" s="111">
        <f t="shared" si="12"/>
        <v>2.2925917261715913E-2</v>
      </c>
      <c r="AQ11" s="111">
        <f t="shared" si="13"/>
        <v>1.2499351601935274E-4</v>
      </c>
      <c r="AR11" s="110">
        <v>17327169</v>
      </c>
      <c r="AS11" s="114">
        <v>1682896</v>
      </c>
      <c r="AT11" s="114">
        <v>119495</v>
      </c>
      <c r="AU11" s="111">
        <f t="shared" si="14"/>
        <v>9.7124694749615478E-2</v>
      </c>
      <c r="AV11" s="111">
        <f t="shared" si="15"/>
        <v>6.8963949044416892E-3</v>
      </c>
      <c r="AW11" s="115">
        <f t="shared" si="16"/>
        <v>40349051</v>
      </c>
      <c r="AX11" s="114">
        <f t="shared" ref="AX11:AY11" si="30">AI11+AN11+AS11</f>
        <v>3572519</v>
      </c>
      <c r="AY11" s="119">
        <f t="shared" si="30"/>
        <v>1249822</v>
      </c>
      <c r="AZ11" s="111">
        <f t="shared" si="18"/>
        <v>8.8540347578434986E-2</v>
      </c>
      <c r="BA11" s="111">
        <f t="shared" si="19"/>
        <v>3.0975251437759962E-2</v>
      </c>
      <c r="BB11" s="118">
        <f t="shared" si="24"/>
        <v>235493</v>
      </c>
      <c r="BC11" s="115"/>
      <c r="BD11" s="110"/>
      <c r="BE11" s="110"/>
      <c r="BF11" s="110"/>
      <c r="BG11" s="116"/>
      <c r="BH11" s="116"/>
      <c r="BI11" s="110"/>
      <c r="BJ11" s="110"/>
      <c r="BK11" s="117"/>
      <c r="BL11" s="113"/>
      <c r="BM11" s="113"/>
      <c r="BN11" s="113"/>
      <c r="BO11" s="113"/>
      <c r="BP11" s="118">
        <v>0</v>
      </c>
      <c r="BQ11" s="118">
        <v>0</v>
      </c>
      <c r="BR11" s="118">
        <v>0</v>
      </c>
      <c r="BS11" s="118">
        <v>0</v>
      </c>
    </row>
    <row r="12" spans="1:71" x14ac:dyDescent="0.25">
      <c r="A12" s="109">
        <v>44266</v>
      </c>
      <c r="B12" s="110">
        <v>112301</v>
      </c>
      <c r="C12" s="114">
        <v>116823</v>
      </c>
      <c r="D12" s="114">
        <v>90693</v>
      </c>
      <c r="E12" s="111">
        <f t="shared" si="0"/>
        <v>1.040266783020632</v>
      </c>
      <c r="F12" s="111">
        <f t="shared" si="1"/>
        <v>0.80758853438526812</v>
      </c>
      <c r="G12" s="110">
        <v>911631</v>
      </c>
      <c r="H12" s="114">
        <v>154915</v>
      </c>
      <c r="I12" s="114">
        <v>1103</v>
      </c>
      <c r="J12" s="112">
        <f t="shared" si="2"/>
        <v>0.16993169385420198</v>
      </c>
      <c r="K12" s="112">
        <f t="shared" si="3"/>
        <v>1.2099193643041975E-3</v>
      </c>
      <c r="L12" s="110">
        <v>1976757</v>
      </c>
      <c r="M12" s="114">
        <v>211754</v>
      </c>
      <c r="N12" s="114">
        <v>17903</v>
      </c>
      <c r="O12" s="111">
        <f t="shared" si="4"/>
        <v>0.1071219173626298</v>
      </c>
      <c r="P12" s="111">
        <f t="shared" si="5"/>
        <v>9.0567530556360746E-3</v>
      </c>
      <c r="Q12" s="110">
        <v>3000689</v>
      </c>
      <c r="R12" s="110">
        <f t="shared" ref="R12:S12" si="31">C12+H12+M12</f>
        <v>483492</v>
      </c>
      <c r="S12" s="110">
        <f t="shared" si="31"/>
        <v>109699</v>
      </c>
      <c r="T12" s="113">
        <f t="shared" si="8"/>
        <v>0.1611269945002631</v>
      </c>
      <c r="U12" s="113">
        <f t="shared" si="9"/>
        <v>3.6557937193757835E-2</v>
      </c>
      <c r="V12" s="110"/>
      <c r="W12" s="110"/>
      <c r="X12" s="110"/>
      <c r="Y12" s="110"/>
      <c r="Z12" s="110"/>
      <c r="AA12" s="113"/>
      <c r="AB12" s="113"/>
      <c r="AC12" s="110"/>
      <c r="AD12" s="110"/>
      <c r="AE12" s="110"/>
      <c r="AF12" s="113"/>
      <c r="AG12" s="113"/>
      <c r="AH12" s="110">
        <v>1468764</v>
      </c>
      <c r="AI12" s="114">
        <v>1402959</v>
      </c>
      <c r="AJ12" s="114">
        <v>1147846</v>
      </c>
      <c r="AK12" s="111">
        <f t="shared" si="10"/>
        <v>0.95519702280284646</v>
      </c>
      <c r="AL12" s="111">
        <f t="shared" si="11"/>
        <v>0.78150472097627666</v>
      </c>
      <c r="AM12" s="114">
        <v>21553118</v>
      </c>
      <c r="AN12" s="114">
        <v>525891</v>
      </c>
      <c r="AO12" s="114">
        <v>3080</v>
      </c>
      <c r="AP12" s="111">
        <f t="shared" si="12"/>
        <v>2.4399764340361334E-2</v>
      </c>
      <c r="AQ12" s="111">
        <f t="shared" si="13"/>
        <v>1.4290275773556289E-4</v>
      </c>
      <c r="AR12" s="110">
        <v>17327169</v>
      </c>
      <c r="AS12" s="114">
        <v>1767209</v>
      </c>
      <c r="AT12" s="114">
        <v>144689</v>
      </c>
      <c r="AU12" s="111">
        <f t="shared" si="14"/>
        <v>0.10199063678550142</v>
      </c>
      <c r="AV12" s="111">
        <f t="shared" si="15"/>
        <v>8.3504120032533886E-3</v>
      </c>
      <c r="AW12" s="115">
        <f t="shared" si="16"/>
        <v>40349051</v>
      </c>
      <c r="AX12" s="114">
        <f t="shared" ref="AX12:AY12" si="32">AI12+AN12+AS12</f>
        <v>3696059</v>
      </c>
      <c r="AY12" s="119">
        <f t="shared" si="32"/>
        <v>1295615</v>
      </c>
      <c r="AZ12" s="111">
        <f t="shared" si="18"/>
        <v>9.1602129626295298E-2</v>
      </c>
      <c r="BA12" s="111">
        <f t="shared" si="19"/>
        <v>3.2110172801833682E-2</v>
      </c>
      <c r="BB12" s="118">
        <f t="shared" si="24"/>
        <v>123540</v>
      </c>
      <c r="BC12" s="115"/>
      <c r="BD12" s="110"/>
      <c r="BE12" s="110"/>
      <c r="BF12" s="110"/>
      <c r="BG12" s="116"/>
      <c r="BH12" s="116"/>
      <c r="BI12" s="110"/>
      <c r="BJ12" s="110"/>
      <c r="BK12" s="117"/>
      <c r="BL12" s="113"/>
      <c r="BM12" s="113"/>
      <c r="BN12" s="113"/>
      <c r="BO12" s="113"/>
      <c r="BP12" s="118">
        <v>0</v>
      </c>
      <c r="BQ12" s="118">
        <v>0</v>
      </c>
      <c r="BR12" s="118">
        <v>0</v>
      </c>
      <c r="BS12" s="118">
        <v>0</v>
      </c>
    </row>
    <row r="13" spans="1:71" x14ac:dyDescent="0.25">
      <c r="A13" s="109">
        <v>44267</v>
      </c>
      <c r="B13" s="110">
        <v>112301</v>
      </c>
      <c r="C13" s="114">
        <v>118086</v>
      </c>
      <c r="D13" s="114">
        <v>91521</v>
      </c>
      <c r="E13" s="111">
        <f t="shared" si="0"/>
        <v>1.0515133436033517</v>
      </c>
      <c r="F13" s="111">
        <f t="shared" si="1"/>
        <v>0.81496157647750245</v>
      </c>
      <c r="G13" s="110">
        <v>911631</v>
      </c>
      <c r="H13" s="114">
        <v>167086</v>
      </c>
      <c r="I13" s="114">
        <v>1291</v>
      </c>
      <c r="J13" s="112">
        <f t="shared" si="2"/>
        <v>0.18328249039359126</v>
      </c>
      <c r="K13" s="112">
        <f t="shared" si="3"/>
        <v>1.4161431544122568E-3</v>
      </c>
      <c r="L13" s="110">
        <v>1976757</v>
      </c>
      <c r="M13" s="114">
        <v>234403</v>
      </c>
      <c r="N13" s="114">
        <v>20226</v>
      </c>
      <c r="O13" s="111">
        <f t="shared" si="4"/>
        <v>0.11857957250183002</v>
      </c>
      <c r="P13" s="111">
        <f t="shared" si="5"/>
        <v>1.0231910143735421E-2</v>
      </c>
      <c r="Q13" s="110">
        <v>3000689</v>
      </c>
      <c r="R13" s="110">
        <f t="shared" ref="R13:S13" si="33">C13+H13+M13</f>
        <v>519575</v>
      </c>
      <c r="S13" s="110">
        <f t="shared" si="33"/>
        <v>113038</v>
      </c>
      <c r="T13" s="113">
        <f t="shared" si="8"/>
        <v>0.17315189944709364</v>
      </c>
      <c r="U13" s="113">
        <f t="shared" si="9"/>
        <v>3.7670681633451518E-2</v>
      </c>
      <c r="V13" s="110"/>
      <c r="W13" s="110"/>
      <c r="X13" s="110"/>
      <c r="Y13" s="110"/>
      <c r="Z13" s="110"/>
      <c r="AA13" s="113"/>
      <c r="AB13" s="113"/>
      <c r="AC13" s="110"/>
      <c r="AD13" s="110"/>
      <c r="AE13" s="110"/>
      <c r="AF13" s="113"/>
      <c r="AG13" s="113"/>
      <c r="AH13" s="110">
        <v>1468764</v>
      </c>
      <c r="AI13" s="114">
        <v>1402959</v>
      </c>
      <c r="AJ13" s="114">
        <v>1147846</v>
      </c>
      <c r="AK13" s="111">
        <f t="shared" si="10"/>
        <v>0.95519702280284646</v>
      </c>
      <c r="AL13" s="111">
        <f t="shared" si="11"/>
        <v>0.78150472097627666</v>
      </c>
      <c r="AM13" s="114">
        <v>21553118</v>
      </c>
      <c r="AN13" s="114">
        <v>525891</v>
      </c>
      <c r="AO13" s="114">
        <v>3080</v>
      </c>
      <c r="AP13" s="111">
        <f t="shared" si="12"/>
        <v>2.4399764340361334E-2</v>
      </c>
      <c r="AQ13" s="111">
        <f t="shared" si="13"/>
        <v>1.4290275773556289E-4</v>
      </c>
      <c r="AR13" s="110">
        <v>17327169</v>
      </c>
      <c r="AS13" s="114">
        <v>1767209</v>
      </c>
      <c r="AT13" s="114">
        <v>144689</v>
      </c>
      <c r="AU13" s="111">
        <f t="shared" si="14"/>
        <v>0.10199063678550142</v>
      </c>
      <c r="AV13" s="111">
        <f t="shared" si="15"/>
        <v>8.3504120032533886E-3</v>
      </c>
      <c r="AW13" s="115">
        <f t="shared" si="16"/>
        <v>40349051</v>
      </c>
      <c r="AX13" s="114">
        <f t="shared" ref="AX13:AY13" si="34">AI13+AN13+AS13</f>
        <v>3696059</v>
      </c>
      <c r="AY13" s="119">
        <f t="shared" si="34"/>
        <v>1295615</v>
      </c>
      <c r="AZ13" s="111">
        <f t="shared" si="18"/>
        <v>9.1602129626295298E-2</v>
      </c>
      <c r="BA13" s="111">
        <f t="shared" si="19"/>
        <v>3.2110172801833682E-2</v>
      </c>
      <c r="BB13" s="118">
        <f t="shared" si="24"/>
        <v>0</v>
      </c>
      <c r="BC13" s="115"/>
      <c r="BD13" s="110"/>
      <c r="BE13" s="110"/>
      <c r="BF13" s="110"/>
      <c r="BG13" s="116"/>
      <c r="BH13" s="116"/>
      <c r="BI13" s="110"/>
      <c r="BJ13" s="110"/>
      <c r="BK13" s="117"/>
      <c r="BL13" s="113"/>
      <c r="BM13" s="113"/>
      <c r="BN13" s="113"/>
      <c r="BO13" s="113"/>
      <c r="BP13" s="118">
        <v>0</v>
      </c>
      <c r="BQ13" s="118">
        <v>0</v>
      </c>
      <c r="BR13" s="118">
        <v>0</v>
      </c>
      <c r="BS13" s="118">
        <v>0</v>
      </c>
    </row>
    <row r="14" spans="1:71" x14ac:dyDescent="0.25">
      <c r="A14" s="109">
        <v>44268</v>
      </c>
      <c r="B14" s="110">
        <v>112301</v>
      </c>
      <c r="C14" s="114">
        <v>118283</v>
      </c>
      <c r="D14" s="114">
        <v>91748</v>
      </c>
      <c r="E14" s="111">
        <f t="shared" si="0"/>
        <v>1.0532675577243302</v>
      </c>
      <c r="F14" s="111">
        <f t="shared" si="1"/>
        <v>0.8169829298047212</v>
      </c>
      <c r="G14" s="110">
        <v>911631</v>
      </c>
      <c r="H14" s="114">
        <v>174327</v>
      </c>
      <c r="I14" s="114">
        <v>1444</v>
      </c>
      <c r="J14" s="112">
        <f t="shared" si="2"/>
        <v>0.19122539711791284</v>
      </c>
      <c r="K14" s="112">
        <f t="shared" si="3"/>
        <v>1.5839742176384963E-3</v>
      </c>
      <c r="L14" s="110">
        <v>1976757</v>
      </c>
      <c r="M14" s="114">
        <v>245355</v>
      </c>
      <c r="N14" s="114">
        <v>21272</v>
      </c>
      <c r="O14" s="111">
        <f t="shared" si="4"/>
        <v>0.12411996011649383</v>
      </c>
      <c r="P14" s="111">
        <f t="shared" si="5"/>
        <v>1.0761059654778003E-2</v>
      </c>
      <c r="Q14" s="110">
        <v>3000689</v>
      </c>
      <c r="R14" s="110">
        <f t="shared" ref="R14:S14" si="35">C14+H14+M14</f>
        <v>537965</v>
      </c>
      <c r="S14" s="110">
        <f t="shared" si="35"/>
        <v>114464</v>
      </c>
      <c r="T14" s="113">
        <f t="shared" si="8"/>
        <v>0.1792804919136905</v>
      </c>
      <c r="U14" s="113">
        <f t="shared" si="9"/>
        <v>3.8145905823629173E-2</v>
      </c>
      <c r="V14" s="110"/>
      <c r="W14" s="110"/>
      <c r="X14" s="110"/>
      <c r="Y14" s="110"/>
      <c r="Z14" s="110"/>
      <c r="AA14" s="113"/>
      <c r="AB14" s="113"/>
      <c r="AC14" s="110"/>
      <c r="AD14" s="110"/>
      <c r="AE14" s="110"/>
      <c r="AF14" s="113"/>
      <c r="AG14" s="113"/>
      <c r="AH14" s="110">
        <v>1468764</v>
      </c>
      <c r="AI14" s="114">
        <v>1412736</v>
      </c>
      <c r="AJ14" s="114">
        <v>1171385</v>
      </c>
      <c r="AK14" s="111">
        <f t="shared" si="10"/>
        <v>0.96185364020359976</v>
      </c>
      <c r="AL14" s="111">
        <f t="shared" si="11"/>
        <v>0.7975311214054811</v>
      </c>
      <c r="AM14" s="114">
        <v>21553118</v>
      </c>
      <c r="AN14" s="114">
        <v>625665</v>
      </c>
      <c r="AO14" s="114">
        <v>4497</v>
      </c>
      <c r="AP14" s="111">
        <f t="shared" si="12"/>
        <v>2.9028978545006807E-2</v>
      </c>
      <c r="AQ14" s="111">
        <f t="shared" si="13"/>
        <v>2.086473056937748E-4</v>
      </c>
      <c r="AR14" s="110">
        <v>17327169</v>
      </c>
      <c r="AS14" s="114">
        <v>1947195</v>
      </c>
      <c r="AT14" s="114">
        <v>278954</v>
      </c>
      <c r="AU14" s="111">
        <f t="shared" si="14"/>
        <v>0.11237813863303348</v>
      </c>
      <c r="AV14" s="111">
        <f t="shared" si="15"/>
        <v>1.6099225441848001E-2</v>
      </c>
      <c r="AW14" s="115">
        <f t="shared" si="16"/>
        <v>40349051</v>
      </c>
      <c r="AX14" s="114">
        <f t="shared" ref="AX14:AY14" si="36">AI14+AN14+AS14</f>
        <v>3985596</v>
      </c>
      <c r="AY14" s="119">
        <f t="shared" si="36"/>
        <v>1454836</v>
      </c>
      <c r="AZ14" s="111">
        <f t="shared" si="18"/>
        <v>9.8777936561630655E-2</v>
      </c>
      <c r="BA14" s="111">
        <f t="shared" si="19"/>
        <v>3.605626313243402E-2</v>
      </c>
      <c r="BB14" s="118">
        <f t="shared" si="24"/>
        <v>289537</v>
      </c>
      <c r="BC14" s="115"/>
      <c r="BD14" s="110"/>
      <c r="BE14" s="110"/>
      <c r="BF14" s="110"/>
      <c r="BG14" s="116"/>
      <c r="BH14" s="116"/>
      <c r="BI14" s="110"/>
      <c r="BJ14" s="110"/>
      <c r="BK14" s="117"/>
      <c r="BL14" s="113"/>
      <c r="BM14" s="113"/>
      <c r="BN14" s="113"/>
      <c r="BO14" s="113"/>
      <c r="BP14" s="118">
        <v>0</v>
      </c>
      <c r="BQ14" s="118">
        <v>0</v>
      </c>
      <c r="BR14" s="118">
        <v>0</v>
      </c>
      <c r="BS14" s="118">
        <v>0</v>
      </c>
    </row>
    <row r="15" spans="1:71" x14ac:dyDescent="0.25">
      <c r="A15" s="109">
        <v>44269</v>
      </c>
      <c r="B15" s="110">
        <v>112301</v>
      </c>
      <c r="C15" s="114">
        <v>118301</v>
      </c>
      <c r="D15" s="114">
        <v>91764</v>
      </c>
      <c r="E15" s="111">
        <f t="shared" si="0"/>
        <v>1.0534278412480744</v>
      </c>
      <c r="F15" s="111">
        <f t="shared" si="1"/>
        <v>0.81712540404804945</v>
      </c>
      <c r="G15" s="110">
        <v>911631</v>
      </c>
      <c r="H15" s="114">
        <v>179024</v>
      </c>
      <c r="I15" s="114">
        <v>1444</v>
      </c>
      <c r="J15" s="112">
        <f t="shared" si="2"/>
        <v>0.19637770106545302</v>
      </c>
      <c r="K15" s="112">
        <f t="shared" si="3"/>
        <v>1.5839742176384963E-3</v>
      </c>
      <c r="L15" s="110">
        <v>1976757</v>
      </c>
      <c r="M15" s="114">
        <v>252763</v>
      </c>
      <c r="N15" s="114">
        <v>21413</v>
      </c>
      <c r="O15" s="111">
        <f t="shared" si="4"/>
        <v>0.12786751229412618</v>
      </c>
      <c r="P15" s="111">
        <f t="shared" si="5"/>
        <v>1.0832388604163284E-2</v>
      </c>
      <c r="Q15" s="110">
        <v>3000689</v>
      </c>
      <c r="R15" s="110">
        <f t="shared" ref="R15:S15" si="37">C15+H15+M15</f>
        <v>550088</v>
      </c>
      <c r="S15" s="110">
        <f t="shared" si="37"/>
        <v>114621</v>
      </c>
      <c r="T15" s="113">
        <f t="shared" si="8"/>
        <v>0.18332056404379127</v>
      </c>
      <c r="U15" s="113">
        <f t="shared" si="9"/>
        <v>3.8198227140500064E-2</v>
      </c>
      <c r="V15" s="110"/>
      <c r="W15" s="110"/>
      <c r="X15" s="110"/>
      <c r="Y15" s="110"/>
      <c r="Z15" s="110"/>
      <c r="AA15" s="113"/>
      <c r="AB15" s="113"/>
      <c r="AC15" s="110"/>
      <c r="AD15" s="110"/>
      <c r="AE15" s="110"/>
      <c r="AF15" s="113"/>
      <c r="AG15" s="113"/>
      <c r="AH15" s="110">
        <v>1468764</v>
      </c>
      <c r="AI15" s="114">
        <v>1413684</v>
      </c>
      <c r="AJ15" s="114">
        <v>1172848</v>
      </c>
      <c r="AK15" s="111">
        <f t="shared" si="10"/>
        <v>0.96249908085982494</v>
      </c>
      <c r="AL15" s="111">
        <f t="shared" si="11"/>
        <v>0.79852719701735608</v>
      </c>
      <c r="AM15" s="114">
        <v>21553118</v>
      </c>
      <c r="AN15" s="114">
        <v>638492</v>
      </c>
      <c r="AO15" s="114">
        <v>4530</v>
      </c>
      <c r="AP15" s="111">
        <f t="shared" si="12"/>
        <v>2.9624112854576307E-2</v>
      </c>
      <c r="AQ15" s="111">
        <f t="shared" si="13"/>
        <v>2.1017840666951297E-4</v>
      </c>
      <c r="AR15" s="110">
        <v>17327169</v>
      </c>
      <c r="AS15" s="114">
        <v>1967948</v>
      </c>
      <c r="AT15" s="114">
        <v>282844</v>
      </c>
      <c r="AU15" s="111">
        <f t="shared" si="14"/>
        <v>0.11357585304327557</v>
      </c>
      <c r="AV15" s="111">
        <f t="shared" si="15"/>
        <v>1.6323728359779952E-2</v>
      </c>
      <c r="AW15" s="115">
        <f t="shared" si="16"/>
        <v>40349051</v>
      </c>
      <c r="AX15" s="114">
        <f t="shared" ref="AX15:AY15" si="38">AI15+AN15+AS15</f>
        <v>4020124</v>
      </c>
      <c r="AY15" s="119">
        <f t="shared" si="38"/>
        <v>1460222</v>
      </c>
      <c r="AZ15" s="111">
        <f t="shared" si="18"/>
        <v>9.9633669203273212E-2</v>
      </c>
      <c r="BA15" s="111">
        <f t="shared" si="19"/>
        <v>3.6189748304117489E-2</v>
      </c>
      <c r="BB15" s="118">
        <f t="shared" si="24"/>
        <v>34528</v>
      </c>
      <c r="BC15" s="115"/>
      <c r="BD15" s="110"/>
      <c r="BE15" s="110"/>
      <c r="BF15" s="110"/>
      <c r="BG15" s="116"/>
      <c r="BH15" s="116"/>
      <c r="BI15" s="110"/>
      <c r="BJ15" s="110"/>
      <c r="BK15" s="117"/>
      <c r="BL15" s="113"/>
      <c r="BM15" s="113"/>
      <c r="BN15" s="113"/>
      <c r="BO15" s="113"/>
      <c r="BP15" s="118">
        <v>0</v>
      </c>
      <c r="BQ15" s="118">
        <v>0</v>
      </c>
      <c r="BR15" s="118">
        <v>0</v>
      </c>
      <c r="BS15" s="118">
        <v>0</v>
      </c>
    </row>
    <row r="16" spans="1:71" x14ac:dyDescent="0.25">
      <c r="A16" s="109">
        <v>44270</v>
      </c>
      <c r="B16" s="110">
        <v>112301</v>
      </c>
      <c r="C16" s="114">
        <v>118983</v>
      </c>
      <c r="D16" s="114">
        <v>92579</v>
      </c>
      <c r="E16" s="111">
        <f t="shared" si="0"/>
        <v>1.0595008058699389</v>
      </c>
      <c r="F16" s="111">
        <f t="shared" si="1"/>
        <v>0.82438268581757956</v>
      </c>
      <c r="G16" s="110">
        <v>911631</v>
      </c>
      <c r="H16" s="114">
        <v>197743</v>
      </c>
      <c r="I16" s="114">
        <v>1620</v>
      </c>
      <c r="J16" s="112">
        <f t="shared" si="2"/>
        <v>0.21691122833690385</v>
      </c>
      <c r="K16" s="112">
        <f t="shared" si="3"/>
        <v>1.77703478710136E-3</v>
      </c>
      <c r="L16" s="110">
        <v>1976757</v>
      </c>
      <c r="M16" s="114">
        <v>282970</v>
      </c>
      <c r="N16" s="114">
        <v>29871</v>
      </c>
      <c r="O16" s="111">
        <f t="shared" si="4"/>
        <v>0.14314860147200692</v>
      </c>
      <c r="P16" s="111">
        <f t="shared" si="5"/>
        <v>1.5111113809132838E-2</v>
      </c>
      <c r="Q16" s="110">
        <v>3000689</v>
      </c>
      <c r="R16" s="110">
        <f t="shared" ref="R16:S16" si="39">C16+H16+M16</f>
        <v>599696</v>
      </c>
      <c r="S16" s="110">
        <f t="shared" si="39"/>
        <v>124070</v>
      </c>
      <c r="T16" s="113">
        <f t="shared" si="8"/>
        <v>0.19985276714781172</v>
      </c>
      <c r="U16" s="113">
        <f t="shared" si="9"/>
        <v>4.1347170599818905E-2</v>
      </c>
      <c r="V16" s="110"/>
      <c r="W16" s="110"/>
      <c r="X16" s="110"/>
      <c r="Y16" s="110"/>
      <c r="Z16" s="110"/>
      <c r="AA16" s="113"/>
      <c r="AB16" s="113"/>
      <c r="AC16" s="110"/>
      <c r="AD16" s="110"/>
      <c r="AE16" s="110"/>
      <c r="AF16" s="113"/>
      <c r="AG16" s="113"/>
      <c r="AH16" s="110">
        <v>1468764</v>
      </c>
      <c r="AI16" s="114">
        <v>1418620</v>
      </c>
      <c r="AJ16" s="114">
        <v>1183715</v>
      </c>
      <c r="AK16" s="111">
        <f t="shared" si="10"/>
        <v>0.96585972967747036</v>
      </c>
      <c r="AL16" s="111">
        <f t="shared" si="11"/>
        <v>0.80592593500385357</v>
      </c>
      <c r="AM16" s="114">
        <v>21553118</v>
      </c>
      <c r="AN16" s="114">
        <v>701583</v>
      </c>
      <c r="AO16" s="114">
        <v>5151</v>
      </c>
      <c r="AP16" s="111">
        <f t="shared" si="12"/>
        <v>3.2551345935191371E-2</v>
      </c>
      <c r="AQ16" s="111">
        <f t="shared" si="13"/>
        <v>2.3899094321294952E-4</v>
      </c>
      <c r="AR16" s="110">
        <v>17327169</v>
      </c>
      <c r="AS16" s="114">
        <v>2046659</v>
      </c>
      <c r="AT16" s="114">
        <v>383920</v>
      </c>
      <c r="AU16" s="111">
        <f t="shared" si="14"/>
        <v>0.11811848779220656</v>
      </c>
      <c r="AV16" s="111">
        <f t="shared" si="15"/>
        <v>2.2157110604738722E-2</v>
      </c>
      <c r="AW16" s="115">
        <f t="shared" si="16"/>
        <v>40349051</v>
      </c>
      <c r="AX16" s="114">
        <f t="shared" ref="AX16:AY16" si="40">AI16+AN16+AS16</f>
        <v>4166862</v>
      </c>
      <c r="AY16" s="119">
        <f t="shared" si="40"/>
        <v>1572786</v>
      </c>
      <c r="AZ16" s="111">
        <f t="shared" si="18"/>
        <v>0.10327038422787192</v>
      </c>
      <c r="BA16" s="111">
        <f t="shared" si="19"/>
        <v>3.8979504127618761E-2</v>
      </c>
      <c r="BB16" s="118">
        <f t="shared" si="24"/>
        <v>146738</v>
      </c>
      <c r="BC16" s="115"/>
      <c r="BD16" s="110"/>
      <c r="BE16" s="110"/>
      <c r="BF16" s="110"/>
      <c r="BG16" s="116"/>
      <c r="BH16" s="116"/>
      <c r="BI16" s="110"/>
      <c r="BJ16" s="110"/>
      <c r="BK16" s="117"/>
      <c r="BL16" s="113"/>
      <c r="BM16" s="113"/>
      <c r="BN16" s="113"/>
      <c r="BO16" s="113"/>
      <c r="BP16" s="118">
        <v>0</v>
      </c>
      <c r="BQ16" s="118">
        <v>0</v>
      </c>
      <c r="BR16" s="118">
        <v>0</v>
      </c>
      <c r="BS16" s="118">
        <v>0</v>
      </c>
    </row>
    <row r="17" spans="1:71" x14ac:dyDescent="0.25">
      <c r="A17" s="109">
        <v>44271</v>
      </c>
      <c r="B17" s="110">
        <v>112301</v>
      </c>
      <c r="C17" s="114">
        <v>119531</v>
      </c>
      <c r="D17" s="114">
        <v>93559</v>
      </c>
      <c r="E17" s="111">
        <f t="shared" si="0"/>
        <v>1.0643805487039295</v>
      </c>
      <c r="F17" s="111">
        <f t="shared" si="1"/>
        <v>0.83310923322143171</v>
      </c>
      <c r="G17" s="110">
        <v>911631</v>
      </c>
      <c r="H17" s="114">
        <v>216011</v>
      </c>
      <c r="I17" s="114">
        <v>1754</v>
      </c>
      <c r="J17" s="112">
        <f t="shared" si="2"/>
        <v>0.2369500378991061</v>
      </c>
      <c r="K17" s="112">
        <f t="shared" si="3"/>
        <v>1.9240240843060405E-3</v>
      </c>
      <c r="L17" s="110">
        <v>1976757</v>
      </c>
      <c r="M17" s="114">
        <v>312415</v>
      </c>
      <c r="N17" s="114">
        <v>43891</v>
      </c>
      <c r="O17" s="111">
        <f t="shared" si="4"/>
        <v>0.15804421079576295</v>
      </c>
      <c r="P17" s="111">
        <f t="shared" si="5"/>
        <v>2.2203538421768584E-2</v>
      </c>
      <c r="Q17" s="110">
        <v>3000689</v>
      </c>
      <c r="R17" s="110">
        <f t="shared" ref="R17:S17" si="41">C17+H17+M17</f>
        <v>647957</v>
      </c>
      <c r="S17" s="110">
        <f t="shared" si="41"/>
        <v>139204</v>
      </c>
      <c r="T17" s="113">
        <f t="shared" si="8"/>
        <v>0.21593607334848763</v>
      </c>
      <c r="U17" s="113">
        <f t="shared" si="9"/>
        <v>4.6390678940736611E-2</v>
      </c>
      <c r="V17" s="110"/>
      <c r="W17" s="110"/>
      <c r="X17" s="110"/>
      <c r="Y17" s="110"/>
      <c r="Z17" s="110"/>
      <c r="AA17" s="113"/>
      <c r="AB17" s="113"/>
      <c r="AC17" s="110"/>
      <c r="AD17" s="110"/>
      <c r="AE17" s="110"/>
      <c r="AF17" s="113"/>
      <c r="AG17" s="113"/>
      <c r="AH17" s="110">
        <v>1468764</v>
      </c>
      <c r="AI17" s="114">
        <v>1425885</v>
      </c>
      <c r="AJ17" s="114">
        <v>1196387</v>
      </c>
      <c r="AK17" s="111">
        <f t="shared" si="10"/>
        <v>0.97080606550814152</v>
      </c>
      <c r="AL17" s="111">
        <f t="shared" si="11"/>
        <v>0.81455359744656053</v>
      </c>
      <c r="AM17" s="114">
        <v>21553118</v>
      </c>
      <c r="AN17" s="114">
        <v>770545</v>
      </c>
      <c r="AO17" s="114">
        <v>5844</v>
      </c>
      <c r="AP17" s="111">
        <f t="shared" si="12"/>
        <v>3.5750975798490035E-2</v>
      </c>
      <c r="AQ17" s="111">
        <f t="shared" si="13"/>
        <v>2.7114406370345117E-4</v>
      </c>
      <c r="AR17" s="110">
        <v>17327169</v>
      </c>
      <c r="AS17" s="114">
        <v>2272399</v>
      </c>
      <c r="AT17" s="114">
        <v>514516</v>
      </c>
      <c r="AU17" s="111">
        <f t="shared" si="14"/>
        <v>0.13114658257214437</v>
      </c>
      <c r="AV17" s="111">
        <f t="shared" si="15"/>
        <v>2.9694175661355873E-2</v>
      </c>
      <c r="AW17" s="115">
        <f t="shared" si="16"/>
        <v>40349051</v>
      </c>
      <c r="AX17" s="114">
        <f t="shared" ref="AX17:AY17" si="42">AI17+AN17+AS17</f>
        <v>4468829</v>
      </c>
      <c r="AY17" s="119">
        <f t="shared" si="42"/>
        <v>1716747</v>
      </c>
      <c r="AZ17" s="111">
        <f t="shared" si="18"/>
        <v>0.11075425293150018</v>
      </c>
      <c r="BA17" s="111">
        <f t="shared" si="19"/>
        <v>4.2547394733026066E-2</v>
      </c>
      <c r="BB17" s="118">
        <f t="shared" si="24"/>
        <v>301967</v>
      </c>
      <c r="BC17" s="115"/>
      <c r="BD17" s="110"/>
      <c r="BE17" s="110"/>
      <c r="BF17" s="110"/>
      <c r="BG17" s="116"/>
      <c r="BH17" s="116"/>
      <c r="BI17" s="110"/>
      <c r="BJ17" s="110"/>
      <c r="BK17" s="117"/>
      <c r="BL17" s="113"/>
      <c r="BM17" s="113"/>
      <c r="BN17" s="113"/>
      <c r="BO17" s="113"/>
      <c r="BP17" s="118">
        <v>0</v>
      </c>
      <c r="BQ17" s="118">
        <v>0</v>
      </c>
      <c r="BR17" s="118">
        <v>0</v>
      </c>
      <c r="BS17" s="118">
        <v>0</v>
      </c>
    </row>
    <row r="18" spans="1:71" x14ac:dyDescent="0.25">
      <c r="A18" s="109">
        <v>44272</v>
      </c>
      <c r="B18" s="110">
        <v>112301</v>
      </c>
      <c r="C18" s="114">
        <v>120003</v>
      </c>
      <c r="D18" s="114">
        <v>94619</v>
      </c>
      <c r="E18" s="111">
        <f t="shared" si="0"/>
        <v>1.0685835388821114</v>
      </c>
      <c r="F18" s="111">
        <f t="shared" si="1"/>
        <v>0.84254815184192478</v>
      </c>
      <c r="G18" s="110">
        <v>911631</v>
      </c>
      <c r="H18" s="114">
        <v>236230</v>
      </c>
      <c r="I18" s="114">
        <v>1963</v>
      </c>
      <c r="J18" s="112">
        <f t="shared" si="2"/>
        <v>0.25912896775120636</v>
      </c>
      <c r="K18" s="112">
        <f t="shared" si="3"/>
        <v>2.1532835105431913E-3</v>
      </c>
      <c r="L18" s="110">
        <v>1976757</v>
      </c>
      <c r="M18" s="114">
        <v>336132</v>
      </c>
      <c r="N18" s="114">
        <v>63154</v>
      </c>
      <c r="O18" s="111">
        <f t="shared" si="4"/>
        <v>0.17004214478562615</v>
      </c>
      <c r="P18" s="111">
        <f t="shared" si="5"/>
        <v>3.1948287017574746E-2</v>
      </c>
      <c r="Q18" s="110">
        <v>3000689</v>
      </c>
      <c r="R18" s="110">
        <f t="shared" ref="R18:S18" si="43">C18+H18+M18</f>
        <v>692365</v>
      </c>
      <c r="S18" s="110">
        <f t="shared" si="43"/>
        <v>159736</v>
      </c>
      <c r="T18" s="113">
        <f t="shared" si="8"/>
        <v>0.23073534111665686</v>
      </c>
      <c r="U18" s="113">
        <f t="shared" si="9"/>
        <v>5.3233107462985998E-2</v>
      </c>
      <c r="V18" s="110"/>
      <c r="W18" s="110"/>
      <c r="X18" s="110"/>
      <c r="Y18" s="110"/>
      <c r="Z18" s="110"/>
      <c r="AA18" s="113"/>
      <c r="AB18" s="113"/>
      <c r="AC18" s="110"/>
      <c r="AD18" s="110"/>
      <c r="AE18" s="110"/>
      <c r="AF18" s="113"/>
      <c r="AG18" s="113"/>
      <c r="AH18" s="110">
        <v>1468764</v>
      </c>
      <c r="AI18" s="114">
        <v>1431713</v>
      </c>
      <c r="AJ18" s="114">
        <v>1208113</v>
      </c>
      <c r="AK18" s="111">
        <f t="shared" si="10"/>
        <v>0.97477402768586374</v>
      </c>
      <c r="AL18" s="111">
        <f t="shared" si="11"/>
        <v>0.82253718092219041</v>
      </c>
      <c r="AM18" s="114">
        <v>21553118</v>
      </c>
      <c r="AN18" s="114">
        <v>836628</v>
      </c>
      <c r="AO18" s="114">
        <v>6600</v>
      </c>
      <c r="AP18" s="111">
        <f t="shared" si="12"/>
        <v>3.8817028700905365E-2</v>
      </c>
      <c r="AQ18" s="111">
        <f t="shared" si="13"/>
        <v>3.0622019514763477E-4</v>
      </c>
      <c r="AR18" s="110">
        <v>17327169</v>
      </c>
      <c r="AS18" s="114">
        <v>2436907</v>
      </c>
      <c r="AT18" s="114">
        <v>661427</v>
      </c>
      <c r="AU18" s="111">
        <f t="shared" si="14"/>
        <v>0.14064080520020322</v>
      </c>
      <c r="AV18" s="111">
        <f t="shared" si="15"/>
        <v>3.8172825578142625E-2</v>
      </c>
      <c r="AW18" s="115">
        <f t="shared" si="16"/>
        <v>40349051</v>
      </c>
      <c r="AX18" s="114">
        <f t="shared" ref="AX18:AY18" si="44">AI18+AN18+AS18</f>
        <v>4705248</v>
      </c>
      <c r="AY18" s="119">
        <f t="shared" si="44"/>
        <v>1876140</v>
      </c>
      <c r="AZ18" s="111">
        <f t="shared" si="18"/>
        <v>0.11661359767792308</v>
      </c>
      <c r="BA18" s="111">
        <f t="shared" si="19"/>
        <v>4.6497747865247192E-2</v>
      </c>
      <c r="BB18" s="118">
        <f t="shared" si="24"/>
        <v>236419</v>
      </c>
      <c r="BC18" s="115"/>
      <c r="BD18" s="110"/>
      <c r="BE18" s="110"/>
      <c r="BF18" s="110"/>
      <c r="BG18" s="116"/>
      <c r="BH18" s="116"/>
      <c r="BI18" s="110"/>
      <c r="BJ18" s="110"/>
      <c r="BK18" s="117"/>
      <c r="BL18" s="113"/>
      <c r="BM18" s="113"/>
      <c r="BN18" s="113"/>
      <c r="BO18" s="113"/>
      <c r="BP18" s="118">
        <v>0</v>
      </c>
      <c r="BQ18" s="118">
        <v>0</v>
      </c>
      <c r="BR18" s="118">
        <v>0</v>
      </c>
      <c r="BS18" s="118">
        <v>0</v>
      </c>
    </row>
    <row r="19" spans="1:71" x14ac:dyDescent="0.25">
      <c r="A19" s="109">
        <v>44273</v>
      </c>
      <c r="B19" s="110">
        <v>112301</v>
      </c>
      <c r="C19" s="114">
        <v>120608</v>
      </c>
      <c r="D19" s="114">
        <v>99980</v>
      </c>
      <c r="E19" s="111">
        <f t="shared" si="0"/>
        <v>1.0739708462079589</v>
      </c>
      <c r="F19" s="111">
        <f t="shared" si="1"/>
        <v>0.89028592799707928</v>
      </c>
      <c r="G19" s="110">
        <v>911631</v>
      </c>
      <c r="H19" s="114">
        <v>257159</v>
      </c>
      <c r="I19" s="114">
        <v>2040</v>
      </c>
      <c r="J19" s="112">
        <f t="shared" si="2"/>
        <v>0.28208672149148067</v>
      </c>
      <c r="K19" s="112">
        <f t="shared" si="3"/>
        <v>2.2377475096831941E-3</v>
      </c>
      <c r="L19" s="110">
        <v>1976757</v>
      </c>
      <c r="M19" s="114">
        <v>356592</v>
      </c>
      <c r="N19" s="114">
        <v>82412</v>
      </c>
      <c r="O19" s="111">
        <f t="shared" si="4"/>
        <v>0.18039243063259672</v>
      </c>
      <c r="P19" s="111">
        <f t="shared" si="5"/>
        <v>4.1690506218012631E-2</v>
      </c>
      <c r="Q19" s="110">
        <v>3000689</v>
      </c>
      <c r="R19" s="110">
        <f t="shared" ref="R19:S19" si="45">C19+H19+M19</f>
        <v>734359</v>
      </c>
      <c r="S19" s="110">
        <f t="shared" si="45"/>
        <v>184432</v>
      </c>
      <c r="T19" s="113">
        <f t="shared" si="8"/>
        <v>0.24473012698083674</v>
      </c>
      <c r="U19" s="113">
        <f t="shared" si="9"/>
        <v>6.1463217281097778E-2</v>
      </c>
      <c r="V19" s="110"/>
      <c r="W19" s="110"/>
      <c r="X19" s="110"/>
      <c r="Y19" s="110"/>
      <c r="Z19" s="110"/>
      <c r="AA19" s="113"/>
      <c r="AB19" s="113"/>
      <c r="AC19" s="110"/>
      <c r="AD19" s="110"/>
      <c r="AE19" s="110"/>
      <c r="AF19" s="113"/>
      <c r="AG19" s="113"/>
      <c r="AH19" s="110">
        <v>1468764</v>
      </c>
      <c r="AI19" s="114">
        <v>1437642</v>
      </c>
      <c r="AJ19" s="114">
        <v>1221179</v>
      </c>
      <c r="AK19" s="111">
        <f t="shared" si="10"/>
        <v>0.97881075516556781</v>
      </c>
      <c r="AL19" s="111">
        <f t="shared" si="11"/>
        <v>0.83143309612708372</v>
      </c>
      <c r="AM19" s="114">
        <v>21553118</v>
      </c>
      <c r="AN19" s="114">
        <v>905102</v>
      </c>
      <c r="AO19" s="114">
        <v>7106</v>
      </c>
      <c r="AP19" s="111">
        <f t="shared" si="12"/>
        <v>4.1994016828562811E-2</v>
      </c>
      <c r="AQ19" s="111">
        <f t="shared" si="13"/>
        <v>3.2969707677562015E-4</v>
      </c>
      <c r="AR19" s="110">
        <v>17327169</v>
      </c>
      <c r="AS19" s="114">
        <v>2616319</v>
      </c>
      <c r="AT19" s="114">
        <v>840115</v>
      </c>
      <c r="AU19" s="111">
        <f t="shared" si="14"/>
        <v>0.15099517988195302</v>
      </c>
      <c r="AV19" s="111">
        <f t="shared" si="15"/>
        <v>4.848541616925419E-2</v>
      </c>
      <c r="AW19" s="115">
        <f t="shared" si="16"/>
        <v>40349051</v>
      </c>
      <c r="AX19" s="114">
        <f t="shared" ref="AX19:AY19" si="46">AI19+AN19+AS19</f>
        <v>4959063</v>
      </c>
      <c r="AY19" s="119">
        <f t="shared" si="46"/>
        <v>2068400</v>
      </c>
      <c r="AZ19" s="111">
        <f t="shared" si="18"/>
        <v>0.12290408019757391</v>
      </c>
      <c r="BA19" s="111">
        <f t="shared" si="19"/>
        <v>5.1262667862993855E-2</v>
      </c>
      <c r="BB19" s="118">
        <f t="shared" si="24"/>
        <v>253815</v>
      </c>
      <c r="BC19" s="115"/>
      <c r="BD19" s="110"/>
      <c r="BE19" s="110"/>
      <c r="BF19" s="110"/>
      <c r="BG19" s="116"/>
      <c r="BH19" s="116"/>
      <c r="BI19" s="110"/>
      <c r="BJ19" s="110"/>
      <c r="BK19" s="117"/>
      <c r="BL19" s="113"/>
      <c r="BM19" s="113"/>
      <c r="BN19" s="113"/>
      <c r="BO19" s="113"/>
      <c r="BP19" s="118">
        <v>0</v>
      </c>
      <c r="BQ19" s="118">
        <v>0</v>
      </c>
      <c r="BR19" s="118">
        <v>0</v>
      </c>
      <c r="BS19" s="118">
        <v>0</v>
      </c>
    </row>
    <row r="20" spans="1:71" x14ac:dyDescent="0.25">
      <c r="A20" s="109">
        <v>44274</v>
      </c>
      <c r="B20" s="110">
        <v>112301</v>
      </c>
      <c r="C20" s="114">
        <v>121260</v>
      </c>
      <c r="D20" s="114">
        <v>97465</v>
      </c>
      <c r="E20" s="111">
        <f t="shared" si="0"/>
        <v>1.079776671623583</v>
      </c>
      <c r="F20" s="111">
        <f t="shared" si="1"/>
        <v>0.86789075787392811</v>
      </c>
      <c r="G20" s="110">
        <v>911631</v>
      </c>
      <c r="H20" s="114">
        <v>280221</v>
      </c>
      <c r="I20" s="114">
        <v>2168</v>
      </c>
      <c r="J20" s="112">
        <f t="shared" si="2"/>
        <v>0.30738423770143841</v>
      </c>
      <c r="K20" s="112">
        <f t="shared" si="3"/>
        <v>2.3781551965652769E-3</v>
      </c>
      <c r="L20" s="110">
        <v>1976757</v>
      </c>
      <c r="M20" s="114">
        <v>409121</v>
      </c>
      <c r="N20" s="114">
        <v>99709</v>
      </c>
      <c r="O20" s="111">
        <f t="shared" si="4"/>
        <v>0.20696575249259266</v>
      </c>
      <c r="P20" s="111">
        <f t="shared" si="5"/>
        <v>5.0440696555014097E-2</v>
      </c>
      <c r="Q20" s="110">
        <v>3000689</v>
      </c>
      <c r="R20" s="110">
        <f t="shared" ref="R20:S20" si="47">C20+H20+M20</f>
        <v>810602</v>
      </c>
      <c r="S20" s="110">
        <f t="shared" si="47"/>
        <v>199342</v>
      </c>
      <c r="T20" s="113">
        <f t="shared" si="8"/>
        <v>0.27013862482916423</v>
      </c>
      <c r="U20" s="113">
        <f t="shared" si="9"/>
        <v>6.6432076099855727E-2</v>
      </c>
      <c r="V20" s="110"/>
      <c r="W20" s="110"/>
      <c r="X20" s="110"/>
      <c r="Y20" s="110"/>
      <c r="Z20" s="110"/>
      <c r="AA20" s="113"/>
      <c r="AB20" s="113"/>
      <c r="AC20" s="110"/>
      <c r="AD20" s="110"/>
      <c r="AE20" s="110"/>
      <c r="AF20" s="113"/>
      <c r="AG20" s="113"/>
      <c r="AH20" s="110">
        <v>1468764</v>
      </c>
      <c r="AI20" s="114">
        <v>1442440</v>
      </c>
      <c r="AJ20" s="114">
        <v>1231104</v>
      </c>
      <c r="AK20" s="111">
        <f t="shared" si="10"/>
        <v>0.98207744743199044</v>
      </c>
      <c r="AL20" s="111">
        <f t="shared" si="11"/>
        <v>0.83819047852480044</v>
      </c>
      <c r="AM20" s="114">
        <v>21553118</v>
      </c>
      <c r="AN20" s="114">
        <v>954828</v>
      </c>
      <c r="AO20" s="114">
        <v>7590</v>
      </c>
      <c r="AP20" s="111">
        <f t="shared" si="12"/>
        <v>4.4301154014003911E-2</v>
      </c>
      <c r="AQ20" s="111">
        <f t="shared" si="13"/>
        <v>3.5215322441978003E-4</v>
      </c>
      <c r="AR20" s="110">
        <v>17327169</v>
      </c>
      <c r="AS20" s="114">
        <v>2727680</v>
      </c>
      <c r="AT20" s="114">
        <v>982506</v>
      </c>
      <c r="AU20" s="111">
        <f t="shared" si="14"/>
        <v>0.15742213860787069</v>
      </c>
      <c r="AV20" s="111">
        <f t="shared" si="15"/>
        <v>5.6703204083713848E-2</v>
      </c>
      <c r="AW20" s="115">
        <f t="shared" si="16"/>
        <v>40349051</v>
      </c>
      <c r="AX20" s="114">
        <f t="shared" ref="AX20:AY20" si="48">AI20+AN20+AS20</f>
        <v>5124948</v>
      </c>
      <c r="AY20" s="119">
        <f t="shared" si="48"/>
        <v>2221200</v>
      </c>
      <c r="AZ20" s="111">
        <f t="shared" si="18"/>
        <v>0.12701532930724937</v>
      </c>
      <c r="BA20" s="111">
        <f t="shared" si="19"/>
        <v>5.5049621860994949E-2</v>
      </c>
      <c r="BB20" s="118">
        <f t="shared" si="24"/>
        <v>165885</v>
      </c>
      <c r="BC20" s="115"/>
      <c r="BD20" s="110"/>
      <c r="BE20" s="110"/>
      <c r="BF20" s="110"/>
      <c r="BG20" s="116"/>
      <c r="BH20" s="116"/>
      <c r="BI20" s="110"/>
      <c r="BJ20" s="110"/>
      <c r="BK20" s="117"/>
      <c r="BL20" s="113"/>
      <c r="BM20" s="113"/>
      <c r="BN20" s="113"/>
      <c r="BO20" s="113"/>
      <c r="BP20" s="118">
        <v>0</v>
      </c>
      <c r="BQ20" s="118">
        <v>0</v>
      </c>
      <c r="BR20" s="118">
        <v>0</v>
      </c>
      <c r="BS20" s="118">
        <v>0</v>
      </c>
    </row>
    <row r="21" spans="1:71" x14ac:dyDescent="0.25">
      <c r="A21" s="109">
        <v>44275</v>
      </c>
      <c r="B21" s="110">
        <v>112301</v>
      </c>
      <c r="C21" s="114">
        <v>121373</v>
      </c>
      <c r="D21" s="114">
        <v>97612</v>
      </c>
      <c r="E21" s="111">
        <f t="shared" si="0"/>
        <v>1.0807828959670884</v>
      </c>
      <c r="F21" s="111">
        <f t="shared" si="1"/>
        <v>0.86919973998450595</v>
      </c>
      <c r="G21" s="110">
        <v>911631</v>
      </c>
      <c r="H21" s="114">
        <v>287749</v>
      </c>
      <c r="I21" s="114">
        <v>2585</v>
      </c>
      <c r="J21" s="112">
        <f t="shared" si="2"/>
        <v>0.31564196478619089</v>
      </c>
      <c r="K21" s="112">
        <f t="shared" si="3"/>
        <v>2.8355771139858123E-3</v>
      </c>
      <c r="L21" s="110">
        <v>1976757</v>
      </c>
      <c r="M21" s="114">
        <v>415447</v>
      </c>
      <c r="N21" s="114">
        <v>103069</v>
      </c>
      <c r="O21" s="111">
        <f t="shared" si="4"/>
        <v>0.21016594351253087</v>
      </c>
      <c r="P21" s="111">
        <f t="shared" si="5"/>
        <v>5.2140450242493135E-2</v>
      </c>
      <c r="Q21" s="110">
        <v>3000689</v>
      </c>
      <c r="R21" s="110">
        <f t="shared" ref="R21:S21" si="49">C21+H21+M21</f>
        <v>824569</v>
      </c>
      <c r="S21" s="110">
        <f t="shared" si="49"/>
        <v>203266</v>
      </c>
      <c r="T21" s="113">
        <f t="shared" si="8"/>
        <v>0.27479322248990151</v>
      </c>
      <c r="U21" s="113">
        <f t="shared" si="9"/>
        <v>6.7739775764832671E-2</v>
      </c>
      <c r="V21" s="110"/>
      <c r="W21" s="110"/>
      <c r="X21" s="110"/>
      <c r="Y21" s="110"/>
      <c r="Z21" s="110"/>
      <c r="AA21" s="113"/>
      <c r="AB21" s="113"/>
      <c r="AC21" s="110"/>
      <c r="AD21" s="110"/>
      <c r="AE21" s="110"/>
      <c r="AF21" s="113"/>
      <c r="AG21" s="113"/>
      <c r="AH21" s="110">
        <v>1468764</v>
      </c>
      <c r="AI21" s="114">
        <v>1442440</v>
      </c>
      <c r="AJ21" s="114">
        <v>1231104</v>
      </c>
      <c r="AK21" s="111">
        <f t="shared" si="10"/>
        <v>0.98207744743199044</v>
      </c>
      <c r="AL21" s="111">
        <f t="shared" si="11"/>
        <v>0.83819047852480044</v>
      </c>
      <c r="AM21" s="114">
        <v>21553118</v>
      </c>
      <c r="AN21" s="114">
        <v>954828</v>
      </c>
      <c r="AO21" s="114">
        <v>7590</v>
      </c>
      <c r="AP21" s="111">
        <f t="shared" si="12"/>
        <v>4.4301154014003911E-2</v>
      </c>
      <c r="AQ21" s="111">
        <f t="shared" si="13"/>
        <v>3.5215322441978003E-4</v>
      </c>
      <c r="AR21" s="110">
        <v>17327169</v>
      </c>
      <c r="AS21" s="114">
        <v>2727680</v>
      </c>
      <c r="AT21" s="114">
        <v>982506</v>
      </c>
      <c r="AU21" s="111">
        <f t="shared" si="14"/>
        <v>0.15742213860787069</v>
      </c>
      <c r="AV21" s="111">
        <f t="shared" si="15"/>
        <v>5.6703204083713848E-2</v>
      </c>
      <c r="AW21" s="115">
        <f t="shared" si="16"/>
        <v>40349051</v>
      </c>
      <c r="AX21" s="114">
        <f t="shared" ref="AX21:AY21" si="50">AI21+AN21+AS21</f>
        <v>5124948</v>
      </c>
      <c r="AY21" s="119">
        <f t="shared" si="50"/>
        <v>2221200</v>
      </c>
      <c r="AZ21" s="111">
        <f t="shared" si="18"/>
        <v>0.12701532930724937</v>
      </c>
      <c r="BA21" s="111">
        <f t="shared" si="19"/>
        <v>5.5049621860994949E-2</v>
      </c>
      <c r="BB21" s="118">
        <f t="shared" si="24"/>
        <v>0</v>
      </c>
      <c r="BC21" s="115"/>
      <c r="BD21" s="110"/>
      <c r="BE21" s="110"/>
      <c r="BF21" s="110"/>
      <c r="BG21" s="116"/>
      <c r="BH21" s="116"/>
      <c r="BI21" s="110"/>
      <c r="BJ21" s="110"/>
      <c r="BK21" s="117"/>
      <c r="BL21" s="113"/>
      <c r="BM21" s="113"/>
      <c r="BN21" s="113"/>
      <c r="BO21" s="113"/>
      <c r="BP21" s="118">
        <v>0</v>
      </c>
      <c r="BQ21" s="118">
        <v>0</v>
      </c>
      <c r="BR21" s="118">
        <v>0</v>
      </c>
      <c r="BS21" s="118">
        <v>0</v>
      </c>
    </row>
    <row r="22" spans="1:71" x14ac:dyDescent="0.25">
      <c r="A22" s="109">
        <v>44276</v>
      </c>
      <c r="B22" s="110">
        <v>112301</v>
      </c>
      <c r="C22" s="114">
        <v>121483</v>
      </c>
      <c r="D22" s="114">
        <v>97660</v>
      </c>
      <c r="E22" s="111">
        <f t="shared" si="0"/>
        <v>1.0817624063899698</v>
      </c>
      <c r="F22" s="111">
        <f t="shared" si="1"/>
        <v>0.86962716271449048</v>
      </c>
      <c r="G22" s="110">
        <v>911631</v>
      </c>
      <c r="H22" s="114">
        <v>296700</v>
      </c>
      <c r="I22" s="114">
        <v>2696</v>
      </c>
      <c r="J22" s="112">
        <f t="shared" si="2"/>
        <v>0.32546063045245283</v>
      </c>
      <c r="K22" s="112">
        <f t="shared" si="3"/>
        <v>2.9573369049538684E-3</v>
      </c>
      <c r="L22" s="110">
        <v>1976757</v>
      </c>
      <c r="M22" s="114">
        <v>428256</v>
      </c>
      <c r="N22" s="114">
        <v>103939</v>
      </c>
      <c r="O22" s="111">
        <f t="shared" si="4"/>
        <v>0.21664574856697105</v>
      </c>
      <c r="P22" s="111">
        <f t="shared" si="5"/>
        <v>5.2580565036572526E-2</v>
      </c>
      <c r="Q22" s="110">
        <v>3000689</v>
      </c>
      <c r="R22" s="110">
        <f t="shared" ref="R22:S22" si="51">C22+H22+M22</f>
        <v>846439</v>
      </c>
      <c r="S22" s="110">
        <f t="shared" si="51"/>
        <v>204295</v>
      </c>
      <c r="T22" s="113">
        <f t="shared" si="8"/>
        <v>0.28208154860433721</v>
      </c>
      <c r="U22" s="113">
        <f t="shared" si="9"/>
        <v>6.8082697007254001E-2</v>
      </c>
      <c r="V22" s="110"/>
      <c r="W22" s="110"/>
      <c r="X22" s="110"/>
      <c r="Y22" s="110"/>
      <c r="Z22" s="110"/>
      <c r="AA22" s="113"/>
      <c r="AB22" s="113"/>
      <c r="AC22" s="110"/>
      <c r="AD22" s="110"/>
      <c r="AE22" s="110"/>
      <c r="AF22" s="113"/>
      <c r="AG22" s="113"/>
      <c r="AH22" s="110">
        <v>1468764</v>
      </c>
      <c r="AI22" s="114">
        <v>1446141</v>
      </c>
      <c r="AJ22" s="114">
        <v>1236791</v>
      </c>
      <c r="AK22" s="111">
        <f t="shared" si="10"/>
        <v>0.98459725320065039</v>
      </c>
      <c r="AL22" s="111">
        <f t="shared" si="11"/>
        <v>0.84206244161757782</v>
      </c>
      <c r="AM22" s="114">
        <v>21553118</v>
      </c>
      <c r="AN22" s="114">
        <v>1011483</v>
      </c>
      <c r="AO22" s="114">
        <v>8534</v>
      </c>
      <c r="AP22" s="111">
        <f t="shared" si="12"/>
        <v>4.6929776007350772E-2</v>
      </c>
      <c r="AQ22" s="111">
        <f t="shared" si="13"/>
        <v>3.9595199172574473E-4</v>
      </c>
      <c r="AR22" s="110">
        <v>17327169</v>
      </c>
      <c r="AS22" s="114">
        <v>3109656</v>
      </c>
      <c r="AT22" s="114">
        <v>1067271</v>
      </c>
      <c r="AU22" s="111">
        <f t="shared" si="14"/>
        <v>0.17946705546647579</v>
      </c>
      <c r="AV22" s="111">
        <f t="shared" si="15"/>
        <v>6.1595232319832514E-2</v>
      </c>
      <c r="AW22" s="115">
        <f t="shared" si="16"/>
        <v>40349051</v>
      </c>
      <c r="AX22" s="114">
        <f t="shared" ref="AX22:AY22" si="52">AI22+AN22+AS22</f>
        <v>5567280</v>
      </c>
      <c r="AY22" s="119">
        <f t="shared" si="52"/>
        <v>2312596</v>
      </c>
      <c r="AZ22" s="111">
        <f t="shared" si="18"/>
        <v>0.13797796632193407</v>
      </c>
      <c r="BA22" s="111">
        <f t="shared" si="19"/>
        <v>5.731475568037523E-2</v>
      </c>
      <c r="BB22" s="118">
        <f t="shared" si="24"/>
        <v>442332</v>
      </c>
      <c r="BC22" s="115"/>
      <c r="BD22" s="110"/>
      <c r="BE22" s="110"/>
      <c r="BF22" s="110"/>
      <c r="BG22" s="116"/>
      <c r="BH22" s="116"/>
      <c r="BI22" s="110"/>
      <c r="BJ22" s="110"/>
      <c r="BK22" s="117"/>
      <c r="BL22" s="113"/>
      <c r="BM22" s="113"/>
      <c r="BN22" s="113"/>
      <c r="BO22" s="113"/>
      <c r="BP22" s="118">
        <v>0</v>
      </c>
      <c r="BQ22" s="118">
        <v>0</v>
      </c>
      <c r="BR22" s="118">
        <v>0</v>
      </c>
      <c r="BS22" s="118">
        <v>0</v>
      </c>
    </row>
    <row r="23" spans="1:71" x14ac:dyDescent="0.25">
      <c r="A23" s="109">
        <v>44277</v>
      </c>
      <c r="B23" s="110">
        <v>112301</v>
      </c>
      <c r="C23" s="114">
        <v>121834</v>
      </c>
      <c r="D23" s="114">
        <v>98956</v>
      </c>
      <c r="E23" s="111">
        <f t="shared" si="0"/>
        <v>1.0848879351029821</v>
      </c>
      <c r="F23" s="111">
        <f t="shared" si="1"/>
        <v>0.88116757642407462</v>
      </c>
      <c r="G23" s="110">
        <v>911631</v>
      </c>
      <c r="H23" s="114">
        <v>314312</v>
      </c>
      <c r="I23" s="114">
        <v>5263</v>
      </c>
      <c r="J23" s="112">
        <f t="shared" si="2"/>
        <v>0.34477985061938438</v>
      </c>
      <c r="K23" s="112">
        <f t="shared" si="3"/>
        <v>5.7731691879718879E-3</v>
      </c>
      <c r="L23" s="110">
        <v>1976757</v>
      </c>
      <c r="M23" s="114">
        <v>443083</v>
      </c>
      <c r="N23" s="114">
        <v>124036</v>
      </c>
      <c r="O23" s="111">
        <f t="shared" si="4"/>
        <v>0.22414641759204595</v>
      </c>
      <c r="P23" s="111">
        <f t="shared" si="5"/>
        <v>6.2747216779806519E-2</v>
      </c>
      <c r="Q23" s="110">
        <v>3000689</v>
      </c>
      <c r="R23" s="110">
        <f t="shared" ref="R23:S23" si="53">C23+H23+M23</f>
        <v>879229</v>
      </c>
      <c r="S23" s="110">
        <f t="shared" si="53"/>
        <v>228255</v>
      </c>
      <c r="T23" s="113">
        <f t="shared" si="8"/>
        <v>0.29300903892406044</v>
      </c>
      <c r="U23" s="113">
        <f t="shared" si="9"/>
        <v>7.6067529823983765E-2</v>
      </c>
      <c r="V23" s="110"/>
      <c r="W23" s="110"/>
      <c r="X23" s="110"/>
      <c r="Y23" s="110"/>
      <c r="Z23" s="110"/>
      <c r="AA23" s="113"/>
      <c r="AB23" s="113"/>
      <c r="AC23" s="110"/>
      <c r="AD23" s="110"/>
      <c r="AE23" s="110"/>
      <c r="AF23" s="113"/>
      <c r="AG23" s="113"/>
      <c r="AH23" s="110">
        <v>1468764</v>
      </c>
      <c r="AI23" s="114">
        <v>1449757</v>
      </c>
      <c r="AJ23" s="114">
        <v>1245055</v>
      </c>
      <c r="AK23" s="111">
        <f t="shared" si="10"/>
        <v>0.98705918718051366</v>
      </c>
      <c r="AL23" s="111">
        <f t="shared" si="11"/>
        <v>0.84768894117775218</v>
      </c>
      <c r="AM23" s="114">
        <v>21553118</v>
      </c>
      <c r="AN23" s="114">
        <v>1011483</v>
      </c>
      <c r="AO23" s="114">
        <v>8534</v>
      </c>
      <c r="AP23" s="111">
        <f t="shared" si="12"/>
        <v>4.6929776007350772E-2</v>
      </c>
      <c r="AQ23" s="111">
        <f t="shared" si="13"/>
        <v>3.9595199172574473E-4</v>
      </c>
      <c r="AR23" s="110">
        <v>17327169</v>
      </c>
      <c r="AS23" s="114">
        <v>3221959</v>
      </c>
      <c r="AT23" s="114">
        <v>1237961</v>
      </c>
      <c r="AU23" s="111">
        <f t="shared" si="14"/>
        <v>0.18594837968048905</v>
      </c>
      <c r="AV23" s="111">
        <f t="shared" si="15"/>
        <v>7.1446235677622816E-2</v>
      </c>
      <c r="AW23" s="115">
        <f t="shared" si="16"/>
        <v>40349051</v>
      </c>
      <c r="AX23" s="114">
        <f t="shared" ref="AX23:AY23" si="54">AI23+AN23+AS23</f>
        <v>5683199</v>
      </c>
      <c r="AY23" s="119">
        <f t="shared" si="54"/>
        <v>2491550</v>
      </c>
      <c r="AZ23" s="111">
        <f t="shared" si="18"/>
        <v>0.14085087156077103</v>
      </c>
      <c r="BA23" s="111">
        <f t="shared" si="19"/>
        <v>6.1749903362039421E-2</v>
      </c>
      <c r="BB23" s="118">
        <f t="shared" si="24"/>
        <v>115919</v>
      </c>
      <c r="BC23" s="115"/>
      <c r="BD23" s="110"/>
      <c r="BE23" s="110"/>
      <c r="BF23" s="110"/>
      <c r="BG23" s="116"/>
      <c r="BH23" s="116"/>
      <c r="BI23" s="110"/>
      <c r="BJ23" s="110"/>
      <c r="BK23" s="117"/>
      <c r="BL23" s="113"/>
      <c r="BM23" s="113"/>
      <c r="BN23" s="113"/>
      <c r="BO23" s="113"/>
      <c r="BP23" s="118">
        <v>0</v>
      </c>
      <c r="BQ23" s="118">
        <v>0</v>
      </c>
      <c r="BR23" s="118">
        <v>0</v>
      </c>
      <c r="BS23" s="118">
        <v>0</v>
      </c>
    </row>
    <row r="24" spans="1:71" x14ac:dyDescent="0.25">
      <c r="A24" s="109">
        <v>44278</v>
      </c>
      <c r="B24" s="110">
        <v>112301</v>
      </c>
      <c r="C24" s="114">
        <v>122199</v>
      </c>
      <c r="D24" s="114">
        <v>100218</v>
      </c>
      <c r="E24" s="111">
        <f t="shared" si="0"/>
        <v>1.0881381287789067</v>
      </c>
      <c r="F24" s="111">
        <f t="shared" si="1"/>
        <v>0.8924052323665862</v>
      </c>
      <c r="G24" s="110">
        <v>911631</v>
      </c>
      <c r="H24" s="114">
        <v>337760</v>
      </c>
      <c r="I24" s="114">
        <v>9693</v>
      </c>
      <c r="J24" s="112">
        <f t="shared" si="2"/>
        <v>0.37050078376009593</v>
      </c>
      <c r="K24" s="112">
        <f t="shared" si="3"/>
        <v>1.063259147615647E-2</v>
      </c>
      <c r="L24" s="110">
        <v>1976757</v>
      </c>
      <c r="M24" s="114">
        <v>465428</v>
      </c>
      <c r="N24" s="114">
        <v>148494</v>
      </c>
      <c r="O24" s="111">
        <f t="shared" si="4"/>
        <v>0.23545028549285521</v>
      </c>
      <c r="P24" s="111">
        <f t="shared" si="5"/>
        <v>7.5120007163247682E-2</v>
      </c>
      <c r="Q24" s="110">
        <v>3000689</v>
      </c>
      <c r="R24" s="110">
        <f t="shared" ref="R24:S24" si="55">C24+H24+M24</f>
        <v>925387</v>
      </c>
      <c r="S24" s="110">
        <f t="shared" si="55"/>
        <v>258405</v>
      </c>
      <c r="T24" s="113">
        <f t="shared" si="8"/>
        <v>0.30839150608410271</v>
      </c>
      <c r="U24" s="113">
        <f t="shared" si="9"/>
        <v>8.6115222203967154E-2</v>
      </c>
      <c r="V24" s="110"/>
      <c r="W24" s="110"/>
      <c r="X24" s="110"/>
      <c r="Y24" s="110"/>
      <c r="Z24" s="110"/>
      <c r="AA24" s="113"/>
      <c r="AB24" s="113"/>
      <c r="AC24" s="110"/>
      <c r="AD24" s="110"/>
      <c r="AE24" s="110"/>
      <c r="AF24" s="113"/>
      <c r="AG24" s="113"/>
      <c r="AH24" s="110">
        <v>1468764</v>
      </c>
      <c r="AI24" s="114">
        <v>1453841</v>
      </c>
      <c r="AJ24" s="114">
        <v>1254761</v>
      </c>
      <c r="AK24" s="111">
        <f t="shared" si="10"/>
        <v>0.98983975642104516</v>
      </c>
      <c r="AL24" s="111">
        <f t="shared" si="11"/>
        <v>0.85429721861374597</v>
      </c>
      <c r="AM24" s="114">
        <v>21553118</v>
      </c>
      <c r="AN24" s="114">
        <v>1125037</v>
      </c>
      <c r="AO24" s="114">
        <v>22286</v>
      </c>
      <c r="AP24" s="111">
        <f t="shared" si="12"/>
        <v>5.2198340861865089E-2</v>
      </c>
      <c r="AQ24" s="111">
        <f t="shared" si="13"/>
        <v>1.0340035256151802E-3</v>
      </c>
      <c r="AR24" s="110">
        <v>17327169</v>
      </c>
      <c r="AS24" s="114">
        <v>3399373</v>
      </c>
      <c r="AT24" s="114">
        <v>1432498</v>
      </c>
      <c r="AU24" s="111">
        <f t="shared" si="14"/>
        <v>0.19618744412315711</v>
      </c>
      <c r="AV24" s="111">
        <f t="shared" si="15"/>
        <v>8.2673516949018047E-2</v>
      </c>
      <c r="AW24" s="115">
        <f t="shared" si="16"/>
        <v>40349051</v>
      </c>
      <c r="AX24" s="114">
        <f t="shared" ref="AX24:AY24" si="56">AI24+AN24+AS24</f>
        <v>5978251</v>
      </c>
      <c r="AY24" s="119">
        <f t="shared" si="56"/>
        <v>2709545</v>
      </c>
      <c r="AZ24" s="111">
        <f t="shared" si="18"/>
        <v>0.14816336076900544</v>
      </c>
      <c r="BA24" s="111">
        <f t="shared" si="19"/>
        <v>6.7152632660431102E-2</v>
      </c>
      <c r="BB24" s="118">
        <f t="shared" si="24"/>
        <v>295052</v>
      </c>
      <c r="BC24" s="115"/>
      <c r="BD24" s="110"/>
      <c r="BE24" s="110"/>
      <c r="BF24" s="110"/>
      <c r="BG24" s="116"/>
      <c r="BH24" s="116"/>
      <c r="BI24" s="110"/>
      <c r="BJ24" s="110"/>
      <c r="BK24" s="117"/>
      <c r="BL24" s="113"/>
      <c r="BM24" s="113"/>
      <c r="BN24" s="113"/>
      <c r="BO24" s="113"/>
      <c r="BP24" s="118">
        <v>0</v>
      </c>
      <c r="BQ24" s="118">
        <v>0</v>
      </c>
      <c r="BR24" s="118">
        <v>0</v>
      </c>
      <c r="BS24" s="118">
        <v>0</v>
      </c>
    </row>
    <row r="25" spans="1:71" x14ac:dyDescent="0.25">
      <c r="A25" s="109">
        <v>44279</v>
      </c>
      <c r="B25" s="110">
        <v>112301</v>
      </c>
      <c r="C25" s="114">
        <v>122616</v>
      </c>
      <c r="D25" s="114">
        <v>101248</v>
      </c>
      <c r="E25" s="111">
        <f t="shared" si="0"/>
        <v>1.091851363745648</v>
      </c>
      <c r="F25" s="111">
        <f t="shared" si="1"/>
        <v>0.90157701178083904</v>
      </c>
      <c r="G25" s="110">
        <v>911631</v>
      </c>
      <c r="H25" s="114">
        <v>373557</v>
      </c>
      <c r="I25" s="114">
        <v>15380</v>
      </c>
      <c r="J25" s="112">
        <f t="shared" si="2"/>
        <v>0.40976776787976715</v>
      </c>
      <c r="K25" s="112">
        <f t="shared" si="3"/>
        <v>1.6870861126925259E-2</v>
      </c>
      <c r="L25" s="110">
        <v>1976757</v>
      </c>
      <c r="M25" s="114">
        <v>501557</v>
      </c>
      <c r="N25" s="114">
        <v>177455</v>
      </c>
      <c r="O25" s="111">
        <f t="shared" si="4"/>
        <v>0.25372719054491777</v>
      </c>
      <c r="P25" s="111">
        <f t="shared" si="5"/>
        <v>8.9770771015354953E-2</v>
      </c>
      <c r="Q25" s="110">
        <v>3000689</v>
      </c>
      <c r="R25" s="110">
        <f t="shared" ref="R25:S25" si="57">C25+H25+M25</f>
        <v>997730</v>
      </c>
      <c r="S25" s="110">
        <f t="shared" si="57"/>
        <v>294083</v>
      </c>
      <c r="T25" s="113">
        <f t="shared" si="8"/>
        <v>0.33250030243054179</v>
      </c>
      <c r="U25" s="113">
        <f t="shared" si="9"/>
        <v>9.8005158148678523E-2</v>
      </c>
      <c r="V25" s="110"/>
      <c r="W25" s="110"/>
      <c r="X25" s="110"/>
      <c r="Y25" s="110"/>
      <c r="Z25" s="110"/>
      <c r="AA25" s="113"/>
      <c r="AB25" s="113"/>
      <c r="AC25" s="110"/>
      <c r="AD25" s="110"/>
      <c r="AE25" s="110"/>
      <c r="AF25" s="113"/>
      <c r="AG25" s="113"/>
      <c r="AH25" s="110">
        <v>1468764</v>
      </c>
      <c r="AI25" s="114">
        <v>1458033</v>
      </c>
      <c r="AJ25" s="114">
        <v>1263152</v>
      </c>
      <c r="AK25" s="111">
        <f t="shared" si="10"/>
        <v>0.99269385687557699</v>
      </c>
      <c r="AL25" s="111">
        <f t="shared" si="11"/>
        <v>0.86001018543482821</v>
      </c>
      <c r="AM25" s="114">
        <v>21553118</v>
      </c>
      <c r="AN25" s="114">
        <v>1225564</v>
      </c>
      <c r="AO25" s="114">
        <v>38904</v>
      </c>
      <c r="AP25" s="111">
        <f t="shared" si="12"/>
        <v>5.6862492006956949E-2</v>
      </c>
      <c r="AQ25" s="111">
        <f t="shared" si="13"/>
        <v>1.8050288593975128E-3</v>
      </c>
      <c r="AR25" s="110">
        <v>17327169</v>
      </c>
      <c r="AS25" s="114">
        <v>3706240</v>
      </c>
      <c r="AT25" s="114">
        <v>1638960</v>
      </c>
      <c r="AU25" s="111">
        <f t="shared" si="14"/>
        <v>0.21389760785503967</v>
      </c>
      <c r="AV25" s="111">
        <f t="shared" si="15"/>
        <v>9.4589023746464301E-2</v>
      </c>
      <c r="AW25" s="115">
        <f t="shared" si="16"/>
        <v>40349051</v>
      </c>
      <c r="AX25" s="114">
        <f t="shared" ref="AX25:AY25" si="58">AI25+AN25+AS25</f>
        <v>6389837</v>
      </c>
      <c r="AY25" s="119">
        <f t="shared" si="58"/>
        <v>2941016</v>
      </c>
      <c r="AZ25" s="111">
        <f t="shared" si="18"/>
        <v>0.15836399721024419</v>
      </c>
      <c r="BA25" s="111">
        <f t="shared" si="19"/>
        <v>7.2889347509065325E-2</v>
      </c>
      <c r="BB25" s="118">
        <f t="shared" si="24"/>
        <v>411586</v>
      </c>
      <c r="BC25" s="115"/>
      <c r="BD25" s="110"/>
      <c r="BE25" s="110"/>
      <c r="BF25" s="110"/>
      <c r="BG25" s="116"/>
      <c r="BH25" s="116"/>
      <c r="BI25" s="110"/>
      <c r="BJ25" s="110"/>
      <c r="BK25" s="117"/>
      <c r="BL25" s="113"/>
      <c r="BM25" s="113"/>
      <c r="BN25" s="113"/>
      <c r="BO25" s="113"/>
      <c r="BP25" s="118">
        <v>0</v>
      </c>
      <c r="BQ25" s="118">
        <v>0</v>
      </c>
      <c r="BR25" s="118">
        <v>0</v>
      </c>
      <c r="BS25" s="118">
        <v>0</v>
      </c>
    </row>
    <row r="26" spans="1:71" x14ac:dyDescent="0.25">
      <c r="A26" s="109">
        <v>44280</v>
      </c>
      <c r="B26" s="110">
        <v>112301</v>
      </c>
      <c r="C26" s="114">
        <v>122916</v>
      </c>
      <c r="D26" s="114">
        <v>101602</v>
      </c>
      <c r="E26" s="111">
        <f t="shared" si="0"/>
        <v>1.0945227558080515</v>
      </c>
      <c r="F26" s="111">
        <f t="shared" si="1"/>
        <v>0.90472925441447538</v>
      </c>
      <c r="G26" s="110">
        <v>911631</v>
      </c>
      <c r="H26" s="114">
        <v>394412</v>
      </c>
      <c r="I26" s="114">
        <v>22109</v>
      </c>
      <c r="J26" s="112">
        <f t="shared" si="2"/>
        <v>0.43264434842606275</v>
      </c>
      <c r="K26" s="112">
        <f t="shared" si="3"/>
        <v>2.4252137103718499E-2</v>
      </c>
      <c r="L26" s="110">
        <v>1976757</v>
      </c>
      <c r="M26" s="114">
        <v>529155</v>
      </c>
      <c r="N26" s="114">
        <v>187424</v>
      </c>
      <c r="O26" s="111">
        <f t="shared" si="4"/>
        <v>0.26768844121963398</v>
      </c>
      <c r="P26" s="111">
        <f t="shared" si="5"/>
        <v>9.4813879500616413E-2</v>
      </c>
      <c r="Q26" s="110">
        <v>3000689</v>
      </c>
      <c r="R26" s="110">
        <f t="shared" ref="R26:S26" si="59">C26+H26+M26</f>
        <v>1046483</v>
      </c>
      <c r="S26" s="110">
        <f t="shared" si="59"/>
        <v>311135</v>
      </c>
      <c r="T26" s="113">
        <f t="shared" si="8"/>
        <v>0.34874757097453285</v>
      </c>
      <c r="U26" s="113">
        <f t="shared" si="9"/>
        <v>0.10368785302308903</v>
      </c>
      <c r="V26" s="110"/>
      <c r="W26" s="110"/>
      <c r="X26" s="110"/>
      <c r="Y26" s="110"/>
      <c r="Z26" s="110"/>
      <c r="AA26" s="113"/>
      <c r="AB26" s="113"/>
      <c r="AC26" s="110"/>
      <c r="AD26" s="110"/>
      <c r="AE26" s="110"/>
      <c r="AF26" s="113"/>
      <c r="AG26" s="113"/>
      <c r="AH26" s="110">
        <v>1468764</v>
      </c>
      <c r="AI26" s="114">
        <v>1461489</v>
      </c>
      <c r="AJ26" s="114">
        <v>1266029</v>
      </c>
      <c r="AK26" s="111">
        <f t="shared" si="10"/>
        <v>0.99504685572358798</v>
      </c>
      <c r="AL26" s="111">
        <f t="shared" si="11"/>
        <v>0.86196897527444849</v>
      </c>
      <c r="AM26" s="114">
        <v>21553118</v>
      </c>
      <c r="AN26" s="114">
        <v>1301782</v>
      </c>
      <c r="AO26" s="114">
        <v>57227</v>
      </c>
      <c r="AP26" s="111">
        <f t="shared" si="12"/>
        <v>6.0398778496920956E-2</v>
      </c>
      <c r="AQ26" s="111">
        <f t="shared" si="13"/>
        <v>2.6551610769263174E-3</v>
      </c>
      <c r="AR26" s="110">
        <v>17327169</v>
      </c>
      <c r="AS26" s="114">
        <v>3967185</v>
      </c>
      <c r="AT26" s="114">
        <v>1691934</v>
      </c>
      <c r="AU26" s="111">
        <f t="shared" si="14"/>
        <v>0.22895748289867779</v>
      </c>
      <c r="AV26" s="111">
        <f t="shared" si="15"/>
        <v>9.7646303328604925E-2</v>
      </c>
      <c r="AW26" s="115">
        <f t="shared" si="16"/>
        <v>40349051</v>
      </c>
      <c r="AX26" s="114">
        <f t="shared" ref="AX26:AY26" si="60">AI26+AN26+AS26</f>
        <v>6730456</v>
      </c>
      <c r="AY26" s="119">
        <f t="shared" si="60"/>
        <v>3015190</v>
      </c>
      <c r="AZ26" s="111">
        <f t="shared" si="18"/>
        <v>0.16680580665949243</v>
      </c>
      <c r="BA26" s="111">
        <f t="shared" si="19"/>
        <v>7.4727655924299183E-2</v>
      </c>
      <c r="BB26" s="118">
        <f t="shared" si="24"/>
        <v>340619</v>
      </c>
      <c r="BC26" s="115"/>
      <c r="BD26" s="110"/>
      <c r="BE26" s="110"/>
      <c r="BF26" s="110"/>
      <c r="BG26" s="116"/>
      <c r="BH26" s="116"/>
      <c r="BI26" s="110"/>
      <c r="BJ26" s="110"/>
      <c r="BK26" s="117"/>
      <c r="BL26" s="113"/>
      <c r="BM26" s="113"/>
      <c r="BN26" s="113"/>
      <c r="BO26" s="113"/>
      <c r="BP26" s="118">
        <v>0</v>
      </c>
      <c r="BQ26" s="118">
        <v>0</v>
      </c>
      <c r="BR26" s="118">
        <v>0</v>
      </c>
      <c r="BS26" s="118">
        <v>0</v>
      </c>
    </row>
    <row r="27" spans="1:71" x14ac:dyDescent="0.25">
      <c r="A27" s="109">
        <v>44281</v>
      </c>
      <c r="B27" s="110">
        <v>112301</v>
      </c>
      <c r="C27" s="114">
        <v>123199</v>
      </c>
      <c r="D27" s="114">
        <v>102584</v>
      </c>
      <c r="E27" s="111">
        <f t="shared" si="0"/>
        <v>1.0970427689869191</v>
      </c>
      <c r="F27" s="111">
        <f t="shared" si="1"/>
        <v>0.91347361109874359</v>
      </c>
      <c r="G27" s="110">
        <v>911631</v>
      </c>
      <c r="H27" s="114">
        <v>414506</v>
      </c>
      <c r="I27" s="114">
        <v>29341</v>
      </c>
      <c r="J27" s="112">
        <f t="shared" si="2"/>
        <v>0.45468616139644219</v>
      </c>
      <c r="K27" s="112">
        <f t="shared" si="3"/>
        <v>3.2185171412556175E-2</v>
      </c>
      <c r="L27" s="110">
        <v>1976757</v>
      </c>
      <c r="M27" s="114">
        <v>554981</v>
      </c>
      <c r="N27" s="114">
        <v>211347</v>
      </c>
      <c r="O27" s="111">
        <f t="shared" si="4"/>
        <v>0.28075327417583446</v>
      </c>
      <c r="P27" s="111">
        <f t="shared" si="5"/>
        <v>0.10691602457965244</v>
      </c>
      <c r="Q27" s="110">
        <v>3000689</v>
      </c>
      <c r="R27" s="110">
        <f t="shared" ref="R27:S27" si="61">C27+H27+M27</f>
        <v>1092686</v>
      </c>
      <c r="S27" s="110">
        <f t="shared" si="61"/>
        <v>343272</v>
      </c>
      <c r="T27" s="113">
        <f t="shared" si="8"/>
        <v>0.36414503469036613</v>
      </c>
      <c r="U27" s="113">
        <f t="shared" si="9"/>
        <v>0.1143977266554448</v>
      </c>
      <c r="V27" s="110"/>
      <c r="W27" s="110"/>
      <c r="X27" s="110"/>
      <c r="Y27" s="110"/>
      <c r="Z27" s="110"/>
      <c r="AA27" s="113"/>
      <c r="AB27" s="113"/>
      <c r="AC27" s="110"/>
      <c r="AD27" s="110"/>
      <c r="AE27" s="110"/>
      <c r="AF27" s="113"/>
      <c r="AG27" s="113"/>
      <c r="AH27" s="110">
        <v>1468764</v>
      </c>
      <c r="AI27" s="114">
        <v>1464650</v>
      </c>
      <c r="AJ27" s="114">
        <v>1270999</v>
      </c>
      <c r="AK27" s="111">
        <f t="shared" si="10"/>
        <v>0.99719900542224615</v>
      </c>
      <c r="AL27" s="111">
        <f t="shared" si="11"/>
        <v>0.86535277280761236</v>
      </c>
      <c r="AM27" s="114">
        <v>21553118</v>
      </c>
      <c r="AN27" s="114">
        <v>1356432</v>
      </c>
      <c r="AO27" s="114">
        <v>78322</v>
      </c>
      <c r="AP27" s="111">
        <f t="shared" si="12"/>
        <v>6.29343745067419E-2</v>
      </c>
      <c r="AQ27" s="111">
        <f t="shared" si="13"/>
        <v>3.6339057764171291E-3</v>
      </c>
      <c r="AR27" s="110">
        <v>17327169</v>
      </c>
      <c r="AS27" s="114">
        <v>4169000</v>
      </c>
      <c r="AT27" s="114">
        <v>1803291</v>
      </c>
      <c r="AU27" s="111">
        <f t="shared" si="14"/>
        <v>0.24060479816408556</v>
      </c>
      <c r="AV27" s="111">
        <f t="shared" si="15"/>
        <v>0.10407303120319308</v>
      </c>
      <c r="AW27" s="115">
        <f t="shared" si="16"/>
        <v>40349051</v>
      </c>
      <c r="AX27" s="114">
        <f t="shared" ref="AX27:AY27" si="62">AI27+AN27+AS27</f>
        <v>6990082</v>
      </c>
      <c r="AY27" s="119">
        <f t="shared" si="62"/>
        <v>3152612</v>
      </c>
      <c r="AZ27" s="111">
        <f t="shared" si="18"/>
        <v>0.17324030743622693</v>
      </c>
      <c r="BA27" s="111">
        <f t="shared" si="19"/>
        <v>7.8133485716925535E-2</v>
      </c>
      <c r="BB27" s="118">
        <f t="shared" si="24"/>
        <v>259626</v>
      </c>
      <c r="BC27" s="115"/>
      <c r="BD27" s="110"/>
      <c r="BE27" s="110"/>
      <c r="BF27" s="110"/>
      <c r="BG27" s="116"/>
      <c r="BH27" s="116"/>
      <c r="BI27" s="110"/>
      <c r="BJ27" s="110"/>
      <c r="BK27" s="117"/>
      <c r="BL27" s="113"/>
      <c r="BM27" s="113"/>
      <c r="BN27" s="113"/>
      <c r="BO27" s="113"/>
      <c r="BP27" s="118">
        <v>0</v>
      </c>
      <c r="BQ27" s="118">
        <v>0</v>
      </c>
      <c r="BR27" s="118">
        <v>0</v>
      </c>
      <c r="BS27" s="118">
        <v>0</v>
      </c>
    </row>
    <row r="28" spans="1:71" x14ac:dyDescent="0.25">
      <c r="A28" s="109">
        <v>44282</v>
      </c>
      <c r="B28" s="110">
        <v>112301</v>
      </c>
      <c r="C28" s="114">
        <v>123199</v>
      </c>
      <c r="D28" s="114">
        <v>102672</v>
      </c>
      <c r="E28" s="111">
        <f t="shared" si="0"/>
        <v>1.0970427689869191</v>
      </c>
      <c r="F28" s="111">
        <f t="shared" si="1"/>
        <v>0.91425721943704863</v>
      </c>
      <c r="G28" s="110">
        <v>911631</v>
      </c>
      <c r="H28" s="114">
        <v>425054</v>
      </c>
      <c r="I28" s="114">
        <v>31070</v>
      </c>
      <c r="J28" s="112">
        <f t="shared" si="2"/>
        <v>0.46625663234356884</v>
      </c>
      <c r="K28" s="112">
        <f t="shared" si="3"/>
        <v>3.4081772120518057E-2</v>
      </c>
      <c r="L28" s="110">
        <v>1976757</v>
      </c>
      <c r="M28" s="114">
        <v>573482</v>
      </c>
      <c r="N28" s="114">
        <v>217379</v>
      </c>
      <c r="O28" s="111">
        <f t="shared" si="4"/>
        <v>0.29011254291751593</v>
      </c>
      <c r="P28" s="111">
        <f t="shared" si="5"/>
        <v>0.10996748715193623</v>
      </c>
      <c r="Q28" s="110">
        <v>3000689</v>
      </c>
      <c r="R28" s="110">
        <f t="shared" ref="R28:S28" si="63">C28+H28+M28</f>
        <v>1121735</v>
      </c>
      <c r="S28" s="110">
        <f t="shared" si="63"/>
        <v>351121</v>
      </c>
      <c r="T28" s="113">
        <f t="shared" si="8"/>
        <v>0.37382581133866255</v>
      </c>
      <c r="U28" s="113">
        <f t="shared" si="9"/>
        <v>0.11701345924219404</v>
      </c>
      <c r="V28" s="110"/>
      <c r="W28" s="110"/>
      <c r="X28" s="110"/>
      <c r="Y28" s="110"/>
      <c r="Z28" s="110"/>
      <c r="AA28" s="113"/>
      <c r="AB28" s="113"/>
      <c r="AC28" s="110"/>
      <c r="AD28" s="110"/>
      <c r="AE28" s="110"/>
      <c r="AF28" s="113"/>
      <c r="AG28" s="113"/>
      <c r="AH28" s="110">
        <v>1468764</v>
      </c>
      <c r="AI28" s="114">
        <v>1429532</v>
      </c>
      <c r="AJ28" s="114">
        <v>1272381</v>
      </c>
      <c r="AK28" s="111">
        <f t="shared" si="10"/>
        <v>0.97328910566980131</v>
      </c>
      <c r="AL28" s="111">
        <f t="shared" si="11"/>
        <v>0.8662937000089872</v>
      </c>
      <c r="AM28" s="114">
        <v>21553118</v>
      </c>
      <c r="AN28" s="114">
        <v>1394731</v>
      </c>
      <c r="AO28" s="114">
        <v>93529</v>
      </c>
      <c r="AP28" s="111">
        <f t="shared" si="12"/>
        <v>6.4711333181584216E-2</v>
      </c>
      <c r="AQ28" s="111">
        <f t="shared" si="13"/>
        <v>4.3394649442368384E-3</v>
      </c>
      <c r="AR28" s="110">
        <v>17327169</v>
      </c>
      <c r="AS28" s="114">
        <v>4312074</v>
      </c>
      <c r="AT28" s="114">
        <v>1857872</v>
      </c>
      <c r="AU28" s="111">
        <f t="shared" si="14"/>
        <v>0.24886200394305613</v>
      </c>
      <c r="AV28" s="111">
        <f t="shared" si="15"/>
        <v>0.10722305530695753</v>
      </c>
      <c r="AW28" s="115">
        <f t="shared" si="16"/>
        <v>40349051</v>
      </c>
      <c r="AX28" s="114">
        <f t="shared" ref="AX28:AY28" si="64">AI28+AN28+AS28</f>
        <v>7136337</v>
      </c>
      <c r="AY28" s="119">
        <f t="shared" si="64"/>
        <v>3223782</v>
      </c>
      <c r="AZ28" s="111">
        <f t="shared" si="18"/>
        <v>0.17686505191906496</v>
      </c>
      <c r="BA28" s="111">
        <f t="shared" si="19"/>
        <v>7.9897343806177745E-2</v>
      </c>
      <c r="BB28" s="118">
        <f t="shared" si="24"/>
        <v>146255</v>
      </c>
      <c r="BC28" s="115"/>
      <c r="BD28" s="110"/>
      <c r="BE28" s="110"/>
      <c r="BF28" s="110"/>
      <c r="BG28" s="116"/>
      <c r="BH28" s="116"/>
      <c r="BI28" s="110"/>
      <c r="BJ28" s="110"/>
      <c r="BK28" s="117"/>
      <c r="BL28" s="113"/>
      <c r="BM28" s="113"/>
      <c r="BN28" s="113"/>
      <c r="BO28" s="113"/>
      <c r="BP28" s="118">
        <v>0</v>
      </c>
      <c r="BQ28" s="118">
        <v>0</v>
      </c>
      <c r="BR28" s="118">
        <v>0</v>
      </c>
      <c r="BS28" s="118">
        <v>0</v>
      </c>
    </row>
    <row r="29" spans="1:71" x14ac:dyDescent="0.25">
      <c r="A29" s="109">
        <v>44283</v>
      </c>
      <c r="B29" s="110">
        <v>112301</v>
      </c>
      <c r="C29" s="114">
        <v>123199</v>
      </c>
      <c r="D29" s="114">
        <v>102692</v>
      </c>
      <c r="E29" s="111">
        <f t="shared" si="0"/>
        <v>1.0970427689869191</v>
      </c>
      <c r="F29" s="111">
        <f t="shared" si="1"/>
        <v>0.91443531224120889</v>
      </c>
      <c r="G29" s="110">
        <v>911631</v>
      </c>
      <c r="H29" s="114">
        <v>431190</v>
      </c>
      <c r="I29" s="114">
        <v>31149</v>
      </c>
      <c r="J29" s="112">
        <f t="shared" si="2"/>
        <v>0.47298742583347869</v>
      </c>
      <c r="K29" s="112">
        <f t="shared" si="3"/>
        <v>3.4168429989765596E-2</v>
      </c>
      <c r="L29" s="110">
        <v>1976757</v>
      </c>
      <c r="M29" s="114">
        <v>585999</v>
      </c>
      <c r="N29" s="114">
        <v>219264</v>
      </c>
      <c r="O29" s="111">
        <f t="shared" si="4"/>
        <v>0.29644463128244897</v>
      </c>
      <c r="P29" s="111">
        <f t="shared" si="5"/>
        <v>0.11092106920577491</v>
      </c>
      <c r="Q29" s="110">
        <v>3000689</v>
      </c>
      <c r="R29" s="110">
        <f t="shared" ref="R29:S29" si="65">C29+H29+M29</f>
        <v>1140388</v>
      </c>
      <c r="S29" s="110">
        <f t="shared" si="65"/>
        <v>353105</v>
      </c>
      <c r="T29" s="113">
        <f t="shared" si="8"/>
        <v>0.38004205034243804</v>
      </c>
      <c r="U29" s="113">
        <f t="shared" si="9"/>
        <v>0.11767464072418035</v>
      </c>
      <c r="V29" s="110"/>
      <c r="W29" s="110"/>
      <c r="X29" s="110"/>
      <c r="Y29" s="110"/>
      <c r="Z29" s="110"/>
      <c r="AA29" s="113"/>
      <c r="AB29" s="113"/>
      <c r="AC29" s="110"/>
      <c r="AD29" s="110"/>
      <c r="AE29" s="110"/>
      <c r="AF29" s="113"/>
      <c r="AG29" s="113"/>
      <c r="AH29" s="110">
        <v>1468764</v>
      </c>
      <c r="AI29" s="114">
        <v>1430428</v>
      </c>
      <c r="AJ29" s="114">
        <v>1273417</v>
      </c>
      <c r="AK29" s="111">
        <f t="shared" si="10"/>
        <v>0.97389914240817455</v>
      </c>
      <c r="AL29" s="111">
        <f t="shared" si="11"/>
        <v>0.86699905498773122</v>
      </c>
      <c r="AM29" s="114">
        <v>21553118</v>
      </c>
      <c r="AN29" s="114">
        <v>1414656</v>
      </c>
      <c r="AO29" s="114">
        <v>101709</v>
      </c>
      <c r="AP29" s="111">
        <f t="shared" si="12"/>
        <v>6.5635793391935218E-2</v>
      </c>
      <c r="AQ29" s="111">
        <f t="shared" si="13"/>
        <v>4.7189923982228462E-3</v>
      </c>
      <c r="AR29" s="110">
        <v>17327169</v>
      </c>
      <c r="AS29" s="114">
        <v>4405955</v>
      </c>
      <c r="AT29" s="114">
        <v>1871683</v>
      </c>
      <c r="AU29" s="111">
        <f t="shared" si="14"/>
        <v>0.25428014235908936</v>
      </c>
      <c r="AV29" s="111">
        <f t="shared" si="15"/>
        <v>0.10802012723486451</v>
      </c>
      <c r="AW29" s="115">
        <f t="shared" si="16"/>
        <v>40349051</v>
      </c>
      <c r="AX29" s="114">
        <f t="shared" ref="AX29:AY29" si="66">AI29+AN29+AS29</f>
        <v>7251039</v>
      </c>
      <c r="AY29" s="119">
        <f t="shared" si="66"/>
        <v>3246809</v>
      </c>
      <c r="AZ29" s="111">
        <f t="shared" si="18"/>
        <v>0.17970779535806183</v>
      </c>
      <c r="BA29" s="111">
        <f t="shared" si="19"/>
        <v>8.0468038765025729E-2</v>
      </c>
      <c r="BB29" s="118">
        <f t="shared" si="24"/>
        <v>114702</v>
      </c>
      <c r="BC29" s="115"/>
      <c r="BD29" s="110"/>
      <c r="BE29" s="110"/>
      <c r="BF29" s="110"/>
      <c r="BG29" s="116"/>
      <c r="BH29" s="116"/>
      <c r="BI29" s="110"/>
      <c r="BJ29" s="110"/>
      <c r="BK29" s="117"/>
      <c r="BL29" s="113"/>
      <c r="BM29" s="113"/>
      <c r="BN29" s="113"/>
      <c r="BO29" s="113"/>
      <c r="BP29" s="118">
        <v>0</v>
      </c>
      <c r="BQ29" s="118">
        <v>0</v>
      </c>
      <c r="BR29" s="118">
        <v>0</v>
      </c>
      <c r="BS29" s="118">
        <v>0</v>
      </c>
    </row>
    <row r="30" spans="1:71" x14ac:dyDescent="0.25">
      <c r="A30" s="109">
        <v>44284</v>
      </c>
      <c r="B30" s="110">
        <v>112301</v>
      </c>
      <c r="C30" s="114">
        <v>123199</v>
      </c>
      <c r="D30" s="114">
        <v>103537</v>
      </c>
      <c r="E30" s="111">
        <f t="shared" si="0"/>
        <v>1.0970427689869191</v>
      </c>
      <c r="F30" s="111">
        <f t="shared" si="1"/>
        <v>0.92195973321697933</v>
      </c>
      <c r="G30" s="110">
        <v>911631</v>
      </c>
      <c r="H30" s="114">
        <v>444817</v>
      </c>
      <c r="I30" s="114">
        <v>42494</v>
      </c>
      <c r="J30" s="112">
        <f t="shared" si="2"/>
        <v>0.48793535981115166</v>
      </c>
      <c r="K30" s="112">
        <f t="shared" si="3"/>
        <v>4.661315817474395E-2</v>
      </c>
      <c r="L30" s="110">
        <v>1976757</v>
      </c>
      <c r="M30" s="114">
        <v>610227</v>
      </c>
      <c r="N30" s="114">
        <v>242034</v>
      </c>
      <c r="O30" s="111">
        <f t="shared" si="4"/>
        <v>0.3087010694789496</v>
      </c>
      <c r="P30" s="111">
        <f t="shared" si="5"/>
        <v>0.12243993571288732</v>
      </c>
      <c r="Q30" s="110">
        <v>3000689</v>
      </c>
      <c r="R30" s="110">
        <f t="shared" ref="R30:S30" si="67">C30+H30+M30</f>
        <v>1178243</v>
      </c>
      <c r="S30" s="110">
        <f t="shared" si="67"/>
        <v>388065</v>
      </c>
      <c r="T30" s="113">
        <f t="shared" si="8"/>
        <v>0.3926574863306394</v>
      </c>
      <c r="U30" s="113">
        <f t="shared" si="9"/>
        <v>0.12932529828982611</v>
      </c>
      <c r="V30" s="110"/>
      <c r="W30" s="110"/>
      <c r="X30" s="110"/>
      <c r="Y30" s="110"/>
      <c r="Z30" s="110"/>
      <c r="AA30" s="113"/>
      <c r="AB30" s="113"/>
      <c r="AC30" s="110"/>
      <c r="AD30" s="110"/>
      <c r="AE30" s="110"/>
      <c r="AF30" s="113"/>
      <c r="AG30" s="113"/>
      <c r="AH30" s="110">
        <v>1468764</v>
      </c>
      <c r="AI30" s="114">
        <v>1432153</v>
      </c>
      <c r="AJ30" s="114">
        <v>1275981</v>
      </c>
      <c r="AK30" s="111">
        <f t="shared" si="10"/>
        <v>0.97507359929845772</v>
      </c>
      <c r="AL30" s="111">
        <f t="shared" si="11"/>
        <v>0.8687447404756653</v>
      </c>
      <c r="AM30" s="114">
        <v>21553118</v>
      </c>
      <c r="AN30" s="114">
        <v>1453977</v>
      </c>
      <c r="AO30" s="114">
        <v>118546</v>
      </c>
      <c r="AP30" s="111">
        <f t="shared" si="12"/>
        <v>6.7460169800026143E-2</v>
      </c>
      <c r="AQ30" s="111">
        <f t="shared" si="13"/>
        <v>5.5001786748441689E-3</v>
      </c>
      <c r="AR30" s="110">
        <v>17327169</v>
      </c>
      <c r="AS30" s="114">
        <v>4549721</v>
      </c>
      <c r="AT30" s="114">
        <v>1936112</v>
      </c>
      <c r="AU30" s="111">
        <f t="shared" si="14"/>
        <v>0.26257728541806225</v>
      </c>
      <c r="AV30" s="111">
        <f t="shared" si="15"/>
        <v>0.11173850731184073</v>
      </c>
      <c r="AW30" s="115">
        <f t="shared" si="16"/>
        <v>40349051</v>
      </c>
      <c r="AX30" s="114">
        <f t="shared" ref="AX30:AY30" si="68">AI30+AN30+AS30</f>
        <v>7435851</v>
      </c>
      <c r="AY30" s="119">
        <f t="shared" si="68"/>
        <v>3330639</v>
      </c>
      <c r="AZ30" s="111">
        <f t="shared" si="18"/>
        <v>0.1842881261321363</v>
      </c>
      <c r="BA30" s="111">
        <f t="shared" si="19"/>
        <v>8.2545658880552111E-2</v>
      </c>
      <c r="BB30" s="118">
        <f t="shared" si="24"/>
        <v>184812</v>
      </c>
      <c r="BC30" s="115"/>
      <c r="BD30" s="110"/>
      <c r="BE30" s="110"/>
      <c r="BF30" s="110"/>
      <c r="BG30" s="116"/>
      <c r="BH30" s="116"/>
      <c r="BI30" s="110"/>
      <c r="BJ30" s="110"/>
      <c r="BK30" s="117"/>
      <c r="BL30" s="113"/>
      <c r="BM30" s="113"/>
      <c r="BN30" s="113"/>
      <c r="BO30" s="113"/>
      <c r="BP30" s="118">
        <v>0</v>
      </c>
      <c r="BQ30" s="118">
        <v>0</v>
      </c>
      <c r="BR30" s="118">
        <v>0</v>
      </c>
      <c r="BS30" s="118">
        <v>0</v>
      </c>
    </row>
    <row r="31" spans="1:71" x14ac:dyDescent="0.25">
      <c r="A31" s="109">
        <v>44285</v>
      </c>
      <c r="B31" s="110">
        <v>112301</v>
      </c>
      <c r="C31" s="114">
        <v>123199</v>
      </c>
      <c r="D31" s="114">
        <v>104246</v>
      </c>
      <c r="E31" s="111">
        <f t="shared" si="0"/>
        <v>1.0970427689869191</v>
      </c>
      <c r="F31" s="111">
        <f t="shared" si="1"/>
        <v>0.9282731231244602</v>
      </c>
      <c r="G31" s="110">
        <v>911631</v>
      </c>
      <c r="H31" s="114">
        <v>460787</v>
      </c>
      <c r="I31" s="114">
        <v>54834</v>
      </c>
      <c r="J31" s="112">
        <f t="shared" si="2"/>
        <v>0.50545341261979904</v>
      </c>
      <c r="K31" s="112">
        <f t="shared" si="3"/>
        <v>6.014933673821974E-2</v>
      </c>
      <c r="L31" s="110">
        <v>1976757</v>
      </c>
      <c r="M31" s="114">
        <v>636631</v>
      </c>
      <c r="N31" s="114">
        <v>266245</v>
      </c>
      <c r="O31" s="111">
        <f t="shared" si="4"/>
        <v>0.3220583005397224</v>
      </c>
      <c r="P31" s="111">
        <f t="shared" si="5"/>
        <v>0.13468777396513582</v>
      </c>
      <c r="Q31" s="110">
        <v>3000689</v>
      </c>
      <c r="R31" s="110">
        <f t="shared" ref="R31:S31" si="69">C31+H31+M31</f>
        <v>1220617</v>
      </c>
      <c r="S31" s="110">
        <f t="shared" si="69"/>
        <v>425325</v>
      </c>
      <c r="T31" s="113">
        <f t="shared" si="8"/>
        <v>0.40677890977705455</v>
      </c>
      <c r="U31" s="113">
        <f t="shared" si="9"/>
        <v>0.14174244648479065</v>
      </c>
      <c r="V31" s="110"/>
      <c r="W31" s="110"/>
      <c r="X31" s="110"/>
      <c r="Y31" s="110"/>
      <c r="Z31" s="110"/>
      <c r="AA31" s="113"/>
      <c r="AB31" s="113"/>
      <c r="AC31" s="110"/>
      <c r="AD31" s="110"/>
      <c r="AE31" s="110"/>
      <c r="AF31" s="113"/>
      <c r="AG31" s="113"/>
      <c r="AH31" s="110">
        <v>1468764</v>
      </c>
      <c r="AI31" s="114">
        <v>1435351</v>
      </c>
      <c r="AJ31" s="114">
        <v>1282214</v>
      </c>
      <c r="AK31" s="111">
        <f t="shared" si="10"/>
        <v>0.97725094024635684</v>
      </c>
      <c r="AL31" s="111">
        <f t="shared" si="11"/>
        <v>0.87298844470588877</v>
      </c>
      <c r="AM31" s="114">
        <v>21553118</v>
      </c>
      <c r="AN31" s="114">
        <v>1546269</v>
      </c>
      <c r="AO31" s="114">
        <v>159823</v>
      </c>
      <c r="AP31" s="111">
        <f t="shared" si="12"/>
        <v>7.1742241656172434E-2</v>
      </c>
      <c r="AQ31" s="111">
        <f t="shared" si="13"/>
        <v>7.4153076134970356E-3</v>
      </c>
      <c r="AR31" s="110">
        <v>17327169</v>
      </c>
      <c r="AS31" s="114">
        <v>4858404</v>
      </c>
      <c r="AT31" s="114">
        <v>2119155</v>
      </c>
      <c r="AU31" s="111">
        <f t="shared" si="14"/>
        <v>0.28039225565353465</v>
      </c>
      <c r="AV31" s="111">
        <f t="shared" si="15"/>
        <v>0.1223024372879378</v>
      </c>
      <c r="AW31" s="115">
        <f t="shared" si="16"/>
        <v>40349051</v>
      </c>
      <c r="AX31" s="114">
        <f t="shared" ref="AX31:AY31" si="70">AI31+AN31+AS31</f>
        <v>7840024</v>
      </c>
      <c r="AY31" s="119">
        <f t="shared" si="70"/>
        <v>3561192</v>
      </c>
      <c r="AZ31" s="111">
        <f t="shared" si="18"/>
        <v>0.1943050407802652</v>
      </c>
      <c r="BA31" s="111">
        <f t="shared" si="19"/>
        <v>8.8259622264721907E-2</v>
      </c>
      <c r="BB31" s="118">
        <f t="shared" si="24"/>
        <v>404173</v>
      </c>
      <c r="BC31" s="115"/>
      <c r="BD31" s="110"/>
      <c r="BE31" s="110"/>
      <c r="BF31" s="110"/>
      <c r="BG31" s="116"/>
      <c r="BH31" s="116"/>
      <c r="BI31" s="110"/>
      <c r="BJ31" s="110"/>
      <c r="BK31" s="117"/>
      <c r="BL31" s="113"/>
      <c r="BM31" s="113"/>
      <c r="BN31" s="113"/>
      <c r="BO31" s="113"/>
      <c r="BP31" s="118">
        <v>0</v>
      </c>
      <c r="BQ31" s="118">
        <v>0</v>
      </c>
      <c r="BR31" s="118">
        <v>0</v>
      </c>
      <c r="BS31" s="118">
        <v>0</v>
      </c>
    </row>
    <row r="32" spans="1:71" x14ac:dyDescent="0.25">
      <c r="A32" s="109">
        <v>44286</v>
      </c>
      <c r="B32" s="110">
        <v>112301</v>
      </c>
      <c r="C32" s="114">
        <v>123199</v>
      </c>
      <c r="D32" s="114">
        <v>104773</v>
      </c>
      <c r="E32" s="111">
        <f t="shared" si="0"/>
        <v>1.0970427689869191</v>
      </c>
      <c r="F32" s="111">
        <f t="shared" si="1"/>
        <v>0.9329658685140827</v>
      </c>
      <c r="G32" s="110">
        <v>911631</v>
      </c>
      <c r="H32" s="114">
        <v>475190</v>
      </c>
      <c r="I32" s="114">
        <v>66739</v>
      </c>
      <c r="J32" s="112">
        <f t="shared" si="2"/>
        <v>0.52125256819919463</v>
      </c>
      <c r="K32" s="112">
        <f t="shared" si="3"/>
        <v>7.3208348553307198E-2</v>
      </c>
      <c r="L32" s="110">
        <v>1976757</v>
      </c>
      <c r="M32" s="114">
        <v>668989</v>
      </c>
      <c r="N32" s="114">
        <v>287470</v>
      </c>
      <c r="O32" s="111">
        <f t="shared" si="4"/>
        <v>0.33842753560503391</v>
      </c>
      <c r="P32" s="111">
        <f t="shared" si="5"/>
        <v>0.14542505730345207</v>
      </c>
      <c r="Q32" s="110">
        <v>3000689</v>
      </c>
      <c r="R32" s="110">
        <f t="shared" ref="R32:S32" si="71">C32+H32+M32</f>
        <v>1267378</v>
      </c>
      <c r="S32" s="110">
        <f t="shared" si="71"/>
        <v>458982</v>
      </c>
      <c r="T32" s="113">
        <f t="shared" si="8"/>
        <v>0.42236233078469643</v>
      </c>
      <c r="U32" s="113">
        <f t="shared" si="9"/>
        <v>0.15295887044608755</v>
      </c>
      <c r="V32" s="110"/>
      <c r="W32" s="110"/>
      <c r="X32" s="110"/>
      <c r="Y32" s="110"/>
      <c r="Z32" s="110"/>
      <c r="AA32" s="113"/>
      <c r="AB32" s="113"/>
      <c r="AC32" s="110"/>
      <c r="AD32" s="110"/>
      <c r="AE32" s="110"/>
      <c r="AF32" s="113"/>
      <c r="AG32" s="113"/>
      <c r="AH32" s="110">
        <v>1468764</v>
      </c>
      <c r="AI32" s="114">
        <v>1438016</v>
      </c>
      <c r="AJ32" s="114">
        <v>1286168</v>
      </c>
      <c r="AK32" s="111">
        <f t="shared" si="10"/>
        <v>0.97906539103627266</v>
      </c>
      <c r="AL32" s="111">
        <f t="shared" si="11"/>
        <v>0.87568050415179022</v>
      </c>
      <c r="AM32" s="114">
        <v>21553118</v>
      </c>
      <c r="AN32" s="114">
        <v>1616340</v>
      </c>
      <c r="AO32" s="114">
        <v>183141</v>
      </c>
      <c r="AP32" s="111">
        <f t="shared" si="12"/>
        <v>7.4993325791655754E-2</v>
      </c>
      <c r="AQ32" s="111">
        <f t="shared" si="13"/>
        <v>8.4971928423534827E-3</v>
      </c>
      <c r="AR32" s="110">
        <v>17327169</v>
      </c>
      <c r="AS32" s="114">
        <v>5061358</v>
      </c>
      <c r="AT32" s="114">
        <v>2247772</v>
      </c>
      <c r="AU32" s="111">
        <f t="shared" si="14"/>
        <v>0.29210530583501554</v>
      </c>
      <c r="AV32" s="111">
        <f t="shared" si="15"/>
        <v>0.12972528864928828</v>
      </c>
      <c r="AW32" s="115">
        <f t="shared" si="16"/>
        <v>40349051</v>
      </c>
      <c r="AX32" s="114">
        <f t="shared" ref="AX32:AY32" si="72">AI32+AN32+AS32</f>
        <v>8115714</v>
      </c>
      <c r="AY32" s="119">
        <f t="shared" si="72"/>
        <v>3717081</v>
      </c>
      <c r="AZ32" s="111">
        <f t="shared" si="18"/>
        <v>0.20113766740139688</v>
      </c>
      <c r="BA32" s="111">
        <f t="shared" si="19"/>
        <v>9.2123133205784691E-2</v>
      </c>
      <c r="BB32" s="118">
        <f t="shared" si="24"/>
        <v>275690</v>
      </c>
      <c r="BC32" s="115"/>
      <c r="BD32" s="110"/>
      <c r="BE32" s="110"/>
      <c r="BF32" s="110"/>
      <c r="BG32" s="116"/>
      <c r="BH32" s="116"/>
      <c r="BI32" s="110"/>
      <c r="BJ32" s="110"/>
      <c r="BK32" s="117"/>
      <c r="BL32" s="113"/>
      <c r="BM32" s="113"/>
      <c r="BN32" s="113"/>
      <c r="BO32" s="113"/>
      <c r="BP32" s="118">
        <v>0</v>
      </c>
      <c r="BQ32" s="118">
        <v>0</v>
      </c>
      <c r="BR32" s="118">
        <v>0</v>
      </c>
      <c r="BS32" s="118">
        <v>0</v>
      </c>
    </row>
    <row r="33" spans="1:71" x14ac:dyDescent="0.25">
      <c r="A33" s="109">
        <v>44287</v>
      </c>
      <c r="B33" s="110">
        <v>112301</v>
      </c>
      <c r="C33" s="114">
        <v>124396</v>
      </c>
      <c r="D33" s="114">
        <v>107368</v>
      </c>
      <c r="E33" s="111">
        <f t="shared" si="0"/>
        <v>1.1077016233159098</v>
      </c>
      <c r="F33" s="111">
        <f t="shared" si="1"/>
        <v>0.9560734098538749</v>
      </c>
      <c r="G33" s="110">
        <v>911631</v>
      </c>
      <c r="H33" s="114">
        <v>477295</v>
      </c>
      <c r="I33" s="114">
        <v>77431</v>
      </c>
      <c r="J33" s="112">
        <f t="shared" si="2"/>
        <v>0.52356161648737265</v>
      </c>
      <c r="K33" s="112">
        <f t="shared" si="3"/>
        <v>8.4936778148176184E-2</v>
      </c>
      <c r="L33" s="110">
        <v>1976757</v>
      </c>
      <c r="M33" s="114">
        <v>699688</v>
      </c>
      <c r="N33" s="114">
        <v>300935</v>
      </c>
      <c r="O33" s="111">
        <f t="shared" si="4"/>
        <v>0.35395751728715263</v>
      </c>
      <c r="P33" s="111">
        <f t="shared" si="5"/>
        <v>0.15223671903020958</v>
      </c>
      <c r="Q33" s="110">
        <v>3000689</v>
      </c>
      <c r="R33" s="110">
        <f t="shared" ref="R33:S33" si="73">C33+H33+M33</f>
        <v>1301379</v>
      </c>
      <c r="S33" s="110">
        <f t="shared" si="73"/>
        <v>485734</v>
      </c>
      <c r="T33" s="113">
        <f t="shared" si="8"/>
        <v>0.43369339508359578</v>
      </c>
      <c r="U33" s="113">
        <f t="shared" si="9"/>
        <v>0.16187415623545126</v>
      </c>
      <c r="V33" s="110"/>
      <c r="W33" s="110"/>
      <c r="X33" s="110"/>
      <c r="Y33" s="110"/>
      <c r="Z33" s="110"/>
      <c r="AA33" s="113"/>
      <c r="AB33" s="113"/>
      <c r="AC33" s="110"/>
      <c r="AD33" s="110"/>
      <c r="AE33" s="110"/>
      <c r="AF33" s="113"/>
      <c r="AG33" s="113"/>
      <c r="AH33" s="110">
        <v>1468764</v>
      </c>
      <c r="AI33" s="114">
        <v>1440648</v>
      </c>
      <c r="AJ33" s="114">
        <v>1289711</v>
      </c>
      <c r="AK33" s="111">
        <f t="shared" si="10"/>
        <v>0.98085737395524397</v>
      </c>
      <c r="AL33" s="111">
        <f t="shared" si="11"/>
        <v>0.87809273647774588</v>
      </c>
      <c r="AM33" s="114">
        <v>21553118</v>
      </c>
      <c r="AN33" s="114">
        <v>1672730</v>
      </c>
      <c r="AO33" s="114">
        <v>213333</v>
      </c>
      <c r="AP33" s="111">
        <f t="shared" si="12"/>
        <v>7.7609652580197447E-2</v>
      </c>
      <c r="AQ33" s="111">
        <f t="shared" si="13"/>
        <v>9.8980110441561162E-3</v>
      </c>
      <c r="AR33" s="110">
        <v>17327169</v>
      </c>
      <c r="AS33" s="114">
        <v>5258199</v>
      </c>
      <c r="AT33" s="114">
        <v>2351407</v>
      </c>
      <c r="AU33" s="111">
        <f t="shared" si="14"/>
        <v>0.30346555747219872</v>
      </c>
      <c r="AV33" s="111">
        <f t="shared" si="15"/>
        <v>0.13570635803229023</v>
      </c>
      <c r="AW33" s="115">
        <f t="shared" si="16"/>
        <v>40349051</v>
      </c>
      <c r="AX33" s="114">
        <f t="shared" ref="AX33:AY33" si="74">AI33+AN33+AS33</f>
        <v>8371577</v>
      </c>
      <c r="AY33" s="119">
        <f t="shared" si="74"/>
        <v>3854451</v>
      </c>
      <c r="AZ33" s="111">
        <f t="shared" si="18"/>
        <v>0.20747890700081148</v>
      </c>
      <c r="BA33" s="111">
        <f t="shared" si="19"/>
        <v>9.5527674244432662E-2</v>
      </c>
      <c r="BB33" s="118">
        <f t="shared" si="24"/>
        <v>255863</v>
      </c>
      <c r="BC33" s="115"/>
      <c r="BD33" s="110"/>
      <c r="BE33" s="110"/>
      <c r="BF33" s="110"/>
      <c r="BG33" s="116"/>
      <c r="BH33" s="116"/>
      <c r="BI33" s="110"/>
      <c r="BJ33" s="110"/>
      <c r="BK33" s="117"/>
      <c r="BL33" s="113"/>
      <c r="BM33" s="113"/>
      <c r="BN33" s="113"/>
      <c r="BO33" s="113"/>
      <c r="BP33" s="118">
        <v>0</v>
      </c>
      <c r="BQ33" s="118">
        <v>0</v>
      </c>
      <c r="BR33" s="118">
        <v>0</v>
      </c>
      <c r="BS33" s="118">
        <v>0</v>
      </c>
    </row>
    <row r="34" spans="1:71" x14ac:dyDescent="0.25">
      <c r="A34" s="109">
        <v>44288</v>
      </c>
      <c r="B34" s="110">
        <v>112301</v>
      </c>
      <c r="C34" s="114">
        <v>124396</v>
      </c>
      <c r="D34" s="114">
        <v>107368</v>
      </c>
      <c r="E34" s="111">
        <f t="shared" si="0"/>
        <v>1.1077016233159098</v>
      </c>
      <c r="F34" s="111">
        <f t="shared" si="1"/>
        <v>0.9560734098538749</v>
      </c>
      <c r="G34" s="110">
        <v>911631</v>
      </c>
      <c r="H34" s="114">
        <v>485807</v>
      </c>
      <c r="I34" s="114">
        <v>80541</v>
      </c>
      <c r="J34" s="112">
        <f t="shared" si="2"/>
        <v>0.5328987276650311</v>
      </c>
      <c r="K34" s="112">
        <f t="shared" si="3"/>
        <v>8.8348246165389291E-2</v>
      </c>
      <c r="L34" s="110">
        <v>1976757</v>
      </c>
      <c r="M34" s="114">
        <v>715419</v>
      </c>
      <c r="N34" s="114">
        <v>302306</v>
      </c>
      <c r="O34" s="111">
        <f t="shared" si="4"/>
        <v>0.36191550099481118</v>
      </c>
      <c r="P34" s="111">
        <f t="shared" si="5"/>
        <v>0.15293027924018987</v>
      </c>
      <c r="Q34" s="110">
        <v>3000689</v>
      </c>
      <c r="R34" s="110">
        <f t="shared" ref="R34:S34" si="75">C34+H34+M34</f>
        <v>1325622</v>
      </c>
      <c r="S34" s="110">
        <f t="shared" si="75"/>
        <v>490215</v>
      </c>
      <c r="T34" s="113">
        <f t="shared" si="8"/>
        <v>0.44177253957341128</v>
      </c>
      <c r="U34" s="113">
        <f t="shared" si="9"/>
        <v>0.16336747993544148</v>
      </c>
      <c r="V34" s="110"/>
      <c r="W34" s="110"/>
      <c r="X34" s="110"/>
      <c r="Y34" s="110"/>
      <c r="Z34" s="110"/>
      <c r="AA34" s="113"/>
      <c r="AB34" s="113"/>
      <c r="AC34" s="110"/>
      <c r="AD34" s="110"/>
      <c r="AE34" s="110"/>
      <c r="AF34" s="113"/>
      <c r="AG34" s="113"/>
      <c r="AH34" s="110">
        <v>1468764</v>
      </c>
      <c r="AI34" s="114">
        <v>1441069</v>
      </c>
      <c r="AJ34" s="114">
        <v>1290437</v>
      </c>
      <c r="AK34" s="111">
        <f t="shared" si="10"/>
        <v>0.9811440095209305</v>
      </c>
      <c r="AL34" s="111">
        <f t="shared" si="11"/>
        <v>0.87858702963852597</v>
      </c>
      <c r="AM34" s="114">
        <v>21553118</v>
      </c>
      <c r="AN34" s="114">
        <v>1679615</v>
      </c>
      <c r="AO34" s="114">
        <v>217777</v>
      </c>
      <c r="AP34" s="111">
        <f t="shared" si="12"/>
        <v>7.7929095920135541E-2</v>
      </c>
      <c r="AQ34" s="111">
        <f t="shared" si="13"/>
        <v>1.0104199308888858E-2</v>
      </c>
      <c r="AR34" s="110">
        <v>17327169</v>
      </c>
      <c r="AS34" s="114">
        <v>5304045</v>
      </c>
      <c r="AT34" s="114">
        <v>2359548</v>
      </c>
      <c r="AU34" s="111">
        <f t="shared" si="14"/>
        <v>0.3061114599851828</v>
      </c>
      <c r="AV34" s="111">
        <f t="shared" si="15"/>
        <v>0.13617619820064086</v>
      </c>
      <c r="AW34" s="115">
        <f t="shared" si="16"/>
        <v>40349051</v>
      </c>
      <c r="AX34" s="114">
        <f t="shared" ref="AX34:AY34" si="76">AI34+AN34+AS34</f>
        <v>8424729</v>
      </c>
      <c r="AY34" s="119">
        <f t="shared" si="76"/>
        <v>3867762</v>
      </c>
      <c r="AZ34" s="111">
        <f t="shared" si="18"/>
        <v>0.20879621183655594</v>
      </c>
      <c r="BA34" s="111">
        <f t="shared" si="19"/>
        <v>9.5857570479166904E-2</v>
      </c>
      <c r="BB34" s="118">
        <f t="shared" si="24"/>
        <v>53152</v>
      </c>
      <c r="BC34" s="115"/>
      <c r="BD34" s="110"/>
      <c r="BE34" s="110"/>
      <c r="BF34" s="110"/>
      <c r="BG34" s="116"/>
      <c r="BH34" s="116"/>
      <c r="BI34" s="110"/>
      <c r="BJ34" s="110"/>
      <c r="BK34" s="117"/>
      <c r="BL34" s="113"/>
      <c r="BM34" s="113"/>
      <c r="BN34" s="113"/>
      <c r="BO34" s="113"/>
      <c r="BP34" s="118">
        <v>0</v>
      </c>
      <c r="BQ34" s="118">
        <v>0</v>
      </c>
      <c r="BR34" s="118">
        <v>0</v>
      </c>
      <c r="BS34" s="118">
        <v>0</v>
      </c>
    </row>
    <row r="35" spans="1:71" x14ac:dyDescent="0.25">
      <c r="A35" s="109">
        <v>44289</v>
      </c>
      <c r="B35" s="110">
        <v>112301</v>
      </c>
      <c r="C35" s="114">
        <v>121845</v>
      </c>
      <c r="D35" s="114">
        <v>105485</v>
      </c>
      <c r="E35" s="111">
        <f t="shared" si="0"/>
        <v>1.0849858861452704</v>
      </c>
      <c r="F35" s="111">
        <f t="shared" si="1"/>
        <v>0.93930597234218749</v>
      </c>
      <c r="G35" s="110">
        <v>911631</v>
      </c>
      <c r="H35" s="114">
        <v>487262</v>
      </c>
      <c r="I35" s="114">
        <v>83140</v>
      </c>
      <c r="J35" s="112">
        <f t="shared" si="2"/>
        <v>0.53449476816826103</v>
      </c>
      <c r="K35" s="112">
        <f t="shared" si="3"/>
        <v>9.1199180370127822E-2</v>
      </c>
      <c r="L35" s="110">
        <v>1976757</v>
      </c>
      <c r="M35" s="114">
        <v>730364</v>
      </c>
      <c r="N35" s="114">
        <v>305602</v>
      </c>
      <c r="O35" s="111">
        <f t="shared" si="4"/>
        <v>0.36947586375057734</v>
      </c>
      <c r="P35" s="111">
        <f t="shared" si="5"/>
        <v>0.15459765666695502</v>
      </c>
      <c r="Q35" s="110">
        <v>3000689</v>
      </c>
      <c r="R35" s="110">
        <f t="shared" ref="R35:S35" si="77">C35+H35+M35</f>
        <v>1339471</v>
      </c>
      <c r="S35" s="110">
        <f t="shared" si="77"/>
        <v>494227</v>
      </c>
      <c r="T35" s="113">
        <f t="shared" si="8"/>
        <v>0.44638781293229657</v>
      </c>
      <c r="U35" s="113">
        <f t="shared" si="9"/>
        <v>0.16470450619840976</v>
      </c>
      <c r="V35" s="110"/>
      <c r="W35" s="110"/>
      <c r="X35" s="110"/>
      <c r="Y35" s="110"/>
      <c r="Z35" s="110"/>
      <c r="AA35" s="113"/>
      <c r="AB35" s="113"/>
      <c r="AC35" s="110"/>
      <c r="AD35" s="110"/>
      <c r="AE35" s="110"/>
      <c r="AF35" s="113"/>
      <c r="AG35" s="113"/>
      <c r="AH35" s="110">
        <v>1468764</v>
      </c>
      <c r="AI35" s="114">
        <v>1441529</v>
      </c>
      <c r="AJ35" s="114">
        <v>1292170</v>
      </c>
      <c r="AK35" s="111">
        <f t="shared" si="10"/>
        <v>0.98145719802500608</v>
      </c>
      <c r="AL35" s="111">
        <f t="shared" si="11"/>
        <v>0.8797669332854019</v>
      </c>
      <c r="AM35" s="114">
        <v>21553118</v>
      </c>
      <c r="AN35" s="114">
        <v>1706928</v>
      </c>
      <c r="AO35" s="114">
        <v>254973</v>
      </c>
      <c r="AP35" s="111">
        <f t="shared" si="12"/>
        <v>7.9196337161054842E-2</v>
      </c>
      <c r="AQ35" s="111">
        <f t="shared" si="13"/>
        <v>1.1829982093542104E-2</v>
      </c>
      <c r="AR35" s="110">
        <v>17327169</v>
      </c>
      <c r="AS35" s="114">
        <v>5396453</v>
      </c>
      <c r="AT35" s="114">
        <v>2407200</v>
      </c>
      <c r="AU35" s="111">
        <f t="shared" si="14"/>
        <v>0.31144458739913022</v>
      </c>
      <c r="AV35" s="111">
        <f t="shared" si="15"/>
        <v>0.13892633008889105</v>
      </c>
      <c r="AW35" s="115">
        <f t="shared" si="16"/>
        <v>40349051</v>
      </c>
      <c r="AX35" s="114">
        <f t="shared" ref="AX35:AY35" si="78">AI35+AN35+AS35</f>
        <v>8544910</v>
      </c>
      <c r="AY35" s="119">
        <f t="shared" si="78"/>
        <v>3954343</v>
      </c>
      <c r="AZ35" s="111">
        <f t="shared" si="18"/>
        <v>0.21177474533415916</v>
      </c>
      <c r="BA35" s="111">
        <f t="shared" si="19"/>
        <v>9.8003370636895529E-2</v>
      </c>
      <c r="BB35" s="118">
        <f t="shared" si="24"/>
        <v>120181</v>
      </c>
      <c r="BC35" s="115"/>
      <c r="BD35" s="110"/>
      <c r="BE35" s="110"/>
      <c r="BF35" s="110"/>
      <c r="BG35" s="116"/>
      <c r="BH35" s="116"/>
      <c r="BI35" s="110"/>
      <c r="BJ35" s="110"/>
      <c r="BK35" s="117"/>
      <c r="BL35" s="113"/>
      <c r="BM35" s="113"/>
      <c r="BN35" s="113"/>
      <c r="BO35" s="113"/>
      <c r="BP35" s="118">
        <v>0</v>
      </c>
      <c r="BQ35" s="118">
        <v>0</v>
      </c>
      <c r="BR35" s="118">
        <v>0</v>
      </c>
      <c r="BS35" s="118">
        <v>0</v>
      </c>
    </row>
    <row r="36" spans="1:71" x14ac:dyDescent="0.25">
      <c r="A36" s="109">
        <v>44290</v>
      </c>
      <c r="B36" s="110">
        <v>112301</v>
      </c>
      <c r="C36" s="114">
        <v>121850</v>
      </c>
      <c r="D36" s="114">
        <v>105514</v>
      </c>
      <c r="E36" s="111">
        <f t="shared" si="0"/>
        <v>1.0850304093463103</v>
      </c>
      <c r="F36" s="111">
        <f t="shared" si="1"/>
        <v>0.93956420690821985</v>
      </c>
      <c r="G36" s="110">
        <v>911631</v>
      </c>
      <c r="H36" s="114">
        <v>488136</v>
      </c>
      <c r="I36" s="114">
        <v>83786</v>
      </c>
      <c r="J36" s="112">
        <f t="shared" si="2"/>
        <v>0.53545348940525284</v>
      </c>
      <c r="K36" s="112">
        <f t="shared" si="3"/>
        <v>9.1907800414860838E-2</v>
      </c>
      <c r="L36" s="110">
        <v>1976757</v>
      </c>
      <c r="M36" s="114">
        <v>742355</v>
      </c>
      <c r="N36" s="114">
        <v>308776</v>
      </c>
      <c r="O36" s="111">
        <f t="shared" si="4"/>
        <v>0.37554185972276816</v>
      </c>
      <c r="P36" s="111">
        <f t="shared" si="5"/>
        <v>0.15620331684673433</v>
      </c>
      <c r="Q36" s="110">
        <v>3000689</v>
      </c>
      <c r="R36" s="110">
        <f t="shared" ref="R36:S36" si="79">C36+H36+M36</f>
        <v>1352341</v>
      </c>
      <c r="S36" s="110">
        <f t="shared" si="79"/>
        <v>498076</v>
      </c>
      <c r="T36" s="113">
        <f t="shared" si="8"/>
        <v>0.45067682788852825</v>
      </c>
      <c r="U36" s="113">
        <f t="shared" si="9"/>
        <v>0.165987211603735</v>
      </c>
      <c r="V36" s="110"/>
      <c r="W36" s="110"/>
      <c r="X36" s="110"/>
      <c r="Y36" s="110"/>
      <c r="Z36" s="110"/>
      <c r="AA36" s="113"/>
      <c r="AB36" s="113"/>
      <c r="AC36" s="110"/>
      <c r="AD36" s="110"/>
      <c r="AE36" s="110"/>
      <c r="AF36" s="113"/>
      <c r="AG36" s="113"/>
      <c r="AH36" s="110">
        <v>1468764</v>
      </c>
      <c r="AI36" s="114">
        <v>1441914</v>
      </c>
      <c r="AJ36" s="114">
        <v>1293500</v>
      </c>
      <c r="AK36" s="111">
        <f t="shared" si="10"/>
        <v>0.98171932318602584</v>
      </c>
      <c r="AL36" s="111">
        <f t="shared" si="11"/>
        <v>0.88067245656892457</v>
      </c>
      <c r="AM36" s="114">
        <v>21553118</v>
      </c>
      <c r="AN36" s="114">
        <v>1721077</v>
      </c>
      <c r="AO36" s="114">
        <v>261638</v>
      </c>
      <c r="AP36" s="111">
        <f t="shared" si="12"/>
        <v>7.9852808303652406E-2</v>
      </c>
      <c r="AQ36" s="111">
        <f t="shared" si="13"/>
        <v>1.213921809364195E-2</v>
      </c>
      <c r="AR36" s="110">
        <v>17327169</v>
      </c>
      <c r="AS36" s="114">
        <v>5466191</v>
      </c>
      <c r="AT36" s="114">
        <v>2459263</v>
      </c>
      <c r="AU36" s="111">
        <f t="shared" si="14"/>
        <v>0.31546936490317606</v>
      </c>
      <c r="AV36" s="111">
        <f t="shared" si="15"/>
        <v>0.14193103328073964</v>
      </c>
      <c r="AW36" s="115">
        <f t="shared" si="16"/>
        <v>40349051</v>
      </c>
      <c r="AX36" s="114">
        <f t="shared" ref="AX36:AY36" si="80">AI36+AN36+AS36</f>
        <v>8629182</v>
      </c>
      <c r="AY36" s="119">
        <f t="shared" si="80"/>
        <v>4014401</v>
      </c>
      <c r="AZ36" s="111">
        <f t="shared" si="18"/>
        <v>0.21386331985850177</v>
      </c>
      <c r="BA36" s="111">
        <f t="shared" si="19"/>
        <v>9.9491831914460635E-2</v>
      </c>
      <c r="BB36" s="118">
        <f t="shared" si="24"/>
        <v>84272</v>
      </c>
      <c r="BC36" s="115"/>
      <c r="BD36" s="110"/>
      <c r="BE36" s="110"/>
      <c r="BF36" s="110"/>
      <c r="BG36" s="116"/>
      <c r="BH36" s="116"/>
      <c r="BI36" s="110"/>
      <c r="BJ36" s="110"/>
      <c r="BK36" s="117"/>
      <c r="BL36" s="113"/>
      <c r="BM36" s="113"/>
      <c r="BN36" s="113"/>
      <c r="BO36" s="113"/>
      <c r="BP36" s="118">
        <v>0</v>
      </c>
      <c r="BQ36" s="118">
        <v>0</v>
      </c>
      <c r="BR36" s="118">
        <v>0</v>
      </c>
      <c r="BS36" s="118">
        <v>0</v>
      </c>
    </row>
    <row r="37" spans="1:71" x14ac:dyDescent="0.25">
      <c r="A37" s="109">
        <v>44291</v>
      </c>
      <c r="B37" s="110">
        <v>112301</v>
      </c>
      <c r="C37" s="114">
        <v>122092</v>
      </c>
      <c r="D37" s="114">
        <v>106037</v>
      </c>
      <c r="E37" s="111">
        <f t="shared" si="0"/>
        <v>1.0871853322766494</v>
      </c>
      <c r="F37" s="111">
        <f t="shared" si="1"/>
        <v>0.94422133373701034</v>
      </c>
      <c r="G37" s="110">
        <v>911631</v>
      </c>
      <c r="H37" s="114">
        <v>493235</v>
      </c>
      <c r="I37" s="114">
        <v>109251</v>
      </c>
      <c r="J37" s="112">
        <f t="shared" si="2"/>
        <v>0.54104676124440698</v>
      </c>
      <c r="K37" s="112">
        <f t="shared" si="3"/>
        <v>0.11984125155901895</v>
      </c>
      <c r="L37" s="110">
        <v>1976757</v>
      </c>
      <c r="M37" s="114">
        <v>771861</v>
      </c>
      <c r="N37" s="114">
        <v>330815</v>
      </c>
      <c r="O37" s="111">
        <f t="shared" si="4"/>
        <v>0.3904683276700171</v>
      </c>
      <c r="P37" s="111">
        <f t="shared" si="5"/>
        <v>0.16735238575100531</v>
      </c>
      <c r="Q37" s="110">
        <v>3000689</v>
      </c>
      <c r="R37" s="110">
        <f t="shared" ref="R37:S37" si="81">C37+H37+M37</f>
        <v>1387188</v>
      </c>
      <c r="S37" s="110">
        <f t="shared" si="81"/>
        <v>546103</v>
      </c>
      <c r="T37" s="113">
        <f t="shared" si="8"/>
        <v>0.46228982743629882</v>
      </c>
      <c r="U37" s="113">
        <f t="shared" si="9"/>
        <v>0.1819925357142976</v>
      </c>
      <c r="V37" s="110"/>
      <c r="W37" s="110"/>
      <c r="X37" s="110"/>
      <c r="Y37" s="110"/>
      <c r="Z37" s="110"/>
      <c r="AA37" s="113"/>
      <c r="AB37" s="113"/>
      <c r="AC37" s="110"/>
      <c r="AD37" s="110"/>
      <c r="AE37" s="110"/>
      <c r="AF37" s="113"/>
      <c r="AG37" s="113"/>
      <c r="AH37" s="110">
        <v>1468764</v>
      </c>
      <c r="AI37" s="114">
        <v>1443385</v>
      </c>
      <c r="AJ37" s="114">
        <v>1297351</v>
      </c>
      <c r="AK37" s="111">
        <f t="shared" si="10"/>
        <v>0.98272084555449346</v>
      </c>
      <c r="AL37" s="111">
        <f t="shared" si="11"/>
        <v>0.88329438902369617</v>
      </c>
      <c r="AM37" s="114">
        <v>21553118</v>
      </c>
      <c r="AN37" s="114">
        <v>1771003</v>
      </c>
      <c r="AO37" s="114">
        <v>329227</v>
      </c>
      <c r="AP37" s="111">
        <f t="shared" si="12"/>
        <v>8.2169224888946457E-2</v>
      </c>
      <c r="AQ37" s="111">
        <f t="shared" si="13"/>
        <v>1.5275144876950053E-2</v>
      </c>
      <c r="AR37" s="110">
        <v>17327169</v>
      </c>
      <c r="AS37" s="114">
        <v>5641985</v>
      </c>
      <c r="AT37" s="114">
        <v>2604222</v>
      </c>
      <c r="AU37" s="111">
        <f t="shared" si="14"/>
        <v>0.32561493455739943</v>
      </c>
      <c r="AV37" s="111">
        <f t="shared" si="15"/>
        <v>0.1502970277487338</v>
      </c>
      <c r="AW37" s="115">
        <f t="shared" si="16"/>
        <v>40349051</v>
      </c>
      <c r="AX37" s="114">
        <f t="shared" ref="AX37:AY37" si="82">AI37+AN37+AS37</f>
        <v>8856373</v>
      </c>
      <c r="AY37" s="119">
        <f t="shared" si="82"/>
        <v>4230800</v>
      </c>
      <c r="AZ37" s="111">
        <f t="shared" si="18"/>
        <v>0.2194939603412234</v>
      </c>
      <c r="BA37" s="111">
        <f t="shared" si="19"/>
        <v>0.10485500637920828</v>
      </c>
      <c r="BB37" s="118">
        <f t="shared" si="24"/>
        <v>227191</v>
      </c>
      <c r="BC37" s="115"/>
      <c r="BD37" s="110"/>
      <c r="BE37" s="110"/>
      <c r="BF37" s="110"/>
      <c r="BG37" s="116"/>
      <c r="BH37" s="116"/>
      <c r="BI37" s="110"/>
      <c r="BJ37" s="110"/>
      <c r="BK37" s="117"/>
      <c r="BL37" s="113"/>
      <c r="BM37" s="113"/>
      <c r="BN37" s="113"/>
      <c r="BO37" s="113"/>
      <c r="BP37" s="118">
        <v>0</v>
      </c>
      <c r="BQ37" s="118">
        <v>0</v>
      </c>
      <c r="BR37" s="118">
        <v>0</v>
      </c>
      <c r="BS37" s="118">
        <v>0</v>
      </c>
    </row>
    <row r="38" spans="1:71" x14ac:dyDescent="0.25">
      <c r="A38" s="109">
        <v>44292</v>
      </c>
      <c r="B38" s="110">
        <v>112301</v>
      </c>
      <c r="C38" s="114">
        <v>122326</v>
      </c>
      <c r="D38" s="114">
        <v>106437</v>
      </c>
      <c r="E38" s="111">
        <f t="shared" si="0"/>
        <v>1.0892690180853242</v>
      </c>
      <c r="F38" s="111">
        <f t="shared" si="1"/>
        <v>0.94778318982021537</v>
      </c>
      <c r="G38" s="110">
        <v>911631</v>
      </c>
      <c r="H38" s="114">
        <v>496569</v>
      </c>
      <c r="I38" s="114">
        <v>124880</v>
      </c>
      <c r="J38" s="112">
        <f t="shared" si="2"/>
        <v>0.54470394271366374</v>
      </c>
      <c r="K38" s="112">
        <f t="shared" si="3"/>
        <v>0.136985249514332</v>
      </c>
      <c r="L38" s="110">
        <v>1976757</v>
      </c>
      <c r="M38" s="114">
        <v>796248</v>
      </c>
      <c r="N38" s="114">
        <v>349648</v>
      </c>
      <c r="O38" s="111">
        <f t="shared" si="4"/>
        <v>0.40280520063922881</v>
      </c>
      <c r="P38" s="111">
        <f t="shared" si="5"/>
        <v>0.17687960634514005</v>
      </c>
      <c r="Q38" s="110">
        <v>3000689</v>
      </c>
      <c r="R38" s="110">
        <f t="shared" ref="R38:S38" si="83">C38+H38+M38</f>
        <v>1415143</v>
      </c>
      <c r="S38" s="110">
        <f t="shared" si="83"/>
        <v>580965</v>
      </c>
      <c r="T38" s="113">
        <f t="shared" si="8"/>
        <v>0.47160602115047578</v>
      </c>
      <c r="U38" s="113">
        <f t="shared" si="9"/>
        <v>0.19361053411399848</v>
      </c>
      <c r="V38" s="110"/>
      <c r="W38" s="110"/>
      <c r="X38" s="110"/>
      <c r="Y38" s="110"/>
      <c r="Z38" s="110"/>
      <c r="AA38" s="113"/>
      <c r="AB38" s="113"/>
      <c r="AC38" s="110"/>
      <c r="AD38" s="110"/>
      <c r="AE38" s="110"/>
      <c r="AF38" s="113"/>
      <c r="AG38" s="113"/>
      <c r="AH38" s="110">
        <v>1468764</v>
      </c>
      <c r="AI38" s="114">
        <v>1444800</v>
      </c>
      <c r="AJ38" s="114">
        <v>1300745</v>
      </c>
      <c r="AK38" s="111">
        <f t="shared" si="10"/>
        <v>0.9836842406268127</v>
      </c>
      <c r="AL38" s="111">
        <f t="shared" si="11"/>
        <v>0.88560517550811435</v>
      </c>
      <c r="AM38" s="114">
        <v>21553118</v>
      </c>
      <c r="AN38" s="114">
        <v>1813087</v>
      </c>
      <c r="AO38" s="114">
        <v>400533</v>
      </c>
      <c r="AP38" s="111">
        <f t="shared" si="12"/>
        <v>8.4121796206006016E-2</v>
      </c>
      <c r="AQ38" s="111">
        <f t="shared" si="13"/>
        <v>1.8583529306525393E-2</v>
      </c>
      <c r="AR38" s="110">
        <v>17327169</v>
      </c>
      <c r="AS38" s="114">
        <v>5763219</v>
      </c>
      <c r="AT38" s="114">
        <v>2730226</v>
      </c>
      <c r="AU38" s="111">
        <f t="shared" si="14"/>
        <v>0.33261169207733821</v>
      </c>
      <c r="AV38" s="111">
        <f t="shared" si="15"/>
        <v>0.15756907547909299</v>
      </c>
      <c r="AW38" s="115">
        <f t="shared" si="16"/>
        <v>40349051</v>
      </c>
      <c r="AX38" s="114">
        <f t="shared" ref="AX38:AY38" si="84">AI38+AN38+AS38</f>
        <v>9021106</v>
      </c>
      <c r="AY38" s="119">
        <f t="shared" si="84"/>
        <v>4431504</v>
      </c>
      <c r="AZ38" s="111">
        <f t="shared" si="18"/>
        <v>0.22357665859353174</v>
      </c>
      <c r="BA38" s="111">
        <f t="shared" si="19"/>
        <v>0.10982920019605913</v>
      </c>
      <c r="BB38" s="118">
        <f t="shared" si="24"/>
        <v>164733</v>
      </c>
      <c r="BC38" s="115"/>
      <c r="BD38" s="110"/>
      <c r="BE38" s="110"/>
      <c r="BF38" s="110"/>
      <c r="BG38" s="116"/>
      <c r="BH38" s="116"/>
      <c r="BI38" s="110"/>
      <c r="BJ38" s="110"/>
      <c r="BK38" s="117"/>
      <c r="BL38" s="113"/>
      <c r="BM38" s="113"/>
      <c r="BN38" s="113"/>
      <c r="BO38" s="113"/>
      <c r="BP38" s="118">
        <v>0</v>
      </c>
      <c r="BQ38" s="118">
        <v>0</v>
      </c>
      <c r="BR38" s="118">
        <v>0</v>
      </c>
      <c r="BS38" s="118">
        <v>0</v>
      </c>
    </row>
    <row r="39" spans="1:71" x14ac:dyDescent="0.25">
      <c r="A39" s="109">
        <v>44293</v>
      </c>
      <c r="B39" s="110">
        <v>112301</v>
      </c>
      <c r="C39" s="114">
        <v>122553</v>
      </c>
      <c r="D39" s="114">
        <v>106800</v>
      </c>
      <c r="E39" s="111">
        <f t="shared" si="0"/>
        <v>1.091290371412543</v>
      </c>
      <c r="F39" s="111">
        <f t="shared" si="1"/>
        <v>0.9510155742157238</v>
      </c>
      <c r="G39" s="110">
        <v>911631</v>
      </c>
      <c r="H39" s="114">
        <v>500370</v>
      </c>
      <c r="I39" s="114">
        <v>142698</v>
      </c>
      <c r="J39" s="112">
        <f t="shared" si="2"/>
        <v>0.54887339285302938</v>
      </c>
      <c r="K39" s="112">
        <f t="shared" si="3"/>
        <v>0.15653043830233943</v>
      </c>
      <c r="L39" s="110">
        <v>1976757</v>
      </c>
      <c r="M39" s="114">
        <v>813740</v>
      </c>
      <c r="N39" s="114">
        <v>369813</v>
      </c>
      <c r="O39" s="111">
        <f t="shared" si="4"/>
        <v>0.41165403739559286</v>
      </c>
      <c r="P39" s="111">
        <f t="shared" si="5"/>
        <v>0.18708065786538255</v>
      </c>
      <c r="Q39" s="110">
        <v>3000689</v>
      </c>
      <c r="R39" s="110">
        <f t="shared" ref="R39:S39" si="85">C39+H39+M39</f>
        <v>1436663</v>
      </c>
      <c r="S39" s="110">
        <f t="shared" si="85"/>
        <v>619311</v>
      </c>
      <c r="T39" s="113">
        <f t="shared" si="8"/>
        <v>0.47877770738653691</v>
      </c>
      <c r="U39" s="113">
        <f t="shared" si="9"/>
        <v>0.20638959918871966</v>
      </c>
      <c r="V39" s="110"/>
      <c r="W39" s="110"/>
      <c r="X39" s="110"/>
      <c r="Y39" s="110"/>
      <c r="Z39" s="110"/>
      <c r="AA39" s="113"/>
      <c r="AB39" s="113"/>
      <c r="AC39" s="110"/>
      <c r="AD39" s="110"/>
      <c r="AE39" s="110"/>
      <c r="AF39" s="113"/>
      <c r="AG39" s="113"/>
      <c r="AH39" s="110">
        <v>1468764</v>
      </c>
      <c r="AI39" s="114">
        <v>1445970</v>
      </c>
      <c r="AJ39" s="114">
        <v>1302596</v>
      </c>
      <c r="AK39" s="111">
        <f t="shared" si="10"/>
        <v>0.98448082877848309</v>
      </c>
      <c r="AL39" s="111">
        <f t="shared" si="11"/>
        <v>0.88686541881473124</v>
      </c>
      <c r="AM39" s="114">
        <v>21553118</v>
      </c>
      <c r="AN39" s="114">
        <v>1844923</v>
      </c>
      <c r="AO39" s="114">
        <v>439807</v>
      </c>
      <c r="AP39" s="111">
        <f t="shared" si="12"/>
        <v>8.5598891074599975E-2</v>
      </c>
      <c r="AQ39" s="111">
        <f t="shared" si="13"/>
        <v>2.0405725055650879E-2</v>
      </c>
      <c r="AR39" s="110">
        <v>17327169</v>
      </c>
      <c r="AS39" s="114">
        <v>5905406</v>
      </c>
      <c r="AT39" s="114">
        <v>2812292</v>
      </c>
      <c r="AU39" s="111">
        <f t="shared" si="14"/>
        <v>0.34081770657399368</v>
      </c>
      <c r="AV39" s="111">
        <f t="shared" si="15"/>
        <v>0.16230533678063624</v>
      </c>
      <c r="AW39" s="115">
        <f t="shared" si="16"/>
        <v>40349051</v>
      </c>
      <c r="AX39" s="114">
        <f t="shared" ref="AX39:AY39" si="86">AI39+AN39+AS39</f>
        <v>9196299</v>
      </c>
      <c r="AY39" s="119">
        <f t="shared" si="86"/>
        <v>4554695</v>
      </c>
      <c r="AZ39" s="111">
        <f t="shared" si="18"/>
        <v>0.22791859466533673</v>
      </c>
      <c r="BA39" s="111">
        <f t="shared" si="19"/>
        <v>0.11288233272202611</v>
      </c>
      <c r="BB39" s="118">
        <f t="shared" si="24"/>
        <v>175193</v>
      </c>
      <c r="BC39" s="115"/>
      <c r="BD39" s="110"/>
      <c r="BE39" s="110"/>
      <c r="BF39" s="110"/>
      <c r="BG39" s="116"/>
      <c r="BH39" s="116"/>
      <c r="BI39" s="110"/>
      <c r="BJ39" s="110"/>
      <c r="BK39" s="117"/>
      <c r="BL39" s="113"/>
      <c r="BM39" s="113"/>
      <c r="BN39" s="113"/>
      <c r="BO39" s="113"/>
      <c r="BP39" s="118">
        <v>0</v>
      </c>
      <c r="BQ39" s="118">
        <v>0</v>
      </c>
      <c r="BR39" s="118">
        <v>0</v>
      </c>
      <c r="BS39" s="118">
        <v>0</v>
      </c>
    </row>
    <row r="40" spans="1:71" x14ac:dyDescent="0.25">
      <c r="A40" s="109">
        <v>44294</v>
      </c>
      <c r="B40" s="110">
        <v>112301</v>
      </c>
      <c r="C40" s="114">
        <v>123061</v>
      </c>
      <c r="D40" s="114">
        <v>107175</v>
      </c>
      <c r="E40" s="111">
        <f t="shared" si="0"/>
        <v>1.0958139286382134</v>
      </c>
      <c r="F40" s="111">
        <f t="shared" si="1"/>
        <v>0.95435481429372848</v>
      </c>
      <c r="G40" s="110">
        <v>911631</v>
      </c>
      <c r="H40" s="114">
        <v>507667</v>
      </c>
      <c r="I40" s="114">
        <v>148824</v>
      </c>
      <c r="J40" s="112">
        <f t="shared" si="2"/>
        <v>0.55687772794036183</v>
      </c>
      <c r="K40" s="112">
        <f t="shared" si="3"/>
        <v>0.16325026244171162</v>
      </c>
      <c r="L40" s="110">
        <v>1976757</v>
      </c>
      <c r="M40" s="114">
        <v>844961</v>
      </c>
      <c r="N40" s="114">
        <v>388298</v>
      </c>
      <c r="O40" s="111">
        <f t="shared" si="4"/>
        <v>0.42744808795415928</v>
      </c>
      <c r="P40" s="111">
        <f t="shared" si="5"/>
        <v>0.19643183254188551</v>
      </c>
      <c r="Q40" s="110">
        <v>3000689</v>
      </c>
      <c r="R40" s="110">
        <f t="shared" ref="R40:S40" si="87">C40+H40+M40</f>
        <v>1475689</v>
      </c>
      <c r="S40" s="110">
        <f t="shared" si="87"/>
        <v>644297</v>
      </c>
      <c r="T40" s="113">
        <f t="shared" si="8"/>
        <v>0.49178338708210012</v>
      </c>
      <c r="U40" s="113">
        <f t="shared" si="9"/>
        <v>0.21471635347748466</v>
      </c>
      <c r="V40" s="110"/>
      <c r="W40" s="110"/>
      <c r="X40" s="110"/>
      <c r="Y40" s="110"/>
      <c r="Z40" s="110"/>
      <c r="AA40" s="113"/>
      <c r="AB40" s="113"/>
      <c r="AC40" s="110"/>
      <c r="AD40" s="110"/>
      <c r="AE40" s="110"/>
      <c r="AF40" s="113"/>
      <c r="AG40" s="113"/>
      <c r="AH40" s="110">
        <v>1468764</v>
      </c>
      <c r="AI40" s="114">
        <v>1447505</v>
      </c>
      <c r="AJ40" s="114">
        <v>1304661</v>
      </c>
      <c r="AK40" s="111">
        <f t="shared" si="10"/>
        <v>0.98552592519969173</v>
      </c>
      <c r="AL40" s="111">
        <f t="shared" si="11"/>
        <v>0.88827136286020081</v>
      </c>
      <c r="AM40" s="114">
        <v>21553118</v>
      </c>
      <c r="AN40" s="114">
        <v>1886623</v>
      </c>
      <c r="AO40" s="114">
        <v>461735</v>
      </c>
      <c r="AP40" s="111">
        <f t="shared" si="12"/>
        <v>8.7533645943941848E-2</v>
      </c>
      <c r="AQ40" s="111">
        <f t="shared" si="13"/>
        <v>2.1423118455529265E-2</v>
      </c>
      <c r="AR40" s="110">
        <v>17327169</v>
      </c>
      <c r="AS40" s="114">
        <v>6039462</v>
      </c>
      <c r="AT40" s="114">
        <v>2931000</v>
      </c>
      <c r="AU40" s="111">
        <f t="shared" si="14"/>
        <v>0.34855445803062229</v>
      </c>
      <c r="AV40" s="111">
        <f t="shared" si="15"/>
        <v>0.16915631168600018</v>
      </c>
      <c r="AW40" s="115">
        <f t="shared" si="16"/>
        <v>40349051</v>
      </c>
      <c r="AX40" s="114">
        <f t="shared" ref="AX40:AY40" si="88">AI40+AN40+AS40</f>
        <v>9373590</v>
      </c>
      <c r="AY40" s="119">
        <f t="shared" si="88"/>
        <v>4697396</v>
      </c>
      <c r="AZ40" s="111">
        <f t="shared" si="18"/>
        <v>0.2323125270034232</v>
      </c>
      <c r="BA40" s="111">
        <f t="shared" si="19"/>
        <v>0.11641899582718811</v>
      </c>
      <c r="BB40" s="118">
        <f t="shared" si="24"/>
        <v>177291</v>
      </c>
      <c r="BC40" s="115"/>
      <c r="BD40" s="110"/>
      <c r="BE40" s="110"/>
      <c r="BF40" s="110"/>
      <c r="BG40" s="116"/>
      <c r="BH40" s="116"/>
      <c r="BI40" s="110"/>
      <c r="BJ40" s="110"/>
      <c r="BK40" s="117"/>
      <c r="BL40" s="113"/>
      <c r="BM40" s="113"/>
      <c r="BN40" s="113"/>
      <c r="BO40" s="113"/>
      <c r="BP40" s="118">
        <v>0</v>
      </c>
      <c r="BQ40" s="118">
        <v>0</v>
      </c>
      <c r="BR40" s="118">
        <v>0</v>
      </c>
      <c r="BS40" s="118">
        <v>0</v>
      </c>
    </row>
    <row r="41" spans="1:71" x14ac:dyDescent="0.25">
      <c r="A41" s="109">
        <v>44295</v>
      </c>
      <c r="B41" s="110">
        <v>112301</v>
      </c>
      <c r="C41" s="114">
        <v>123387</v>
      </c>
      <c r="D41" s="114">
        <v>107509</v>
      </c>
      <c r="E41" s="111">
        <f t="shared" si="0"/>
        <v>1.0987168413460253</v>
      </c>
      <c r="F41" s="111">
        <f t="shared" si="1"/>
        <v>0.95732896412320456</v>
      </c>
      <c r="G41" s="110">
        <v>911631</v>
      </c>
      <c r="H41" s="114">
        <v>516816</v>
      </c>
      <c r="I41" s="114">
        <v>166705</v>
      </c>
      <c r="J41" s="112">
        <f t="shared" si="2"/>
        <v>0.56691358674726944</v>
      </c>
      <c r="K41" s="112">
        <f t="shared" si="3"/>
        <v>0.18286455813810631</v>
      </c>
      <c r="L41" s="110">
        <v>1976757</v>
      </c>
      <c r="M41" s="114">
        <v>866503</v>
      </c>
      <c r="N41" s="114">
        <v>402918</v>
      </c>
      <c r="O41" s="111">
        <f t="shared" si="4"/>
        <v>0.43834573495882395</v>
      </c>
      <c r="P41" s="111">
        <f t="shared" si="5"/>
        <v>0.20382778459871395</v>
      </c>
      <c r="Q41" s="110">
        <v>3000689</v>
      </c>
      <c r="R41" s="110">
        <f t="shared" ref="R41:S41" si="89">C41+H41+M41</f>
        <v>1506706</v>
      </c>
      <c r="S41" s="110">
        <f t="shared" si="89"/>
        <v>677132</v>
      </c>
      <c r="T41" s="113">
        <f t="shared" si="8"/>
        <v>0.50212001310365717</v>
      </c>
      <c r="U41" s="113">
        <f t="shared" si="9"/>
        <v>0.22565884035299894</v>
      </c>
      <c r="V41" s="110"/>
      <c r="W41" s="110"/>
      <c r="X41" s="110"/>
      <c r="Y41" s="110"/>
      <c r="Z41" s="110"/>
      <c r="AA41" s="113"/>
      <c r="AB41" s="113"/>
      <c r="AC41" s="110"/>
      <c r="AD41" s="110"/>
      <c r="AE41" s="110"/>
      <c r="AF41" s="113"/>
      <c r="AG41" s="113"/>
      <c r="AH41" s="110">
        <v>1468764</v>
      </c>
      <c r="AI41" s="114">
        <v>1451679</v>
      </c>
      <c r="AJ41" s="114">
        <v>1309418</v>
      </c>
      <c r="AK41" s="111">
        <f t="shared" si="10"/>
        <v>0.98836777045189017</v>
      </c>
      <c r="AL41" s="111">
        <f t="shared" si="11"/>
        <v>0.89151014049908628</v>
      </c>
      <c r="AM41" s="114">
        <v>21553118</v>
      </c>
      <c r="AN41" s="114">
        <v>1970580</v>
      </c>
      <c r="AO41" s="114">
        <v>541811</v>
      </c>
      <c r="AP41" s="111">
        <f t="shared" si="12"/>
        <v>9.1428998811216092E-2</v>
      </c>
      <c r="AQ41" s="111">
        <f t="shared" si="13"/>
        <v>2.513840456865684E-2</v>
      </c>
      <c r="AR41" s="110">
        <v>17327169</v>
      </c>
      <c r="AS41" s="114">
        <v>6386485</v>
      </c>
      <c r="AT41" s="114">
        <v>3100990</v>
      </c>
      <c r="AU41" s="111">
        <f t="shared" si="14"/>
        <v>0.36858213825928515</v>
      </c>
      <c r="AV41" s="111">
        <f t="shared" si="15"/>
        <v>0.17896691606112919</v>
      </c>
      <c r="AW41" s="115">
        <f t="shared" si="16"/>
        <v>40349051</v>
      </c>
      <c r="AX41" s="114">
        <f t="shared" ref="AX41:AY41" si="90">AI41+AN41+AS41</f>
        <v>9808744</v>
      </c>
      <c r="AY41" s="119">
        <f t="shared" si="90"/>
        <v>4952219</v>
      </c>
      <c r="AZ41" s="111">
        <f t="shared" si="18"/>
        <v>0.2430972664016311</v>
      </c>
      <c r="BA41" s="111">
        <f t="shared" si="19"/>
        <v>0.12273446034703518</v>
      </c>
      <c r="BB41" s="118">
        <f t="shared" si="24"/>
        <v>435154</v>
      </c>
      <c r="BC41" s="115"/>
      <c r="BD41" s="110"/>
      <c r="BE41" s="110"/>
      <c r="BF41" s="110"/>
      <c r="BG41" s="116"/>
      <c r="BH41" s="116"/>
      <c r="BI41" s="110"/>
      <c r="BJ41" s="110"/>
      <c r="BK41" s="117"/>
      <c r="BL41" s="113"/>
      <c r="BM41" s="113"/>
      <c r="BN41" s="113"/>
      <c r="BO41" s="113"/>
      <c r="BP41" s="118">
        <v>0</v>
      </c>
      <c r="BQ41" s="118">
        <v>0</v>
      </c>
      <c r="BR41" s="118">
        <v>0</v>
      </c>
      <c r="BS41" s="118">
        <v>0</v>
      </c>
    </row>
    <row r="42" spans="1:71" x14ac:dyDescent="0.25">
      <c r="A42" s="109">
        <v>44296</v>
      </c>
      <c r="B42" s="110">
        <v>112301</v>
      </c>
      <c r="C42" s="114">
        <v>123474</v>
      </c>
      <c r="D42" s="114">
        <v>107573</v>
      </c>
      <c r="E42" s="111">
        <f t="shared" si="0"/>
        <v>1.0994915450441225</v>
      </c>
      <c r="F42" s="111">
        <f t="shared" si="1"/>
        <v>0.95789886109651734</v>
      </c>
      <c r="G42" s="110">
        <v>911631</v>
      </c>
      <c r="H42" s="114">
        <v>523861</v>
      </c>
      <c r="I42" s="114">
        <v>173234</v>
      </c>
      <c r="J42" s="112">
        <f t="shared" si="2"/>
        <v>0.57464149420105282</v>
      </c>
      <c r="K42" s="112">
        <f t="shared" si="3"/>
        <v>0.19002644710414632</v>
      </c>
      <c r="L42" s="110">
        <v>1976757</v>
      </c>
      <c r="M42" s="114">
        <v>880884</v>
      </c>
      <c r="N42" s="114">
        <v>406805</v>
      </c>
      <c r="O42" s="111">
        <f t="shared" si="4"/>
        <v>0.44562078191704896</v>
      </c>
      <c r="P42" s="111">
        <f t="shared" si="5"/>
        <v>0.20579413655800891</v>
      </c>
      <c r="Q42" s="110">
        <v>3000689</v>
      </c>
      <c r="R42" s="110">
        <f t="shared" ref="R42:S42" si="91">C42+H42+M42</f>
        <v>1528219</v>
      </c>
      <c r="S42" s="110">
        <f t="shared" si="91"/>
        <v>687612</v>
      </c>
      <c r="T42" s="113">
        <f t="shared" si="8"/>
        <v>0.50928936654215085</v>
      </c>
      <c r="U42" s="113">
        <f t="shared" si="9"/>
        <v>0.22915137156832982</v>
      </c>
      <c r="V42" s="110"/>
      <c r="W42" s="110"/>
      <c r="X42" s="110"/>
      <c r="Y42" s="110"/>
      <c r="Z42" s="110"/>
      <c r="AA42" s="113"/>
      <c r="AB42" s="113"/>
      <c r="AC42" s="110"/>
      <c r="AD42" s="110"/>
      <c r="AE42" s="110"/>
      <c r="AF42" s="113"/>
      <c r="AG42" s="113"/>
      <c r="AH42" s="110">
        <v>1468764</v>
      </c>
      <c r="AI42" s="114">
        <v>1453325</v>
      </c>
      <c r="AJ42" s="114">
        <v>1310929</v>
      </c>
      <c r="AK42" s="111">
        <f t="shared" si="10"/>
        <v>0.98948844062082131</v>
      </c>
      <c r="AL42" s="111">
        <f t="shared" si="11"/>
        <v>0.892538896650517</v>
      </c>
      <c r="AM42" s="114">
        <v>21553118</v>
      </c>
      <c r="AN42" s="114">
        <v>2019832</v>
      </c>
      <c r="AO42" s="114">
        <v>588340</v>
      </c>
      <c r="AP42" s="111">
        <f t="shared" si="12"/>
        <v>9.3714143819005682E-2</v>
      </c>
      <c r="AQ42" s="111">
        <f t="shared" si="13"/>
        <v>2.7297210547448401E-2</v>
      </c>
      <c r="AR42" s="110">
        <v>17327169</v>
      </c>
      <c r="AS42" s="114">
        <v>6529170</v>
      </c>
      <c r="AT42" s="114">
        <v>3179779</v>
      </c>
      <c r="AU42" s="111">
        <f t="shared" si="14"/>
        <v>0.37681689374646254</v>
      </c>
      <c r="AV42" s="111">
        <f t="shared" si="15"/>
        <v>0.18351405241098531</v>
      </c>
      <c r="AW42" s="115">
        <f t="shared" si="16"/>
        <v>40349051</v>
      </c>
      <c r="AX42" s="114">
        <f t="shared" ref="AX42:AY42" si="92">AI42+AN42+AS42</f>
        <v>10002327</v>
      </c>
      <c r="AY42" s="119">
        <f t="shared" si="92"/>
        <v>5079048</v>
      </c>
      <c r="AZ42" s="111">
        <f t="shared" si="18"/>
        <v>0.24789497527463533</v>
      </c>
      <c r="BA42" s="111">
        <f t="shared" si="19"/>
        <v>0.12587775608402785</v>
      </c>
      <c r="BB42" s="118">
        <f t="shared" si="24"/>
        <v>193583</v>
      </c>
      <c r="BC42" s="115"/>
      <c r="BD42" s="110"/>
      <c r="BE42" s="110"/>
      <c r="BF42" s="110"/>
      <c r="BG42" s="116"/>
      <c r="BH42" s="116"/>
      <c r="BI42" s="110"/>
      <c r="BJ42" s="110"/>
      <c r="BK42" s="117"/>
      <c r="BL42" s="113"/>
      <c r="BM42" s="113"/>
      <c r="BN42" s="113"/>
      <c r="BO42" s="113"/>
      <c r="BP42" s="118">
        <v>0</v>
      </c>
      <c r="BQ42" s="118">
        <v>0</v>
      </c>
      <c r="BR42" s="118">
        <v>0</v>
      </c>
      <c r="BS42" s="118">
        <v>0</v>
      </c>
    </row>
    <row r="43" spans="1:71" x14ac:dyDescent="0.25">
      <c r="A43" s="109">
        <v>44297</v>
      </c>
      <c r="B43" s="110">
        <v>112301</v>
      </c>
      <c r="C43" s="114">
        <v>123485</v>
      </c>
      <c r="D43" s="114">
        <v>107583</v>
      </c>
      <c r="E43" s="111">
        <f t="shared" si="0"/>
        <v>1.0995894960864105</v>
      </c>
      <c r="F43" s="111">
        <f t="shared" si="1"/>
        <v>0.95798790749859752</v>
      </c>
      <c r="G43" s="110">
        <v>911631</v>
      </c>
      <c r="H43" s="114">
        <v>526687</v>
      </c>
      <c r="I43" s="114">
        <v>177883</v>
      </c>
      <c r="J43" s="112">
        <f t="shared" si="2"/>
        <v>0.57774143266299627</v>
      </c>
      <c r="K43" s="112">
        <f t="shared" si="3"/>
        <v>0.1951260981691057</v>
      </c>
      <c r="L43" s="110">
        <v>1976757</v>
      </c>
      <c r="M43" s="114">
        <v>887215</v>
      </c>
      <c r="N43" s="114">
        <v>412014</v>
      </c>
      <c r="O43" s="111">
        <f t="shared" si="4"/>
        <v>0.44882350233235546</v>
      </c>
      <c r="P43" s="111">
        <f t="shared" si="5"/>
        <v>0.20842926065267506</v>
      </c>
      <c r="Q43" s="110">
        <v>3000689</v>
      </c>
      <c r="R43" s="110">
        <f t="shared" ref="R43:S43" si="93">C43+H43+M43</f>
        <v>1537387</v>
      </c>
      <c r="S43" s="110">
        <f t="shared" si="93"/>
        <v>697480</v>
      </c>
      <c r="T43" s="113">
        <f t="shared" si="8"/>
        <v>0.51234466484197461</v>
      </c>
      <c r="U43" s="113">
        <f t="shared" si="9"/>
        <v>0.2324399496249028</v>
      </c>
      <c r="V43" s="110"/>
      <c r="W43" s="110"/>
      <c r="X43" s="110"/>
      <c r="Y43" s="110"/>
      <c r="Z43" s="110"/>
      <c r="AA43" s="113"/>
      <c r="AB43" s="113"/>
      <c r="AC43" s="110"/>
      <c r="AD43" s="110"/>
      <c r="AE43" s="110"/>
      <c r="AF43" s="113"/>
      <c r="AG43" s="113"/>
      <c r="AH43" s="110">
        <v>1468764</v>
      </c>
      <c r="AI43" s="114">
        <v>1453701</v>
      </c>
      <c r="AJ43" s="114">
        <v>1311259</v>
      </c>
      <c r="AK43" s="111">
        <f t="shared" si="10"/>
        <v>0.98974443818067437</v>
      </c>
      <c r="AL43" s="111">
        <f t="shared" si="11"/>
        <v>0.89276357535996254</v>
      </c>
      <c r="AM43" s="114">
        <v>21553118</v>
      </c>
      <c r="AN43" s="114">
        <v>2030311</v>
      </c>
      <c r="AO43" s="114">
        <v>597464</v>
      </c>
      <c r="AP43" s="111">
        <f t="shared" si="12"/>
        <v>9.420033797430144E-2</v>
      </c>
      <c r="AQ43" s="111">
        <f t="shared" si="13"/>
        <v>2.7720536768740374E-2</v>
      </c>
      <c r="AR43" s="110">
        <v>17327169</v>
      </c>
      <c r="AS43" s="114">
        <v>6564802</v>
      </c>
      <c r="AT43" s="114">
        <v>3193198</v>
      </c>
      <c r="AU43" s="111">
        <f t="shared" si="14"/>
        <v>0.37887331738958624</v>
      </c>
      <c r="AV43" s="111">
        <f t="shared" si="15"/>
        <v>0.18428850090860197</v>
      </c>
      <c r="AW43" s="115">
        <f t="shared" si="16"/>
        <v>40349051</v>
      </c>
      <c r="AX43" s="114">
        <f t="shared" ref="AX43:AY43" si="94">AI43+AN43+AS43</f>
        <v>10048814</v>
      </c>
      <c r="AY43" s="119">
        <f t="shared" si="94"/>
        <v>5101921</v>
      </c>
      <c r="AZ43" s="111">
        <f t="shared" si="18"/>
        <v>0.24904709654757431</v>
      </c>
      <c r="BA43" s="111">
        <f t="shared" si="19"/>
        <v>0.12644463434840139</v>
      </c>
      <c r="BB43" s="118">
        <f t="shared" si="24"/>
        <v>46487</v>
      </c>
      <c r="BC43" s="115"/>
      <c r="BD43" s="110"/>
      <c r="BE43" s="110"/>
      <c r="BF43" s="110"/>
      <c r="BG43" s="116"/>
      <c r="BH43" s="116"/>
      <c r="BI43" s="110"/>
      <c r="BJ43" s="110"/>
      <c r="BK43" s="117"/>
      <c r="BL43" s="113"/>
      <c r="BM43" s="113"/>
      <c r="BN43" s="113"/>
      <c r="BO43" s="113"/>
      <c r="BP43" s="118">
        <v>0</v>
      </c>
      <c r="BQ43" s="118">
        <v>0</v>
      </c>
      <c r="BR43" s="118">
        <v>0</v>
      </c>
      <c r="BS43" s="118">
        <v>0</v>
      </c>
    </row>
    <row r="44" spans="1:71" x14ac:dyDescent="0.25">
      <c r="A44" s="109">
        <v>44298</v>
      </c>
      <c r="B44" s="110">
        <v>112301</v>
      </c>
      <c r="C44" s="114">
        <v>123958</v>
      </c>
      <c r="D44" s="114">
        <v>107968</v>
      </c>
      <c r="E44" s="111">
        <f t="shared" si="0"/>
        <v>1.1038013909048006</v>
      </c>
      <c r="F44" s="111">
        <f t="shared" si="1"/>
        <v>0.96141619397868228</v>
      </c>
      <c r="G44" s="110">
        <v>911631</v>
      </c>
      <c r="H44" s="114">
        <v>537125</v>
      </c>
      <c r="I44" s="114">
        <v>196464</v>
      </c>
      <c r="J44" s="112">
        <f t="shared" si="2"/>
        <v>0.5891912407542087</v>
      </c>
      <c r="K44" s="112">
        <f t="shared" si="3"/>
        <v>0.21550824840313679</v>
      </c>
      <c r="L44" s="110">
        <v>1976757</v>
      </c>
      <c r="M44" s="114">
        <v>907936</v>
      </c>
      <c r="N44" s="114">
        <v>424562</v>
      </c>
      <c r="O44" s="111">
        <f t="shared" si="4"/>
        <v>0.45930582261754987</v>
      </c>
      <c r="P44" s="111">
        <f t="shared" si="5"/>
        <v>0.21477703126889142</v>
      </c>
      <c r="Q44" s="110">
        <v>3000689</v>
      </c>
      <c r="R44" s="110">
        <f t="shared" ref="R44:S44" si="95">C44+H44+M44</f>
        <v>1569019</v>
      </c>
      <c r="S44" s="110">
        <f t="shared" si="95"/>
        <v>728994</v>
      </c>
      <c r="T44" s="113">
        <f t="shared" si="8"/>
        <v>0.52288624379267556</v>
      </c>
      <c r="U44" s="113">
        <f t="shared" si="9"/>
        <v>0.24294220427375179</v>
      </c>
      <c r="V44" s="110"/>
      <c r="W44" s="110"/>
      <c r="X44" s="110"/>
      <c r="Y44" s="110"/>
      <c r="Z44" s="110"/>
      <c r="AA44" s="113"/>
      <c r="AB44" s="113"/>
      <c r="AC44" s="110"/>
      <c r="AD44" s="110"/>
      <c r="AE44" s="110"/>
      <c r="AF44" s="113"/>
      <c r="AG44" s="113"/>
      <c r="AH44" s="110">
        <v>1468764</v>
      </c>
      <c r="AI44" s="114">
        <v>1455949</v>
      </c>
      <c r="AJ44" s="114">
        <v>1314396</v>
      </c>
      <c r="AK44" s="111">
        <f t="shared" si="10"/>
        <v>0.99127497678319998</v>
      </c>
      <c r="AL44" s="111">
        <f t="shared" si="11"/>
        <v>0.8948993847888429</v>
      </c>
      <c r="AM44" s="114">
        <v>21553118</v>
      </c>
      <c r="AN44" s="114">
        <v>2088158</v>
      </c>
      <c r="AO44" s="114">
        <v>672035</v>
      </c>
      <c r="AP44" s="111">
        <f t="shared" si="12"/>
        <v>9.6884265190771937E-2</v>
      </c>
      <c r="AQ44" s="111">
        <f t="shared" si="13"/>
        <v>3.1180407400915263E-2</v>
      </c>
      <c r="AR44" s="110">
        <v>17327169</v>
      </c>
      <c r="AS44" s="114">
        <v>6735239</v>
      </c>
      <c r="AT44" s="114">
        <v>3336070</v>
      </c>
      <c r="AU44" s="111">
        <f t="shared" si="14"/>
        <v>0.38870971940078614</v>
      </c>
      <c r="AV44" s="111">
        <f t="shared" si="15"/>
        <v>0.19253404869543317</v>
      </c>
      <c r="AW44" s="115">
        <f t="shared" si="16"/>
        <v>40349051</v>
      </c>
      <c r="AX44" s="114">
        <f t="shared" ref="AX44:AY44" si="96">AI44+AN44+AS44</f>
        <v>10279346</v>
      </c>
      <c r="AY44" s="119">
        <f t="shared" si="96"/>
        <v>5322501</v>
      </c>
      <c r="AZ44" s="111">
        <f t="shared" si="18"/>
        <v>0.25476053947340671</v>
      </c>
      <c r="BA44" s="111">
        <f t="shared" si="19"/>
        <v>0.13191142958975666</v>
      </c>
      <c r="BB44" s="118">
        <f t="shared" si="24"/>
        <v>230532</v>
      </c>
      <c r="BC44" s="115"/>
      <c r="BD44" s="110"/>
      <c r="BE44" s="110"/>
      <c r="BF44" s="110"/>
      <c r="BG44" s="116"/>
      <c r="BH44" s="116"/>
      <c r="BI44" s="110"/>
      <c r="BJ44" s="110"/>
      <c r="BK44" s="117"/>
      <c r="BL44" s="113"/>
      <c r="BM44" s="113"/>
      <c r="BN44" s="113"/>
      <c r="BO44" s="113"/>
      <c r="BP44" s="118">
        <v>0</v>
      </c>
      <c r="BQ44" s="118">
        <v>0</v>
      </c>
      <c r="BR44" s="118">
        <v>0</v>
      </c>
      <c r="BS44" s="118">
        <v>0</v>
      </c>
    </row>
    <row r="45" spans="1:71" x14ac:dyDescent="0.25">
      <c r="A45" s="109">
        <v>44299</v>
      </c>
      <c r="B45" s="110">
        <v>112301</v>
      </c>
      <c r="C45" s="114">
        <v>124255</v>
      </c>
      <c r="D45" s="114">
        <v>108205</v>
      </c>
      <c r="E45" s="111">
        <f t="shared" si="0"/>
        <v>1.1064460690465803</v>
      </c>
      <c r="F45" s="111">
        <f t="shared" si="1"/>
        <v>0.96352659370798122</v>
      </c>
      <c r="G45" s="110">
        <v>911631</v>
      </c>
      <c r="H45" s="114">
        <v>540904</v>
      </c>
      <c r="I45" s="114">
        <v>210810</v>
      </c>
      <c r="J45" s="112">
        <f t="shared" si="2"/>
        <v>0.59333655832239141</v>
      </c>
      <c r="K45" s="112">
        <f t="shared" si="3"/>
        <v>0.23124487868446772</v>
      </c>
      <c r="L45" s="110">
        <v>1976757</v>
      </c>
      <c r="M45" s="114">
        <v>918905</v>
      </c>
      <c r="N45" s="114">
        <v>430157</v>
      </c>
      <c r="O45" s="111">
        <f t="shared" si="4"/>
        <v>0.46485481017646579</v>
      </c>
      <c r="P45" s="111">
        <f t="shared" si="5"/>
        <v>0.2176074246859882</v>
      </c>
      <c r="Q45" s="110">
        <v>3000689</v>
      </c>
      <c r="R45" s="110">
        <f t="shared" ref="R45:S45" si="97">C45+H45+M45</f>
        <v>1584064</v>
      </c>
      <c r="S45" s="110">
        <f t="shared" si="97"/>
        <v>749172</v>
      </c>
      <c r="T45" s="113">
        <f t="shared" si="8"/>
        <v>0.52790009227880663</v>
      </c>
      <c r="U45" s="113">
        <f t="shared" si="9"/>
        <v>0.24966665989044515</v>
      </c>
      <c r="V45" s="110"/>
      <c r="W45" s="110"/>
      <c r="X45" s="110"/>
      <c r="Y45" s="110"/>
      <c r="Z45" s="110"/>
      <c r="AA45" s="113"/>
      <c r="AB45" s="113"/>
      <c r="AC45" s="110"/>
      <c r="AD45" s="110"/>
      <c r="AE45" s="110"/>
      <c r="AF45" s="113"/>
      <c r="AG45" s="113"/>
      <c r="AH45" s="110">
        <v>1468764</v>
      </c>
      <c r="AI45" s="114">
        <v>1457405</v>
      </c>
      <c r="AJ45" s="114">
        <v>1316347</v>
      </c>
      <c r="AK45" s="111">
        <f t="shared" si="10"/>
        <v>0.99226628648305648</v>
      </c>
      <c r="AL45" s="111">
        <f t="shared" si="11"/>
        <v>0.89622771255286759</v>
      </c>
      <c r="AM45" s="114">
        <v>21553118</v>
      </c>
      <c r="AN45" s="114">
        <v>2108512</v>
      </c>
      <c r="AO45" s="114">
        <v>722410</v>
      </c>
      <c r="AP45" s="111">
        <f t="shared" si="12"/>
        <v>9.7828629713807527E-2</v>
      </c>
      <c r="AQ45" s="111">
        <f t="shared" si="13"/>
        <v>3.3517656238879222E-2</v>
      </c>
      <c r="AR45" s="110">
        <v>17327169</v>
      </c>
      <c r="AS45" s="114">
        <v>6811090</v>
      </c>
      <c r="AT45" s="114">
        <v>3394098</v>
      </c>
      <c r="AU45" s="111">
        <f t="shared" si="14"/>
        <v>0.39308729544912963</v>
      </c>
      <c r="AV45" s="111">
        <f t="shared" si="15"/>
        <v>0.19588300893238819</v>
      </c>
      <c r="AW45" s="115">
        <f t="shared" si="16"/>
        <v>40349051</v>
      </c>
      <c r="AX45" s="114">
        <f t="shared" ref="AX45:AY45" si="98">AI45+AN45+AS45</f>
        <v>10377007</v>
      </c>
      <c r="AY45" s="119">
        <f t="shared" si="98"/>
        <v>5432855</v>
      </c>
      <c r="AZ45" s="111">
        <f t="shared" si="18"/>
        <v>0.2571809433634511</v>
      </c>
      <c r="BA45" s="111">
        <f t="shared" si="19"/>
        <v>0.13464641336917688</v>
      </c>
      <c r="BB45" s="118">
        <f t="shared" si="24"/>
        <v>97661</v>
      </c>
      <c r="BC45" s="115"/>
      <c r="BD45" s="110"/>
      <c r="BE45" s="110"/>
      <c r="BF45" s="110"/>
      <c r="BG45" s="116"/>
      <c r="BH45" s="116"/>
      <c r="BI45" s="110"/>
      <c r="BJ45" s="110"/>
      <c r="BK45" s="117"/>
      <c r="BL45" s="113"/>
      <c r="BM45" s="113"/>
      <c r="BN45" s="113"/>
      <c r="BO45" s="113"/>
      <c r="BP45" s="118">
        <v>0</v>
      </c>
      <c r="BQ45" s="118">
        <v>0</v>
      </c>
      <c r="BR45" s="118">
        <v>0</v>
      </c>
      <c r="BS45" s="118">
        <v>0</v>
      </c>
    </row>
    <row r="46" spans="1:71" x14ac:dyDescent="0.25">
      <c r="A46" s="109">
        <v>44300</v>
      </c>
      <c r="B46" s="110">
        <v>112301</v>
      </c>
      <c r="C46" s="114">
        <v>124484</v>
      </c>
      <c r="D46" s="114">
        <v>108418</v>
      </c>
      <c r="E46" s="111">
        <f t="shared" si="0"/>
        <v>1.1084852316542151</v>
      </c>
      <c r="F46" s="111">
        <f t="shared" si="1"/>
        <v>0.96542328207228789</v>
      </c>
      <c r="G46" s="110">
        <v>911631</v>
      </c>
      <c r="H46" s="114">
        <v>543256</v>
      </c>
      <c r="I46" s="114">
        <v>231255</v>
      </c>
      <c r="J46" s="112">
        <f t="shared" si="2"/>
        <v>0.59591654956884965</v>
      </c>
      <c r="K46" s="112">
        <f t="shared" si="3"/>
        <v>0.25367171585871917</v>
      </c>
      <c r="L46" s="110">
        <v>1976757</v>
      </c>
      <c r="M46" s="114">
        <v>930601</v>
      </c>
      <c r="N46" s="114">
        <v>443508</v>
      </c>
      <c r="O46" s="111">
        <f t="shared" si="4"/>
        <v>0.47077157182192853</v>
      </c>
      <c r="P46" s="111">
        <f t="shared" si="5"/>
        <v>0.22436141619834912</v>
      </c>
      <c r="Q46" s="110">
        <v>3000689</v>
      </c>
      <c r="R46" s="110">
        <f t="shared" ref="R46:S46" si="99">C46+H46+M46</f>
        <v>1598341</v>
      </c>
      <c r="S46" s="110">
        <f t="shared" si="99"/>
        <v>783181</v>
      </c>
      <c r="T46" s="113">
        <f t="shared" si="8"/>
        <v>0.53265799954610427</v>
      </c>
      <c r="U46" s="113">
        <f t="shared" si="9"/>
        <v>0.26100039024370736</v>
      </c>
      <c r="V46" s="110"/>
      <c r="W46" s="110"/>
      <c r="X46" s="110"/>
      <c r="Y46" s="110"/>
      <c r="Z46" s="110"/>
      <c r="AA46" s="113"/>
      <c r="AB46" s="113"/>
      <c r="AC46" s="110"/>
      <c r="AD46" s="110"/>
      <c r="AE46" s="110"/>
      <c r="AF46" s="113"/>
      <c r="AG46" s="113"/>
      <c r="AH46" s="110">
        <v>1468764</v>
      </c>
      <c r="AI46" s="114">
        <v>1459169</v>
      </c>
      <c r="AJ46" s="114">
        <v>1318528</v>
      </c>
      <c r="AK46" s="111">
        <f t="shared" si="10"/>
        <v>0.99346729631172881</v>
      </c>
      <c r="AL46" s="111">
        <f t="shared" si="11"/>
        <v>0.89771263456893002</v>
      </c>
      <c r="AM46" s="114">
        <v>21553118</v>
      </c>
      <c r="AN46" s="114">
        <v>2131067</v>
      </c>
      <c r="AO46" s="114">
        <v>781975</v>
      </c>
      <c r="AP46" s="111">
        <f t="shared" si="12"/>
        <v>9.8875114032224945E-2</v>
      </c>
      <c r="AQ46" s="111">
        <f t="shared" si="13"/>
        <v>3.6281293500086624E-2</v>
      </c>
      <c r="AR46" s="110">
        <v>17327169</v>
      </c>
      <c r="AS46" s="114">
        <v>6890942</v>
      </c>
      <c r="AT46" s="114">
        <v>3472356</v>
      </c>
      <c r="AU46" s="111">
        <f t="shared" si="14"/>
        <v>0.39769578053979848</v>
      </c>
      <c r="AV46" s="111">
        <f t="shared" si="15"/>
        <v>0.20039949976825411</v>
      </c>
      <c r="AW46" s="115">
        <f t="shared" si="16"/>
        <v>40349051</v>
      </c>
      <c r="AX46" s="114">
        <f t="shared" ref="AX46:AY46" si="100">AI46+AN46+AS46</f>
        <v>10481178</v>
      </c>
      <c r="AY46" s="119">
        <f t="shared" si="100"/>
        <v>5572859</v>
      </c>
      <c r="AZ46" s="111">
        <f t="shared" si="18"/>
        <v>0.25976268933809621</v>
      </c>
      <c r="BA46" s="111">
        <f t="shared" si="19"/>
        <v>0.13811623475357573</v>
      </c>
      <c r="BB46" s="118">
        <f t="shared" si="24"/>
        <v>104171</v>
      </c>
      <c r="BC46" s="115"/>
      <c r="BD46" s="110"/>
      <c r="BE46" s="110"/>
      <c r="BF46" s="110"/>
      <c r="BG46" s="116"/>
      <c r="BH46" s="116"/>
      <c r="BI46" s="110"/>
      <c r="BJ46" s="110"/>
      <c r="BK46" s="117"/>
      <c r="BL46" s="113"/>
      <c r="BM46" s="113"/>
      <c r="BN46" s="113"/>
      <c r="BO46" s="113"/>
      <c r="BP46" s="118">
        <v>0</v>
      </c>
      <c r="BQ46" s="118">
        <v>0</v>
      </c>
      <c r="BR46" s="118">
        <v>0</v>
      </c>
      <c r="BS46" s="118">
        <v>0</v>
      </c>
    </row>
    <row r="47" spans="1:71" x14ac:dyDescent="0.25">
      <c r="A47" s="109">
        <v>44301</v>
      </c>
      <c r="B47" s="110">
        <v>112301</v>
      </c>
      <c r="C47" s="114">
        <v>124755</v>
      </c>
      <c r="D47" s="114">
        <v>108761</v>
      </c>
      <c r="E47" s="111">
        <f t="shared" si="0"/>
        <v>1.1108983891505864</v>
      </c>
      <c r="F47" s="111">
        <f t="shared" si="1"/>
        <v>0.96847757366363607</v>
      </c>
      <c r="G47" s="110">
        <v>911631</v>
      </c>
      <c r="H47" s="114">
        <v>545822</v>
      </c>
      <c r="I47" s="114">
        <v>252371</v>
      </c>
      <c r="J47" s="112">
        <f t="shared" si="2"/>
        <v>0.59873128491681393</v>
      </c>
      <c r="K47" s="112">
        <f t="shared" si="3"/>
        <v>0.27683459645404773</v>
      </c>
      <c r="L47" s="110">
        <v>1976757</v>
      </c>
      <c r="M47" s="114">
        <v>944880</v>
      </c>
      <c r="N47" s="114">
        <v>452555</v>
      </c>
      <c r="O47" s="111">
        <f t="shared" si="4"/>
        <v>0.47799501911464082</v>
      </c>
      <c r="P47" s="111">
        <f t="shared" si="5"/>
        <v>0.22893810417770116</v>
      </c>
      <c r="Q47" s="110">
        <v>3000689</v>
      </c>
      <c r="R47" s="110">
        <f t="shared" ref="R47:S47" si="101">C47+H47+M47</f>
        <v>1615457</v>
      </c>
      <c r="S47" s="110">
        <f t="shared" si="101"/>
        <v>813687</v>
      </c>
      <c r="T47" s="113">
        <f t="shared" si="8"/>
        <v>0.53836202285541757</v>
      </c>
      <c r="U47" s="113">
        <f t="shared" si="9"/>
        <v>0.27116672204283748</v>
      </c>
      <c r="V47" s="110"/>
      <c r="W47" s="110"/>
      <c r="X47" s="110"/>
      <c r="Y47" s="110"/>
      <c r="Z47" s="110"/>
      <c r="AA47" s="113"/>
      <c r="AB47" s="113"/>
      <c r="AC47" s="110"/>
      <c r="AD47" s="110"/>
      <c r="AE47" s="110"/>
      <c r="AF47" s="113"/>
      <c r="AG47" s="113"/>
      <c r="AH47" s="110">
        <v>1468764</v>
      </c>
      <c r="AI47" s="114">
        <v>1460747</v>
      </c>
      <c r="AJ47" s="114">
        <v>1321085</v>
      </c>
      <c r="AK47" s="111">
        <f t="shared" si="10"/>
        <v>0.99454166904962271</v>
      </c>
      <c r="AL47" s="111">
        <f t="shared" si="11"/>
        <v>0.89945355414484562</v>
      </c>
      <c r="AM47" s="114">
        <v>21553118</v>
      </c>
      <c r="AN47" s="114">
        <v>2155898</v>
      </c>
      <c r="AO47" s="114">
        <v>844895</v>
      </c>
      <c r="AP47" s="111">
        <f t="shared" si="12"/>
        <v>0.10002719792096902</v>
      </c>
      <c r="AQ47" s="111">
        <f t="shared" si="13"/>
        <v>3.9200592693827412E-2</v>
      </c>
      <c r="AR47" s="110">
        <v>17327169</v>
      </c>
      <c r="AS47" s="114">
        <v>6983097</v>
      </c>
      <c r="AT47" s="114">
        <v>3549833</v>
      </c>
      <c r="AU47" s="111">
        <f t="shared" si="14"/>
        <v>0.40301430660715548</v>
      </c>
      <c r="AV47" s="111">
        <f t="shared" si="15"/>
        <v>0.20487091688203654</v>
      </c>
      <c r="AW47" s="115">
        <f t="shared" si="16"/>
        <v>40349051</v>
      </c>
      <c r="AX47" s="114">
        <f t="shared" ref="AX47:AY47" si="102">AI47+AN47+AS47</f>
        <v>10599742</v>
      </c>
      <c r="AY47" s="119">
        <f t="shared" si="102"/>
        <v>5715813</v>
      </c>
      <c r="AZ47" s="111">
        <f t="shared" si="18"/>
        <v>0.26270114754371793</v>
      </c>
      <c r="BA47" s="111">
        <f t="shared" si="19"/>
        <v>0.14165916814251717</v>
      </c>
      <c r="BB47" s="118">
        <f t="shared" si="24"/>
        <v>118564</v>
      </c>
      <c r="BC47" s="115"/>
      <c r="BD47" s="110"/>
      <c r="BE47" s="110"/>
      <c r="BF47" s="110"/>
      <c r="BG47" s="116"/>
      <c r="BH47" s="116"/>
      <c r="BI47" s="110"/>
      <c r="BJ47" s="110"/>
      <c r="BK47" s="117"/>
      <c r="BL47" s="113"/>
      <c r="BM47" s="113"/>
      <c r="BN47" s="113"/>
      <c r="BO47" s="113"/>
      <c r="BP47" s="118">
        <v>0</v>
      </c>
      <c r="BQ47" s="118">
        <v>0</v>
      </c>
      <c r="BR47" s="118">
        <v>0</v>
      </c>
      <c r="BS47" s="118">
        <v>0</v>
      </c>
    </row>
    <row r="48" spans="1:71" x14ac:dyDescent="0.25">
      <c r="A48" s="109">
        <v>44302</v>
      </c>
      <c r="B48" s="110">
        <v>112301</v>
      </c>
      <c r="C48" s="114">
        <v>125148</v>
      </c>
      <c r="D48" s="114">
        <v>109038</v>
      </c>
      <c r="E48" s="111">
        <f t="shared" si="0"/>
        <v>1.1143979127523354</v>
      </c>
      <c r="F48" s="111">
        <f t="shared" si="1"/>
        <v>0.97094415900125552</v>
      </c>
      <c r="G48" s="110">
        <v>911631</v>
      </c>
      <c r="H48" s="114">
        <v>548314</v>
      </c>
      <c r="I48" s="114">
        <v>272887</v>
      </c>
      <c r="J48" s="112">
        <f t="shared" si="2"/>
        <v>0.6014648470707995</v>
      </c>
      <c r="K48" s="112">
        <f t="shared" si="3"/>
        <v>0.29933931601711655</v>
      </c>
      <c r="L48" s="110">
        <v>1976757</v>
      </c>
      <c r="M48" s="114">
        <v>959985</v>
      </c>
      <c r="N48" s="114">
        <v>458619</v>
      </c>
      <c r="O48" s="111">
        <f t="shared" si="4"/>
        <v>0.48563632252219163</v>
      </c>
      <c r="P48" s="111">
        <f t="shared" si="5"/>
        <v>0.23200575488034189</v>
      </c>
      <c r="Q48" s="110">
        <v>3000689</v>
      </c>
      <c r="R48" s="110">
        <f t="shared" ref="R48:S48" si="103">C48+H48+M48</f>
        <v>1633447</v>
      </c>
      <c r="S48" s="110">
        <f t="shared" si="103"/>
        <v>840544</v>
      </c>
      <c r="T48" s="113">
        <f t="shared" si="8"/>
        <v>0.54435731260387199</v>
      </c>
      <c r="U48" s="113">
        <f t="shared" si="9"/>
        <v>0.28011699979571358</v>
      </c>
      <c r="V48" s="110"/>
      <c r="W48" s="110"/>
      <c r="X48" s="110"/>
      <c r="Y48" s="110"/>
      <c r="Z48" s="110"/>
      <c r="AA48" s="113"/>
      <c r="AB48" s="113"/>
      <c r="AC48" s="110"/>
      <c r="AD48" s="110"/>
      <c r="AE48" s="110"/>
      <c r="AF48" s="113"/>
      <c r="AG48" s="113"/>
      <c r="AH48" s="110">
        <v>1468764</v>
      </c>
      <c r="AI48" s="114">
        <v>1464225</v>
      </c>
      <c r="AJ48" s="114">
        <v>1323006</v>
      </c>
      <c r="AK48" s="111">
        <f t="shared" si="10"/>
        <v>0.99690964647826341</v>
      </c>
      <c r="AL48" s="111">
        <f t="shared" si="11"/>
        <v>0.90076145657164797</v>
      </c>
      <c r="AM48" s="114">
        <v>21553118</v>
      </c>
      <c r="AN48" s="114">
        <v>2178289</v>
      </c>
      <c r="AO48" s="114">
        <v>898025</v>
      </c>
      <c r="AP48" s="111">
        <f t="shared" si="12"/>
        <v>0.10106607313150701</v>
      </c>
      <c r="AQ48" s="111">
        <f t="shared" si="13"/>
        <v>4.1665665264765867E-2</v>
      </c>
      <c r="AR48" s="110">
        <v>17327169</v>
      </c>
      <c r="AS48" s="114">
        <v>7066375</v>
      </c>
      <c r="AT48" s="114">
        <v>3600857</v>
      </c>
      <c r="AU48" s="111">
        <f t="shared" si="14"/>
        <v>0.40782051586153512</v>
      </c>
      <c r="AV48" s="111">
        <f t="shared" si="15"/>
        <v>0.20781565644104932</v>
      </c>
      <c r="AW48" s="115">
        <f t="shared" si="16"/>
        <v>40349051</v>
      </c>
      <c r="AX48" s="114">
        <f t="shared" ref="AX48:AY48" si="104">AI48+AN48+AS48</f>
        <v>10708889</v>
      </c>
      <c r="AY48" s="119">
        <f t="shared" si="104"/>
        <v>5821888</v>
      </c>
      <c r="AZ48" s="111">
        <f t="shared" si="18"/>
        <v>0.2654062173606016</v>
      </c>
      <c r="BA48" s="111">
        <f t="shared" si="19"/>
        <v>0.14428810233975514</v>
      </c>
      <c r="BB48" s="118">
        <f t="shared" si="24"/>
        <v>109147</v>
      </c>
      <c r="BC48" s="115"/>
      <c r="BD48" s="110"/>
      <c r="BE48" s="110"/>
      <c r="BF48" s="110"/>
      <c r="BG48" s="116"/>
      <c r="BH48" s="116"/>
      <c r="BI48" s="110"/>
      <c r="BJ48" s="110"/>
      <c r="BK48" s="117"/>
      <c r="BL48" s="113"/>
      <c r="BM48" s="113"/>
      <c r="BN48" s="113"/>
      <c r="BO48" s="113"/>
      <c r="BP48" s="118">
        <v>0</v>
      </c>
      <c r="BQ48" s="118">
        <v>0</v>
      </c>
      <c r="BR48" s="118">
        <v>0</v>
      </c>
      <c r="BS48" s="118">
        <v>0</v>
      </c>
    </row>
    <row r="49" spans="1:71" x14ac:dyDescent="0.25">
      <c r="A49" s="109">
        <v>44303</v>
      </c>
      <c r="B49" s="110">
        <v>112301</v>
      </c>
      <c r="C49" s="114">
        <v>125188</v>
      </c>
      <c r="D49" s="114">
        <v>109105</v>
      </c>
      <c r="E49" s="111">
        <f t="shared" si="0"/>
        <v>1.1147540983606556</v>
      </c>
      <c r="F49" s="111">
        <f t="shared" si="1"/>
        <v>0.97154076989519234</v>
      </c>
      <c r="G49" s="110">
        <v>911631</v>
      </c>
      <c r="H49" s="114">
        <v>549011</v>
      </c>
      <c r="I49" s="114">
        <v>278295</v>
      </c>
      <c r="J49" s="112">
        <f t="shared" si="2"/>
        <v>0.60222941080327452</v>
      </c>
      <c r="K49" s="112">
        <f t="shared" si="3"/>
        <v>0.3052715407878846</v>
      </c>
      <c r="L49" s="110">
        <v>1976757</v>
      </c>
      <c r="M49" s="114">
        <v>967733</v>
      </c>
      <c r="N49" s="114">
        <v>461648</v>
      </c>
      <c r="O49" s="111">
        <f t="shared" si="4"/>
        <v>0.48955587358486652</v>
      </c>
      <c r="P49" s="111">
        <f t="shared" si="5"/>
        <v>0.23353806259444129</v>
      </c>
      <c r="Q49" s="110">
        <v>3000689</v>
      </c>
      <c r="R49" s="110">
        <f t="shared" ref="R49:S49" si="105">C49+H49+M49</f>
        <v>1641932</v>
      </c>
      <c r="S49" s="110">
        <f t="shared" si="105"/>
        <v>849048</v>
      </c>
      <c r="T49" s="113">
        <f t="shared" si="8"/>
        <v>0.54718499651246766</v>
      </c>
      <c r="U49" s="113">
        <f t="shared" si="9"/>
        <v>0.28295101558342101</v>
      </c>
      <c r="V49" s="110"/>
      <c r="W49" s="110"/>
      <c r="X49" s="110"/>
      <c r="Y49" s="110"/>
      <c r="Z49" s="110"/>
      <c r="AA49" s="113"/>
      <c r="AB49" s="113"/>
      <c r="AC49" s="110"/>
      <c r="AD49" s="110"/>
      <c r="AE49" s="110"/>
      <c r="AF49" s="113"/>
      <c r="AG49" s="113"/>
      <c r="AH49" s="110">
        <v>1468764</v>
      </c>
      <c r="AI49" s="114">
        <v>1465021</v>
      </c>
      <c r="AJ49" s="114">
        <v>1323987</v>
      </c>
      <c r="AK49" s="111">
        <f t="shared" si="10"/>
        <v>0.99745159875922884</v>
      </c>
      <c r="AL49" s="111">
        <f t="shared" si="11"/>
        <v>0.90142936509881777</v>
      </c>
      <c r="AM49" s="114">
        <v>21553118</v>
      </c>
      <c r="AN49" s="114">
        <v>2199326</v>
      </c>
      <c r="AO49" s="114">
        <v>930003</v>
      </c>
      <c r="AP49" s="111">
        <f t="shared" si="12"/>
        <v>0.10204212680504046</v>
      </c>
      <c r="AQ49" s="111">
        <f t="shared" si="13"/>
        <v>4.3149348507255422E-2</v>
      </c>
      <c r="AR49" s="110">
        <v>17327169</v>
      </c>
      <c r="AS49" s="114">
        <v>7139477</v>
      </c>
      <c r="AT49" s="114">
        <v>3636800</v>
      </c>
      <c r="AU49" s="111">
        <f t="shared" si="14"/>
        <v>0.41203943933368459</v>
      </c>
      <c r="AV49" s="111">
        <f t="shared" si="15"/>
        <v>0.20989002877504109</v>
      </c>
      <c r="AW49" s="115">
        <f t="shared" si="16"/>
        <v>40349051</v>
      </c>
      <c r="AX49" s="114">
        <f t="shared" ref="AX49:AY49" si="106">AI49+AN49+AS49</f>
        <v>10803824</v>
      </c>
      <c r="AY49" s="119">
        <f t="shared" si="106"/>
        <v>5890790</v>
      </c>
      <c r="AZ49" s="111">
        <f t="shared" si="18"/>
        <v>0.26775906080170264</v>
      </c>
      <c r="BA49" s="111">
        <f t="shared" si="19"/>
        <v>0.14599575092856584</v>
      </c>
      <c r="BB49" s="118">
        <f t="shared" si="24"/>
        <v>94935</v>
      </c>
      <c r="BC49" s="115"/>
      <c r="BD49" s="110"/>
      <c r="BE49" s="110"/>
      <c r="BF49" s="110"/>
      <c r="BG49" s="116"/>
      <c r="BH49" s="116"/>
      <c r="BI49" s="110"/>
      <c r="BJ49" s="110"/>
      <c r="BK49" s="117"/>
      <c r="BL49" s="113"/>
      <c r="BM49" s="113"/>
      <c r="BN49" s="113"/>
      <c r="BO49" s="113"/>
      <c r="BP49" s="118">
        <v>0</v>
      </c>
      <c r="BQ49" s="118">
        <v>0</v>
      </c>
      <c r="BR49" s="118">
        <v>0</v>
      </c>
      <c r="BS49" s="118">
        <v>0</v>
      </c>
    </row>
    <row r="50" spans="1:71" x14ac:dyDescent="0.25">
      <c r="A50" s="109">
        <v>44304</v>
      </c>
      <c r="B50" s="110">
        <v>112301</v>
      </c>
      <c r="C50" s="114">
        <v>125193</v>
      </c>
      <c r="D50" s="114">
        <v>109105</v>
      </c>
      <c r="E50" s="111">
        <f t="shared" si="0"/>
        <v>1.1147986215616958</v>
      </c>
      <c r="F50" s="111">
        <f t="shared" si="1"/>
        <v>0.97154076989519234</v>
      </c>
      <c r="G50" s="110">
        <v>911631</v>
      </c>
      <c r="H50" s="114">
        <v>549394</v>
      </c>
      <c r="I50" s="114">
        <v>281756</v>
      </c>
      <c r="J50" s="112">
        <f t="shared" si="2"/>
        <v>0.60264953692886702</v>
      </c>
      <c r="K50" s="112">
        <f t="shared" si="3"/>
        <v>0.30906803300896962</v>
      </c>
      <c r="L50" s="110">
        <v>1976757</v>
      </c>
      <c r="M50" s="114">
        <v>971708</v>
      </c>
      <c r="N50" s="114">
        <v>466276</v>
      </c>
      <c r="O50" s="111">
        <f t="shared" si="4"/>
        <v>0.49156674290264307</v>
      </c>
      <c r="P50" s="111">
        <f t="shared" si="5"/>
        <v>0.2358792709473142</v>
      </c>
      <c r="Q50" s="110">
        <v>3000689</v>
      </c>
      <c r="R50" s="110">
        <f t="shared" ref="R50:S50" si="107">C50+H50+M50</f>
        <v>1646295</v>
      </c>
      <c r="S50" s="110">
        <f t="shared" si="107"/>
        <v>857137</v>
      </c>
      <c r="T50" s="113">
        <f t="shared" si="8"/>
        <v>0.54863899591060583</v>
      </c>
      <c r="U50" s="113">
        <f t="shared" si="9"/>
        <v>0.28564672980105571</v>
      </c>
      <c r="V50" s="110"/>
      <c r="W50" s="110"/>
      <c r="X50" s="110"/>
      <c r="Y50" s="110"/>
      <c r="Z50" s="110"/>
      <c r="AA50" s="113"/>
      <c r="AB50" s="113"/>
      <c r="AC50" s="110"/>
      <c r="AD50" s="110"/>
      <c r="AE50" s="110"/>
      <c r="AF50" s="113"/>
      <c r="AG50" s="113"/>
      <c r="AH50" s="110">
        <v>1468764</v>
      </c>
      <c r="AI50" s="114">
        <v>1465210</v>
      </c>
      <c r="AJ50" s="114">
        <v>1324382</v>
      </c>
      <c r="AK50" s="111">
        <f t="shared" si="10"/>
        <v>0.99758027838372942</v>
      </c>
      <c r="AL50" s="111">
        <f t="shared" si="11"/>
        <v>0.90169829870557827</v>
      </c>
      <c r="AM50" s="114">
        <v>21553118</v>
      </c>
      <c r="AN50" s="114">
        <v>2203494</v>
      </c>
      <c r="AO50" s="114">
        <v>936963</v>
      </c>
      <c r="AP50" s="111">
        <f t="shared" si="12"/>
        <v>0.10223550949797612</v>
      </c>
      <c r="AQ50" s="111">
        <f t="shared" si="13"/>
        <v>4.3472271622138382E-2</v>
      </c>
      <c r="AR50" s="110">
        <v>17327169</v>
      </c>
      <c r="AS50" s="114">
        <v>7159290</v>
      </c>
      <c r="AT50" s="114">
        <v>3649998</v>
      </c>
      <c r="AU50" s="111">
        <f t="shared" si="14"/>
        <v>0.41318290368149579</v>
      </c>
      <c r="AV50" s="111">
        <f t="shared" si="15"/>
        <v>0.21065172273670327</v>
      </c>
      <c r="AW50" s="115">
        <f t="shared" si="16"/>
        <v>40349051</v>
      </c>
      <c r="AX50" s="114">
        <f t="shared" ref="AX50:AY50" si="108">AI50+AN50+AS50</f>
        <v>10827994</v>
      </c>
      <c r="AY50" s="119">
        <f t="shared" si="108"/>
        <v>5911343</v>
      </c>
      <c r="AZ50" s="111">
        <f t="shared" si="18"/>
        <v>0.26835808356434454</v>
      </c>
      <c r="BA50" s="111">
        <f t="shared" si="19"/>
        <v>0.14650513093851947</v>
      </c>
      <c r="BB50" s="118">
        <f t="shared" si="24"/>
        <v>24170</v>
      </c>
      <c r="BC50" s="115"/>
      <c r="BD50" s="110"/>
      <c r="BE50" s="110"/>
      <c r="BF50" s="110"/>
      <c r="BG50" s="116"/>
      <c r="BH50" s="116"/>
      <c r="BI50" s="110"/>
      <c r="BJ50" s="110"/>
      <c r="BK50" s="117"/>
      <c r="BL50" s="113"/>
      <c r="BM50" s="113"/>
      <c r="BN50" s="113"/>
      <c r="BO50" s="113"/>
      <c r="BP50" s="118">
        <v>0</v>
      </c>
      <c r="BQ50" s="118">
        <v>0</v>
      </c>
      <c r="BR50" s="118">
        <v>0</v>
      </c>
      <c r="BS50" s="118">
        <v>0</v>
      </c>
    </row>
    <row r="51" spans="1:71" x14ac:dyDescent="0.25">
      <c r="A51" s="109">
        <v>44305</v>
      </c>
      <c r="B51" s="110">
        <v>112301</v>
      </c>
      <c r="C51" s="114">
        <v>125459</v>
      </c>
      <c r="D51" s="114">
        <v>109299</v>
      </c>
      <c r="E51" s="111">
        <f t="shared" si="0"/>
        <v>1.1171672558570271</v>
      </c>
      <c r="F51" s="111">
        <f t="shared" si="1"/>
        <v>0.97326827009554684</v>
      </c>
      <c r="G51" s="110">
        <v>911631</v>
      </c>
      <c r="H51" s="114">
        <v>552556</v>
      </c>
      <c r="I51" s="114">
        <v>308789</v>
      </c>
      <c r="J51" s="112">
        <f t="shared" si="2"/>
        <v>0.60611804556887605</v>
      </c>
      <c r="K51" s="112">
        <f t="shared" si="3"/>
        <v>0.33872147831743327</v>
      </c>
      <c r="L51" s="110">
        <v>1976757</v>
      </c>
      <c r="M51" s="114">
        <v>990548</v>
      </c>
      <c r="N51" s="114">
        <v>475981</v>
      </c>
      <c r="O51" s="111">
        <f t="shared" si="4"/>
        <v>0.50109750465029335</v>
      </c>
      <c r="P51" s="111">
        <f t="shared" si="5"/>
        <v>0.24078882735713089</v>
      </c>
      <c r="Q51" s="110">
        <v>3000689</v>
      </c>
      <c r="R51" s="110">
        <f t="shared" ref="R51:S51" si="109">C51+H51+M51</f>
        <v>1668563</v>
      </c>
      <c r="S51" s="110">
        <f t="shared" si="109"/>
        <v>894069</v>
      </c>
      <c r="T51" s="113">
        <f t="shared" si="8"/>
        <v>0.55605995822959331</v>
      </c>
      <c r="U51" s="113">
        <f t="shared" si="9"/>
        <v>0.29795456976714346</v>
      </c>
      <c r="V51" s="110"/>
      <c r="W51" s="110"/>
      <c r="X51" s="110"/>
      <c r="Y51" s="110"/>
      <c r="Z51" s="110"/>
      <c r="AA51" s="113"/>
      <c r="AB51" s="113"/>
      <c r="AC51" s="110"/>
      <c r="AD51" s="110"/>
      <c r="AE51" s="110"/>
      <c r="AF51" s="113"/>
      <c r="AG51" s="113"/>
      <c r="AH51" s="110">
        <v>1468764</v>
      </c>
      <c r="AI51" s="114">
        <v>1466675</v>
      </c>
      <c r="AJ51" s="114">
        <v>1325963</v>
      </c>
      <c r="AK51" s="111">
        <f t="shared" si="10"/>
        <v>0.99857771568475262</v>
      </c>
      <c r="AL51" s="111">
        <f t="shared" si="11"/>
        <v>0.90277471397719444</v>
      </c>
      <c r="AM51" s="114">
        <v>21553118</v>
      </c>
      <c r="AN51" s="114">
        <v>2237282</v>
      </c>
      <c r="AO51" s="114">
        <v>1002268</v>
      </c>
      <c r="AP51" s="111">
        <f t="shared" si="12"/>
        <v>0.10380317130913495</v>
      </c>
      <c r="AQ51" s="111">
        <f t="shared" si="13"/>
        <v>4.6502227659125699E-2</v>
      </c>
      <c r="AR51" s="110">
        <v>17327169</v>
      </c>
      <c r="AS51" s="114">
        <v>7267647</v>
      </c>
      <c r="AT51" s="114">
        <v>3724381</v>
      </c>
      <c r="AU51" s="111">
        <f t="shared" si="14"/>
        <v>0.41943649305896424</v>
      </c>
      <c r="AV51" s="111">
        <f t="shared" si="15"/>
        <v>0.21494457634712283</v>
      </c>
      <c r="AW51" s="115">
        <f t="shared" si="16"/>
        <v>40349051</v>
      </c>
      <c r="AX51" s="114">
        <f t="shared" ref="AX51:AY51" si="110">AI51+AN51+AS51</f>
        <v>10971604</v>
      </c>
      <c r="AY51" s="119">
        <f t="shared" si="110"/>
        <v>6052612</v>
      </c>
      <c r="AZ51" s="111">
        <f t="shared" si="18"/>
        <v>0.27191727508039781</v>
      </c>
      <c r="BA51" s="111">
        <f t="shared" si="19"/>
        <v>0.15000630374181539</v>
      </c>
      <c r="BB51" s="118">
        <f t="shared" si="24"/>
        <v>143610</v>
      </c>
      <c r="BC51" s="115"/>
      <c r="BD51" s="110"/>
      <c r="BE51" s="110"/>
      <c r="BF51" s="110"/>
      <c r="BG51" s="116"/>
      <c r="BH51" s="116"/>
      <c r="BI51" s="110"/>
      <c r="BJ51" s="110"/>
      <c r="BK51" s="117"/>
      <c r="BL51" s="113"/>
      <c r="BM51" s="113"/>
      <c r="BN51" s="113"/>
      <c r="BO51" s="113"/>
      <c r="BP51" s="118">
        <v>0</v>
      </c>
      <c r="BQ51" s="118">
        <v>0</v>
      </c>
      <c r="BR51" s="118">
        <v>0</v>
      </c>
      <c r="BS51" s="118">
        <v>0</v>
      </c>
    </row>
    <row r="52" spans="1:71" x14ac:dyDescent="0.25">
      <c r="A52" s="109">
        <v>44306</v>
      </c>
      <c r="B52" s="110">
        <v>112301</v>
      </c>
      <c r="C52" s="114">
        <v>125568</v>
      </c>
      <c r="D52" s="114">
        <v>109421</v>
      </c>
      <c r="E52" s="111">
        <f t="shared" si="0"/>
        <v>1.1181378616397004</v>
      </c>
      <c r="F52" s="111">
        <f t="shared" si="1"/>
        <v>0.97435463620092433</v>
      </c>
      <c r="G52" s="110">
        <v>911631</v>
      </c>
      <c r="H52" s="114">
        <v>554268</v>
      </c>
      <c r="I52" s="114">
        <v>320304</v>
      </c>
      <c r="J52" s="112">
        <f t="shared" si="2"/>
        <v>0.60799599838092389</v>
      </c>
      <c r="K52" s="112">
        <f t="shared" si="3"/>
        <v>0.35135268546155185</v>
      </c>
      <c r="L52" s="110">
        <v>1976757</v>
      </c>
      <c r="M52" s="114">
        <v>1007563</v>
      </c>
      <c r="N52" s="114">
        <v>481378</v>
      </c>
      <c r="O52" s="111">
        <f t="shared" si="4"/>
        <v>0.50970503708852433</v>
      </c>
      <c r="P52" s="111">
        <f t="shared" si="5"/>
        <v>0.24351905671764409</v>
      </c>
      <c r="Q52" s="110">
        <v>3000689</v>
      </c>
      <c r="R52" s="110">
        <f t="shared" ref="R52:S52" si="111">C52+H52+M52</f>
        <v>1687399</v>
      </c>
      <c r="S52" s="110">
        <f t="shared" si="111"/>
        <v>911103</v>
      </c>
      <c r="T52" s="113">
        <f t="shared" si="8"/>
        <v>0.56233718322691884</v>
      </c>
      <c r="U52" s="113">
        <f t="shared" si="9"/>
        <v>0.30363126601923757</v>
      </c>
      <c r="V52" s="110"/>
      <c r="W52" s="110"/>
      <c r="X52" s="110"/>
      <c r="Y52" s="110"/>
      <c r="Z52" s="110"/>
      <c r="AA52" s="113"/>
      <c r="AB52" s="113"/>
      <c r="AC52" s="110"/>
      <c r="AD52" s="110"/>
      <c r="AE52" s="110"/>
      <c r="AF52" s="113"/>
      <c r="AG52" s="113"/>
      <c r="AH52" s="110">
        <v>1468764</v>
      </c>
      <c r="AI52" s="114">
        <v>1467860</v>
      </c>
      <c r="AJ52" s="114">
        <v>1327443</v>
      </c>
      <c r="AK52" s="111">
        <f t="shared" si="10"/>
        <v>0.99938451650503413</v>
      </c>
      <c r="AL52" s="111">
        <f t="shared" si="11"/>
        <v>0.90378236394682876</v>
      </c>
      <c r="AM52" s="114">
        <v>21553118</v>
      </c>
      <c r="AN52" s="114">
        <v>2264590</v>
      </c>
      <c r="AO52" s="114">
        <v>1040757</v>
      </c>
      <c r="AP52" s="111">
        <f t="shared" si="12"/>
        <v>0.10507018056505792</v>
      </c>
      <c r="AQ52" s="111">
        <f t="shared" si="13"/>
        <v>4.8288001763828324E-2</v>
      </c>
      <c r="AR52" s="110">
        <v>17327169</v>
      </c>
      <c r="AS52" s="114">
        <v>7383064</v>
      </c>
      <c r="AT52" s="114">
        <v>3790548</v>
      </c>
      <c r="AU52" s="111">
        <f t="shared" si="14"/>
        <v>0.42609753503298781</v>
      </c>
      <c r="AV52" s="111">
        <f t="shared" si="15"/>
        <v>0.21876326132676377</v>
      </c>
      <c r="AW52" s="115">
        <f t="shared" si="16"/>
        <v>40349051</v>
      </c>
      <c r="AX52" s="114">
        <f t="shared" ref="AX52:AY52" si="112">AI52+AN52+AS52</f>
        <v>11115514</v>
      </c>
      <c r="AY52" s="119">
        <f t="shared" si="112"/>
        <v>6158748</v>
      </c>
      <c r="AZ52" s="111">
        <f t="shared" si="18"/>
        <v>0.27548390171555709</v>
      </c>
      <c r="BA52" s="111">
        <f t="shared" si="19"/>
        <v>0.15263674974660493</v>
      </c>
      <c r="BB52" s="118">
        <f t="shared" si="24"/>
        <v>143910</v>
      </c>
      <c r="BC52" s="115"/>
      <c r="BD52" s="110"/>
      <c r="BE52" s="110"/>
      <c r="BF52" s="110"/>
      <c r="BG52" s="116"/>
      <c r="BH52" s="116"/>
      <c r="BI52" s="110"/>
      <c r="BJ52" s="110"/>
      <c r="BK52" s="117"/>
      <c r="BL52" s="113"/>
      <c r="BM52" s="113"/>
      <c r="BN52" s="113"/>
      <c r="BO52" s="113"/>
      <c r="BP52" s="118">
        <v>0</v>
      </c>
      <c r="BQ52" s="118">
        <v>0</v>
      </c>
      <c r="BR52" s="118">
        <v>0</v>
      </c>
      <c r="BS52" s="118">
        <v>0</v>
      </c>
    </row>
    <row r="53" spans="1:71" x14ac:dyDescent="0.25">
      <c r="A53" s="109">
        <v>44307</v>
      </c>
      <c r="B53" s="110">
        <v>112301</v>
      </c>
      <c r="C53" s="114">
        <v>125808</v>
      </c>
      <c r="D53" s="114">
        <v>109615</v>
      </c>
      <c r="E53" s="111">
        <f t="shared" si="0"/>
        <v>1.1202749752896235</v>
      </c>
      <c r="F53" s="111">
        <f t="shared" si="1"/>
        <v>0.97608213640127872</v>
      </c>
      <c r="G53" s="110">
        <v>911631</v>
      </c>
      <c r="H53" s="114">
        <v>556786</v>
      </c>
      <c r="I53" s="114">
        <v>341170</v>
      </c>
      <c r="J53" s="112">
        <f t="shared" si="2"/>
        <v>0.61075808084630734</v>
      </c>
      <c r="K53" s="112">
        <f t="shared" si="3"/>
        <v>0.37424133229343892</v>
      </c>
      <c r="L53" s="110">
        <v>1976757</v>
      </c>
      <c r="M53" s="114">
        <v>1025472</v>
      </c>
      <c r="N53" s="114">
        <v>493120</v>
      </c>
      <c r="O53" s="111">
        <f t="shared" si="4"/>
        <v>0.51876482541860225</v>
      </c>
      <c r="P53" s="111">
        <f t="shared" si="5"/>
        <v>0.24945908880049494</v>
      </c>
      <c r="Q53" s="110">
        <v>3000689</v>
      </c>
      <c r="R53" s="110">
        <f t="shared" ref="R53:S53" si="113">C53+H53+M53</f>
        <v>1708066</v>
      </c>
      <c r="S53" s="110">
        <f t="shared" si="113"/>
        <v>943905</v>
      </c>
      <c r="T53" s="113">
        <f t="shared" si="8"/>
        <v>0.5692246014165413</v>
      </c>
      <c r="U53" s="113">
        <f t="shared" si="9"/>
        <v>0.3145627554205051</v>
      </c>
      <c r="V53" s="110"/>
      <c r="W53" s="110"/>
      <c r="X53" s="110"/>
      <c r="Y53" s="110"/>
      <c r="Z53" s="110"/>
      <c r="AA53" s="113"/>
      <c r="AB53" s="113"/>
      <c r="AC53" s="110"/>
      <c r="AD53" s="110"/>
      <c r="AE53" s="110"/>
      <c r="AF53" s="113"/>
      <c r="AG53" s="113"/>
      <c r="AH53" s="110">
        <v>1468764</v>
      </c>
      <c r="AI53" s="114">
        <v>1480525</v>
      </c>
      <c r="AJ53" s="114">
        <v>1338926</v>
      </c>
      <c r="AK53" s="111">
        <f t="shared" si="10"/>
        <v>1.0080074130357226</v>
      </c>
      <c r="AL53" s="111">
        <f t="shared" si="11"/>
        <v>0.91160050219095778</v>
      </c>
      <c r="AM53" s="114">
        <v>21553118</v>
      </c>
      <c r="AN53" s="114">
        <v>2298131</v>
      </c>
      <c r="AO53" s="114">
        <v>1111339</v>
      </c>
      <c r="AP53" s="111">
        <f t="shared" si="12"/>
        <v>0.10662638231739835</v>
      </c>
      <c r="AQ53" s="111">
        <f t="shared" si="13"/>
        <v>5.1562794765935956E-2</v>
      </c>
      <c r="AR53" s="110">
        <v>17327169</v>
      </c>
      <c r="AS53" s="114">
        <v>7522899</v>
      </c>
      <c r="AT53" s="114">
        <v>3891666</v>
      </c>
      <c r="AU53" s="111">
        <f t="shared" si="14"/>
        <v>0.43416780894790141</v>
      </c>
      <c r="AV53" s="111">
        <f t="shared" si="15"/>
        <v>0.2245990675106822</v>
      </c>
      <c r="AW53" s="115">
        <f t="shared" si="16"/>
        <v>40349051</v>
      </c>
      <c r="AX53" s="114">
        <f t="shared" ref="AX53:AY53" si="114">AI53+AN53+AS53</f>
        <v>11301555</v>
      </c>
      <c r="AY53" s="119">
        <f t="shared" si="114"/>
        <v>6341931</v>
      </c>
      <c r="AZ53" s="111">
        <f t="shared" si="18"/>
        <v>0.2800946916942359</v>
      </c>
      <c r="BA53" s="111">
        <f t="shared" si="19"/>
        <v>0.1571767078239337</v>
      </c>
      <c r="BB53" s="118">
        <f t="shared" si="24"/>
        <v>186041</v>
      </c>
      <c r="BC53" s="115"/>
      <c r="BD53" s="110"/>
      <c r="BE53" s="110"/>
      <c r="BF53" s="110"/>
      <c r="BG53" s="116"/>
      <c r="BH53" s="116"/>
      <c r="BI53" s="110"/>
      <c r="BJ53" s="110"/>
      <c r="BK53" s="117"/>
      <c r="BL53" s="113"/>
      <c r="BM53" s="113"/>
      <c r="BN53" s="113"/>
      <c r="BO53" s="113"/>
      <c r="BP53" s="118">
        <v>0</v>
      </c>
      <c r="BQ53" s="118">
        <v>0</v>
      </c>
      <c r="BR53" s="118">
        <v>0</v>
      </c>
      <c r="BS53" s="118">
        <v>0</v>
      </c>
    </row>
    <row r="54" spans="1:71" x14ac:dyDescent="0.25">
      <c r="A54" s="109">
        <v>44308</v>
      </c>
      <c r="B54" s="110">
        <v>112301</v>
      </c>
      <c r="C54" s="114">
        <v>126323</v>
      </c>
      <c r="D54" s="114">
        <v>109990</v>
      </c>
      <c r="E54" s="111">
        <f t="shared" si="0"/>
        <v>1.1248608649967498</v>
      </c>
      <c r="F54" s="111">
        <f t="shared" si="1"/>
        <v>0.9794213764792834</v>
      </c>
      <c r="G54" s="110">
        <v>911631</v>
      </c>
      <c r="H54" s="114">
        <v>561547</v>
      </c>
      <c r="I54" s="114">
        <v>370371</v>
      </c>
      <c r="J54" s="112">
        <f t="shared" si="2"/>
        <v>0.61598058863728855</v>
      </c>
      <c r="K54" s="112">
        <f t="shared" si="3"/>
        <v>0.40627293279846782</v>
      </c>
      <c r="L54" s="110">
        <v>1976757</v>
      </c>
      <c r="M54" s="114">
        <v>1058587</v>
      </c>
      <c r="N54" s="114">
        <v>515356</v>
      </c>
      <c r="O54" s="111">
        <f t="shared" si="4"/>
        <v>0.53551701094267024</v>
      </c>
      <c r="P54" s="111">
        <f t="shared" si="5"/>
        <v>0.26070781588227587</v>
      </c>
      <c r="Q54" s="110">
        <v>3000689</v>
      </c>
      <c r="R54" s="110">
        <f t="shared" ref="R54:S54" si="115">C54+H54+M54</f>
        <v>1746457</v>
      </c>
      <c r="S54" s="110">
        <f t="shared" si="115"/>
        <v>995717</v>
      </c>
      <c r="T54" s="113">
        <f t="shared" si="8"/>
        <v>0.58201866304705352</v>
      </c>
      <c r="U54" s="113">
        <f t="shared" si="9"/>
        <v>0.33182945650149015</v>
      </c>
      <c r="V54" s="110"/>
      <c r="W54" s="110"/>
      <c r="X54" s="110"/>
      <c r="Y54" s="110"/>
      <c r="Z54" s="110"/>
      <c r="AA54" s="113"/>
      <c r="AB54" s="113"/>
      <c r="AC54" s="110"/>
      <c r="AD54" s="110"/>
      <c r="AE54" s="110"/>
      <c r="AF54" s="113"/>
      <c r="AG54" s="113"/>
      <c r="AH54" s="110">
        <v>1468764</v>
      </c>
      <c r="AI54" s="114">
        <v>1481515</v>
      </c>
      <c r="AJ54" s="114">
        <v>1340196</v>
      </c>
      <c r="AK54" s="111">
        <f t="shared" si="10"/>
        <v>1.008681449164059</v>
      </c>
      <c r="AL54" s="111">
        <f t="shared" si="11"/>
        <v>0.91246517480003597</v>
      </c>
      <c r="AM54" s="114">
        <v>21553118</v>
      </c>
      <c r="AN54" s="114">
        <v>2328940</v>
      </c>
      <c r="AO54" s="114">
        <v>1170028</v>
      </c>
      <c r="AP54" s="111">
        <f t="shared" si="12"/>
        <v>0.10805582746774736</v>
      </c>
      <c r="AQ54" s="111">
        <f t="shared" si="13"/>
        <v>5.42857882557874E-2</v>
      </c>
      <c r="AR54" s="110">
        <v>17327169</v>
      </c>
      <c r="AS54" s="114">
        <v>7621517</v>
      </c>
      <c r="AT54" s="114">
        <v>3977973</v>
      </c>
      <c r="AU54" s="111">
        <f t="shared" si="14"/>
        <v>0.43985933305088676</v>
      </c>
      <c r="AV54" s="111">
        <f t="shared" si="15"/>
        <v>0.22958008893432044</v>
      </c>
      <c r="AW54" s="115">
        <f t="shared" si="16"/>
        <v>40349051</v>
      </c>
      <c r="AX54" s="114">
        <f t="shared" ref="AX54:AY54" si="116">AI54+AN54+AS54</f>
        <v>11431972</v>
      </c>
      <c r="AY54" s="119">
        <f t="shared" si="116"/>
        <v>6488197</v>
      </c>
      <c r="AZ54" s="111">
        <f t="shared" si="18"/>
        <v>0.28332691145573657</v>
      </c>
      <c r="BA54" s="111">
        <f t="shared" si="19"/>
        <v>0.16080172492780562</v>
      </c>
      <c r="BB54" s="118">
        <f t="shared" si="24"/>
        <v>130417</v>
      </c>
      <c r="BC54" s="115"/>
      <c r="BD54" s="110"/>
      <c r="BE54" s="110"/>
      <c r="BF54" s="110"/>
      <c r="BG54" s="116"/>
      <c r="BH54" s="116"/>
      <c r="BI54" s="110"/>
      <c r="BJ54" s="110"/>
      <c r="BK54" s="117"/>
      <c r="BL54" s="113"/>
      <c r="BM54" s="113"/>
      <c r="BN54" s="113"/>
      <c r="BO54" s="113"/>
      <c r="BP54" s="118">
        <v>0</v>
      </c>
      <c r="BQ54" s="118">
        <v>0</v>
      </c>
      <c r="BR54" s="118">
        <v>0</v>
      </c>
      <c r="BS54" s="118">
        <v>0</v>
      </c>
    </row>
    <row r="55" spans="1:71" x14ac:dyDescent="0.25">
      <c r="A55" s="109">
        <v>44309</v>
      </c>
      <c r="B55" s="110">
        <v>112301</v>
      </c>
      <c r="C55" s="114">
        <v>126594</v>
      </c>
      <c r="D55" s="114">
        <v>110213</v>
      </c>
      <c r="E55" s="111">
        <f t="shared" si="0"/>
        <v>1.1272740224931213</v>
      </c>
      <c r="F55" s="111">
        <f t="shared" si="1"/>
        <v>0.98140711124567015</v>
      </c>
      <c r="G55" s="110">
        <v>911631</v>
      </c>
      <c r="H55" s="114">
        <v>564499</v>
      </c>
      <c r="I55" s="114">
        <v>387901</v>
      </c>
      <c r="J55" s="112">
        <f t="shared" si="2"/>
        <v>0.61921874091600659</v>
      </c>
      <c r="K55" s="112">
        <f t="shared" si="3"/>
        <v>0.42550220429099056</v>
      </c>
      <c r="L55" s="110">
        <v>1976757</v>
      </c>
      <c r="M55" s="114">
        <v>1079773</v>
      </c>
      <c r="N55" s="114">
        <v>530125</v>
      </c>
      <c r="O55" s="111">
        <f t="shared" si="4"/>
        <v>0.54623456499711398</v>
      </c>
      <c r="P55" s="111">
        <f t="shared" si="5"/>
        <v>0.26817914392107883</v>
      </c>
      <c r="Q55" s="110">
        <v>3000689</v>
      </c>
      <c r="R55" s="110">
        <f t="shared" ref="R55:S55" si="117">C55+H55+M55</f>
        <v>1770866</v>
      </c>
      <c r="S55" s="110">
        <f t="shared" si="117"/>
        <v>1028239</v>
      </c>
      <c r="T55" s="113">
        <f t="shared" si="8"/>
        <v>0.59015312816489818</v>
      </c>
      <c r="U55" s="113">
        <f t="shared" si="9"/>
        <v>0.34266763400005801</v>
      </c>
      <c r="V55" s="110"/>
      <c r="W55" s="110"/>
      <c r="X55" s="110"/>
      <c r="Y55" s="110"/>
      <c r="Z55" s="110"/>
      <c r="AA55" s="113"/>
      <c r="AB55" s="113"/>
      <c r="AC55" s="110"/>
      <c r="AD55" s="110"/>
      <c r="AE55" s="110"/>
      <c r="AF55" s="113"/>
      <c r="AG55" s="113"/>
      <c r="AH55" s="110">
        <v>1468764</v>
      </c>
      <c r="AI55" s="114">
        <v>1483781</v>
      </c>
      <c r="AJ55" s="114">
        <v>1342774</v>
      </c>
      <c r="AK55" s="111">
        <f t="shared" si="10"/>
        <v>1.0102242429689181</v>
      </c>
      <c r="AL55" s="111">
        <f t="shared" si="11"/>
        <v>0.91422039211200712</v>
      </c>
      <c r="AM55" s="114">
        <v>21553118</v>
      </c>
      <c r="AN55" s="114">
        <v>2357556</v>
      </c>
      <c r="AO55" s="114">
        <v>1225863</v>
      </c>
      <c r="AP55" s="111">
        <f t="shared" si="12"/>
        <v>0.10938352399870868</v>
      </c>
      <c r="AQ55" s="111">
        <f t="shared" si="13"/>
        <v>5.6876364709737122E-2</v>
      </c>
      <c r="AR55" s="110">
        <v>17327169</v>
      </c>
      <c r="AS55" s="114">
        <v>7745803</v>
      </c>
      <c r="AT55" s="114">
        <v>4108511</v>
      </c>
      <c r="AU55" s="111">
        <f t="shared" si="14"/>
        <v>0.44703223013522869</v>
      </c>
      <c r="AV55" s="111">
        <f t="shared" si="15"/>
        <v>0.23711380664665993</v>
      </c>
      <c r="AW55" s="115">
        <f t="shared" si="16"/>
        <v>40349051</v>
      </c>
      <c r="AX55" s="114">
        <f t="shared" ref="AX55:AY55" si="118">AI55+AN55+AS55</f>
        <v>11587140</v>
      </c>
      <c r="AY55" s="119">
        <f t="shared" si="118"/>
        <v>6677148</v>
      </c>
      <c r="AZ55" s="111">
        <f t="shared" si="18"/>
        <v>0.28717255332721459</v>
      </c>
      <c r="BA55" s="111">
        <f t="shared" si="19"/>
        <v>0.16548463556181284</v>
      </c>
      <c r="BB55" s="118">
        <f t="shared" si="24"/>
        <v>155168</v>
      </c>
      <c r="BC55" s="115"/>
      <c r="BD55" s="110"/>
      <c r="BE55" s="110"/>
      <c r="BF55" s="110"/>
      <c r="BG55" s="116"/>
      <c r="BH55" s="116"/>
      <c r="BI55" s="110"/>
      <c r="BJ55" s="110"/>
      <c r="BK55" s="117"/>
      <c r="BL55" s="113"/>
      <c r="BM55" s="113"/>
      <c r="BN55" s="113"/>
      <c r="BO55" s="113"/>
      <c r="BP55" s="118">
        <v>0</v>
      </c>
      <c r="BQ55" s="118">
        <v>0</v>
      </c>
      <c r="BR55" s="118">
        <v>0</v>
      </c>
      <c r="BS55" s="118">
        <v>0</v>
      </c>
    </row>
    <row r="56" spans="1:71" x14ac:dyDescent="0.25">
      <c r="A56" s="109">
        <v>44310</v>
      </c>
      <c r="B56" s="110">
        <v>112301</v>
      </c>
      <c r="C56" s="114">
        <v>126642</v>
      </c>
      <c r="D56" s="114">
        <v>110273</v>
      </c>
      <c r="E56" s="111">
        <f t="shared" si="0"/>
        <v>1.1277014452231058</v>
      </c>
      <c r="F56" s="111">
        <f t="shared" si="1"/>
        <v>0.98194138965815081</v>
      </c>
      <c r="G56" s="110">
        <v>911631</v>
      </c>
      <c r="H56" s="114">
        <v>565373</v>
      </c>
      <c r="I56" s="114">
        <v>392124</v>
      </c>
      <c r="J56" s="112">
        <f t="shared" si="2"/>
        <v>0.62017746215299829</v>
      </c>
      <c r="K56" s="112">
        <f t="shared" si="3"/>
        <v>0.43013456102304548</v>
      </c>
      <c r="L56" s="110">
        <v>1976757</v>
      </c>
      <c r="M56" s="114">
        <v>1092495</v>
      </c>
      <c r="N56" s="114">
        <v>543877</v>
      </c>
      <c r="O56" s="111">
        <f t="shared" si="4"/>
        <v>0.55267035857214619</v>
      </c>
      <c r="P56" s="111">
        <f t="shared" si="5"/>
        <v>0.27513599294197516</v>
      </c>
      <c r="Q56" s="110">
        <v>3000689</v>
      </c>
      <c r="R56" s="110">
        <f t="shared" ref="R56:S56" si="119">C56+H56+M56</f>
        <v>1784510</v>
      </c>
      <c r="S56" s="110">
        <f t="shared" si="119"/>
        <v>1046274</v>
      </c>
      <c r="T56" s="113">
        <f t="shared" si="8"/>
        <v>0.59470008388073536</v>
      </c>
      <c r="U56" s="113">
        <f t="shared" si="9"/>
        <v>0.34867792030430345</v>
      </c>
      <c r="V56" s="110"/>
      <c r="W56" s="110"/>
      <c r="X56" s="110"/>
      <c r="Y56" s="110"/>
      <c r="Z56" s="110"/>
      <c r="AA56" s="113"/>
      <c r="AB56" s="113"/>
      <c r="AC56" s="110"/>
      <c r="AD56" s="110"/>
      <c r="AE56" s="110"/>
      <c r="AF56" s="113"/>
      <c r="AG56" s="113"/>
      <c r="AH56" s="110">
        <v>1468764</v>
      </c>
      <c r="AI56" s="114">
        <v>1484971</v>
      </c>
      <c r="AJ56" s="114">
        <v>1344232</v>
      </c>
      <c r="AK56" s="111">
        <f t="shared" si="10"/>
        <v>1.0110344480120701</v>
      </c>
      <c r="AL56" s="111">
        <f t="shared" si="11"/>
        <v>0.91521306350101173</v>
      </c>
      <c r="AM56" s="114">
        <v>21553118</v>
      </c>
      <c r="AN56" s="114">
        <v>2384567</v>
      </c>
      <c r="AO56" s="114">
        <v>1263040</v>
      </c>
      <c r="AP56" s="111">
        <f t="shared" si="12"/>
        <v>0.11063675334585001</v>
      </c>
      <c r="AQ56" s="111">
        <f t="shared" si="13"/>
        <v>5.8601265951404337E-2</v>
      </c>
      <c r="AR56" s="110">
        <v>17327169</v>
      </c>
      <c r="AS56" s="114">
        <v>7848268</v>
      </c>
      <c r="AT56" s="114">
        <v>4190969</v>
      </c>
      <c r="AU56" s="111">
        <f t="shared" si="14"/>
        <v>0.45294577550435389</v>
      </c>
      <c r="AV56" s="111">
        <f t="shared" si="15"/>
        <v>0.24187269137849352</v>
      </c>
      <c r="AW56" s="115">
        <f t="shared" si="16"/>
        <v>40349051</v>
      </c>
      <c r="AX56" s="114">
        <f t="shared" ref="AX56:AY56" si="120">AI56+AN56+AS56</f>
        <v>11717806</v>
      </c>
      <c r="AY56" s="119">
        <f t="shared" si="120"/>
        <v>6798241</v>
      </c>
      <c r="AZ56" s="111">
        <f t="shared" si="18"/>
        <v>0.29041094423757324</v>
      </c>
      <c r="BA56" s="111">
        <f t="shared" si="19"/>
        <v>0.16848577182149835</v>
      </c>
      <c r="BB56" s="118">
        <f t="shared" si="24"/>
        <v>130666</v>
      </c>
      <c r="BC56" s="115"/>
      <c r="BD56" s="110"/>
      <c r="BE56" s="110"/>
      <c r="BF56" s="110"/>
      <c r="BG56" s="116"/>
      <c r="BH56" s="116"/>
      <c r="BI56" s="110"/>
      <c r="BJ56" s="110"/>
      <c r="BK56" s="117"/>
      <c r="BL56" s="113"/>
      <c r="BM56" s="113"/>
      <c r="BN56" s="113"/>
      <c r="BO56" s="113"/>
      <c r="BP56" s="118">
        <v>0</v>
      </c>
      <c r="BQ56" s="118">
        <v>0</v>
      </c>
      <c r="BR56" s="118">
        <v>0</v>
      </c>
      <c r="BS56" s="118">
        <v>0</v>
      </c>
    </row>
    <row r="57" spans="1:71" x14ac:dyDescent="0.25">
      <c r="A57" s="109">
        <v>44311</v>
      </c>
      <c r="B57" s="110">
        <v>112301</v>
      </c>
      <c r="C57" s="114">
        <v>126663</v>
      </c>
      <c r="D57" s="114">
        <v>110297</v>
      </c>
      <c r="E57" s="111">
        <f t="shared" si="0"/>
        <v>1.127888442667474</v>
      </c>
      <c r="F57" s="111">
        <f t="shared" si="1"/>
        <v>0.98215510102314318</v>
      </c>
      <c r="G57" s="110">
        <v>911631</v>
      </c>
      <c r="H57" s="114">
        <v>565919</v>
      </c>
      <c r="I57" s="114">
        <v>394656</v>
      </c>
      <c r="J57" s="112">
        <f t="shared" si="2"/>
        <v>0.62077638869235474</v>
      </c>
      <c r="K57" s="112">
        <f t="shared" si="3"/>
        <v>0.43291200057918172</v>
      </c>
      <c r="L57" s="110">
        <v>1976757</v>
      </c>
      <c r="M57" s="114">
        <v>1103805</v>
      </c>
      <c r="N57" s="114">
        <v>554636</v>
      </c>
      <c r="O57" s="111">
        <f t="shared" si="4"/>
        <v>0.55839185089517829</v>
      </c>
      <c r="P57" s="111">
        <f t="shared" si="5"/>
        <v>0.28057874589542364</v>
      </c>
      <c r="Q57" s="110">
        <v>3000689</v>
      </c>
      <c r="R57" s="110">
        <f t="shared" ref="R57:S57" si="121">C57+H57+M57</f>
        <v>1796387</v>
      </c>
      <c r="S57" s="110">
        <f t="shared" si="121"/>
        <v>1059589</v>
      </c>
      <c r="T57" s="113">
        <f t="shared" si="8"/>
        <v>0.5986581748391786</v>
      </c>
      <c r="U57" s="113">
        <f t="shared" si="9"/>
        <v>0.35311523453446858</v>
      </c>
      <c r="V57" s="110"/>
      <c r="W57" s="110"/>
      <c r="X57" s="110"/>
      <c r="Y57" s="110"/>
      <c r="Z57" s="110"/>
      <c r="AA57" s="113"/>
      <c r="AB57" s="113"/>
      <c r="AC57" s="110"/>
      <c r="AD57" s="110"/>
      <c r="AE57" s="110"/>
      <c r="AF57" s="113"/>
      <c r="AG57" s="113"/>
      <c r="AH57" s="110">
        <v>1468764</v>
      </c>
      <c r="AI57" s="114">
        <v>1485102</v>
      </c>
      <c r="AJ57" s="114">
        <v>1344441</v>
      </c>
      <c r="AK57" s="111">
        <f t="shared" si="10"/>
        <v>1.0111236386512741</v>
      </c>
      <c r="AL57" s="111">
        <f t="shared" si="11"/>
        <v>0.91535536001699391</v>
      </c>
      <c r="AM57" s="114">
        <v>21553118</v>
      </c>
      <c r="AN57" s="114">
        <v>2386671</v>
      </c>
      <c r="AO57" s="114">
        <v>1269557</v>
      </c>
      <c r="AP57" s="111">
        <f t="shared" si="12"/>
        <v>0.11073437263230314</v>
      </c>
      <c r="AQ57" s="111">
        <f t="shared" si="13"/>
        <v>5.8903635195612994E-2</v>
      </c>
      <c r="AR57" s="110">
        <v>17327169</v>
      </c>
      <c r="AS57" s="114">
        <v>7869046</v>
      </c>
      <c r="AT57" s="114">
        <v>4215417</v>
      </c>
      <c r="AU57" s="111">
        <f t="shared" si="14"/>
        <v>0.45414493273540529</v>
      </c>
      <c r="AV57" s="111">
        <f t="shared" si="15"/>
        <v>0.24328365470435476</v>
      </c>
      <c r="AW57" s="115">
        <f t="shared" si="16"/>
        <v>40349051</v>
      </c>
      <c r="AX57" s="114">
        <f t="shared" ref="AX57:AY57" si="122">AI57+AN57+AS57</f>
        <v>11740819</v>
      </c>
      <c r="AY57" s="119">
        <f t="shared" si="122"/>
        <v>6829415</v>
      </c>
      <c r="AZ57" s="111">
        <f t="shared" si="18"/>
        <v>0.29098129222419628</v>
      </c>
      <c r="BA57" s="111">
        <f t="shared" si="19"/>
        <v>0.16925837983153558</v>
      </c>
      <c r="BB57" s="118">
        <f t="shared" si="24"/>
        <v>23013</v>
      </c>
      <c r="BC57" s="115"/>
      <c r="BD57" s="110"/>
      <c r="BE57" s="110"/>
      <c r="BF57" s="110"/>
      <c r="BG57" s="116"/>
      <c r="BH57" s="116"/>
      <c r="BI57" s="110"/>
      <c r="BJ57" s="110"/>
      <c r="BK57" s="117"/>
      <c r="BL57" s="113"/>
      <c r="BM57" s="113"/>
      <c r="BN57" s="113"/>
      <c r="BO57" s="113"/>
      <c r="BP57" s="118">
        <v>0</v>
      </c>
      <c r="BQ57" s="118">
        <v>0</v>
      </c>
      <c r="BR57" s="118">
        <v>0</v>
      </c>
      <c r="BS57" s="118">
        <v>0</v>
      </c>
    </row>
    <row r="58" spans="1:71" x14ac:dyDescent="0.25">
      <c r="A58" s="109">
        <v>44312</v>
      </c>
      <c r="B58" s="110">
        <v>112301</v>
      </c>
      <c r="C58" s="114">
        <v>126864</v>
      </c>
      <c r="D58" s="114">
        <v>110554</v>
      </c>
      <c r="E58" s="111">
        <f t="shared" si="0"/>
        <v>1.1296782753492844</v>
      </c>
      <c r="F58" s="111">
        <f t="shared" si="1"/>
        <v>0.98444359355660238</v>
      </c>
      <c r="G58" s="110">
        <v>911631</v>
      </c>
      <c r="H58" s="114">
        <v>568335</v>
      </c>
      <c r="I58" s="114">
        <v>416922</v>
      </c>
      <c r="J58" s="112">
        <f t="shared" si="2"/>
        <v>0.62342658378225402</v>
      </c>
      <c r="K58" s="112">
        <f t="shared" si="3"/>
        <v>0.45733635648634152</v>
      </c>
      <c r="L58" s="110">
        <v>1976757</v>
      </c>
      <c r="M58" s="114">
        <v>1127512</v>
      </c>
      <c r="N58" s="114">
        <v>577131</v>
      </c>
      <c r="O58" s="111">
        <f t="shared" si="4"/>
        <v>0.57038472609430502</v>
      </c>
      <c r="P58" s="111">
        <f t="shared" si="5"/>
        <v>0.2919584956572811</v>
      </c>
      <c r="Q58" s="110">
        <v>3000689</v>
      </c>
      <c r="R58" s="110">
        <f t="shared" ref="R58:S58" si="123">C58+H58+M58</f>
        <v>1822711</v>
      </c>
      <c r="S58" s="110">
        <f t="shared" si="123"/>
        <v>1104607</v>
      </c>
      <c r="T58" s="113">
        <f t="shared" si="8"/>
        <v>0.60743082672012993</v>
      </c>
      <c r="U58" s="113">
        <f t="shared" si="9"/>
        <v>0.368117788947805</v>
      </c>
      <c r="V58" s="110"/>
      <c r="W58" s="110"/>
      <c r="X58" s="110"/>
      <c r="Y58" s="110"/>
      <c r="Z58" s="110"/>
      <c r="AA58" s="113"/>
      <c r="AB58" s="113"/>
      <c r="AC58" s="110"/>
      <c r="AD58" s="110"/>
      <c r="AE58" s="110"/>
      <c r="AF58" s="113"/>
      <c r="AG58" s="113"/>
      <c r="AH58" s="110">
        <v>1468764</v>
      </c>
      <c r="AI58" s="114">
        <v>1486574</v>
      </c>
      <c r="AJ58" s="114">
        <v>1346352</v>
      </c>
      <c r="AK58" s="111">
        <f t="shared" si="10"/>
        <v>1.0121258418643158</v>
      </c>
      <c r="AL58" s="111">
        <f t="shared" si="11"/>
        <v>0.91665645399805551</v>
      </c>
      <c r="AM58" s="114">
        <v>21553118</v>
      </c>
      <c r="AN58" s="114">
        <v>2417375</v>
      </c>
      <c r="AO58" s="114">
        <v>1332721</v>
      </c>
      <c r="AP58" s="111">
        <f t="shared" si="12"/>
        <v>0.11215894609772933</v>
      </c>
      <c r="AQ58" s="111">
        <f t="shared" si="13"/>
        <v>6.1834255257174391E-2</v>
      </c>
      <c r="AR58" s="110">
        <v>17327169</v>
      </c>
      <c r="AS58" s="114">
        <v>7967909</v>
      </c>
      <c r="AT58" s="114">
        <v>4344278</v>
      </c>
      <c r="AU58" s="111">
        <f t="shared" si="14"/>
        <v>0.45985059648232207</v>
      </c>
      <c r="AV58" s="111">
        <f t="shared" si="15"/>
        <v>0.2507205879968043</v>
      </c>
      <c r="AW58" s="115">
        <f t="shared" si="16"/>
        <v>40349051</v>
      </c>
      <c r="AX58" s="114">
        <f t="shared" ref="AX58:AY58" si="124">AI58+AN58+AS58</f>
        <v>11871858</v>
      </c>
      <c r="AY58" s="119">
        <f t="shared" si="124"/>
        <v>7023351</v>
      </c>
      <c r="AZ58" s="111">
        <f t="shared" si="18"/>
        <v>0.29422892746597684</v>
      </c>
      <c r="BA58" s="111">
        <f t="shared" si="19"/>
        <v>0.17406483736135456</v>
      </c>
      <c r="BB58" s="118">
        <f t="shared" si="24"/>
        <v>131039</v>
      </c>
      <c r="BC58" s="115"/>
      <c r="BD58" s="110"/>
      <c r="BE58" s="110"/>
      <c r="BF58" s="110"/>
      <c r="BG58" s="116"/>
      <c r="BH58" s="116"/>
      <c r="BI58" s="110"/>
      <c r="BJ58" s="110"/>
      <c r="BK58" s="117"/>
      <c r="BL58" s="113"/>
      <c r="BM58" s="113"/>
      <c r="BN58" s="113"/>
      <c r="BO58" s="113"/>
      <c r="BP58" s="118">
        <v>0</v>
      </c>
      <c r="BQ58" s="118">
        <v>0</v>
      </c>
      <c r="BR58" s="118">
        <v>0</v>
      </c>
      <c r="BS58" s="118">
        <v>0</v>
      </c>
    </row>
    <row r="59" spans="1:71" x14ac:dyDescent="0.25">
      <c r="A59" s="109">
        <v>44313</v>
      </c>
      <c r="B59" s="110">
        <v>112301</v>
      </c>
      <c r="C59" s="114">
        <v>127101</v>
      </c>
      <c r="D59" s="114">
        <v>110788</v>
      </c>
      <c r="E59" s="111">
        <f t="shared" si="0"/>
        <v>1.1317886750785835</v>
      </c>
      <c r="F59" s="111">
        <f t="shared" si="1"/>
        <v>0.98652727936527729</v>
      </c>
      <c r="G59" s="110">
        <v>911631</v>
      </c>
      <c r="H59" s="114">
        <v>570852</v>
      </c>
      <c r="I59" s="114">
        <v>432310</v>
      </c>
      <c r="J59" s="112">
        <f t="shared" si="2"/>
        <v>0.62618756931258368</v>
      </c>
      <c r="K59" s="112">
        <f t="shared" si="3"/>
        <v>0.47421599309369689</v>
      </c>
      <c r="L59" s="110">
        <v>1976757</v>
      </c>
      <c r="M59" s="114">
        <v>1152521</v>
      </c>
      <c r="N59" s="114">
        <v>699388</v>
      </c>
      <c r="O59" s="111">
        <f t="shared" si="4"/>
        <v>0.58303625584732977</v>
      </c>
      <c r="P59" s="111">
        <f t="shared" si="5"/>
        <v>0.35380575356505628</v>
      </c>
      <c r="Q59" s="110">
        <v>3000689</v>
      </c>
      <c r="R59" s="110">
        <f t="shared" ref="R59:S59" si="125">C59+H59+M59</f>
        <v>1850474</v>
      </c>
      <c r="S59" s="110">
        <f t="shared" si="125"/>
        <v>1242486</v>
      </c>
      <c r="T59" s="113">
        <f t="shared" si="8"/>
        <v>0.61668303512959854</v>
      </c>
      <c r="U59" s="113">
        <f t="shared" si="9"/>
        <v>0.41406690263469492</v>
      </c>
      <c r="V59" s="110"/>
      <c r="W59" s="110"/>
      <c r="X59" s="110"/>
      <c r="Y59" s="110"/>
      <c r="Z59" s="110"/>
      <c r="AA59" s="113"/>
      <c r="AB59" s="113"/>
      <c r="AC59" s="110"/>
      <c r="AD59" s="110"/>
      <c r="AE59" s="110"/>
      <c r="AF59" s="113"/>
      <c r="AG59" s="113"/>
      <c r="AH59" s="110">
        <v>1468764</v>
      </c>
      <c r="AI59" s="114">
        <v>1488135</v>
      </c>
      <c r="AJ59" s="114">
        <v>1348327</v>
      </c>
      <c r="AK59" s="111">
        <f t="shared" si="10"/>
        <v>1.0131886402444505</v>
      </c>
      <c r="AL59" s="111">
        <f t="shared" si="11"/>
        <v>0.91800112203185813</v>
      </c>
      <c r="AM59" s="114">
        <v>21553118</v>
      </c>
      <c r="AN59" s="114">
        <v>2450582</v>
      </c>
      <c r="AO59" s="114">
        <v>1390926</v>
      </c>
      <c r="AP59" s="111">
        <f t="shared" si="12"/>
        <v>0.11369965125231532</v>
      </c>
      <c r="AQ59" s="111">
        <f t="shared" si="13"/>
        <v>6.4534792599381677E-2</v>
      </c>
      <c r="AR59" s="110">
        <v>17327169</v>
      </c>
      <c r="AS59" s="114">
        <v>8076455</v>
      </c>
      <c r="AT59" s="114">
        <v>4475281</v>
      </c>
      <c r="AU59" s="111">
        <f t="shared" si="14"/>
        <v>0.46611509358510905</v>
      </c>
      <c r="AV59" s="111">
        <f t="shared" si="15"/>
        <v>0.25828114217619741</v>
      </c>
      <c r="AW59" s="115">
        <f t="shared" si="16"/>
        <v>40349051</v>
      </c>
      <c r="AX59" s="114">
        <f t="shared" ref="AX59:AY59" si="126">AI59+AN59+AS59</f>
        <v>12015172</v>
      </c>
      <c r="AY59" s="119">
        <f t="shared" si="126"/>
        <v>7214534</v>
      </c>
      <c r="AZ59" s="111">
        <f t="shared" si="18"/>
        <v>0.29778078299784549</v>
      </c>
      <c r="BA59" s="111">
        <f t="shared" si="19"/>
        <v>0.17880306528151058</v>
      </c>
      <c r="BB59" s="118">
        <f t="shared" si="24"/>
        <v>143314</v>
      </c>
      <c r="BC59" s="115"/>
      <c r="BD59" s="110"/>
      <c r="BE59" s="110"/>
      <c r="BF59" s="110"/>
      <c r="BG59" s="116"/>
      <c r="BH59" s="116"/>
      <c r="BI59" s="110"/>
      <c r="BJ59" s="110"/>
      <c r="BK59" s="117"/>
      <c r="BL59" s="113"/>
      <c r="BM59" s="113"/>
      <c r="BN59" s="113"/>
      <c r="BO59" s="113"/>
      <c r="BP59" s="118">
        <v>0</v>
      </c>
      <c r="BQ59" s="118">
        <v>0</v>
      </c>
      <c r="BR59" s="118">
        <v>0</v>
      </c>
      <c r="BS59" s="118">
        <v>0</v>
      </c>
    </row>
    <row r="60" spans="1:71" x14ac:dyDescent="0.25">
      <c r="A60" s="109">
        <v>44314</v>
      </c>
      <c r="B60" s="110">
        <v>112301</v>
      </c>
      <c r="C60" s="114">
        <v>127317</v>
      </c>
      <c r="D60" s="114">
        <v>111063</v>
      </c>
      <c r="E60" s="111">
        <f t="shared" si="0"/>
        <v>1.1337120773635141</v>
      </c>
      <c r="F60" s="111">
        <f t="shared" si="1"/>
        <v>0.98897605542248068</v>
      </c>
      <c r="G60" s="110">
        <v>911631</v>
      </c>
      <c r="H60" s="114">
        <v>572898</v>
      </c>
      <c r="I60" s="114">
        <v>446748</v>
      </c>
      <c r="J60" s="112">
        <f t="shared" si="2"/>
        <v>0.62843189843258951</v>
      </c>
      <c r="K60" s="112">
        <f t="shared" si="3"/>
        <v>0.49005354139997431</v>
      </c>
      <c r="L60" s="110">
        <v>1976757</v>
      </c>
      <c r="M60" s="114">
        <v>1178054</v>
      </c>
      <c r="N60" s="114">
        <v>625051</v>
      </c>
      <c r="O60" s="111">
        <f t="shared" si="4"/>
        <v>0.59595286623494947</v>
      </c>
      <c r="P60" s="111">
        <f t="shared" si="5"/>
        <v>0.31620022086680355</v>
      </c>
      <c r="Q60" s="110">
        <v>3000689</v>
      </c>
      <c r="R60" s="110">
        <f t="shared" ref="R60:S60" si="127">C60+H60+M60</f>
        <v>1878269</v>
      </c>
      <c r="S60" s="110">
        <f t="shared" si="127"/>
        <v>1182862</v>
      </c>
      <c r="T60" s="113">
        <f t="shared" si="8"/>
        <v>0.62594590775651859</v>
      </c>
      <c r="U60" s="113">
        <f t="shared" si="9"/>
        <v>0.39419679946838876</v>
      </c>
      <c r="V60" s="110"/>
      <c r="W60" s="110"/>
      <c r="X60" s="110"/>
      <c r="Y60" s="110"/>
      <c r="Z60" s="110"/>
      <c r="AA60" s="113"/>
      <c r="AB60" s="113"/>
      <c r="AC60" s="110"/>
      <c r="AD60" s="110"/>
      <c r="AE60" s="110"/>
      <c r="AF60" s="113"/>
      <c r="AG60" s="113"/>
      <c r="AH60" s="110">
        <v>1468764</v>
      </c>
      <c r="AI60" s="114">
        <v>1489628</v>
      </c>
      <c r="AJ60" s="114">
        <v>1350703</v>
      </c>
      <c r="AK60" s="111">
        <f t="shared" si="10"/>
        <v>1.0142051411935478</v>
      </c>
      <c r="AL60" s="111">
        <f t="shared" si="11"/>
        <v>0.91961880873986568</v>
      </c>
      <c r="AM60" s="114">
        <v>21553118</v>
      </c>
      <c r="AN60" s="114">
        <v>2484374</v>
      </c>
      <c r="AO60" s="114">
        <v>1451949</v>
      </c>
      <c r="AP60" s="111">
        <f t="shared" si="12"/>
        <v>0.11526749865147122</v>
      </c>
      <c r="AQ60" s="111">
        <f t="shared" si="13"/>
        <v>6.7366076685517154E-2</v>
      </c>
      <c r="AR60" s="110">
        <v>17327169</v>
      </c>
      <c r="AS60" s="114">
        <v>8175635</v>
      </c>
      <c r="AT60" s="114">
        <v>4608443</v>
      </c>
      <c r="AU60" s="111">
        <f t="shared" si="14"/>
        <v>0.4718390522998881</v>
      </c>
      <c r="AV60" s="111">
        <f t="shared" si="15"/>
        <v>0.26596629836068431</v>
      </c>
      <c r="AW60" s="115">
        <f t="shared" si="16"/>
        <v>40349051</v>
      </c>
      <c r="AX60" s="114">
        <f t="shared" ref="AX60:AY60" si="128">AI60+AN60+AS60</f>
        <v>12149637</v>
      </c>
      <c r="AY60" s="119">
        <f t="shared" si="128"/>
        <v>7411095</v>
      </c>
      <c r="AZ60" s="111">
        <f t="shared" si="18"/>
        <v>0.30111332729981677</v>
      </c>
      <c r="BA60" s="111">
        <f t="shared" si="19"/>
        <v>0.18367458010350726</v>
      </c>
      <c r="BB60" s="118">
        <f t="shared" si="24"/>
        <v>134465</v>
      </c>
      <c r="BC60" s="115"/>
      <c r="BD60" s="110"/>
      <c r="BE60" s="110"/>
      <c r="BF60" s="110"/>
      <c r="BG60" s="116"/>
      <c r="BH60" s="116"/>
      <c r="BI60" s="110"/>
      <c r="BJ60" s="110"/>
      <c r="BK60" s="117"/>
      <c r="BL60" s="113"/>
      <c r="BM60" s="113"/>
      <c r="BN60" s="113"/>
      <c r="BO60" s="113"/>
      <c r="BP60" s="118">
        <v>0</v>
      </c>
      <c r="BQ60" s="118">
        <v>0</v>
      </c>
      <c r="BR60" s="118">
        <v>0</v>
      </c>
      <c r="BS60" s="118">
        <v>0</v>
      </c>
    </row>
    <row r="61" spans="1:71" x14ac:dyDescent="0.25">
      <c r="A61" s="109">
        <v>44315</v>
      </c>
      <c r="B61" s="110">
        <v>112301</v>
      </c>
      <c r="C61" s="114">
        <v>127525</v>
      </c>
      <c r="D61" s="114">
        <v>111399</v>
      </c>
      <c r="E61" s="111">
        <f t="shared" si="0"/>
        <v>1.1355642425267807</v>
      </c>
      <c r="F61" s="111">
        <f t="shared" si="1"/>
        <v>0.99196801453237282</v>
      </c>
      <c r="G61" s="110">
        <v>911631</v>
      </c>
      <c r="H61" s="114">
        <v>574631</v>
      </c>
      <c r="I61" s="114">
        <v>453025</v>
      </c>
      <c r="J61" s="112">
        <f t="shared" si="2"/>
        <v>0.6303328868807665</v>
      </c>
      <c r="K61" s="112">
        <f t="shared" si="3"/>
        <v>0.49693900273246522</v>
      </c>
      <c r="L61" s="110">
        <v>1976757</v>
      </c>
      <c r="M61" s="114">
        <v>1203940</v>
      </c>
      <c r="N61" s="114">
        <v>650068</v>
      </c>
      <c r="O61" s="111">
        <f t="shared" si="4"/>
        <v>0.60904805193556921</v>
      </c>
      <c r="P61" s="111">
        <f t="shared" si="5"/>
        <v>0.32885579765241757</v>
      </c>
      <c r="Q61" s="110">
        <v>3000689</v>
      </c>
      <c r="R61" s="110">
        <f t="shared" ref="R61:S61" si="129">C61+H61+M61</f>
        <v>1906096</v>
      </c>
      <c r="S61" s="110">
        <f t="shared" si="129"/>
        <v>1214492</v>
      </c>
      <c r="T61" s="113">
        <f t="shared" si="8"/>
        <v>0.63521944460088997</v>
      </c>
      <c r="U61" s="113">
        <f t="shared" si="9"/>
        <v>0.40473771190549906</v>
      </c>
      <c r="V61" s="110"/>
      <c r="W61" s="110"/>
      <c r="X61" s="110"/>
      <c r="Y61" s="110"/>
      <c r="Z61" s="110"/>
      <c r="AA61" s="113"/>
      <c r="AB61" s="113"/>
      <c r="AC61" s="110"/>
      <c r="AD61" s="110"/>
      <c r="AE61" s="110"/>
      <c r="AF61" s="113"/>
      <c r="AG61" s="113"/>
      <c r="AH61" s="110">
        <v>1468764</v>
      </c>
      <c r="AI61" s="114">
        <v>1491053</v>
      </c>
      <c r="AJ61" s="114">
        <v>1352846</v>
      </c>
      <c r="AK61" s="111">
        <f t="shared" si="10"/>
        <v>1.0151753447116079</v>
      </c>
      <c r="AL61" s="111">
        <f t="shared" si="11"/>
        <v>0.92107785866211322</v>
      </c>
      <c r="AM61" s="114">
        <v>21553118</v>
      </c>
      <c r="AN61" s="114">
        <v>2520487</v>
      </c>
      <c r="AO61" s="114">
        <v>1499869</v>
      </c>
      <c r="AP61" s="111">
        <f t="shared" si="12"/>
        <v>0.11694303348592069</v>
      </c>
      <c r="AQ61" s="111">
        <f t="shared" si="13"/>
        <v>6.9589420890286038E-2</v>
      </c>
      <c r="AR61" s="110">
        <v>17327169</v>
      </c>
      <c r="AS61" s="114">
        <v>8294475</v>
      </c>
      <c r="AT61" s="114">
        <v>4730728</v>
      </c>
      <c r="AU61" s="111">
        <f t="shared" si="14"/>
        <v>0.47869764529912534</v>
      </c>
      <c r="AV61" s="111">
        <f t="shared" si="15"/>
        <v>0.27302371206744735</v>
      </c>
      <c r="AW61" s="115">
        <f t="shared" si="16"/>
        <v>40349051</v>
      </c>
      <c r="AX61" s="114">
        <f t="shared" ref="AX61:AY61" si="130">AI61+AN61+AS61</f>
        <v>12306015</v>
      </c>
      <c r="AY61" s="119">
        <f t="shared" si="130"/>
        <v>7583443</v>
      </c>
      <c r="AZ61" s="111">
        <f t="shared" si="18"/>
        <v>0.30498895748502236</v>
      </c>
      <c r="BA61" s="111">
        <f t="shared" si="19"/>
        <v>0.18794600646245682</v>
      </c>
      <c r="BB61" s="118">
        <f t="shared" si="24"/>
        <v>156378</v>
      </c>
      <c r="BC61" s="115"/>
      <c r="BD61" s="110"/>
      <c r="BE61" s="110"/>
      <c r="BF61" s="110"/>
      <c r="BG61" s="116"/>
      <c r="BH61" s="116"/>
      <c r="BI61" s="110"/>
      <c r="BJ61" s="110"/>
      <c r="BK61" s="117"/>
      <c r="BL61" s="113"/>
      <c r="BM61" s="113"/>
      <c r="BN61" s="113"/>
      <c r="BO61" s="113"/>
      <c r="BP61" s="118">
        <v>0</v>
      </c>
      <c r="BQ61" s="118">
        <v>0</v>
      </c>
      <c r="BR61" s="118">
        <v>0</v>
      </c>
      <c r="BS61" s="118">
        <v>0</v>
      </c>
    </row>
    <row r="62" spans="1:71" x14ac:dyDescent="0.25">
      <c r="A62" s="109">
        <v>44316</v>
      </c>
      <c r="B62" s="110">
        <v>112301</v>
      </c>
      <c r="C62" s="114">
        <v>127800</v>
      </c>
      <c r="D62" s="114">
        <v>111554</v>
      </c>
      <c r="E62" s="111">
        <f t="shared" si="0"/>
        <v>1.1380130185839841</v>
      </c>
      <c r="F62" s="111">
        <f t="shared" si="1"/>
        <v>0.99334823376461479</v>
      </c>
      <c r="G62" s="110">
        <v>911631</v>
      </c>
      <c r="H62" s="114">
        <v>576085</v>
      </c>
      <c r="I62" s="114">
        <v>455627</v>
      </c>
      <c r="J62" s="112">
        <f t="shared" si="2"/>
        <v>0.63192783044894263</v>
      </c>
      <c r="K62" s="112">
        <f t="shared" si="3"/>
        <v>0.49979322774236506</v>
      </c>
      <c r="L62" s="110">
        <v>1976757</v>
      </c>
      <c r="M62" s="114">
        <v>1231164</v>
      </c>
      <c r="N62" s="114">
        <v>664088</v>
      </c>
      <c r="O62" s="111">
        <f t="shared" si="4"/>
        <v>0.62282010383673869</v>
      </c>
      <c r="P62" s="111">
        <f t="shared" si="5"/>
        <v>0.33594822226505333</v>
      </c>
      <c r="Q62" s="110">
        <v>3000689</v>
      </c>
      <c r="R62" s="110">
        <f t="shared" ref="R62:S62" si="131">C62+H62+M62</f>
        <v>1935049</v>
      </c>
      <c r="S62" s="110">
        <f t="shared" si="131"/>
        <v>1231269</v>
      </c>
      <c r="T62" s="113">
        <f t="shared" si="8"/>
        <v>0.64486822859683224</v>
      </c>
      <c r="U62" s="113">
        <f t="shared" si="9"/>
        <v>0.41032876116118666</v>
      </c>
      <c r="V62" s="110"/>
      <c r="W62" s="110"/>
      <c r="X62" s="110"/>
      <c r="Y62" s="110"/>
      <c r="Z62" s="110"/>
      <c r="AA62" s="113"/>
      <c r="AB62" s="113"/>
      <c r="AC62" s="110"/>
      <c r="AD62" s="110"/>
      <c r="AE62" s="110"/>
      <c r="AF62" s="113"/>
      <c r="AG62" s="113"/>
      <c r="AH62" s="110">
        <v>1468764</v>
      </c>
      <c r="AI62" s="114">
        <v>1492208</v>
      </c>
      <c r="AJ62" s="114">
        <v>1353880</v>
      </c>
      <c r="AK62" s="111">
        <f t="shared" si="10"/>
        <v>1.0159617201946671</v>
      </c>
      <c r="AL62" s="111">
        <f t="shared" si="11"/>
        <v>0.92178185195170903</v>
      </c>
      <c r="AM62" s="114">
        <v>21553118</v>
      </c>
      <c r="AN62" s="114">
        <v>2545562</v>
      </c>
      <c r="AO62" s="114">
        <v>1511246</v>
      </c>
      <c r="AP62" s="111">
        <f t="shared" si="12"/>
        <v>0.11810643824248537</v>
      </c>
      <c r="AQ62" s="111">
        <f t="shared" si="13"/>
        <v>7.0117279550921591E-2</v>
      </c>
      <c r="AR62" s="110">
        <v>17327169</v>
      </c>
      <c r="AS62" s="114">
        <v>8383743</v>
      </c>
      <c r="AT62" s="114">
        <v>4781158</v>
      </c>
      <c r="AU62" s="111">
        <f t="shared" si="14"/>
        <v>0.48384955441942074</v>
      </c>
      <c r="AV62" s="111">
        <f t="shared" si="15"/>
        <v>0.27593417020403044</v>
      </c>
      <c r="AW62" s="115">
        <f t="shared" si="16"/>
        <v>40349051</v>
      </c>
      <c r="AX62" s="114">
        <f t="shared" ref="AX62:AY62" si="132">AI62+AN62+AS62</f>
        <v>12421513</v>
      </c>
      <c r="AY62" s="119">
        <f t="shared" si="132"/>
        <v>7646284</v>
      </c>
      <c r="AZ62" s="111">
        <f t="shared" si="18"/>
        <v>0.30785142877338056</v>
      </c>
      <c r="BA62" s="111">
        <f t="shared" si="19"/>
        <v>0.18950344086159548</v>
      </c>
      <c r="BB62" s="118">
        <f t="shared" si="24"/>
        <v>115498</v>
      </c>
      <c r="BC62" s="115"/>
      <c r="BD62" s="110"/>
      <c r="BE62" s="110"/>
      <c r="BF62" s="110"/>
      <c r="BG62" s="116"/>
      <c r="BH62" s="116"/>
      <c r="BI62" s="110"/>
      <c r="BJ62" s="110"/>
      <c r="BK62" s="117"/>
      <c r="BL62" s="113"/>
      <c r="BM62" s="113"/>
      <c r="BN62" s="113"/>
      <c r="BO62" s="113"/>
      <c r="BP62" s="118">
        <v>0</v>
      </c>
      <c r="BQ62" s="118">
        <v>0</v>
      </c>
      <c r="BR62" s="118">
        <v>0</v>
      </c>
      <c r="BS62" s="118">
        <v>0</v>
      </c>
    </row>
    <row r="63" spans="1:71" x14ac:dyDescent="0.25">
      <c r="A63" s="109">
        <v>44317</v>
      </c>
      <c r="B63" s="110">
        <v>112301</v>
      </c>
      <c r="C63" s="114">
        <v>127812</v>
      </c>
      <c r="D63" s="114">
        <v>111574</v>
      </c>
      <c r="E63" s="111">
        <f t="shared" si="0"/>
        <v>1.1381198742664802</v>
      </c>
      <c r="F63" s="111">
        <f t="shared" si="1"/>
        <v>0.99352632656877504</v>
      </c>
      <c r="G63" s="110">
        <v>911631</v>
      </c>
      <c r="H63" s="114">
        <v>576250</v>
      </c>
      <c r="I63" s="114">
        <v>456820</v>
      </c>
      <c r="J63" s="112">
        <f t="shared" si="2"/>
        <v>0.63210882473281405</v>
      </c>
      <c r="K63" s="112">
        <f t="shared" si="3"/>
        <v>0.50110187126150818</v>
      </c>
      <c r="L63" s="110">
        <v>1976757</v>
      </c>
      <c r="M63" s="114">
        <v>1239584</v>
      </c>
      <c r="N63" s="114">
        <v>676798</v>
      </c>
      <c r="O63" s="111">
        <f t="shared" si="4"/>
        <v>0.62707960563690934</v>
      </c>
      <c r="P63" s="111">
        <f t="shared" si="5"/>
        <v>0.34237794529120169</v>
      </c>
      <c r="Q63" s="110">
        <v>3000689</v>
      </c>
      <c r="R63" s="110">
        <f t="shared" ref="R63:S63" si="133">C63+H63+M63</f>
        <v>1943646</v>
      </c>
      <c r="S63" s="110">
        <f t="shared" si="133"/>
        <v>1245192</v>
      </c>
      <c r="T63" s="113">
        <f t="shared" si="8"/>
        <v>0.64773323726650778</v>
      </c>
      <c r="U63" s="113">
        <f t="shared" si="9"/>
        <v>0.41496869552292825</v>
      </c>
      <c r="V63" s="110"/>
      <c r="W63" s="110"/>
      <c r="X63" s="110"/>
      <c r="Y63" s="110"/>
      <c r="Z63" s="110"/>
      <c r="AA63" s="113"/>
      <c r="AB63" s="113"/>
      <c r="AC63" s="110"/>
      <c r="AD63" s="110"/>
      <c r="AE63" s="110"/>
      <c r="AF63" s="113"/>
      <c r="AG63" s="113"/>
      <c r="AH63" s="110">
        <v>1468764</v>
      </c>
      <c r="AI63" s="114">
        <v>1492380</v>
      </c>
      <c r="AJ63" s="114">
        <v>1354040</v>
      </c>
      <c r="AK63" s="111">
        <f t="shared" si="10"/>
        <v>1.0160788254614084</v>
      </c>
      <c r="AL63" s="111">
        <f t="shared" si="11"/>
        <v>0.92189078708356142</v>
      </c>
      <c r="AM63" s="114">
        <v>21553118</v>
      </c>
      <c r="AN63" s="114">
        <v>2548948</v>
      </c>
      <c r="AO63" s="114">
        <v>1516279</v>
      </c>
      <c r="AP63" s="111">
        <f t="shared" si="12"/>
        <v>0.11826353848199597</v>
      </c>
      <c r="AQ63" s="111">
        <f t="shared" si="13"/>
        <v>7.035079564822129E-2</v>
      </c>
      <c r="AR63" s="110">
        <v>17327169</v>
      </c>
      <c r="AS63" s="114">
        <v>8415096</v>
      </c>
      <c r="AT63" s="114">
        <v>4808166</v>
      </c>
      <c r="AU63" s="111">
        <f t="shared" si="14"/>
        <v>0.48565902485281931</v>
      </c>
      <c r="AV63" s="111">
        <f t="shared" si="15"/>
        <v>0.27749287838076725</v>
      </c>
      <c r="AW63" s="115">
        <f t="shared" si="16"/>
        <v>40349051</v>
      </c>
      <c r="AX63" s="114">
        <f t="shared" ref="AX63:AY63" si="134">AI63+AN63+AS63</f>
        <v>12456424</v>
      </c>
      <c r="AY63" s="119">
        <f t="shared" si="134"/>
        <v>7678485</v>
      </c>
      <c r="AZ63" s="111">
        <f t="shared" si="18"/>
        <v>0.3087166535837485</v>
      </c>
      <c r="BA63" s="111">
        <f t="shared" si="19"/>
        <v>0.19030150176270563</v>
      </c>
      <c r="BB63" s="118">
        <f t="shared" si="24"/>
        <v>34911</v>
      </c>
      <c r="BC63" s="115"/>
      <c r="BD63" s="110"/>
      <c r="BE63" s="110"/>
      <c r="BF63" s="110"/>
      <c r="BG63" s="116"/>
      <c r="BH63" s="116"/>
      <c r="BI63" s="110"/>
      <c r="BJ63" s="110"/>
      <c r="BK63" s="117"/>
      <c r="BL63" s="113"/>
      <c r="BM63" s="113"/>
      <c r="BN63" s="113"/>
      <c r="BO63" s="113"/>
      <c r="BP63" s="118">
        <v>0</v>
      </c>
      <c r="BQ63" s="118">
        <v>0</v>
      </c>
      <c r="BR63" s="118">
        <v>0</v>
      </c>
      <c r="BS63" s="118">
        <v>0</v>
      </c>
    </row>
    <row r="64" spans="1:71" x14ac:dyDescent="0.25">
      <c r="A64" s="109">
        <v>44318</v>
      </c>
      <c r="B64" s="110">
        <v>112301</v>
      </c>
      <c r="C64" s="114">
        <v>127813</v>
      </c>
      <c r="D64" s="114">
        <v>111576</v>
      </c>
      <c r="E64" s="111">
        <f t="shared" si="0"/>
        <v>1.1381287789066883</v>
      </c>
      <c r="F64" s="111">
        <f t="shared" si="1"/>
        <v>0.99354413584919099</v>
      </c>
      <c r="G64" s="110">
        <v>911631</v>
      </c>
      <c r="H64" s="114">
        <v>576362</v>
      </c>
      <c r="I64" s="114">
        <v>457590</v>
      </c>
      <c r="J64" s="112">
        <f t="shared" si="2"/>
        <v>0.6322316814588359</v>
      </c>
      <c r="K64" s="112">
        <f t="shared" si="3"/>
        <v>0.50194651125290823</v>
      </c>
      <c r="L64" s="110">
        <v>1976757</v>
      </c>
      <c r="M64" s="114">
        <v>1243811</v>
      </c>
      <c r="N64" s="114">
        <v>687800</v>
      </c>
      <c r="O64" s="111">
        <f t="shared" si="4"/>
        <v>0.62921795648124679</v>
      </c>
      <c r="P64" s="111">
        <f t="shared" si="5"/>
        <v>0.34794362685954822</v>
      </c>
      <c r="Q64" s="110">
        <v>3000689</v>
      </c>
      <c r="R64" s="110">
        <f t="shared" ref="R64:S64" si="135">C64+H64+M64</f>
        <v>1947986</v>
      </c>
      <c r="S64" s="110">
        <f t="shared" si="135"/>
        <v>1256966</v>
      </c>
      <c r="T64" s="113">
        <f t="shared" si="8"/>
        <v>0.64917957175835284</v>
      </c>
      <c r="U64" s="113">
        <f t="shared" si="9"/>
        <v>0.41889246103144978</v>
      </c>
      <c r="V64" s="110"/>
      <c r="W64" s="110"/>
      <c r="X64" s="110"/>
      <c r="Y64" s="110"/>
      <c r="Z64" s="110"/>
      <c r="AA64" s="113"/>
      <c r="AB64" s="113"/>
      <c r="AC64" s="110"/>
      <c r="AD64" s="110"/>
      <c r="AE64" s="110"/>
      <c r="AF64" s="113"/>
      <c r="AG64" s="113"/>
      <c r="AH64" s="110">
        <v>1468764</v>
      </c>
      <c r="AI64" s="114">
        <v>1492468</v>
      </c>
      <c r="AJ64" s="114">
        <v>1354159</v>
      </c>
      <c r="AK64" s="111">
        <f t="shared" si="10"/>
        <v>1.0161387397839272</v>
      </c>
      <c r="AL64" s="111">
        <f t="shared" si="11"/>
        <v>0.92197180758787656</v>
      </c>
      <c r="AM64" s="114">
        <v>21553118</v>
      </c>
      <c r="AN64" s="114">
        <v>2550173</v>
      </c>
      <c r="AO64" s="114">
        <v>1519705</v>
      </c>
      <c r="AP64" s="111">
        <f t="shared" si="12"/>
        <v>0.11832037480609534</v>
      </c>
      <c r="AQ64" s="111">
        <f t="shared" si="13"/>
        <v>7.0509751767702467E-2</v>
      </c>
      <c r="AR64" s="110">
        <v>17327169</v>
      </c>
      <c r="AS64" s="114">
        <v>8426025</v>
      </c>
      <c r="AT64" s="114">
        <v>4829246</v>
      </c>
      <c r="AU64" s="111">
        <f t="shared" si="14"/>
        <v>0.48628976839782656</v>
      </c>
      <c r="AV64" s="111">
        <f t="shared" si="15"/>
        <v>0.27870946488719539</v>
      </c>
      <c r="AW64" s="115">
        <f t="shared" si="16"/>
        <v>40349051</v>
      </c>
      <c r="AX64" s="114">
        <f t="shared" ref="AX64:AY64" si="136">AI64+AN64+AS64</f>
        <v>12468666</v>
      </c>
      <c r="AY64" s="119">
        <f t="shared" si="136"/>
        <v>7703110</v>
      </c>
      <c r="AZ64" s="111">
        <f t="shared" si="18"/>
        <v>0.3090200560107349</v>
      </c>
      <c r="BA64" s="111">
        <f t="shared" si="19"/>
        <v>0.19091180112265838</v>
      </c>
      <c r="BB64" s="118">
        <f t="shared" si="24"/>
        <v>12242</v>
      </c>
      <c r="BC64" s="115"/>
      <c r="BD64" s="110"/>
      <c r="BE64" s="110"/>
      <c r="BF64" s="110"/>
      <c r="BG64" s="116"/>
      <c r="BH64" s="116"/>
      <c r="BI64" s="110"/>
      <c r="BJ64" s="110"/>
      <c r="BK64" s="117"/>
      <c r="BL64" s="113"/>
      <c r="BM64" s="113"/>
      <c r="BN64" s="113"/>
      <c r="BO64" s="113"/>
      <c r="BP64" s="118">
        <v>0</v>
      </c>
      <c r="BQ64" s="118">
        <v>0</v>
      </c>
      <c r="BR64" s="118">
        <v>0</v>
      </c>
      <c r="BS64" s="118">
        <v>0</v>
      </c>
    </row>
    <row r="65" spans="1:71" x14ac:dyDescent="0.25">
      <c r="A65" s="109">
        <v>44319</v>
      </c>
      <c r="B65" s="110">
        <v>112301</v>
      </c>
      <c r="C65" s="114">
        <v>128009</v>
      </c>
      <c r="D65" s="114">
        <v>111795</v>
      </c>
      <c r="E65" s="111">
        <f t="shared" si="0"/>
        <v>1.1398740883874587</v>
      </c>
      <c r="F65" s="111">
        <f t="shared" si="1"/>
        <v>0.99549425205474573</v>
      </c>
      <c r="G65" s="110">
        <v>911631</v>
      </c>
      <c r="H65" s="114">
        <v>577667</v>
      </c>
      <c r="I65" s="114">
        <v>462354</v>
      </c>
      <c r="J65" s="112">
        <f t="shared" si="2"/>
        <v>0.63366318170400082</v>
      </c>
      <c r="K65" s="112">
        <f t="shared" si="3"/>
        <v>0.50717230984905082</v>
      </c>
      <c r="L65" s="110">
        <v>1976757</v>
      </c>
      <c r="M65" s="114">
        <v>1262887</v>
      </c>
      <c r="N65" s="114">
        <v>712884</v>
      </c>
      <c r="O65" s="111">
        <f t="shared" si="4"/>
        <v>0.63886810569027963</v>
      </c>
      <c r="P65" s="111">
        <f t="shared" si="5"/>
        <v>0.36063309754309708</v>
      </c>
      <c r="Q65" s="110">
        <v>3000689</v>
      </c>
      <c r="R65" s="110">
        <f t="shared" ref="R65:S65" si="137">C65+H65+M65</f>
        <v>1968563</v>
      </c>
      <c r="S65" s="110">
        <f t="shared" si="137"/>
        <v>1287033</v>
      </c>
      <c r="T65" s="113">
        <f t="shared" si="8"/>
        <v>0.65603699683639327</v>
      </c>
      <c r="U65" s="113">
        <f t="shared" si="9"/>
        <v>0.42891249309741863</v>
      </c>
      <c r="V65" s="110"/>
      <c r="W65" s="110"/>
      <c r="X65" s="110"/>
      <c r="Y65" s="110"/>
      <c r="Z65" s="110"/>
      <c r="AA65" s="113"/>
      <c r="AB65" s="113"/>
      <c r="AC65" s="110"/>
      <c r="AD65" s="110"/>
      <c r="AE65" s="110"/>
      <c r="AF65" s="113"/>
      <c r="AG65" s="113"/>
      <c r="AH65" s="110">
        <v>1468764</v>
      </c>
      <c r="AI65" s="114">
        <v>1493588</v>
      </c>
      <c r="AJ65" s="114">
        <v>1355942</v>
      </c>
      <c r="AK65" s="111">
        <f t="shared" si="10"/>
        <v>1.0169012857068938</v>
      </c>
      <c r="AL65" s="111">
        <f t="shared" si="11"/>
        <v>0.92318575346345633</v>
      </c>
      <c r="AM65" s="114">
        <v>21553118</v>
      </c>
      <c r="AN65" s="114">
        <v>2574276</v>
      </c>
      <c r="AO65" s="114">
        <v>1559008</v>
      </c>
      <c r="AP65" s="111">
        <f t="shared" si="12"/>
        <v>0.11943868167937464</v>
      </c>
      <c r="AQ65" s="111">
        <f t="shared" si="13"/>
        <v>7.2333293029806636E-2</v>
      </c>
      <c r="AR65" s="110">
        <v>17327169</v>
      </c>
      <c r="AS65" s="114">
        <v>8503507</v>
      </c>
      <c r="AT65" s="114">
        <v>4935457</v>
      </c>
      <c r="AU65" s="111">
        <f t="shared" si="14"/>
        <v>0.49076147407577081</v>
      </c>
      <c r="AV65" s="111">
        <f t="shared" si="15"/>
        <v>0.28483920252639078</v>
      </c>
      <c r="AW65" s="115">
        <f t="shared" si="16"/>
        <v>40349051</v>
      </c>
      <c r="AX65" s="114">
        <f t="shared" ref="AX65:AY65" si="138">AI65+AN65+AS65</f>
        <v>12571371</v>
      </c>
      <c r="AY65" s="119">
        <f t="shared" si="138"/>
        <v>7850407</v>
      </c>
      <c r="AZ65" s="111">
        <f t="shared" si="18"/>
        <v>0.31156546903668192</v>
      </c>
      <c r="BA65" s="111">
        <f t="shared" si="19"/>
        <v>0.19456237025252465</v>
      </c>
      <c r="BB65" s="118">
        <f t="shared" si="24"/>
        <v>102705</v>
      </c>
      <c r="BC65" s="115"/>
      <c r="BD65" s="110"/>
      <c r="BE65" s="110"/>
      <c r="BF65" s="110"/>
      <c r="BG65" s="116"/>
      <c r="BH65" s="116"/>
      <c r="BI65" s="110"/>
      <c r="BJ65" s="110"/>
      <c r="BK65" s="117"/>
      <c r="BL65" s="113"/>
      <c r="BM65" s="113"/>
      <c r="BN65" s="113"/>
      <c r="BO65" s="113"/>
      <c r="BP65" s="118">
        <v>0</v>
      </c>
      <c r="BQ65" s="118">
        <v>0</v>
      </c>
      <c r="BR65" s="118">
        <v>0</v>
      </c>
      <c r="BS65" s="118">
        <v>0</v>
      </c>
    </row>
    <row r="66" spans="1:71" x14ac:dyDescent="0.25">
      <c r="A66" s="109">
        <v>44320</v>
      </c>
      <c r="B66" s="110">
        <v>112301</v>
      </c>
      <c r="C66" s="114">
        <v>128375</v>
      </c>
      <c r="D66" s="114">
        <v>112125</v>
      </c>
      <c r="E66" s="111">
        <f t="shared" si="0"/>
        <v>1.1431331867035912</v>
      </c>
      <c r="F66" s="111">
        <f t="shared" si="1"/>
        <v>0.99843278332338981</v>
      </c>
      <c r="G66" s="110">
        <v>911631</v>
      </c>
      <c r="H66" s="114">
        <v>578758</v>
      </c>
      <c r="I66" s="114">
        <v>466027</v>
      </c>
      <c r="J66" s="112">
        <f t="shared" si="2"/>
        <v>0.63485993784765982</v>
      </c>
      <c r="K66" s="112">
        <f t="shared" si="3"/>
        <v>0.5112013523015343</v>
      </c>
      <c r="L66" s="110">
        <v>1976757</v>
      </c>
      <c r="M66" s="114">
        <v>1287142</v>
      </c>
      <c r="N66" s="114">
        <v>735527</v>
      </c>
      <c r="O66" s="111">
        <f t="shared" si="4"/>
        <v>0.65113820262176891</v>
      </c>
      <c r="P66" s="111">
        <f t="shared" si="5"/>
        <v>0.3720877174078554</v>
      </c>
      <c r="Q66" s="110">
        <v>3000689</v>
      </c>
      <c r="R66" s="110">
        <f t="shared" ref="R66:S66" si="139">C66+H66+M66</f>
        <v>1994275</v>
      </c>
      <c r="S66" s="110">
        <f t="shared" si="139"/>
        <v>1313679</v>
      </c>
      <c r="T66" s="113">
        <f t="shared" si="8"/>
        <v>0.66460569555858673</v>
      </c>
      <c r="U66" s="113">
        <f t="shared" si="9"/>
        <v>0.43779245366647462</v>
      </c>
      <c r="V66" s="110"/>
      <c r="W66" s="110"/>
      <c r="X66" s="110"/>
      <c r="Y66" s="110"/>
      <c r="Z66" s="110"/>
      <c r="AA66" s="113"/>
      <c r="AB66" s="113"/>
      <c r="AC66" s="110"/>
      <c r="AD66" s="110"/>
      <c r="AE66" s="110"/>
      <c r="AF66" s="113"/>
      <c r="AG66" s="113"/>
      <c r="AH66" s="110">
        <v>1468764</v>
      </c>
      <c r="AI66" s="114">
        <v>1494938</v>
      </c>
      <c r="AJ66" s="114">
        <v>1357804</v>
      </c>
      <c r="AK66" s="111">
        <f t="shared" si="10"/>
        <v>1.0178204258818979</v>
      </c>
      <c r="AL66" s="111">
        <f t="shared" si="11"/>
        <v>0.92445348606038824</v>
      </c>
      <c r="AM66" s="114">
        <v>21553118</v>
      </c>
      <c r="AN66" s="114">
        <v>2600188</v>
      </c>
      <c r="AO66" s="114">
        <v>1592578</v>
      </c>
      <c r="AP66" s="111">
        <f t="shared" si="12"/>
        <v>0.12064092072432397</v>
      </c>
      <c r="AQ66" s="111">
        <f t="shared" si="13"/>
        <v>7.3890840295125743E-2</v>
      </c>
      <c r="AR66" s="110">
        <v>17327169</v>
      </c>
      <c r="AS66" s="114">
        <v>8603702</v>
      </c>
      <c r="AT66" s="114">
        <v>5051854</v>
      </c>
      <c r="AU66" s="111">
        <f t="shared" si="14"/>
        <v>0.49654401131540876</v>
      </c>
      <c r="AV66" s="111">
        <f t="shared" si="15"/>
        <v>0.29155680307614013</v>
      </c>
      <c r="AW66" s="115">
        <f t="shared" si="16"/>
        <v>40349051</v>
      </c>
      <c r="AX66" s="114">
        <f t="shared" ref="AX66:AY66" si="140">AI66+AN66+AS66</f>
        <v>12698828</v>
      </c>
      <c r="AY66" s="119">
        <f t="shared" si="140"/>
        <v>8002236</v>
      </c>
      <c r="AZ66" s="111">
        <f t="shared" si="18"/>
        <v>0.31472432895633656</v>
      </c>
      <c r="BA66" s="111">
        <f t="shared" si="19"/>
        <v>0.19832525924835259</v>
      </c>
      <c r="BB66" s="118">
        <f t="shared" si="24"/>
        <v>127457</v>
      </c>
      <c r="BC66" s="115"/>
      <c r="BD66" s="110"/>
      <c r="BE66" s="110"/>
      <c r="BF66" s="110"/>
      <c r="BG66" s="116"/>
      <c r="BH66" s="116"/>
      <c r="BI66" s="110"/>
      <c r="BJ66" s="110"/>
      <c r="BK66" s="117"/>
      <c r="BL66" s="113"/>
      <c r="BM66" s="113"/>
      <c r="BN66" s="113"/>
      <c r="BO66" s="113"/>
      <c r="BP66" s="118">
        <v>0</v>
      </c>
      <c r="BQ66" s="118">
        <v>0</v>
      </c>
      <c r="BR66" s="118">
        <v>0</v>
      </c>
      <c r="BS66" s="118">
        <v>0</v>
      </c>
    </row>
    <row r="67" spans="1:71" x14ac:dyDescent="0.25">
      <c r="A67" s="109">
        <v>44321</v>
      </c>
      <c r="B67" s="110">
        <v>112301</v>
      </c>
      <c r="C67" s="114">
        <v>128537</v>
      </c>
      <c r="D67" s="114">
        <v>112434</v>
      </c>
      <c r="E67" s="111">
        <f t="shared" si="0"/>
        <v>1.1445757384172892</v>
      </c>
      <c r="F67" s="111">
        <f t="shared" si="1"/>
        <v>1.0011843171476658</v>
      </c>
      <c r="G67" s="110">
        <v>911631</v>
      </c>
      <c r="H67" s="114">
        <v>579595</v>
      </c>
      <c r="I67" s="114">
        <v>470116</v>
      </c>
      <c r="J67" s="112">
        <f t="shared" si="2"/>
        <v>0.63577807248766227</v>
      </c>
      <c r="K67" s="112">
        <f t="shared" si="3"/>
        <v>0.51568671973638458</v>
      </c>
      <c r="L67" s="110">
        <v>1976757</v>
      </c>
      <c r="M67" s="114">
        <v>1319068</v>
      </c>
      <c r="N67" s="114">
        <v>756711</v>
      </c>
      <c r="O67" s="111">
        <f t="shared" si="4"/>
        <v>0.66728889792726165</v>
      </c>
      <c r="P67" s="111">
        <f t="shared" si="5"/>
        <v>0.38280425970415177</v>
      </c>
      <c r="Q67" s="110">
        <v>3000689</v>
      </c>
      <c r="R67" s="110">
        <f t="shared" ref="R67:S67" si="141">C67+H67+M67</f>
        <v>2027200</v>
      </c>
      <c r="S67" s="110">
        <f t="shared" si="141"/>
        <v>1339261</v>
      </c>
      <c r="T67" s="113">
        <f t="shared" si="8"/>
        <v>0.675578175545683</v>
      </c>
      <c r="U67" s="113">
        <f t="shared" si="9"/>
        <v>0.44631782900527178</v>
      </c>
      <c r="V67" s="110"/>
      <c r="W67" s="110"/>
      <c r="X67" s="110"/>
      <c r="Y67" s="110"/>
      <c r="Z67" s="110"/>
      <c r="AA67" s="113"/>
      <c r="AB67" s="113"/>
      <c r="AC67" s="110"/>
      <c r="AD67" s="110"/>
      <c r="AE67" s="110"/>
      <c r="AF67" s="113"/>
      <c r="AG67" s="113"/>
      <c r="AH67" s="110">
        <v>1468764</v>
      </c>
      <c r="AI67" s="114">
        <v>1496358</v>
      </c>
      <c r="AJ67" s="114">
        <v>1359726</v>
      </c>
      <c r="AK67" s="111">
        <f t="shared" si="10"/>
        <v>1.0187872251770878</v>
      </c>
      <c r="AL67" s="111">
        <f t="shared" si="11"/>
        <v>0.92576206933176464</v>
      </c>
      <c r="AM67" s="114">
        <v>21553118</v>
      </c>
      <c r="AN67" s="114">
        <v>2630996</v>
      </c>
      <c r="AO67" s="114">
        <v>1632325</v>
      </c>
      <c r="AP67" s="111">
        <f t="shared" si="12"/>
        <v>0.12207031947767372</v>
      </c>
      <c r="AQ67" s="111">
        <f t="shared" si="13"/>
        <v>7.5734981824903472E-2</v>
      </c>
      <c r="AR67" s="110">
        <v>17327169</v>
      </c>
      <c r="AS67" s="114">
        <v>8723790</v>
      </c>
      <c r="AT67" s="114">
        <v>5173811</v>
      </c>
      <c r="AU67" s="111">
        <f t="shared" si="14"/>
        <v>0.5034746299294478</v>
      </c>
      <c r="AV67" s="111">
        <f t="shared" si="15"/>
        <v>0.29859528697388477</v>
      </c>
      <c r="AW67" s="115">
        <f t="shared" si="16"/>
        <v>40349051</v>
      </c>
      <c r="AX67" s="114">
        <f t="shared" ref="AX67:AY67" si="142">AI67+AN67+AS67</f>
        <v>12851144</v>
      </c>
      <c r="AY67" s="119">
        <f t="shared" si="142"/>
        <v>8165862</v>
      </c>
      <c r="AZ67" s="111">
        <f t="shared" si="18"/>
        <v>0.31849928762884661</v>
      </c>
      <c r="BA67" s="111">
        <f t="shared" si="19"/>
        <v>0.20238052191115968</v>
      </c>
      <c r="BB67" s="118">
        <f t="shared" si="24"/>
        <v>152316</v>
      </c>
      <c r="BC67" s="115"/>
      <c r="BD67" s="110"/>
      <c r="BE67" s="110"/>
      <c r="BF67" s="110"/>
      <c r="BG67" s="116"/>
      <c r="BH67" s="116"/>
      <c r="BI67" s="110"/>
      <c r="BJ67" s="110"/>
      <c r="BK67" s="117"/>
      <c r="BL67" s="113"/>
      <c r="BM67" s="113"/>
      <c r="BN67" s="113"/>
      <c r="BO67" s="113"/>
      <c r="BP67" s="118">
        <v>0</v>
      </c>
      <c r="BQ67" s="118">
        <v>0</v>
      </c>
      <c r="BR67" s="118">
        <v>0</v>
      </c>
      <c r="BS67" s="118">
        <v>0</v>
      </c>
    </row>
    <row r="68" spans="1:71" x14ac:dyDescent="0.25">
      <c r="A68" s="109">
        <v>44322</v>
      </c>
      <c r="B68" s="110">
        <v>112301</v>
      </c>
      <c r="C68" s="114">
        <v>128715</v>
      </c>
      <c r="D68" s="114">
        <v>112784</v>
      </c>
      <c r="E68" s="111">
        <f t="shared" si="0"/>
        <v>1.1461607643743155</v>
      </c>
      <c r="F68" s="111">
        <f t="shared" si="1"/>
        <v>1.00430094122047</v>
      </c>
      <c r="G68" s="110">
        <v>911631</v>
      </c>
      <c r="H68" s="114">
        <v>581010</v>
      </c>
      <c r="I68" s="114">
        <v>475633</v>
      </c>
      <c r="J68" s="112">
        <f t="shared" si="2"/>
        <v>0.63733023558874147</v>
      </c>
      <c r="K68" s="112">
        <f t="shared" si="3"/>
        <v>0.52173851042801311</v>
      </c>
      <c r="L68" s="110">
        <v>1976757</v>
      </c>
      <c r="M68" s="114">
        <v>1355054</v>
      </c>
      <c r="N68" s="114">
        <v>778273</v>
      </c>
      <c r="O68" s="111">
        <f t="shared" si="4"/>
        <v>0.68549346227179164</v>
      </c>
      <c r="P68" s="111">
        <f t="shared" si="5"/>
        <v>0.39371202429028962</v>
      </c>
      <c r="Q68" s="110">
        <v>3000689</v>
      </c>
      <c r="R68" s="110">
        <f t="shared" ref="R68:S68" si="143">C68+H68+M68</f>
        <v>2064779</v>
      </c>
      <c r="S68" s="110">
        <f t="shared" si="143"/>
        <v>1366690</v>
      </c>
      <c r="T68" s="113">
        <f t="shared" si="8"/>
        <v>0.6881016326583661</v>
      </c>
      <c r="U68" s="113">
        <f t="shared" si="9"/>
        <v>0.45545872964509149</v>
      </c>
      <c r="V68" s="110"/>
      <c r="W68" s="110"/>
      <c r="X68" s="110"/>
      <c r="Y68" s="110"/>
      <c r="Z68" s="110"/>
      <c r="AA68" s="113"/>
      <c r="AB68" s="113"/>
      <c r="AC68" s="110"/>
      <c r="AD68" s="110"/>
      <c r="AE68" s="110"/>
      <c r="AF68" s="113"/>
      <c r="AG68" s="113"/>
      <c r="AH68" s="110">
        <v>1468764</v>
      </c>
      <c r="AI68" s="114">
        <v>1497332</v>
      </c>
      <c r="AJ68" s="114">
        <v>1361268</v>
      </c>
      <c r="AK68" s="111">
        <f t="shared" si="10"/>
        <v>1.0194503677922389</v>
      </c>
      <c r="AL68" s="111">
        <f t="shared" si="11"/>
        <v>0.92681193166499176</v>
      </c>
      <c r="AM68" s="114">
        <v>21553118</v>
      </c>
      <c r="AN68" s="114">
        <v>2660457</v>
      </c>
      <c r="AO68" s="114">
        <v>1670766</v>
      </c>
      <c r="AP68" s="111">
        <f t="shared" si="12"/>
        <v>0.12343722147301379</v>
      </c>
      <c r="AQ68" s="111">
        <f t="shared" si="13"/>
        <v>7.7518528873641385E-2</v>
      </c>
      <c r="AR68" s="110">
        <v>17327169</v>
      </c>
      <c r="AS68" s="114">
        <v>8837180</v>
      </c>
      <c r="AT68" s="114">
        <v>5285372</v>
      </c>
      <c r="AU68" s="111">
        <f t="shared" si="14"/>
        <v>0.51001868799225081</v>
      </c>
      <c r="AV68" s="111">
        <f t="shared" si="15"/>
        <v>0.30503378826627708</v>
      </c>
      <c r="AW68" s="115">
        <f t="shared" si="16"/>
        <v>40349051</v>
      </c>
      <c r="AX68" s="114">
        <f t="shared" ref="AX68:AY68" si="144">AI68+AN68+AS68</f>
        <v>12994969</v>
      </c>
      <c r="AY68" s="119">
        <f t="shared" si="144"/>
        <v>8317406</v>
      </c>
      <c r="AZ68" s="111">
        <f t="shared" si="18"/>
        <v>0.32206380764692583</v>
      </c>
      <c r="BA68" s="111">
        <f t="shared" si="19"/>
        <v>0.20613634754383692</v>
      </c>
      <c r="BB68" s="118">
        <f t="shared" si="24"/>
        <v>143825</v>
      </c>
      <c r="BC68" s="115"/>
      <c r="BD68" s="110"/>
      <c r="BE68" s="110"/>
      <c r="BF68" s="110"/>
      <c r="BG68" s="116"/>
      <c r="BH68" s="116"/>
      <c r="BI68" s="110"/>
      <c r="BJ68" s="110"/>
      <c r="BK68" s="117"/>
      <c r="BL68" s="113"/>
      <c r="BM68" s="113"/>
      <c r="BN68" s="113"/>
      <c r="BO68" s="113"/>
      <c r="BP68" s="118">
        <v>0</v>
      </c>
      <c r="BQ68" s="118">
        <v>0</v>
      </c>
      <c r="BR68" s="118">
        <v>0</v>
      </c>
      <c r="BS68" s="118">
        <v>0</v>
      </c>
    </row>
    <row r="69" spans="1:71" x14ac:dyDescent="0.25">
      <c r="A69" s="109">
        <v>44323</v>
      </c>
      <c r="B69" s="110">
        <v>112301</v>
      </c>
      <c r="C69" s="114">
        <v>128893</v>
      </c>
      <c r="D69" s="114">
        <v>113107</v>
      </c>
      <c r="E69" s="111">
        <f t="shared" si="0"/>
        <v>1.1477457903313417</v>
      </c>
      <c r="F69" s="111">
        <f t="shared" si="1"/>
        <v>1.0071771400076579</v>
      </c>
      <c r="G69" s="110">
        <v>911631</v>
      </c>
      <c r="H69" s="114">
        <v>581932</v>
      </c>
      <c r="I69" s="114">
        <v>482803</v>
      </c>
      <c r="J69" s="112">
        <f t="shared" si="2"/>
        <v>0.638341609708314</v>
      </c>
      <c r="K69" s="112">
        <f t="shared" si="3"/>
        <v>0.52960353476351729</v>
      </c>
      <c r="L69" s="110">
        <v>1976757</v>
      </c>
      <c r="M69" s="114">
        <v>1388224</v>
      </c>
      <c r="N69" s="114">
        <v>799276</v>
      </c>
      <c r="O69" s="111">
        <f t="shared" si="4"/>
        <v>0.70227347114491057</v>
      </c>
      <c r="P69" s="111">
        <f t="shared" si="5"/>
        <v>0.40433700247425453</v>
      </c>
      <c r="Q69" s="110">
        <v>3000689</v>
      </c>
      <c r="R69" s="110">
        <f t="shared" ref="R69:S69" si="145">C69+H69+M69</f>
        <v>2099049</v>
      </c>
      <c r="S69" s="110">
        <f t="shared" si="145"/>
        <v>1395186</v>
      </c>
      <c r="T69" s="113">
        <f t="shared" si="8"/>
        <v>0.69952234303521621</v>
      </c>
      <c r="U69" s="113">
        <f t="shared" si="9"/>
        <v>0.46495521528555611</v>
      </c>
      <c r="V69" s="110"/>
      <c r="W69" s="110"/>
      <c r="X69" s="110"/>
      <c r="Y69" s="110"/>
      <c r="Z69" s="110"/>
      <c r="AA69" s="113"/>
      <c r="AB69" s="113"/>
      <c r="AC69" s="110"/>
      <c r="AD69" s="110"/>
      <c r="AE69" s="110"/>
      <c r="AF69" s="113"/>
      <c r="AG69" s="113"/>
      <c r="AH69" s="110">
        <v>1468764</v>
      </c>
      <c r="AI69" s="114">
        <v>1498947</v>
      </c>
      <c r="AJ69" s="114">
        <v>1363159</v>
      </c>
      <c r="AK69" s="111">
        <f t="shared" si="10"/>
        <v>1.0205499317793736</v>
      </c>
      <c r="AL69" s="111">
        <f t="shared" si="11"/>
        <v>0.92809940875457186</v>
      </c>
      <c r="AM69" s="114">
        <v>21553118</v>
      </c>
      <c r="AN69" s="114">
        <v>2691305</v>
      </c>
      <c r="AO69" s="114">
        <v>1708253</v>
      </c>
      <c r="AP69" s="111">
        <f t="shared" si="12"/>
        <v>0.12486847610633413</v>
      </c>
      <c r="AQ69" s="111">
        <f t="shared" si="13"/>
        <v>7.9257813185080697E-2</v>
      </c>
      <c r="AR69" s="110">
        <v>17327169</v>
      </c>
      <c r="AS69" s="114">
        <v>8989745</v>
      </c>
      <c r="AT69" s="114">
        <v>5413948</v>
      </c>
      <c r="AU69" s="111">
        <f t="shared" si="14"/>
        <v>0.51882364626327593</v>
      </c>
      <c r="AV69" s="111">
        <f t="shared" si="15"/>
        <v>0.31245427340150028</v>
      </c>
      <c r="AW69" s="115">
        <f t="shared" si="16"/>
        <v>40349051</v>
      </c>
      <c r="AX69" s="114">
        <f t="shared" ref="AX69:AY69" si="146">AI69+AN69+AS69</f>
        <v>13179997</v>
      </c>
      <c r="AY69" s="119">
        <f t="shared" si="146"/>
        <v>8485360</v>
      </c>
      <c r="AZ69" s="111">
        <f t="shared" si="18"/>
        <v>0.32664949170675661</v>
      </c>
      <c r="BA69" s="111">
        <f t="shared" si="19"/>
        <v>0.21029887419161358</v>
      </c>
      <c r="BB69" s="118">
        <f t="shared" si="24"/>
        <v>185028</v>
      </c>
      <c r="BC69" s="115"/>
      <c r="BD69" s="110"/>
      <c r="BE69" s="110"/>
      <c r="BF69" s="110"/>
      <c r="BG69" s="116"/>
      <c r="BH69" s="116"/>
      <c r="BI69" s="110"/>
      <c r="BJ69" s="110"/>
      <c r="BK69" s="117"/>
      <c r="BL69" s="113"/>
      <c r="BM69" s="113"/>
      <c r="BN69" s="113"/>
      <c r="BO69" s="113"/>
      <c r="BP69" s="118">
        <v>0</v>
      </c>
      <c r="BQ69" s="118">
        <v>0</v>
      </c>
      <c r="BR69" s="118">
        <v>0</v>
      </c>
      <c r="BS69" s="118">
        <v>0</v>
      </c>
    </row>
    <row r="70" spans="1:71" x14ac:dyDescent="0.25">
      <c r="A70" s="109">
        <v>44324</v>
      </c>
      <c r="B70" s="110">
        <v>112301</v>
      </c>
      <c r="C70" s="114">
        <v>128918</v>
      </c>
      <c r="D70" s="114">
        <v>113180</v>
      </c>
      <c r="E70" s="111">
        <f t="shared" si="0"/>
        <v>1.1479684063365421</v>
      </c>
      <c r="F70" s="111">
        <f t="shared" si="1"/>
        <v>1.007827178742843</v>
      </c>
      <c r="G70" s="110">
        <v>911631</v>
      </c>
      <c r="H70" s="114">
        <v>582375</v>
      </c>
      <c r="I70" s="114">
        <v>484444</v>
      </c>
      <c r="J70" s="112">
        <f t="shared" si="2"/>
        <v>0.63882755193713248</v>
      </c>
      <c r="K70" s="112">
        <f t="shared" si="3"/>
        <v>0.53140360518674767</v>
      </c>
      <c r="L70" s="110">
        <v>1976757</v>
      </c>
      <c r="M70" s="114">
        <v>1405753</v>
      </c>
      <c r="N70" s="114">
        <v>808129</v>
      </c>
      <c r="O70" s="111">
        <f t="shared" si="4"/>
        <v>0.71114102542699986</v>
      </c>
      <c r="P70" s="111">
        <f t="shared" si="5"/>
        <v>0.40881554991331764</v>
      </c>
      <c r="Q70" s="110">
        <v>3000689</v>
      </c>
      <c r="R70" s="110">
        <f t="shared" ref="R70:S70" si="147">C70+H70+M70</f>
        <v>2117046</v>
      </c>
      <c r="S70" s="110">
        <f t="shared" si="147"/>
        <v>1405753</v>
      </c>
      <c r="T70" s="113">
        <f t="shared" si="8"/>
        <v>0.7055199655812382</v>
      </c>
      <c r="U70" s="113">
        <f t="shared" si="9"/>
        <v>0.46847673984208293</v>
      </c>
      <c r="V70" s="110"/>
      <c r="W70" s="110"/>
      <c r="X70" s="110"/>
      <c r="Y70" s="110"/>
      <c r="Z70" s="110"/>
      <c r="AA70" s="113"/>
      <c r="AB70" s="113"/>
      <c r="AC70" s="110"/>
      <c r="AD70" s="110"/>
      <c r="AE70" s="110"/>
      <c r="AF70" s="113"/>
      <c r="AG70" s="113"/>
      <c r="AH70" s="110">
        <v>1468764</v>
      </c>
      <c r="AI70" s="114">
        <v>1499656</v>
      </c>
      <c r="AJ70" s="114">
        <v>1364428</v>
      </c>
      <c r="AK70" s="111">
        <f t="shared" si="10"/>
        <v>1.0210326505823943</v>
      </c>
      <c r="AL70" s="111">
        <f t="shared" si="11"/>
        <v>0.92896340051907589</v>
      </c>
      <c r="AM70" s="114">
        <v>21553118</v>
      </c>
      <c r="AN70" s="114">
        <v>2724661</v>
      </c>
      <c r="AO70" s="114">
        <v>1742105</v>
      </c>
      <c r="AP70" s="111">
        <f t="shared" si="12"/>
        <v>0.12641609441381058</v>
      </c>
      <c r="AQ70" s="111">
        <f t="shared" si="13"/>
        <v>8.082844440419247E-2</v>
      </c>
      <c r="AR70" s="110">
        <v>17327169</v>
      </c>
      <c r="AS70" s="114">
        <v>9096369</v>
      </c>
      <c r="AT70" s="114">
        <v>5504931</v>
      </c>
      <c r="AU70" s="111">
        <f t="shared" si="14"/>
        <v>0.5249772193022415</v>
      </c>
      <c r="AV70" s="111">
        <f t="shared" si="15"/>
        <v>0.31770516002931581</v>
      </c>
      <c r="AW70" s="115">
        <f t="shared" si="16"/>
        <v>40349051</v>
      </c>
      <c r="AX70" s="114">
        <f t="shared" ref="AX70:AY70" si="148">AI70+AN70+AS70</f>
        <v>13320686</v>
      </c>
      <c r="AY70" s="119">
        <f t="shared" si="148"/>
        <v>8611464</v>
      </c>
      <c r="AZ70" s="111">
        <f t="shared" si="18"/>
        <v>0.33013628994644756</v>
      </c>
      <c r="BA70" s="111">
        <f t="shared" si="19"/>
        <v>0.21342420172410004</v>
      </c>
      <c r="BB70" s="118">
        <f t="shared" si="24"/>
        <v>140689</v>
      </c>
      <c r="BC70" s="115"/>
      <c r="BD70" s="110"/>
      <c r="BE70" s="110"/>
      <c r="BF70" s="110"/>
      <c r="BG70" s="116"/>
      <c r="BH70" s="116"/>
      <c r="BI70" s="110"/>
      <c r="BJ70" s="110"/>
      <c r="BK70" s="117"/>
      <c r="BL70" s="113"/>
      <c r="BM70" s="113"/>
      <c r="BN70" s="113"/>
      <c r="BO70" s="113"/>
      <c r="BP70" s="118">
        <v>0</v>
      </c>
      <c r="BQ70" s="118">
        <v>0</v>
      </c>
      <c r="BR70" s="118">
        <v>0</v>
      </c>
      <c r="BS70" s="118">
        <v>0</v>
      </c>
    </row>
    <row r="71" spans="1:71" x14ac:dyDescent="0.25">
      <c r="A71" s="109">
        <v>44325</v>
      </c>
      <c r="B71" s="110">
        <v>112301</v>
      </c>
      <c r="C71" s="114">
        <v>128923</v>
      </c>
      <c r="D71" s="114">
        <v>113187</v>
      </c>
      <c r="E71" s="111">
        <f t="shared" si="0"/>
        <v>1.148012929537582</v>
      </c>
      <c r="F71" s="111">
        <f t="shared" si="1"/>
        <v>1.0078895112242989</v>
      </c>
      <c r="G71" s="110">
        <v>911631</v>
      </c>
      <c r="H71" s="114">
        <v>582505</v>
      </c>
      <c r="I71" s="114">
        <v>485431</v>
      </c>
      <c r="J71" s="112">
        <f t="shared" si="2"/>
        <v>0.63897015349412212</v>
      </c>
      <c r="K71" s="112">
        <f t="shared" si="3"/>
        <v>0.53248628008481502</v>
      </c>
      <c r="L71" s="110">
        <v>1976757</v>
      </c>
      <c r="M71" s="114">
        <v>1415570</v>
      </c>
      <c r="N71" s="114">
        <v>816952</v>
      </c>
      <c r="O71" s="111">
        <f t="shared" si="4"/>
        <v>0.71610724029306583</v>
      </c>
      <c r="P71" s="111">
        <f t="shared" si="5"/>
        <v>0.41327892098017105</v>
      </c>
      <c r="Q71" s="110">
        <v>3000689</v>
      </c>
      <c r="R71" s="110">
        <f t="shared" ref="R71:S71" si="149">C71+H71+M71</f>
        <v>2126998</v>
      </c>
      <c r="S71" s="110">
        <f t="shared" si="149"/>
        <v>1415570</v>
      </c>
      <c r="T71" s="113">
        <f t="shared" si="8"/>
        <v>0.70883653720862105</v>
      </c>
      <c r="U71" s="113">
        <f t="shared" si="9"/>
        <v>0.47174832180209281</v>
      </c>
      <c r="V71" s="110"/>
      <c r="W71" s="110"/>
      <c r="X71" s="110"/>
      <c r="Y71" s="110"/>
      <c r="Z71" s="110"/>
      <c r="AA71" s="113"/>
      <c r="AB71" s="113"/>
      <c r="AC71" s="110"/>
      <c r="AD71" s="110"/>
      <c r="AE71" s="110"/>
      <c r="AF71" s="113"/>
      <c r="AG71" s="113"/>
      <c r="AH71" s="110">
        <v>1468764</v>
      </c>
      <c r="AI71" s="114">
        <v>1499726</v>
      </c>
      <c r="AJ71" s="114">
        <v>1364582</v>
      </c>
      <c r="AK71" s="111">
        <f t="shared" si="10"/>
        <v>1.0210803097025798</v>
      </c>
      <c r="AL71" s="111">
        <f t="shared" si="11"/>
        <v>0.92906825058348375</v>
      </c>
      <c r="AM71" s="114">
        <v>21553118</v>
      </c>
      <c r="AN71" s="114">
        <v>2726951</v>
      </c>
      <c r="AO71" s="114">
        <v>1748306</v>
      </c>
      <c r="AP71" s="111">
        <f t="shared" si="12"/>
        <v>0.12652234354212694</v>
      </c>
      <c r="AQ71" s="111">
        <f t="shared" si="13"/>
        <v>8.1116152196633456E-2</v>
      </c>
      <c r="AR71" s="110">
        <v>17327169</v>
      </c>
      <c r="AS71" s="114">
        <v>9121975</v>
      </c>
      <c r="AT71" s="114">
        <v>5530248</v>
      </c>
      <c r="AU71" s="111">
        <f t="shared" si="14"/>
        <v>0.52645501408799089</v>
      </c>
      <c r="AV71" s="111">
        <f t="shared" si="15"/>
        <v>0.31916627580650941</v>
      </c>
      <c r="AW71" s="115">
        <f t="shared" si="16"/>
        <v>40349051</v>
      </c>
      <c r="AX71" s="114">
        <f t="shared" ref="AX71:AY71" si="150">AI71+AN71+AS71</f>
        <v>13348652</v>
      </c>
      <c r="AY71" s="119">
        <f t="shared" si="150"/>
        <v>8643136</v>
      </c>
      <c r="AZ71" s="111">
        <f t="shared" si="18"/>
        <v>0.33082939174951104</v>
      </c>
      <c r="BA71" s="111">
        <f t="shared" si="19"/>
        <v>0.21420915203185323</v>
      </c>
      <c r="BB71" s="118">
        <f t="shared" si="24"/>
        <v>27966</v>
      </c>
      <c r="BC71" s="115"/>
      <c r="BD71" s="110"/>
      <c r="BE71" s="110"/>
      <c r="BF71" s="110"/>
      <c r="BG71" s="116"/>
      <c r="BH71" s="116"/>
      <c r="BI71" s="110"/>
      <c r="BJ71" s="110"/>
      <c r="BK71" s="117"/>
      <c r="BL71" s="113"/>
      <c r="BM71" s="113"/>
      <c r="BN71" s="113"/>
      <c r="BO71" s="113"/>
      <c r="BP71" s="118">
        <v>0</v>
      </c>
      <c r="BQ71" s="118">
        <v>0</v>
      </c>
      <c r="BR71" s="118">
        <v>0</v>
      </c>
      <c r="BS71" s="118">
        <v>0</v>
      </c>
    </row>
    <row r="72" spans="1:71" x14ac:dyDescent="0.25">
      <c r="A72" s="109">
        <v>44326</v>
      </c>
      <c r="B72" s="110">
        <v>112301</v>
      </c>
      <c r="C72" s="114">
        <v>129109</v>
      </c>
      <c r="D72" s="114">
        <v>113552</v>
      </c>
      <c r="E72" s="111">
        <f t="shared" si="0"/>
        <v>1.1496691926162723</v>
      </c>
      <c r="F72" s="111">
        <f t="shared" si="1"/>
        <v>1.0111397049002235</v>
      </c>
      <c r="G72" s="110">
        <v>911631</v>
      </c>
      <c r="H72" s="114">
        <v>583358</v>
      </c>
      <c r="I72" s="114">
        <v>496586</v>
      </c>
      <c r="J72" s="112">
        <f t="shared" si="2"/>
        <v>0.63990583909498466</v>
      </c>
      <c r="K72" s="112">
        <f t="shared" si="3"/>
        <v>0.54472259060957773</v>
      </c>
      <c r="L72" s="110">
        <v>1976757</v>
      </c>
      <c r="M72" s="114">
        <v>1446273</v>
      </c>
      <c r="N72" s="114">
        <v>835742</v>
      </c>
      <c r="O72" s="111">
        <f t="shared" si="4"/>
        <v>0.73163924549147918</v>
      </c>
      <c r="P72" s="111">
        <f t="shared" si="5"/>
        <v>0.42278438877413865</v>
      </c>
      <c r="Q72" s="110">
        <v>3000689</v>
      </c>
      <c r="R72" s="110">
        <f t="shared" ref="R72:S72" si="151">C72+H72+M72</f>
        <v>2158740</v>
      </c>
      <c r="S72" s="110">
        <f t="shared" si="151"/>
        <v>1445880</v>
      </c>
      <c r="T72" s="113">
        <f t="shared" si="8"/>
        <v>0.71941477440681123</v>
      </c>
      <c r="U72" s="113">
        <f t="shared" si="9"/>
        <v>0.48184933526933316</v>
      </c>
      <c r="V72" s="110"/>
      <c r="W72" s="110"/>
      <c r="X72" s="110"/>
      <c r="Y72" s="110"/>
      <c r="Z72" s="110"/>
      <c r="AA72" s="113"/>
      <c r="AB72" s="113"/>
      <c r="AC72" s="110"/>
      <c r="AD72" s="110"/>
      <c r="AE72" s="110"/>
      <c r="AF72" s="113"/>
      <c r="AG72" s="113"/>
      <c r="AH72" s="110">
        <v>1468764</v>
      </c>
      <c r="AI72" s="114">
        <v>1501027</v>
      </c>
      <c r="AJ72" s="114">
        <v>1366419</v>
      </c>
      <c r="AK72" s="111">
        <f t="shared" si="10"/>
        <v>1.0219660884934543</v>
      </c>
      <c r="AL72" s="111">
        <f t="shared" si="11"/>
        <v>0.93031896206606368</v>
      </c>
      <c r="AM72" s="114">
        <v>21553118</v>
      </c>
      <c r="AN72" s="114">
        <v>2760561</v>
      </c>
      <c r="AO72" s="114">
        <v>1794839</v>
      </c>
      <c r="AP72" s="111">
        <f t="shared" si="12"/>
        <v>0.12808174668741665</v>
      </c>
      <c r="AQ72" s="111">
        <f t="shared" si="13"/>
        <v>8.3275143763422071E-2</v>
      </c>
      <c r="AR72" s="110">
        <v>17327169</v>
      </c>
      <c r="AS72" s="114">
        <v>9251201</v>
      </c>
      <c r="AT72" s="114">
        <v>5643009</v>
      </c>
      <c r="AU72" s="111">
        <f t="shared" si="14"/>
        <v>0.53391301256425672</v>
      </c>
      <c r="AV72" s="111">
        <f t="shared" si="15"/>
        <v>0.32567403249774962</v>
      </c>
      <c r="AW72" s="115">
        <f t="shared" si="16"/>
        <v>40349051</v>
      </c>
      <c r="AX72" s="114">
        <f t="shared" ref="AX72:AY72" si="152">AI72+AN72+AS72</f>
        <v>13512789</v>
      </c>
      <c r="AY72" s="119">
        <f t="shared" si="152"/>
        <v>8804267</v>
      </c>
      <c r="AZ72" s="111">
        <f t="shared" si="18"/>
        <v>0.33489731889852875</v>
      </c>
      <c r="BA72" s="111">
        <f t="shared" si="19"/>
        <v>0.21820257928742859</v>
      </c>
      <c r="BB72" s="118">
        <f t="shared" ref="BB72:BB110" si="153">AX72-AX71</f>
        <v>164137</v>
      </c>
      <c r="BC72" s="115"/>
      <c r="BD72" s="110"/>
      <c r="BE72" s="110"/>
      <c r="BF72" s="110"/>
      <c r="BG72" s="116"/>
      <c r="BH72" s="116"/>
      <c r="BI72" s="110"/>
      <c r="BJ72" s="110"/>
      <c r="BK72" s="117"/>
      <c r="BL72" s="113"/>
      <c r="BM72" s="113"/>
      <c r="BN72" s="113"/>
      <c r="BO72" s="113"/>
      <c r="BP72" s="118">
        <v>0</v>
      </c>
      <c r="BQ72" s="118">
        <v>0</v>
      </c>
      <c r="BR72" s="118">
        <v>0</v>
      </c>
      <c r="BS72" s="118">
        <v>0</v>
      </c>
    </row>
    <row r="73" spans="1:71" x14ac:dyDescent="0.25">
      <c r="A73" s="109">
        <v>44327</v>
      </c>
      <c r="B73" s="110">
        <v>112301</v>
      </c>
      <c r="C73" s="114">
        <v>129269</v>
      </c>
      <c r="D73" s="114">
        <v>113898</v>
      </c>
      <c r="E73" s="111">
        <f t="shared" si="0"/>
        <v>1.1510939350495544</v>
      </c>
      <c r="F73" s="111">
        <f t="shared" si="1"/>
        <v>1.0142207104121959</v>
      </c>
      <c r="G73" s="110">
        <v>911631</v>
      </c>
      <c r="H73" s="114">
        <v>583948</v>
      </c>
      <c r="I73" s="114">
        <v>499734</v>
      </c>
      <c r="J73" s="112">
        <f t="shared" si="2"/>
        <v>0.64055303077670678</v>
      </c>
      <c r="K73" s="112">
        <f t="shared" si="3"/>
        <v>0.54817574215883402</v>
      </c>
      <c r="L73" s="110">
        <v>1976757</v>
      </c>
      <c r="M73" s="114">
        <v>1470603</v>
      </c>
      <c r="N73" s="114">
        <v>848188</v>
      </c>
      <c r="O73" s="111">
        <f t="shared" si="4"/>
        <v>0.74394728335349258</v>
      </c>
      <c r="P73" s="111">
        <f t="shared" si="5"/>
        <v>0.42908055972484227</v>
      </c>
      <c r="Q73" s="110">
        <v>3000689</v>
      </c>
      <c r="R73" s="110">
        <f t="shared" ref="R73:S73" si="154">C73+H73+M73</f>
        <v>2183820</v>
      </c>
      <c r="S73" s="110">
        <f t="shared" si="154"/>
        <v>1461820</v>
      </c>
      <c r="T73" s="113">
        <f t="shared" si="8"/>
        <v>0.72777285483433973</v>
      </c>
      <c r="U73" s="113">
        <f t="shared" si="9"/>
        <v>0.48716144858730775</v>
      </c>
      <c r="V73" s="110"/>
      <c r="W73" s="110"/>
      <c r="X73" s="110"/>
      <c r="Y73" s="110"/>
      <c r="Z73" s="110"/>
      <c r="AA73" s="113"/>
      <c r="AB73" s="113"/>
      <c r="AC73" s="110"/>
      <c r="AD73" s="110"/>
      <c r="AE73" s="110"/>
      <c r="AF73" s="113"/>
      <c r="AG73" s="113"/>
      <c r="AH73" s="110">
        <v>1468764</v>
      </c>
      <c r="AI73" s="114">
        <v>1501809</v>
      </c>
      <c r="AJ73" s="114">
        <v>1367719</v>
      </c>
      <c r="AK73" s="111">
        <f t="shared" si="10"/>
        <v>1.0224985089503829</v>
      </c>
      <c r="AL73" s="111">
        <f t="shared" si="11"/>
        <v>0.93120406001236411</v>
      </c>
      <c r="AM73" s="114">
        <v>21553118</v>
      </c>
      <c r="AN73" s="114">
        <v>2783660</v>
      </c>
      <c r="AO73" s="114">
        <v>1812015</v>
      </c>
      <c r="AP73" s="111">
        <f t="shared" si="12"/>
        <v>0.1291534709734341</v>
      </c>
      <c r="AQ73" s="111">
        <f t="shared" si="13"/>
        <v>8.4072058622794155E-2</v>
      </c>
      <c r="AR73" s="110">
        <v>17327169</v>
      </c>
      <c r="AS73" s="114">
        <v>9361491</v>
      </c>
      <c r="AT73" s="114">
        <v>5708101</v>
      </c>
      <c r="AU73" s="111">
        <f t="shared" si="14"/>
        <v>0.54027816084670266</v>
      </c>
      <c r="AV73" s="111">
        <f t="shared" si="15"/>
        <v>0.32943067618258931</v>
      </c>
      <c r="AW73" s="115">
        <f t="shared" si="16"/>
        <v>40349051</v>
      </c>
      <c r="AX73" s="114">
        <f t="shared" ref="AX73:AY73" si="155">AI73+AN73+AS73</f>
        <v>13646960</v>
      </c>
      <c r="AY73" s="119">
        <f t="shared" si="155"/>
        <v>8887835</v>
      </c>
      <c r="AZ73" s="111">
        <f t="shared" si="18"/>
        <v>0.33822257678377615</v>
      </c>
      <c r="BA73" s="111">
        <f t="shared" si="19"/>
        <v>0.2202737060656024</v>
      </c>
      <c r="BB73" s="118">
        <f t="shared" si="153"/>
        <v>134171</v>
      </c>
      <c r="BC73" s="115"/>
      <c r="BD73" s="110"/>
      <c r="BE73" s="110"/>
      <c r="BF73" s="110"/>
      <c r="BG73" s="116"/>
      <c r="BH73" s="116"/>
      <c r="BI73" s="110"/>
      <c r="BJ73" s="110"/>
      <c r="BK73" s="117"/>
      <c r="BL73" s="113"/>
      <c r="BM73" s="113"/>
      <c r="BN73" s="113"/>
      <c r="BO73" s="113"/>
      <c r="BP73" s="118">
        <v>0</v>
      </c>
      <c r="BQ73" s="118">
        <v>0</v>
      </c>
      <c r="BR73" s="118">
        <v>0</v>
      </c>
      <c r="BS73" s="118">
        <v>0</v>
      </c>
    </row>
    <row r="74" spans="1:71" x14ac:dyDescent="0.25">
      <c r="A74" s="109">
        <v>44328</v>
      </c>
      <c r="B74" s="110">
        <v>112301</v>
      </c>
      <c r="C74" s="114">
        <v>129295</v>
      </c>
      <c r="D74" s="114">
        <v>113947</v>
      </c>
      <c r="E74" s="111">
        <f t="shared" si="0"/>
        <v>1.1513254556949626</v>
      </c>
      <c r="F74" s="111">
        <f t="shared" si="1"/>
        <v>1.0146570377823885</v>
      </c>
      <c r="G74" s="110">
        <v>911631</v>
      </c>
      <c r="H74" s="114">
        <v>584003</v>
      </c>
      <c r="I74" s="114">
        <v>500318</v>
      </c>
      <c r="J74" s="112">
        <f t="shared" si="2"/>
        <v>0.64061336220466392</v>
      </c>
      <c r="K74" s="112">
        <f t="shared" si="3"/>
        <v>0.54881635223023351</v>
      </c>
      <c r="L74" s="110">
        <v>1976757</v>
      </c>
      <c r="M74" s="114">
        <v>1474854</v>
      </c>
      <c r="N74" s="114">
        <v>855317</v>
      </c>
      <c r="O74" s="111">
        <f t="shared" si="4"/>
        <v>0.74609777529559784</v>
      </c>
      <c r="P74" s="111">
        <f t="shared" si="5"/>
        <v>0.43268697164092501</v>
      </c>
      <c r="Q74" s="110">
        <v>3000689</v>
      </c>
      <c r="R74" s="110">
        <f t="shared" ref="R74:S74" si="156">C74+H74+M74</f>
        <v>2188152</v>
      </c>
      <c r="S74" s="110">
        <f t="shared" si="156"/>
        <v>1469582</v>
      </c>
      <c r="T74" s="113">
        <f t="shared" si="8"/>
        <v>0.72921652327182196</v>
      </c>
      <c r="U74" s="113">
        <f t="shared" si="9"/>
        <v>0.48974818783286106</v>
      </c>
      <c r="V74" s="110"/>
      <c r="W74" s="110"/>
      <c r="X74" s="110"/>
      <c r="Y74" s="110"/>
      <c r="Z74" s="110"/>
      <c r="AA74" s="113"/>
      <c r="AB74" s="113"/>
      <c r="AC74" s="110"/>
      <c r="AD74" s="110"/>
      <c r="AE74" s="110"/>
      <c r="AF74" s="113"/>
      <c r="AG74" s="113"/>
      <c r="AH74" s="110">
        <v>1468764</v>
      </c>
      <c r="AI74" s="114">
        <v>1502009</v>
      </c>
      <c r="AJ74" s="114">
        <v>1368070</v>
      </c>
      <c r="AK74" s="111">
        <f t="shared" si="10"/>
        <v>1.0226346778651982</v>
      </c>
      <c r="AL74" s="111">
        <f t="shared" si="11"/>
        <v>0.9314430364578653</v>
      </c>
      <c r="AM74" s="114">
        <v>21553118</v>
      </c>
      <c r="AN74" s="114">
        <v>2787803</v>
      </c>
      <c r="AO74" s="114">
        <v>1817360</v>
      </c>
      <c r="AP74" s="111">
        <f t="shared" si="12"/>
        <v>0.12934569374138813</v>
      </c>
      <c r="AQ74" s="111">
        <f t="shared" si="13"/>
        <v>8.4320050583864478E-2</v>
      </c>
      <c r="AR74" s="110">
        <v>17327169</v>
      </c>
      <c r="AS74" s="114">
        <v>9401248</v>
      </c>
      <c r="AT74" s="114">
        <v>5732660</v>
      </c>
      <c r="AU74" s="111">
        <f t="shared" si="14"/>
        <v>0.54257264992336607</v>
      </c>
      <c r="AV74" s="111">
        <f t="shared" si="15"/>
        <v>0.33084804563284398</v>
      </c>
      <c r="AW74" s="115">
        <f t="shared" si="16"/>
        <v>40349051</v>
      </c>
      <c r="AX74" s="114">
        <f t="shared" ref="AX74:AY74" si="157">AI74+AN74+AS74</f>
        <v>13691060</v>
      </c>
      <c r="AY74" s="119">
        <f t="shared" si="157"/>
        <v>8918090</v>
      </c>
      <c r="AZ74" s="111">
        <f t="shared" si="18"/>
        <v>0.33931553929236152</v>
      </c>
      <c r="BA74" s="111">
        <f t="shared" si="19"/>
        <v>0.22102353782744483</v>
      </c>
      <c r="BB74" s="118">
        <f t="shared" si="153"/>
        <v>44100</v>
      </c>
      <c r="BC74" s="115"/>
      <c r="BD74" s="110"/>
      <c r="BE74" s="110"/>
      <c r="BF74" s="110"/>
      <c r="BG74" s="116"/>
      <c r="BH74" s="116"/>
      <c r="BI74" s="110"/>
      <c r="BJ74" s="110"/>
      <c r="BK74" s="117"/>
      <c r="BL74" s="113"/>
      <c r="BM74" s="113"/>
      <c r="BN74" s="113"/>
      <c r="BO74" s="113"/>
      <c r="BP74" s="118">
        <v>0</v>
      </c>
      <c r="BQ74" s="118">
        <v>0</v>
      </c>
      <c r="BR74" s="118">
        <v>0</v>
      </c>
      <c r="BS74" s="118">
        <v>0</v>
      </c>
    </row>
    <row r="75" spans="1:71" x14ac:dyDescent="0.25">
      <c r="A75" s="109">
        <v>44329</v>
      </c>
      <c r="B75" s="110">
        <v>112301</v>
      </c>
      <c r="C75" s="114">
        <v>129295</v>
      </c>
      <c r="D75" s="114">
        <v>113948</v>
      </c>
      <c r="E75" s="111">
        <f t="shared" si="0"/>
        <v>1.1513254556949626</v>
      </c>
      <c r="F75" s="111">
        <f t="shared" si="1"/>
        <v>1.0146659424225963</v>
      </c>
      <c r="G75" s="110">
        <v>911631</v>
      </c>
      <c r="H75" s="114">
        <v>584004</v>
      </c>
      <c r="I75" s="114">
        <v>500337</v>
      </c>
      <c r="J75" s="112">
        <f t="shared" si="2"/>
        <v>0.64061445913971771</v>
      </c>
      <c r="K75" s="112">
        <f t="shared" si="3"/>
        <v>0.54883719399625508</v>
      </c>
      <c r="L75" s="110">
        <v>1976757</v>
      </c>
      <c r="M75" s="114">
        <v>1475068</v>
      </c>
      <c r="N75" s="114">
        <v>855498</v>
      </c>
      <c r="O75" s="111">
        <f t="shared" si="4"/>
        <v>0.7462060334173598</v>
      </c>
      <c r="P75" s="111">
        <f t="shared" si="5"/>
        <v>0.43277853575325648</v>
      </c>
      <c r="Q75" s="110">
        <v>3000689</v>
      </c>
      <c r="R75" s="110">
        <f t="shared" ref="R75:S75" si="158">C75+H75+M75</f>
        <v>2188367</v>
      </c>
      <c r="S75" s="110">
        <f t="shared" si="158"/>
        <v>1469783</v>
      </c>
      <c r="T75" s="113">
        <f t="shared" si="8"/>
        <v>0.72928817348282349</v>
      </c>
      <c r="U75" s="113">
        <f t="shared" si="9"/>
        <v>0.48981517244872763</v>
      </c>
      <c r="V75" s="110"/>
      <c r="W75" s="110"/>
      <c r="X75" s="110"/>
      <c r="Y75" s="110"/>
      <c r="Z75" s="110"/>
      <c r="AA75" s="113"/>
      <c r="AB75" s="113"/>
      <c r="AC75" s="110"/>
      <c r="AD75" s="110"/>
      <c r="AE75" s="110"/>
      <c r="AF75" s="113"/>
      <c r="AG75" s="113"/>
      <c r="AH75" s="110">
        <v>1468764</v>
      </c>
      <c r="AI75" s="114">
        <v>1502025</v>
      </c>
      <c r="AJ75" s="114">
        <v>1368079</v>
      </c>
      <c r="AK75" s="111">
        <f t="shared" si="10"/>
        <v>1.0226455713783835</v>
      </c>
      <c r="AL75" s="111">
        <f t="shared" si="11"/>
        <v>0.931449164059032</v>
      </c>
      <c r="AM75" s="114">
        <v>21553118</v>
      </c>
      <c r="AN75" s="114">
        <v>2788132</v>
      </c>
      <c r="AO75" s="114">
        <v>1817544</v>
      </c>
      <c r="AP75" s="111">
        <f t="shared" si="12"/>
        <v>0.12936095835414627</v>
      </c>
      <c r="AQ75" s="111">
        <f t="shared" si="13"/>
        <v>8.4328587631729207E-2</v>
      </c>
      <c r="AR75" s="110">
        <v>17327169</v>
      </c>
      <c r="AS75" s="114">
        <v>9406282</v>
      </c>
      <c r="AT75" s="114">
        <v>5733632</v>
      </c>
      <c r="AU75" s="111">
        <f t="shared" si="14"/>
        <v>0.54286317632153291</v>
      </c>
      <c r="AV75" s="111">
        <f t="shared" si="15"/>
        <v>0.33090414250591083</v>
      </c>
      <c r="AW75" s="115">
        <f t="shared" si="16"/>
        <v>40349051</v>
      </c>
      <c r="AX75" s="114">
        <f t="shared" ref="AX75:AY75" si="159">AI75+AN75+AS75</f>
        <v>13696439</v>
      </c>
      <c r="AY75" s="119">
        <f t="shared" si="159"/>
        <v>8919255</v>
      </c>
      <c r="AZ75" s="111">
        <f t="shared" si="18"/>
        <v>0.33944885097793254</v>
      </c>
      <c r="BA75" s="111">
        <f t="shared" si="19"/>
        <v>0.22105241087330654</v>
      </c>
      <c r="BB75" s="118">
        <f t="shared" si="153"/>
        <v>5379</v>
      </c>
      <c r="BC75" s="115"/>
      <c r="BD75" s="110"/>
      <c r="BE75" s="110"/>
      <c r="BF75" s="110"/>
      <c r="BG75" s="116"/>
      <c r="BH75" s="116"/>
      <c r="BI75" s="110"/>
      <c r="BJ75" s="110"/>
      <c r="BK75" s="117"/>
      <c r="BL75" s="113"/>
      <c r="BM75" s="113"/>
      <c r="BN75" s="113"/>
      <c r="BO75" s="113"/>
      <c r="BP75" s="118">
        <v>0</v>
      </c>
      <c r="BQ75" s="118">
        <v>0</v>
      </c>
      <c r="BR75" s="118">
        <v>0</v>
      </c>
      <c r="BS75" s="118">
        <v>0</v>
      </c>
    </row>
    <row r="76" spans="1:71" x14ac:dyDescent="0.25">
      <c r="A76" s="109">
        <v>44330</v>
      </c>
      <c r="B76" s="110">
        <v>112301</v>
      </c>
      <c r="C76" s="114">
        <v>129295</v>
      </c>
      <c r="D76" s="114">
        <v>113948</v>
      </c>
      <c r="E76" s="111">
        <f t="shared" si="0"/>
        <v>1.1513254556949626</v>
      </c>
      <c r="F76" s="111">
        <f t="shared" si="1"/>
        <v>1.0146659424225963</v>
      </c>
      <c r="G76" s="110">
        <v>911631</v>
      </c>
      <c r="H76" s="114">
        <v>584007</v>
      </c>
      <c r="I76" s="114">
        <v>500353</v>
      </c>
      <c r="J76" s="112">
        <f t="shared" si="2"/>
        <v>0.64061774994487897</v>
      </c>
      <c r="K76" s="112">
        <f t="shared" si="3"/>
        <v>0.54885474495711528</v>
      </c>
      <c r="L76" s="110">
        <v>1976757</v>
      </c>
      <c r="M76" s="114">
        <v>1475317</v>
      </c>
      <c r="N76" s="114">
        <v>855736</v>
      </c>
      <c r="O76" s="111">
        <f t="shared" si="4"/>
        <v>0.74633199730669986</v>
      </c>
      <c r="P76" s="111">
        <f t="shared" si="5"/>
        <v>0.43289893497278625</v>
      </c>
      <c r="Q76" s="110">
        <v>3000689</v>
      </c>
      <c r="R76" s="110">
        <f t="shared" ref="R76:S76" si="160">C76+H76+M76</f>
        <v>2188619</v>
      </c>
      <c r="S76" s="110">
        <f t="shared" si="160"/>
        <v>1470037</v>
      </c>
      <c r="T76" s="113">
        <f t="shared" si="8"/>
        <v>0.72937215419525314</v>
      </c>
      <c r="U76" s="113">
        <f t="shared" si="9"/>
        <v>0.48989981967474805</v>
      </c>
      <c r="V76" s="110"/>
      <c r="W76" s="110"/>
      <c r="X76" s="110"/>
      <c r="Y76" s="110"/>
      <c r="Z76" s="110"/>
      <c r="AA76" s="113"/>
      <c r="AB76" s="113"/>
      <c r="AC76" s="110"/>
      <c r="AD76" s="110"/>
      <c r="AE76" s="110"/>
      <c r="AF76" s="113"/>
      <c r="AG76" s="113"/>
      <c r="AH76" s="110">
        <v>1468764</v>
      </c>
      <c r="AI76" s="114">
        <v>1502036</v>
      </c>
      <c r="AJ76" s="114">
        <v>1368093</v>
      </c>
      <c r="AK76" s="111">
        <f t="shared" si="10"/>
        <v>1.0226530606686983</v>
      </c>
      <c r="AL76" s="111">
        <f t="shared" si="11"/>
        <v>0.93145869588306907</v>
      </c>
      <c r="AM76" s="114">
        <v>21553118</v>
      </c>
      <c r="AN76" s="114">
        <v>2788357</v>
      </c>
      <c r="AO76" s="114">
        <v>1817833</v>
      </c>
      <c r="AP76" s="111">
        <f t="shared" si="12"/>
        <v>0.12937139767898084</v>
      </c>
      <c r="AQ76" s="111">
        <f t="shared" si="13"/>
        <v>8.4341996364516725E-2</v>
      </c>
      <c r="AR76" s="110">
        <v>17327169</v>
      </c>
      <c r="AS76" s="114">
        <v>9408183</v>
      </c>
      <c r="AT76" s="114">
        <v>5734811</v>
      </c>
      <c r="AU76" s="111">
        <f t="shared" si="14"/>
        <v>0.54297288841587454</v>
      </c>
      <c r="AV76" s="111">
        <f t="shared" si="15"/>
        <v>0.33097218593527888</v>
      </c>
      <c r="AW76" s="115">
        <f t="shared" si="16"/>
        <v>40349051</v>
      </c>
      <c r="AX76" s="114">
        <f t="shared" ref="AX76:AY76" si="161">AI76+AN76+AS76</f>
        <v>13698576</v>
      </c>
      <c r="AY76" s="119">
        <f t="shared" si="161"/>
        <v>8920737</v>
      </c>
      <c r="AZ76" s="111">
        <f t="shared" si="18"/>
        <v>0.33950181380969779</v>
      </c>
      <c r="BA76" s="111">
        <f t="shared" si="19"/>
        <v>0.22108914036169028</v>
      </c>
      <c r="BB76" s="118">
        <f t="shared" si="153"/>
        <v>2137</v>
      </c>
      <c r="BC76" s="115"/>
      <c r="BD76" s="110"/>
      <c r="BE76" s="110"/>
      <c r="BF76" s="110"/>
      <c r="BG76" s="116"/>
      <c r="BH76" s="116"/>
      <c r="BI76" s="110"/>
      <c r="BJ76" s="110"/>
      <c r="BK76" s="117"/>
      <c r="BL76" s="113"/>
      <c r="BM76" s="113"/>
      <c r="BN76" s="113"/>
      <c r="BO76" s="113"/>
      <c r="BP76" s="118">
        <v>0</v>
      </c>
      <c r="BQ76" s="118">
        <v>0</v>
      </c>
      <c r="BR76" s="118">
        <v>0</v>
      </c>
      <c r="BS76" s="118">
        <v>0</v>
      </c>
    </row>
    <row r="77" spans="1:71" x14ac:dyDescent="0.25">
      <c r="A77" s="109">
        <v>44331</v>
      </c>
      <c r="B77" s="110">
        <v>112301</v>
      </c>
      <c r="C77" s="114">
        <v>129313</v>
      </c>
      <c r="D77" s="114">
        <v>113974</v>
      </c>
      <c r="E77" s="111">
        <f t="shared" si="0"/>
        <v>1.1514857392187068</v>
      </c>
      <c r="F77" s="111">
        <f t="shared" si="1"/>
        <v>1.0148974630680048</v>
      </c>
      <c r="G77" s="110">
        <v>911631</v>
      </c>
      <c r="H77" s="114">
        <v>584099</v>
      </c>
      <c r="I77" s="114">
        <v>501780</v>
      </c>
      <c r="J77" s="112">
        <f t="shared" si="2"/>
        <v>0.64071866796982546</v>
      </c>
      <c r="K77" s="112">
        <f t="shared" si="3"/>
        <v>0.55042007127883974</v>
      </c>
      <c r="L77" s="110">
        <v>1976757</v>
      </c>
      <c r="M77" s="114">
        <v>1477975</v>
      </c>
      <c r="N77" s="114">
        <v>862142</v>
      </c>
      <c r="O77" s="111">
        <f t="shared" si="4"/>
        <v>0.74767662388447342</v>
      </c>
      <c r="P77" s="111">
        <f t="shared" si="5"/>
        <v>0.43613959631861682</v>
      </c>
      <c r="Q77" s="110">
        <v>3000689</v>
      </c>
      <c r="R77" s="110">
        <f t="shared" ref="R77:S77" si="162">C77+H77+M77</f>
        <v>2191387</v>
      </c>
      <c r="S77" s="110">
        <f t="shared" si="162"/>
        <v>1477896</v>
      </c>
      <c r="T77" s="113">
        <f t="shared" si="8"/>
        <v>0.73029460900479859</v>
      </c>
      <c r="U77" s="113">
        <f t="shared" si="9"/>
        <v>0.49251888482945083</v>
      </c>
      <c r="V77" s="110"/>
      <c r="W77" s="110"/>
      <c r="X77" s="110"/>
      <c r="Y77" s="110"/>
      <c r="Z77" s="110"/>
      <c r="AA77" s="113"/>
      <c r="AB77" s="113"/>
      <c r="AC77" s="110"/>
      <c r="AD77" s="110"/>
      <c r="AE77" s="110"/>
      <c r="AF77" s="113"/>
      <c r="AG77" s="113"/>
      <c r="AH77" s="110">
        <v>1468764</v>
      </c>
      <c r="AI77" s="114">
        <v>1502212</v>
      </c>
      <c r="AJ77" s="114">
        <v>1368299</v>
      </c>
      <c r="AK77" s="111">
        <f t="shared" si="10"/>
        <v>1.022772889313736</v>
      </c>
      <c r="AL77" s="111">
        <f t="shared" si="11"/>
        <v>0.93159894986532898</v>
      </c>
      <c r="AM77" s="114">
        <v>21553118</v>
      </c>
      <c r="AN77" s="114">
        <v>2791566</v>
      </c>
      <c r="AO77" s="114">
        <v>1829662</v>
      </c>
      <c r="AP77" s="111">
        <f t="shared" si="12"/>
        <v>0.12952028564962156</v>
      </c>
      <c r="AQ77" s="111">
        <f t="shared" si="13"/>
        <v>8.4890826468819958E-2</v>
      </c>
      <c r="AR77" s="110">
        <v>17327169</v>
      </c>
      <c r="AS77" s="114">
        <v>9430549</v>
      </c>
      <c r="AT77" s="114">
        <v>5761421</v>
      </c>
      <c r="AU77" s="111">
        <f t="shared" si="14"/>
        <v>0.5442636936247347</v>
      </c>
      <c r="AV77" s="111">
        <f t="shared" si="15"/>
        <v>0.33250792440473109</v>
      </c>
      <c r="AW77" s="115">
        <f t="shared" si="16"/>
        <v>40349051</v>
      </c>
      <c r="AX77" s="114">
        <f t="shared" ref="AX77:AY77" si="163">AI77+AN77+AS77</f>
        <v>13724327</v>
      </c>
      <c r="AY77" s="119">
        <f t="shared" si="163"/>
        <v>8959382</v>
      </c>
      <c r="AZ77" s="111">
        <f t="shared" si="18"/>
        <v>0.34014001965002844</v>
      </c>
      <c r="BA77" s="111">
        <f t="shared" si="19"/>
        <v>0.22204690762119783</v>
      </c>
      <c r="BB77" s="118">
        <f t="shared" si="153"/>
        <v>25751</v>
      </c>
      <c r="BC77" s="115"/>
      <c r="BD77" s="110"/>
      <c r="BE77" s="110"/>
      <c r="BF77" s="110"/>
      <c r="BG77" s="116"/>
      <c r="BH77" s="116"/>
      <c r="BI77" s="110"/>
      <c r="BJ77" s="110"/>
      <c r="BK77" s="117"/>
      <c r="BL77" s="113"/>
      <c r="BM77" s="113"/>
      <c r="BN77" s="113"/>
      <c r="BO77" s="113"/>
      <c r="BP77" s="118">
        <v>0</v>
      </c>
      <c r="BQ77" s="118">
        <v>0</v>
      </c>
      <c r="BR77" s="118">
        <v>0</v>
      </c>
      <c r="BS77" s="118">
        <v>0</v>
      </c>
    </row>
    <row r="78" spans="1:71" x14ac:dyDescent="0.25">
      <c r="A78" s="109">
        <v>44332</v>
      </c>
      <c r="B78" s="110">
        <v>112301</v>
      </c>
      <c r="C78" s="114">
        <v>129318</v>
      </c>
      <c r="D78" s="114">
        <v>113982</v>
      </c>
      <c r="E78" s="111">
        <f t="shared" si="0"/>
        <v>1.151530262419747</v>
      </c>
      <c r="F78" s="111">
        <f t="shared" si="1"/>
        <v>1.0149687001896688</v>
      </c>
      <c r="G78" s="110">
        <v>911631</v>
      </c>
      <c r="H78" s="114">
        <v>584827</v>
      </c>
      <c r="I78" s="114">
        <v>502660</v>
      </c>
      <c r="J78" s="112">
        <f t="shared" si="2"/>
        <v>0.64151723668896732</v>
      </c>
      <c r="K78" s="112">
        <f t="shared" si="3"/>
        <v>0.55138537412615407</v>
      </c>
      <c r="L78" s="110">
        <v>1976757</v>
      </c>
      <c r="M78" s="114">
        <v>1481782</v>
      </c>
      <c r="N78" s="114">
        <v>867073</v>
      </c>
      <c r="O78" s="111">
        <f t="shared" si="4"/>
        <v>0.74960250551787599</v>
      </c>
      <c r="P78" s="111">
        <f t="shared" si="5"/>
        <v>0.438634086030807</v>
      </c>
      <c r="Q78" s="110">
        <v>3000689</v>
      </c>
      <c r="R78" s="110">
        <f t="shared" ref="R78:S78" si="164">C78+H78+M78</f>
        <v>2195927</v>
      </c>
      <c r="S78" s="110">
        <f t="shared" si="164"/>
        <v>1483715</v>
      </c>
      <c r="T78" s="113">
        <f t="shared" si="8"/>
        <v>0.73180759485571478</v>
      </c>
      <c r="U78" s="113">
        <f t="shared" si="9"/>
        <v>0.49445810612162738</v>
      </c>
      <c r="V78" s="110"/>
      <c r="W78" s="110"/>
      <c r="X78" s="110"/>
      <c r="Y78" s="110"/>
      <c r="Z78" s="110"/>
      <c r="AA78" s="113"/>
      <c r="AB78" s="113"/>
      <c r="AC78" s="110"/>
      <c r="AD78" s="110"/>
      <c r="AE78" s="110"/>
      <c r="AF78" s="113"/>
      <c r="AG78" s="113"/>
      <c r="AH78" s="110">
        <v>1468764</v>
      </c>
      <c r="AI78" s="114">
        <v>1502228</v>
      </c>
      <c r="AJ78" s="114">
        <v>1368337</v>
      </c>
      <c r="AK78" s="111">
        <f t="shared" si="10"/>
        <v>1.0227837828269211</v>
      </c>
      <c r="AL78" s="111">
        <f t="shared" si="11"/>
        <v>0.93162482195914387</v>
      </c>
      <c r="AM78" s="114">
        <v>21553118</v>
      </c>
      <c r="AN78" s="114">
        <v>2792478</v>
      </c>
      <c r="AO78" s="114">
        <v>1832798</v>
      </c>
      <c r="AP78" s="111">
        <f t="shared" si="12"/>
        <v>0.12956259971295103</v>
      </c>
      <c r="AQ78" s="111">
        <f t="shared" si="13"/>
        <v>8.503632745851436E-2</v>
      </c>
      <c r="AR78" s="110">
        <v>17327169</v>
      </c>
      <c r="AS78" s="114">
        <v>9449637</v>
      </c>
      <c r="AT78" s="114">
        <v>5774108</v>
      </c>
      <c r="AU78" s="111">
        <f t="shared" si="14"/>
        <v>0.54536531616907524</v>
      </c>
      <c r="AV78" s="111">
        <f t="shared" si="15"/>
        <v>0.33324012710905054</v>
      </c>
      <c r="AW78" s="115">
        <f t="shared" si="16"/>
        <v>40349051</v>
      </c>
      <c r="AX78" s="114">
        <f t="shared" ref="AX78:AY78" si="165">AI78+AN78+AS78</f>
        <v>13744343</v>
      </c>
      <c r="AY78" s="119">
        <f t="shared" si="165"/>
        <v>8975243</v>
      </c>
      <c r="AZ78" s="111">
        <f t="shared" si="18"/>
        <v>0.34063609079678231</v>
      </c>
      <c r="BA78" s="111">
        <f t="shared" si="19"/>
        <v>0.22244000236833328</v>
      </c>
      <c r="BB78" s="118">
        <f t="shared" si="153"/>
        <v>20016</v>
      </c>
      <c r="BC78" s="115"/>
      <c r="BD78" s="110"/>
      <c r="BE78" s="110"/>
      <c r="BF78" s="110"/>
      <c r="BG78" s="116"/>
      <c r="BH78" s="116"/>
      <c r="BI78" s="110"/>
      <c r="BJ78" s="110"/>
      <c r="BK78" s="117"/>
      <c r="BL78" s="113"/>
      <c r="BM78" s="113"/>
      <c r="BN78" s="113"/>
      <c r="BO78" s="113"/>
      <c r="BP78" s="118">
        <v>0</v>
      </c>
      <c r="BQ78" s="118">
        <v>0</v>
      </c>
      <c r="BR78" s="118">
        <v>0</v>
      </c>
      <c r="BS78" s="118">
        <v>0</v>
      </c>
    </row>
    <row r="79" spans="1:71" x14ac:dyDescent="0.25">
      <c r="A79" s="109">
        <v>44333</v>
      </c>
      <c r="B79" s="110">
        <v>112301</v>
      </c>
      <c r="C79" s="114">
        <v>129401</v>
      </c>
      <c r="D79" s="114">
        <v>114352</v>
      </c>
      <c r="E79" s="111">
        <f t="shared" si="0"/>
        <v>1.152269347557012</v>
      </c>
      <c r="F79" s="111">
        <f t="shared" si="1"/>
        <v>1.0182634170666334</v>
      </c>
      <c r="G79" s="110">
        <v>911631</v>
      </c>
      <c r="H79" s="114">
        <v>585577</v>
      </c>
      <c r="I79" s="114">
        <v>507155</v>
      </c>
      <c r="J79" s="112">
        <f t="shared" si="2"/>
        <v>0.64233993797929201</v>
      </c>
      <c r="K79" s="112">
        <f t="shared" si="3"/>
        <v>0.55631609719283348</v>
      </c>
      <c r="L79" s="110">
        <v>1976757</v>
      </c>
      <c r="M79" s="114">
        <v>1490559</v>
      </c>
      <c r="N79" s="114">
        <v>888577</v>
      </c>
      <c r="O79" s="111">
        <f t="shared" si="4"/>
        <v>0.75404260614734131</v>
      </c>
      <c r="P79" s="111">
        <f t="shared" si="5"/>
        <v>0.44951250963067285</v>
      </c>
      <c r="Q79" s="110">
        <v>3000689</v>
      </c>
      <c r="R79" s="110">
        <f t="shared" ref="R79:S79" si="166">C79+H79+M79</f>
        <v>2205537</v>
      </c>
      <c r="S79" s="110">
        <f t="shared" si="166"/>
        <v>1510084</v>
      </c>
      <c r="T79" s="113">
        <f t="shared" si="8"/>
        <v>0.73501019265908596</v>
      </c>
      <c r="U79" s="113">
        <f t="shared" si="9"/>
        <v>0.50324575455836973</v>
      </c>
      <c r="V79" s="110"/>
      <c r="W79" s="110"/>
      <c r="X79" s="110"/>
      <c r="Y79" s="110"/>
      <c r="Z79" s="110"/>
      <c r="AA79" s="113"/>
      <c r="AB79" s="113"/>
      <c r="AC79" s="110"/>
      <c r="AD79" s="110"/>
      <c r="AE79" s="110"/>
      <c r="AF79" s="113"/>
      <c r="AG79" s="113"/>
      <c r="AH79" s="110">
        <v>1468764</v>
      </c>
      <c r="AI79" s="114">
        <v>1503025</v>
      </c>
      <c r="AJ79" s="114">
        <v>1369938</v>
      </c>
      <c r="AK79" s="111">
        <f t="shared" si="10"/>
        <v>1.0233264159524607</v>
      </c>
      <c r="AL79" s="111">
        <f t="shared" si="11"/>
        <v>0.93271485412224153</v>
      </c>
      <c r="AM79" s="114">
        <v>21553118</v>
      </c>
      <c r="AN79" s="114">
        <v>2806995</v>
      </c>
      <c r="AO79" s="114">
        <v>1864236</v>
      </c>
      <c r="AP79" s="111">
        <f t="shared" si="12"/>
        <v>0.13023614495127805</v>
      </c>
      <c r="AQ79" s="111">
        <f t="shared" si="13"/>
        <v>8.6494956321400918E-2</v>
      </c>
      <c r="AR79" s="110">
        <v>17327169</v>
      </c>
      <c r="AS79" s="114">
        <v>9517264</v>
      </c>
      <c r="AT79" s="114">
        <v>5859097</v>
      </c>
      <c r="AU79" s="111">
        <f t="shared" si="14"/>
        <v>0.54926826188398115</v>
      </c>
      <c r="AV79" s="111">
        <f t="shared" si="15"/>
        <v>0.33814508301962082</v>
      </c>
      <c r="AW79" s="115">
        <f t="shared" si="16"/>
        <v>40349051</v>
      </c>
      <c r="AX79" s="114">
        <f t="shared" ref="AX79:AY79" si="167">AI79+AN79+AS79</f>
        <v>13827284</v>
      </c>
      <c r="AY79" s="119">
        <f t="shared" si="167"/>
        <v>9093271</v>
      </c>
      <c r="AZ79" s="111">
        <f t="shared" si="18"/>
        <v>0.34269167817602453</v>
      </c>
      <c r="BA79" s="111">
        <f t="shared" si="19"/>
        <v>0.22536517649448559</v>
      </c>
      <c r="BB79" s="118">
        <f t="shared" si="153"/>
        <v>82941</v>
      </c>
      <c r="BC79" s="115"/>
      <c r="BD79" s="110"/>
      <c r="BE79" s="110"/>
      <c r="BF79" s="110"/>
      <c r="BG79" s="116"/>
      <c r="BH79" s="116"/>
      <c r="BI79" s="110"/>
      <c r="BJ79" s="110"/>
      <c r="BK79" s="117"/>
      <c r="BL79" s="113"/>
      <c r="BM79" s="113"/>
      <c r="BN79" s="113"/>
      <c r="BO79" s="113"/>
      <c r="BP79" s="118">
        <v>0</v>
      </c>
      <c r="BQ79" s="118">
        <v>0</v>
      </c>
      <c r="BR79" s="118">
        <v>0</v>
      </c>
      <c r="BS79" s="118">
        <v>0</v>
      </c>
    </row>
    <row r="80" spans="1:71" x14ac:dyDescent="0.25">
      <c r="A80" s="109">
        <v>44334</v>
      </c>
      <c r="B80" s="110">
        <v>112301</v>
      </c>
      <c r="C80" s="114">
        <v>129533</v>
      </c>
      <c r="D80" s="114">
        <v>114701</v>
      </c>
      <c r="E80" s="111">
        <f t="shared" si="0"/>
        <v>1.1534447600644695</v>
      </c>
      <c r="F80" s="111">
        <f t="shared" si="1"/>
        <v>1.0213711364992297</v>
      </c>
      <c r="G80" s="110">
        <v>911631</v>
      </c>
      <c r="H80" s="114">
        <v>586347</v>
      </c>
      <c r="I80" s="114">
        <v>510664</v>
      </c>
      <c r="J80" s="112">
        <f t="shared" si="2"/>
        <v>0.64318457797069206</v>
      </c>
      <c r="K80" s="112">
        <f t="shared" si="3"/>
        <v>0.56016524229649933</v>
      </c>
      <c r="L80" s="110">
        <v>1976757</v>
      </c>
      <c r="M80" s="114">
        <v>1507872</v>
      </c>
      <c r="N80" s="114">
        <v>915320</v>
      </c>
      <c r="O80" s="111">
        <f t="shared" si="4"/>
        <v>0.76280089054952127</v>
      </c>
      <c r="P80" s="111">
        <f t="shared" si="5"/>
        <v>0.46304123369741451</v>
      </c>
      <c r="Q80" s="110">
        <v>3000689</v>
      </c>
      <c r="R80" s="110">
        <f t="shared" ref="R80:S80" si="168">C80+H80+M80</f>
        <v>2223752</v>
      </c>
      <c r="S80" s="110">
        <f t="shared" si="168"/>
        <v>1540685</v>
      </c>
      <c r="T80" s="113">
        <f t="shared" si="8"/>
        <v>0.74108046518649551</v>
      </c>
      <c r="U80" s="113">
        <f t="shared" si="9"/>
        <v>0.51344374575305873</v>
      </c>
      <c r="V80" s="110"/>
      <c r="W80" s="110"/>
      <c r="X80" s="110"/>
      <c r="Y80" s="110"/>
      <c r="Z80" s="110"/>
      <c r="AA80" s="113"/>
      <c r="AB80" s="113"/>
      <c r="AC80" s="110"/>
      <c r="AD80" s="110"/>
      <c r="AE80" s="110"/>
      <c r="AF80" s="113"/>
      <c r="AG80" s="113"/>
      <c r="AH80" s="110">
        <v>1468764</v>
      </c>
      <c r="AI80" s="114">
        <v>1504324</v>
      </c>
      <c r="AJ80" s="114">
        <v>1372017</v>
      </c>
      <c r="AK80" s="111">
        <f t="shared" si="10"/>
        <v>1.024210833054187</v>
      </c>
      <c r="AL80" s="111">
        <f t="shared" si="11"/>
        <v>0.93413032999174817</v>
      </c>
      <c r="AM80" s="114">
        <v>21553118</v>
      </c>
      <c r="AN80" s="114">
        <v>2841581</v>
      </c>
      <c r="AO80" s="114">
        <v>1906473</v>
      </c>
      <c r="AP80" s="111">
        <f t="shared" si="12"/>
        <v>0.13184083156785018</v>
      </c>
      <c r="AQ80" s="111">
        <f t="shared" si="13"/>
        <v>8.8454626379347992E-2</v>
      </c>
      <c r="AR80" s="110">
        <v>17327169</v>
      </c>
      <c r="AS80" s="114">
        <v>9632092</v>
      </c>
      <c r="AT80" s="114">
        <v>5997003</v>
      </c>
      <c r="AU80" s="111">
        <f t="shared" si="14"/>
        <v>0.55589531099973688</v>
      </c>
      <c r="AV80" s="111">
        <f t="shared" si="15"/>
        <v>0.34610402888088643</v>
      </c>
      <c r="AW80" s="115">
        <f t="shared" si="16"/>
        <v>40349051</v>
      </c>
      <c r="AX80" s="114">
        <f t="shared" ref="AX80:AY80" si="169">AI80+AN80+AS80</f>
        <v>13977997</v>
      </c>
      <c r="AY80" s="119">
        <f t="shared" si="169"/>
        <v>9275493</v>
      </c>
      <c r="AZ80" s="111">
        <f t="shared" si="18"/>
        <v>0.34642690852877805</v>
      </c>
      <c r="BA80" s="111">
        <f t="shared" si="19"/>
        <v>0.2298813174069447</v>
      </c>
      <c r="BB80" s="118">
        <f t="shared" si="153"/>
        <v>150713</v>
      </c>
      <c r="BC80" s="115"/>
      <c r="BD80" s="110"/>
      <c r="BE80" s="110"/>
      <c r="BF80" s="110"/>
      <c r="BG80" s="116"/>
      <c r="BH80" s="116"/>
      <c r="BI80" s="110"/>
      <c r="BJ80" s="110"/>
      <c r="BK80" s="117"/>
      <c r="BL80" s="113"/>
      <c r="BM80" s="113"/>
      <c r="BN80" s="113"/>
      <c r="BO80" s="113"/>
      <c r="BP80" s="118">
        <v>0</v>
      </c>
      <c r="BQ80" s="118">
        <v>0</v>
      </c>
      <c r="BR80" s="118">
        <v>0</v>
      </c>
      <c r="BS80" s="118">
        <v>0</v>
      </c>
    </row>
    <row r="81" spans="1:71" x14ac:dyDescent="0.25">
      <c r="A81" s="109">
        <v>44335</v>
      </c>
      <c r="B81" s="110">
        <v>112301</v>
      </c>
      <c r="C81" s="114">
        <v>129714</v>
      </c>
      <c r="D81" s="114">
        <v>115004</v>
      </c>
      <c r="E81" s="111">
        <f t="shared" si="0"/>
        <v>1.1550564999421198</v>
      </c>
      <c r="F81" s="111">
        <f t="shared" si="1"/>
        <v>1.0240692424822575</v>
      </c>
      <c r="G81" s="110">
        <v>911631</v>
      </c>
      <c r="H81" s="114">
        <v>587128</v>
      </c>
      <c r="I81" s="114">
        <v>514002</v>
      </c>
      <c r="J81" s="112">
        <f t="shared" si="2"/>
        <v>0.64404128424768359</v>
      </c>
      <c r="K81" s="112">
        <f t="shared" si="3"/>
        <v>0.56382681150597114</v>
      </c>
      <c r="L81" s="110">
        <v>1976757</v>
      </c>
      <c r="M81" s="114">
        <v>1531144</v>
      </c>
      <c r="N81" s="114">
        <v>937777</v>
      </c>
      <c r="O81" s="111">
        <f t="shared" si="4"/>
        <v>0.77457370835160821</v>
      </c>
      <c r="P81" s="111">
        <f t="shared" si="5"/>
        <v>0.47440176005447304</v>
      </c>
      <c r="Q81" s="110">
        <v>3000689</v>
      </c>
      <c r="R81" s="110">
        <f t="shared" ref="R81:S81" si="170">C81+H81+M81</f>
        <v>2247986</v>
      </c>
      <c r="S81" s="110">
        <f t="shared" si="170"/>
        <v>1566783</v>
      </c>
      <c r="T81" s="113">
        <f t="shared" si="8"/>
        <v>0.7491566103651528</v>
      </c>
      <c r="U81" s="113">
        <f t="shared" si="9"/>
        <v>0.52214108159825956</v>
      </c>
      <c r="V81" s="110"/>
      <c r="W81" s="110"/>
      <c r="X81" s="110"/>
      <c r="Y81" s="110"/>
      <c r="Z81" s="110"/>
      <c r="AA81" s="113"/>
      <c r="AB81" s="113"/>
      <c r="AC81" s="110"/>
      <c r="AD81" s="110"/>
      <c r="AE81" s="110"/>
      <c r="AF81" s="113"/>
      <c r="AG81" s="113"/>
      <c r="AH81" s="110">
        <v>1468764</v>
      </c>
      <c r="AI81" s="114">
        <v>1505817</v>
      </c>
      <c r="AJ81" s="114">
        <v>1373813</v>
      </c>
      <c r="AK81" s="111">
        <f t="shared" si="10"/>
        <v>1.0252273340032845</v>
      </c>
      <c r="AL81" s="111">
        <f t="shared" si="11"/>
        <v>0.93535312684679095</v>
      </c>
      <c r="AM81" s="114">
        <v>21553118</v>
      </c>
      <c r="AN81" s="114">
        <v>2888392</v>
      </c>
      <c r="AO81" s="114">
        <v>1943802</v>
      </c>
      <c r="AP81" s="111">
        <f t="shared" si="12"/>
        <v>0.13401272150043442</v>
      </c>
      <c r="AQ81" s="111">
        <f t="shared" si="13"/>
        <v>9.0186579964903452E-2</v>
      </c>
      <c r="AR81" s="110">
        <v>17327169</v>
      </c>
      <c r="AS81" s="114">
        <v>9800124</v>
      </c>
      <c r="AT81" s="114">
        <v>6109914</v>
      </c>
      <c r="AU81" s="111">
        <f t="shared" si="14"/>
        <v>0.56559291364907904</v>
      </c>
      <c r="AV81" s="111">
        <f t="shared" si="15"/>
        <v>0.35262044249698266</v>
      </c>
      <c r="AW81" s="115">
        <f t="shared" si="16"/>
        <v>40349051</v>
      </c>
      <c r="AX81" s="114">
        <f t="shared" ref="AX81:AY81" si="171">AI81+AN81+AS81</f>
        <v>14194333</v>
      </c>
      <c r="AY81" s="119">
        <f t="shared" si="171"/>
        <v>9427529</v>
      </c>
      <c r="AZ81" s="111">
        <f t="shared" si="18"/>
        <v>0.35178852161851343</v>
      </c>
      <c r="BA81" s="111">
        <f t="shared" si="19"/>
        <v>0.2336493366349558</v>
      </c>
      <c r="BB81" s="118">
        <f t="shared" si="153"/>
        <v>216336</v>
      </c>
      <c r="BC81" s="115"/>
      <c r="BD81" s="110"/>
      <c r="BE81" s="110"/>
      <c r="BF81" s="110"/>
      <c r="BG81" s="116"/>
      <c r="BH81" s="116"/>
      <c r="BI81" s="110"/>
      <c r="BJ81" s="110"/>
      <c r="BK81" s="117"/>
      <c r="BL81" s="113"/>
      <c r="BM81" s="113"/>
      <c r="BN81" s="113"/>
      <c r="BO81" s="113"/>
      <c r="BP81" s="118">
        <v>0</v>
      </c>
      <c r="BQ81" s="118">
        <v>0</v>
      </c>
      <c r="BR81" s="118">
        <v>0</v>
      </c>
      <c r="BS81" s="118">
        <v>0</v>
      </c>
    </row>
    <row r="82" spans="1:71" x14ac:dyDescent="0.25">
      <c r="A82" s="109">
        <v>44336</v>
      </c>
      <c r="B82" s="110">
        <v>112301</v>
      </c>
      <c r="C82" s="114">
        <v>129893</v>
      </c>
      <c r="D82" s="114">
        <v>115301</v>
      </c>
      <c r="E82" s="111">
        <f t="shared" si="0"/>
        <v>1.1566504305393541</v>
      </c>
      <c r="F82" s="111">
        <f t="shared" si="1"/>
        <v>1.0267139206240372</v>
      </c>
      <c r="G82" s="110">
        <v>911631</v>
      </c>
      <c r="H82" s="114">
        <v>587816</v>
      </c>
      <c r="I82" s="114">
        <v>517660</v>
      </c>
      <c r="J82" s="112">
        <f t="shared" si="2"/>
        <v>0.64479597556467472</v>
      </c>
      <c r="K82" s="112">
        <f t="shared" si="3"/>
        <v>0.5678393999326482</v>
      </c>
      <c r="L82" s="110">
        <v>1976757</v>
      </c>
      <c r="M82" s="114">
        <v>1557616</v>
      </c>
      <c r="N82" s="114">
        <v>966272</v>
      </c>
      <c r="O82" s="111">
        <f t="shared" si="4"/>
        <v>0.78796533918938949</v>
      </c>
      <c r="P82" s="111">
        <f t="shared" si="5"/>
        <v>0.48881678425825736</v>
      </c>
      <c r="Q82" s="110">
        <v>3000689</v>
      </c>
      <c r="R82" s="110">
        <f t="shared" ref="R82:S82" si="172">C82+H82+M82</f>
        <v>2275325</v>
      </c>
      <c r="S82" s="110">
        <f t="shared" si="172"/>
        <v>1599233</v>
      </c>
      <c r="T82" s="113">
        <f t="shared" si="8"/>
        <v>0.75826751789339053</v>
      </c>
      <c r="U82" s="113">
        <f t="shared" si="9"/>
        <v>0.53295526460756182</v>
      </c>
      <c r="V82" s="110"/>
      <c r="W82" s="110"/>
      <c r="X82" s="110"/>
      <c r="Y82" s="110"/>
      <c r="Z82" s="110"/>
      <c r="AA82" s="113"/>
      <c r="AB82" s="113"/>
      <c r="AC82" s="110"/>
      <c r="AD82" s="110"/>
      <c r="AE82" s="110"/>
      <c r="AF82" s="113"/>
      <c r="AG82" s="113"/>
      <c r="AH82" s="110">
        <v>1468764</v>
      </c>
      <c r="AI82" s="114">
        <v>1507098</v>
      </c>
      <c r="AJ82" s="114">
        <v>1375400</v>
      </c>
      <c r="AK82" s="111">
        <f t="shared" si="10"/>
        <v>1.0260994959026775</v>
      </c>
      <c r="AL82" s="111">
        <f t="shared" si="11"/>
        <v>0.93643362718585155</v>
      </c>
      <c r="AM82" s="114">
        <v>21553118</v>
      </c>
      <c r="AN82" s="114">
        <v>2944133</v>
      </c>
      <c r="AO82" s="114">
        <v>1980252</v>
      </c>
      <c r="AP82" s="111">
        <f t="shared" si="12"/>
        <v>0.13659893663645326</v>
      </c>
      <c r="AQ82" s="111">
        <f t="shared" si="13"/>
        <v>9.187775058810517E-2</v>
      </c>
      <c r="AR82" s="110">
        <v>17327169</v>
      </c>
      <c r="AS82" s="114">
        <v>9996350</v>
      </c>
      <c r="AT82" s="114">
        <v>6224200</v>
      </c>
      <c r="AU82" s="111">
        <f t="shared" si="14"/>
        <v>0.57691767189435272</v>
      </c>
      <c r="AV82" s="111">
        <f t="shared" si="15"/>
        <v>0.35921621125759207</v>
      </c>
      <c r="AW82" s="115">
        <f t="shared" si="16"/>
        <v>40349051</v>
      </c>
      <c r="AX82" s="114">
        <f t="shared" ref="AX82:AY82" si="173">AI82+AN82+AS82</f>
        <v>14447581</v>
      </c>
      <c r="AY82" s="119">
        <f t="shared" si="173"/>
        <v>9579852</v>
      </c>
      <c r="AZ82" s="111">
        <f t="shared" si="18"/>
        <v>0.35806495176305386</v>
      </c>
      <c r="BA82" s="111">
        <f t="shared" si="19"/>
        <v>0.23742446879357831</v>
      </c>
      <c r="BB82" s="118">
        <f t="shared" si="153"/>
        <v>253248</v>
      </c>
      <c r="BC82" s="115"/>
      <c r="BD82" s="110"/>
      <c r="BE82" s="110"/>
      <c r="BF82" s="110"/>
      <c r="BG82" s="116"/>
      <c r="BH82" s="116"/>
      <c r="BI82" s="110"/>
      <c r="BJ82" s="110"/>
      <c r="BK82" s="117"/>
      <c r="BL82" s="113"/>
      <c r="BM82" s="113"/>
      <c r="BN82" s="113"/>
      <c r="BO82" s="113"/>
      <c r="BP82" s="118">
        <v>1045</v>
      </c>
      <c r="BQ82" s="118">
        <v>0</v>
      </c>
      <c r="BR82" s="118" t="s">
        <v>366</v>
      </c>
      <c r="BS82" s="118">
        <v>0</v>
      </c>
    </row>
    <row r="83" spans="1:71" x14ac:dyDescent="0.25">
      <c r="A83" s="109">
        <v>44337</v>
      </c>
      <c r="B83" s="110">
        <v>112301</v>
      </c>
      <c r="C83" s="114">
        <v>130014</v>
      </c>
      <c r="D83" s="114">
        <v>115625</v>
      </c>
      <c r="E83" s="111">
        <f t="shared" si="0"/>
        <v>1.1577278920045235</v>
      </c>
      <c r="F83" s="111">
        <f t="shared" si="1"/>
        <v>1.0295990240514332</v>
      </c>
      <c r="G83" s="110">
        <v>911631</v>
      </c>
      <c r="H83" s="114">
        <v>588442</v>
      </c>
      <c r="I83" s="114">
        <v>520855</v>
      </c>
      <c r="J83" s="112">
        <f t="shared" si="2"/>
        <v>0.6454826569083324</v>
      </c>
      <c r="K83" s="112">
        <f t="shared" si="3"/>
        <v>0.57134410742943142</v>
      </c>
      <c r="L83" s="110">
        <v>1976757</v>
      </c>
      <c r="M83" s="114">
        <v>1584442</v>
      </c>
      <c r="N83" s="114">
        <v>990835</v>
      </c>
      <c r="O83" s="111">
        <f t="shared" si="4"/>
        <v>0.80153605121924443</v>
      </c>
      <c r="P83" s="111">
        <f t="shared" si="5"/>
        <v>0.50124269194443227</v>
      </c>
      <c r="Q83" s="110">
        <v>3000689</v>
      </c>
      <c r="R83" s="110">
        <f t="shared" ref="R83:S83" si="174">C83+H83+M83</f>
        <v>2302898</v>
      </c>
      <c r="S83" s="110">
        <f t="shared" si="174"/>
        <v>1627315</v>
      </c>
      <c r="T83" s="113">
        <f t="shared" si="8"/>
        <v>0.76745640751174149</v>
      </c>
      <c r="U83" s="113">
        <f t="shared" si="9"/>
        <v>0.542313781934749</v>
      </c>
      <c r="V83" s="110"/>
      <c r="W83" s="110"/>
      <c r="X83" s="110"/>
      <c r="Y83" s="110"/>
      <c r="Z83" s="110"/>
      <c r="AA83" s="113"/>
      <c r="AB83" s="113"/>
      <c r="AC83" s="110"/>
      <c r="AD83" s="110"/>
      <c r="AE83" s="110"/>
      <c r="AF83" s="113"/>
      <c r="AG83" s="113"/>
      <c r="AH83" s="110">
        <v>1468764</v>
      </c>
      <c r="AI83" s="114">
        <v>1508652</v>
      </c>
      <c r="AJ83" s="114">
        <v>1377170</v>
      </c>
      <c r="AK83" s="111">
        <f t="shared" si="10"/>
        <v>1.0271575283707934</v>
      </c>
      <c r="AL83" s="111">
        <f t="shared" si="11"/>
        <v>0.93763872208196819</v>
      </c>
      <c r="AM83" s="114">
        <v>21553118</v>
      </c>
      <c r="AN83" s="114">
        <v>2987906</v>
      </c>
      <c r="AO83" s="114">
        <v>2006984</v>
      </c>
      <c r="AP83" s="111">
        <f t="shared" si="12"/>
        <v>0.13862987248527103</v>
      </c>
      <c r="AQ83" s="111">
        <f t="shared" si="13"/>
        <v>9.311803517245161E-2</v>
      </c>
      <c r="AR83" s="110">
        <v>17327169</v>
      </c>
      <c r="AS83" s="114">
        <v>10179623</v>
      </c>
      <c r="AT83" s="114">
        <v>6361674</v>
      </c>
      <c r="AU83" s="111">
        <f t="shared" si="14"/>
        <v>0.58749487582189563</v>
      </c>
      <c r="AV83" s="111">
        <f t="shared" si="15"/>
        <v>0.3671502251752724</v>
      </c>
      <c r="AW83" s="115">
        <f t="shared" si="16"/>
        <v>40349051</v>
      </c>
      <c r="AX83" s="114">
        <f t="shared" ref="AX83:AY83" si="175">AI83+AN83+AS83</f>
        <v>14676181</v>
      </c>
      <c r="AY83" s="119">
        <f t="shared" si="175"/>
        <v>9745828</v>
      </c>
      <c r="AZ83" s="111">
        <f t="shared" si="18"/>
        <v>0.36373051252184346</v>
      </c>
      <c r="BA83" s="111">
        <f t="shared" si="19"/>
        <v>0.24153797322271595</v>
      </c>
      <c r="BB83" s="118">
        <f t="shared" si="153"/>
        <v>228600</v>
      </c>
      <c r="BC83" s="115"/>
      <c r="BD83" s="110"/>
      <c r="BE83" s="110"/>
      <c r="BF83" s="110"/>
      <c r="BG83" s="116"/>
      <c r="BH83" s="116"/>
      <c r="BI83" s="110"/>
      <c r="BJ83" s="110"/>
      <c r="BK83" s="117"/>
      <c r="BL83" s="113"/>
      <c r="BM83" s="113"/>
      <c r="BN83" s="113"/>
      <c r="BO83" s="113"/>
      <c r="BP83" s="118">
        <v>2411</v>
      </c>
      <c r="BQ83" s="118">
        <v>0</v>
      </c>
      <c r="BR83" s="118" t="s">
        <v>366</v>
      </c>
      <c r="BS83" s="118">
        <v>0</v>
      </c>
    </row>
    <row r="84" spans="1:71" x14ac:dyDescent="0.25">
      <c r="A84" s="109">
        <v>44338</v>
      </c>
      <c r="B84" s="110">
        <v>112301</v>
      </c>
      <c r="C84" s="114">
        <v>130055</v>
      </c>
      <c r="D84" s="114">
        <v>115679</v>
      </c>
      <c r="E84" s="111">
        <f t="shared" si="0"/>
        <v>1.1580929822530521</v>
      </c>
      <c r="F84" s="111">
        <f t="shared" si="1"/>
        <v>1.0300798746226658</v>
      </c>
      <c r="G84" s="110">
        <v>911631</v>
      </c>
      <c r="H84" s="114">
        <v>588873</v>
      </c>
      <c r="I84" s="114">
        <v>521910</v>
      </c>
      <c r="J84" s="112">
        <f t="shared" si="2"/>
        <v>0.64595543591650573</v>
      </c>
      <c r="K84" s="112">
        <f t="shared" si="3"/>
        <v>0.57250137391115485</v>
      </c>
      <c r="L84" s="110">
        <v>1976757</v>
      </c>
      <c r="M84" s="114">
        <v>1597118</v>
      </c>
      <c r="N84" s="114">
        <v>1007097</v>
      </c>
      <c r="O84" s="111">
        <f t="shared" si="4"/>
        <v>0.8079485743568886</v>
      </c>
      <c r="P84" s="111">
        <f t="shared" si="5"/>
        <v>0.50946929744020131</v>
      </c>
      <c r="Q84" s="110">
        <v>3000689</v>
      </c>
      <c r="R84" s="110">
        <f t="shared" ref="R84:S84" si="176">C84+H84+M84</f>
        <v>2316046</v>
      </c>
      <c r="S84" s="110">
        <f t="shared" si="176"/>
        <v>1644686</v>
      </c>
      <c r="T84" s="113">
        <f t="shared" si="8"/>
        <v>0.7718380678570822</v>
      </c>
      <c r="U84" s="113">
        <f t="shared" si="9"/>
        <v>0.54810278572687809</v>
      </c>
      <c r="V84" s="110"/>
      <c r="W84" s="110"/>
      <c r="X84" s="110"/>
      <c r="Y84" s="110"/>
      <c r="Z84" s="110"/>
      <c r="AA84" s="113"/>
      <c r="AB84" s="113"/>
      <c r="AC84" s="110"/>
      <c r="AD84" s="110"/>
      <c r="AE84" s="110"/>
      <c r="AF84" s="113"/>
      <c r="AG84" s="113"/>
      <c r="AH84" s="110">
        <v>1468764</v>
      </c>
      <c r="AI84" s="114">
        <v>1509523</v>
      </c>
      <c r="AJ84" s="114">
        <v>1378053</v>
      </c>
      <c r="AK84" s="111">
        <f t="shared" si="10"/>
        <v>1.0277505439948147</v>
      </c>
      <c r="AL84" s="111">
        <f t="shared" si="11"/>
        <v>0.93823990784087841</v>
      </c>
      <c r="AM84" s="114">
        <v>21553118</v>
      </c>
      <c r="AN84" s="114">
        <v>3030396</v>
      </c>
      <c r="AO84" s="114">
        <v>2029296</v>
      </c>
      <c r="AP84" s="111">
        <f t="shared" si="12"/>
        <v>0.1406012809840321</v>
      </c>
      <c r="AQ84" s="111">
        <f t="shared" si="13"/>
        <v>9.4153245020047682E-2</v>
      </c>
      <c r="AR84" s="110">
        <v>17327169</v>
      </c>
      <c r="AS84" s="114">
        <v>10317952</v>
      </c>
      <c r="AT84" s="114">
        <v>6445395</v>
      </c>
      <c r="AU84" s="111">
        <f t="shared" si="14"/>
        <v>0.59547823421125512</v>
      </c>
      <c r="AV84" s="111">
        <f t="shared" si="15"/>
        <v>0.3719820012143934</v>
      </c>
      <c r="AW84" s="115">
        <f t="shared" si="16"/>
        <v>40349051</v>
      </c>
      <c r="AX84" s="114">
        <f t="shared" ref="AX84:AY84" si="177">AI84+AN84+AS84</f>
        <v>14857871</v>
      </c>
      <c r="AY84" s="119">
        <f t="shared" si="177"/>
        <v>9852744</v>
      </c>
      <c r="AZ84" s="111">
        <f t="shared" si="18"/>
        <v>0.36823346848975458</v>
      </c>
      <c r="BA84" s="111">
        <f t="shared" si="19"/>
        <v>0.24418775053718117</v>
      </c>
      <c r="BB84" s="118">
        <f t="shared" si="153"/>
        <v>181690</v>
      </c>
      <c r="BC84" s="115"/>
      <c r="BD84" s="110"/>
      <c r="BE84" s="110"/>
      <c r="BF84" s="110"/>
      <c r="BG84" s="116"/>
      <c r="BH84" s="116"/>
      <c r="BI84" s="110"/>
      <c r="BJ84" s="110"/>
      <c r="BK84" s="117"/>
      <c r="BL84" s="113"/>
      <c r="BM84" s="113"/>
      <c r="BN84" s="113"/>
      <c r="BO84" s="113"/>
      <c r="BP84" s="118">
        <v>3289</v>
      </c>
      <c r="BQ84" s="118">
        <v>0</v>
      </c>
      <c r="BR84" s="118" t="s">
        <v>366</v>
      </c>
      <c r="BS84" s="118">
        <v>0</v>
      </c>
    </row>
    <row r="85" spans="1:71" x14ac:dyDescent="0.25">
      <c r="A85" s="109">
        <v>44339</v>
      </c>
      <c r="B85" s="110">
        <v>112301</v>
      </c>
      <c r="C85" s="114">
        <v>130055</v>
      </c>
      <c r="D85" s="114">
        <v>115685</v>
      </c>
      <c r="E85" s="111">
        <f t="shared" si="0"/>
        <v>1.1580929822530521</v>
      </c>
      <c r="F85" s="111">
        <f t="shared" si="1"/>
        <v>1.0301333024639139</v>
      </c>
      <c r="G85" s="110">
        <v>911631</v>
      </c>
      <c r="H85" s="114">
        <v>589306</v>
      </c>
      <c r="I85" s="114">
        <v>522510</v>
      </c>
      <c r="J85" s="112">
        <f t="shared" si="2"/>
        <v>0.64643040879478653</v>
      </c>
      <c r="K85" s="112">
        <f t="shared" si="3"/>
        <v>0.57315953494341465</v>
      </c>
      <c r="L85" s="110">
        <v>1976757</v>
      </c>
      <c r="M85" s="114">
        <v>1605233</v>
      </c>
      <c r="N85" s="114">
        <v>1018653</v>
      </c>
      <c r="O85" s="111">
        <f t="shared" si="4"/>
        <v>0.81205378303959463</v>
      </c>
      <c r="P85" s="111">
        <f t="shared" si="5"/>
        <v>0.51531523601535245</v>
      </c>
      <c r="Q85" s="110">
        <v>3000689</v>
      </c>
      <c r="R85" s="110">
        <f t="shared" ref="R85:S85" si="178">C85+H85+M85</f>
        <v>2324594</v>
      </c>
      <c r="S85" s="110">
        <f t="shared" si="178"/>
        <v>1656848</v>
      </c>
      <c r="T85" s="113">
        <f t="shared" si="8"/>
        <v>0.77468674694378525</v>
      </c>
      <c r="U85" s="113">
        <f t="shared" si="9"/>
        <v>0.5521558548719977</v>
      </c>
      <c r="V85" s="110"/>
      <c r="W85" s="110"/>
      <c r="X85" s="110"/>
      <c r="Y85" s="110"/>
      <c r="Z85" s="110"/>
      <c r="AA85" s="113"/>
      <c r="AB85" s="113"/>
      <c r="AC85" s="110"/>
      <c r="AD85" s="110"/>
      <c r="AE85" s="110"/>
      <c r="AF85" s="113"/>
      <c r="AG85" s="113"/>
      <c r="AH85" s="110">
        <v>1468764</v>
      </c>
      <c r="AI85" s="114">
        <v>1509602</v>
      </c>
      <c r="AJ85" s="114">
        <v>1378175</v>
      </c>
      <c r="AK85" s="111">
        <f t="shared" si="10"/>
        <v>1.0278043307161668</v>
      </c>
      <c r="AL85" s="111">
        <f t="shared" si="11"/>
        <v>0.93832297087891592</v>
      </c>
      <c r="AM85" s="114">
        <v>21553118</v>
      </c>
      <c r="AN85" s="114">
        <v>3035376</v>
      </c>
      <c r="AO85" s="114">
        <v>2031431</v>
      </c>
      <c r="AP85" s="111">
        <f t="shared" si="12"/>
        <v>0.14083233804037076</v>
      </c>
      <c r="AQ85" s="111">
        <f t="shared" si="13"/>
        <v>9.4252302613478015E-2</v>
      </c>
      <c r="AR85" s="110">
        <v>17327169</v>
      </c>
      <c r="AS85" s="114">
        <v>10350966</v>
      </c>
      <c r="AT85" s="114">
        <v>6470711</v>
      </c>
      <c r="AU85" s="111">
        <f t="shared" si="14"/>
        <v>0.59738356565922568</v>
      </c>
      <c r="AV85" s="111">
        <f t="shared" si="15"/>
        <v>0.37344305927875465</v>
      </c>
      <c r="AW85" s="115">
        <f t="shared" si="16"/>
        <v>40349051</v>
      </c>
      <c r="AX85" s="114">
        <f t="shared" ref="AX85:AY85" si="179">AI85+AN85+AS85</f>
        <v>14895944</v>
      </c>
      <c r="AY85" s="119">
        <f t="shared" si="179"/>
        <v>9880317</v>
      </c>
      <c r="AZ85" s="111">
        <f t="shared" si="18"/>
        <v>0.36917705945549995</v>
      </c>
      <c r="BA85" s="111">
        <f t="shared" si="19"/>
        <v>0.24487111233421574</v>
      </c>
      <c r="BB85" s="118">
        <f t="shared" si="153"/>
        <v>38073</v>
      </c>
      <c r="BC85" s="115"/>
      <c r="BD85" s="110"/>
      <c r="BE85" s="110"/>
      <c r="BF85" s="110"/>
      <c r="BG85" s="116"/>
      <c r="BH85" s="116"/>
      <c r="BI85" s="110"/>
      <c r="BJ85" s="110"/>
      <c r="BK85" s="117"/>
      <c r="BL85" s="113"/>
      <c r="BM85" s="113"/>
      <c r="BN85" s="113"/>
      <c r="BO85" s="113"/>
      <c r="BP85" s="118">
        <v>4753</v>
      </c>
      <c r="BQ85" s="118">
        <v>0</v>
      </c>
      <c r="BR85" s="118" t="s">
        <v>366</v>
      </c>
      <c r="BS85" s="118">
        <v>0</v>
      </c>
    </row>
    <row r="86" spans="1:71" x14ac:dyDescent="0.25">
      <c r="A86" s="109">
        <v>44340</v>
      </c>
      <c r="B86" s="110">
        <v>112301</v>
      </c>
      <c r="C86" s="114">
        <v>130064</v>
      </c>
      <c r="D86" s="114">
        <v>115709</v>
      </c>
      <c r="E86" s="111">
        <f t="shared" si="0"/>
        <v>1.1581731240149242</v>
      </c>
      <c r="F86" s="111">
        <f t="shared" si="1"/>
        <v>1.0303470138289061</v>
      </c>
      <c r="G86" s="110">
        <v>911631</v>
      </c>
      <c r="H86" s="114">
        <v>589583</v>
      </c>
      <c r="I86" s="114">
        <v>523390</v>
      </c>
      <c r="J86" s="112">
        <f t="shared" si="2"/>
        <v>0.64673425980467969</v>
      </c>
      <c r="K86" s="112">
        <f t="shared" si="3"/>
        <v>0.57412483779072887</v>
      </c>
      <c r="L86" s="110">
        <v>1976757</v>
      </c>
      <c r="M86" s="114">
        <v>1609867</v>
      </c>
      <c r="N86" s="114">
        <v>1024668</v>
      </c>
      <c r="O86" s="111">
        <f t="shared" si="4"/>
        <v>0.81439802666690952</v>
      </c>
      <c r="P86" s="111">
        <f t="shared" si="5"/>
        <v>0.51835809864338411</v>
      </c>
      <c r="Q86" s="110">
        <v>3000689</v>
      </c>
      <c r="R86" s="110">
        <f t="shared" ref="R86:S86" si="180">C86+H86+M86</f>
        <v>2329514</v>
      </c>
      <c r="S86" s="110">
        <f t="shared" si="180"/>
        <v>1663767</v>
      </c>
      <c r="T86" s="113">
        <f t="shared" si="8"/>
        <v>0.77632637037693675</v>
      </c>
      <c r="U86" s="113">
        <f t="shared" si="9"/>
        <v>0.55446165863906594</v>
      </c>
      <c r="V86" s="110"/>
      <c r="W86" s="110"/>
      <c r="X86" s="110"/>
      <c r="Y86" s="110"/>
      <c r="Z86" s="110"/>
      <c r="AA86" s="113"/>
      <c r="AB86" s="113"/>
      <c r="AC86" s="110"/>
      <c r="AD86" s="110"/>
      <c r="AE86" s="110"/>
      <c r="AF86" s="113"/>
      <c r="AG86" s="113"/>
      <c r="AH86" s="110">
        <v>1468764</v>
      </c>
      <c r="AI86" s="114">
        <v>1509688</v>
      </c>
      <c r="AJ86" s="114">
        <v>1378297</v>
      </c>
      <c r="AK86" s="111">
        <f t="shared" si="10"/>
        <v>1.0278628833495373</v>
      </c>
      <c r="AL86" s="111">
        <f t="shared" si="11"/>
        <v>0.93840603391695332</v>
      </c>
      <c r="AM86" s="114">
        <v>21553118</v>
      </c>
      <c r="AN86" s="114">
        <v>3037155</v>
      </c>
      <c r="AO86" s="114">
        <v>2035034</v>
      </c>
      <c r="AP86" s="111">
        <f t="shared" si="12"/>
        <v>0.14091487830206284</v>
      </c>
      <c r="AQ86" s="111">
        <f t="shared" si="13"/>
        <v>9.4419471001829056E-2</v>
      </c>
      <c r="AR86" s="110">
        <v>17327169</v>
      </c>
      <c r="AS86" s="114">
        <v>10358642</v>
      </c>
      <c r="AT86" s="114">
        <v>6482944</v>
      </c>
      <c r="AU86" s="111">
        <f t="shared" si="14"/>
        <v>0.59782656936052281</v>
      </c>
      <c r="AV86" s="111">
        <f t="shared" si="15"/>
        <v>0.37414906035717665</v>
      </c>
      <c r="AW86" s="115">
        <f t="shared" si="16"/>
        <v>40349051</v>
      </c>
      <c r="AX86" s="114">
        <f t="shared" ref="AX86:AY86" si="181">AI86+AN86+AS86</f>
        <v>14905485</v>
      </c>
      <c r="AY86" s="119">
        <f t="shared" si="181"/>
        <v>9896275</v>
      </c>
      <c r="AZ86" s="111">
        <f t="shared" si="18"/>
        <v>0.36941352102680186</v>
      </c>
      <c r="BA86" s="111">
        <f t="shared" si="19"/>
        <v>0.24526661110319548</v>
      </c>
      <c r="BB86" s="118">
        <f t="shared" si="153"/>
        <v>9541</v>
      </c>
      <c r="BC86" s="115"/>
      <c r="BD86" s="110"/>
      <c r="BE86" s="110"/>
      <c r="BF86" s="110"/>
      <c r="BG86" s="116"/>
      <c r="BH86" s="116"/>
      <c r="BI86" s="110"/>
      <c r="BJ86" s="110"/>
      <c r="BK86" s="117"/>
      <c r="BL86" s="113"/>
      <c r="BM86" s="113"/>
      <c r="BN86" s="113"/>
      <c r="BO86" s="113"/>
      <c r="BP86" s="118">
        <v>5129</v>
      </c>
      <c r="BQ86" s="118">
        <v>0</v>
      </c>
      <c r="BR86" s="118" t="s">
        <v>366</v>
      </c>
      <c r="BS86" s="118">
        <v>0</v>
      </c>
    </row>
    <row r="87" spans="1:71" x14ac:dyDescent="0.25">
      <c r="A87" s="109">
        <v>44341</v>
      </c>
      <c r="B87" s="110">
        <v>112301</v>
      </c>
      <c r="C87" s="114">
        <v>130238</v>
      </c>
      <c r="D87" s="114">
        <v>116082</v>
      </c>
      <c r="E87" s="111">
        <f t="shared" si="0"/>
        <v>1.1597225314111184</v>
      </c>
      <c r="F87" s="111">
        <f t="shared" si="1"/>
        <v>1.0336684446264948</v>
      </c>
      <c r="G87" s="110">
        <v>911631</v>
      </c>
      <c r="H87" s="114">
        <v>590267</v>
      </c>
      <c r="I87" s="114">
        <v>526945</v>
      </c>
      <c r="J87" s="112">
        <f t="shared" si="2"/>
        <v>0.64748456338145588</v>
      </c>
      <c r="K87" s="112">
        <f t="shared" si="3"/>
        <v>0.57802444190686797</v>
      </c>
      <c r="L87" s="110">
        <v>1976757</v>
      </c>
      <c r="M87" s="114">
        <v>1652727</v>
      </c>
      <c r="N87" s="114">
        <v>1061588</v>
      </c>
      <c r="O87" s="111">
        <f t="shared" si="4"/>
        <v>0.83608000376374025</v>
      </c>
      <c r="P87" s="111">
        <f t="shared" si="5"/>
        <v>0.5370351540427073</v>
      </c>
      <c r="Q87" s="110">
        <v>3000689</v>
      </c>
      <c r="R87" s="110">
        <f t="shared" ref="R87:S87" si="182">C87+H87+M87</f>
        <v>2373232</v>
      </c>
      <c r="S87" s="110">
        <f t="shared" si="182"/>
        <v>1704615</v>
      </c>
      <c r="T87" s="113">
        <f t="shared" si="8"/>
        <v>0.7908956909563104</v>
      </c>
      <c r="U87" s="113">
        <f t="shared" si="9"/>
        <v>0.56807453221576776</v>
      </c>
      <c r="V87" s="110"/>
      <c r="W87" s="110"/>
      <c r="X87" s="110"/>
      <c r="Y87" s="110"/>
      <c r="Z87" s="110"/>
      <c r="AA87" s="113"/>
      <c r="AB87" s="113"/>
      <c r="AC87" s="110"/>
      <c r="AD87" s="110"/>
      <c r="AE87" s="110"/>
      <c r="AF87" s="113"/>
      <c r="AG87" s="113"/>
      <c r="AH87" s="110">
        <v>1468764</v>
      </c>
      <c r="AI87" s="114">
        <v>1511907</v>
      </c>
      <c r="AJ87" s="114">
        <v>1380437</v>
      </c>
      <c r="AK87" s="111">
        <f t="shared" si="10"/>
        <v>1.0293736774594149</v>
      </c>
      <c r="AL87" s="111">
        <f t="shared" si="11"/>
        <v>0.9398630413054786</v>
      </c>
      <c r="AM87" s="114">
        <v>21553118</v>
      </c>
      <c r="AN87" s="114">
        <v>3116601</v>
      </c>
      <c r="AO87" s="114">
        <v>2083789</v>
      </c>
      <c r="AP87" s="111">
        <f t="shared" si="12"/>
        <v>0.1446009343056536</v>
      </c>
      <c r="AQ87" s="111">
        <f t="shared" si="13"/>
        <v>9.668155670098405E-2</v>
      </c>
      <c r="AR87" s="110">
        <v>17327169</v>
      </c>
      <c r="AS87" s="114">
        <v>10683409</v>
      </c>
      <c r="AT87" s="114">
        <v>6660547</v>
      </c>
      <c r="AU87" s="111">
        <f t="shared" si="14"/>
        <v>0.61656979279188651</v>
      </c>
      <c r="AV87" s="111">
        <f t="shared" si="15"/>
        <v>0.38439903252516322</v>
      </c>
      <c r="AW87" s="115">
        <f t="shared" si="16"/>
        <v>40349051</v>
      </c>
      <c r="AX87" s="114">
        <f t="shared" ref="AX87:AY87" si="183">AI87+AN87+AS87</f>
        <v>15311917</v>
      </c>
      <c r="AY87" s="119">
        <f t="shared" si="183"/>
        <v>10124773</v>
      </c>
      <c r="AZ87" s="111">
        <f t="shared" si="18"/>
        <v>0.37948642212179912</v>
      </c>
      <c r="BA87" s="111">
        <f t="shared" si="19"/>
        <v>0.25092964392148903</v>
      </c>
      <c r="BB87" s="118">
        <f t="shared" si="153"/>
        <v>406432</v>
      </c>
      <c r="BC87" s="115"/>
      <c r="BD87" s="110"/>
      <c r="BE87" s="110"/>
      <c r="BF87" s="110"/>
      <c r="BG87" s="116"/>
      <c r="BH87" s="116"/>
      <c r="BI87" s="110"/>
      <c r="BJ87" s="110"/>
      <c r="BK87" s="117"/>
      <c r="BL87" s="113"/>
      <c r="BM87" s="113"/>
      <c r="BN87" s="113"/>
      <c r="BO87" s="113"/>
      <c r="BP87" s="118">
        <v>7222</v>
      </c>
      <c r="BQ87" s="118">
        <v>0</v>
      </c>
      <c r="BR87" s="118" t="s">
        <v>366</v>
      </c>
      <c r="BS87" s="118">
        <v>0</v>
      </c>
    </row>
    <row r="88" spans="1:71" x14ac:dyDescent="0.25">
      <c r="A88" s="109">
        <v>44342</v>
      </c>
      <c r="B88" s="110">
        <v>112301</v>
      </c>
      <c r="C88" s="114">
        <v>130312</v>
      </c>
      <c r="D88" s="114">
        <v>116230</v>
      </c>
      <c r="E88" s="111">
        <f t="shared" si="0"/>
        <v>1.1603814747865113</v>
      </c>
      <c r="F88" s="111">
        <f t="shared" si="1"/>
        <v>1.0349863313772807</v>
      </c>
      <c r="G88" s="110">
        <v>911631</v>
      </c>
      <c r="H88" s="114">
        <v>591012</v>
      </c>
      <c r="I88" s="114">
        <v>528669</v>
      </c>
      <c r="J88" s="112">
        <f t="shared" si="2"/>
        <v>0.64830177999651173</v>
      </c>
      <c r="K88" s="112">
        <f t="shared" si="3"/>
        <v>0.57991555793956107</v>
      </c>
      <c r="L88" s="110">
        <v>1976757</v>
      </c>
      <c r="M88" s="114">
        <v>1676765</v>
      </c>
      <c r="N88" s="114">
        <v>1087265</v>
      </c>
      <c r="O88" s="111">
        <f t="shared" si="4"/>
        <v>0.84824032493624657</v>
      </c>
      <c r="P88" s="111">
        <f t="shared" si="5"/>
        <v>0.55002461101693334</v>
      </c>
      <c r="Q88" s="110">
        <v>3000689</v>
      </c>
      <c r="R88" s="110">
        <f t="shared" ref="R88:S88" si="184">C88+H88+M88</f>
        <v>2398089</v>
      </c>
      <c r="S88" s="110">
        <f t="shared" si="184"/>
        <v>1732164</v>
      </c>
      <c r="T88" s="113">
        <f t="shared" si="8"/>
        <v>0.79917945511847444</v>
      </c>
      <c r="U88" s="113">
        <f t="shared" si="9"/>
        <v>0.57725542367103022</v>
      </c>
      <c r="V88" s="110"/>
      <c r="W88" s="110"/>
      <c r="X88" s="110"/>
      <c r="Y88" s="110"/>
      <c r="Z88" s="110"/>
      <c r="AA88" s="113"/>
      <c r="AB88" s="113"/>
      <c r="AC88" s="110"/>
      <c r="AD88" s="110"/>
      <c r="AE88" s="110"/>
      <c r="AF88" s="113"/>
      <c r="AG88" s="113"/>
      <c r="AH88" s="110">
        <v>1468764</v>
      </c>
      <c r="AI88" s="114">
        <v>1513104</v>
      </c>
      <c r="AJ88" s="114">
        <v>1381501</v>
      </c>
      <c r="AK88" s="111">
        <f t="shared" si="10"/>
        <v>1.0301886484145852</v>
      </c>
      <c r="AL88" s="111">
        <f t="shared" si="11"/>
        <v>0.94058745993229687</v>
      </c>
      <c r="AM88" s="114">
        <v>21553118</v>
      </c>
      <c r="AN88" s="114">
        <v>3153442</v>
      </c>
      <c r="AO88" s="114">
        <v>2098872</v>
      </c>
      <c r="AP88" s="111">
        <f t="shared" si="12"/>
        <v>0.14631024615556784</v>
      </c>
      <c r="AQ88" s="111">
        <f t="shared" si="13"/>
        <v>9.7381362640894933E-2</v>
      </c>
      <c r="AR88" s="110">
        <v>17327169</v>
      </c>
      <c r="AS88" s="114">
        <v>10847764</v>
      </c>
      <c r="AT88" s="114">
        <v>6743753</v>
      </c>
      <c r="AU88" s="111">
        <f t="shared" si="14"/>
        <v>0.62605518535659233</v>
      </c>
      <c r="AV88" s="111">
        <f t="shared" si="15"/>
        <v>0.38920108645561197</v>
      </c>
      <c r="AW88" s="115">
        <f t="shared" si="16"/>
        <v>40349051</v>
      </c>
      <c r="AX88" s="114">
        <f t="shared" ref="AX88:AY88" si="185">AI88+AN88+AS88</f>
        <v>15514310</v>
      </c>
      <c r="AY88" s="119">
        <f t="shared" si="185"/>
        <v>10224126</v>
      </c>
      <c r="AZ88" s="111">
        <f t="shared" si="18"/>
        <v>0.38450247565921686</v>
      </c>
      <c r="BA88" s="111">
        <f t="shared" si="19"/>
        <v>0.25339198188329137</v>
      </c>
      <c r="BB88" s="118">
        <f t="shared" si="153"/>
        <v>202393</v>
      </c>
      <c r="BC88" s="115"/>
      <c r="BD88" s="110"/>
      <c r="BE88" s="110"/>
      <c r="BF88" s="110"/>
      <c r="BG88" s="116"/>
      <c r="BH88" s="116"/>
      <c r="BI88" s="110"/>
      <c r="BJ88" s="110"/>
      <c r="BK88" s="117"/>
      <c r="BL88" s="113"/>
      <c r="BM88" s="113"/>
      <c r="BN88" s="113"/>
      <c r="BO88" s="113"/>
      <c r="BP88" s="118">
        <v>8274</v>
      </c>
      <c r="BQ88" s="118">
        <v>0</v>
      </c>
      <c r="BR88" s="118" t="s">
        <v>366</v>
      </c>
      <c r="BS88" s="118">
        <v>0</v>
      </c>
    </row>
    <row r="89" spans="1:71" x14ac:dyDescent="0.25">
      <c r="A89" s="109">
        <v>44343</v>
      </c>
      <c r="B89" s="110">
        <v>112301</v>
      </c>
      <c r="C89" s="114">
        <v>130439</v>
      </c>
      <c r="D89" s="114">
        <v>116619</v>
      </c>
      <c r="E89" s="111">
        <f t="shared" si="0"/>
        <v>1.1615123640929288</v>
      </c>
      <c r="F89" s="111">
        <f t="shared" si="1"/>
        <v>1.0384502364181976</v>
      </c>
      <c r="G89" s="110">
        <v>911631</v>
      </c>
      <c r="H89" s="114">
        <v>591661</v>
      </c>
      <c r="I89" s="114">
        <v>531718</v>
      </c>
      <c r="J89" s="112">
        <f t="shared" si="2"/>
        <v>0.64901369084640603</v>
      </c>
      <c r="K89" s="112">
        <f t="shared" si="3"/>
        <v>0.58326011291849444</v>
      </c>
      <c r="L89" s="110">
        <v>1976757</v>
      </c>
      <c r="M89" s="114">
        <v>1707434</v>
      </c>
      <c r="N89" s="114">
        <v>1121955</v>
      </c>
      <c r="O89" s="111">
        <f t="shared" si="4"/>
        <v>0.86375513024615569</v>
      </c>
      <c r="P89" s="111">
        <f t="shared" si="5"/>
        <v>0.56757355608200699</v>
      </c>
      <c r="Q89" s="110">
        <v>3000689</v>
      </c>
      <c r="R89" s="110">
        <f t="shared" ref="R89:S89" si="186">C89+H89+M89</f>
        <v>2429534</v>
      </c>
      <c r="S89" s="110">
        <f t="shared" si="186"/>
        <v>1770292</v>
      </c>
      <c r="T89" s="113">
        <f t="shared" si="8"/>
        <v>0.80965871504844389</v>
      </c>
      <c r="U89" s="113">
        <f t="shared" si="9"/>
        <v>0.58996183876436381</v>
      </c>
      <c r="V89" s="110"/>
      <c r="W89" s="110"/>
      <c r="X89" s="110"/>
      <c r="Y89" s="110"/>
      <c r="Z89" s="110"/>
      <c r="AA89" s="113"/>
      <c r="AB89" s="113"/>
      <c r="AC89" s="110"/>
      <c r="AD89" s="110"/>
      <c r="AE89" s="110"/>
      <c r="AF89" s="113"/>
      <c r="AG89" s="113"/>
      <c r="AH89" s="110">
        <v>1468764</v>
      </c>
      <c r="AI89" s="114">
        <v>1513104</v>
      </c>
      <c r="AJ89" s="114">
        <v>1381501</v>
      </c>
      <c r="AK89" s="111">
        <f t="shared" si="10"/>
        <v>1.0301886484145852</v>
      </c>
      <c r="AL89" s="111">
        <f t="shared" si="11"/>
        <v>0.94058745993229687</v>
      </c>
      <c r="AM89" s="114">
        <v>21553118</v>
      </c>
      <c r="AN89" s="114">
        <v>3153442</v>
      </c>
      <c r="AO89" s="114">
        <v>2098872</v>
      </c>
      <c r="AP89" s="111">
        <f t="shared" si="12"/>
        <v>0.14631024615556784</v>
      </c>
      <c r="AQ89" s="111">
        <f t="shared" si="13"/>
        <v>9.7381362640894933E-2</v>
      </c>
      <c r="AR89" s="110">
        <v>17327169</v>
      </c>
      <c r="AS89" s="114">
        <v>10847764</v>
      </c>
      <c r="AT89" s="114">
        <v>6743753</v>
      </c>
      <c r="AU89" s="111">
        <f t="shared" si="14"/>
        <v>0.62605518535659233</v>
      </c>
      <c r="AV89" s="111">
        <f t="shared" si="15"/>
        <v>0.38920108645561197</v>
      </c>
      <c r="AW89" s="115">
        <f t="shared" si="16"/>
        <v>40349051</v>
      </c>
      <c r="AX89" s="114">
        <f t="shared" ref="AX89:AY89" si="187">AI89+AN89+AS89</f>
        <v>15514310</v>
      </c>
      <c r="AY89" s="119">
        <f t="shared" si="187"/>
        <v>10224126</v>
      </c>
      <c r="AZ89" s="111">
        <f t="shared" si="18"/>
        <v>0.38450247565921686</v>
      </c>
      <c r="BA89" s="111">
        <f t="shared" si="19"/>
        <v>0.25339198188329137</v>
      </c>
      <c r="BB89" s="118">
        <f t="shared" si="153"/>
        <v>0</v>
      </c>
      <c r="BC89" s="115"/>
      <c r="BD89" s="110"/>
      <c r="BE89" s="110"/>
      <c r="BF89" s="110"/>
      <c r="BG89" s="116"/>
      <c r="BH89" s="116"/>
      <c r="BI89" s="110"/>
      <c r="BJ89" s="110"/>
      <c r="BK89" s="117"/>
      <c r="BL89" s="113"/>
      <c r="BM89" s="113"/>
      <c r="BN89" s="113"/>
      <c r="BO89" s="113"/>
      <c r="BP89" s="118">
        <v>11100</v>
      </c>
      <c r="BQ89" s="118">
        <v>0</v>
      </c>
      <c r="BR89" s="118" t="s">
        <v>366</v>
      </c>
      <c r="BS89" s="118">
        <v>0</v>
      </c>
    </row>
    <row r="90" spans="1:71" x14ac:dyDescent="0.25">
      <c r="A90" s="109">
        <v>44344</v>
      </c>
      <c r="B90" s="110">
        <v>112301</v>
      </c>
      <c r="C90" s="114">
        <v>133442</v>
      </c>
      <c r="D90" s="114">
        <v>119578</v>
      </c>
      <c r="E90" s="111">
        <f t="shared" si="0"/>
        <v>1.18825299863759</v>
      </c>
      <c r="F90" s="111">
        <f t="shared" si="1"/>
        <v>1.0647990667937062</v>
      </c>
      <c r="G90" s="110">
        <v>911631</v>
      </c>
      <c r="H90" s="114">
        <v>591661</v>
      </c>
      <c r="I90" s="114">
        <v>531718</v>
      </c>
      <c r="J90" s="112">
        <f t="shared" si="2"/>
        <v>0.64901369084640603</v>
      </c>
      <c r="K90" s="112">
        <f t="shared" si="3"/>
        <v>0.58326011291849444</v>
      </c>
      <c r="L90" s="110">
        <v>1976757</v>
      </c>
      <c r="M90" s="114">
        <v>1707434</v>
      </c>
      <c r="N90" s="114">
        <v>1121955</v>
      </c>
      <c r="O90" s="111">
        <f t="shared" si="4"/>
        <v>0.86375513024615569</v>
      </c>
      <c r="P90" s="111">
        <f t="shared" si="5"/>
        <v>0.56757355608200699</v>
      </c>
      <c r="Q90" s="110">
        <v>3000689</v>
      </c>
      <c r="R90" s="110">
        <f t="shared" ref="R90:S90" si="188">C90+H90+M90</f>
        <v>2432537</v>
      </c>
      <c r="S90" s="110">
        <f t="shared" si="188"/>
        <v>1773251</v>
      </c>
      <c r="T90" s="113">
        <f t="shared" si="8"/>
        <v>0.81065948520489794</v>
      </c>
      <c r="U90" s="113">
        <f t="shared" si="9"/>
        <v>0.59094794562182218</v>
      </c>
      <c r="V90" s="110"/>
      <c r="W90" s="110"/>
      <c r="X90" s="110"/>
      <c r="Y90" s="110"/>
      <c r="Z90" s="110"/>
      <c r="AA90" s="113"/>
      <c r="AB90" s="113"/>
      <c r="AC90" s="110"/>
      <c r="AD90" s="110"/>
      <c r="AE90" s="110"/>
      <c r="AF90" s="113"/>
      <c r="AG90" s="113"/>
      <c r="AH90" s="110">
        <v>1468764</v>
      </c>
      <c r="AI90" s="114">
        <v>1516031</v>
      </c>
      <c r="AJ90" s="114">
        <v>1384767</v>
      </c>
      <c r="AK90" s="111">
        <f t="shared" si="10"/>
        <v>1.0321814804829095</v>
      </c>
      <c r="AL90" s="111">
        <f t="shared" si="11"/>
        <v>0.94281109831123311</v>
      </c>
      <c r="AM90" s="114">
        <v>21553118</v>
      </c>
      <c r="AN90" s="114">
        <v>3251706</v>
      </c>
      <c r="AO90" s="114">
        <v>2165628</v>
      </c>
      <c r="AP90" s="111">
        <f t="shared" si="12"/>
        <v>0.15086940089132347</v>
      </c>
      <c r="AQ90" s="111">
        <f t="shared" si="13"/>
        <v>0.10047864072381546</v>
      </c>
      <c r="AR90" s="110">
        <v>17327169</v>
      </c>
      <c r="AS90" s="114">
        <v>11291975</v>
      </c>
      <c r="AT90" s="114">
        <v>6961338</v>
      </c>
      <c r="AU90" s="111">
        <f t="shared" si="14"/>
        <v>0.65169186033794668</v>
      </c>
      <c r="AV90" s="111">
        <f t="shared" si="15"/>
        <v>0.40175853308754594</v>
      </c>
      <c r="AW90" s="115">
        <f t="shared" si="16"/>
        <v>40349051</v>
      </c>
      <c r="AX90" s="114">
        <f t="shared" ref="AX90:AY90" si="189">AI90+AN90+AS90</f>
        <v>16059712</v>
      </c>
      <c r="AY90" s="119">
        <f t="shared" si="189"/>
        <v>10511733</v>
      </c>
      <c r="AZ90" s="111">
        <f t="shared" si="18"/>
        <v>0.39801957176142755</v>
      </c>
      <c r="BA90" s="111">
        <f t="shared" si="19"/>
        <v>0.26051995621904467</v>
      </c>
      <c r="BB90" s="118">
        <f t="shared" si="153"/>
        <v>545402</v>
      </c>
      <c r="BC90" s="115"/>
      <c r="BD90" s="110"/>
      <c r="BE90" s="110"/>
      <c r="BF90" s="110"/>
      <c r="BG90" s="116"/>
      <c r="BH90" s="116"/>
      <c r="BI90" s="110"/>
      <c r="BJ90" s="110"/>
      <c r="BK90" s="117"/>
      <c r="BL90" s="113"/>
      <c r="BM90" s="113"/>
      <c r="BN90" s="113"/>
      <c r="BO90" s="113"/>
      <c r="BP90" s="118">
        <v>12027</v>
      </c>
      <c r="BQ90" s="118">
        <v>0</v>
      </c>
      <c r="BR90" s="118" t="s">
        <v>366</v>
      </c>
      <c r="BS90" s="118">
        <v>0</v>
      </c>
    </row>
    <row r="91" spans="1:71" x14ac:dyDescent="0.25">
      <c r="A91" s="109">
        <v>44345</v>
      </c>
      <c r="B91" s="110">
        <v>112301</v>
      </c>
      <c r="C91" s="114">
        <v>133442</v>
      </c>
      <c r="D91" s="114">
        <v>119578</v>
      </c>
      <c r="E91" s="111">
        <f t="shared" si="0"/>
        <v>1.18825299863759</v>
      </c>
      <c r="F91" s="111">
        <f t="shared" si="1"/>
        <v>1.0647990667937062</v>
      </c>
      <c r="G91" s="110">
        <v>911631</v>
      </c>
      <c r="H91" s="114">
        <v>591661</v>
      </c>
      <c r="I91" s="114">
        <v>531718</v>
      </c>
      <c r="J91" s="112">
        <f t="shared" si="2"/>
        <v>0.64901369084640603</v>
      </c>
      <c r="K91" s="112">
        <f t="shared" si="3"/>
        <v>0.58326011291849444</v>
      </c>
      <c r="L91" s="110">
        <v>1976757</v>
      </c>
      <c r="M91" s="114">
        <v>1707434</v>
      </c>
      <c r="N91" s="114">
        <v>1121955</v>
      </c>
      <c r="O91" s="111">
        <f t="shared" si="4"/>
        <v>0.86375513024615569</v>
      </c>
      <c r="P91" s="111">
        <f t="shared" si="5"/>
        <v>0.56757355608200699</v>
      </c>
      <c r="Q91" s="110">
        <v>3000689</v>
      </c>
      <c r="R91" s="110">
        <f t="shared" ref="R91:S91" si="190">C91+H91+M91</f>
        <v>2432537</v>
      </c>
      <c r="S91" s="110">
        <f t="shared" si="190"/>
        <v>1773251</v>
      </c>
      <c r="T91" s="113">
        <f t="shared" si="8"/>
        <v>0.81065948520489794</v>
      </c>
      <c r="U91" s="113">
        <f t="shared" si="9"/>
        <v>0.59094794562182218</v>
      </c>
      <c r="V91" s="110"/>
      <c r="W91" s="110"/>
      <c r="X91" s="110"/>
      <c r="Y91" s="110"/>
      <c r="Z91" s="110"/>
      <c r="AA91" s="113"/>
      <c r="AB91" s="113"/>
      <c r="AC91" s="110"/>
      <c r="AD91" s="110"/>
      <c r="AE91" s="110"/>
      <c r="AF91" s="113"/>
      <c r="AG91" s="113"/>
      <c r="AH91" s="110">
        <v>1468764</v>
      </c>
      <c r="AI91" s="114">
        <v>1516876</v>
      </c>
      <c r="AJ91" s="114">
        <v>1385402</v>
      </c>
      <c r="AK91" s="111">
        <f t="shared" si="10"/>
        <v>1.0327567941480047</v>
      </c>
      <c r="AL91" s="111">
        <f t="shared" si="11"/>
        <v>0.9432434346157722</v>
      </c>
      <c r="AM91" s="114">
        <v>21553118</v>
      </c>
      <c r="AN91" s="114">
        <v>3293415</v>
      </c>
      <c r="AO91" s="114">
        <v>2176967</v>
      </c>
      <c r="AP91" s="111">
        <f t="shared" si="12"/>
        <v>0.15280457333365874</v>
      </c>
      <c r="AQ91" s="111">
        <f t="shared" si="13"/>
        <v>0.10100473629847895</v>
      </c>
      <c r="AR91" s="110">
        <v>17327169</v>
      </c>
      <c r="AS91" s="114">
        <v>11446457</v>
      </c>
      <c r="AT91" s="114">
        <v>7008311</v>
      </c>
      <c r="AU91" s="111">
        <f t="shared" si="14"/>
        <v>0.66060745410863131</v>
      </c>
      <c r="AV91" s="111">
        <f t="shared" si="15"/>
        <v>0.40446947796261468</v>
      </c>
      <c r="AW91" s="115">
        <f t="shared" si="16"/>
        <v>40349051</v>
      </c>
      <c r="AX91" s="114">
        <f t="shared" ref="AX91:AY91" si="191">AI91+AN91+AS91</f>
        <v>16256748</v>
      </c>
      <c r="AY91" s="119">
        <f t="shared" si="191"/>
        <v>10570680</v>
      </c>
      <c r="AZ91" s="111">
        <f t="shared" si="18"/>
        <v>0.40290285885534211</v>
      </c>
      <c r="BA91" s="111">
        <f t="shared" si="19"/>
        <v>0.26198088277218712</v>
      </c>
      <c r="BB91" s="118">
        <f t="shared" si="153"/>
        <v>197036</v>
      </c>
      <c r="BC91" s="115"/>
      <c r="BD91" s="110"/>
      <c r="BE91" s="110"/>
      <c r="BF91" s="110"/>
      <c r="BG91" s="116"/>
      <c r="BH91" s="116"/>
      <c r="BI91" s="110"/>
      <c r="BJ91" s="110"/>
      <c r="BK91" s="117"/>
      <c r="BL91" s="113"/>
      <c r="BM91" s="113"/>
      <c r="BN91" s="113"/>
      <c r="BO91" s="113"/>
      <c r="BP91" s="118">
        <v>12538</v>
      </c>
      <c r="BQ91" s="118">
        <v>0</v>
      </c>
      <c r="BR91" s="118" t="s">
        <v>366</v>
      </c>
      <c r="BS91" s="118">
        <v>0</v>
      </c>
    </row>
    <row r="92" spans="1:71" x14ac:dyDescent="0.25">
      <c r="A92" s="109">
        <v>44346</v>
      </c>
      <c r="B92" s="110">
        <v>112301</v>
      </c>
      <c r="C92" s="114">
        <v>133466</v>
      </c>
      <c r="D92" s="114">
        <v>119600</v>
      </c>
      <c r="E92" s="111">
        <f t="shared" si="0"/>
        <v>1.1884667100025823</v>
      </c>
      <c r="F92" s="111">
        <f t="shared" si="1"/>
        <v>1.0649949688782825</v>
      </c>
      <c r="G92" s="110">
        <v>911631</v>
      </c>
      <c r="H92" s="114">
        <v>591661</v>
      </c>
      <c r="I92" s="114">
        <v>531718</v>
      </c>
      <c r="J92" s="112">
        <f t="shared" si="2"/>
        <v>0.64901369084640603</v>
      </c>
      <c r="K92" s="112">
        <f t="shared" si="3"/>
        <v>0.58326011291849444</v>
      </c>
      <c r="L92" s="110">
        <v>1976757</v>
      </c>
      <c r="M92" s="114">
        <v>1707434</v>
      </c>
      <c r="N92" s="114">
        <v>1124013</v>
      </c>
      <c r="O92" s="111">
        <f t="shared" si="4"/>
        <v>0.86375513024615569</v>
      </c>
      <c r="P92" s="111">
        <f t="shared" si="5"/>
        <v>0.56861465521558796</v>
      </c>
      <c r="Q92" s="110">
        <v>3000689</v>
      </c>
      <c r="R92" s="110">
        <f t="shared" ref="R92:S92" si="192">C92+H92+M92</f>
        <v>2432561</v>
      </c>
      <c r="S92" s="110">
        <f t="shared" si="192"/>
        <v>1775331</v>
      </c>
      <c r="T92" s="113">
        <f t="shared" si="8"/>
        <v>0.81066748336798644</v>
      </c>
      <c r="U92" s="113">
        <f t="shared" si="9"/>
        <v>0.59164111975616263</v>
      </c>
      <c r="V92" s="110"/>
      <c r="W92" s="110"/>
      <c r="X92" s="110"/>
      <c r="Y92" s="110"/>
      <c r="Z92" s="110"/>
      <c r="AA92" s="113"/>
      <c r="AB92" s="113"/>
      <c r="AC92" s="110"/>
      <c r="AD92" s="110"/>
      <c r="AE92" s="110"/>
      <c r="AF92" s="113"/>
      <c r="AG92" s="113"/>
      <c r="AH92" s="110">
        <v>1468764</v>
      </c>
      <c r="AI92" s="114">
        <v>1516911</v>
      </c>
      <c r="AJ92" s="114">
        <v>1385433</v>
      </c>
      <c r="AK92" s="111">
        <f t="shared" si="10"/>
        <v>1.0327806237080974</v>
      </c>
      <c r="AL92" s="111">
        <f t="shared" si="11"/>
        <v>0.94326454079756861</v>
      </c>
      <c r="AM92" s="114">
        <v>21553118</v>
      </c>
      <c r="AN92" s="114">
        <v>3294841</v>
      </c>
      <c r="AO92" s="114">
        <v>2177631</v>
      </c>
      <c r="AP92" s="111">
        <f t="shared" si="12"/>
        <v>0.15287073545461033</v>
      </c>
      <c r="AQ92" s="111">
        <f t="shared" si="13"/>
        <v>0.10103554390599077</v>
      </c>
      <c r="AR92" s="110">
        <v>17327169</v>
      </c>
      <c r="AS92" s="114">
        <v>11446457</v>
      </c>
      <c r="AT92" s="114">
        <v>7008311</v>
      </c>
      <c r="AU92" s="111">
        <f t="shared" si="14"/>
        <v>0.66060745410863131</v>
      </c>
      <c r="AV92" s="111">
        <f t="shared" si="15"/>
        <v>0.40446947796261468</v>
      </c>
      <c r="AW92" s="115">
        <f t="shared" si="16"/>
        <v>40349051</v>
      </c>
      <c r="AX92" s="114">
        <f t="shared" ref="AX92:AY92" si="193">AI92+AN92+AS92</f>
        <v>16258209</v>
      </c>
      <c r="AY92" s="119">
        <f t="shared" si="193"/>
        <v>10571375</v>
      </c>
      <c r="AZ92" s="111">
        <f t="shared" si="18"/>
        <v>0.40293906788538841</v>
      </c>
      <c r="BA92" s="111">
        <f t="shared" si="19"/>
        <v>0.26199810746478275</v>
      </c>
      <c r="BB92" s="118">
        <f t="shared" si="153"/>
        <v>1461</v>
      </c>
      <c r="BC92" s="115"/>
      <c r="BD92" s="110"/>
      <c r="BE92" s="110"/>
      <c r="BF92" s="110"/>
      <c r="BG92" s="116"/>
      <c r="BH92" s="116"/>
      <c r="BI92" s="110"/>
      <c r="BJ92" s="110"/>
      <c r="BK92" s="117"/>
      <c r="BL92" s="113"/>
      <c r="BM92" s="113"/>
      <c r="BN92" s="113"/>
      <c r="BO92" s="113"/>
      <c r="BP92" s="118">
        <v>12673</v>
      </c>
      <c r="BQ92" s="118">
        <v>0</v>
      </c>
      <c r="BR92" s="118" t="s">
        <v>366</v>
      </c>
      <c r="BS92" s="118">
        <v>0</v>
      </c>
    </row>
    <row r="93" spans="1:71" x14ac:dyDescent="0.25">
      <c r="A93" s="109">
        <v>44347</v>
      </c>
      <c r="B93" s="110">
        <v>112301</v>
      </c>
      <c r="C93" s="114">
        <v>133466</v>
      </c>
      <c r="D93" s="114">
        <v>119600</v>
      </c>
      <c r="E93" s="111">
        <f t="shared" si="0"/>
        <v>1.1884667100025823</v>
      </c>
      <c r="F93" s="111">
        <f t="shared" si="1"/>
        <v>1.0649949688782825</v>
      </c>
      <c r="G93" s="110">
        <v>911631</v>
      </c>
      <c r="H93" s="114">
        <v>591661</v>
      </c>
      <c r="I93" s="114">
        <v>531718</v>
      </c>
      <c r="J93" s="112">
        <f t="shared" si="2"/>
        <v>0.64901369084640603</v>
      </c>
      <c r="K93" s="112">
        <f t="shared" si="3"/>
        <v>0.58326011291849444</v>
      </c>
      <c r="L93" s="110">
        <v>1976757</v>
      </c>
      <c r="M93" s="114">
        <v>1794667</v>
      </c>
      <c r="N93" s="114">
        <v>1145836</v>
      </c>
      <c r="O93" s="111">
        <f t="shared" si="4"/>
        <v>0.90788447947825657</v>
      </c>
      <c r="P93" s="111">
        <f t="shared" si="5"/>
        <v>0.57965445423994955</v>
      </c>
      <c r="Q93" s="110">
        <v>3000689</v>
      </c>
      <c r="R93" s="110">
        <f t="shared" ref="R93:S93" si="194">C93+H93+M93</f>
        <v>2519794</v>
      </c>
      <c r="S93" s="110">
        <f t="shared" si="194"/>
        <v>1797154</v>
      </c>
      <c r="T93" s="113">
        <f t="shared" si="8"/>
        <v>0.83973847339727647</v>
      </c>
      <c r="U93" s="113">
        <f t="shared" si="9"/>
        <v>0.59891378280121665</v>
      </c>
      <c r="V93" s="110"/>
      <c r="W93" s="110"/>
      <c r="X93" s="110"/>
      <c r="Y93" s="110"/>
      <c r="Z93" s="110"/>
      <c r="AA93" s="113"/>
      <c r="AB93" s="113"/>
      <c r="AC93" s="110"/>
      <c r="AD93" s="110"/>
      <c r="AE93" s="110"/>
      <c r="AF93" s="113"/>
      <c r="AG93" s="113"/>
      <c r="AH93" s="110">
        <v>1468764</v>
      </c>
      <c r="AI93" s="114">
        <v>1518202</v>
      </c>
      <c r="AJ93" s="114">
        <v>1386778</v>
      </c>
      <c r="AK93" s="111">
        <f t="shared" si="10"/>
        <v>1.0336595940532312</v>
      </c>
      <c r="AL93" s="111">
        <f t="shared" si="11"/>
        <v>0.94418027674970251</v>
      </c>
      <c r="AM93" s="114">
        <v>21553118</v>
      </c>
      <c r="AN93" s="114">
        <v>3340338</v>
      </c>
      <c r="AO93" s="114">
        <v>2198723</v>
      </c>
      <c r="AP93" s="111">
        <f t="shared" si="12"/>
        <v>0.15498165973016062</v>
      </c>
      <c r="AQ93" s="111">
        <f t="shared" si="13"/>
        <v>0.10201414941448379</v>
      </c>
      <c r="AR93" s="110">
        <v>17327169</v>
      </c>
      <c r="AS93" s="114">
        <v>11663306</v>
      </c>
      <c r="AT93" s="114">
        <v>7111644</v>
      </c>
      <c r="AU93" s="111">
        <f t="shared" si="14"/>
        <v>0.67312242409593859</v>
      </c>
      <c r="AV93" s="111">
        <f t="shared" si="15"/>
        <v>0.41043311807023986</v>
      </c>
      <c r="AW93" s="115">
        <f t="shared" si="16"/>
        <v>40349051</v>
      </c>
      <c r="AX93" s="114">
        <f t="shared" ref="AX93:AY93" si="195">AI93+AN93+AS93</f>
        <v>16521846</v>
      </c>
      <c r="AY93" s="119">
        <f t="shared" si="195"/>
        <v>10697145</v>
      </c>
      <c r="AZ93" s="111">
        <f t="shared" si="18"/>
        <v>0.40947297620457046</v>
      </c>
      <c r="BA93" s="111">
        <f t="shared" si="19"/>
        <v>0.26511515723133117</v>
      </c>
      <c r="BB93" s="118">
        <f t="shared" si="153"/>
        <v>263637</v>
      </c>
      <c r="BC93" s="115"/>
      <c r="BD93" s="110"/>
      <c r="BE93" s="110"/>
      <c r="BF93" s="110"/>
      <c r="BG93" s="116"/>
      <c r="BH93" s="116"/>
      <c r="BI93" s="110"/>
      <c r="BJ93" s="110"/>
      <c r="BK93" s="117"/>
      <c r="BL93" s="113"/>
      <c r="BM93" s="113"/>
      <c r="BN93" s="113"/>
      <c r="BO93" s="113"/>
      <c r="BP93" s="118">
        <v>13965</v>
      </c>
      <c r="BQ93" s="118">
        <v>0</v>
      </c>
      <c r="BR93" s="118" t="s">
        <v>366</v>
      </c>
      <c r="BS93" s="118">
        <v>0</v>
      </c>
    </row>
    <row r="94" spans="1:71" x14ac:dyDescent="0.25">
      <c r="A94" s="109">
        <v>44348</v>
      </c>
      <c r="B94" s="110">
        <v>112301</v>
      </c>
      <c r="C94" s="114">
        <v>133593</v>
      </c>
      <c r="D94" s="114">
        <v>119829</v>
      </c>
      <c r="E94" s="111">
        <f t="shared" si="0"/>
        <v>1.189597599309</v>
      </c>
      <c r="F94" s="111">
        <f t="shared" si="1"/>
        <v>1.0670341314859173</v>
      </c>
      <c r="G94" s="110">
        <v>911631</v>
      </c>
      <c r="H94" s="114">
        <v>591661</v>
      </c>
      <c r="I94" s="114">
        <v>531832</v>
      </c>
      <c r="J94" s="112">
        <f t="shared" si="2"/>
        <v>0.64901369084640603</v>
      </c>
      <c r="K94" s="112">
        <f t="shared" si="3"/>
        <v>0.58338516351462377</v>
      </c>
      <c r="L94" s="110">
        <v>1976757</v>
      </c>
      <c r="M94" s="114">
        <v>1794667</v>
      </c>
      <c r="N94" s="114">
        <v>1152681</v>
      </c>
      <c r="O94" s="111">
        <f t="shared" si="4"/>
        <v>0.90788447947825657</v>
      </c>
      <c r="P94" s="111">
        <f t="shared" si="5"/>
        <v>0.58311719649911442</v>
      </c>
      <c r="Q94" s="110">
        <v>3000689</v>
      </c>
      <c r="R94" s="110">
        <f t="shared" ref="R94:S94" si="196">C94+H94+M94</f>
        <v>2519921</v>
      </c>
      <c r="S94" s="110">
        <f t="shared" si="196"/>
        <v>1804342</v>
      </c>
      <c r="T94" s="113">
        <f t="shared" si="8"/>
        <v>0.83978079701028663</v>
      </c>
      <c r="U94" s="113">
        <f t="shared" si="9"/>
        <v>0.60130923264623559</v>
      </c>
      <c r="V94" s="110"/>
      <c r="W94" s="110"/>
      <c r="X94" s="110"/>
      <c r="Y94" s="110"/>
      <c r="Z94" s="110"/>
      <c r="AA94" s="113"/>
      <c r="AB94" s="113"/>
      <c r="AC94" s="110"/>
      <c r="AD94" s="110"/>
      <c r="AE94" s="110"/>
      <c r="AF94" s="113"/>
      <c r="AG94" s="113"/>
      <c r="AH94" s="110">
        <v>1468764</v>
      </c>
      <c r="AI94" s="114">
        <v>1518383</v>
      </c>
      <c r="AJ94" s="114">
        <v>1386931</v>
      </c>
      <c r="AK94" s="111">
        <f t="shared" si="10"/>
        <v>1.0337828269211391</v>
      </c>
      <c r="AL94" s="111">
        <f t="shared" si="11"/>
        <v>0.94428444596953631</v>
      </c>
      <c r="AM94" s="114">
        <v>21553118</v>
      </c>
      <c r="AN94" s="114">
        <v>3345008</v>
      </c>
      <c r="AO94" s="114">
        <v>2200524</v>
      </c>
      <c r="AP94" s="111">
        <f t="shared" si="12"/>
        <v>0.1551983337167272</v>
      </c>
      <c r="AQ94" s="111">
        <f t="shared" si="13"/>
        <v>0.10209771041015968</v>
      </c>
      <c r="AR94" s="110">
        <v>17327169</v>
      </c>
      <c r="AS94" s="114">
        <v>11704499</v>
      </c>
      <c r="AT94" s="114">
        <v>7132916</v>
      </c>
      <c r="AU94" s="111">
        <f t="shared" si="14"/>
        <v>0.67549978879988992</v>
      </c>
      <c r="AV94" s="111">
        <f t="shared" si="15"/>
        <v>0.41166078544048368</v>
      </c>
      <c r="AW94" s="115">
        <f t="shared" si="16"/>
        <v>40349051</v>
      </c>
      <c r="AX94" s="114">
        <f t="shared" ref="AX94:AY94" si="197">AI94+AN94+AS94</f>
        <v>16567890</v>
      </c>
      <c r="AY94" s="119">
        <f t="shared" si="197"/>
        <v>10720371</v>
      </c>
      <c r="AZ94" s="111">
        <f t="shared" si="18"/>
        <v>0.41061411828496286</v>
      </c>
      <c r="BA94" s="111">
        <f t="shared" si="19"/>
        <v>0.26569078415251945</v>
      </c>
      <c r="BB94" s="118">
        <f t="shared" si="153"/>
        <v>46044</v>
      </c>
      <c r="BC94" s="115"/>
      <c r="BD94" s="110"/>
      <c r="BE94" s="110"/>
      <c r="BF94" s="110"/>
      <c r="BG94" s="116"/>
      <c r="BH94" s="116"/>
      <c r="BI94" s="110"/>
      <c r="BJ94" s="110"/>
      <c r="BK94" s="117"/>
      <c r="BL94" s="113"/>
      <c r="BM94" s="113"/>
      <c r="BN94" s="113"/>
      <c r="BO94" s="113"/>
      <c r="BP94" s="118">
        <v>13968</v>
      </c>
      <c r="BQ94" s="118">
        <v>0</v>
      </c>
      <c r="BR94" s="118" t="s">
        <v>366</v>
      </c>
      <c r="BS94" s="118">
        <v>0</v>
      </c>
    </row>
    <row r="95" spans="1:71" x14ac:dyDescent="0.25">
      <c r="A95" s="109">
        <v>44349</v>
      </c>
      <c r="B95" s="110">
        <v>112301</v>
      </c>
      <c r="C95" s="114">
        <v>133773</v>
      </c>
      <c r="D95" s="114">
        <v>120240</v>
      </c>
      <c r="E95" s="111">
        <f t="shared" si="0"/>
        <v>1.1912004345464422</v>
      </c>
      <c r="F95" s="111">
        <f t="shared" si="1"/>
        <v>1.0706939386114105</v>
      </c>
      <c r="G95" s="110">
        <v>911631</v>
      </c>
      <c r="H95" s="114">
        <v>591661</v>
      </c>
      <c r="I95" s="114">
        <v>532949</v>
      </c>
      <c r="J95" s="112">
        <f t="shared" si="2"/>
        <v>0.64901369084640603</v>
      </c>
      <c r="K95" s="112">
        <f t="shared" si="3"/>
        <v>0.58461043996968076</v>
      </c>
      <c r="L95" s="110">
        <v>1976757</v>
      </c>
      <c r="M95" s="114">
        <v>1794667</v>
      </c>
      <c r="N95" s="114">
        <v>1176722</v>
      </c>
      <c r="O95" s="111">
        <f t="shared" si="4"/>
        <v>0.90788447947825657</v>
      </c>
      <c r="P95" s="111">
        <f t="shared" si="5"/>
        <v>0.59527903530884174</v>
      </c>
      <c r="Q95" s="110">
        <v>3000689</v>
      </c>
      <c r="R95" s="110">
        <f t="shared" ref="R95:S95" si="198">C95+H95+M95</f>
        <v>2520101</v>
      </c>
      <c r="S95" s="110">
        <f t="shared" si="198"/>
        <v>1829911</v>
      </c>
      <c r="T95" s="113">
        <f t="shared" si="8"/>
        <v>0.83984078323345068</v>
      </c>
      <c r="U95" s="113">
        <f t="shared" si="9"/>
        <v>0.60983027564669312</v>
      </c>
      <c r="V95" s="110"/>
      <c r="W95" s="110"/>
      <c r="X95" s="110"/>
      <c r="Y95" s="110"/>
      <c r="Z95" s="110"/>
      <c r="AA95" s="113"/>
      <c r="AB95" s="113"/>
      <c r="AC95" s="110"/>
      <c r="AD95" s="110"/>
      <c r="AE95" s="110"/>
      <c r="AF95" s="113"/>
      <c r="AG95" s="113"/>
      <c r="AH95" s="110">
        <v>1468764</v>
      </c>
      <c r="AI95" s="114">
        <v>1519593</v>
      </c>
      <c r="AJ95" s="114">
        <v>1388681</v>
      </c>
      <c r="AK95" s="111">
        <f t="shared" si="10"/>
        <v>1.0346066488557726</v>
      </c>
      <c r="AL95" s="111">
        <f t="shared" si="11"/>
        <v>0.94547592397417146</v>
      </c>
      <c r="AM95" s="114">
        <v>21553118</v>
      </c>
      <c r="AN95" s="114">
        <v>3390271</v>
      </c>
      <c r="AO95" s="114">
        <v>2232677</v>
      </c>
      <c r="AP95" s="111">
        <f t="shared" si="12"/>
        <v>0.15729840109444954</v>
      </c>
      <c r="AQ95" s="111">
        <f t="shared" si="13"/>
        <v>0.10358951312752057</v>
      </c>
      <c r="AR95" s="110">
        <v>17327169</v>
      </c>
      <c r="AS95" s="114">
        <v>11899323</v>
      </c>
      <c r="AT95" s="114">
        <v>7255044</v>
      </c>
      <c r="AU95" s="111">
        <f t="shared" si="14"/>
        <v>0.68674363365417623</v>
      </c>
      <c r="AV95" s="111">
        <f t="shared" si="15"/>
        <v>0.41870913823256412</v>
      </c>
      <c r="AW95" s="115">
        <f t="shared" si="16"/>
        <v>40349051</v>
      </c>
      <c r="AX95" s="114">
        <f t="shared" ref="AX95:AY95" si="199">AI95+AN95+AS95</f>
        <v>16809187</v>
      </c>
      <c r="AY95" s="119">
        <f t="shared" si="199"/>
        <v>10876402</v>
      </c>
      <c r="AZ95" s="111">
        <f t="shared" si="18"/>
        <v>0.41659435806804973</v>
      </c>
      <c r="BA95" s="111">
        <f t="shared" si="19"/>
        <v>0.26955781438329246</v>
      </c>
      <c r="BB95" s="118">
        <f t="shared" si="153"/>
        <v>241297</v>
      </c>
      <c r="BC95" s="115"/>
      <c r="BD95" s="110"/>
      <c r="BE95" s="110"/>
      <c r="BF95" s="110"/>
      <c r="BG95" s="116"/>
      <c r="BH95" s="116"/>
      <c r="BI95" s="110"/>
      <c r="BJ95" s="110"/>
      <c r="BK95" s="117"/>
      <c r="BL95" s="113"/>
      <c r="BM95" s="113"/>
      <c r="BN95" s="113"/>
      <c r="BO95" s="113"/>
      <c r="BP95" s="118">
        <v>16205</v>
      </c>
      <c r="BQ95" s="118">
        <v>0</v>
      </c>
      <c r="BR95" s="118" t="s">
        <v>366</v>
      </c>
      <c r="BS95" s="118">
        <v>0</v>
      </c>
    </row>
    <row r="96" spans="1:71" x14ac:dyDescent="0.25">
      <c r="A96" s="109">
        <v>44350</v>
      </c>
      <c r="B96" s="110">
        <v>112301</v>
      </c>
      <c r="C96" s="114">
        <v>135712</v>
      </c>
      <c r="D96" s="114">
        <v>120240</v>
      </c>
      <c r="E96" s="111">
        <f t="shared" si="0"/>
        <v>1.2084665319097783</v>
      </c>
      <c r="F96" s="111">
        <f t="shared" si="1"/>
        <v>1.0706939386114105</v>
      </c>
      <c r="G96" s="110">
        <v>911631</v>
      </c>
      <c r="H96" s="114">
        <v>593122</v>
      </c>
      <c r="I96" s="114">
        <v>533954</v>
      </c>
      <c r="J96" s="112">
        <f t="shared" si="2"/>
        <v>0.65061631295995859</v>
      </c>
      <c r="K96" s="112">
        <f t="shared" si="3"/>
        <v>0.58571285969871578</v>
      </c>
      <c r="L96" s="110">
        <v>1976757</v>
      </c>
      <c r="M96" s="114">
        <v>1805312</v>
      </c>
      <c r="N96" s="114">
        <v>1180307</v>
      </c>
      <c r="O96" s="111">
        <f t="shared" si="4"/>
        <v>0.91326956221730848</v>
      </c>
      <c r="P96" s="111">
        <f t="shared" si="5"/>
        <v>0.59709261178789297</v>
      </c>
      <c r="Q96" s="110">
        <v>3000689</v>
      </c>
      <c r="R96" s="110">
        <f t="shared" ref="R96:S96" si="200">C96+H96+M96</f>
        <v>2534146</v>
      </c>
      <c r="S96" s="110">
        <f t="shared" si="200"/>
        <v>1834501</v>
      </c>
      <c r="T96" s="113">
        <f t="shared" si="8"/>
        <v>0.84452137492422574</v>
      </c>
      <c r="U96" s="113">
        <f t="shared" si="9"/>
        <v>0.61135992433737718</v>
      </c>
      <c r="V96" s="110"/>
      <c r="W96" s="110"/>
      <c r="X96" s="110"/>
      <c r="Y96" s="110"/>
      <c r="Z96" s="110"/>
      <c r="AA96" s="113"/>
      <c r="AB96" s="113"/>
      <c r="AC96" s="110"/>
      <c r="AD96" s="110"/>
      <c r="AE96" s="110"/>
      <c r="AF96" s="113"/>
      <c r="AG96" s="113"/>
      <c r="AH96" s="110">
        <v>1468764</v>
      </c>
      <c r="AI96" s="114">
        <v>1520919</v>
      </c>
      <c r="AJ96" s="114">
        <v>1390115</v>
      </c>
      <c r="AK96" s="111">
        <f t="shared" si="10"/>
        <v>1.035509448760999</v>
      </c>
      <c r="AL96" s="111">
        <f t="shared" si="11"/>
        <v>0.94645225509339825</v>
      </c>
      <c r="AM96" s="114">
        <v>21553118</v>
      </c>
      <c r="AN96" s="114">
        <v>3441880</v>
      </c>
      <c r="AO96" s="114">
        <v>2262419</v>
      </c>
      <c r="AP96" s="111">
        <f t="shared" si="12"/>
        <v>0.15969290382950624</v>
      </c>
      <c r="AQ96" s="111">
        <f t="shared" si="13"/>
        <v>0.10496945267965405</v>
      </c>
      <c r="AR96" s="110">
        <v>17327169</v>
      </c>
      <c r="AS96" s="114">
        <v>12141282</v>
      </c>
      <c r="AT96" s="114">
        <v>7349911</v>
      </c>
      <c r="AU96" s="111">
        <f t="shared" si="14"/>
        <v>0.70070777286237584</v>
      </c>
      <c r="AV96" s="111">
        <f t="shared" si="15"/>
        <v>0.42418418150131737</v>
      </c>
      <c r="AW96" s="115">
        <f t="shared" si="16"/>
        <v>40349051</v>
      </c>
      <c r="AX96" s="114">
        <f t="shared" ref="AX96:AY96" si="201">AI96+AN96+AS96</f>
        <v>17104081</v>
      </c>
      <c r="AY96" s="119">
        <f t="shared" si="201"/>
        <v>11002445</v>
      </c>
      <c r="AZ96" s="111">
        <f t="shared" si="18"/>
        <v>0.42390293144688829</v>
      </c>
      <c r="BA96" s="111">
        <f t="shared" si="19"/>
        <v>0.27268163010822732</v>
      </c>
      <c r="BB96" s="118">
        <f t="shared" si="153"/>
        <v>294894</v>
      </c>
      <c r="BC96" s="115"/>
      <c r="BD96" s="110"/>
      <c r="BE96" s="110"/>
      <c r="BF96" s="110"/>
      <c r="BG96" s="116"/>
      <c r="BH96" s="116"/>
      <c r="BI96" s="110"/>
      <c r="BJ96" s="110"/>
      <c r="BK96" s="117"/>
      <c r="BL96" s="113"/>
      <c r="BM96" s="113"/>
      <c r="BN96" s="113"/>
      <c r="BO96" s="113"/>
      <c r="BP96" s="118">
        <v>18116</v>
      </c>
      <c r="BQ96" s="118">
        <v>0</v>
      </c>
      <c r="BR96" s="118" t="s">
        <v>366</v>
      </c>
      <c r="BS96" s="118">
        <v>0</v>
      </c>
    </row>
    <row r="97" spans="1:71" x14ac:dyDescent="0.25">
      <c r="A97" s="109">
        <v>44351</v>
      </c>
      <c r="B97" s="110">
        <v>112301</v>
      </c>
      <c r="C97" s="114">
        <v>135712</v>
      </c>
      <c r="D97" s="114">
        <v>120490</v>
      </c>
      <c r="E97" s="111">
        <f t="shared" si="0"/>
        <v>1.2084665319097783</v>
      </c>
      <c r="F97" s="111">
        <f t="shared" si="1"/>
        <v>1.0729200986634135</v>
      </c>
      <c r="G97" s="110">
        <v>911631</v>
      </c>
      <c r="H97" s="114">
        <v>593332</v>
      </c>
      <c r="I97" s="114">
        <v>534307</v>
      </c>
      <c r="J97" s="112">
        <f t="shared" si="2"/>
        <v>0.65084666932124946</v>
      </c>
      <c r="K97" s="112">
        <f t="shared" si="3"/>
        <v>0.58610007777269535</v>
      </c>
      <c r="L97" s="110">
        <v>1976757</v>
      </c>
      <c r="M97" s="114">
        <f t="shared" ref="M97:M184" si="202">R97-H97-C97</f>
        <v>1846940</v>
      </c>
      <c r="N97" s="114">
        <v>1186829</v>
      </c>
      <c r="O97" s="111">
        <f t="shared" si="4"/>
        <v>0.93432829629539693</v>
      </c>
      <c r="P97" s="111">
        <f t="shared" si="5"/>
        <v>0.60039195510626753</v>
      </c>
      <c r="Q97" s="110">
        <v>3000689</v>
      </c>
      <c r="R97" s="110">
        <v>2575984</v>
      </c>
      <c r="S97" s="110">
        <f t="shared" ref="S97:S99" si="203">D97+I97+N97</f>
        <v>1841626</v>
      </c>
      <c r="T97" s="113">
        <f t="shared" si="8"/>
        <v>0.85846417272833009</v>
      </c>
      <c r="U97" s="113">
        <f t="shared" si="9"/>
        <v>0.61373437900428873</v>
      </c>
      <c r="V97" s="110"/>
      <c r="W97" s="110"/>
      <c r="X97" s="110"/>
      <c r="Y97" s="110"/>
      <c r="Z97" s="110"/>
      <c r="AA97" s="113"/>
      <c r="AB97" s="113"/>
      <c r="AC97" s="110"/>
      <c r="AD97" s="110"/>
      <c r="AE97" s="110"/>
      <c r="AF97" s="113"/>
      <c r="AG97" s="113"/>
      <c r="AH97" s="110">
        <v>1468764</v>
      </c>
      <c r="AI97" s="114">
        <v>1521660</v>
      </c>
      <c r="AJ97" s="114">
        <v>1390990</v>
      </c>
      <c r="AK97" s="111">
        <f t="shared" si="10"/>
        <v>1.0360139545903904</v>
      </c>
      <c r="AL97" s="111">
        <f t="shared" si="11"/>
        <v>0.94704799409571583</v>
      </c>
      <c r="AM97" s="114">
        <v>21553118</v>
      </c>
      <c r="AN97" s="114">
        <v>3472441</v>
      </c>
      <c r="AO97" s="114">
        <v>2277856</v>
      </c>
      <c r="AP97" s="111">
        <f t="shared" si="12"/>
        <v>0.1611108425240376</v>
      </c>
      <c r="AQ97" s="111">
        <f t="shared" si="13"/>
        <v>0.10568568315730466</v>
      </c>
      <c r="AR97" s="110">
        <v>17327169</v>
      </c>
      <c r="AS97" s="114">
        <v>12372171</v>
      </c>
      <c r="AT97" s="114">
        <v>7400836</v>
      </c>
      <c r="AU97" s="111">
        <f t="shared" si="14"/>
        <v>0.71403303101620352</v>
      </c>
      <c r="AV97" s="111">
        <f t="shared" si="15"/>
        <v>0.42712320748992522</v>
      </c>
      <c r="AW97" s="115">
        <f t="shared" si="16"/>
        <v>40349051</v>
      </c>
      <c r="AX97" s="114">
        <f t="shared" ref="AX97:AY97" si="204">AI97+AN97+AS97</f>
        <v>17366272</v>
      </c>
      <c r="AY97" s="119">
        <f t="shared" si="204"/>
        <v>11069682</v>
      </c>
      <c r="AZ97" s="111">
        <f t="shared" si="18"/>
        <v>0.43040100249197932</v>
      </c>
      <c r="BA97" s="111">
        <f t="shared" si="19"/>
        <v>0.2743480137859996</v>
      </c>
      <c r="BB97" s="118">
        <f t="shared" si="153"/>
        <v>262191</v>
      </c>
      <c r="BC97" s="115"/>
      <c r="BD97" s="110"/>
      <c r="BE97" s="110"/>
      <c r="BF97" s="110"/>
      <c r="BG97" s="116"/>
      <c r="BH97" s="116"/>
      <c r="BI97" s="110"/>
      <c r="BJ97" s="110"/>
      <c r="BK97" s="117"/>
      <c r="BL97" s="113"/>
      <c r="BM97" s="113"/>
      <c r="BN97" s="113"/>
      <c r="BO97" s="113"/>
      <c r="BP97" s="118">
        <v>21451</v>
      </c>
      <c r="BQ97" s="118">
        <v>0</v>
      </c>
      <c r="BR97" s="118" t="s">
        <v>366</v>
      </c>
      <c r="BS97" s="118">
        <v>0</v>
      </c>
    </row>
    <row r="98" spans="1:71" x14ac:dyDescent="0.25">
      <c r="A98" s="109">
        <v>44352</v>
      </c>
      <c r="B98" s="110">
        <v>112301</v>
      </c>
      <c r="C98" s="114">
        <v>135712</v>
      </c>
      <c r="D98" s="114">
        <v>120490</v>
      </c>
      <c r="E98" s="111">
        <f t="shared" si="0"/>
        <v>1.2084665319097783</v>
      </c>
      <c r="F98" s="111">
        <f t="shared" si="1"/>
        <v>1.0729200986634135</v>
      </c>
      <c r="G98" s="110">
        <v>911631</v>
      </c>
      <c r="H98" s="114">
        <v>593332</v>
      </c>
      <c r="I98" s="114">
        <v>534407</v>
      </c>
      <c r="J98" s="112">
        <f t="shared" si="2"/>
        <v>0.65084666932124946</v>
      </c>
      <c r="K98" s="112">
        <f t="shared" si="3"/>
        <v>0.58620977127807194</v>
      </c>
      <c r="L98" s="110">
        <v>1976757</v>
      </c>
      <c r="M98" s="114">
        <f t="shared" si="202"/>
        <v>1854565</v>
      </c>
      <c r="N98" s="114">
        <v>1186860</v>
      </c>
      <c r="O98" s="111">
        <f t="shared" si="4"/>
        <v>0.93818562423201235</v>
      </c>
      <c r="P98" s="111">
        <f t="shared" si="5"/>
        <v>0.60040763735755076</v>
      </c>
      <c r="Q98" s="110">
        <v>3000689</v>
      </c>
      <c r="R98" s="110">
        <v>2583609</v>
      </c>
      <c r="S98" s="110">
        <f t="shared" si="203"/>
        <v>1841757</v>
      </c>
      <c r="T98" s="113">
        <f t="shared" si="8"/>
        <v>0.86100525579291953</v>
      </c>
      <c r="U98" s="113">
        <f t="shared" si="9"/>
        <v>0.6137780356444803</v>
      </c>
      <c r="V98" s="110"/>
      <c r="W98" s="110"/>
      <c r="X98" s="110"/>
      <c r="Y98" s="110"/>
      <c r="Z98" s="110"/>
      <c r="AA98" s="113"/>
      <c r="AB98" s="113"/>
      <c r="AC98" s="110"/>
      <c r="AD98" s="110"/>
      <c r="AE98" s="110"/>
      <c r="AF98" s="113"/>
      <c r="AG98" s="113"/>
      <c r="AH98" s="110">
        <v>1468764</v>
      </c>
      <c r="AI98" s="114">
        <v>1522193</v>
      </c>
      <c r="AJ98" s="114">
        <v>1391547</v>
      </c>
      <c r="AK98" s="111">
        <f t="shared" si="10"/>
        <v>1.0363768447483734</v>
      </c>
      <c r="AL98" s="111">
        <f t="shared" si="11"/>
        <v>0.94742722452347683</v>
      </c>
      <c r="AM98" s="114">
        <v>21553118</v>
      </c>
      <c r="AN98" s="114">
        <v>3499667</v>
      </c>
      <c r="AO98" s="114">
        <v>2296633</v>
      </c>
      <c r="AP98" s="111">
        <f t="shared" si="12"/>
        <v>0.16237404722602083</v>
      </c>
      <c r="AQ98" s="111">
        <f t="shared" si="13"/>
        <v>0.10655687961249968</v>
      </c>
      <c r="AR98" s="110">
        <v>17327169</v>
      </c>
      <c r="AS98" s="114">
        <v>12571219</v>
      </c>
      <c r="AT98" s="114">
        <v>7437870</v>
      </c>
      <c r="AU98" s="111">
        <f t="shared" si="14"/>
        <v>0.72552065487443451</v>
      </c>
      <c r="AV98" s="111">
        <f t="shared" si="15"/>
        <v>0.42926054452403622</v>
      </c>
      <c r="AW98" s="115">
        <f t="shared" si="16"/>
        <v>40349051</v>
      </c>
      <c r="AX98" s="114">
        <f t="shared" ref="AX98:AY98" si="205">AI98+AN98+AS98</f>
        <v>17593079</v>
      </c>
      <c r="AY98" s="119">
        <f t="shared" si="205"/>
        <v>11126050</v>
      </c>
      <c r="AZ98" s="111">
        <f t="shared" si="18"/>
        <v>0.43602212602224522</v>
      </c>
      <c r="BA98" s="111">
        <f t="shared" si="19"/>
        <v>0.27574502309856058</v>
      </c>
      <c r="BB98" s="118">
        <f t="shared" si="153"/>
        <v>226807</v>
      </c>
      <c r="BC98" s="115"/>
      <c r="BD98" s="110"/>
      <c r="BE98" s="110"/>
      <c r="BF98" s="110"/>
      <c r="BG98" s="116"/>
      <c r="BH98" s="116"/>
      <c r="BI98" s="110"/>
      <c r="BJ98" s="110"/>
      <c r="BK98" s="117"/>
      <c r="BL98" s="113"/>
      <c r="BM98" s="113"/>
      <c r="BN98" s="113"/>
      <c r="BO98" s="113"/>
      <c r="BP98" s="118">
        <v>22097</v>
      </c>
      <c r="BQ98" s="118">
        <v>0</v>
      </c>
      <c r="BR98" s="118" t="s">
        <v>366</v>
      </c>
      <c r="BS98" s="118">
        <v>0</v>
      </c>
    </row>
    <row r="99" spans="1:71" x14ac:dyDescent="0.25">
      <c r="A99" s="109">
        <v>44353</v>
      </c>
      <c r="B99" s="110">
        <v>112301</v>
      </c>
      <c r="C99" s="114">
        <v>135728</v>
      </c>
      <c r="D99" s="114">
        <v>120491</v>
      </c>
      <c r="E99" s="111">
        <f t="shared" si="0"/>
        <v>1.2086090061531063</v>
      </c>
      <c r="F99" s="111">
        <f t="shared" si="1"/>
        <v>1.0729290033036216</v>
      </c>
      <c r="G99" s="110">
        <v>911631</v>
      </c>
      <c r="H99" s="114">
        <v>593332</v>
      </c>
      <c r="I99" s="114">
        <v>534410</v>
      </c>
      <c r="J99" s="112">
        <f t="shared" si="2"/>
        <v>0.65084666932124946</v>
      </c>
      <c r="K99" s="112">
        <f t="shared" si="3"/>
        <v>0.58621306208323321</v>
      </c>
      <c r="L99" s="110">
        <v>1976757</v>
      </c>
      <c r="M99" s="114">
        <f t="shared" si="202"/>
        <v>1856406</v>
      </c>
      <c r="N99" s="114">
        <v>1186874</v>
      </c>
      <c r="O99" s="111">
        <f t="shared" si="4"/>
        <v>0.93911694760661024</v>
      </c>
      <c r="P99" s="111">
        <f t="shared" si="5"/>
        <v>0.60041471966458193</v>
      </c>
      <c r="Q99" s="110">
        <v>3000689</v>
      </c>
      <c r="R99" s="110">
        <v>2585466</v>
      </c>
      <c r="S99" s="110">
        <f t="shared" si="203"/>
        <v>1841775</v>
      </c>
      <c r="T99" s="113">
        <f t="shared" si="8"/>
        <v>0.86162411366189562</v>
      </c>
      <c r="U99" s="113">
        <f t="shared" si="9"/>
        <v>0.61378403426679673</v>
      </c>
      <c r="V99" s="110"/>
      <c r="W99" s="110"/>
      <c r="X99" s="110"/>
      <c r="Y99" s="110"/>
      <c r="Z99" s="110"/>
      <c r="AA99" s="113"/>
      <c r="AB99" s="113"/>
      <c r="AC99" s="110"/>
      <c r="AD99" s="110"/>
      <c r="AE99" s="110"/>
      <c r="AF99" s="113"/>
      <c r="AG99" s="113"/>
      <c r="AH99" s="110">
        <v>1468764</v>
      </c>
      <c r="AI99" s="114">
        <v>1522193</v>
      </c>
      <c r="AJ99" s="114">
        <v>1391547</v>
      </c>
      <c r="AK99" s="111">
        <f t="shared" si="10"/>
        <v>1.0363768447483734</v>
      </c>
      <c r="AL99" s="111">
        <f t="shared" si="11"/>
        <v>0.94742722452347683</v>
      </c>
      <c r="AM99" s="114">
        <v>21553118</v>
      </c>
      <c r="AN99" s="114">
        <v>3499667</v>
      </c>
      <c r="AO99" s="114">
        <v>2296633</v>
      </c>
      <c r="AP99" s="111">
        <f t="shared" si="12"/>
        <v>0.16237404722602083</v>
      </c>
      <c r="AQ99" s="111">
        <f t="shared" si="13"/>
        <v>0.10655687961249968</v>
      </c>
      <c r="AR99" s="110">
        <v>17327169</v>
      </c>
      <c r="AS99" s="114">
        <v>12571219</v>
      </c>
      <c r="AT99" s="114">
        <v>7437870</v>
      </c>
      <c r="AU99" s="111">
        <f t="shared" si="14"/>
        <v>0.72552065487443451</v>
      </c>
      <c r="AV99" s="111">
        <f t="shared" si="15"/>
        <v>0.42926054452403622</v>
      </c>
      <c r="AW99" s="115">
        <f t="shared" si="16"/>
        <v>40349051</v>
      </c>
      <c r="AX99" s="114">
        <f t="shared" ref="AX99:AY99" si="206">AI99+AN99+AS99</f>
        <v>17593079</v>
      </c>
      <c r="AY99" s="119">
        <f t="shared" si="206"/>
        <v>11126050</v>
      </c>
      <c r="AZ99" s="111">
        <f t="shared" si="18"/>
        <v>0.43602212602224522</v>
      </c>
      <c r="BA99" s="111">
        <f t="shared" si="19"/>
        <v>0.27574502309856058</v>
      </c>
      <c r="BB99" s="118">
        <f t="shared" si="153"/>
        <v>0</v>
      </c>
      <c r="BC99" s="115"/>
      <c r="BD99" s="110"/>
      <c r="BE99" s="110"/>
      <c r="BF99" s="110"/>
      <c r="BG99" s="116"/>
      <c r="BH99" s="116"/>
      <c r="BI99" s="110"/>
      <c r="BJ99" s="110"/>
      <c r="BK99" s="117"/>
      <c r="BL99" s="113"/>
      <c r="BM99" s="113"/>
      <c r="BN99" s="113"/>
      <c r="BO99" s="113"/>
      <c r="BP99" s="118">
        <v>22097</v>
      </c>
      <c r="BQ99" s="118">
        <v>0</v>
      </c>
      <c r="BR99" s="118" t="s">
        <v>366</v>
      </c>
      <c r="BS99" s="118">
        <v>0</v>
      </c>
    </row>
    <row r="100" spans="1:71" x14ac:dyDescent="0.25">
      <c r="A100" s="109">
        <v>44354</v>
      </c>
      <c r="B100" s="110">
        <v>112301</v>
      </c>
      <c r="C100" s="114">
        <v>135728</v>
      </c>
      <c r="D100" s="114">
        <v>120568</v>
      </c>
      <c r="E100" s="111">
        <f t="shared" si="0"/>
        <v>1.2086090061531063</v>
      </c>
      <c r="F100" s="111">
        <f t="shared" si="1"/>
        <v>1.0736146605996384</v>
      </c>
      <c r="G100" s="110">
        <v>911631</v>
      </c>
      <c r="H100" s="114">
        <v>593442</v>
      </c>
      <c r="I100" s="114">
        <v>534697</v>
      </c>
      <c r="J100" s="112">
        <f t="shared" si="2"/>
        <v>0.65096733217716374</v>
      </c>
      <c r="K100" s="112">
        <f t="shared" si="3"/>
        <v>0.58652788244366416</v>
      </c>
      <c r="L100" s="110">
        <v>1976757</v>
      </c>
      <c r="M100" s="114">
        <f t="shared" si="202"/>
        <v>1878591</v>
      </c>
      <c r="N100" s="114">
        <f>S100-D100-I100</f>
        <v>1190433</v>
      </c>
      <c r="O100" s="111">
        <f t="shared" si="4"/>
        <v>0.95033987485563476</v>
      </c>
      <c r="P100" s="111">
        <f t="shared" si="5"/>
        <v>0.60221514328771819</v>
      </c>
      <c r="Q100" s="110">
        <v>3000689</v>
      </c>
      <c r="R100" s="110">
        <v>2607761</v>
      </c>
      <c r="S100" s="110">
        <v>1845698</v>
      </c>
      <c r="T100" s="113">
        <f t="shared" si="8"/>
        <v>0.86905407391435763</v>
      </c>
      <c r="U100" s="113">
        <f t="shared" si="9"/>
        <v>0.61509140067497836</v>
      </c>
      <c r="V100" s="110"/>
      <c r="W100" s="110"/>
      <c r="X100" s="110"/>
      <c r="Y100" s="110"/>
      <c r="Z100" s="110"/>
      <c r="AA100" s="113"/>
      <c r="AB100" s="113"/>
      <c r="AC100" s="110"/>
      <c r="AD100" s="110"/>
      <c r="AE100" s="110"/>
      <c r="AF100" s="113"/>
      <c r="AG100" s="113"/>
      <c r="AH100" s="110">
        <v>1468764</v>
      </c>
      <c r="AI100" s="114">
        <v>1523336</v>
      </c>
      <c r="AJ100" s="114">
        <v>1392873</v>
      </c>
      <c r="AK100" s="111">
        <f t="shared" si="10"/>
        <v>1.0371550500965439</v>
      </c>
      <c r="AL100" s="111">
        <f t="shared" si="11"/>
        <v>0.94833002442870329</v>
      </c>
      <c r="AM100" s="114">
        <v>21553118</v>
      </c>
      <c r="AN100" s="114">
        <v>3536666</v>
      </c>
      <c r="AO100" s="114">
        <v>2319990</v>
      </c>
      <c r="AP100" s="111">
        <f t="shared" si="12"/>
        <v>0.16409068980181893</v>
      </c>
      <c r="AQ100" s="111">
        <f t="shared" si="13"/>
        <v>0.10764057432432746</v>
      </c>
      <c r="AR100" s="110">
        <v>17327169</v>
      </c>
      <c r="AS100" s="114">
        <v>12693203</v>
      </c>
      <c r="AT100" s="114">
        <v>7517751</v>
      </c>
      <c r="AU100" s="111">
        <f t="shared" si="14"/>
        <v>0.73256069701865323</v>
      </c>
      <c r="AV100" s="111">
        <f t="shared" si="15"/>
        <v>0.43387070328684391</v>
      </c>
      <c r="AW100" s="115">
        <f t="shared" si="16"/>
        <v>40349051</v>
      </c>
      <c r="AX100" s="114">
        <f t="shared" ref="AX100:AY100" si="207">AI100+AN100+AS100</f>
        <v>17753205</v>
      </c>
      <c r="AY100" s="119">
        <f t="shared" si="207"/>
        <v>11230614</v>
      </c>
      <c r="AZ100" s="111">
        <f t="shared" si="18"/>
        <v>0.4399906456288154</v>
      </c>
      <c r="BA100" s="111">
        <f t="shared" si="19"/>
        <v>0.27833650907923463</v>
      </c>
      <c r="BB100" s="118">
        <f t="shared" si="153"/>
        <v>160126</v>
      </c>
      <c r="BC100" s="115"/>
      <c r="BD100" s="110"/>
      <c r="BE100" s="110"/>
      <c r="BF100" s="110"/>
      <c r="BG100" s="116"/>
      <c r="BH100" s="116"/>
      <c r="BI100" s="110"/>
      <c r="BJ100" s="110"/>
      <c r="BK100" s="117"/>
      <c r="BL100" s="113"/>
      <c r="BM100" s="113"/>
      <c r="BN100" s="113"/>
      <c r="BO100" s="113"/>
      <c r="BP100" s="118">
        <v>22097</v>
      </c>
      <c r="BQ100" s="118">
        <v>0</v>
      </c>
      <c r="BR100" s="118" t="s">
        <v>366</v>
      </c>
      <c r="BS100" s="118">
        <v>0</v>
      </c>
    </row>
    <row r="101" spans="1:71" x14ac:dyDescent="0.25">
      <c r="A101" s="109">
        <v>44355</v>
      </c>
      <c r="B101" s="110">
        <v>112301</v>
      </c>
      <c r="C101" s="114">
        <v>135728</v>
      </c>
      <c r="D101" s="114">
        <v>120568</v>
      </c>
      <c r="E101" s="111">
        <f t="shared" si="0"/>
        <v>1.2086090061531063</v>
      </c>
      <c r="F101" s="111">
        <f t="shared" si="1"/>
        <v>1.0736146605996384</v>
      </c>
      <c r="G101" s="110">
        <v>911631</v>
      </c>
      <c r="H101" s="114">
        <v>593442</v>
      </c>
      <c r="I101" s="114">
        <v>535079</v>
      </c>
      <c r="J101" s="112">
        <f t="shared" si="2"/>
        <v>0.65096733217716374</v>
      </c>
      <c r="K101" s="112">
        <f t="shared" si="3"/>
        <v>0.58694691163420287</v>
      </c>
      <c r="L101" s="110">
        <v>1976757</v>
      </c>
      <c r="M101" s="114">
        <f t="shared" si="202"/>
        <v>1951461</v>
      </c>
      <c r="N101" s="114">
        <v>1197044</v>
      </c>
      <c r="O101" s="111">
        <f t="shared" si="4"/>
        <v>0.98720328295283644</v>
      </c>
      <c r="P101" s="111">
        <f t="shared" si="5"/>
        <v>0.60555950984364793</v>
      </c>
      <c r="Q101" s="110">
        <v>3000689</v>
      </c>
      <c r="R101" s="110">
        <v>2680631</v>
      </c>
      <c r="S101" s="110">
        <v>1845698</v>
      </c>
      <c r="T101" s="113">
        <f t="shared" si="8"/>
        <v>0.89333849659194942</v>
      </c>
      <c r="U101" s="113">
        <f t="shared" si="9"/>
        <v>0.61509140067497836</v>
      </c>
      <c r="V101" s="110"/>
      <c r="W101" s="110"/>
      <c r="X101" s="110"/>
      <c r="Y101" s="110"/>
      <c r="Z101" s="110"/>
      <c r="AA101" s="113"/>
      <c r="AB101" s="113"/>
      <c r="AC101" s="110"/>
      <c r="AD101" s="110"/>
      <c r="AE101" s="110"/>
      <c r="AF101" s="113"/>
      <c r="AG101" s="113"/>
      <c r="AH101" s="110">
        <v>1468764</v>
      </c>
      <c r="AI101" s="114">
        <v>1525261</v>
      </c>
      <c r="AJ101" s="114">
        <v>1394443</v>
      </c>
      <c r="AK101" s="111">
        <f t="shared" si="10"/>
        <v>1.0384656759016424</v>
      </c>
      <c r="AL101" s="111">
        <f t="shared" si="11"/>
        <v>0.94939895041000455</v>
      </c>
      <c r="AM101" s="114">
        <v>21553118</v>
      </c>
      <c r="AN101" s="114">
        <v>3637967</v>
      </c>
      <c r="AO101" s="114">
        <v>2357355</v>
      </c>
      <c r="AP101" s="111">
        <f t="shared" si="12"/>
        <v>0.16879075222434173</v>
      </c>
      <c r="AQ101" s="111">
        <f t="shared" si="13"/>
        <v>0.10937419820185645</v>
      </c>
      <c r="AR101" s="110">
        <v>17327169</v>
      </c>
      <c r="AS101" s="114">
        <v>13242581</v>
      </c>
      <c r="AT101" s="114">
        <v>7644223</v>
      </c>
      <c r="AU101" s="111">
        <f t="shared" si="14"/>
        <v>0.76426685744220535</v>
      </c>
      <c r="AV101" s="111">
        <f t="shared" si="15"/>
        <v>0.44116976062275376</v>
      </c>
      <c r="AW101" s="115">
        <f t="shared" si="16"/>
        <v>40349051</v>
      </c>
      <c r="AX101" s="114">
        <f t="shared" ref="AX101:AY101" si="208">AI101+AN101+AS101</f>
        <v>18405809</v>
      </c>
      <c r="AY101" s="119">
        <f t="shared" si="208"/>
        <v>11396021</v>
      </c>
      <c r="AZ101" s="111">
        <f t="shared" si="18"/>
        <v>0.4561646071923724</v>
      </c>
      <c r="BA101" s="111">
        <f t="shared" si="19"/>
        <v>0.28243591156580111</v>
      </c>
      <c r="BB101" s="118">
        <f t="shared" si="153"/>
        <v>652604</v>
      </c>
      <c r="BC101" s="115"/>
      <c r="BD101" s="110"/>
      <c r="BE101" s="110"/>
      <c r="BF101" s="110"/>
      <c r="BG101" s="116"/>
      <c r="BH101" s="116"/>
      <c r="BI101" s="110"/>
      <c r="BJ101" s="110"/>
      <c r="BK101" s="117"/>
      <c r="BL101" s="113"/>
      <c r="BM101" s="113"/>
      <c r="BN101" s="113"/>
      <c r="BO101" s="113"/>
      <c r="BP101" s="118">
        <v>32553</v>
      </c>
      <c r="BQ101" s="118">
        <v>0</v>
      </c>
      <c r="BR101" s="118" t="s">
        <v>366</v>
      </c>
      <c r="BS101" s="118">
        <v>0</v>
      </c>
    </row>
    <row r="102" spans="1:71" x14ac:dyDescent="0.25">
      <c r="A102" s="109">
        <v>44356</v>
      </c>
      <c r="B102" s="110">
        <v>112301</v>
      </c>
      <c r="C102" s="114">
        <v>135728</v>
      </c>
      <c r="D102" s="114">
        <v>120761</v>
      </c>
      <c r="E102" s="111">
        <f t="shared" si="0"/>
        <v>1.2086090061531063</v>
      </c>
      <c r="F102" s="111">
        <f t="shared" si="1"/>
        <v>1.0753332561597848</v>
      </c>
      <c r="G102" s="110">
        <v>911631</v>
      </c>
      <c r="H102" s="114">
        <v>593442</v>
      </c>
      <c r="I102" s="114">
        <v>535079</v>
      </c>
      <c r="J102" s="112">
        <f t="shared" si="2"/>
        <v>0.65096733217716374</v>
      </c>
      <c r="K102" s="112">
        <f t="shared" si="3"/>
        <v>0.58694691163420287</v>
      </c>
      <c r="L102" s="110">
        <v>1976757</v>
      </c>
      <c r="M102" s="114">
        <f t="shared" si="202"/>
        <v>1999271</v>
      </c>
      <c r="N102" s="114">
        <v>1199225</v>
      </c>
      <c r="O102" s="111">
        <f t="shared" si="4"/>
        <v>1.0113893614642568</v>
      </c>
      <c r="P102" s="111">
        <f t="shared" si="5"/>
        <v>0.60666283210328842</v>
      </c>
      <c r="Q102" s="110">
        <v>3000689</v>
      </c>
      <c r="R102" s="110">
        <v>2728441</v>
      </c>
      <c r="S102" s="110">
        <v>1845698</v>
      </c>
      <c r="T102" s="113">
        <f t="shared" si="8"/>
        <v>0.90927150397791978</v>
      </c>
      <c r="U102" s="113">
        <f t="shared" si="9"/>
        <v>0.61509140067497836</v>
      </c>
      <c r="V102" s="110"/>
      <c r="W102" s="110"/>
      <c r="X102" s="110"/>
      <c r="Y102" s="110"/>
      <c r="Z102" s="110"/>
      <c r="AA102" s="113"/>
      <c r="AB102" s="113"/>
      <c r="AC102" s="110"/>
      <c r="AD102" s="110"/>
      <c r="AE102" s="110"/>
      <c r="AF102" s="113"/>
      <c r="AG102" s="113"/>
      <c r="AH102" s="110">
        <v>1468764</v>
      </c>
      <c r="AI102" s="114">
        <v>1526586</v>
      </c>
      <c r="AJ102" s="114">
        <v>1395252</v>
      </c>
      <c r="AK102" s="111">
        <f t="shared" si="10"/>
        <v>1.0393677949622948</v>
      </c>
      <c r="AL102" s="111">
        <f t="shared" si="11"/>
        <v>0.94994975367043311</v>
      </c>
      <c r="AM102" s="114">
        <v>21553118</v>
      </c>
      <c r="AN102" s="114">
        <v>3716307</v>
      </c>
      <c r="AO102" s="114">
        <v>2369250</v>
      </c>
      <c r="AP102" s="111">
        <f t="shared" si="12"/>
        <v>0.17242549314674563</v>
      </c>
      <c r="AQ102" s="111">
        <f t="shared" si="13"/>
        <v>0.10992609050811117</v>
      </c>
      <c r="AR102" s="110">
        <v>17327169</v>
      </c>
      <c r="AS102" s="114">
        <v>13623087</v>
      </c>
      <c r="AT102" s="114">
        <v>7685406</v>
      </c>
      <c r="AU102" s="111">
        <f t="shared" si="14"/>
        <v>0.78622693643722175</v>
      </c>
      <c r="AV102" s="111">
        <f t="shared" si="15"/>
        <v>0.44354654819838141</v>
      </c>
      <c r="AW102" s="115">
        <f t="shared" si="16"/>
        <v>40349051</v>
      </c>
      <c r="AX102" s="114">
        <f t="shared" ref="AX102:AY102" si="209">AI102+AN102+AS102</f>
        <v>18865980</v>
      </c>
      <c r="AY102" s="119">
        <f t="shared" si="209"/>
        <v>11449908</v>
      </c>
      <c r="AZ102" s="111">
        <f t="shared" si="18"/>
        <v>0.46756936117283154</v>
      </c>
      <c r="BA102" s="111">
        <f t="shared" si="19"/>
        <v>0.28377143244335534</v>
      </c>
      <c r="BB102" s="118">
        <f t="shared" si="153"/>
        <v>460171</v>
      </c>
      <c r="BC102" s="115"/>
      <c r="BD102" s="110"/>
      <c r="BE102" s="110"/>
      <c r="BF102" s="110"/>
      <c r="BG102" s="116"/>
      <c r="BH102" s="116"/>
      <c r="BI102" s="110"/>
      <c r="BJ102" s="110"/>
      <c r="BK102" s="117"/>
      <c r="BL102" s="113"/>
      <c r="BM102" s="113"/>
      <c r="BN102" s="113"/>
      <c r="BO102" s="113"/>
      <c r="BP102" s="118">
        <v>35612</v>
      </c>
      <c r="BQ102" s="118">
        <v>0</v>
      </c>
      <c r="BR102" s="118" t="s">
        <v>366</v>
      </c>
      <c r="BS102" s="118" t="s">
        <v>366</v>
      </c>
    </row>
    <row r="103" spans="1:71" x14ac:dyDescent="0.25">
      <c r="A103" s="109">
        <v>44357</v>
      </c>
      <c r="B103" s="110">
        <v>112301</v>
      </c>
      <c r="C103" s="114">
        <v>135728</v>
      </c>
      <c r="D103" s="114">
        <v>120833</v>
      </c>
      <c r="E103" s="111">
        <f t="shared" si="0"/>
        <v>1.2086090061531063</v>
      </c>
      <c r="F103" s="111">
        <f t="shared" si="1"/>
        <v>1.0759743902547618</v>
      </c>
      <c r="G103" s="110">
        <v>911631</v>
      </c>
      <c r="H103" s="114">
        <v>595046</v>
      </c>
      <c r="I103" s="114">
        <v>535273</v>
      </c>
      <c r="J103" s="112">
        <f t="shared" si="2"/>
        <v>0.65272681600340487</v>
      </c>
      <c r="K103" s="112">
        <f t="shared" si="3"/>
        <v>0.58715971703463354</v>
      </c>
      <c r="L103" s="110">
        <v>1976757</v>
      </c>
      <c r="M103" s="114">
        <f t="shared" si="202"/>
        <v>2059479</v>
      </c>
      <c r="N103" s="114">
        <f t="shared" ref="N103:N184" si="210">S103-D103-I103</f>
        <v>1202304</v>
      </c>
      <c r="O103" s="111">
        <f t="shared" si="4"/>
        <v>1.0418473287308456</v>
      </c>
      <c r="P103" s="111">
        <f t="shared" si="5"/>
        <v>0.60822043377107049</v>
      </c>
      <c r="Q103" s="110">
        <v>3000689</v>
      </c>
      <c r="R103" s="110">
        <v>2790253</v>
      </c>
      <c r="S103" s="110">
        <v>1858410</v>
      </c>
      <c r="T103" s="113">
        <f t="shared" si="8"/>
        <v>0.92987077301246479</v>
      </c>
      <c r="U103" s="113">
        <f t="shared" si="9"/>
        <v>0.61932776105754384</v>
      </c>
      <c r="V103" s="110"/>
      <c r="W103" s="110"/>
      <c r="X103" s="110"/>
      <c r="Y103" s="110"/>
      <c r="Z103" s="110"/>
      <c r="AA103" s="113"/>
      <c r="AB103" s="113"/>
      <c r="AC103" s="110"/>
      <c r="AD103" s="110"/>
      <c r="AE103" s="110"/>
      <c r="AF103" s="113"/>
      <c r="AG103" s="113"/>
      <c r="AH103" s="110">
        <v>1468764</v>
      </c>
      <c r="AI103" s="114">
        <v>1527967</v>
      </c>
      <c r="AJ103" s="114">
        <v>1395852</v>
      </c>
      <c r="AK103" s="111">
        <f t="shared" si="10"/>
        <v>1.0403080413190955</v>
      </c>
      <c r="AL103" s="111">
        <f t="shared" si="11"/>
        <v>0.95035826041487947</v>
      </c>
      <c r="AM103" s="114">
        <v>21553118</v>
      </c>
      <c r="AN103" s="114">
        <v>3797367</v>
      </c>
      <c r="AO103" s="114">
        <v>2377597</v>
      </c>
      <c r="AP103" s="111">
        <f t="shared" si="12"/>
        <v>0.17618643390714978</v>
      </c>
      <c r="AQ103" s="111">
        <f t="shared" si="13"/>
        <v>0.1103133662609744</v>
      </c>
      <c r="AR103" s="110">
        <v>17327169</v>
      </c>
      <c r="AS103" s="114">
        <v>14042656</v>
      </c>
      <c r="AT103" s="114">
        <v>7721934</v>
      </c>
      <c r="AU103" s="111">
        <f t="shared" si="14"/>
        <v>0.81044145180323457</v>
      </c>
      <c r="AV103" s="111">
        <f t="shared" si="15"/>
        <v>0.44565468253931151</v>
      </c>
      <c r="AW103" s="115">
        <f t="shared" si="16"/>
        <v>40349051</v>
      </c>
      <c r="AX103" s="114">
        <f t="shared" ref="AX103:AY103" si="211">AI103+AN103+AS103</f>
        <v>19367990</v>
      </c>
      <c r="AY103" s="119">
        <f t="shared" si="211"/>
        <v>11495383</v>
      </c>
      <c r="AZ103" s="111">
        <f t="shared" si="18"/>
        <v>0.48001104164754704</v>
      </c>
      <c r="BA103" s="111">
        <f t="shared" si="19"/>
        <v>0.28489847258117668</v>
      </c>
      <c r="BB103" s="118">
        <f t="shared" si="153"/>
        <v>502010</v>
      </c>
      <c r="BC103" s="115"/>
      <c r="BD103" s="110"/>
      <c r="BE103" s="110"/>
      <c r="BF103" s="110"/>
      <c r="BG103" s="116"/>
      <c r="BH103" s="116"/>
      <c r="BI103" s="110"/>
      <c r="BJ103" s="110"/>
      <c r="BK103" s="117"/>
      <c r="BL103" s="113"/>
      <c r="BM103" s="113"/>
      <c r="BN103" s="113"/>
      <c r="BO103" s="113"/>
      <c r="BP103" s="118">
        <v>37375</v>
      </c>
      <c r="BQ103" s="118">
        <v>3077</v>
      </c>
      <c r="BR103" s="118" t="s">
        <v>366</v>
      </c>
      <c r="BS103" s="118" t="s">
        <v>366</v>
      </c>
    </row>
    <row r="104" spans="1:71" x14ac:dyDescent="0.25">
      <c r="A104" s="109">
        <v>44358</v>
      </c>
      <c r="B104" s="110">
        <v>112301</v>
      </c>
      <c r="C104" s="114">
        <v>135728</v>
      </c>
      <c r="D104" s="114">
        <v>120932</v>
      </c>
      <c r="E104" s="111">
        <f t="shared" si="0"/>
        <v>1.2086090061531063</v>
      </c>
      <c r="F104" s="111">
        <f t="shared" si="1"/>
        <v>1.0768559496353549</v>
      </c>
      <c r="G104" s="110">
        <v>911631</v>
      </c>
      <c r="H104" s="114">
        <v>595046</v>
      </c>
      <c r="I104" s="114">
        <v>535273</v>
      </c>
      <c r="J104" s="112">
        <f t="shared" si="2"/>
        <v>0.65272681600340487</v>
      </c>
      <c r="K104" s="112">
        <f t="shared" si="3"/>
        <v>0.58715971703463354</v>
      </c>
      <c r="L104" s="110">
        <v>1976757</v>
      </c>
      <c r="M104" s="114">
        <f t="shared" si="202"/>
        <v>2141397</v>
      </c>
      <c r="N104" s="114">
        <f t="shared" si="210"/>
        <v>1205366</v>
      </c>
      <c r="O104" s="111">
        <f t="shared" si="4"/>
        <v>1.0832879306864729</v>
      </c>
      <c r="P104" s="111">
        <f t="shared" si="5"/>
        <v>0.6097694354946005</v>
      </c>
      <c r="Q104" s="110">
        <v>3000689</v>
      </c>
      <c r="R104" s="110">
        <v>2872171</v>
      </c>
      <c r="S104" s="110">
        <v>1861571</v>
      </c>
      <c r="T104" s="113">
        <f t="shared" si="8"/>
        <v>0.95717050317443764</v>
      </c>
      <c r="U104" s="113">
        <f t="shared" si="9"/>
        <v>0.6203811857876641</v>
      </c>
      <c r="V104" s="110"/>
      <c r="W104" s="110"/>
      <c r="X104" s="110"/>
      <c r="Y104" s="110"/>
      <c r="Z104" s="110"/>
      <c r="AA104" s="113"/>
      <c r="AB104" s="113"/>
      <c r="AC104" s="110"/>
      <c r="AD104" s="110"/>
      <c r="AE104" s="110"/>
      <c r="AF104" s="113"/>
      <c r="AG104" s="113"/>
      <c r="AH104" s="110">
        <v>1468764</v>
      </c>
      <c r="AI104" s="114">
        <v>1529037</v>
      </c>
      <c r="AJ104" s="114">
        <v>1396410</v>
      </c>
      <c r="AK104" s="111">
        <f t="shared" si="10"/>
        <v>1.0410365450133581</v>
      </c>
      <c r="AL104" s="111">
        <f t="shared" si="11"/>
        <v>0.95073817168721453</v>
      </c>
      <c r="AM104" s="114">
        <v>21553118</v>
      </c>
      <c r="AN104" s="114">
        <v>3839978</v>
      </c>
      <c r="AO104" s="114">
        <v>2382111</v>
      </c>
      <c r="AP104" s="111">
        <f t="shared" si="12"/>
        <v>0.17816345644282186</v>
      </c>
      <c r="AQ104" s="111">
        <f t="shared" si="13"/>
        <v>0.11052280231565567</v>
      </c>
      <c r="AR104" s="110">
        <v>17327169</v>
      </c>
      <c r="AS104" s="114">
        <v>14390190</v>
      </c>
      <c r="AT104" s="114">
        <v>7745521</v>
      </c>
      <c r="AU104" s="111">
        <f t="shared" si="14"/>
        <v>0.83049862328924018</v>
      </c>
      <c r="AV104" s="111">
        <f t="shared" si="15"/>
        <v>0.44701595511649939</v>
      </c>
      <c r="AW104" s="115">
        <f t="shared" si="16"/>
        <v>40349051</v>
      </c>
      <c r="AX104" s="114">
        <f t="shared" ref="AX104:AY104" si="212">AI104+AN104+AS104</f>
        <v>19759205</v>
      </c>
      <c r="AY104" s="119">
        <f t="shared" si="212"/>
        <v>11524042</v>
      </c>
      <c r="AZ104" s="111">
        <f t="shared" si="18"/>
        <v>0.48970680871775646</v>
      </c>
      <c r="BA104" s="111">
        <f t="shared" si="19"/>
        <v>0.28560874950937509</v>
      </c>
      <c r="BB104" s="118">
        <f t="shared" si="153"/>
        <v>391215</v>
      </c>
      <c r="BC104" s="115"/>
      <c r="BD104" s="110"/>
      <c r="BE104" s="110"/>
      <c r="BF104" s="110"/>
      <c r="BG104" s="116"/>
      <c r="BH104" s="116"/>
      <c r="BI104" s="110"/>
      <c r="BJ104" s="110"/>
      <c r="BK104" s="117"/>
      <c r="BL104" s="113"/>
      <c r="BM104" s="113"/>
      <c r="BN104" s="113"/>
      <c r="BO104" s="113"/>
      <c r="BP104" s="118">
        <v>37375</v>
      </c>
      <c r="BQ104" s="118">
        <v>3077</v>
      </c>
      <c r="BR104" s="118" t="s">
        <v>366</v>
      </c>
      <c r="BS104" s="118" t="s">
        <v>366</v>
      </c>
    </row>
    <row r="105" spans="1:71" x14ac:dyDescent="0.25">
      <c r="A105" s="109">
        <v>44359</v>
      </c>
      <c r="B105" s="110">
        <v>112301</v>
      </c>
      <c r="C105" s="114">
        <v>135728</v>
      </c>
      <c r="D105" s="114">
        <v>120935</v>
      </c>
      <c r="E105" s="111">
        <f t="shared" si="0"/>
        <v>1.2086090061531063</v>
      </c>
      <c r="F105" s="111">
        <f t="shared" si="1"/>
        <v>1.0768826635559789</v>
      </c>
      <c r="G105" s="110">
        <v>911631</v>
      </c>
      <c r="H105" s="114">
        <v>595046</v>
      </c>
      <c r="I105" s="114">
        <v>535273</v>
      </c>
      <c r="J105" s="112">
        <f t="shared" si="2"/>
        <v>0.65272681600340487</v>
      </c>
      <c r="K105" s="112">
        <f t="shared" si="3"/>
        <v>0.58715971703463354</v>
      </c>
      <c r="L105" s="110">
        <v>1976757</v>
      </c>
      <c r="M105" s="114">
        <f t="shared" si="202"/>
        <v>2150108</v>
      </c>
      <c r="N105" s="114">
        <f t="shared" si="210"/>
        <v>1205710</v>
      </c>
      <c r="O105" s="111">
        <f t="shared" si="4"/>
        <v>1.0876946432970769</v>
      </c>
      <c r="P105" s="111">
        <f t="shared" si="5"/>
        <v>0.60994345789593762</v>
      </c>
      <c r="Q105" s="110">
        <v>3000689</v>
      </c>
      <c r="R105" s="110">
        <v>2880882</v>
      </c>
      <c r="S105" s="110">
        <v>1861918</v>
      </c>
      <c r="T105" s="113">
        <f t="shared" si="8"/>
        <v>0.9600735031187837</v>
      </c>
      <c r="U105" s="113">
        <f t="shared" si="9"/>
        <v>0.62049682589565258</v>
      </c>
      <c r="V105" s="110"/>
      <c r="W105" s="110"/>
      <c r="X105" s="110"/>
      <c r="Y105" s="110"/>
      <c r="Z105" s="110"/>
      <c r="AA105" s="113"/>
      <c r="AB105" s="113"/>
      <c r="AC105" s="110"/>
      <c r="AD105" s="110"/>
      <c r="AE105" s="110"/>
      <c r="AF105" s="113"/>
      <c r="AG105" s="113"/>
      <c r="AH105" s="110">
        <v>1468764</v>
      </c>
      <c r="AI105" s="114">
        <v>1529719</v>
      </c>
      <c r="AJ105" s="114">
        <v>1396794</v>
      </c>
      <c r="AK105" s="111">
        <f t="shared" si="10"/>
        <v>1.041500881012879</v>
      </c>
      <c r="AL105" s="111">
        <f t="shared" si="11"/>
        <v>0.95099961600366023</v>
      </c>
      <c r="AM105" s="114">
        <v>21553118</v>
      </c>
      <c r="AN105" s="114">
        <v>3888332</v>
      </c>
      <c r="AO105" s="114">
        <v>2388526</v>
      </c>
      <c r="AP105" s="111">
        <f t="shared" si="12"/>
        <v>0.18040693694527168</v>
      </c>
      <c r="AQ105" s="111">
        <f t="shared" si="13"/>
        <v>0.11082043906593932</v>
      </c>
      <c r="AR105" s="110">
        <v>17327169</v>
      </c>
      <c r="AS105" s="114">
        <v>14659974</v>
      </c>
      <c r="AT105" s="114">
        <v>7769404</v>
      </c>
      <c r="AU105" s="111">
        <f t="shared" si="14"/>
        <v>0.84606862205822542</v>
      </c>
      <c r="AV105" s="111">
        <f t="shared" si="15"/>
        <v>0.44839431069206975</v>
      </c>
      <c r="AW105" s="115">
        <f t="shared" si="16"/>
        <v>40349051</v>
      </c>
      <c r="AX105" s="114">
        <f t="shared" ref="AX105:AY105" si="213">AI105+AN105+AS105</f>
        <v>20078025</v>
      </c>
      <c r="AY105" s="119">
        <f t="shared" si="213"/>
        <v>11554724</v>
      </c>
      <c r="AZ105" s="111">
        <f t="shared" si="18"/>
        <v>0.49760835762903072</v>
      </c>
      <c r="BA105" s="111">
        <f t="shared" si="19"/>
        <v>0.28636916392407841</v>
      </c>
      <c r="BB105" s="118">
        <f t="shared" si="153"/>
        <v>318820</v>
      </c>
      <c r="BC105" s="115"/>
      <c r="BD105" s="110"/>
      <c r="BE105" s="110"/>
      <c r="BF105" s="110"/>
      <c r="BG105" s="116"/>
      <c r="BH105" s="116"/>
      <c r="BI105" s="110"/>
      <c r="BJ105" s="110"/>
      <c r="BK105" s="117"/>
      <c r="BL105" s="113"/>
      <c r="BM105" s="113"/>
      <c r="BN105" s="113"/>
      <c r="BO105" s="113"/>
      <c r="BP105" s="118">
        <v>38891</v>
      </c>
      <c r="BQ105" s="118">
        <v>3561</v>
      </c>
      <c r="BR105" s="118" t="s">
        <v>366</v>
      </c>
      <c r="BS105" s="118" t="s">
        <v>366</v>
      </c>
    </row>
    <row r="106" spans="1:71" x14ac:dyDescent="0.25">
      <c r="A106" s="109">
        <v>44360</v>
      </c>
      <c r="B106" s="110">
        <v>112301</v>
      </c>
      <c r="C106" s="114">
        <v>135728</v>
      </c>
      <c r="D106" s="114">
        <v>120935</v>
      </c>
      <c r="E106" s="111">
        <f t="shared" si="0"/>
        <v>1.2086090061531063</v>
      </c>
      <c r="F106" s="111">
        <f t="shared" si="1"/>
        <v>1.0768826635559789</v>
      </c>
      <c r="G106" s="110">
        <v>911631</v>
      </c>
      <c r="H106" s="114">
        <v>595046</v>
      </c>
      <c r="I106" s="114">
        <v>535273</v>
      </c>
      <c r="J106" s="112">
        <f t="shared" si="2"/>
        <v>0.65272681600340487</v>
      </c>
      <c r="K106" s="112">
        <f t="shared" si="3"/>
        <v>0.58715971703463354</v>
      </c>
      <c r="L106" s="110">
        <v>1976757</v>
      </c>
      <c r="M106" s="114">
        <f t="shared" si="202"/>
        <v>2150152</v>
      </c>
      <c r="N106" s="114">
        <f t="shared" si="210"/>
        <v>1205747</v>
      </c>
      <c r="O106" s="111">
        <f t="shared" si="4"/>
        <v>1.0877169019763178</v>
      </c>
      <c r="P106" s="111">
        <f t="shared" si="5"/>
        <v>0.60996217542166287</v>
      </c>
      <c r="Q106" s="110">
        <v>3000689</v>
      </c>
      <c r="R106" s="110">
        <v>2880926</v>
      </c>
      <c r="S106" s="110">
        <v>1861955</v>
      </c>
      <c r="T106" s="113">
        <f t="shared" si="8"/>
        <v>0.96008816641777939</v>
      </c>
      <c r="U106" s="113">
        <f t="shared" si="9"/>
        <v>0.62050915639708082</v>
      </c>
      <c r="V106" s="110"/>
      <c r="W106" s="110"/>
      <c r="X106" s="110"/>
      <c r="Y106" s="110"/>
      <c r="Z106" s="110"/>
      <c r="AA106" s="113"/>
      <c r="AB106" s="113"/>
      <c r="AC106" s="110"/>
      <c r="AD106" s="110"/>
      <c r="AE106" s="110"/>
      <c r="AF106" s="113"/>
      <c r="AG106" s="113"/>
      <c r="AH106" s="110">
        <v>1468764</v>
      </c>
      <c r="AI106" s="114">
        <v>1529737</v>
      </c>
      <c r="AJ106" s="114">
        <v>1396801</v>
      </c>
      <c r="AK106" s="111">
        <f t="shared" si="10"/>
        <v>1.0415131362152124</v>
      </c>
      <c r="AL106" s="111">
        <f t="shared" si="11"/>
        <v>0.95100438191567871</v>
      </c>
      <c r="AM106" s="114">
        <v>21553118</v>
      </c>
      <c r="AN106" s="114">
        <v>3889165</v>
      </c>
      <c r="AO106" s="114">
        <v>2388715</v>
      </c>
      <c r="AP106" s="111">
        <f t="shared" si="12"/>
        <v>0.18044558564565924</v>
      </c>
      <c r="AQ106" s="111">
        <f t="shared" si="13"/>
        <v>0.11082920809880037</v>
      </c>
      <c r="AR106" s="110">
        <v>17327169</v>
      </c>
      <c r="AS106" s="114">
        <v>14660882</v>
      </c>
      <c r="AT106" s="114">
        <v>7770026</v>
      </c>
      <c r="AU106" s="111">
        <f t="shared" si="14"/>
        <v>0.84612102531002031</v>
      </c>
      <c r="AV106" s="111">
        <f t="shared" si="15"/>
        <v>0.44843020807380596</v>
      </c>
      <c r="AW106" s="115">
        <f t="shared" si="16"/>
        <v>40349051</v>
      </c>
      <c r="AX106" s="114">
        <f t="shared" ref="AX106:AY106" si="214">AI106+AN106+AS106</f>
        <v>20079784</v>
      </c>
      <c r="AY106" s="119">
        <f t="shared" si="214"/>
        <v>11555542</v>
      </c>
      <c r="AZ106" s="111">
        <f t="shared" si="18"/>
        <v>0.49765195221072239</v>
      </c>
      <c r="BA106" s="111">
        <f t="shared" si="19"/>
        <v>0.28638943701550751</v>
      </c>
      <c r="BB106" s="118">
        <f t="shared" si="153"/>
        <v>1759</v>
      </c>
      <c r="BC106" s="115"/>
      <c r="BD106" s="110"/>
      <c r="BE106" s="110"/>
      <c r="BF106" s="110"/>
      <c r="BG106" s="116"/>
      <c r="BH106" s="116"/>
      <c r="BI106" s="110"/>
      <c r="BJ106" s="110"/>
      <c r="BK106" s="117"/>
      <c r="BL106" s="113"/>
      <c r="BM106" s="113"/>
      <c r="BN106" s="113"/>
      <c r="BO106" s="113"/>
      <c r="BP106" s="118">
        <v>41243</v>
      </c>
      <c r="BQ106" s="118">
        <v>4851</v>
      </c>
      <c r="BR106" s="118" t="s">
        <v>366</v>
      </c>
      <c r="BS106" s="118" t="s">
        <v>366</v>
      </c>
    </row>
    <row r="107" spans="1:71" x14ac:dyDescent="0.25">
      <c r="A107" s="109">
        <v>44361</v>
      </c>
      <c r="B107" s="110">
        <v>112301</v>
      </c>
      <c r="C107" s="114">
        <v>135728</v>
      </c>
      <c r="D107" s="114">
        <v>120935</v>
      </c>
      <c r="E107" s="111">
        <f t="shared" si="0"/>
        <v>1.2086090061531063</v>
      </c>
      <c r="F107" s="111">
        <f t="shared" si="1"/>
        <v>1.0768826635559789</v>
      </c>
      <c r="G107" s="110">
        <v>911631</v>
      </c>
      <c r="H107" s="114">
        <v>595046</v>
      </c>
      <c r="I107" s="114">
        <v>535273</v>
      </c>
      <c r="J107" s="112">
        <f t="shared" si="2"/>
        <v>0.65272681600340487</v>
      </c>
      <c r="K107" s="112">
        <f t="shared" si="3"/>
        <v>0.58715971703463354</v>
      </c>
      <c r="L107" s="110">
        <v>1976757</v>
      </c>
      <c r="M107" s="114">
        <f t="shared" si="202"/>
        <v>2235051</v>
      </c>
      <c r="N107" s="114">
        <f t="shared" si="210"/>
        <v>1210934</v>
      </c>
      <c r="O107" s="111">
        <f t="shared" si="4"/>
        <v>1.130665529450509</v>
      </c>
      <c r="P107" s="111">
        <f t="shared" si="5"/>
        <v>0.61258617017670858</v>
      </c>
      <c r="Q107" s="110">
        <v>3000689</v>
      </c>
      <c r="R107" s="110">
        <v>2965825</v>
      </c>
      <c r="S107" s="110">
        <v>1867142</v>
      </c>
      <c r="T107" s="113">
        <f t="shared" si="8"/>
        <v>0.98838133508670845</v>
      </c>
      <c r="U107" s="113">
        <f t="shared" si="9"/>
        <v>0.62223775939459236</v>
      </c>
      <c r="V107" s="110">
        <f t="shared" ref="V107:V184" si="215">R107-R106</f>
        <v>84899</v>
      </c>
      <c r="W107" s="110"/>
      <c r="X107" s="110"/>
      <c r="Y107" s="110"/>
      <c r="Z107" s="110"/>
      <c r="AA107" s="113"/>
      <c r="AB107" s="113"/>
      <c r="AC107" s="110"/>
      <c r="AD107" s="110"/>
      <c r="AE107" s="110"/>
      <c r="AF107" s="113"/>
      <c r="AG107" s="113"/>
      <c r="AH107" s="110">
        <v>1468764</v>
      </c>
      <c r="AI107" s="114">
        <v>1530796</v>
      </c>
      <c r="AJ107" s="114">
        <v>1397698</v>
      </c>
      <c r="AK107" s="111">
        <f t="shared" si="10"/>
        <v>1.0422341506191601</v>
      </c>
      <c r="AL107" s="111">
        <f t="shared" si="11"/>
        <v>0.9516150994986261</v>
      </c>
      <c r="AM107" s="114">
        <v>21553118</v>
      </c>
      <c r="AN107" s="114">
        <v>3951776</v>
      </c>
      <c r="AO107" s="114">
        <v>2401793</v>
      </c>
      <c r="AP107" s="111">
        <f t="shared" si="12"/>
        <v>0.18335054816662721</v>
      </c>
      <c r="AQ107" s="111">
        <f t="shared" si="13"/>
        <v>0.11143598805518533</v>
      </c>
      <c r="AR107" s="110">
        <v>17327169</v>
      </c>
      <c r="AS107" s="114">
        <v>15103687</v>
      </c>
      <c r="AT107" s="114">
        <v>7821054</v>
      </c>
      <c r="AU107" s="111">
        <f t="shared" si="14"/>
        <v>0.87167655604905803</v>
      </c>
      <c r="AV107" s="111">
        <f t="shared" si="15"/>
        <v>0.45137517848414821</v>
      </c>
      <c r="AW107" s="115">
        <f t="shared" si="16"/>
        <v>40349051</v>
      </c>
      <c r="AX107" s="114">
        <f t="shared" ref="AX107:AY107" si="216">AI107+AN107+AS107</f>
        <v>20586259</v>
      </c>
      <c r="AY107" s="119">
        <f t="shared" si="216"/>
        <v>11620545</v>
      </c>
      <c r="AZ107" s="111">
        <f t="shared" si="18"/>
        <v>0.51020429204146589</v>
      </c>
      <c r="BA107" s="111">
        <f t="shared" si="19"/>
        <v>0.28800045383967021</v>
      </c>
      <c r="BB107" s="118">
        <f t="shared" si="153"/>
        <v>506475</v>
      </c>
      <c r="BC107" s="115"/>
      <c r="BD107" s="110"/>
      <c r="BE107" s="110"/>
      <c r="BF107" s="110"/>
      <c r="BG107" s="116"/>
      <c r="BH107" s="116"/>
      <c r="BI107" s="110"/>
      <c r="BJ107" s="110"/>
      <c r="BK107" s="117"/>
      <c r="BL107" s="113"/>
      <c r="BM107" s="113"/>
      <c r="BN107" s="113"/>
      <c r="BO107" s="113"/>
      <c r="BP107" s="118">
        <v>41675</v>
      </c>
      <c r="BQ107" s="118">
        <v>5241</v>
      </c>
      <c r="BR107" s="118" t="s">
        <v>366</v>
      </c>
      <c r="BS107" s="118" t="s">
        <v>366</v>
      </c>
    </row>
    <row r="108" spans="1:71" x14ac:dyDescent="0.25">
      <c r="A108" s="109">
        <v>44362</v>
      </c>
      <c r="B108" s="110">
        <v>112301</v>
      </c>
      <c r="C108" s="114">
        <v>135728</v>
      </c>
      <c r="D108" s="114">
        <v>120935</v>
      </c>
      <c r="E108" s="111">
        <f t="shared" si="0"/>
        <v>1.2086090061531063</v>
      </c>
      <c r="F108" s="111">
        <f t="shared" si="1"/>
        <v>1.0768826635559789</v>
      </c>
      <c r="G108" s="110">
        <v>911631</v>
      </c>
      <c r="H108" s="114">
        <v>595046</v>
      </c>
      <c r="I108" s="114">
        <v>535273</v>
      </c>
      <c r="J108" s="112">
        <f t="shared" si="2"/>
        <v>0.65272681600340487</v>
      </c>
      <c r="K108" s="112">
        <f t="shared" si="3"/>
        <v>0.58715971703463354</v>
      </c>
      <c r="L108" s="110">
        <v>1976757</v>
      </c>
      <c r="M108" s="114">
        <f t="shared" si="202"/>
        <v>2310799</v>
      </c>
      <c r="N108" s="114">
        <f t="shared" si="210"/>
        <v>1215119</v>
      </c>
      <c r="O108" s="111">
        <f t="shared" si="4"/>
        <v>1.1689848575216883</v>
      </c>
      <c r="P108" s="111">
        <f t="shared" si="5"/>
        <v>0.61470327409995262</v>
      </c>
      <c r="Q108" s="110">
        <v>3000689</v>
      </c>
      <c r="R108" s="110">
        <v>3041573</v>
      </c>
      <c r="S108" s="110">
        <v>1871327</v>
      </c>
      <c r="T108" s="113">
        <f t="shared" si="8"/>
        <v>1.0136248708213347</v>
      </c>
      <c r="U108" s="113">
        <f t="shared" si="9"/>
        <v>0.62363243908315724</v>
      </c>
      <c r="V108" s="110">
        <f t="shared" si="215"/>
        <v>75748</v>
      </c>
      <c r="W108" s="110"/>
      <c r="X108" s="110"/>
      <c r="Y108" s="110"/>
      <c r="Z108" s="110"/>
      <c r="AA108" s="113"/>
      <c r="AB108" s="113"/>
      <c r="AC108" s="110"/>
      <c r="AD108" s="110"/>
      <c r="AE108" s="110"/>
      <c r="AF108" s="113"/>
      <c r="AG108" s="113"/>
      <c r="AH108" s="110">
        <v>1468764</v>
      </c>
      <c r="AI108" s="114">
        <v>1531421</v>
      </c>
      <c r="AJ108" s="114">
        <v>1398335</v>
      </c>
      <c r="AK108" s="111">
        <f t="shared" si="10"/>
        <v>1.0426596784779583</v>
      </c>
      <c r="AL108" s="111">
        <f t="shared" si="11"/>
        <v>0.9520487974923133</v>
      </c>
      <c r="AM108" s="114">
        <v>21553118</v>
      </c>
      <c r="AN108" s="114">
        <v>3990171</v>
      </c>
      <c r="AO108" s="114">
        <v>2415398</v>
      </c>
      <c r="AP108" s="111">
        <f t="shared" si="12"/>
        <v>0.18513196095339896</v>
      </c>
      <c r="AQ108" s="111">
        <f t="shared" si="13"/>
        <v>0.11206721923018284</v>
      </c>
      <c r="AR108" s="110">
        <v>17327169</v>
      </c>
      <c r="AS108" s="114">
        <v>15299910</v>
      </c>
      <c r="AT108" s="114">
        <v>7867826</v>
      </c>
      <c r="AU108" s="111">
        <f t="shared" si="14"/>
        <v>0.8830011411558345</v>
      </c>
      <c r="AV108" s="111">
        <f t="shared" si="15"/>
        <v>0.45407452307990992</v>
      </c>
      <c r="AW108" s="115">
        <f t="shared" si="16"/>
        <v>40349051</v>
      </c>
      <c r="AX108" s="114">
        <f t="shared" ref="AX108:AY108" si="217">AI108+AN108+AS108</f>
        <v>20821502</v>
      </c>
      <c r="AY108" s="119">
        <f t="shared" si="217"/>
        <v>11681559</v>
      </c>
      <c r="AZ108" s="111">
        <f t="shared" si="18"/>
        <v>0.5160344911209932</v>
      </c>
      <c r="BA108" s="111">
        <f t="shared" si="19"/>
        <v>0.28951260836345322</v>
      </c>
      <c r="BB108" s="118">
        <f t="shared" si="153"/>
        <v>235243</v>
      </c>
      <c r="BC108" s="115"/>
      <c r="BD108" s="110"/>
      <c r="BE108" s="110"/>
      <c r="BF108" s="110"/>
      <c r="BG108" s="116"/>
      <c r="BH108" s="116"/>
      <c r="BI108" s="110"/>
      <c r="BJ108" s="110"/>
      <c r="BK108" s="117"/>
      <c r="BL108" s="113"/>
      <c r="BM108" s="113"/>
      <c r="BN108" s="113"/>
      <c r="BO108" s="113"/>
      <c r="BP108" s="118">
        <v>42573</v>
      </c>
      <c r="BQ108" s="118">
        <v>6093</v>
      </c>
      <c r="BR108" s="118" t="s">
        <v>366</v>
      </c>
      <c r="BS108" s="118" t="s">
        <v>366</v>
      </c>
    </row>
    <row r="109" spans="1:71" x14ac:dyDescent="0.25">
      <c r="A109" s="109">
        <v>44363</v>
      </c>
      <c r="B109" s="110">
        <v>112301</v>
      </c>
      <c r="C109" s="114">
        <v>135728</v>
      </c>
      <c r="D109" s="114">
        <v>120935</v>
      </c>
      <c r="E109" s="111">
        <f t="shared" si="0"/>
        <v>1.2086090061531063</v>
      </c>
      <c r="F109" s="111">
        <f t="shared" si="1"/>
        <v>1.0768826635559789</v>
      </c>
      <c r="G109" s="110">
        <v>911631</v>
      </c>
      <c r="H109" s="114">
        <v>595046</v>
      </c>
      <c r="I109" s="114">
        <v>535273</v>
      </c>
      <c r="J109" s="112">
        <f t="shared" si="2"/>
        <v>0.65272681600340487</v>
      </c>
      <c r="K109" s="112">
        <f t="shared" si="3"/>
        <v>0.58715971703463354</v>
      </c>
      <c r="L109" s="110">
        <v>1976757</v>
      </c>
      <c r="M109" s="114">
        <f t="shared" si="202"/>
        <v>2400877</v>
      </c>
      <c r="N109" s="114">
        <f t="shared" si="210"/>
        <v>1218963</v>
      </c>
      <c r="O109" s="111">
        <f t="shared" si="4"/>
        <v>1.214553432718336</v>
      </c>
      <c r="P109" s="111">
        <f t="shared" si="5"/>
        <v>0.61664787325908044</v>
      </c>
      <c r="Q109" s="110">
        <v>3000689</v>
      </c>
      <c r="R109" s="110">
        <v>3131651</v>
      </c>
      <c r="S109" s="110">
        <v>1875171</v>
      </c>
      <c r="T109" s="113">
        <f t="shared" si="8"/>
        <v>1.0436439764334124</v>
      </c>
      <c r="U109" s="113">
        <f t="shared" si="9"/>
        <v>0.62491347820450571</v>
      </c>
      <c r="V109" s="110">
        <f t="shared" si="215"/>
        <v>90078</v>
      </c>
      <c r="W109" s="110"/>
      <c r="X109" s="110"/>
      <c r="Y109" s="110"/>
      <c r="Z109" s="110"/>
      <c r="AA109" s="113"/>
      <c r="AB109" s="113"/>
      <c r="AC109" s="110"/>
      <c r="AD109" s="110"/>
      <c r="AE109" s="110"/>
      <c r="AF109" s="113"/>
      <c r="AG109" s="113"/>
      <c r="AH109" s="110">
        <v>1468764</v>
      </c>
      <c r="AI109" s="114">
        <v>1533279</v>
      </c>
      <c r="AJ109" s="114">
        <v>1400082</v>
      </c>
      <c r="AK109" s="111">
        <f t="shared" si="10"/>
        <v>1.043924687696594</v>
      </c>
      <c r="AL109" s="111">
        <f t="shared" si="11"/>
        <v>0.95323823296322618</v>
      </c>
      <c r="AM109" s="114">
        <v>21553118</v>
      </c>
      <c r="AN109" s="114">
        <v>4096794</v>
      </c>
      <c r="AO109" s="114">
        <v>2450278</v>
      </c>
      <c r="AP109" s="111">
        <f t="shared" si="12"/>
        <v>0.19007894820600899</v>
      </c>
      <c r="AQ109" s="111">
        <f t="shared" si="13"/>
        <v>0.11368554656453883</v>
      </c>
      <c r="AR109" s="110">
        <v>17327169</v>
      </c>
      <c r="AS109" s="114">
        <v>15989147</v>
      </c>
      <c r="AT109" s="114">
        <v>7989034</v>
      </c>
      <c r="AU109" s="111">
        <f t="shared" si="14"/>
        <v>0.92277896060227727</v>
      </c>
      <c r="AV109" s="111">
        <f t="shared" si="15"/>
        <v>0.46106978006620702</v>
      </c>
      <c r="AW109" s="115">
        <f t="shared" si="16"/>
        <v>40349051</v>
      </c>
      <c r="AX109" s="114">
        <f t="shared" ref="AX109:AY109" si="218">AI109+AN109+AS109</f>
        <v>21619220</v>
      </c>
      <c r="AY109" s="119">
        <f t="shared" si="218"/>
        <v>11839394</v>
      </c>
      <c r="AZ109" s="111">
        <f t="shared" si="18"/>
        <v>0.53580491893105486</v>
      </c>
      <c r="BA109" s="111">
        <f t="shared" si="19"/>
        <v>0.29342434844378373</v>
      </c>
      <c r="BB109" s="118">
        <f t="shared" si="153"/>
        <v>797718</v>
      </c>
      <c r="BC109" s="115"/>
      <c r="BD109" s="110"/>
      <c r="BE109" s="110"/>
      <c r="BF109" s="110"/>
      <c r="BG109" s="116"/>
      <c r="BH109" s="116"/>
      <c r="BI109" s="110"/>
      <c r="BJ109" s="110"/>
      <c r="BK109" s="117"/>
      <c r="BL109" s="113"/>
      <c r="BM109" s="113"/>
      <c r="BN109" s="113"/>
      <c r="BO109" s="113"/>
      <c r="BP109" s="118">
        <v>42574</v>
      </c>
      <c r="BQ109" s="118">
        <v>6094</v>
      </c>
      <c r="BR109" s="118" t="s">
        <v>366</v>
      </c>
      <c r="BS109" s="118" t="s">
        <v>366</v>
      </c>
    </row>
    <row r="110" spans="1:71" x14ac:dyDescent="0.25">
      <c r="A110" s="109">
        <v>44364</v>
      </c>
      <c r="B110" s="110">
        <v>112301</v>
      </c>
      <c r="C110" s="114">
        <v>135728</v>
      </c>
      <c r="D110" s="114">
        <v>120935</v>
      </c>
      <c r="E110" s="111">
        <f t="shared" si="0"/>
        <v>1.2086090061531063</v>
      </c>
      <c r="F110" s="111">
        <f t="shared" si="1"/>
        <v>1.0768826635559789</v>
      </c>
      <c r="G110" s="110">
        <v>911631</v>
      </c>
      <c r="H110" s="114">
        <v>595046</v>
      </c>
      <c r="I110" s="114">
        <v>535273</v>
      </c>
      <c r="J110" s="112">
        <f t="shared" si="2"/>
        <v>0.65272681600340487</v>
      </c>
      <c r="K110" s="112">
        <f t="shared" si="3"/>
        <v>0.58715971703463354</v>
      </c>
      <c r="L110" s="110">
        <v>1976757</v>
      </c>
      <c r="M110" s="114">
        <f t="shared" si="202"/>
        <v>2400877</v>
      </c>
      <c r="N110" s="114">
        <f t="shared" si="210"/>
        <v>1218963</v>
      </c>
      <c r="O110" s="111">
        <f t="shared" si="4"/>
        <v>1.214553432718336</v>
      </c>
      <c r="P110" s="111">
        <f t="shared" si="5"/>
        <v>0.61664787325908044</v>
      </c>
      <c r="Q110" s="110">
        <v>3000689</v>
      </c>
      <c r="R110" s="110">
        <v>3131651</v>
      </c>
      <c r="S110" s="110">
        <v>1875171</v>
      </c>
      <c r="T110" s="113">
        <f t="shared" si="8"/>
        <v>1.0436439764334124</v>
      </c>
      <c r="U110" s="113">
        <f t="shared" si="9"/>
        <v>0.62491347820450571</v>
      </c>
      <c r="V110" s="110">
        <f t="shared" si="215"/>
        <v>0</v>
      </c>
      <c r="W110" s="110"/>
      <c r="X110" s="110"/>
      <c r="Y110" s="110"/>
      <c r="Z110" s="110"/>
      <c r="AA110" s="113"/>
      <c r="AB110" s="113"/>
      <c r="AC110" s="110"/>
      <c r="AD110" s="110"/>
      <c r="AE110" s="110"/>
      <c r="AF110" s="113"/>
      <c r="AG110" s="113"/>
      <c r="AH110" s="110">
        <v>1468764</v>
      </c>
      <c r="AI110" s="114">
        <v>1533279</v>
      </c>
      <c r="AJ110" s="114">
        <v>1400082</v>
      </c>
      <c r="AK110" s="111">
        <f t="shared" si="10"/>
        <v>1.043924687696594</v>
      </c>
      <c r="AL110" s="111">
        <f t="shared" si="11"/>
        <v>0.95323823296322618</v>
      </c>
      <c r="AM110" s="114">
        <v>21553118</v>
      </c>
      <c r="AN110" s="114">
        <v>4096794</v>
      </c>
      <c r="AO110" s="114">
        <v>2450278</v>
      </c>
      <c r="AP110" s="111">
        <f t="shared" si="12"/>
        <v>0.19007894820600899</v>
      </c>
      <c r="AQ110" s="111">
        <f t="shared" si="13"/>
        <v>0.11368554656453883</v>
      </c>
      <c r="AR110" s="110">
        <v>17327169</v>
      </c>
      <c r="AS110" s="114">
        <v>15989147</v>
      </c>
      <c r="AT110" s="114">
        <v>7989034</v>
      </c>
      <c r="AU110" s="111">
        <f t="shared" si="14"/>
        <v>0.92277896060227727</v>
      </c>
      <c r="AV110" s="111">
        <f t="shared" si="15"/>
        <v>0.46106978006620702</v>
      </c>
      <c r="AW110" s="115">
        <f t="shared" si="16"/>
        <v>40349051</v>
      </c>
      <c r="AX110" s="114">
        <f t="shared" ref="AX110:AY110" si="219">AI110+AN110+AS110</f>
        <v>21619220</v>
      </c>
      <c r="AY110" s="119">
        <f t="shared" si="219"/>
        <v>11839394</v>
      </c>
      <c r="AZ110" s="111">
        <f t="shared" si="18"/>
        <v>0.53580491893105486</v>
      </c>
      <c r="BA110" s="111">
        <f t="shared" si="19"/>
        <v>0.29342434844378373</v>
      </c>
      <c r="BB110" s="118">
        <f t="shared" si="153"/>
        <v>0</v>
      </c>
      <c r="BC110" s="115"/>
      <c r="BD110" s="110"/>
      <c r="BE110" s="110"/>
      <c r="BF110" s="110"/>
      <c r="BG110" s="116"/>
      <c r="BH110" s="116"/>
      <c r="BI110" s="110"/>
      <c r="BJ110" s="110"/>
      <c r="BK110" s="117"/>
      <c r="BL110" s="113"/>
      <c r="BM110" s="113"/>
      <c r="BN110" s="113"/>
      <c r="BO110" s="113"/>
      <c r="BP110" s="118">
        <v>44273</v>
      </c>
      <c r="BQ110" s="118">
        <v>6902</v>
      </c>
      <c r="BR110" s="118" t="s">
        <v>366</v>
      </c>
      <c r="BS110" s="118" t="s">
        <v>366</v>
      </c>
    </row>
    <row r="111" spans="1:71" x14ac:dyDescent="0.25">
      <c r="A111" s="120">
        <v>44365</v>
      </c>
      <c r="B111" s="110">
        <v>112301</v>
      </c>
      <c r="C111" s="114">
        <v>135728</v>
      </c>
      <c r="D111" s="114">
        <v>120935</v>
      </c>
      <c r="E111" s="111">
        <f t="shared" si="0"/>
        <v>1.2086090061531063</v>
      </c>
      <c r="F111" s="111">
        <f t="shared" si="1"/>
        <v>1.0768826635559789</v>
      </c>
      <c r="G111" s="110">
        <v>911631</v>
      </c>
      <c r="H111" s="114">
        <v>595046</v>
      </c>
      <c r="I111" s="114">
        <v>535273</v>
      </c>
      <c r="J111" s="112">
        <f t="shared" si="2"/>
        <v>0.65272681600340487</v>
      </c>
      <c r="K111" s="112">
        <f t="shared" si="3"/>
        <v>0.58715971703463354</v>
      </c>
      <c r="L111" s="110">
        <v>1976757</v>
      </c>
      <c r="M111" s="114">
        <f t="shared" si="202"/>
        <v>2508477</v>
      </c>
      <c r="N111" s="114">
        <f t="shared" si="210"/>
        <v>1224789</v>
      </c>
      <c r="O111" s="111">
        <f t="shared" si="4"/>
        <v>1.2689860210435577</v>
      </c>
      <c r="P111" s="111">
        <f t="shared" si="5"/>
        <v>0.61959512474219136</v>
      </c>
      <c r="Q111" s="110">
        <v>8815157</v>
      </c>
      <c r="R111" s="110">
        <v>3239251</v>
      </c>
      <c r="S111" s="110">
        <v>1880997</v>
      </c>
      <c r="T111" s="113">
        <f t="shared" si="8"/>
        <v>0.36746378992455836</v>
      </c>
      <c r="U111" s="113">
        <f t="shared" si="9"/>
        <v>0.21338213261544858</v>
      </c>
      <c r="V111" s="110">
        <f t="shared" si="215"/>
        <v>107600</v>
      </c>
      <c r="W111" s="110">
        <f t="shared" ref="W111:W184" si="220">S111-S110</f>
        <v>5826</v>
      </c>
      <c r="X111" s="110">
        <f t="shared" ref="X111:Z111" si="221">Q111-G111</f>
        <v>7903526</v>
      </c>
      <c r="Y111" s="110">
        <f t="shared" si="221"/>
        <v>2644205</v>
      </c>
      <c r="Z111" s="110">
        <f t="shared" si="221"/>
        <v>1345724</v>
      </c>
      <c r="AA111" s="113">
        <f t="shared" ref="AA111:AA184" si="222">Y111/X111</f>
        <v>0.33456016972677766</v>
      </c>
      <c r="AB111" s="113">
        <f t="shared" ref="AB111:AB184" si="223">Z111/X111</f>
        <v>0.17026881419761256</v>
      </c>
      <c r="AC111" s="110"/>
      <c r="AD111" s="110"/>
      <c r="AE111" s="110"/>
      <c r="AF111" s="113"/>
      <c r="AG111" s="113"/>
      <c r="AH111" s="110">
        <v>1468764</v>
      </c>
      <c r="AI111" s="114">
        <v>1534051</v>
      </c>
      <c r="AJ111" s="114">
        <v>1400958</v>
      </c>
      <c r="AK111" s="111">
        <f t="shared" si="10"/>
        <v>1.0444502997077816</v>
      </c>
      <c r="AL111" s="111">
        <f t="shared" si="11"/>
        <v>0.95383465281011792</v>
      </c>
      <c r="AM111" s="114">
        <v>21553118</v>
      </c>
      <c r="AN111" s="114">
        <v>4135697</v>
      </c>
      <c r="AO111" s="114">
        <v>2472797</v>
      </c>
      <c r="AP111" s="111">
        <f t="shared" si="12"/>
        <v>0.19188393066840723</v>
      </c>
      <c r="AQ111" s="111">
        <f t="shared" si="13"/>
        <v>0.11473036059098271</v>
      </c>
      <c r="AR111" s="110">
        <v>17327169</v>
      </c>
      <c r="AS111" s="114">
        <v>16238687</v>
      </c>
      <c r="AT111" s="114">
        <v>8067317</v>
      </c>
      <c r="AU111" s="111">
        <f t="shared" si="14"/>
        <v>0.93718062079269848</v>
      </c>
      <c r="AV111" s="111">
        <f t="shared" si="15"/>
        <v>0.46558771372288227</v>
      </c>
      <c r="AW111" s="110">
        <v>181554465</v>
      </c>
      <c r="AX111" s="114">
        <f t="shared" ref="AX111:AY111" si="224">AI111+AN111+AS111</f>
        <v>21908435</v>
      </c>
      <c r="AY111" s="119">
        <f t="shared" si="224"/>
        <v>11941072</v>
      </c>
      <c r="AZ111" s="111">
        <f t="shared" si="18"/>
        <v>0.12067141945531332</v>
      </c>
      <c r="BA111" s="111">
        <f t="shared" si="19"/>
        <v>6.5771293479342408E-2</v>
      </c>
      <c r="BB111" s="115">
        <f t="shared" ref="BB111:BC111" si="225">AX111-AX110</f>
        <v>289215</v>
      </c>
      <c r="BC111" s="115">
        <f t="shared" si="225"/>
        <v>101678</v>
      </c>
      <c r="BD111" s="110">
        <f t="shared" ref="BD111:BF111" si="226">AW111-AM111</f>
        <v>160001347</v>
      </c>
      <c r="BE111" s="110">
        <f t="shared" si="226"/>
        <v>17772738</v>
      </c>
      <c r="BF111" s="110">
        <f t="shared" si="226"/>
        <v>9468275</v>
      </c>
      <c r="BG111" s="113">
        <f t="shared" ref="BG111:BG184" si="227">BE111/BD111</f>
        <v>0.11107867735638501</v>
      </c>
      <c r="BH111" s="113">
        <f t="shared" ref="BH111:BH184" si="228">BF111/BD111</f>
        <v>5.9176220560193157E-2</v>
      </c>
      <c r="BI111" s="110"/>
      <c r="BJ111" s="110"/>
      <c r="BK111" s="117"/>
      <c r="BL111" s="113"/>
      <c r="BM111" s="113"/>
      <c r="BN111" s="113">
        <f t="shared" ref="BN111:BO111" si="229">V111/BB111</f>
        <v>0.3720415607765849</v>
      </c>
      <c r="BO111" s="113">
        <f t="shared" si="229"/>
        <v>5.7298530655599048E-2</v>
      </c>
      <c r="BP111" s="118">
        <v>46121</v>
      </c>
      <c r="BQ111" s="118">
        <v>8128</v>
      </c>
      <c r="BR111" s="118" t="s">
        <v>366</v>
      </c>
      <c r="BS111" s="118" t="s">
        <v>366</v>
      </c>
    </row>
    <row r="112" spans="1:71" x14ac:dyDescent="0.25">
      <c r="A112" s="109">
        <v>44366</v>
      </c>
      <c r="B112" s="110">
        <v>112301</v>
      </c>
      <c r="C112" s="114">
        <v>135728</v>
      </c>
      <c r="D112" s="114">
        <v>120935</v>
      </c>
      <c r="E112" s="111">
        <f t="shared" si="0"/>
        <v>1.2086090061531063</v>
      </c>
      <c r="F112" s="111">
        <f t="shared" si="1"/>
        <v>1.0768826635559789</v>
      </c>
      <c r="G112" s="110">
        <v>911631</v>
      </c>
      <c r="H112" s="114">
        <v>595046</v>
      </c>
      <c r="I112" s="114">
        <v>535273</v>
      </c>
      <c r="J112" s="112">
        <f t="shared" si="2"/>
        <v>0.65272681600340487</v>
      </c>
      <c r="K112" s="112">
        <f t="shared" si="3"/>
        <v>0.58715971703463354</v>
      </c>
      <c r="L112" s="110">
        <v>1976757</v>
      </c>
      <c r="M112" s="114">
        <f t="shared" si="202"/>
        <v>2613480</v>
      </c>
      <c r="N112" s="114">
        <f t="shared" si="210"/>
        <v>1230115</v>
      </c>
      <c r="O112" s="111">
        <f t="shared" si="4"/>
        <v>1.3221048414144987</v>
      </c>
      <c r="P112" s="111">
        <f t="shared" si="5"/>
        <v>0.62228943668847514</v>
      </c>
      <c r="Q112" s="110">
        <v>8815157</v>
      </c>
      <c r="R112" s="110">
        <v>3344254</v>
      </c>
      <c r="S112" s="110">
        <v>1886323</v>
      </c>
      <c r="T112" s="113">
        <f t="shared" si="8"/>
        <v>0.3793754325646157</v>
      </c>
      <c r="U112" s="113">
        <f t="shared" si="9"/>
        <v>0.2139863192453634</v>
      </c>
      <c r="V112" s="110">
        <f t="shared" si="215"/>
        <v>105003</v>
      </c>
      <c r="W112" s="110">
        <f t="shared" si="220"/>
        <v>5326</v>
      </c>
      <c r="X112" s="110">
        <f t="shared" ref="X112:Z112" si="230">Q112-G112</f>
        <v>7903526</v>
      </c>
      <c r="Y112" s="110">
        <f t="shared" si="230"/>
        <v>2749208</v>
      </c>
      <c r="Z112" s="110">
        <f t="shared" si="230"/>
        <v>1351050</v>
      </c>
      <c r="AA112" s="113">
        <f t="shared" si="222"/>
        <v>0.34784575896884506</v>
      </c>
      <c r="AB112" s="113">
        <f t="shared" si="223"/>
        <v>0.17094269064212606</v>
      </c>
      <c r="AC112" s="110"/>
      <c r="AD112" s="110"/>
      <c r="AE112" s="110"/>
      <c r="AF112" s="113"/>
      <c r="AG112" s="113"/>
      <c r="AH112" s="110">
        <v>1468764</v>
      </c>
      <c r="AI112" s="114">
        <v>1535289</v>
      </c>
      <c r="AJ112" s="114">
        <v>1402181</v>
      </c>
      <c r="AK112" s="111">
        <f t="shared" si="10"/>
        <v>1.0452931852904892</v>
      </c>
      <c r="AL112" s="111">
        <f t="shared" si="11"/>
        <v>0.95466732572421442</v>
      </c>
      <c r="AM112" s="114">
        <v>21553118</v>
      </c>
      <c r="AN112" s="114">
        <v>4187449</v>
      </c>
      <c r="AO112" s="114">
        <v>2502835</v>
      </c>
      <c r="AP112" s="111">
        <f t="shared" si="12"/>
        <v>0.19428506817435881</v>
      </c>
      <c r="AQ112" s="111">
        <f t="shared" si="13"/>
        <v>0.11612403365489857</v>
      </c>
      <c r="AR112" s="110">
        <v>17327169</v>
      </c>
      <c r="AS112" s="114">
        <v>16638134</v>
      </c>
      <c r="AT112" s="114">
        <v>8165715</v>
      </c>
      <c r="AU112" s="111">
        <f t="shared" si="14"/>
        <v>0.96023383854569666</v>
      </c>
      <c r="AV112" s="111">
        <f t="shared" si="15"/>
        <v>0.47126654100274545</v>
      </c>
      <c r="AW112" s="110">
        <v>181554465</v>
      </c>
      <c r="AX112" s="114">
        <f t="shared" ref="AX112:AY112" si="231">AI112+AN112+AS112</f>
        <v>22360872</v>
      </c>
      <c r="AY112" s="119">
        <f t="shared" si="231"/>
        <v>12070731</v>
      </c>
      <c r="AZ112" s="111">
        <f t="shared" si="18"/>
        <v>0.12316343748417313</v>
      </c>
      <c r="BA112" s="111">
        <f t="shared" si="19"/>
        <v>6.6485453827863722E-2</v>
      </c>
      <c r="BB112" s="115">
        <f t="shared" ref="BB112:BC112" si="232">AX112-AX111</f>
        <v>452437</v>
      </c>
      <c r="BC112" s="115">
        <f t="shared" si="232"/>
        <v>129659</v>
      </c>
      <c r="BD112" s="110">
        <f t="shared" ref="BD112:BF112" si="233">AW112-AM112</f>
        <v>160001347</v>
      </c>
      <c r="BE112" s="110">
        <f t="shared" si="233"/>
        <v>18173423</v>
      </c>
      <c r="BF112" s="110">
        <f t="shared" si="233"/>
        <v>9567896</v>
      </c>
      <c r="BG112" s="113">
        <f t="shared" si="227"/>
        <v>0.11358293752364472</v>
      </c>
      <c r="BH112" s="113">
        <f t="shared" si="228"/>
        <v>5.9798846568460455E-2</v>
      </c>
      <c r="BI112" s="110"/>
      <c r="BJ112" s="110"/>
      <c r="BK112" s="117"/>
      <c r="BL112" s="113"/>
      <c r="BM112" s="113"/>
      <c r="BN112" s="113">
        <f t="shared" ref="BN112:BO112" si="234">V112/BB112</f>
        <v>0.23208314085718013</v>
      </c>
      <c r="BO112" s="113">
        <f t="shared" si="234"/>
        <v>4.1076978844507513E-2</v>
      </c>
      <c r="BP112" s="118">
        <v>48936</v>
      </c>
      <c r="BQ112" s="118">
        <v>11200</v>
      </c>
      <c r="BR112" s="118" t="s">
        <v>366</v>
      </c>
      <c r="BS112" s="118" t="s">
        <v>366</v>
      </c>
    </row>
    <row r="113" spans="1:71" x14ac:dyDescent="0.25">
      <c r="A113" s="109">
        <v>44367</v>
      </c>
      <c r="B113" s="121">
        <v>112301</v>
      </c>
      <c r="C113" s="122">
        <v>135728</v>
      </c>
      <c r="D113" s="122">
        <v>121377</v>
      </c>
      <c r="E113" s="111">
        <f t="shared" si="0"/>
        <v>1.2086090061531063</v>
      </c>
      <c r="F113" s="111">
        <f t="shared" si="1"/>
        <v>1.0808185145279205</v>
      </c>
      <c r="G113" s="121">
        <v>911631</v>
      </c>
      <c r="H113" s="122">
        <v>595654</v>
      </c>
      <c r="I113" s="122">
        <v>535273</v>
      </c>
      <c r="J113" s="112">
        <f t="shared" si="2"/>
        <v>0.65339375251609477</v>
      </c>
      <c r="K113" s="112">
        <f t="shared" si="3"/>
        <v>0.58715971703463354</v>
      </c>
      <c r="L113" s="121">
        <v>1976757</v>
      </c>
      <c r="M113" s="114">
        <f t="shared" si="202"/>
        <v>2653322</v>
      </c>
      <c r="N113" s="114">
        <f t="shared" si="210"/>
        <v>1230107</v>
      </c>
      <c r="O113" s="111">
        <f t="shared" si="4"/>
        <v>1.3422600754670402</v>
      </c>
      <c r="P113" s="111">
        <f t="shared" si="5"/>
        <v>0.62228538965588587</v>
      </c>
      <c r="Q113" s="121">
        <v>8815157</v>
      </c>
      <c r="R113" s="121">
        <v>3384704</v>
      </c>
      <c r="S113" s="121">
        <v>1886757</v>
      </c>
      <c r="T113" s="113">
        <f t="shared" si="8"/>
        <v>0.38396411998107349</v>
      </c>
      <c r="U113" s="113">
        <f t="shared" si="9"/>
        <v>0.21403555262827423</v>
      </c>
      <c r="V113" s="110">
        <f t="shared" si="215"/>
        <v>40450</v>
      </c>
      <c r="W113" s="110">
        <f t="shared" si="220"/>
        <v>434</v>
      </c>
      <c r="X113" s="110">
        <f t="shared" ref="X113:Z113" si="235">Q113-G113</f>
        <v>7903526</v>
      </c>
      <c r="Y113" s="110">
        <f t="shared" si="235"/>
        <v>2789050</v>
      </c>
      <c r="Z113" s="110">
        <f t="shared" si="235"/>
        <v>1351484</v>
      </c>
      <c r="AA113" s="113">
        <f t="shared" si="222"/>
        <v>0.3528868001446443</v>
      </c>
      <c r="AB113" s="113">
        <f t="shared" si="223"/>
        <v>0.17099760284207327</v>
      </c>
      <c r="AC113" s="121"/>
      <c r="AD113" s="121"/>
      <c r="AE113" s="121"/>
      <c r="AF113" s="123"/>
      <c r="AG113" s="123"/>
      <c r="AH113" s="121">
        <v>1468764</v>
      </c>
      <c r="AI113" s="122">
        <v>1536674</v>
      </c>
      <c r="AJ113" s="122">
        <v>1403648</v>
      </c>
      <c r="AK113" s="123">
        <v>1.046</v>
      </c>
      <c r="AL113" s="123">
        <v>0.95599999999999996</v>
      </c>
      <c r="AM113" s="122">
        <v>21553118</v>
      </c>
      <c r="AN113" s="122">
        <v>4241449</v>
      </c>
      <c r="AO113" s="122">
        <v>2535874</v>
      </c>
      <c r="AP113" s="123">
        <v>0.19700000000000001</v>
      </c>
      <c r="AQ113" s="123">
        <v>0.11799999999999999</v>
      </c>
      <c r="AR113" s="121">
        <v>17327169</v>
      </c>
      <c r="AS113" s="122">
        <v>17120152</v>
      </c>
      <c r="AT113" s="122">
        <v>8263216</v>
      </c>
      <c r="AU113" s="123">
        <v>0.98799999999999999</v>
      </c>
      <c r="AV113" s="123">
        <v>0.47699999999999998</v>
      </c>
      <c r="AW113" s="121">
        <v>181554465</v>
      </c>
      <c r="AX113" s="114">
        <f t="shared" ref="AX113:AY113" si="236">AI113+AN113+AS113</f>
        <v>22898275</v>
      </c>
      <c r="AY113" s="119">
        <f t="shared" si="236"/>
        <v>12202738</v>
      </c>
      <c r="AZ113" s="111">
        <f t="shared" si="18"/>
        <v>0.12612344730822236</v>
      </c>
      <c r="BA113" s="111">
        <f t="shared" si="19"/>
        <v>6.7212546934607195E-2</v>
      </c>
      <c r="BB113" s="115">
        <f t="shared" ref="BB113:BC113" si="237">AX113-AX112</f>
        <v>537403</v>
      </c>
      <c r="BC113" s="115">
        <f t="shared" si="237"/>
        <v>132007</v>
      </c>
      <c r="BD113" s="110">
        <f t="shared" ref="BD113:BF113" si="238">AW113-AM113</f>
        <v>160001347</v>
      </c>
      <c r="BE113" s="110">
        <f t="shared" si="238"/>
        <v>18656826</v>
      </c>
      <c r="BF113" s="110">
        <f t="shared" si="238"/>
        <v>9666864</v>
      </c>
      <c r="BG113" s="113">
        <f t="shared" si="227"/>
        <v>0.11660418083855256</v>
      </c>
      <c r="BH113" s="113">
        <f t="shared" si="228"/>
        <v>6.0417391361086481E-2</v>
      </c>
      <c r="BI113" s="110"/>
      <c r="BJ113" s="110"/>
      <c r="BK113" s="117"/>
      <c r="BL113" s="113"/>
      <c r="BM113" s="113"/>
      <c r="BN113" s="113">
        <f t="shared" ref="BN113:BO113" si="239">V113/BB113</f>
        <v>7.5269397454052173E-2</v>
      </c>
      <c r="BO113" s="113">
        <f t="shared" si="239"/>
        <v>3.2877044399160652E-3</v>
      </c>
      <c r="BP113" s="124">
        <v>51827</v>
      </c>
      <c r="BQ113" s="124">
        <v>11313</v>
      </c>
      <c r="BR113" s="124" t="s">
        <v>366</v>
      </c>
      <c r="BS113" s="124" t="s">
        <v>366</v>
      </c>
    </row>
    <row r="114" spans="1:71" x14ac:dyDescent="0.25">
      <c r="A114" s="109">
        <v>44368</v>
      </c>
      <c r="B114" s="121">
        <v>112301</v>
      </c>
      <c r="C114" s="122">
        <v>135728</v>
      </c>
      <c r="D114" s="122">
        <v>121377</v>
      </c>
      <c r="E114" s="111">
        <f t="shared" si="0"/>
        <v>1.2086090061531063</v>
      </c>
      <c r="F114" s="111">
        <f t="shared" si="1"/>
        <v>1.0808185145279205</v>
      </c>
      <c r="G114" s="121">
        <v>911631</v>
      </c>
      <c r="H114" s="122">
        <v>595654</v>
      </c>
      <c r="I114" s="122">
        <v>535273</v>
      </c>
      <c r="J114" s="112">
        <f t="shared" si="2"/>
        <v>0.65339375251609477</v>
      </c>
      <c r="K114" s="112">
        <f t="shared" si="3"/>
        <v>0.58715971703463354</v>
      </c>
      <c r="L114" s="121">
        <v>1976757</v>
      </c>
      <c r="M114" s="114">
        <f t="shared" si="202"/>
        <v>2668463</v>
      </c>
      <c r="N114" s="114">
        <f t="shared" si="210"/>
        <v>1230605</v>
      </c>
      <c r="O114" s="111">
        <f t="shared" si="4"/>
        <v>1.3499195905212427</v>
      </c>
      <c r="P114" s="111">
        <f t="shared" si="5"/>
        <v>0.62253731743456575</v>
      </c>
      <c r="Q114" s="121">
        <v>8815157</v>
      </c>
      <c r="R114" s="121">
        <v>3399845</v>
      </c>
      <c r="S114" s="121">
        <v>1887255</v>
      </c>
      <c r="T114" s="113">
        <f t="shared" si="8"/>
        <v>0.38568172977520421</v>
      </c>
      <c r="U114" s="113">
        <f t="shared" si="9"/>
        <v>0.21409204623354977</v>
      </c>
      <c r="V114" s="110">
        <f t="shared" si="215"/>
        <v>15141</v>
      </c>
      <c r="W114" s="110">
        <f t="shared" si="220"/>
        <v>498</v>
      </c>
      <c r="X114" s="110">
        <f t="shared" ref="X114:Z114" si="240">Q114-G114</f>
        <v>7903526</v>
      </c>
      <c r="Y114" s="110">
        <f t="shared" si="240"/>
        <v>2804191</v>
      </c>
      <c r="Z114" s="110">
        <f t="shared" si="240"/>
        <v>1351982</v>
      </c>
      <c r="AA114" s="113">
        <f t="shared" si="222"/>
        <v>0.3548025273782866</v>
      </c>
      <c r="AB114" s="113">
        <f t="shared" si="223"/>
        <v>0.1710606126936256</v>
      </c>
      <c r="AC114" s="121"/>
      <c r="AD114" s="121"/>
      <c r="AE114" s="121"/>
      <c r="AF114" s="123"/>
      <c r="AG114" s="123"/>
      <c r="AH114" s="121">
        <v>1468764</v>
      </c>
      <c r="AI114" s="122">
        <v>1536746</v>
      </c>
      <c r="AJ114" s="122">
        <v>1403741</v>
      </c>
      <c r="AK114" s="123">
        <v>1.046</v>
      </c>
      <c r="AL114" s="123">
        <v>0.95599999999999996</v>
      </c>
      <c r="AM114" s="122">
        <v>21553118</v>
      </c>
      <c r="AN114" s="122">
        <v>4244166</v>
      </c>
      <c r="AO114" s="122">
        <v>2536966</v>
      </c>
      <c r="AP114" s="123">
        <v>0.19700000000000001</v>
      </c>
      <c r="AQ114" s="123">
        <v>0.11799999999999999</v>
      </c>
      <c r="AR114" s="121">
        <v>17327169</v>
      </c>
      <c r="AS114" s="122">
        <v>17159788</v>
      </c>
      <c r="AT114" s="122">
        <v>8267637</v>
      </c>
      <c r="AU114" s="123">
        <v>0.98799999999999999</v>
      </c>
      <c r="AV114" s="123">
        <v>0.47699999999999998</v>
      </c>
      <c r="AW114" s="121">
        <v>181554465</v>
      </c>
      <c r="AX114" s="114">
        <f t="shared" ref="AX114:AY114" si="241">AI114+AN114+AS114</f>
        <v>22940700</v>
      </c>
      <c r="AY114" s="119">
        <f t="shared" si="241"/>
        <v>12208344</v>
      </c>
      <c r="AZ114" s="111">
        <f t="shared" si="18"/>
        <v>0.12635712374245381</v>
      </c>
      <c r="BA114" s="111">
        <f t="shared" si="19"/>
        <v>6.7243424721060971E-2</v>
      </c>
      <c r="BB114" s="115">
        <f t="shared" ref="BB114:BC114" si="242">AX114-AX113</f>
        <v>42425</v>
      </c>
      <c r="BC114" s="115">
        <f t="shared" si="242"/>
        <v>5606</v>
      </c>
      <c r="BD114" s="110">
        <f t="shared" ref="BD114:BF114" si="243">AW114-AM114</f>
        <v>160001347</v>
      </c>
      <c r="BE114" s="110">
        <f t="shared" si="243"/>
        <v>18696534</v>
      </c>
      <c r="BF114" s="110">
        <f t="shared" si="243"/>
        <v>9671378</v>
      </c>
      <c r="BG114" s="113">
        <f t="shared" si="227"/>
        <v>0.11685235374924688</v>
      </c>
      <c r="BH114" s="113">
        <f t="shared" si="228"/>
        <v>6.0445603623574491E-2</v>
      </c>
      <c r="BI114" s="110"/>
      <c r="BJ114" s="110"/>
      <c r="BK114" s="117"/>
      <c r="BL114" s="113"/>
      <c r="BM114" s="113"/>
      <c r="BN114" s="113">
        <f t="shared" ref="BN114:BO114" si="244">V114/BB114</f>
        <v>0.35688862698880375</v>
      </c>
      <c r="BO114" s="113">
        <f t="shared" si="244"/>
        <v>8.8833392793435606E-2</v>
      </c>
      <c r="BP114" s="124">
        <v>53397</v>
      </c>
      <c r="BQ114" s="124">
        <v>11735</v>
      </c>
      <c r="BR114" s="124" t="s">
        <v>366</v>
      </c>
      <c r="BS114" s="124" t="s">
        <v>366</v>
      </c>
    </row>
    <row r="115" spans="1:71" x14ac:dyDescent="0.25">
      <c r="A115" s="109">
        <v>44369</v>
      </c>
      <c r="B115" s="121">
        <v>112301</v>
      </c>
      <c r="C115" s="122">
        <v>135728</v>
      </c>
      <c r="D115" s="122">
        <v>121377</v>
      </c>
      <c r="E115" s="111">
        <f t="shared" si="0"/>
        <v>1.2086090061531063</v>
      </c>
      <c r="F115" s="111">
        <f t="shared" si="1"/>
        <v>1.0808185145279205</v>
      </c>
      <c r="G115" s="121">
        <v>911631</v>
      </c>
      <c r="H115" s="122">
        <v>595654</v>
      </c>
      <c r="I115" s="122">
        <v>535273</v>
      </c>
      <c r="J115" s="112">
        <f t="shared" si="2"/>
        <v>0.65339375251609477</v>
      </c>
      <c r="K115" s="112">
        <f t="shared" si="3"/>
        <v>0.58715971703463354</v>
      </c>
      <c r="L115" s="121">
        <v>1976757</v>
      </c>
      <c r="M115" s="114">
        <f t="shared" si="202"/>
        <v>2781630</v>
      </c>
      <c r="N115" s="114">
        <f t="shared" si="210"/>
        <v>1235008</v>
      </c>
      <c r="O115" s="111">
        <f t="shared" si="4"/>
        <v>1.4071684076494986</v>
      </c>
      <c r="P115" s="111">
        <f t="shared" si="5"/>
        <v>0.62476470299586651</v>
      </c>
      <c r="Q115" s="121">
        <v>8815157</v>
      </c>
      <c r="R115" s="121">
        <v>3513012</v>
      </c>
      <c r="S115" s="121">
        <v>1891658</v>
      </c>
      <c r="T115" s="113">
        <f t="shared" si="8"/>
        <v>0.39851950453066237</v>
      </c>
      <c r="U115" s="113">
        <f t="shared" si="9"/>
        <v>0.21459152684404828</v>
      </c>
      <c r="V115" s="110">
        <f t="shared" si="215"/>
        <v>113167</v>
      </c>
      <c r="W115" s="110">
        <f t="shared" si="220"/>
        <v>4403</v>
      </c>
      <c r="X115" s="110">
        <f t="shared" ref="X115:Z115" si="245">Q115-G115</f>
        <v>7903526</v>
      </c>
      <c r="Y115" s="110">
        <f t="shared" si="245"/>
        <v>2917358</v>
      </c>
      <c r="Z115" s="110">
        <f t="shared" si="245"/>
        <v>1356385</v>
      </c>
      <c r="AA115" s="113">
        <f t="shared" si="222"/>
        <v>0.36912107330323202</v>
      </c>
      <c r="AB115" s="113">
        <f t="shared" si="223"/>
        <v>0.17161770581889652</v>
      </c>
      <c r="AC115" s="121"/>
      <c r="AD115" s="121"/>
      <c r="AE115" s="121"/>
      <c r="AF115" s="123"/>
      <c r="AG115" s="123"/>
      <c r="AH115" s="121">
        <v>1468764</v>
      </c>
      <c r="AI115" s="122">
        <v>1537962</v>
      </c>
      <c r="AJ115" s="122">
        <v>1405320</v>
      </c>
      <c r="AK115" s="123">
        <v>1.046</v>
      </c>
      <c r="AL115" s="123">
        <v>0.95599999999999996</v>
      </c>
      <c r="AM115" s="122">
        <v>21553118</v>
      </c>
      <c r="AN115" s="122">
        <v>4297454</v>
      </c>
      <c r="AO115" s="122">
        <v>2566748</v>
      </c>
      <c r="AP115" s="123">
        <v>0.19700000000000001</v>
      </c>
      <c r="AQ115" s="123">
        <v>0.11799999999999999</v>
      </c>
      <c r="AR115" s="121">
        <v>17327169</v>
      </c>
      <c r="AS115" s="122">
        <v>17587982</v>
      </c>
      <c r="AT115" s="122">
        <v>8391162</v>
      </c>
      <c r="AU115" s="123">
        <v>0.98799999999999999</v>
      </c>
      <c r="AV115" s="123">
        <v>0.47699999999999998</v>
      </c>
      <c r="AW115" s="121">
        <v>181554465</v>
      </c>
      <c r="AX115" s="114">
        <f t="shared" ref="AX115:AY115" si="246">AI115+AN115+AS115</f>
        <v>23423398</v>
      </c>
      <c r="AY115" s="119">
        <f t="shared" si="246"/>
        <v>12363230</v>
      </c>
      <c r="AZ115" s="111">
        <f t="shared" si="18"/>
        <v>0.1290158190270892</v>
      </c>
      <c r="BA115" s="111">
        <f t="shared" si="19"/>
        <v>6.809653510862429E-2</v>
      </c>
      <c r="BB115" s="115">
        <f t="shared" ref="BB115:BC115" si="247">AX115-AX114</f>
        <v>482698</v>
      </c>
      <c r="BC115" s="115">
        <f t="shared" si="247"/>
        <v>154886</v>
      </c>
      <c r="BD115" s="110">
        <f t="shared" ref="BD115:BF115" si="248">AW115-AM115</f>
        <v>160001347</v>
      </c>
      <c r="BE115" s="110">
        <f t="shared" si="248"/>
        <v>19125944</v>
      </c>
      <c r="BF115" s="110">
        <f t="shared" si="248"/>
        <v>9796482</v>
      </c>
      <c r="BG115" s="113">
        <f t="shared" si="227"/>
        <v>0.1195361436550906</v>
      </c>
      <c r="BH115" s="113">
        <f t="shared" si="228"/>
        <v>6.1227497041009285E-2</v>
      </c>
      <c r="BI115" s="110"/>
      <c r="BJ115" s="110"/>
      <c r="BK115" s="117"/>
      <c r="BL115" s="113"/>
      <c r="BM115" s="113"/>
      <c r="BN115" s="113">
        <f t="shared" ref="BN115:BO115" si="249">V115/BB115</f>
        <v>0.23444679696207565</v>
      </c>
      <c r="BO115" s="113">
        <f t="shared" si="249"/>
        <v>2.8427359477292975E-2</v>
      </c>
      <c r="BP115" s="124">
        <v>53398</v>
      </c>
      <c r="BQ115" s="124">
        <v>11736</v>
      </c>
      <c r="BR115" s="124" t="s">
        <v>366</v>
      </c>
      <c r="BS115" s="124" t="s">
        <v>366</v>
      </c>
    </row>
    <row r="116" spans="1:71" x14ac:dyDescent="0.25">
      <c r="A116" s="109">
        <v>44370</v>
      </c>
      <c r="B116" s="121">
        <v>112301</v>
      </c>
      <c r="C116" s="122">
        <v>135728</v>
      </c>
      <c r="D116" s="122">
        <v>121377</v>
      </c>
      <c r="E116" s="111">
        <f t="shared" si="0"/>
        <v>1.2086090061531063</v>
      </c>
      <c r="F116" s="111">
        <f t="shared" si="1"/>
        <v>1.0808185145279205</v>
      </c>
      <c r="G116" s="121">
        <v>911631</v>
      </c>
      <c r="H116" s="122">
        <v>595654</v>
      </c>
      <c r="I116" s="122">
        <v>535273</v>
      </c>
      <c r="J116" s="112">
        <f t="shared" si="2"/>
        <v>0.65339375251609477</v>
      </c>
      <c r="K116" s="112">
        <f t="shared" si="3"/>
        <v>0.58715971703463354</v>
      </c>
      <c r="L116" s="121">
        <v>1976757</v>
      </c>
      <c r="M116" s="114">
        <f t="shared" si="202"/>
        <v>2861777</v>
      </c>
      <c r="N116" s="114">
        <f t="shared" si="210"/>
        <v>1238158</v>
      </c>
      <c r="O116" s="111">
        <f t="shared" si="4"/>
        <v>1.4477130977656838</v>
      </c>
      <c r="P116" s="111">
        <f t="shared" si="5"/>
        <v>0.62635822207787806</v>
      </c>
      <c r="Q116" s="121">
        <v>8815157</v>
      </c>
      <c r="R116" s="121">
        <v>3593159</v>
      </c>
      <c r="S116" s="121">
        <v>1894808</v>
      </c>
      <c r="T116" s="113">
        <f t="shared" si="8"/>
        <v>0.40761145830981799</v>
      </c>
      <c r="U116" s="113">
        <f t="shared" si="9"/>
        <v>0.2149488659135623</v>
      </c>
      <c r="V116" s="110">
        <f t="shared" si="215"/>
        <v>80147</v>
      </c>
      <c r="W116" s="110">
        <f t="shared" si="220"/>
        <v>3150</v>
      </c>
      <c r="X116" s="110">
        <f t="shared" ref="X116:Z116" si="250">Q116-G116</f>
        <v>7903526</v>
      </c>
      <c r="Y116" s="110">
        <f t="shared" si="250"/>
        <v>2997505</v>
      </c>
      <c r="Z116" s="110">
        <f t="shared" si="250"/>
        <v>1359535</v>
      </c>
      <c r="AA116" s="113">
        <f t="shared" si="222"/>
        <v>0.3792617371031613</v>
      </c>
      <c r="AB116" s="113">
        <f t="shared" si="223"/>
        <v>0.17201626210883597</v>
      </c>
      <c r="AC116" s="121"/>
      <c r="AD116" s="121"/>
      <c r="AE116" s="121"/>
      <c r="AF116" s="123"/>
      <c r="AG116" s="123"/>
      <c r="AH116" s="121">
        <v>1468764</v>
      </c>
      <c r="AI116" s="122">
        <v>1539429</v>
      </c>
      <c r="AJ116" s="122">
        <v>1407070</v>
      </c>
      <c r="AK116" s="123">
        <v>1.046</v>
      </c>
      <c r="AL116" s="123">
        <v>0.95599999999999996</v>
      </c>
      <c r="AM116" s="122">
        <v>21553118</v>
      </c>
      <c r="AN116" s="122">
        <v>4330129</v>
      </c>
      <c r="AO116" s="122">
        <v>2601206</v>
      </c>
      <c r="AP116" s="123">
        <v>0.19700000000000001</v>
      </c>
      <c r="AQ116" s="123">
        <v>0.11799999999999999</v>
      </c>
      <c r="AR116" s="121">
        <v>17327169</v>
      </c>
      <c r="AS116" s="122">
        <v>18017043</v>
      </c>
      <c r="AT116" s="122">
        <v>8537350</v>
      </c>
      <c r="AU116" s="123">
        <v>0.98799999999999999</v>
      </c>
      <c r="AV116" s="123">
        <v>0.47699999999999998</v>
      </c>
      <c r="AW116" s="121">
        <v>181554465</v>
      </c>
      <c r="AX116" s="114">
        <f t="shared" ref="AX116:AY116" si="251">AI116+AN116+AS116</f>
        <v>23886601</v>
      </c>
      <c r="AY116" s="119">
        <f t="shared" si="251"/>
        <v>12545626</v>
      </c>
      <c r="AZ116" s="111">
        <f t="shared" si="18"/>
        <v>0.13156713606575304</v>
      </c>
      <c r="BA116" s="111">
        <f t="shared" si="19"/>
        <v>6.9101170274165388E-2</v>
      </c>
      <c r="BB116" s="115">
        <f t="shared" ref="BB116:BC116" si="252">AX116-AX115</f>
        <v>463203</v>
      </c>
      <c r="BC116" s="115">
        <f t="shared" si="252"/>
        <v>182396</v>
      </c>
      <c r="BD116" s="110">
        <f t="shared" ref="BD116:BF116" si="253">AW116-AM116</f>
        <v>160001347</v>
      </c>
      <c r="BE116" s="110">
        <f t="shared" si="253"/>
        <v>19556472</v>
      </c>
      <c r="BF116" s="110">
        <f t="shared" si="253"/>
        <v>9944420</v>
      </c>
      <c r="BG116" s="113">
        <f t="shared" si="227"/>
        <v>0.12222692100210882</v>
      </c>
      <c r="BH116" s="113">
        <f t="shared" si="228"/>
        <v>6.215210175699333E-2</v>
      </c>
      <c r="BI116" s="110"/>
      <c r="BJ116" s="110"/>
      <c r="BK116" s="117"/>
      <c r="BL116" s="113"/>
      <c r="BM116" s="113"/>
      <c r="BN116" s="113">
        <f t="shared" ref="BN116:BO116" si="254">V116/BB116</f>
        <v>0.17302780854182723</v>
      </c>
      <c r="BO116" s="113">
        <f t="shared" si="254"/>
        <v>1.7270115572709927E-2</v>
      </c>
      <c r="BP116" s="124">
        <v>53399</v>
      </c>
      <c r="BQ116" s="124">
        <v>11737</v>
      </c>
      <c r="BR116" s="124" t="s">
        <v>366</v>
      </c>
      <c r="BS116" s="124" t="s">
        <v>366</v>
      </c>
    </row>
    <row r="117" spans="1:71" x14ac:dyDescent="0.25">
      <c r="A117" s="109">
        <v>44371</v>
      </c>
      <c r="B117" s="121">
        <v>112301</v>
      </c>
      <c r="C117" s="122">
        <v>135728</v>
      </c>
      <c r="D117" s="122">
        <v>121377</v>
      </c>
      <c r="E117" s="111">
        <f t="shared" si="0"/>
        <v>1.2086090061531063</v>
      </c>
      <c r="F117" s="111">
        <f t="shared" si="1"/>
        <v>1.0808185145279205</v>
      </c>
      <c r="G117" s="121">
        <v>911631</v>
      </c>
      <c r="H117" s="122">
        <v>595654</v>
      </c>
      <c r="I117" s="122">
        <v>535273</v>
      </c>
      <c r="J117" s="112">
        <f t="shared" si="2"/>
        <v>0.65339375251609477</v>
      </c>
      <c r="K117" s="112">
        <f t="shared" si="3"/>
        <v>0.58715971703463354</v>
      </c>
      <c r="L117" s="121">
        <v>1976757</v>
      </c>
      <c r="M117" s="114">
        <f t="shared" si="202"/>
        <v>3022069</v>
      </c>
      <c r="N117" s="114">
        <f t="shared" si="210"/>
        <v>1241917</v>
      </c>
      <c r="O117" s="111">
        <f t="shared" si="4"/>
        <v>1.528801466239907</v>
      </c>
      <c r="P117" s="111">
        <f t="shared" si="5"/>
        <v>0.62825982151574522</v>
      </c>
      <c r="Q117" s="121">
        <v>8815157</v>
      </c>
      <c r="R117" s="121">
        <v>3753451</v>
      </c>
      <c r="S117" s="121">
        <v>1898567</v>
      </c>
      <c r="T117" s="113">
        <f t="shared" si="8"/>
        <v>0.42579513898618027</v>
      </c>
      <c r="U117" s="113">
        <f t="shared" si="9"/>
        <v>0.21537529053651569</v>
      </c>
      <c r="V117" s="110">
        <f t="shared" si="215"/>
        <v>160292</v>
      </c>
      <c r="W117" s="110">
        <f t="shared" si="220"/>
        <v>3759</v>
      </c>
      <c r="X117" s="110">
        <f t="shared" ref="X117:Z117" si="255">Q117-G117</f>
        <v>7903526</v>
      </c>
      <c r="Y117" s="110">
        <f t="shared" si="255"/>
        <v>3157797</v>
      </c>
      <c r="Z117" s="110">
        <f t="shared" si="255"/>
        <v>1363294</v>
      </c>
      <c r="AA117" s="113">
        <f t="shared" si="222"/>
        <v>0.39954281165140726</v>
      </c>
      <c r="AB117" s="113">
        <f t="shared" si="223"/>
        <v>0.1724918726148304</v>
      </c>
      <c r="AC117" s="121"/>
      <c r="AD117" s="121"/>
      <c r="AE117" s="121"/>
      <c r="AF117" s="123"/>
      <c r="AG117" s="123"/>
      <c r="AH117" s="121">
        <v>1468764</v>
      </c>
      <c r="AI117" s="122">
        <v>1540826</v>
      </c>
      <c r="AJ117" s="122">
        <v>1408028</v>
      </c>
      <c r="AK117" s="123">
        <v>1.046</v>
      </c>
      <c r="AL117" s="123">
        <v>0.95599999999999996</v>
      </c>
      <c r="AM117" s="122">
        <v>21553118</v>
      </c>
      <c r="AN117" s="122">
        <v>4416377</v>
      </c>
      <c r="AO117" s="122">
        <v>2613878</v>
      </c>
      <c r="AP117" s="123">
        <v>0.19700000000000001</v>
      </c>
      <c r="AQ117" s="123">
        <v>0.11799999999999999</v>
      </c>
      <c r="AR117" s="121">
        <v>17327169</v>
      </c>
      <c r="AS117" s="122">
        <v>18590105</v>
      </c>
      <c r="AT117" s="122">
        <v>8610802</v>
      </c>
      <c r="AU117" s="123">
        <v>0.98799999999999999</v>
      </c>
      <c r="AV117" s="123">
        <v>0.47699999999999998</v>
      </c>
      <c r="AW117" s="121">
        <v>181554465</v>
      </c>
      <c r="AX117" s="114">
        <f t="shared" ref="AX117:AY117" si="256">AI117+AN117+AS117</f>
        <v>24547308</v>
      </c>
      <c r="AY117" s="119">
        <f t="shared" si="256"/>
        <v>12632708</v>
      </c>
      <c r="AZ117" s="111">
        <f t="shared" si="18"/>
        <v>0.1352063029680928</v>
      </c>
      <c r="BA117" s="111">
        <f t="shared" si="19"/>
        <v>6.9580816974123993E-2</v>
      </c>
      <c r="BB117" s="115">
        <f t="shared" ref="BB117:BC117" si="257">AX117-AX116</f>
        <v>660707</v>
      </c>
      <c r="BC117" s="115">
        <f t="shared" si="257"/>
        <v>87082</v>
      </c>
      <c r="BD117" s="110">
        <f t="shared" ref="BD117:BF117" si="258">AW117-AM117</f>
        <v>160001347</v>
      </c>
      <c r="BE117" s="110">
        <f t="shared" si="258"/>
        <v>20130931</v>
      </c>
      <c r="BF117" s="110">
        <f t="shared" si="258"/>
        <v>10018830</v>
      </c>
      <c r="BG117" s="113">
        <f t="shared" si="227"/>
        <v>0.12581725952594636</v>
      </c>
      <c r="BH117" s="113">
        <f t="shared" si="228"/>
        <v>6.2617160341781372E-2</v>
      </c>
      <c r="BI117" s="110"/>
      <c r="BJ117" s="110"/>
      <c r="BK117" s="117"/>
      <c r="BL117" s="113"/>
      <c r="BM117" s="113"/>
      <c r="BN117" s="113">
        <f t="shared" ref="BN117:BO117" si="259">V117/BB117</f>
        <v>0.24260678333966493</v>
      </c>
      <c r="BO117" s="113">
        <f t="shared" si="259"/>
        <v>4.3166211157300016E-2</v>
      </c>
      <c r="BP117" s="124">
        <v>64836</v>
      </c>
      <c r="BQ117" s="124">
        <v>16062</v>
      </c>
      <c r="BR117" s="124" t="s">
        <v>366</v>
      </c>
      <c r="BS117" s="124" t="s">
        <v>366</v>
      </c>
    </row>
    <row r="118" spans="1:71" x14ac:dyDescent="0.25">
      <c r="A118" s="109">
        <v>44372</v>
      </c>
      <c r="B118" s="121">
        <v>112301</v>
      </c>
      <c r="C118" s="122">
        <v>135728</v>
      </c>
      <c r="D118" s="122">
        <v>121377</v>
      </c>
      <c r="E118" s="111">
        <f t="shared" si="0"/>
        <v>1.2086090061531063</v>
      </c>
      <c r="F118" s="111">
        <f t="shared" si="1"/>
        <v>1.0808185145279205</v>
      </c>
      <c r="G118" s="121">
        <v>911631</v>
      </c>
      <c r="H118" s="122">
        <v>595654</v>
      </c>
      <c r="I118" s="122">
        <v>535273</v>
      </c>
      <c r="J118" s="112">
        <f t="shared" si="2"/>
        <v>0.65339375251609477</v>
      </c>
      <c r="K118" s="112">
        <f t="shared" si="3"/>
        <v>0.58715971703463354</v>
      </c>
      <c r="L118" s="121">
        <v>1976757</v>
      </c>
      <c r="M118" s="114">
        <f t="shared" si="202"/>
        <v>3152714</v>
      </c>
      <c r="N118" s="114">
        <f t="shared" si="210"/>
        <v>1245683</v>
      </c>
      <c r="O118" s="111">
        <f t="shared" si="4"/>
        <v>1.594892037817496</v>
      </c>
      <c r="P118" s="111">
        <f t="shared" si="5"/>
        <v>0.63016496210712802</v>
      </c>
      <c r="Q118" s="121">
        <v>8815157</v>
      </c>
      <c r="R118" s="121">
        <v>3884096</v>
      </c>
      <c r="S118" s="121">
        <v>1902333</v>
      </c>
      <c r="T118" s="113">
        <f t="shared" si="8"/>
        <v>0.44061563509305618</v>
      </c>
      <c r="U118" s="113">
        <f t="shared" si="9"/>
        <v>0.21580250924629021</v>
      </c>
      <c r="V118" s="110">
        <f t="shared" si="215"/>
        <v>130645</v>
      </c>
      <c r="W118" s="110">
        <f t="shared" si="220"/>
        <v>3766</v>
      </c>
      <c r="X118" s="110">
        <f t="shared" ref="X118:Z118" si="260">Q118-G118</f>
        <v>7903526</v>
      </c>
      <c r="Y118" s="110">
        <f t="shared" si="260"/>
        <v>3288442</v>
      </c>
      <c r="Z118" s="110">
        <f t="shared" si="260"/>
        <v>1367060</v>
      </c>
      <c r="AA118" s="113">
        <f t="shared" si="222"/>
        <v>0.4160727756193881</v>
      </c>
      <c r="AB118" s="113">
        <f t="shared" si="223"/>
        <v>0.17296836880146912</v>
      </c>
      <c r="AC118" s="121"/>
      <c r="AD118" s="121"/>
      <c r="AE118" s="121"/>
      <c r="AF118" s="123"/>
      <c r="AG118" s="123"/>
      <c r="AH118" s="121">
        <v>1468764</v>
      </c>
      <c r="AI118" s="122">
        <v>1543211</v>
      </c>
      <c r="AJ118" s="122">
        <v>1410448</v>
      </c>
      <c r="AK118" s="123">
        <v>1.046</v>
      </c>
      <c r="AL118" s="123">
        <v>0.95599999999999996</v>
      </c>
      <c r="AM118" s="122">
        <v>21553118</v>
      </c>
      <c r="AN118" s="122">
        <v>4491314</v>
      </c>
      <c r="AO118" s="122">
        <v>2658959</v>
      </c>
      <c r="AP118" s="123">
        <v>0.19700000000000001</v>
      </c>
      <c r="AQ118" s="123">
        <v>0.11799999999999999</v>
      </c>
      <c r="AR118" s="121">
        <v>17327169</v>
      </c>
      <c r="AS118" s="122">
        <v>19321558</v>
      </c>
      <c r="AT118" s="122">
        <v>8799473</v>
      </c>
      <c r="AU118" s="123">
        <v>0.98799999999999999</v>
      </c>
      <c r="AV118" s="123">
        <v>0.47699999999999998</v>
      </c>
      <c r="AW118" s="121">
        <v>181554465</v>
      </c>
      <c r="AX118" s="114">
        <f t="shared" ref="AX118:AY118" si="261">AI118+AN118+AS118</f>
        <v>25356083</v>
      </c>
      <c r="AY118" s="119">
        <f t="shared" si="261"/>
        <v>12868880</v>
      </c>
      <c r="AZ118" s="111">
        <f t="shared" si="18"/>
        <v>0.13966102678884817</v>
      </c>
      <c r="BA118" s="111">
        <f t="shared" si="19"/>
        <v>7.0881649757278065E-2</v>
      </c>
      <c r="BB118" s="115">
        <f t="shared" ref="BB118:BC118" si="262">AX118-AX117</f>
        <v>808775</v>
      </c>
      <c r="BC118" s="115">
        <f t="shared" si="262"/>
        <v>236172</v>
      </c>
      <c r="BD118" s="110">
        <f t="shared" ref="BD118:BF118" si="263">AW118-AM118</f>
        <v>160001347</v>
      </c>
      <c r="BE118" s="110">
        <f t="shared" si="263"/>
        <v>20864769</v>
      </c>
      <c r="BF118" s="110">
        <f t="shared" si="263"/>
        <v>10209921</v>
      </c>
      <c r="BG118" s="113">
        <f t="shared" si="227"/>
        <v>0.1304037084137798</v>
      </c>
      <c r="BH118" s="113">
        <f t="shared" si="228"/>
        <v>6.3811469037195048E-2</v>
      </c>
      <c r="BI118" s="110"/>
      <c r="BJ118" s="110"/>
      <c r="BK118" s="117"/>
      <c r="BL118" s="113"/>
      <c r="BM118" s="113"/>
      <c r="BN118" s="113">
        <f t="shared" ref="BN118:BO118" si="264">V118/BB118</f>
        <v>0.16153441933788754</v>
      </c>
      <c r="BO118" s="113">
        <f t="shared" si="264"/>
        <v>1.5946005453652424E-2</v>
      </c>
      <c r="BP118" s="124">
        <v>64837</v>
      </c>
      <c r="BQ118" s="124">
        <v>16063</v>
      </c>
      <c r="BR118" s="124" t="s">
        <v>366</v>
      </c>
      <c r="BS118" s="124" t="s">
        <v>366</v>
      </c>
    </row>
    <row r="119" spans="1:71" x14ac:dyDescent="0.25">
      <c r="A119" s="109">
        <v>44373</v>
      </c>
      <c r="B119" s="121">
        <v>112301</v>
      </c>
      <c r="C119" s="122">
        <v>135728</v>
      </c>
      <c r="D119" s="122">
        <v>121377</v>
      </c>
      <c r="E119" s="111">
        <f t="shared" si="0"/>
        <v>1.2086090061531063</v>
      </c>
      <c r="F119" s="111">
        <f t="shared" si="1"/>
        <v>1.0808185145279205</v>
      </c>
      <c r="G119" s="121">
        <v>911631</v>
      </c>
      <c r="H119" s="122">
        <v>595654</v>
      </c>
      <c r="I119" s="122">
        <v>535273</v>
      </c>
      <c r="J119" s="112">
        <f t="shared" si="2"/>
        <v>0.65339375251609477</v>
      </c>
      <c r="K119" s="112">
        <f t="shared" si="3"/>
        <v>0.58715971703463354</v>
      </c>
      <c r="L119" s="121">
        <v>1976757</v>
      </c>
      <c r="M119" s="114">
        <f t="shared" si="202"/>
        <v>3286874</v>
      </c>
      <c r="N119" s="114">
        <f t="shared" si="210"/>
        <v>1250631</v>
      </c>
      <c r="O119" s="111">
        <f t="shared" si="4"/>
        <v>1.6627607743389805</v>
      </c>
      <c r="P119" s="111">
        <f t="shared" si="5"/>
        <v>0.63266805176357033</v>
      </c>
      <c r="Q119" s="121">
        <v>8815157</v>
      </c>
      <c r="R119" s="121">
        <v>4018256</v>
      </c>
      <c r="S119" s="121">
        <v>1907281</v>
      </c>
      <c r="T119" s="113">
        <f t="shared" si="8"/>
        <v>0.45583487622511998</v>
      </c>
      <c r="U119" s="113">
        <f t="shared" si="9"/>
        <v>0.21636381518786335</v>
      </c>
      <c r="V119" s="110">
        <f t="shared" si="215"/>
        <v>134160</v>
      </c>
      <c r="W119" s="110">
        <f t="shared" si="220"/>
        <v>4948</v>
      </c>
      <c r="X119" s="110">
        <f t="shared" ref="X119:Z119" si="265">Q119-G119</f>
        <v>7903526</v>
      </c>
      <c r="Y119" s="110">
        <f t="shared" si="265"/>
        <v>3422602</v>
      </c>
      <c r="Z119" s="110">
        <f t="shared" si="265"/>
        <v>1372008</v>
      </c>
      <c r="AA119" s="113">
        <f t="shared" si="222"/>
        <v>0.4330474777966189</v>
      </c>
      <c r="AB119" s="113">
        <f t="shared" si="223"/>
        <v>0.17359441849118989</v>
      </c>
      <c r="AC119" s="121"/>
      <c r="AD119" s="121"/>
      <c r="AE119" s="121"/>
      <c r="AF119" s="123"/>
      <c r="AG119" s="123"/>
      <c r="AH119" s="121">
        <v>1468764</v>
      </c>
      <c r="AI119" s="122">
        <v>1543804</v>
      </c>
      <c r="AJ119" s="122">
        <v>1411033</v>
      </c>
      <c r="AK119" s="123">
        <v>1.046</v>
      </c>
      <c r="AL119" s="123">
        <v>0.95599999999999996</v>
      </c>
      <c r="AM119" s="122">
        <v>21553118</v>
      </c>
      <c r="AN119" s="122">
        <v>4508011</v>
      </c>
      <c r="AO119" s="122">
        <v>2665030</v>
      </c>
      <c r="AP119" s="123">
        <v>0.19700000000000001</v>
      </c>
      <c r="AQ119" s="123">
        <v>0.11799999999999999</v>
      </c>
      <c r="AR119" s="121">
        <v>17327169</v>
      </c>
      <c r="AS119" s="122">
        <v>19555505</v>
      </c>
      <c r="AT119" s="122">
        <v>8835815</v>
      </c>
      <c r="AU119" s="123">
        <v>0.98799999999999999</v>
      </c>
      <c r="AV119" s="123">
        <v>0.47699999999999998</v>
      </c>
      <c r="AW119" s="121">
        <v>181554465</v>
      </c>
      <c r="AX119" s="114">
        <f t="shared" ref="AX119:AY119" si="266">AI119+AN119+AS119</f>
        <v>25607320</v>
      </c>
      <c r="AY119" s="119">
        <f t="shared" si="266"/>
        <v>12911878</v>
      </c>
      <c r="AZ119" s="111">
        <f t="shared" si="18"/>
        <v>0.14104483742660914</v>
      </c>
      <c r="BA119" s="111">
        <f t="shared" si="19"/>
        <v>7.1118482269218769E-2</v>
      </c>
      <c r="BB119" s="115">
        <f t="shared" ref="BB119:BC119" si="267">AX119-AX118</f>
        <v>251237</v>
      </c>
      <c r="BC119" s="115">
        <f t="shared" si="267"/>
        <v>42998</v>
      </c>
      <c r="BD119" s="110">
        <f t="shared" ref="BD119:BF119" si="268">AW119-AM119</f>
        <v>160001347</v>
      </c>
      <c r="BE119" s="110">
        <f t="shared" si="268"/>
        <v>21099309</v>
      </c>
      <c r="BF119" s="110">
        <f t="shared" si="268"/>
        <v>10246848</v>
      </c>
      <c r="BG119" s="113">
        <f t="shared" si="227"/>
        <v>0.13186957107304853</v>
      </c>
      <c r="BH119" s="113">
        <f t="shared" si="228"/>
        <v>6.404226084421652E-2</v>
      </c>
      <c r="BI119" s="110"/>
      <c r="BJ119" s="110"/>
      <c r="BK119" s="117"/>
      <c r="BL119" s="113"/>
      <c r="BM119" s="113"/>
      <c r="BN119" s="113">
        <f t="shared" ref="BN119:BO119" si="269">V119/BB119</f>
        <v>0.53399777898955969</v>
      </c>
      <c r="BO119" s="113">
        <f t="shared" si="269"/>
        <v>0.1150751197730127</v>
      </c>
      <c r="BP119" s="124">
        <v>72089</v>
      </c>
      <c r="BQ119" s="124">
        <v>19991</v>
      </c>
      <c r="BR119" s="124" t="s">
        <v>366</v>
      </c>
      <c r="BS119" s="124" t="s">
        <v>366</v>
      </c>
    </row>
    <row r="120" spans="1:71" x14ac:dyDescent="0.25">
      <c r="A120" s="109">
        <v>44374</v>
      </c>
      <c r="B120" s="121">
        <v>112301</v>
      </c>
      <c r="C120" s="122">
        <v>135728</v>
      </c>
      <c r="D120" s="122">
        <v>121377</v>
      </c>
      <c r="E120" s="111">
        <f t="shared" si="0"/>
        <v>1.2086090061531063</v>
      </c>
      <c r="F120" s="111">
        <f t="shared" si="1"/>
        <v>1.0808185145279205</v>
      </c>
      <c r="G120" s="121">
        <v>911631</v>
      </c>
      <c r="H120" s="122">
        <v>595654</v>
      </c>
      <c r="I120" s="122">
        <v>535273</v>
      </c>
      <c r="J120" s="112">
        <f t="shared" si="2"/>
        <v>0.65339375251609477</v>
      </c>
      <c r="K120" s="112">
        <f t="shared" si="3"/>
        <v>0.58715971703463354</v>
      </c>
      <c r="L120" s="121">
        <v>1976757</v>
      </c>
      <c r="M120" s="114">
        <f t="shared" si="202"/>
        <v>3346354</v>
      </c>
      <c r="N120" s="114">
        <f t="shared" si="210"/>
        <v>1254580</v>
      </c>
      <c r="O120" s="111">
        <f t="shared" si="4"/>
        <v>1.6928504616399487</v>
      </c>
      <c r="P120" s="111">
        <f t="shared" si="5"/>
        <v>0.63466576822543186</v>
      </c>
      <c r="Q120" s="121">
        <v>8815157</v>
      </c>
      <c r="R120" s="121">
        <v>4077736</v>
      </c>
      <c r="S120" s="121">
        <v>1911230</v>
      </c>
      <c r="T120" s="113">
        <f t="shared" si="8"/>
        <v>0.46258234538534027</v>
      </c>
      <c r="U120" s="113">
        <f t="shared" si="9"/>
        <v>0.21681179359596203</v>
      </c>
      <c r="V120" s="110">
        <f t="shared" si="215"/>
        <v>59480</v>
      </c>
      <c r="W120" s="110">
        <f t="shared" si="220"/>
        <v>3949</v>
      </c>
      <c r="X120" s="110">
        <f t="shared" ref="X120:Z120" si="270">Q120-G120</f>
        <v>7903526</v>
      </c>
      <c r="Y120" s="110">
        <f t="shared" si="270"/>
        <v>3482082</v>
      </c>
      <c r="Z120" s="110">
        <f t="shared" si="270"/>
        <v>1375957</v>
      </c>
      <c r="AA120" s="113">
        <f t="shared" si="222"/>
        <v>0.4405732327571264</v>
      </c>
      <c r="AB120" s="113">
        <f t="shared" si="223"/>
        <v>0.17409406890038701</v>
      </c>
      <c r="AC120" s="121"/>
      <c r="AD120" s="121"/>
      <c r="AE120" s="121"/>
      <c r="AF120" s="123"/>
      <c r="AG120" s="123"/>
      <c r="AH120" s="121">
        <v>1468764</v>
      </c>
      <c r="AI120" s="122">
        <v>1545890</v>
      </c>
      <c r="AJ120" s="122">
        <v>1411913</v>
      </c>
      <c r="AK120" s="123">
        <v>1.046</v>
      </c>
      <c r="AL120" s="123">
        <v>0.95599999999999996</v>
      </c>
      <c r="AM120" s="122">
        <v>21553118</v>
      </c>
      <c r="AN120" s="122">
        <v>4560867</v>
      </c>
      <c r="AO120" s="122">
        <v>2684960</v>
      </c>
      <c r="AP120" s="123">
        <v>0.19700000000000001</v>
      </c>
      <c r="AQ120" s="123">
        <v>0.11799999999999999</v>
      </c>
      <c r="AR120" s="121">
        <v>17327169</v>
      </c>
      <c r="AS120" s="122">
        <v>20218243</v>
      </c>
      <c r="AT120" s="122">
        <v>8923261</v>
      </c>
      <c r="AU120" s="123">
        <v>0.98799999999999999</v>
      </c>
      <c r="AV120" s="123">
        <v>0.47699999999999998</v>
      </c>
      <c r="AW120" s="121">
        <v>181554465</v>
      </c>
      <c r="AX120" s="114">
        <f t="shared" ref="AX120:AY120" si="271">AI120+AN120+AS120</f>
        <v>26325000</v>
      </c>
      <c r="AY120" s="119">
        <f t="shared" si="271"/>
        <v>13020134</v>
      </c>
      <c r="AZ120" s="111">
        <f t="shared" si="18"/>
        <v>0.14499781098746317</v>
      </c>
      <c r="BA120" s="111">
        <f t="shared" si="19"/>
        <v>7.1714755128715779E-2</v>
      </c>
      <c r="BB120" s="115">
        <f t="shared" ref="BB120:BC120" si="272">AX120-AX119</f>
        <v>717680</v>
      </c>
      <c r="BC120" s="115">
        <f t="shared" si="272"/>
        <v>108256</v>
      </c>
      <c r="BD120" s="110">
        <f t="shared" ref="BD120:BF120" si="273">AW120-AM120</f>
        <v>160001347</v>
      </c>
      <c r="BE120" s="110">
        <f t="shared" si="273"/>
        <v>21764133</v>
      </c>
      <c r="BF120" s="110">
        <f t="shared" si="273"/>
        <v>10335174</v>
      </c>
      <c r="BG120" s="113">
        <f t="shared" si="227"/>
        <v>0.13602468609217397</v>
      </c>
      <c r="BH120" s="113">
        <f t="shared" si="228"/>
        <v>6.4594293696789942E-2</v>
      </c>
      <c r="BI120" s="110"/>
      <c r="BJ120" s="110"/>
      <c r="BK120" s="117"/>
      <c r="BL120" s="113"/>
      <c r="BM120" s="113"/>
      <c r="BN120" s="113">
        <f t="shared" ref="BN120:BO120" si="274">V120/BB120</f>
        <v>8.2878162969568611E-2</v>
      </c>
      <c r="BO120" s="113">
        <f t="shared" si="274"/>
        <v>3.6478347620455216E-2</v>
      </c>
      <c r="BP120" s="124">
        <v>75756</v>
      </c>
      <c r="BQ120" s="124">
        <v>23258</v>
      </c>
      <c r="BR120" s="124" t="s">
        <v>366</v>
      </c>
      <c r="BS120" s="124" t="s">
        <v>366</v>
      </c>
    </row>
    <row r="121" spans="1:71" x14ac:dyDescent="0.25">
      <c r="A121" s="109">
        <v>44375</v>
      </c>
      <c r="B121" s="121">
        <v>112301</v>
      </c>
      <c r="C121" s="122">
        <v>136733</v>
      </c>
      <c r="D121" s="122">
        <v>121794</v>
      </c>
      <c r="E121" s="111">
        <f t="shared" si="0"/>
        <v>1.2175581695621589</v>
      </c>
      <c r="F121" s="111">
        <f t="shared" si="1"/>
        <v>1.0845317494946616</v>
      </c>
      <c r="G121" s="121">
        <v>911631</v>
      </c>
      <c r="H121" s="122">
        <v>599877</v>
      </c>
      <c r="I121" s="122">
        <v>535273</v>
      </c>
      <c r="J121" s="112">
        <f t="shared" si="2"/>
        <v>0.65802610924814975</v>
      </c>
      <c r="K121" s="112">
        <f t="shared" si="3"/>
        <v>0.58715971703463354</v>
      </c>
      <c r="L121" s="121">
        <v>1976757</v>
      </c>
      <c r="M121" s="114">
        <f t="shared" si="202"/>
        <v>3368399</v>
      </c>
      <c r="N121" s="114">
        <f t="shared" si="210"/>
        <v>1255847</v>
      </c>
      <c r="O121" s="111">
        <f t="shared" si="4"/>
        <v>1.7040025658186615</v>
      </c>
      <c r="P121" s="111">
        <f t="shared" si="5"/>
        <v>0.63530671701175212</v>
      </c>
      <c r="Q121" s="121">
        <v>8815157</v>
      </c>
      <c r="R121" s="121">
        <v>4105009</v>
      </c>
      <c r="S121" s="121">
        <v>1912914</v>
      </c>
      <c r="T121" s="113">
        <f t="shared" si="8"/>
        <v>0.46567622108148499</v>
      </c>
      <c r="U121" s="113">
        <f t="shared" si="9"/>
        <v>0.21700282819693398</v>
      </c>
      <c r="V121" s="110">
        <f t="shared" si="215"/>
        <v>27273</v>
      </c>
      <c r="W121" s="110">
        <f t="shared" si="220"/>
        <v>1684</v>
      </c>
      <c r="X121" s="110">
        <f t="shared" ref="X121:Z121" si="275">Q121-G121</f>
        <v>7903526</v>
      </c>
      <c r="Y121" s="110">
        <f t="shared" si="275"/>
        <v>3505132</v>
      </c>
      <c r="Z121" s="110">
        <f t="shared" si="275"/>
        <v>1377641</v>
      </c>
      <c r="AA121" s="113">
        <f t="shared" si="222"/>
        <v>0.44348965259303252</v>
      </c>
      <c r="AB121" s="113">
        <f t="shared" si="223"/>
        <v>0.17430713835824668</v>
      </c>
      <c r="AC121" s="121"/>
      <c r="AD121" s="121"/>
      <c r="AE121" s="121"/>
      <c r="AF121" s="123"/>
      <c r="AG121" s="123"/>
      <c r="AH121" s="121">
        <v>1468764</v>
      </c>
      <c r="AI121" s="122">
        <v>1546838</v>
      </c>
      <c r="AJ121" s="122">
        <v>1412247</v>
      </c>
      <c r="AK121" s="123">
        <v>1.046</v>
      </c>
      <c r="AL121" s="123">
        <v>0.95599999999999996</v>
      </c>
      <c r="AM121" s="122">
        <v>21553118</v>
      </c>
      <c r="AN121" s="122">
        <v>4599221</v>
      </c>
      <c r="AO121" s="122">
        <v>2689233</v>
      </c>
      <c r="AP121" s="123">
        <v>0.19700000000000001</v>
      </c>
      <c r="AQ121" s="123">
        <v>0.11799999999999999</v>
      </c>
      <c r="AR121" s="121">
        <v>17327169</v>
      </c>
      <c r="AS121" s="122">
        <v>20915791</v>
      </c>
      <c r="AT121" s="122">
        <v>8961524</v>
      </c>
      <c r="AU121" s="123">
        <v>0.98799999999999999</v>
      </c>
      <c r="AV121" s="123">
        <v>0.47699999999999998</v>
      </c>
      <c r="AW121" s="121">
        <v>181554465</v>
      </c>
      <c r="AX121" s="114">
        <f t="shared" ref="AX121:AY121" si="276">AI121+AN121+AS121</f>
        <v>27061850</v>
      </c>
      <c r="AY121" s="119">
        <f t="shared" si="276"/>
        <v>13063004</v>
      </c>
      <c r="AZ121" s="111">
        <f t="shared" si="18"/>
        <v>0.14905637269785682</v>
      </c>
      <c r="BA121" s="111">
        <f t="shared" si="19"/>
        <v>7.1950882618061748E-2</v>
      </c>
      <c r="BB121" s="115">
        <f t="shared" ref="BB121:BC121" si="277">AX121-AX120</f>
        <v>736850</v>
      </c>
      <c r="BC121" s="115">
        <f t="shared" si="277"/>
        <v>42870</v>
      </c>
      <c r="BD121" s="110">
        <f t="shared" ref="BD121:BF121" si="278">AW121-AM121</f>
        <v>160001347</v>
      </c>
      <c r="BE121" s="110">
        <f t="shared" si="278"/>
        <v>22462629</v>
      </c>
      <c r="BF121" s="110">
        <f t="shared" si="278"/>
        <v>10373771</v>
      </c>
      <c r="BG121" s="113">
        <f t="shared" si="227"/>
        <v>0.14039024933958838</v>
      </c>
      <c r="BH121" s="113">
        <f t="shared" si="228"/>
        <v>6.4835522915941454E-2</v>
      </c>
      <c r="BI121" s="110"/>
      <c r="BJ121" s="110"/>
      <c r="BK121" s="117"/>
      <c r="BL121" s="113"/>
      <c r="BM121" s="113"/>
      <c r="BN121" s="113">
        <f t="shared" ref="BN121:BO121" si="279">V121/BB121</f>
        <v>3.7012960575422409E-2</v>
      </c>
      <c r="BO121" s="113">
        <f t="shared" si="279"/>
        <v>3.928154886867273E-2</v>
      </c>
      <c r="BP121" s="124">
        <v>75757</v>
      </c>
      <c r="BQ121" s="124">
        <v>23259</v>
      </c>
      <c r="BR121" s="124" t="s">
        <v>366</v>
      </c>
      <c r="BS121" s="124" t="s">
        <v>366</v>
      </c>
    </row>
    <row r="122" spans="1:71" x14ac:dyDescent="0.25">
      <c r="A122" s="109">
        <v>44376</v>
      </c>
      <c r="B122" s="121">
        <v>112301</v>
      </c>
      <c r="C122" s="122">
        <v>136733</v>
      </c>
      <c r="D122" s="122">
        <v>121794</v>
      </c>
      <c r="E122" s="111">
        <f t="shared" si="0"/>
        <v>1.2175581695621589</v>
      </c>
      <c r="F122" s="111">
        <f t="shared" si="1"/>
        <v>1.0845317494946616</v>
      </c>
      <c r="G122" s="121">
        <v>911631</v>
      </c>
      <c r="H122" s="122">
        <v>599877</v>
      </c>
      <c r="I122" s="122">
        <v>535273</v>
      </c>
      <c r="J122" s="112">
        <f t="shared" si="2"/>
        <v>0.65802610924814975</v>
      </c>
      <c r="K122" s="112">
        <f t="shared" si="3"/>
        <v>0.58715971703463354</v>
      </c>
      <c r="L122" s="121">
        <v>1976757</v>
      </c>
      <c r="M122" s="114">
        <f t="shared" si="202"/>
        <v>3496352</v>
      </c>
      <c r="N122" s="114">
        <f t="shared" si="210"/>
        <v>1260595</v>
      </c>
      <c r="O122" s="111">
        <f t="shared" si="4"/>
        <v>1.7687313109299727</v>
      </c>
      <c r="P122" s="111">
        <f t="shared" si="5"/>
        <v>0.63770863085346352</v>
      </c>
      <c r="Q122" s="121">
        <v>8815157</v>
      </c>
      <c r="R122" s="121">
        <v>4232962</v>
      </c>
      <c r="S122" s="121">
        <v>1917662</v>
      </c>
      <c r="T122" s="113">
        <f t="shared" si="8"/>
        <v>0.48019133408514447</v>
      </c>
      <c r="U122" s="113">
        <f t="shared" si="9"/>
        <v>0.21754144594361735</v>
      </c>
      <c r="V122" s="110">
        <f t="shared" si="215"/>
        <v>127953</v>
      </c>
      <c r="W122" s="110">
        <f t="shared" si="220"/>
        <v>4748</v>
      </c>
      <c r="X122" s="110">
        <f t="shared" ref="X122:Z122" si="280">Q122-G122</f>
        <v>7903526</v>
      </c>
      <c r="Y122" s="110">
        <f t="shared" si="280"/>
        <v>3633085</v>
      </c>
      <c r="Z122" s="110">
        <f t="shared" si="280"/>
        <v>1382389</v>
      </c>
      <c r="AA122" s="113">
        <f t="shared" si="222"/>
        <v>0.45967900909037307</v>
      </c>
      <c r="AB122" s="113">
        <f t="shared" si="223"/>
        <v>0.17490788288670145</v>
      </c>
      <c r="AC122" s="121"/>
      <c r="AD122" s="121"/>
      <c r="AE122" s="121"/>
      <c r="AF122" s="123"/>
      <c r="AG122" s="123"/>
      <c r="AH122" s="121">
        <v>1468764</v>
      </c>
      <c r="AI122" s="121">
        <v>1548445</v>
      </c>
      <c r="AJ122" s="122">
        <v>1413333</v>
      </c>
      <c r="AK122" s="123">
        <v>1.046</v>
      </c>
      <c r="AL122" s="123">
        <v>0.95599999999999996</v>
      </c>
      <c r="AM122" s="122">
        <v>21553118</v>
      </c>
      <c r="AN122" s="122">
        <v>4645870</v>
      </c>
      <c r="AO122" s="122">
        <v>2713547</v>
      </c>
      <c r="AP122" s="123">
        <v>0.19700000000000001</v>
      </c>
      <c r="AQ122" s="123">
        <v>0.11799999999999999</v>
      </c>
      <c r="AR122" s="121">
        <v>17327169</v>
      </c>
      <c r="AS122" s="122">
        <v>21454479</v>
      </c>
      <c r="AT122" s="122">
        <v>9076828</v>
      </c>
      <c r="AU122" s="123">
        <v>0.98799999999999999</v>
      </c>
      <c r="AV122" s="123">
        <v>0.47699999999999998</v>
      </c>
      <c r="AW122" s="121">
        <v>181554465</v>
      </c>
      <c r="AX122" s="114">
        <f t="shared" ref="AX122:AY122" si="281">AI122+AN122+AS122</f>
        <v>27648794</v>
      </c>
      <c r="AY122" s="119">
        <f t="shared" si="281"/>
        <v>13203708</v>
      </c>
      <c r="AZ122" s="111">
        <f t="shared" si="18"/>
        <v>0.15228925380601352</v>
      </c>
      <c r="BA122" s="111">
        <f t="shared" si="19"/>
        <v>7.2725878705324043E-2</v>
      </c>
      <c r="BB122" s="115">
        <f t="shared" ref="BB122:BC122" si="282">AX122-AX121</f>
        <v>586944</v>
      </c>
      <c r="BC122" s="115">
        <f t="shared" si="282"/>
        <v>140704</v>
      </c>
      <c r="BD122" s="110">
        <f t="shared" ref="BD122:BF122" si="283">AW122-AM122</f>
        <v>160001347</v>
      </c>
      <c r="BE122" s="110">
        <f t="shared" si="283"/>
        <v>23002924</v>
      </c>
      <c r="BF122" s="110">
        <f t="shared" si="283"/>
        <v>10490161</v>
      </c>
      <c r="BG122" s="113">
        <f t="shared" si="227"/>
        <v>0.14376706466102437</v>
      </c>
      <c r="BH122" s="113">
        <f t="shared" si="228"/>
        <v>6.5562954291878556E-2</v>
      </c>
      <c r="BI122" s="110"/>
      <c r="BJ122" s="110"/>
      <c r="BK122" s="117"/>
      <c r="BL122" s="113"/>
      <c r="BM122" s="113"/>
      <c r="BN122" s="113">
        <f t="shared" ref="BN122:BO122" si="284">V122/BB122</f>
        <v>0.21799865063788026</v>
      </c>
      <c r="BO122" s="113">
        <f t="shared" si="284"/>
        <v>3.3744598589947689E-2</v>
      </c>
      <c r="BP122" s="124">
        <v>83415</v>
      </c>
      <c r="BQ122" s="124">
        <v>26605</v>
      </c>
      <c r="BR122" s="124" t="s">
        <v>366</v>
      </c>
      <c r="BS122" s="124" t="s">
        <v>366</v>
      </c>
    </row>
    <row r="123" spans="1:71" x14ac:dyDescent="0.25">
      <c r="A123" s="109">
        <v>44377</v>
      </c>
      <c r="B123" s="121">
        <v>112301</v>
      </c>
      <c r="C123" s="122">
        <v>136733</v>
      </c>
      <c r="D123" s="122">
        <v>121794</v>
      </c>
      <c r="E123" s="111">
        <f t="shared" si="0"/>
        <v>1.2175581695621589</v>
      </c>
      <c r="F123" s="111">
        <f t="shared" si="1"/>
        <v>1.0845317494946616</v>
      </c>
      <c r="G123" s="121">
        <v>911631</v>
      </c>
      <c r="H123" s="122">
        <v>599877</v>
      </c>
      <c r="I123" s="122">
        <v>535273</v>
      </c>
      <c r="J123" s="112">
        <f t="shared" si="2"/>
        <v>0.65802610924814975</v>
      </c>
      <c r="K123" s="112">
        <f t="shared" si="3"/>
        <v>0.58715971703463354</v>
      </c>
      <c r="L123" s="121">
        <v>1976757</v>
      </c>
      <c r="M123" s="114">
        <f t="shared" si="202"/>
        <v>3629039</v>
      </c>
      <c r="N123" s="114">
        <f t="shared" si="210"/>
        <v>1263178</v>
      </c>
      <c r="O123" s="111">
        <f t="shared" si="4"/>
        <v>1.8358548875759642</v>
      </c>
      <c r="P123" s="111">
        <f t="shared" si="5"/>
        <v>0.63901531650071308</v>
      </c>
      <c r="Q123" s="121">
        <v>8815157</v>
      </c>
      <c r="R123" s="121">
        <v>4365649</v>
      </c>
      <c r="S123" s="121">
        <v>1920245</v>
      </c>
      <c r="T123" s="113">
        <f t="shared" si="8"/>
        <v>0.49524347666184504</v>
      </c>
      <c r="U123" s="113">
        <f t="shared" si="9"/>
        <v>0.21783446398061884</v>
      </c>
      <c r="V123" s="110">
        <f t="shared" si="215"/>
        <v>132687</v>
      </c>
      <c r="W123" s="110">
        <f t="shared" si="220"/>
        <v>2583</v>
      </c>
      <c r="X123" s="110">
        <f t="shared" ref="X123:Z123" si="285">Q123-G123</f>
        <v>7903526</v>
      </c>
      <c r="Y123" s="110">
        <f t="shared" si="285"/>
        <v>3765772</v>
      </c>
      <c r="Z123" s="110">
        <f t="shared" si="285"/>
        <v>1384972</v>
      </c>
      <c r="AA123" s="113">
        <f t="shared" si="222"/>
        <v>0.47646733875487979</v>
      </c>
      <c r="AB123" s="113">
        <f t="shared" si="223"/>
        <v>0.1752346990444518</v>
      </c>
      <c r="AC123" s="121"/>
      <c r="AD123" s="121"/>
      <c r="AE123" s="121"/>
      <c r="AF123" s="123"/>
      <c r="AG123" s="123"/>
      <c r="AH123" s="121">
        <v>1468764</v>
      </c>
      <c r="AI123" s="122">
        <v>1549827</v>
      </c>
      <c r="AJ123" s="122">
        <v>1413880</v>
      </c>
      <c r="AK123" s="123">
        <v>1.046</v>
      </c>
      <c r="AL123" s="123">
        <v>0.95599999999999996</v>
      </c>
      <c r="AM123" s="122">
        <v>21553118</v>
      </c>
      <c r="AN123" s="122">
        <v>4681038</v>
      </c>
      <c r="AO123" s="122">
        <v>2725661</v>
      </c>
      <c r="AP123" s="123">
        <v>0.19700000000000001</v>
      </c>
      <c r="AQ123" s="123">
        <v>0.11799999999999999</v>
      </c>
      <c r="AR123" s="121">
        <v>17327169</v>
      </c>
      <c r="AS123" s="122">
        <v>21927884</v>
      </c>
      <c r="AT123" s="122">
        <v>9134165</v>
      </c>
      <c r="AU123" s="123">
        <v>0.98799999999999999</v>
      </c>
      <c r="AV123" s="123">
        <v>0.47699999999999998</v>
      </c>
      <c r="AW123" s="121">
        <v>181554465</v>
      </c>
      <c r="AX123" s="114">
        <f t="shared" ref="AX123:AY123" si="286">AI123+AN123+AS123</f>
        <v>28158749</v>
      </c>
      <c r="AY123" s="119">
        <f t="shared" si="286"/>
        <v>13273706</v>
      </c>
      <c r="AZ123" s="111">
        <f t="shared" si="18"/>
        <v>0.1550980803474043</v>
      </c>
      <c r="BA123" s="111">
        <f t="shared" si="19"/>
        <v>7.3111426920841632E-2</v>
      </c>
      <c r="BB123" s="115">
        <f t="shared" ref="BB123:BC123" si="287">AX123-AX122</f>
        <v>509955</v>
      </c>
      <c r="BC123" s="115">
        <f t="shared" si="287"/>
        <v>69998</v>
      </c>
      <c r="BD123" s="110">
        <f t="shared" ref="BD123:BF123" si="288">AW123-AM123</f>
        <v>160001347</v>
      </c>
      <c r="BE123" s="110">
        <f t="shared" si="288"/>
        <v>23477711</v>
      </c>
      <c r="BF123" s="110">
        <f t="shared" si="288"/>
        <v>10548045</v>
      </c>
      <c r="BG123" s="113">
        <f t="shared" si="227"/>
        <v>0.1467344584292781</v>
      </c>
      <c r="BH123" s="113">
        <f t="shared" si="228"/>
        <v>6.5924726246210916E-2</v>
      </c>
      <c r="BI123" s="110"/>
      <c r="BJ123" s="110"/>
      <c r="BK123" s="117"/>
      <c r="BL123" s="113"/>
      <c r="BM123" s="113"/>
      <c r="BN123" s="113">
        <f t="shared" ref="BN123:BO123" si="289">V123/BB123</f>
        <v>0.26019354648939613</v>
      </c>
      <c r="BO123" s="113">
        <f t="shared" si="289"/>
        <v>3.6901054315837595E-2</v>
      </c>
      <c r="BP123" s="124">
        <v>83416</v>
      </c>
      <c r="BQ123" s="124">
        <v>26606</v>
      </c>
      <c r="BR123" s="124" t="s">
        <v>366</v>
      </c>
      <c r="BS123" s="124" t="s">
        <v>366</v>
      </c>
    </row>
    <row r="124" spans="1:71" x14ac:dyDescent="0.25">
      <c r="A124" s="109">
        <v>44378</v>
      </c>
      <c r="B124" s="121">
        <v>112301</v>
      </c>
      <c r="C124" s="122">
        <v>136733</v>
      </c>
      <c r="D124" s="122">
        <v>121794</v>
      </c>
      <c r="E124" s="111">
        <f t="shared" si="0"/>
        <v>1.2175581695621589</v>
      </c>
      <c r="F124" s="111">
        <f t="shared" si="1"/>
        <v>1.0845317494946616</v>
      </c>
      <c r="G124" s="121">
        <v>911631</v>
      </c>
      <c r="H124" s="122">
        <v>599877</v>
      </c>
      <c r="I124" s="122">
        <v>535273</v>
      </c>
      <c r="J124" s="112">
        <f t="shared" si="2"/>
        <v>0.65802610924814975</v>
      </c>
      <c r="K124" s="112">
        <f t="shared" si="3"/>
        <v>0.58715971703463354</v>
      </c>
      <c r="L124" s="121">
        <v>1976757</v>
      </c>
      <c r="M124" s="114">
        <f t="shared" si="202"/>
        <v>3761641</v>
      </c>
      <c r="N124" s="114">
        <f t="shared" si="210"/>
        <v>1267783</v>
      </c>
      <c r="O124" s="111">
        <f t="shared" si="4"/>
        <v>1.9029354645006948</v>
      </c>
      <c r="P124" s="111">
        <f t="shared" si="5"/>
        <v>0.64134488963489189</v>
      </c>
      <c r="Q124" s="121">
        <v>8815157</v>
      </c>
      <c r="R124" s="121">
        <v>4498251</v>
      </c>
      <c r="S124" s="121">
        <v>1924850</v>
      </c>
      <c r="T124" s="113">
        <f t="shared" si="8"/>
        <v>0.51028597675571741</v>
      </c>
      <c r="U124" s="113">
        <f t="shared" si="9"/>
        <v>0.21835685966795601</v>
      </c>
      <c r="V124" s="110">
        <f t="shared" si="215"/>
        <v>132602</v>
      </c>
      <c r="W124" s="110">
        <f t="shared" si="220"/>
        <v>4605</v>
      </c>
      <c r="X124" s="110">
        <f t="shared" ref="X124:X147" si="290">Q124-G124</f>
        <v>7903526</v>
      </c>
      <c r="Y124" s="110">
        <f t="shared" ref="Y124:Z124" si="291">R124-H124-AD124</f>
        <v>3897692</v>
      </c>
      <c r="Z124" s="110">
        <f t="shared" si="291"/>
        <v>1389577</v>
      </c>
      <c r="AA124" s="113">
        <f t="shared" si="222"/>
        <v>0.49315862312593139</v>
      </c>
      <c r="AB124" s="113">
        <f t="shared" si="223"/>
        <v>0.17581735038260138</v>
      </c>
      <c r="AC124" s="121">
        <v>984719</v>
      </c>
      <c r="AD124" s="121">
        <v>682</v>
      </c>
      <c r="AE124" s="121">
        <v>0</v>
      </c>
      <c r="AF124" s="123">
        <f t="shared" ref="AF124:AF184" si="292">AD124/AC124</f>
        <v>6.9258336642229917E-4</v>
      </c>
      <c r="AG124" s="123">
        <f t="shared" ref="AG124:AG184" si="293">AE124/AC124</f>
        <v>0</v>
      </c>
      <c r="AH124" s="121">
        <v>1468764</v>
      </c>
      <c r="AI124" s="122">
        <v>1549827</v>
      </c>
      <c r="AJ124" s="122">
        <v>1413880</v>
      </c>
      <c r="AK124" s="123">
        <v>1.046</v>
      </c>
      <c r="AL124" s="123">
        <v>0.95599999999999996</v>
      </c>
      <c r="AM124" s="122">
        <v>21553118</v>
      </c>
      <c r="AN124" s="122">
        <v>4681038</v>
      </c>
      <c r="AO124" s="122">
        <v>2725661</v>
      </c>
      <c r="AP124" s="123">
        <v>0.19700000000000001</v>
      </c>
      <c r="AQ124" s="123">
        <v>0.11799999999999999</v>
      </c>
      <c r="AR124" s="121">
        <v>17327169</v>
      </c>
      <c r="AS124" s="122">
        <f t="shared" ref="AS124:AT124" si="294">AX124-AN124-AI124</f>
        <v>23325188</v>
      </c>
      <c r="AT124" s="122">
        <f t="shared" si="294"/>
        <v>9389114</v>
      </c>
      <c r="AU124" s="123">
        <v>0.98799999999999999</v>
      </c>
      <c r="AV124" s="123">
        <v>0.47699999999999998</v>
      </c>
      <c r="AW124" s="121">
        <v>181554465</v>
      </c>
      <c r="AX124" s="114">
        <v>29556053</v>
      </c>
      <c r="AY124" s="114">
        <v>13528655</v>
      </c>
      <c r="AZ124" s="111">
        <f t="shared" si="18"/>
        <v>0.16279441543891526</v>
      </c>
      <c r="BA124" s="111">
        <f t="shared" si="19"/>
        <v>7.4515683213849909E-2</v>
      </c>
      <c r="BB124" s="115">
        <f t="shared" ref="BB124:BC124" si="295">AX124-AX123</f>
        <v>1397304</v>
      </c>
      <c r="BC124" s="115">
        <f t="shared" si="295"/>
        <v>254949</v>
      </c>
      <c r="BD124" s="110">
        <f t="shared" ref="BD124:BD161" si="296">AW124-AM124</f>
        <v>160001347</v>
      </c>
      <c r="BE124" s="110">
        <f t="shared" ref="BE124:BF124" si="297">AX124-AN124-BJ124</f>
        <v>24874333</v>
      </c>
      <c r="BF124" s="110">
        <f t="shared" si="297"/>
        <v>10802994</v>
      </c>
      <c r="BG124" s="113">
        <f t="shared" si="227"/>
        <v>0.15546327244357511</v>
      </c>
      <c r="BH124" s="113">
        <f t="shared" si="228"/>
        <v>6.7518144081624515E-2</v>
      </c>
      <c r="BI124" s="110">
        <v>31245</v>
      </c>
      <c r="BJ124" s="110">
        <v>682</v>
      </c>
      <c r="BK124" s="117">
        <v>0</v>
      </c>
      <c r="BL124" s="113">
        <f t="shared" ref="BL124:BL184" si="298">BJ124/BI124</f>
        <v>2.1827492398783805E-2</v>
      </c>
      <c r="BM124" s="113">
        <f t="shared" ref="BM124:BM184" si="299">BK124/BI124</f>
        <v>0</v>
      </c>
      <c r="BN124" s="113">
        <f t="shared" ref="BN124:BO124" si="300">V124/BB124</f>
        <v>9.4898461608926898E-2</v>
      </c>
      <c r="BO124" s="113">
        <f t="shared" si="300"/>
        <v>1.8062436016615089E-2</v>
      </c>
      <c r="BP124" s="124">
        <v>90852</v>
      </c>
      <c r="BQ124" s="124">
        <v>30523</v>
      </c>
      <c r="BR124" s="124" t="s">
        <v>366</v>
      </c>
      <c r="BS124" s="124" t="s">
        <v>366</v>
      </c>
    </row>
    <row r="125" spans="1:71" x14ac:dyDescent="0.25">
      <c r="A125" s="109">
        <v>44379</v>
      </c>
      <c r="B125" s="121">
        <v>112301</v>
      </c>
      <c r="C125" s="122">
        <v>136733</v>
      </c>
      <c r="D125" s="122">
        <v>121794</v>
      </c>
      <c r="E125" s="111">
        <f t="shared" si="0"/>
        <v>1.2175581695621589</v>
      </c>
      <c r="F125" s="111">
        <f t="shared" si="1"/>
        <v>1.0845317494946616</v>
      </c>
      <c r="G125" s="121">
        <v>911631</v>
      </c>
      <c r="H125" s="122">
        <v>599877</v>
      </c>
      <c r="I125" s="122">
        <v>535273</v>
      </c>
      <c r="J125" s="112">
        <f t="shared" si="2"/>
        <v>0.65802610924814975</v>
      </c>
      <c r="K125" s="112">
        <f t="shared" si="3"/>
        <v>0.58715971703463354</v>
      </c>
      <c r="L125" s="121">
        <v>1976757</v>
      </c>
      <c r="M125" s="114">
        <f t="shared" si="202"/>
        <v>3867687</v>
      </c>
      <c r="N125" s="114">
        <f t="shared" si="210"/>
        <v>1272047</v>
      </c>
      <c r="O125" s="111">
        <f t="shared" si="4"/>
        <v>1.9565819167454572</v>
      </c>
      <c r="P125" s="111">
        <f t="shared" si="5"/>
        <v>0.64350195800495458</v>
      </c>
      <c r="Q125" s="121">
        <v>8815157</v>
      </c>
      <c r="R125" s="121">
        <v>4604297</v>
      </c>
      <c r="S125" s="121">
        <v>1929114</v>
      </c>
      <c r="T125" s="113">
        <f t="shared" si="8"/>
        <v>0.52231593833212497</v>
      </c>
      <c r="U125" s="113">
        <f t="shared" si="9"/>
        <v>0.21884057198300608</v>
      </c>
      <c r="V125" s="110">
        <f t="shared" si="215"/>
        <v>106046</v>
      </c>
      <c r="W125" s="110">
        <f t="shared" si="220"/>
        <v>4264</v>
      </c>
      <c r="X125" s="110">
        <f t="shared" si="290"/>
        <v>7903526</v>
      </c>
      <c r="Y125" s="110">
        <f t="shared" ref="Y125:Z125" si="301">R125-H125-AD125</f>
        <v>4003127</v>
      </c>
      <c r="Z125" s="110">
        <f t="shared" si="301"/>
        <v>1393841</v>
      </c>
      <c r="AA125" s="113">
        <f t="shared" si="222"/>
        <v>0.50649887151633333</v>
      </c>
      <c r="AB125" s="113">
        <f t="shared" si="223"/>
        <v>0.17635685642079243</v>
      </c>
      <c r="AC125" s="121">
        <v>984719</v>
      </c>
      <c r="AD125" s="121">
        <v>1293</v>
      </c>
      <c r="AE125" s="121">
        <v>0</v>
      </c>
      <c r="AF125" s="123">
        <f t="shared" si="292"/>
        <v>1.3130649454311332E-3</v>
      </c>
      <c r="AG125" s="123">
        <f t="shared" si="293"/>
        <v>0</v>
      </c>
      <c r="AH125" s="121">
        <v>1468764</v>
      </c>
      <c r="AI125" s="122">
        <v>1549827</v>
      </c>
      <c r="AJ125" s="122">
        <v>1413880</v>
      </c>
      <c r="AK125" s="123">
        <v>1.046</v>
      </c>
      <c r="AL125" s="123">
        <v>0.95599999999999996</v>
      </c>
      <c r="AM125" s="122">
        <v>21553118</v>
      </c>
      <c r="AN125" s="122">
        <v>4681038</v>
      </c>
      <c r="AO125" s="122">
        <v>2725661</v>
      </c>
      <c r="AP125" s="123">
        <v>0.19700000000000001</v>
      </c>
      <c r="AQ125" s="123">
        <v>0.11799999999999999</v>
      </c>
      <c r="AR125" s="121">
        <v>17327169</v>
      </c>
      <c r="AS125" s="122">
        <f t="shared" ref="AS125:AT125" si="302">AX125-AN125-AI125</f>
        <v>23953527</v>
      </c>
      <c r="AT125" s="122">
        <f t="shared" si="302"/>
        <v>9484616</v>
      </c>
      <c r="AU125" s="123">
        <v>0.98799999999999999</v>
      </c>
      <c r="AV125" s="123">
        <v>0.47699999999999998</v>
      </c>
      <c r="AW125" s="121">
        <v>181554465</v>
      </c>
      <c r="AX125" s="114">
        <v>30184392</v>
      </c>
      <c r="AY125" s="114">
        <v>13624157</v>
      </c>
      <c r="AZ125" s="111">
        <f t="shared" si="18"/>
        <v>0.16625529975261144</v>
      </c>
      <c r="BA125" s="111">
        <f t="shared" si="19"/>
        <v>7.5041707181368406E-2</v>
      </c>
      <c r="BB125" s="115">
        <f t="shared" ref="BB125:BC125" si="303">AX125-AX124</f>
        <v>628339</v>
      </c>
      <c r="BC125" s="115">
        <f t="shared" si="303"/>
        <v>95502</v>
      </c>
      <c r="BD125" s="110">
        <f t="shared" si="296"/>
        <v>160001347</v>
      </c>
      <c r="BE125" s="110">
        <f t="shared" ref="BE125:BF125" si="304">AX125-AN125-BJ125</f>
        <v>25502671</v>
      </c>
      <c r="BF125" s="110">
        <f t="shared" si="304"/>
        <v>10898496</v>
      </c>
      <c r="BG125" s="113">
        <f t="shared" si="227"/>
        <v>0.15939035188247508</v>
      </c>
      <c r="BH125" s="113">
        <f t="shared" si="228"/>
        <v>6.8115026556620176E-2</v>
      </c>
      <c r="BI125" s="110">
        <v>31246</v>
      </c>
      <c r="BJ125" s="110">
        <v>683</v>
      </c>
      <c r="BK125" s="117">
        <v>0</v>
      </c>
      <c r="BL125" s="113">
        <f t="shared" si="298"/>
        <v>2.1858797926134547E-2</v>
      </c>
      <c r="BM125" s="113">
        <f t="shared" si="299"/>
        <v>0</v>
      </c>
      <c r="BN125" s="113">
        <f t="shared" ref="BN125:BO125" si="305">V125/BB125</f>
        <v>0.16877195271978979</v>
      </c>
      <c r="BO125" s="113">
        <f t="shared" si="305"/>
        <v>4.4648279617180792E-2</v>
      </c>
      <c r="BP125" s="124">
        <v>92965</v>
      </c>
      <c r="BQ125" s="124">
        <v>32769</v>
      </c>
      <c r="BR125" s="124" t="s">
        <v>366</v>
      </c>
      <c r="BS125" s="124" t="s">
        <v>366</v>
      </c>
    </row>
    <row r="126" spans="1:71" x14ac:dyDescent="0.25">
      <c r="A126" s="109">
        <v>44380</v>
      </c>
      <c r="B126" s="121">
        <v>112301</v>
      </c>
      <c r="C126" s="122">
        <v>136733</v>
      </c>
      <c r="D126" s="122">
        <v>121794</v>
      </c>
      <c r="E126" s="111">
        <f t="shared" si="0"/>
        <v>1.2175581695621589</v>
      </c>
      <c r="F126" s="111">
        <f t="shared" si="1"/>
        <v>1.0845317494946616</v>
      </c>
      <c r="G126" s="121">
        <v>911631</v>
      </c>
      <c r="H126" s="122">
        <v>599877</v>
      </c>
      <c r="I126" s="122">
        <v>535273</v>
      </c>
      <c r="J126" s="112">
        <f t="shared" si="2"/>
        <v>0.65802610924814975</v>
      </c>
      <c r="K126" s="112">
        <f t="shared" si="3"/>
        <v>0.58715971703463354</v>
      </c>
      <c r="L126" s="121">
        <v>1976757</v>
      </c>
      <c r="M126" s="114">
        <f t="shared" si="202"/>
        <v>3945402</v>
      </c>
      <c r="N126" s="114">
        <f t="shared" si="210"/>
        <v>1274738</v>
      </c>
      <c r="O126" s="111">
        <f t="shared" si="4"/>
        <v>1.995896308954515</v>
      </c>
      <c r="P126" s="111">
        <f t="shared" si="5"/>
        <v>0.64486327859215875</v>
      </c>
      <c r="Q126" s="121">
        <v>8815157</v>
      </c>
      <c r="R126" s="121">
        <v>4682012</v>
      </c>
      <c r="S126" s="121">
        <v>1931805</v>
      </c>
      <c r="T126" s="113">
        <f t="shared" si="8"/>
        <v>0.53113200366142088</v>
      </c>
      <c r="U126" s="113">
        <f t="shared" si="9"/>
        <v>0.21914584164524806</v>
      </c>
      <c r="V126" s="110">
        <f t="shared" si="215"/>
        <v>77715</v>
      </c>
      <c r="W126" s="110">
        <f t="shared" si="220"/>
        <v>2691</v>
      </c>
      <c r="X126" s="110">
        <f t="shared" si="290"/>
        <v>7903526</v>
      </c>
      <c r="Y126" s="110">
        <f t="shared" ref="Y126:Z126" si="306">R126-H126-AD126</f>
        <v>4080842</v>
      </c>
      <c r="Z126" s="110">
        <f t="shared" si="306"/>
        <v>1396532</v>
      </c>
      <c r="AA126" s="113">
        <f t="shared" si="222"/>
        <v>0.51633182455526816</v>
      </c>
      <c r="AB126" s="113">
        <f t="shared" si="223"/>
        <v>0.17669733736562643</v>
      </c>
      <c r="AC126" s="121">
        <v>984719</v>
      </c>
      <c r="AD126" s="121">
        <v>1293</v>
      </c>
      <c r="AE126" s="121">
        <v>0</v>
      </c>
      <c r="AF126" s="123">
        <f t="shared" si="292"/>
        <v>1.3130649454311332E-3</v>
      </c>
      <c r="AG126" s="123">
        <f t="shared" si="293"/>
        <v>0</v>
      </c>
      <c r="AH126" s="121">
        <v>1468764</v>
      </c>
      <c r="AI126" s="122">
        <v>1549827</v>
      </c>
      <c r="AJ126" s="122">
        <v>1413880</v>
      </c>
      <c r="AK126" s="123">
        <v>1.046</v>
      </c>
      <c r="AL126" s="123">
        <v>0.95599999999999996</v>
      </c>
      <c r="AM126" s="122">
        <v>21553118</v>
      </c>
      <c r="AN126" s="122">
        <v>4681038</v>
      </c>
      <c r="AO126" s="122">
        <v>2725661</v>
      </c>
      <c r="AP126" s="123">
        <v>0.19700000000000001</v>
      </c>
      <c r="AQ126" s="123">
        <v>0.11799999999999999</v>
      </c>
      <c r="AR126" s="121">
        <v>17327169</v>
      </c>
      <c r="AS126" s="122">
        <f t="shared" ref="AS126:AT126" si="307">AX126-AN126-AI126</f>
        <v>25342375</v>
      </c>
      <c r="AT126" s="122">
        <f t="shared" si="307"/>
        <v>9783191</v>
      </c>
      <c r="AU126" s="123">
        <v>0.98799999999999999</v>
      </c>
      <c r="AV126" s="123">
        <v>0.47699999999999998</v>
      </c>
      <c r="AW126" s="121">
        <v>181554465</v>
      </c>
      <c r="AX126" s="114">
        <v>31573240</v>
      </c>
      <c r="AY126" s="114">
        <v>13922732</v>
      </c>
      <c r="AZ126" s="111">
        <f t="shared" si="18"/>
        <v>0.17390505928895772</v>
      </c>
      <c r="BA126" s="111">
        <f t="shared" si="19"/>
        <v>7.6686255003422799E-2</v>
      </c>
      <c r="BB126" s="115">
        <f t="shared" ref="BB126:BC126" si="308">AX126-AX125</f>
        <v>1388848</v>
      </c>
      <c r="BC126" s="115">
        <f t="shared" si="308"/>
        <v>298575</v>
      </c>
      <c r="BD126" s="110">
        <f t="shared" si="296"/>
        <v>160001347</v>
      </c>
      <c r="BE126" s="110">
        <f t="shared" ref="BE126:BF126" si="309">AX126-AN126-BJ126</f>
        <v>26891518</v>
      </c>
      <c r="BF126" s="110">
        <f t="shared" si="309"/>
        <v>11197071</v>
      </c>
      <c r="BG126" s="113">
        <f t="shared" si="227"/>
        <v>0.1680705725558673</v>
      </c>
      <c r="BH126" s="113">
        <f t="shared" si="228"/>
        <v>6.998110459657568E-2</v>
      </c>
      <c r="BI126" s="110">
        <v>31247</v>
      </c>
      <c r="BJ126" s="110">
        <v>684</v>
      </c>
      <c r="BK126" s="117">
        <v>0</v>
      </c>
      <c r="BL126" s="113">
        <f t="shared" si="298"/>
        <v>2.1890101449739175E-2</v>
      </c>
      <c r="BM126" s="113">
        <f t="shared" si="299"/>
        <v>0</v>
      </c>
      <c r="BN126" s="113">
        <f t="shared" ref="BN126:BO126" si="310">V126/BB126</f>
        <v>5.5956447357810211E-2</v>
      </c>
      <c r="BO126" s="113">
        <f t="shared" si="310"/>
        <v>9.0128108515448377E-3</v>
      </c>
      <c r="BP126" s="124">
        <v>94470</v>
      </c>
      <c r="BQ126" s="124">
        <v>34297</v>
      </c>
      <c r="BR126" s="124" t="s">
        <v>366</v>
      </c>
      <c r="BS126" s="124" t="s">
        <v>366</v>
      </c>
    </row>
    <row r="127" spans="1:71" x14ac:dyDescent="0.25">
      <c r="A127" s="109">
        <v>44381</v>
      </c>
      <c r="B127" s="121">
        <v>112301</v>
      </c>
      <c r="C127" s="122">
        <v>136733</v>
      </c>
      <c r="D127" s="122">
        <v>121794</v>
      </c>
      <c r="E127" s="111">
        <f t="shared" si="0"/>
        <v>1.2175581695621589</v>
      </c>
      <c r="F127" s="111">
        <f t="shared" si="1"/>
        <v>1.0845317494946616</v>
      </c>
      <c r="G127" s="121">
        <v>911631</v>
      </c>
      <c r="H127" s="122">
        <v>599877</v>
      </c>
      <c r="I127" s="122">
        <v>535273</v>
      </c>
      <c r="J127" s="112">
        <f t="shared" si="2"/>
        <v>0.65802610924814975</v>
      </c>
      <c r="K127" s="112">
        <f t="shared" si="3"/>
        <v>0.58715971703463354</v>
      </c>
      <c r="L127" s="121">
        <v>1976757</v>
      </c>
      <c r="M127" s="114">
        <f t="shared" si="202"/>
        <v>4064047</v>
      </c>
      <c r="N127" s="114">
        <f t="shared" si="210"/>
        <v>1278202</v>
      </c>
      <c r="O127" s="111">
        <f t="shared" si="4"/>
        <v>2.0559163316482501</v>
      </c>
      <c r="P127" s="111">
        <f t="shared" si="5"/>
        <v>0.64661564370329783</v>
      </c>
      <c r="Q127" s="121">
        <v>8815157</v>
      </c>
      <c r="R127" s="121">
        <v>4800657</v>
      </c>
      <c r="S127" s="121">
        <v>1935269</v>
      </c>
      <c r="T127" s="113">
        <f t="shared" si="8"/>
        <v>0.54459120807491002</v>
      </c>
      <c r="U127" s="113">
        <f t="shared" si="9"/>
        <v>0.21953880118073904</v>
      </c>
      <c r="V127" s="110">
        <f t="shared" si="215"/>
        <v>118645</v>
      </c>
      <c r="W127" s="110">
        <f t="shared" si="220"/>
        <v>3464</v>
      </c>
      <c r="X127" s="110">
        <f t="shared" si="290"/>
        <v>7903526</v>
      </c>
      <c r="Y127" s="110">
        <f t="shared" ref="Y127:Z127" si="311">R127-H127-AD127</f>
        <v>4199487</v>
      </c>
      <c r="Z127" s="110">
        <f t="shared" si="311"/>
        <v>1399996</v>
      </c>
      <c r="AA127" s="113">
        <f t="shared" si="222"/>
        <v>0.53134347884728916</v>
      </c>
      <c r="AB127" s="113">
        <f t="shared" si="223"/>
        <v>0.1771356227587535</v>
      </c>
      <c r="AC127" s="121">
        <v>984719</v>
      </c>
      <c r="AD127" s="121">
        <v>1293</v>
      </c>
      <c r="AE127" s="121">
        <v>0</v>
      </c>
      <c r="AF127" s="123">
        <f t="shared" si="292"/>
        <v>1.3130649454311332E-3</v>
      </c>
      <c r="AG127" s="123">
        <f t="shared" si="293"/>
        <v>0</v>
      </c>
      <c r="AH127" s="121">
        <v>1468764</v>
      </c>
      <c r="AI127" s="122">
        <v>1549827</v>
      </c>
      <c r="AJ127" s="122">
        <v>1413880</v>
      </c>
      <c r="AK127" s="123">
        <v>1.046</v>
      </c>
      <c r="AL127" s="123">
        <v>0.95599999999999996</v>
      </c>
      <c r="AM127" s="122">
        <v>21553118</v>
      </c>
      <c r="AN127" s="122">
        <v>4681038</v>
      </c>
      <c r="AO127" s="122">
        <v>2725661</v>
      </c>
      <c r="AP127" s="123">
        <v>0.19700000000000001</v>
      </c>
      <c r="AQ127" s="123">
        <v>0.11799999999999999</v>
      </c>
      <c r="AR127" s="121">
        <v>17327169</v>
      </c>
      <c r="AS127" s="122">
        <f t="shared" ref="AS127:AT127" si="312">AX127-AN127-AI127</f>
        <v>25730199</v>
      </c>
      <c r="AT127" s="122">
        <f t="shared" si="312"/>
        <v>9830997</v>
      </c>
      <c r="AU127" s="123">
        <v>0.98799999999999999</v>
      </c>
      <c r="AV127" s="123">
        <v>0.47699999999999998</v>
      </c>
      <c r="AW127" s="121">
        <v>181554465</v>
      </c>
      <c r="AX127" s="114">
        <v>31961064</v>
      </c>
      <c r="AY127" s="114">
        <v>13970538</v>
      </c>
      <c r="AZ127" s="111">
        <f t="shared" si="18"/>
        <v>0.17604118962318002</v>
      </c>
      <c r="BA127" s="111">
        <f t="shared" si="19"/>
        <v>7.6949569926578226E-2</v>
      </c>
      <c r="BB127" s="115">
        <f t="shared" ref="BB127:BC127" si="313">AX127-AX126</f>
        <v>387824</v>
      </c>
      <c r="BC127" s="115">
        <f t="shared" si="313"/>
        <v>47806</v>
      </c>
      <c r="BD127" s="110">
        <f t="shared" si="296"/>
        <v>160001347</v>
      </c>
      <c r="BE127" s="110">
        <f t="shared" ref="BE127:BF127" si="314">AX127-AN127-BJ127</f>
        <v>27279341</v>
      </c>
      <c r="BF127" s="110">
        <f t="shared" si="314"/>
        <v>11244877</v>
      </c>
      <c r="BG127" s="113">
        <f t="shared" si="227"/>
        <v>0.17049444589988358</v>
      </c>
      <c r="BH127" s="113">
        <f t="shared" si="228"/>
        <v>7.0279889581179589E-2</v>
      </c>
      <c r="BI127" s="110">
        <v>31248</v>
      </c>
      <c r="BJ127" s="110">
        <v>685</v>
      </c>
      <c r="BK127" s="117">
        <v>0</v>
      </c>
      <c r="BL127" s="113">
        <f t="shared" si="298"/>
        <v>2.1921402969790067E-2</v>
      </c>
      <c r="BM127" s="113">
        <f t="shared" si="299"/>
        <v>0</v>
      </c>
      <c r="BN127" s="113">
        <f t="shared" ref="BN127:BO127" si="315">V127/BB127</f>
        <v>0.30592485251041712</v>
      </c>
      <c r="BO127" s="113">
        <f t="shared" si="315"/>
        <v>7.2459523909132739E-2</v>
      </c>
      <c r="BP127" s="124">
        <v>94471</v>
      </c>
      <c r="BQ127" s="124">
        <v>34298</v>
      </c>
      <c r="BR127" s="124" t="s">
        <v>366</v>
      </c>
      <c r="BS127" s="124" t="s">
        <v>366</v>
      </c>
    </row>
    <row r="128" spans="1:71" x14ac:dyDescent="0.25">
      <c r="A128" s="109">
        <v>44382</v>
      </c>
      <c r="B128" s="121">
        <v>112301</v>
      </c>
      <c r="C128" s="122">
        <v>136733</v>
      </c>
      <c r="D128" s="122">
        <v>121794</v>
      </c>
      <c r="E128" s="111">
        <f t="shared" si="0"/>
        <v>1.2175581695621589</v>
      </c>
      <c r="F128" s="111">
        <f t="shared" si="1"/>
        <v>1.0845317494946616</v>
      </c>
      <c r="G128" s="121">
        <v>911631</v>
      </c>
      <c r="H128" s="122">
        <v>599877</v>
      </c>
      <c r="I128" s="122">
        <v>535273</v>
      </c>
      <c r="J128" s="112">
        <f t="shared" si="2"/>
        <v>0.65802610924814975</v>
      </c>
      <c r="K128" s="112">
        <f t="shared" si="3"/>
        <v>0.58715971703463354</v>
      </c>
      <c r="L128" s="121">
        <v>1976757</v>
      </c>
      <c r="M128" s="114">
        <f t="shared" si="202"/>
        <v>4091384</v>
      </c>
      <c r="N128" s="114">
        <f t="shared" si="210"/>
        <v>1278790</v>
      </c>
      <c r="O128" s="111">
        <f t="shared" si="4"/>
        <v>2.0697455478847426</v>
      </c>
      <c r="P128" s="111">
        <f t="shared" si="5"/>
        <v>0.64691310059860674</v>
      </c>
      <c r="Q128" s="121">
        <v>8815157</v>
      </c>
      <c r="R128" s="121">
        <v>4827994</v>
      </c>
      <c r="S128" s="121">
        <v>1935857</v>
      </c>
      <c r="T128" s="113">
        <f t="shared" si="8"/>
        <v>0.54769234399341948</v>
      </c>
      <c r="U128" s="113">
        <f t="shared" si="9"/>
        <v>0.21960550447371499</v>
      </c>
      <c r="V128" s="110">
        <f t="shared" si="215"/>
        <v>27337</v>
      </c>
      <c r="W128" s="110">
        <f t="shared" si="220"/>
        <v>588</v>
      </c>
      <c r="X128" s="110">
        <f t="shared" si="290"/>
        <v>7903526</v>
      </c>
      <c r="Y128" s="110">
        <f t="shared" ref="Y128:Z128" si="316">R128-H128-AD128</f>
        <v>4215155</v>
      </c>
      <c r="Z128" s="110">
        <f t="shared" si="316"/>
        <v>1400584</v>
      </c>
      <c r="AA128" s="113">
        <f t="shared" si="222"/>
        <v>0.53332588518086732</v>
      </c>
      <c r="AB128" s="113">
        <f t="shared" si="223"/>
        <v>0.17721001993287552</v>
      </c>
      <c r="AC128" s="121">
        <v>984719</v>
      </c>
      <c r="AD128" s="121">
        <v>12962</v>
      </c>
      <c r="AE128" s="121">
        <v>0</v>
      </c>
      <c r="AF128" s="123">
        <f t="shared" si="292"/>
        <v>1.316314603455402E-2</v>
      </c>
      <c r="AG128" s="123">
        <f t="shared" si="293"/>
        <v>0</v>
      </c>
      <c r="AH128" s="121">
        <v>1468764</v>
      </c>
      <c r="AI128" s="122">
        <v>1549827</v>
      </c>
      <c r="AJ128" s="122">
        <v>1413880</v>
      </c>
      <c r="AK128" s="123">
        <v>1.046</v>
      </c>
      <c r="AL128" s="123">
        <v>0.95599999999999996</v>
      </c>
      <c r="AM128" s="122">
        <v>21553118</v>
      </c>
      <c r="AN128" s="122">
        <v>4681038</v>
      </c>
      <c r="AO128" s="122">
        <v>2725661</v>
      </c>
      <c r="AP128" s="123">
        <v>0.19700000000000001</v>
      </c>
      <c r="AQ128" s="123">
        <v>0.11799999999999999</v>
      </c>
      <c r="AR128" s="121">
        <v>17327169</v>
      </c>
      <c r="AS128" s="122">
        <f t="shared" ref="AS128:AT128" si="317">AX128-AN128-AI128</f>
        <v>25832880</v>
      </c>
      <c r="AT128" s="122">
        <f t="shared" si="317"/>
        <v>9840023</v>
      </c>
      <c r="AU128" s="123">
        <v>0.98799999999999999</v>
      </c>
      <c r="AV128" s="123">
        <v>0.47699999999999998</v>
      </c>
      <c r="AW128" s="121">
        <v>181554465</v>
      </c>
      <c r="AX128" s="114">
        <v>32063745</v>
      </c>
      <c r="AY128" s="114">
        <v>13979564</v>
      </c>
      <c r="AZ128" s="111">
        <f t="shared" si="18"/>
        <v>0.17660675544388291</v>
      </c>
      <c r="BA128" s="111">
        <f t="shared" si="19"/>
        <v>7.6999285035485088E-2</v>
      </c>
      <c r="BB128" s="115">
        <f t="shared" ref="BB128:BC128" si="318">AX128-AX127</f>
        <v>102681</v>
      </c>
      <c r="BC128" s="115">
        <f t="shared" si="318"/>
        <v>9026</v>
      </c>
      <c r="BD128" s="110">
        <f t="shared" si="296"/>
        <v>160001347</v>
      </c>
      <c r="BE128" s="110">
        <f t="shared" ref="BE128:BF128" si="319">AX128-AN128-BJ128</f>
        <v>27369745</v>
      </c>
      <c r="BF128" s="110">
        <f t="shared" si="319"/>
        <v>11253903</v>
      </c>
      <c r="BG128" s="113">
        <f t="shared" si="227"/>
        <v>0.1710594661431194</v>
      </c>
      <c r="BH128" s="113">
        <f t="shared" si="228"/>
        <v>7.0336301606260851E-2</v>
      </c>
      <c r="BI128" s="110">
        <v>40913333</v>
      </c>
      <c r="BJ128" s="121">
        <v>12962</v>
      </c>
      <c r="BK128" s="117">
        <v>0</v>
      </c>
      <c r="BL128" s="113">
        <f t="shared" si="298"/>
        <v>3.1681603647397779E-4</v>
      </c>
      <c r="BM128" s="113">
        <f t="shared" si="299"/>
        <v>0</v>
      </c>
      <c r="BN128" s="113">
        <f t="shared" ref="BN128:BO128" si="320">V128/BB128</f>
        <v>0.26623231172271405</v>
      </c>
      <c r="BO128" s="113">
        <f t="shared" si="320"/>
        <v>6.5145136272989138E-2</v>
      </c>
      <c r="BP128" s="124">
        <v>94472</v>
      </c>
      <c r="BQ128" s="124">
        <v>34299</v>
      </c>
      <c r="BR128" s="124" t="s">
        <v>366</v>
      </c>
      <c r="BS128" s="124" t="s">
        <v>366</v>
      </c>
    </row>
    <row r="129" spans="1:71" x14ac:dyDescent="0.25">
      <c r="A129" s="109">
        <v>44383</v>
      </c>
      <c r="B129" s="121">
        <v>112301</v>
      </c>
      <c r="C129" s="122">
        <v>136733</v>
      </c>
      <c r="D129" s="122">
        <v>121794</v>
      </c>
      <c r="E129" s="111">
        <f t="shared" si="0"/>
        <v>1.2175581695621589</v>
      </c>
      <c r="F129" s="111">
        <f t="shared" si="1"/>
        <v>1.0845317494946616</v>
      </c>
      <c r="G129" s="121">
        <v>911631</v>
      </c>
      <c r="H129" s="122">
        <v>599877</v>
      </c>
      <c r="I129" s="122">
        <v>535273</v>
      </c>
      <c r="J129" s="112">
        <f t="shared" si="2"/>
        <v>0.65802610924814975</v>
      </c>
      <c r="K129" s="112">
        <f t="shared" si="3"/>
        <v>0.58715971703463354</v>
      </c>
      <c r="L129" s="121">
        <v>1976757</v>
      </c>
      <c r="M129" s="114">
        <f t="shared" si="202"/>
        <v>4173066</v>
      </c>
      <c r="N129" s="114">
        <f t="shared" si="210"/>
        <v>1281036</v>
      </c>
      <c r="O129" s="111">
        <f t="shared" si="4"/>
        <v>2.1110667623789876</v>
      </c>
      <c r="P129" s="111">
        <f t="shared" si="5"/>
        <v>0.6480493049980347</v>
      </c>
      <c r="Q129" s="121">
        <v>8815157</v>
      </c>
      <c r="R129" s="121">
        <v>4909676</v>
      </c>
      <c r="S129" s="121">
        <v>1938103</v>
      </c>
      <c r="T129" s="113">
        <f t="shared" si="8"/>
        <v>0.55695842966835418</v>
      </c>
      <c r="U129" s="113">
        <f t="shared" si="9"/>
        <v>0.2198602929023272</v>
      </c>
      <c r="V129" s="110">
        <f t="shared" si="215"/>
        <v>81682</v>
      </c>
      <c r="W129" s="110">
        <f t="shared" si="220"/>
        <v>2246</v>
      </c>
      <c r="X129" s="110">
        <f t="shared" si="290"/>
        <v>7903526</v>
      </c>
      <c r="Y129" s="110">
        <f t="shared" ref="Y129:Z129" si="321">R129-H129-AD129</f>
        <v>4290114</v>
      </c>
      <c r="Z129" s="110">
        <f t="shared" si="321"/>
        <v>1402830</v>
      </c>
      <c r="AA129" s="113">
        <f t="shared" si="222"/>
        <v>0.54281013309755666</v>
      </c>
      <c r="AB129" s="113">
        <f t="shared" si="223"/>
        <v>0.17749419689389268</v>
      </c>
      <c r="AC129" s="121">
        <v>984719</v>
      </c>
      <c r="AD129" s="121">
        <v>19685</v>
      </c>
      <c r="AE129" s="121">
        <v>0</v>
      </c>
      <c r="AF129" s="123">
        <f t="shared" si="292"/>
        <v>1.9990474439916361E-2</v>
      </c>
      <c r="AG129" s="123">
        <f t="shared" si="293"/>
        <v>0</v>
      </c>
      <c r="AH129" s="121">
        <v>1468764</v>
      </c>
      <c r="AI129" s="122">
        <v>1560169</v>
      </c>
      <c r="AJ129" s="122">
        <v>1419772</v>
      </c>
      <c r="AK129" s="123">
        <v>1.046</v>
      </c>
      <c r="AL129" s="123">
        <v>0.95599999999999996</v>
      </c>
      <c r="AM129" s="122">
        <v>21553118</v>
      </c>
      <c r="AN129" s="122">
        <v>4867425</v>
      </c>
      <c r="AO129" s="122">
        <v>2850222</v>
      </c>
      <c r="AP129" s="123">
        <v>0.19700000000000001</v>
      </c>
      <c r="AQ129" s="123">
        <v>0.11799999999999999</v>
      </c>
      <c r="AR129" s="121">
        <v>17327169</v>
      </c>
      <c r="AS129" s="122">
        <f t="shared" ref="AS129:AT129" si="322">AX129-AN129-AI129</f>
        <v>25874674</v>
      </c>
      <c r="AT129" s="122">
        <f t="shared" si="322"/>
        <v>9765940</v>
      </c>
      <c r="AU129" s="123">
        <v>0.98799999999999999</v>
      </c>
      <c r="AV129" s="123">
        <v>0.47699999999999998</v>
      </c>
      <c r="AW129" s="121">
        <v>181554465</v>
      </c>
      <c r="AX129" s="114">
        <v>32302268</v>
      </c>
      <c r="AY129" s="114">
        <v>14035934</v>
      </c>
      <c r="AZ129" s="111">
        <f t="shared" si="18"/>
        <v>0.17792053750922623</v>
      </c>
      <c r="BA129" s="111">
        <f t="shared" si="19"/>
        <v>7.7309770376619485E-2</v>
      </c>
      <c r="BB129" s="115">
        <f t="shared" ref="BB129:BC129" si="323">AX129-AX128</f>
        <v>238523</v>
      </c>
      <c r="BC129" s="115">
        <f t="shared" si="323"/>
        <v>56370</v>
      </c>
      <c r="BD129" s="110">
        <f t="shared" si="296"/>
        <v>160001347</v>
      </c>
      <c r="BE129" s="110">
        <f t="shared" ref="BE129:BF129" si="324">AX129-AN129-BJ129</f>
        <v>27421881</v>
      </c>
      <c r="BF129" s="110">
        <f t="shared" si="324"/>
        <v>11185712</v>
      </c>
      <c r="BG129" s="113">
        <f t="shared" si="227"/>
        <v>0.17138531339989282</v>
      </c>
      <c r="BH129" s="113">
        <f t="shared" si="228"/>
        <v>6.9910111444249273E-2</v>
      </c>
      <c r="BI129" s="110">
        <v>40913334</v>
      </c>
      <c r="BJ129" s="121">
        <v>12962</v>
      </c>
      <c r="BK129" s="117">
        <v>0</v>
      </c>
      <c r="BL129" s="113">
        <f t="shared" si="298"/>
        <v>3.1681602873038898E-4</v>
      </c>
      <c r="BM129" s="113">
        <f t="shared" si="299"/>
        <v>0</v>
      </c>
      <c r="BN129" s="113">
        <f t="shared" ref="BN129:BO129" si="325">V129/BB129</f>
        <v>0.34244915584660601</v>
      </c>
      <c r="BO129" s="113">
        <f t="shared" si="325"/>
        <v>3.9843888593223346E-2</v>
      </c>
      <c r="BP129" s="124">
        <v>94473</v>
      </c>
      <c r="BQ129" s="124">
        <v>34300</v>
      </c>
      <c r="BR129" s="124" t="s">
        <v>366</v>
      </c>
      <c r="BS129" s="124" t="s">
        <v>366</v>
      </c>
    </row>
    <row r="130" spans="1:71" x14ac:dyDescent="0.25">
      <c r="A130" s="125">
        <v>44384</v>
      </c>
      <c r="B130" s="126">
        <v>112301</v>
      </c>
      <c r="C130" s="127">
        <v>136733</v>
      </c>
      <c r="D130" s="127">
        <v>121794</v>
      </c>
      <c r="E130" s="128">
        <f t="shared" si="0"/>
        <v>1.2175581695621589</v>
      </c>
      <c r="F130" s="128">
        <f t="shared" si="1"/>
        <v>1.0845317494946616</v>
      </c>
      <c r="G130" s="126">
        <v>911631</v>
      </c>
      <c r="H130" s="127">
        <v>599877</v>
      </c>
      <c r="I130" s="127">
        <v>535273</v>
      </c>
      <c r="J130" s="129">
        <f t="shared" si="2"/>
        <v>0.65802610924814975</v>
      </c>
      <c r="K130" s="129">
        <f t="shared" si="3"/>
        <v>0.58715971703463354</v>
      </c>
      <c r="L130" s="126">
        <v>1976757</v>
      </c>
      <c r="M130" s="130">
        <f t="shared" si="202"/>
        <v>4336223</v>
      </c>
      <c r="N130" s="130">
        <f t="shared" si="210"/>
        <v>1286025</v>
      </c>
      <c r="O130" s="128">
        <f t="shared" si="4"/>
        <v>2.1936044743992307</v>
      </c>
      <c r="P130" s="128">
        <f t="shared" si="5"/>
        <v>0.65057313569649688</v>
      </c>
      <c r="Q130" s="126">
        <v>8815157</v>
      </c>
      <c r="R130" s="126">
        <v>5072833</v>
      </c>
      <c r="S130" s="126">
        <v>1943092</v>
      </c>
      <c r="T130" s="131">
        <f t="shared" si="8"/>
        <v>0.57546711873651257</v>
      </c>
      <c r="U130" s="131">
        <f t="shared" si="9"/>
        <v>0.22042624992385274</v>
      </c>
      <c r="V130" s="132">
        <f t="shared" si="215"/>
        <v>163157</v>
      </c>
      <c r="W130" s="132">
        <f t="shared" si="220"/>
        <v>4989</v>
      </c>
      <c r="X130" s="132">
        <f t="shared" si="290"/>
        <v>7903526</v>
      </c>
      <c r="Y130" s="132">
        <f t="shared" ref="Y130:Z130" si="326">R130-H130-AD130</f>
        <v>4436232</v>
      </c>
      <c r="Z130" s="132">
        <f t="shared" si="326"/>
        <v>1407819</v>
      </c>
      <c r="AA130" s="131">
        <f t="shared" si="222"/>
        <v>0.56129783086688145</v>
      </c>
      <c r="AB130" s="131">
        <f t="shared" si="223"/>
        <v>0.17812543414167298</v>
      </c>
      <c r="AC130" s="126">
        <v>984719</v>
      </c>
      <c r="AD130" s="126">
        <v>36724</v>
      </c>
      <c r="AE130" s="126">
        <v>0</v>
      </c>
      <c r="AF130" s="133">
        <f t="shared" si="292"/>
        <v>3.729388790101542E-2</v>
      </c>
      <c r="AG130" s="133">
        <f t="shared" si="293"/>
        <v>0</v>
      </c>
      <c r="AH130" s="126">
        <v>1468764</v>
      </c>
      <c r="AI130" s="127">
        <v>1563961</v>
      </c>
      <c r="AJ130" s="127">
        <v>1422072</v>
      </c>
      <c r="AK130" s="133">
        <v>1.046</v>
      </c>
      <c r="AL130" s="133">
        <v>0.95599999999999996</v>
      </c>
      <c r="AM130" s="127">
        <v>21553118</v>
      </c>
      <c r="AN130" s="127">
        <v>4933616</v>
      </c>
      <c r="AO130" s="127">
        <v>2905561</v>
      </c>
      <c r="AP130" s="133">
        <v>0.19700000000000001</v>
      </c>
      <c r="AQ130" s="133">
        <v>0.11799999999999999</v>
      </c>
      <c r="AR130" s="126">
        <v>17327169</v>
      </c>
      <c r="AS130" s="122">
        <f t="shared" ref="AS130:AT130" si="327">AX130-AN130-AI130</f>
        <v>26990676</v>
      </c>
      <c r="AT130" s="122">
        <f t="shared" si="327"/>
        <v>10029480</v>
      </c>
      <c r="AU130" s="133">
        <v>0.98799999999999999</v>
      </c>
      <c r="AV130" s="133">
        <v>0.47699999999999998</v>
      </c>
      <c r="AW130" s="126">
        <v>181554465</v>
      </c>
      <c r="AX130" s="130">
        <v>33488253</v>
      </c>
      <c r="AY130" s="130">
        <v>14357113</v>
      </c>
      <c r="AZ130" s="111">
        <f t="shared" si="18"/>
        <v>0.18445292986873113</v>
      </c>
      <c r="BA130" s="111">
        <f t="shared" si="19"/>
        <v>7.907882078251284E-2</v>
      </c>
      <c r="BB130" s="134">
        <f t="shared" ref="BB130:BC130" si="328">AX130-AX129</f>
        <v>1185985</v>
      </c>
      <c r="BC130" s="134">
        <f t="shared" si="328"/>
        <v>321179</v>
      </c>
      <c r="BD130" s="132">
        <f t="shared" si="296"/>
        <v>160001347</v>
      </c>
      <c r="BE130" s="132">
        <f t="shared" ref="BE130:BF130" si="329">AX130-AN130-BJ130</f>
        <v>28517913</v>
      </c>
      <c r="BF130" s="132">
        <f t="shared" si="329"/>
        <v>11451552</v>
      </c>
      <c r="BG130" s="131">
        <f t="shared" si="227"/>
        <v>0.17823545573025706</v>
      </c>
      <c r="BH130" s="131">
        <f t="shared" si="228"/>
        <v>7.1571597456613914E-2</v>
      </c>
      <c r="BI130" s="132">
        <v>40913335</v>
      </c>
      <c r="BJ130" s="126">
        <f t="shared" ref="BJ130:BK130" si="330">AD130</f>
        <v>36724</v>
      </c>
      <c r="BK130" s="135">
        <f t="shared" si="330"/>
        <v>0</v>
      </c>
      <c r="BL130" s="131">
        <f t="shared" si="298"/>
        <v>8.9760465628138111E-4</v>
      </c>
      <c r="BM130" s="131">
        <f t="shared" si="299"/>
        <v>0</v>
      </c>
      <c r="BN130" s="131">
        <f t="shared" ref="BN130:BO130" si="331">V130/BB130</f>
        <v>0.13757087990151645</v>
      </c>
      <c r="BO130" s="131">
        <f t="shared" si="331"/>
        <v>1.5533394150925185E-2</v>
      </c>
      <c r="BP130" s="136">
        <v>100685</v>
      </c>
      <c r="BQ130" s="136">
        <v>39077</v>
      </c>
      <c r="BR130" s="136" t="s">
        <v>366</v>
      </c>
      <c r="BS130" s="136" t="s">
        <v>366</v>
      </c>
    </row>
    <row r="131" spans="1:71" x14ac:dyDescent="0.25">
      <c r="A131" s="125">
        <v>44385</v>
      </c>
      <c r="B131" s="126">
        <v>112301</v>
      </c>
      <c r="C131" s="127">
        <v>136733</v>
      </c>
      <c r="D131" s="127">
        <v>121794</v>
      </c>
      <c r="E131" s="128">
        <f t="shared" si="0"/>
        <v>1.2175581695621589</v>
      </c>
      <c r="F131" s="128">
        <f t="shared" si="1"/>
        <v>1.0845317494946616</v>
      </c>
      <c r="G131" s="126">
        <v>911631</v>
      </c>
      <c r="H131" s="127">
        <v>599877</v>
      </c>
      <c r="I131" s="127">
        <v>535273</v>
      </c>
      <c r="J131" s="129">
        <f t="shared" si="2"/>
        <v>0.65802610924814975</v>
      </c>
      <c r="K131" s="129">
        <f t="shared" si="3"/>
        <v>0.58715971703463354</v>
      </c>
      <c r="L131" s="126">
        <v>1976757</v>
      </c>
      <c r="M131" s="130">
        <f t="shared" si="202"/>
        <v>4425085</v>
      </c>
      <c r="N131" s="130">
        <f t="shared" si="210"/>
        <v>1288054</v>
      </c>
      <c r="O131" s="128">
        <f t="shared" si="4"/>
        <v>2.2385579006423146</v>
      </c>
      <c r="P131" s="128">
        <f t="shared" si="5"/>
        <v>0.65159956433694177</v>
      </c>
      <c r="Q131" s="126">
        <v>8815157</v>
      </c>
      <c r="R131" s="126">
        <v>5161695</v>
      </c>
      <c r="S131" s="126">
        <v>1945121</v>
      </c>
      <c r="T131" s="131">
        <f t="shared" si="8"/>
        <v>0.58554771060799027</v>
      </c>
      <c r="U131" s="131">
        <f t="shared" si="9"/>
        <v>0.22065642166100954</v>
      </c>
      <c r="V131" s="132">
        <f t="shared" si="215"/>
        <v>88862</v>
      </c>
      <c r="W131" s="132">
        <f t="shared" si="220"/>
        <v>2029</v>
      </c>
      <c r="X131" s="132">
        <f t="shared" si="290"/>
        <v>7903526</v>
      </c>
      <c r="Y131" s="132">
        <f t="shared" ref="Y131:Z131" si="332">R131-H131-AD131</f>
        <v>4516412</v>
      </c>
      <c r="Z131" s="132">
        <f t="shared" si="332"/>
        <v>1409848</v>
      </c>
      <c r="AA131" s="131">
        <f t="shared" si="222"/>
        <v>0.57144267001841964</v>
      </c>
      <c r="AB131" s="131">
        <f t="shared" si="223"/>
        <v>0.17838215500271651</v>
      </c>
      <c r="AC131" s="126">
        <v>984719</v>
      </c>
      <c r="AD131" s="126">
        <v>45406</v>
      </c>
      <c r="AE131" s="126">
        <v>0</v>
      </c>
      <c r="AF131" s="133">
        <f t="shared" si="292"/>
        <v>4.6110616328109845E-2</v>
      </c>
      <c r="AG131" s="133">
        <f t="shared" si="293"/>
        <v>0</v>
      </c>
      <c r="AH131" s="126">
        <v>1468764</v>
      </c>
      <c r="AI131" s="127">
        <v>1566025</v>
      </c>
      <c r="AJ131" s="127">
        <v>1423518</v>
      </c>
      <c r="AK131" s="133">
        <v>1.046</v>
      </c>
      <c r="AL131" s="133">
        <v>0.95599999999999996</v>
      </c>
      <c r="AM131" s="127">
        <v>21553118</v>
      </c>
      <c r="AN131" s="127">
        <v>4963358</v>
      </c>
      <c r="AO131" s="127">
        <v>2933529</v>
      </c>
      <c r="AP131" s="133">
        <v>0.19700000000000001</v>
      </c>
      <c r="AQ131" s="133">
        <v>0.11799999999999999</v>
      </c>
      <c r="AR131" s="126">
        <v>17327169</v>
      </c>
      <c r="AS131" s="122">
        <f t="shared" ref="AS131:AT131" si="333">AX131-AN131-AI131</f>
        <v>27720061</v>
      </c>
      <c r="AT131" s="122">
        <f t="shared" si="333"/>
        <v>10159891</v>
      </c>
      <c r="AU131" s="133">
        <v>0.98799999999999999</v>
      </c>
      <c r="AV131" s="133">
        <v>0.47699999999999998</v>
      </c>
      <c r="AW131" s="126">
        <v>181554465</v>
      </c>
      <c r="AX131" s="130">
        <v>34249444</v>
      </c>
      <c r="AY131" s="130">
        <v>14516938</v>
      </c>
      <c r="AZ131" s="111">
        <f t="shared" si="18"/>
        <v>0.18864556153989384</v>
      </c>
      <c r="BA131" s="111">
        <f t="shared" si="19"/>
        <v>7.9959135127852687E-2</v>
      </c>
      <c r="BB131" s="134">
        <f t="shared" ref="BB131:BC131" si="334">AX131-AX130</f>
        <v>761191</v>
      </c>
      <c r="BC131" s="134">
        <f t="shared" si="334"/>
        <v>159825</v>
      </c>
      <c r="BD131" s="132">
        <f t="shared" si="296"/>
        <v>160001347</v>
      </c>
      <c r="BE131" s="132">
        <f t="shared" ref="BE131:BF131" si="335">AX131-AN131-BJ131</f>
        <v>29240680</v>
      </c>
      <c r="BF131" s="132">
        <f t="shared" si="335"/>
        <v>11583409</v>
      </c>
      <c r="BG131" s="131">
        <f t="shared" si="227"/>
        <v>0.18275271145061048</v>
      </c>
      <c r="BH131" s="131">
        <f t="shared" si="228"/>
        <v>7.2395696768727827E-2</v>
      </c>
      <c r="BI131" s="132">
        <v>40913336</v>
      </c>
      <c r="BJ131" s="126">
        <f t="shared" ref="BJ131:BK131" si="336">AD131</f>
        <v>45406</v>
      </c>
      <c r="BK131" s="135">
        <f t="shared" si="336"/>
        <v>0</v>
      </c>
      <c r="BL131" s="131">
        <f t="shared" si="298"/>
        <v>1.1098092807685005E-3</v>
      </c>
      <c r="BM131" s="131">
        <f t="shared" si="299"/>
        <v>0</v>
      </c>
      <c r="BN131" s="131">
        <f t="shared" ref="BN131:BO131" si="337">V131/BB131</f>
        <v>0.11674073918372656</v>
      </c>
      <c r="BO131" s="131">
        <f t="shared" si="337"/>
        <v>1.2695135304239012E-2</v>
      </c>
      <c r="BP131" s="136">
        <v>100834</v>
      </c>
      <c r="BQ131" s="136">
        <v>39078</v>
      </c>
      <c r="BR131" s="136" t="s">
        <v>366</v>
      </c>
      <c r="BS131" s="136" t="s">
        <v>366</v>
      </c>
    </row>
    <row r="132" spans="1:71" x14ac:dyDescent="0.25">
      <c r="A132" s="125">
        <v>44386</v>
      </c>
      <c r="B132" s="126">
        <v>112301</v>
      </c>
      <c r="C132" s="127">
        <v>136733</v>
      </c>
      <c r="D132" s="127">
        <v>121794</v>
      </c>
      <c r="E132" s="128">
        <f t="shared" si="0"/>
        <v>1.2175581695621589</v>
      </c>
      <c r="F132" s="128">
        <f t="shared" si="1"/>
        <v>1.0845317494946616</v>
      </c>
      <c r="G132" s="126">
        <v>911631</v>
      </c>
      <c r="H132" s="127">
        <v>599877</v>
      </c>
      <c r="I132" s="127">
        <v>535273</v>
      </c>
      <c r="J132" s="129">
        <f t="shared" si="2"/>
        <v>0.65802610924814975</v>
      </c>
      <c r="K132" s="129">
        <f t="shared" si="3"/>
        <v>0.58715971703463354</v>
      </c>
      <c r="L132" s="126">
        <v>1976757</v>
      </c>
      <c r="M132" s="130">
        <f t="shared" si="202"/>
        <v>4651990</v>
      </c>
      <c r="N132" s="130">
        <f t="shared" si="210"/>
        <v>1293428</v>
      </c>
      <c r="O132" s="128">
        <f t="shared" si="4"/>
        <v>2.3533443918498835</v>
      </c>
      <c r="P132" s="128">
        <f t="shared" si="5"/>
        <v>0.65431815847876096</v>
      </c>
      <c r="Q132" s="126">
        <v>8815157</v>
      </c>
      <c r="R132" s="126">
        <v>5388600</v>
      </c>
      <c r="S132" s="126">
        <v>1950495</v>
      </c>
      <c r="T132" s="131">
        <f t="shared" si="8"/>
        <v>0.61128803491531691</v>
      </c>
      <c r="U132" s="131">
        <f t="shared" si="9"/>
        <v>0.22126605345769793</v>
      </c>
      <c r="V132" s="132">
        <f t="shared" si="215"/>
        <v>226905</v>
      </c>
      <c r="W132" s="132">
        <f t="shared" si="220"/>
        <v>5374</v>
      </c>
      <c r="X132" s="132">
        <f t="shared" si="290"/>
        <v>7903526</v>
      </c>
      <c r="Y132" s="132">
        <f t="shared" ref="Y132:Z132" si="338">R132-H132-AD132</f>
        <v>4705939</v>
      </c>
      <c r="Z132" s="132">
        <f t="shared" si="338"/>
        <v>1415222</v>
      </c>
      <c r="AA132" s="131">
        <f t="shared" si="222"/>
        <v>0.59542272651472272</v>
      </c>
      <c r="AB132" s="131">
        <f t="shared" si="223"/>
        <v>0.17906210468593384</v>
      </c>
      <c r="AC132" s="126">
        <v>984719</v>
      </c>
      <c r="AD132" s="126">
        <v>82784</v>
      </c>
      <c r="AE132" s="126">
        <v>0</v>
      </c>
      <c r="AF132" s="133">
        <f t="shared" si="292"/>
        <v>8.4068653087835205E-2</v>
      </c>
      <c r="AG132" s="133">
        <f t="shared" si="293"/>
        <v>0</v>
      </c>
      <c r="AH132" s="126">
        <v>1468764</v>
      </c>
      <c r="AI132" s="127">
        <v>1567779</v>
      </c>
      <c r="AJ132" s="127">
        <v>1424618</v>
      </c>
      <c r="AK132" s="133">
        <v>1.046</v>
      </c>
      <c r="AL132" s="133">
        <v>0.95599999999999996</v>
      </c>
      <c r="AM132" s="127">
        <v>21553118</v>
      </c>
      <c r="AN132" s="127">
        <v>4988881</v>
      </c>
      <c r="AO132" s="127">
        <v>2957938</v>
      </c>
      <c r="AP132" s="133">
        <v>0.19700000000000001</v>
      </c>
      <c r="AQ132" s="133">
        <v>0.11799999999999999</v>
      </c>
      <c r="AR132" s="126">
        <v>17327169</v>
      </c>
      <c r="AS132" s="122">
        <f t="shared" ref="AS132:AT132" si="339">AX132-AN132-AI132</f>
        <v>28402391</v>
      </c>
      <c r="AT132" s="122">
        <f t="shared" si="339"/>
        <v>10276813</v>
      </c>
      <c r="AU132" s="133">
        <v>0.98799999999999999</v>
      </c>
      <c r="AV132" s="133">
        <v>0.47699999999999998</v>
      </c>
      <c r="AW132" s="126">
        <v>181554465</v>
      </c>
      <c r="AX132" s="130">
        <v>34959051</v>
      </c>
      <c r="AY132" s="130">
        <v>14659369</v>
      </c>
      <c r="AZ132" s="111">
        <f t="shared" si="18"/>
        <v>0.19255406910537837</v>
      </c>
      <c r="BA132" s="111">
        <f t="shared" si="19"/>
        <v>8.0743643512154878E-2</v>
      </c>
      <c r="BB132" s="134">
        <f t="shared" ref="BB132:BC132" si="340">AX132-AX131</f>
        <v>709607</v>
      </c>
      <c r="BC132" s="134">
        <f t="shared" si="340"/>
        <v>142431</v>
      </c>
      <c r="BD132" s="132">
        <f t="shared" si="296"/>
        <v>160001347</v>
      </c>
      <c r="BE132" s="132">
        <f t="shared" ref="BE132:BF132" si="341">AX132-AN132-BJ132</f>
        <v>29887386</v>
      </c>
      <c r="BF132" s="132">
        <f t="shared" si="341"/>
        <v>11701431</v>
      </c>
      <c r="BG132" s="131">
        <f t="shared" si="227"/>
        <v>0.18679458992304609</v>
      </c>
      <c r="BH132" s="131">
        <f t="shared" si="228"/>
        <v>7.3133328058794411E-2</v>
      </c>
      <c r="BI132" s="132">
        <v>40913337</v>
      </c>
      <c r="BJ132" s="126">
        <f t="shared" ref="BJ132:BK132" si="342">AD132</f>
        <v>82784</v>
      </c>
      <c r="BK132" s="135">
        <f t="shared" si="342"/>
        <v>0</v>
      </c>
      <c r="BL132" s="131">
        <f t="shared" si="298"/>
        <v>2.0233988735751376E-3</v>
      </c>
      <c r="BM132" s="131">
        <f t="shared" si="299"/>
        <v>0</v>
      </c>
      <c r="BN132" s="131">
        <f t="shared" ref="BN132:BO132" si="343">V132/BB132</f>
        <v>0.31976150178901841</v>
      </c>
      <c r="BO132" s="131">
        <f t="shared" si="343"/>
        <v>3.7730550231340088E-2</v>
      </c>
      <c r="BP132" s="136">
        <v>105582</v>
      </c>
      <c r="BQ132" s="136">
        <v>40732</v>
      </c>
      <c r="BR132" s="136" t="s">
        <v>366</v>
      </c>
      <c r="BS132" s="136" t="s">
        <v>366</v>
      </c>
    </row>
    <row r="133" spans="1:71" x14ac:dyDescent="0.25">
      <c r="A133" s="125">
        <v>44387</v>
      </c>
      <c r="B133" s="126">
        <v>112301</v>
      </c>
      <c r="C133" s="127">
        <v>136733</v>
      </c>
      <c r="D133" s="127">
        <v>121794</v>
      </c>
      <c r="E133" s="128">
        <f t="shared" si="0"/>
        <v>1.2175581695621589</v>
      </c>
      <c r="F133" s="128">
        <f t="shared" si="1"/>
        <v>1.0845317494946616</v>
      </c>
      <c r="G133" s="126">
        <v>911631</v>
      </c>
      <c r="H133" s="127">
        <v>599877</v>
      </c>
      <c r="I133" s="127">
        <v>535273</v>
      </c>
      <c r="J133" s="129">
        <f t="shared" si="2"/>
        <v>0.65802610924814975</v>
      </c>
      <c r="K133" s="129">
        <f t="shared" si="3"/>
        <v>0.58715971703463354</v>
      </c>
      <c r="L133" s="126">
        <v>1976757</v>
      </c>
      <c r="M133" s="130">
        <f t="shared" si="202"/>
        <v>4686935</v>
      </c>
      <c r="N133" s="130">
        <f t="shared" si="210"/>
        <v>1293976</v>
      </c>
      <c r="O133" s="128">
        <f t="shared" si="4"/>
        <v>2.371022336078739</v>
      </c>
      <c r="P133" s="128">
        <f t="shared" si="5"/>
        <v>0.65459538021112362</v>
      </c>
      <c r="Q133" s="126">
        <v>8815157</v>
      </c>
      <c r="R133" s="126">
        <v>5423545</v>
      </c>
      <c r="S133" s="126">
        <v>1951043</v>
      </c>
      <c r="T133" s="131">
        <f t="shared" si="8"/>
        <v>0.61525222976743354</v>
      </c>
      <c r="U133" s="131">
        <f t="shared" si="9"/>
        <v>0.22132821911169592</v>
      </c>
      <c r="V133" s="132">
        <f t="shared" si="215"/>
        <v>34945</v>
      </c>
      <c r="W133" s="132">
        <f t="shared" si="220"/>
        <v>548</v>
      </c>
      <c r="X133" s="132">
        <f t="shared" si="290"/>
        <v>7903526</v>
      </c>
      <c r="Y133" s="132">
        <f t="shared" ref="Y133:Z133" si="344">R133-H133-AD133</f>
        <v>4735163</v>
      </c>
      <c r="Z133" s="132">
        <f t="shared" si="344"/>
        <v>1415770</v>
      </c>
      <c r="AA133" s="131">
        <f t="shared" si="222"/>
        <v>0.59912031667891019</v>
      </c>
      <c r="AB133" s="131">
        <f t="shared" si="223"/>
        <v>0.17913144082780269</v>
      </c>
      <c r="AC133" s="126">
        <v>984719</v>
      </c>
      <c r="AD133" s="126">
        <v>88505</v>
      </c>
      <c r="AE133" s="126">
        <v>0</v>
      </c>
      <c r="AF133" s="133">
        <f t="shared" si="292"/>
        <v>8.9878432324348362E-2</v>
      </c>
      <c r="AG133" s="133">
        <f t="shared" si="293"/>
        <v>0</v>
      </c>
      <c r="AH133" s="126">
        <v>1468764</v>
      </c>
      <c r="AI133" s="127">
        <v>1569703</v>
      </c>
      <c r="AJ133" s="127">
        <v>1426387</v>
      </c>
      <c r="AK133" s="133">
        <v>1.046</v>
      </c>
      <c r="AL133" s="133">
        <v>0.95599999999999996</v>
      </c>
      <c r="AM133" s="127">
        <v>21553118</v>
      </c>
      <c r="AN133" s="127">
        <v>5026182</v>
      </c>
      <c r="AO133" s="127">
        <v>2999809</v>
      </c>
      <c r="AP133" s="133">
        <v>0.19700000000000001</v>
      </c>
      <c r="AQ133" s="133">
        <v>0.11799999999999999</v>
      </c>
      <c r="AR133" s="126">
        <v>17327169</v>
      </c>
      <c r="AS133" s="122">
        <f t="shared" ref="AS133:AT133" si="345">AX133-AN133-AI133</f>
        <v>29179682</v>
      </c>
      <c r="AT133" s="122">
        <f t="shared" si="345"/>
        <v>10442381</v>
      </c>
      <c r="AU133" s="133">
        <v>0.98799999999999999</v>
      </c>
      <c r="AV133" s="133">
        <v>0.47699999999999998</v>
      </c>
      <c r="AW133" s="126">
        <v>181554465</v>
      </c>
      <c r="AX133" s="130">
        <v>35775567</v>
      </c>
      <c r="AY133" s="130">
        <v>14868577</v>
      </c>
      <c r="AZ133" s="111">
        <f t="shared" si="18"/>
        <v>0.19705143026914815</v>
      </c>
      <c r="BA133" s="111">
        <f t="shared" si="19"/>
        <v>8.1895958879336844E-2</v>
      </c>
      <c r="BB133" s="134">
        <f t="shared" ref="BB133:BC133" si="346">AX133-AX132</f>
        <v>816516</v>
      </c>
      <c r="BC133" s="134">
        <f t="shared" si="346"/>
        <v>209208</v>
      </c>
      <c r="BD133" s="132">
        <f t="shared" si="296"/>
        <v>160001347</v>
      </c>
      <c r="BE133" s="132">
        <f t="shared" ref="BE133:BF133" si="347">AX133-AN133-BJ133</f>
        <v>30660880</v>
      </c>
      <c r="BF133" s="132">
        <f t="shared" si="347"/>
        <v>11868768</v>
      </c>
      <c r="BG133" s="131">
        <f t="shared" si="227"/>
        <v>0.19162888672430989</v>
      </c>
      <c r="BH133" s="131">
        <f t="shared" si="228"/>
        <v>7.4179175504066219E-2</v>
      </c>
      <c r="BI133" s="132">
        <v>40913338</v>
      </c>
      <c r="BJ133" s="126">
        <f t="shared" ref="BJ133:BK133" si="348">AD133</f>
        <v>88505</v>
      </c>
      <c r="BK133" s="135">
        <f t="shared" si="348"/>
        <v>0</v>
      </c>
      <c r="BL133" s="131">
        <f t="shared" si="298"/>
        <v>2.1632309737230435E-3</v>
      </c>
      <c r="BM133" s="131">
        <f t="shared" si="299"/>
        <v>0</v>
      </c>
      <c r="BN133" s="131">
        <f t="shared" ref="BN133:BO133" si="349">V133/BB133</f>
        <v>4.2797691655766697E-2</v>
      </c>
      <c r="BO133" s="131">
        <f t="shared" si="349"/>
        <v>2.6194026997055564E-3</v>
      </c>
      <c r="BP133" s="136">
        <v>105582</v>
      </c>
      <c r="BQ133" s="136">
        <v>40733</v>
      </c>
      <c r="BR133" s="136" t="s">
        <v>366</v>
      </c>
      <c r="BS133" s="136" t="s">
        <v>366</v>
      </c>
    </row>
    <row r="134" spans="1:71" x14ac:dyDescent="0.25">
      <c r="A134" s="125">
        <v>44388</v>
      </c>
      <c r="B134" s="126">
        <v>112301</v>
      </c>
      <c r="C134" s="127">
        <v>136733</v>
      </c>
      <c r="D134" s="127">
        <v>121794</v>
      </c>
      <c r="E134" s="128">
        <f t="shared" si="0"/>
        <v>1.2175581695621589</v>
      </c>
      <c r="F134" s="128">
        <f t="shared" si="1"/>
        <v>1.0845317494946616</v>
      </c>
      <c r="G134" s="126">
        <v>911631</v>
      </c>
      <c r="H134" s="127">
        <v>599877</v>
      </c>
      <c r="I134" s="127">
        <v>535273</v>
      </c>
      <c r="J134" s="129">
        <f t="shared" si="2"/>
        <v>0.65802610924814975</v>
      </c>
      <c r="K134" s="129">
        <f t="shared" si="3"/>
        <v>0.58715971703463354</v>
      </c>
      <c r="L134" s="126">
        <v>1976757</v>
      </c>
      <c r="M134" s="130">
        <f t="shared" si="202"/>
        <v>4705083</v>
      </c>
      <c r="N134" s="130">
        <f t="shared" si="210"/>
        <v>1294418</v>
      </c>
      <c r="O134" s="128">
        <f t="shared" si="4"/>
        <v>2.3802030295074204</v>
      </c>
      <c r="P134" s="128">
        <f t="shared" si="5"/>
        <v>0.65481897876167883</v>
      </c>
      <c r="Q134" s="126">
        <v>8815157</v>
      </c>
      <c r="R134" s="126">
        <v>5441693</v>
      </c>
      <c r="S134" s="126">
        <v>1951485</v>
      </c>
      <c r="T134" s="131">
        <f t="shared" si="8"/>
        <v>0.61731095657173207</v>
      </c>
      <c r="U134" s="131">
        <f t="shared" si="9"/>
        <v>0.22137836002240233</v>
      </c>
      <c r="V134" s="132">
        <f t="shared" si="215"/>
        <v>18148</v>
      </c>
      <c r="W134" s="132">
        <f t="shared" si="220"/>
        <v>442</v>
      </c>
      <c r="X134" s="132">
        <f t="shared" si="290"/>
        <v>7903526</v>
      </c>
      <c r="Y134" s="132">
        <f t="shared" ref="Y134:Z134" si="350">R134-H134-AD134</f>
        <v>4750013</v>
      </c>
      <c r="Z134" s="132">
        <f t="shared" si="350"/>
        <v>1416212</v>
      </c>
      <c r="AA134" s="131">
        <f t="shared" si="222"/>
        <v>0.60099922490291047</v>
      </c>
      <c r="AB134" s="131">
        <f t="shared" si="223"/>
        <v>0.17918736523420054</v>
      </c>
      <c r="AC134" s="126">
        <v>984719</v>
      </c>
      <c r="AD134" s="126">
        <v>91803</v>
      </c>
      <c r="AE134" s="126">
        <v>0</v>
      </c>
      <c r="AF134" s="133">
        <f t="shared" si="292"/>
        <v>9.3227611125610454E-2</v>
      </c>
      <c r="AG134" s="133">
        <f t="shared" si="293"/>
        <v>0</v>
      </c>
      <c r="AH134" s="126">
        <v>1468764</v>
      </c>
      <c r="AI134" s="127">
        <v>1570936</v>
      </c>
      <c r="AJ134" s="127">
        <v>1427454</v>
      </c>
      <c r="AK134" s="133">
        <v>1.046</v>
      </c>
      <c r="AL134" s="133">
        <v>0.95599999999999996</v>
      </c>
      <c r="AM134" s="127">
        <v>21553118</v>
      </c>
      <c r="AN134" s="127">
        <v>5044159</v>
      </c>
      <c r="AO134" s="127">
        <v>3015499</v>
      </c>
      <c r="AP134" s="133">
        <v>0.19700000000000001</v>
      </c>
      <c r="AQ134" s="133">
        <v>0.11799999999999999</v>
      </c>
      <c r="AR134" s="126">
        <v>17327169</v>
      </c>
      <c r="AS134" s="122">
        <f t="shared" ref="AS134:AT134" si="351">AX134-AN134-AI134</f>
        <v>29577981</v>
      </c>
      <c r="AT134" s="122">
        <f t="shared" si="351"/>
        <v>10526377</v>
      </c>
      <c r="AU134" s="133">
        <v>0.98799999999999999</v>
      </c>
      <c r="AV134" s="133">
        <v>0.47699999999999998</v>
      </c>
      <c r="AW134" s="126">
        <v>181554465</v>
      </c>
      <c r="AX134" s="130">
        <v>36193076</v>
      </c>
      <c r="AY134" s="130">
        <v>14969330</v>
      </c>
      <c r="AZ134" s="111">
        <f t="shared" si="18"/>
        <v>0.19935106525746971</v>
      </c>
      <c r="BA134" s="111">
        <f t="shared" si="19"/>
        <v>8.2450905297206542E-2</v>
      </c>
      <c r="BB134" s="134">
        <f t="shared" ref="BB134:BC134" si="352">AX134-AX133</f>
        <v>417509</v>
      </c>
      <c r="BC134" s="134">
        <f t="shared" si="352"/>
        <v>100753</v>
      </c>
      <c r="BD134" s="132">
        <f t="shared" si="296"/>
        <v>160001347</v>
      </c>
      <c r="BE134" s="132">
        <f t="shared" ref="BE134:BF134" si="353">AX134-AN134-BJ134</f>
        <v>31057114</v>
      </c>
      <c r="BF134" s="132">
        <f t="shared" si="353"/>
        <v>11953831</v>
      </c>
      <c r="BG134" s="131">
        <f t="shared" si="227"/>
        <v>0.19410532837576674</v>
      </c>
      <c r="BH134" s="131">
        <f t="shared" si="228"/>
        <v>7.4710814778328083E-2</v>
      </c>
      <c r="BI134" s="132">
        <v>40913339</v>
      </c>
      <c r="BJ134" s="126">
        <f t="shared" ref="BJ134:BK134" si="354">AD134</f>
        <v>91803</v>
      </c>
      <c r="BK134" s="135">
        <f t="shared" si="354"/>
        <v>0</v>
      </c>
      <c r="BL134" s="131">
        <f t="shared" si="298"/>
        <v>2.2438403279673655E-3</v>
      </c>
      <c r="BM134" s="131">
        <f t="shared" si="299"/>
        <v>0</v>
      </c>
      <c r="BN134" s="131">
        <f t="shared" ref="BN134:BO134" si="355">V134/BB134</f>
        <v>4.346732645284293E-2</v>
      </c>
      <c r="BO134" s="131">
        <f t="shared" si="355"/>
        <v>4.3869661449286871E-3</v>
      </c>
      <c r="BP134" s="136">
        <v>105622</v>
      </c>
      <c r="BQ134" s="136">
        <v>40734</v>
      </c>
      <c r="BR134" s="136" t="s">
        <v>366</v>
      </c>
      <c r="BS134" s="136" t="s">
        <v>366</v>
      </c>
    </row>
    <row r="135" spans="1:71" x14ac:dyDescent="0.25">
      <c r="A135" s="125">
        <v>44389</v>
      </c>
      <c r="B135" s="126">
        <v>112301</v>
      </c>
      <c r="C135" s="127">
        <v>136733</v>
      </c>
      <c r="D135" s="127">
        <v>121794</v>
      </c>
      <c r="E135" s="128">
        <f t="shared" si="0"/>
        <v>1.2175581695621589</v>
      </c>
      <c r="F135" s="128">
        <f t="shared" si="1"/>
        <v>1.0845317494946616</v>
      </c>
      <c r="G135" s="126">
        <v>911631</v>
      </c>
      <c r="H135" s="127">
        <v>599877</v>
      </c>
      <c r="I135" s="127">
        <v>535273</v>
      </c>
      <c r="J135" s="129">
        <f t="shared" si="2"/>
        <v>0.65802610924814975</v>
      </c>
      <c r="K135" s="129">
        <f t="shared" si="3"/>
        <v>0.58715971703463354</v>
      </c>
      <c r="L135" s="126">
        <v>1976757</v>
      </c>
      <c r="M135" s="130">
        <f t="shared" si="202"/>
        <v>4729394</v>
      </c>
      <c r="N135" s="130">
        <f t="shared" si="210"/>
        <v>1294628</v>
      </c>
      <c r="O135" s="128">
        <f t="shared" si="4"/>
        <v>2.3925014556670345</v>
      </c>
      <c r="P135" s="128">
        <f t="shared" si="5"/>
        <v>0.65492521336714626</v>
      </c>
      <c r="Q135" s="126">
        <v>8815157</v>
      </c>
      <c r="R135" s="126">
        <v>5466004</v>
      </c>
      <c r="S135" s="126">
        <v>1951695</v>
      </c>
      <c r="T135" s="131">
        <f t="shared" si="8"/>
        <v>0.62006882010155917</v>
      </c>
      <c r="U135" s="131">
        <f t="shared" si="9"/>
        <v>0.22140218262703659</v>
      </c>
      <c r="V135" s="132">
        <f t="shared" si="215"/>
        <v>24311</v>
      </c>
      <c r="W135" s="132">
        <f t="shared" si="220"/>
        <v>210</v>
      </c>
      <c r="X135" s="132">
        <f t="shared" si="290"/>
        <v>7903526</v>
      </c>
      <c r="Y135" s="132">
        <f t="shared" ref="Y135:Z135" si="356">R135-H135-AD135</f>
        <v>4773966</v>
      </c>
      <c r="Z135" s="132">
        <f t="shared" si="356"/>
        <v>1416422</v>
      </c>
      <c r="AA135" s="131">
        <f t="shared" si="222"/>
        <v>0.60402989754193259</v>
      </c>
      <c r="AB135" s="131">
        <f t="shared" si="223"/>
        <v>0.17921393565352983</v>
      </c>
      <c r="AC135" s="126">
        <v>984719</v>
      </c>
      <c r="AD135" s="126">
        <v>92161</v>
      </c>
      <c r="AE135" s="126">
        <v>0</v>
      </c>
      <c r="AF135" s="133">
        <f t="shared" si="292"/>
        <v>9.3591166617075533E-2</v>
      </c>
      <c r="AG135" s="133">
        <f t="shared" si="293"/>
        <v>0</v>
      </c>
      <c r="AH135" s="126">
        <v>1468764</v>
      </c>
      <c r="AI135" s="127">
        <v>1571536</v>
      </c>
      <c r="AJ135" s="127">
        <v>1427885</v>
      </c>
      <c r="AK135" s="133">
        <v>1.046</v>
      </c>
      <c r="AL135" s="133">
        <v>0.95599999999999996</v>
      </c>
      <c r="AM135" s="127">
        <v>21553118</v>
      </c>
      <c r="AN135" s="127">
        <v>5050408</v>
      </c>
      <c r="AO135" s="127">
        <v>3020278</v>
      </c>
      <c r="AP135" s="133">
        <v>0.19700000000000001</v>
      </c>
      <c r="AQ135" s="133">
        <v>0.11799999999999999</v>
      </c>
      <c r="AR135" s="126">
        <v>17327169</v>
      </c>
      <c r="AS135" s="122">
        <f t="shared" ref="AS135:AT135" si="357">AX135-AN135-AI135</f>
        <v>29656662</v>
      </c>
      <c r="AT135" s="122">
        <f t="shared" si="357"/>
        <v>10568239</v>
      </c>
      <c r="AU135" s="133">
        <v>0.98799999999999999</v>
      </c>
      <c r="AV135" s="133">
        <v>0.47699999999999998</v>
      </c>
      <c r="AW135" s="126">
        <v>181554465</v>
      </c>
      <c r="AX135" s="130">
        <v>36278606</v>
      </c>
      <c r="AY135" s="130">
        <v>15016402</v>
      </c>
      <c r="AZ135" s="111">
        <f t="shared" si="18"/>
        <v>0.19982216355846716</v>
      </c>
      <c r="BA135" s="111">
        <f t="shared" si="19"/>
        <v>8.2710177356420292E-2</v>
      </c>
      <c r="BB135" s="134">
        <f t="shared" ref="BB135:BC135" si="358">AX135-AX134</f>
        <v>85530</v>
      </c>
      <c r="BC135" s="134">
        <f t="shared" si="358"/>
        <v>47072</v>
      </c>
      <c r="BD135" s="132">
        <f t="shared" si="296"/>
        <v>160001347</v>
      </c>
      <c r="BE135" s="132">
        <f t="shared" ref="BE135:BF135" si="359">AX135-AN135-BJ135</f>
        <v>31136037</v>
      </c>
      <c r="BF135" s="132">
        <f t="shared" si="359"/>
        <v>11996124</v>
      </c>
      <c r="BG135" s="131">
        <f t="shared" si="227"/>
        <v>0.1945985929730954</v>
      </c>
      <c r="BH135" s="131">
        <f t="shared" si="228"/>
        <v>7.4975143803008112E-2</v>
      </c>
      <c r="BI135" s="132">
        <v>40913340</v>
      </c>
      <c r="BJ135" s="126">
        <f t="shared" ref="BJ135:BK135" si="360">AD135</f>
        <v>92161</v>
      </c>
      <c r="BK135" s="135">
        <f t="shared" si="360"/>
        <v>0</v>
      </c>
      <c r="BL135" s="131">
        <f t="shared" si="298"/>
        <v>2.2525904753804018E-3</v>
      </c>
      <c r="BM135" s="131">
        <f t="shared" si="299"/>
        <v>0</v>
      </c>
      <c r="BN135" s="131">
        <f t="shared" ref="BN135:BO135" si="361">V135/BB135</f>
        <v>0.28423944814684904</v>
      </c>
      <c r="BO135" s="131">
        <f t="shared" si="361"/>
        <v>4.4612508497620662E-3</v>
      </c>
      <c r="BP135" s="136">
        <v>105641</v>
      </c>
      <c r="BQ135" s="136">
        <v>40735</v>
      </c>
      <c r="BR135" s="136" t="s">
        <v>366</v>
      </c>
      <c r="BS135" s="136" t="s">
        <v>366</v>
      </c>
    </row>
    <row r="136" spans="1:71" x14ac:dyDescent="0.25">
      <c r="A136" s="125">
        <v>44390</v>
      </c>
      <c r="B136" s="126">
        <v>112301</v>
      </c>
      <c r="C136" s="127">
        <v>136733</v>
      </c>
      <c r="D136" s="127">
        <v>121794</v>
      </c>
      <c r="E136" s="128">
        <f t="shared" si="0"/>
        <v>1.2175581695621589</v>
      </c>
      <c r="F136" s="128">
        <f t="shared" si="1"/>
        <v>1.0845317494946616</v>
      </c>
      <c r="G136" s="126">
        <v>911631</v>
      </c>
      <c r="H136" s="127">
        <v>599877</v>
      </c>
      <c r="I136" s="127">
        <v>535273</v>
      </c>
      <c r="J136" s="129">
        <f t="shared" si="2"/>
        <v>0.65802610924814975</v>
      </c>
      <c r="K136" s="129">
        <f t="shared" si="3"/>
        <v>0.58715971703463354</v>
      </c>
      <c r="L136" s="126">
        <v>1976757</v>
      </c>
      <c r="M136" s="130">
        <f t="shared" si="202"/>
        <v>4807725</v>
      </c>
      <c r="N136" s="130">
        <f t="shared" si="210"/>
        <v>1295799</v>
      </c>
      <c r="O136" s="128">
        <f t="shared" si="4"/>
        <v>2.4321274693854633</v>
      </c>
      <c r="P136" s="128">
        <f t="shared" si="5"/>
        <v>0.65551759776239571</v>
      </c>
      <c r="Q136" s="126">
        <v>8815157</v>
      </c>
      <c r="R136" s="126">
        <v>5544335</v>
      </c>
      <c r="S136" s="126">
        <v>1952866</v>
      </c>
      <c r="T136" s="131">
        <f t="shared" si="8"/>
        <v>0.62895476507111558</v>
      </c>
      <c r="U136" s="131">
        <f t="shared" si="9"/>
        <v>0.22153502200811626</v>
      </c>
      <c r="V136" s="132">
        <f t="shared" si="215"/>
        <v>78331</v>
      </c>
      <c r="W136" s="132">
        <f t="shared" si="220"/>
        <v>1171</v>
      </c>
      <c r="X136" s="132">
        <f t="shared" si="290"/>
        <v>7903526</v>
      </c>
      <c r="Y136" s="132">
        <f t="shared" ref="Y136:Z136" si="362">R136-H136-AD136</f>
        <v>4839141</v>
      </c>
      <c r="Z136" s="132">
        <f t="shared" si="362"/>
        <v>1417593</v>
      </c>
      <c r="AA136" s="131">
        <f t="shared" si="222"/>
        <v>0.61227621696948931</v>
      </c>
      <c r="AB136" s="131">
        <f t="shared" si="223"/>
        <v>0.17936209737274225</v>
      </c>
      <c r="AC136" s="126">
        <v>984719</v>
      </c>
      <c r="AD136" s="126">
        <v>105317</v>
      </c>
      <c r="AE136" s="126">
        <v>0</v>
      </c>
      <c r="AF136" s="133">
        <f t="shared" si="292"/>
        <v>0.10695132316935085</v>
      </c>
      <c r="AG136" s="133">
        <f t="shared" si="293"/>
        <v>0</v>
      </c>
      <c r="AH136" s="126">
        <v>1468764</v>
      </c>
      <c r="AI136" s="127">
        <v>1571983</v>
      </c>
      <c r="AJ136" s="127">
        <v>1428202</v>
      </c>
      <c r="AK136" s="133">
        <v>1.046</v>
      </c>
      <c r="AL136" s="133">
        <v>0.95599999999999996</v>
      </c>
      <c r="AM136" s="127">
        <v>21553118</v>
      </c>
      <c r="AN136" s="127">
        <v>5055120</v>
      </c>
      <c r="AO136" s="127">
        <v>3023237</v>
      </c>
      <c r="AP136" s="133">
        <v>0.19700000000000001</v>
      </c>
      <c r="AQ136" s="133">
        <v>0.11799999999999999</v>
      </c>
      <c r="AR136" s="126">
        <v>17327169</v>
      </c>
      <c r="AS136" s="122">
        <f t="shared" ref="AS136:AT136" si="363">AX136-AN136-AI136</f>
        <v>29767916</v>
      </c>
      <c r="AT136" s="122">
        <f t="shared" si="363"/>
        <v>10587109</v>
      </c>
      <c r="AU136" s="133">
        <v>0.98799999999999999</v>
      </c>
      <c r="AV136" s="133">
        <v>0.47699999999999998</v>
      </c>
      <c r="AW136" s="126">
        <v>181554465</v>
      </c>
      <c r="AX136" s="130">
        <v>36395019</v>
      </c>
      <c r="AY136" s="130">
        <v>15038548</v>
      </c>
      <c r="AZ136" s="111">
        <f t="shared" si="18"/>
        <v>0.20046336508441145</v>
      </c>
      <c r="BA136" s="111">
        <f t="shared" si="19"/>
        <v>8.2832157281287469E-2</v>
      </c>
      <c r="BB136" s="134">
        <f t="shared" ref="BB136:BC136" si="364">AX136-AX135</f>
        <v>116413</v>
      </c>
      <c r="BC136" s="134">
        <f t="shared" si="364"/>
        <v>22146</v>
      </c>
      <c r="BD136" s="132">
        <f t="shared" si="296"/>
        <v>160001347</v>
      </c>
      <c r="BE136" s="132">
        <f t="shared" ref="BE136:BF136" si="365">AX136-AN136-BJ136</f>
        <v>31234582</v>
      </c>
      <c r="BF136" s="132">
        <f t="shared" si="365"/>
        <v>12015311</v>
      </c>
      <c r="BG136" s="131">
        <f t="shared" si="227"/>
        <v>0.19521449403797833</v>
      </c>
      <c r="BH136" s="131">
        <f t="shared" si="228"/>
        <v>7.5095061543450636E-2</v>
      </c>
      <c r="BI136" s="132">
        <v>40913341</v>
      </c>
      <c r="BJ136" s="126">
        <f t="shared" ref="BJ136:BK136" si="366">AD136</f>
        <v>105317</v>
      </c>
      <c r="BK136" s="135">
        <f t="shared" si="366"/>
        <v>0</v>
      </c>
      <c r="BL136" s="131">
        <f t="shared" si="298"/>
        <v>2.574148124446742E-3</v>
      </c>
      <c r="BM136" s="131">
        <f t="shared" si="299"/>
        <v>0</v>
      </c>
      <c r="BN136" s="131">
        <f t="shared" ref="BN136:BO136" si="367">V136/BB136</f>
        <v>0.67287158650666168</v>
      </c>
      <c r="BO136" s="131">
        <f t="shared" si="367"/>
        <v>5.2876365935157592E-2</v>
      </c>
      <c r="BP136" s="136">
        <v>109064</v>
      </c>
      <c r="BQ136" s="136">
        <v>41052</v>
      </c>
      <c r="BR136" s="136" t="s">
        <v>366</v>
      </c>
      <c r="BS136" s="136" t="s">
        <v>366</v>
      </c>
    </row>
    <row r="137" spans="1:71" x14ac:dyDescent="0.25">
      <c r="A137" s="125">
        <v>44391</v>
      </c>
      <c r="B137" s="126">
        <v>112301</v>
      </c>
      <c r="C137" s="127">
        <v>136733</v>
      </c>
      <c r="D137" s="127">
        <v>121794</v>
      </c>
      <c r="E137" s="128">
        <f t="shared" si="0"/>
        <v>1.2175581695621589</v>
      </c>
      <c r="F137" s="128">
        <f t="shared" si="1"/>
        <v>1.0845317494946616</v>
      </c>
      <c r="G137" s="126">
        <v>911631</v>
      </c>
      <c r="H137" s="127">
        <v>623508</v>
      </c>
      <c r="I137" s="127">
        <v>539719</v>
      </c>
      <c r="J137" s="129">
        <f t="shared" si="2"/>
        <v>0.6839477815037005</v>
      </c>
      <c r="K137" s="129">
        <f t="shared" si="3"/>
        <v>0.59203669028367834</v>
      </c>
      <c r="L137" s="126">
        <v>1976757</v>
      </c>
      <c r="M137" s="130">
        <f t="shared" si="202"/>
        <v>5165244</v>
      </c>
      <c r="N137" s="130">
        <f t="shared" si="210"/>
        <v>1304367</v>
      </c>
      <c r="O137" s="128">
        <f t="shared" si="4"/>
        <v>2.6129888499193377</v>
      </c>
      <c r="P137" s="128">
        <f t="shared" si="5"/>
        <v>0.65985196966546722</v>
      </c>
      <c r="Q137" s="126">
        <v>8815157</v>
      </c>
      <c r="R137" s="126">
        <v>5925485</v>
      </c>
      <c r="S137" s="126">
        <v>1965880</v>
      </c>
      <c r="T137" s="131">
        <f t="shared" si="8"/>
        <v>0.67219279248231201</v>
      </c>
      <c r="U137" s="131">
        <f t="shared" si="9"/>
        <v>0.22301134284959417</v>
      </c>
      <c r="V137" s="132">
        <f t="shared" si="215"/>
        <v>381150</v>
      </c>
      <c r="W137" s="132">
        <f t="shared" si="220"/>
        <v>13014</v>
      </c>
      <c r="X137" s="132">
        <f t="shared" si="290"/>
        <v>7903526</v>
      </c>
      <c r="Y137" s="132">
        <f t="shared" ref="Y137:Z137" si="368">R137-H137-AD137</f>
        <v>5123691</v>
      </c>
      <c r="Z137" s="132">
        <f t="shared" si="368"/>
        <v>1426161</v>
      </c>
      <c r="AA137" s="131">
        <f t="shared" si="222"/>
        <v>0.64827913516068647</v>
      </c>
      <c r="AB137" s="131">
        <f t="shared" si="223"/>
        <v>0.18044617048137757</v>
      </c>
      <c r="AC137" s="126">
        <v>984719</v>
      </c>
      <c r="AD137" s="126">
        <v>178286</v>
      </c>
      <c r="AE137" s="126">
        <v>0</v>
      </c>
      <c r="AF137" s="133">
        <f t="shared" si="292"/>
        <v>0.18105266578587395</v>
      </c>
      <c r="AG137" s="133">
        <f t="shared" si="293"/>
        <v>0</v>
      </c>
      <c r="AH137" s="126">
        <v>1468764</v>
      </c>
      <c r="AI137" s="127">
        <v>1575406</v>
      </c>
      <c r="AJ137" s="127">
        <v>1430768</v>
      </c>
      <c r="AK137" s="133">
        <v>1.046</v>
      </c>
      <c r="AL137" s="133">
        <v>0.95599999999999996</v>
      </c>
      <c r="AM137" s="127">
        <v>21553118</v>
      </c>
      <c r="AN137" s="127">
        <v>5101997</v>
      </c>
      <c r="AO137" s="127">
        <v>3069958</v>
      </c>
      <c r="AP137" s="133">
        <v>0.19700000000000001</v>
      </c>
      <c r="AQ137" s="133">
        <v>0.11799999999999999</v>
      </c>
      <c r="AR137" s="126">
        <v>17327169</v>
      </c>
      <c r="AS137" s="122">
        <f t="shared" ref="AS137:AT137" si="369">AX137-AN137-AI137</f>
        <v>30354423</v>
      </c>
      <c r="AT137" s="122">
        <f t="shared" si="369"/>
        <v>10753495</v>
      </c>
      <c r="AU137" s="133">
        <v>0.98799999999999999</v>
      </c>
      <c r="AV137" s="133">
        <v>0.47699999999999998</v>
      </c>
      <c r="AW137" s="126">
        <v>181554465</v>
      </c>
      <c r="AX137" s="130">
        <v>37031826</v>
      </c>
      <c r="AY137" s="130">
        <v>15254221</v>
      </c>
      <c r="AZ137" s="111">
        <f t="shared" si="18"/>
        <v>0.20397089104914054</v>
      </c>
      <c r="BA137" s="111">
        <f t="shared" si="19"/>
        <v>8.4020081797492555E-2</v>
      </c>
      <c r="BB137" s="134">
        <f t="shared" ref="BB137:BC137" si="370">AX137-AX136</f>
        <v>636807</v>
      </c>
      <c r="BC137" s="134">
        <f t="shared" si="370"/>
        <v>215673</v>
      </c>
      <c r="BD137" s="132">
        <f t="shared" si="296"/>
        <v>160001347</v>
      </c>
      <c r="BE137" s="132">
        <f t="shared" ref="BE137:BF137" si="371">AX137-AN137-BJ137</f>
        <v>31780830</v>
      </c>
      <c r="BF137" s="132">
        <f t="shared" si="371"/>
        <v>12184263</v>
      </c>
      <c r="BG137" s="131">
        <f t="shared" si="227"/>
        <v>0.19862851529618686</v>
      </c>
      <c r="BH137" s="131">
        <f t="shared" si="228"/>
        <v>7.6151002653746414E-2</v>
      </c>
      <c r="BI137" s="132">
        <v>40913342</v>
      </c>
      <c r="BJ137" s="126">
        <v>148999</v>
      </c>
      <c r="BK137" s="135">
        <f t="shared" ref="BK137:BK138" si="372">AE137</f>
        <v>0</v>
      </c>
      <c r="BL137" s="131">
        <f t="shared" si="298"/>
        <v>3.641819336098234E-3</v>
      </c>
      <c r="BM137" s="131">
        <f t="shared" si="299"/>
        <v>0</v>
      </c>
      <c r="BN137" s="131">
        <f t="shared" ref="BN137:BO137" si="373">V137/BB137</f>
        <v>0.5985329935129482</v>
      </c>
      <c r="BO137" s="131">
        <f t="shared" si="373"/>
        <v>6.0341350099456119E-2</v>
      </c>
      <c r="BP137" s="136">
        <v>123107</v>
      </c>
      <c r="BQ137" s="136">
        <v>41053</v>
      </c>
      <c r="BR137" s="136" t="s">
        <v>366</v>
      </c>
      <c r="BS137" s="136" t="s">
        <v>366</v>
      </c>
    </row>
    <row r="138" spans="1:71" x14ac:dyDescent="0.25">
      <c r="A138" s="125">
        <v>44392</v>
      </c>
      <c r="B138" s="126">
        <v>112301</v>
      </c>
      <c r="C138" s="127">
        <v>136733</v>
      </c>
      <c r="D138" s="127">
        <v>121794</v>
      </c>
      <c r="E138" s="128">
        <f t="shared" si="0"/>
        <v>1.2175581695621589</v>
      </c>
      <c r="F138" s="128">
        <f t="shared" si="1"/>
        <v>1.0845317494946616</v>
      </c>
      <c r="G138" s="126">
        <v>911631</v>
      </c>
      <c r="H138" s="127">
        <v>625214</v>
      </c>
      <c r="I138" s="127">
        <v>539900</v>
      </c>
      <c r="J138" s="129">
        <f t="shared" si="2"/>
        <v>0.68581915270542582</v>
      </c>
      <c r="K138" s="129">
        <f t="shared" si="3"/>
        <v>0.59223523552841006</v>
      </c>
      <c r="L138" s="126">
        <v>1976757</v>
      </c>
      <c r="M138" s="130">
        <f t="shared" si="202"/>
        <v>5308046</v>
      </c>
      <c r="N138" s="130">
        <f t="shared" si="210"/>
        <v>1308614</v>
      </c>
      <c r="O138" s="128">
        <f t="shared" si="4"/>
        <v>2.6852293933953439</v>
      </c>
      <c r="P138" s="128">
        <f t="shared" si="5"/>
        <v>0.66200043809127773</v>
      </c>
      <c r="Q138" s="126">
        <v>8815157</v>
      </c>
      <c r="R138" s="126">
        <v>6069993</v>
      </c>
      <c r="S138" s="126">
        <v>1970308</v>
      </c>
      <c r="T138" s="131">
        <f t="shared" si="8"/>
        <v>0.68858592081797299</v>
      </c>
      <c r="U138" s="131">
        <f t="shared" si="9"/>
        <v>0.22351365948445387</v>
      </c>
      <c r="V138" s="132">
        <f t="shared" si="215"/>
        <v>144508</v>
      </c>
      <c r="W138" s="132">
        <f t="shared" si="220"/>
        <v>4428</v>
      </c>
      <c r="X138" s="132">
        <f t="shared" si="290"/>
        <v>7903526</v>
      </c>
      <c r="Y138" s="132">
        <f t="shared" ref="Y138:Z138" si="374">R138-H138-AD138</f>
        <v>5236799</v>
      </c>
      <c r="Z138" s="132">
        <f t="shared" si="374"/>
        <v>1430408</v>
      </c>
      <c r="AA138" s="131">
        <f t="shared" si="222"/>
        <v>0.66259021606305846</v>
      </c>
      <c r="AB138" s="131">
        <f t="shared" si="223"/>
        <v>0.180983525580861</v>
      </c>
      <c r="AC138" s="126">
        <v>984719</v>
      </c>
      <c r="AD138" s="126">
        <v>207980</v>
      </c>
      <c r="AE138" s="126">
        <v>0</v>
      </c>
      <c r="AF138" s="133">
        <f t="shared" si="292"/>
        <v>0.21120746121482373</v>
      </c>
      <c r="AG138" s="133">
        <f t="shared" si="293"/>
        <v>0</v>
      </c>
      <c r="AH138" s="126">
        <v>1468764</v>
      </c>
      <c r="AI138" s="127">
        <v>1579142</v>
      </c>
      <c r="AJ138" s="127">
        <v>1433358</v>
      </c>
      <c r="AK138" s="133">
        <v>1.046</v>
      </c>
      <c r="AL138" s="133">
        <v>0.95599999999999996</v>
      </c>
      <c r="AM138" s="127">
        <v>21553118</v>
      </c>
      <c r="AN138" s="127">
        <v>5157397</v>
      </c>
      <c r="AO138" s="127">
        <v>3140897</v>
      </c>
      <c r="AP138" s="133">
        <v>0.19700000000000001</v>
      </c>
      <c r="AQ138" s="133">
        <v>0.11799999999999999</v>
      </c>
      <c r="AR138" s="126">
        <v>17327169</v>
      </c>
      <c r="AS138" s="122">
        <f t="shared" ref="AS138:AT138" si="375">AX138-AN138-AI138</f>
        <v>32541614</v>
      </c>
      <c r="AT138" s="122">
        <f t="shared" si="375"/>
        <v>11111279</v>
      </c>
      <c r="AU138" s="133">
        <v>0.98799999999999999</v>
      </c>
      <c r="AV138" s="133">
        <v>0.47699999999999998</v>
      </c>
      <c r="AW138" s="126">
        <v>181554465</v>
      </c>
      <c r="AX138" s="130">
        <v>39278153</v>
      </c>
      <c r="AY138" s="130">
        <v>15685534</v>
      </c>
      <c r="AZ138" s="111">
        <f t="shared" si="18"/>
        <v>0.21634363550353883</v>
      </c>
      <c r="BA138" s="111">
        <f t="shared" si="19"/>
        <v>8.6395749066265043E-2</v>
      </c>
      <c r="BB138" s="134">
        <f t="shared" ref="BB138:BC138" si="376">AX138-AX137</f>
        <v>2246327</v>
      </c>
      <c r="BC138" s="134">
        <f t="shared" si="376"/>
        <v>431313</v>
      </c>
      <c r="BD138" s="132">
        <f t="shared" si="296"/>
        <v>160001347</v>
      </c>
      <c r="BE138" s="132">
        <f t="shared" ref="BE138:BF138" si="377">AX138-AN138-BJ138</f>
        <v>33843470</v>
      </c>
      <c r="BF138" s="132">
        <f t="shared" si="377"/>
        <v>12544637</v>
      </c>
      <c r="BG138" s="131">
        <f t="shared" si="227"/>
        <v>0.21151990676678492</v>
      </c>
      <c r="BH138" s="131">
        <f t="shared" si="228"/>
        <v>7.8403321192039716E-2</v>
      </c>
      <c r="BI138" s="132">
        <v>40913343</v>
      </c>
      <c r="BJ138" s="126">
        <v>277286</v>
      </c>
      <c r="BK138" s="135">
        <f t="shared" si="372"/>
        <v>0</v>
      </c>
      <c r="BL138" s="131">
        <f t="shared" si="298"/>
        <v>6.7773977794970217E-3</v>
      </c>
      <c r="BM138" s="131">
        <f t="shared" si="299"/>
        <v>0</v>
      </c>
      <c r="BN138" s="131">
        <f t="shared" ref="BN138:BO138" si="378">V138/BB138</f>
        <v>6.4330794225417764E-2</v>
      </c>
      <c r="BO138" s="131">
        <f t="shared" si="378"/>
        <v>1.0266326310591149E-2</v>
      </c>
      <c r="BP138" s="136">
        <v>126643</v>
      </c>
      <c r="BQ138" s="136">
        <v>46473</v>
      </c>
      <c r="BR138" s="136" t="s">
        <v>366</v>
      </c>
      <c r="BS138" s="136" t="s">
        <v>366</v>
      </c>
    </row>
    <row r="139" spans="1:71" x14ac:dyDescent="0.25">
      <c r="A139" s="125">
        <v>44393</v>
      </c>
      <c r="B139" s="126">
        <v>112301</v>
      </c>
      <c r="C139" s="127">
        <v>136733</v>
      </c>
      <c r="D139" s="127">
        <v>121794</v>
      </c>
      <c r="E139" s="128">
        <f t="shared" si="0"/>
        <v>1.2175581695621589</v>
      </c>
      <c r="F139" s="128">
        <f t="shared" si="1"/>
        <v>1.0845317494946616</v>
      </c>
      <c r="G139" s="126">
        <v>911631</v>
      </c>
      <c r="H139" s="127">
        <v>627222</v>
      </c>
      <c r="I139" s="127">
        <v>540127</v>
      </c>
      <c r="J139" s="129">
        <f t="shared" si="2"/>
        <v>0.6880217982933885</v>
      </c>
      <c r="K139" s="129">
        <f t="shared" si="3"/>
        <v>0.59248423978561504</v>
      </c>
      <c r="L139" s="126">
        <v>1976757</v>
      </c>
      <c r="M139" s="130">
        <f t="shared" si="202"/>
        <v>5473787</v>
      </c>
      <c r="N139" s="130">
        <f t="shared" si="210"/>
        <v>1314975</v>
      </c>
      <c r="O139" s="128">
        <f t="shared" si="4"/>
        <v>2.7690742969419104</v>
      </c>
      <c r="P139" s="128">
        <f t="shared" si="5"/>
        <v>0.66521833487879389</v>
      </c>
      <c r="Q139" s="126">
        <v>8815157</v>
      </c>
      <c r="R139" s="126">
        <v>6237742</v>
      </c>
      <c r="S139" s="126">
        <v>1976896</v>
      </c>
      <c r="T139" s="131">
        <f t="shared" si="8"/>
        <v>0.70761553084080064</v>
      </c>
      <c r="U139" s="131">
        <f t="shared" si="9"/>
        <v>0.22426100862412321</v>
      </c>
      <c r="V139" s="132">
        <f t="shared" si="215"/>
        <v>167749</v>
      </c>
      <c r="W139" s="132">
        <f t="shared" si="220"/>
        <v>6588</v>
      </c>
      <c r="X139" s="132">
        <f t="shared" si="290"/>
        <v>7903526</v>
      </c>
      <c r="Y139" s="132">
        <f t="shared" ref="Y139:Z139" si="379">R139-H139-AD139</f>
        <v>5363627</v>
      </c>
      <c r="Z139" s="132">
        <f t="shared" si="379"/>
        <v>1436764</v>
      </c>
      <c r="AA139" s="131">
        <f t="shared" si="222"/>
        <v>0.67863723102827778</v>
      </c>
      <c r="AB139" s="131">
        <f t="shared" si="223"/>
        <v>0.18178772360589437</v>
      </c>
      <c r="AC139" s="126">
        <v>984719</v>
      </c>
      <c r="AD139" s="126">
        <v>246893</v>
      </c>
      <c r="AE139" s="126">
        <v>5</v>
      </c>
      <c r="AF139" s="133">
        <f t="shared" si="292"/>
        <v>0.25072431830806557</v>
      </c>
      <c r="AG139" s="133">
        <f t="shared" si="293"/>
        <v>5.0775906629200816E-6</v>
      </c>
      <c r="AH139" s="126">
        <v>1468764</v>
      </c>
      <c r="AI139" s="127">
        <v>1580740</v>
      </c>
      <c r="AJ139" s="127">
        <v>1434660</v>
      </c>
      <c r="AK139" s="133">
        <v>1.046</v>
      </c>
      <c r="AL139" s="133">
        <v>0.95599999999999996</v>
      </c>
      <c r="AM139" s="127">
        <v>21553118</v>
      </c>
      <c r="AN139" s="127">
        <v>5179165</v>
      </c>
      <c r="AO139" s="127">
        <v>3170849</v>
      </c>
      <c r="AP139" s="133">
        <v>0.19700000000000001</v>
      </c>
      <c r="AQ139" s="133">
        <v>0.11799999999999999</v>
      </c>
      <c r="AR139" s="126">
        <v>17327169</v>
      </c>
      <c r="AS139" s="122">
        <f t="shared" ref="AS139:AT139" si="380">AX139-AN139-AI139</f>
        <v>33183099</v>
      </c>
      <c r="AT139" s="122">
        <f t="shared" si="380"/>
        <v>11271268</v>
      </c>
      <c r="AU139" s="133">
        <v>0.98799999999999999</v>
      </c>
      <c r="AV139" s="133">
        <v>0.47699999999999998</v>
      </c>
      <c r="AW139" s="126">
        <v>181554465</v>
      </c>
      <c r="AX139" s="130">
        <v>39943004</v>
      </c>
      <c r="AY139" s="130">
        <v>15876777</v>
      </c>
      <c r="AZ139" s="111">
        <f t="shared" si="18"/>
        <v>0.22000562751238312</v>
      </c>
      <c r="BA139" s="111">
        <f t="shared" si="19"/>
        <v>8.7449113410678167E-2</v>
      </c>
      <c r="BB139" s="134">
        <f t="shared" ref="BB139:BC139" si="381">AX139-AX138</f>
        <v>664851</v>
      </c>
      <c r="BC139" s="134">
        <f t="shared" si="381"/>
        <v>191243</v>
      </c>
      <c r="BD139" s="132">
        <f t="shared" si="296"/>
        <v>160001347</v>
      </c>
      <c r="BE139" s="132">
        <f t="shared" ref="BE139:BF139" si="382">AX139-AN139-BJ139</f>
        <v>34432744</v>
      </c>
      <c r="BF139" s="132">
        <f t="shared" si="382"/>
        <v>12705907</v>
      </c>
      <c r="BG139" s="131">
        <f t="shared" si="227"/>
        <v>0.21520283826110539</v>
      </c>
      <c r="BH139" s="131">
        <f t="shared" si="228"/>
        <v>7.9411250206537318E-2</v>
      </c>
      <c r="BI139" s="132">
        <v>40913344</v>
      </c>
      <c r="BJ139" s="126">
        <v>331095</v>
      </c>
      <c r="BK139" s="135">
        <v>21</v>
      </c>
      <c r="BL139" s="131">
        <f t="shared" si="298"/>
        <v>8.0925919915028205E-3</v>
      </c>
      <c r="BM139" s="131">
        <f t="shared" si="299"/>
        <v>5.1327997046635929E-7</v>
      </c>
      <c r="BN139" s="131">
        <f t="shared" ref="BN139:BO139" si="383">V139/BB139</f>
        <v>0.25231066810458286</v>
      </c>
      <c r="BO139" s="131">
        <f t="shared" si="383"/>
        <v>3.4448319677060073E-2</v>
      </c>
      <c r="BP139" s="136">
        <v>129796</v>
      </c>
      <c r="BQ139" s="136">
        <v>49892</v>
      </c>
      <c r="BR139" s="136" t="s">
        <v>366</v>
      </c>
      <c r="BS139" s="136" t="s">
        <v>366</v>
      </c>
    </row>
    <row r="140" spans="1:71" x14ac:dyDescent="0.25">
      <c r="A140" s="125">
        <v>44394</v>
      </c>
      <c r="B140" s="126">
        <v>112301</v>
      </c>
      <c r="C140" s="127">
        <v>136733</v>
      </c>
      <c r="D140" s="127">
        <v>121794</v>
      </c>
      <c r="E140" s="128">
        <f t="shared" si="0"/>
        <v>1.2175581695621589</v>
      </c>
      <c r="F140" s="128">
        <f t="shared" si="1"/>
        <v>1.0845317494946616</v>
      </c>
      <c r="G140" s="126">
        <v>911631</v>
      </c>
      <c r="H140" s="127">
        <v>628944</v>
      </c>
      <c r="I140" s="127">
        <v>540338</v>
      </c>
      <c r="J140" s="129">
        <f t="shared" si="2"/>
        <v>0.68991072045597401</v>
      </c>
      <c r="K140" s="129">
        <f t="shared" si="3"/>
        <v>0.5927156930819597</v>
      </c>
      <c r="L140" s="126">
        <v>1976757</v>
      </c>
      <c r="M140" s="130">
        <f t="shared" si="202"/>
        <v>5633668</v>
      </c>
      <c r="N140" s="130">
        <f t="shared" si="210"/>
        <v>1325708</v>
      </c>
      <c r="O140" s="128">
        <f t="shared" si="4"/>
        <v>2.8499547491168618</v>
      </c>
      <c r="P140" s="128">
        <f t="shared" si="5"/>
        <v>0.67064793497632735</v>
      </c>
      <c r="Q140" s="126">
        <v>8815157</v>
      </c>
      <c r="R140" s="126">
        <v>6399345</v>
      </c>
      <c r="S140" s="126">
        <v>1987840</v>
      </c>
      <c r="T140" s="131">
        <f t="shared" si="8"/>
        <v>0.7259479326346655</v>
      </c>
      <c r="U140" s="131">
        <f t="shared" si="9"/>
        <v>0.22550250664849192</v>
      </c>
      <c r="V140" s="132">
        <f t="shared" si="215"/>
        <v>161603</v>
      </c>
      <c r="W140" s="132">
        <f t="shared" si="220"/>
        <v>10944</v>
      </c>
      <c r="X140" s="132">
        <f t="shared" si="290"/>
        <v>7903526</v>
      </c>
      <c r="Y140" s="132">
        <f t="shared" ref="Y140:Z140" si="384">R140-H140-AD140</f>
        <v>5488970</v>
      </c>
      <c r="Z140" s="132">
        <f t="shared" si="384"/>
        <v>1447496</v>
      </c>
      <c r="AA140" s="131">
        <f t="shared" si="222"/>
        <v>0.69449635517109709</v>
      </c>
      <c r="AB140" s="131">
        <f t="shared" si="223"/>
        <v>0.18314559855942777</v>
      </c>
      <c r="AC140" s="126">
        <v>984719</v>
      </c>
      <c r="AD140" s="126">
        <v>281431</v>
      </c>
      <c r="AE140" s="126">
        <v>6</v>
      </c>
      <c r="AF140" s="133">
        <f t="shared" si="292"/>
        <v>0.28579828357125231</v>
      </c>
      <c r="AG140" s="133">
        <f t="shared" si="293"/>
        <v>6.0931087955040981E-6</v>
      </c>
      <c r="AH140" s="126">
        <v>1468764</v>
      </c>
      <c r="AI140" s="127">
        <v>1583086</v>
      </c>
      <c r="AJ140" s="127">
        <v>1436730</v>
      </c>
      <c r="AK140" s="133">
        <v>1.046</v>
      </c>
      <c r="AL140" s="133">
        <v>0.95599999999999996</v>
      </c>
      <c r="AM140" s="127">
        <v>21553118</v>
      </c>
      <c r="AN140" s="127">
        <v>5205397</v>
      </c>
      <c r="AO140" s="127">
        <v>3200390</v>
      </c>
      <c r="AP140" s="133">
        <v>0.19700000000000001</v>
      </c>
      <c r="AQ140" s="133">
        <v>0.11799999999999999</v>
      </c>
      <c r="AR140" s="126">
        <v>17327169</v>
      </c>
      <c r="AS140" s="122">
        <f t="shared" ref="AS140:AT140" si="385">AX140-AN140-AI140</f>
        <v>34123957</v>
      </c>
      <c r="AT140" s="122">
        <f t="shared" si="385"/>
        <v>11461879</v>
      </c>
      <c r="AU140" s="133">
        <v>0.98799999999999999</v>
      </c>
      <c r="AV140" s="133">
        <v>0.47699999999999998</v>
      </c>
      <c r="AW140" s="126">
        <v>181554465</v>
      </c>
      <c r="AX140" s="130">
        <v>40912440</v>
      </c>
      <c r="AY140" s="130">
        <v>16098999</v>
      </c>
      <c r="AZ140" s="111">
        <f t="shared" si="18"/>
        <v>0.22534527035730023</v>
      </c>
      <c r="BA140" s="111">
        <f t="shared" si="19"/>
        <v>8.8673109746984197E-2</v>
      </c>
      <c r="BB140" s="134">
        <f t="shared" ref="BB140:BC140" si="386">AX140-AX139</f>
        <v>969436</v>
      </c>
      <c r="BC140" s="134">
        <f t="shared" si="386"/>
        <v>222222</v>
      </c>
      <c r="BD140" s="132">
        <f t="shared" si="296"/>
        <v>160001347</v>
      </c>
      <c r="BE140" s="132">
        <f t="shared" ref="BE140:BF140" si="387">AX140-AN140-BJ140</f>
        <v>35303199</v>
      </c>
      <c r="BF140" s="132">
        <f t="shared" si="387"/>
        <v>12898581</v>
      </c>
      <c r="BG140" s="131">
        <f t="shared" si="227"/>
        <v>0.22064313621059703</v>
      </c>
      <c r="BH140" s="131">
        <f t="shared" si="228"/>
        <v>8.0615452568658694E-2</v>
      </c>
      <c r="BI140" s="132">
        <v>40913345</v>
      </c>
      <c r="BJ140" s="126">
        <v>403844</v>
      </c>
      <c r="BK140" s="135">
        <v>28</v>
      </c>
      <c r="BL140" s="131">
        <f t="shared" si="298"/>
        <v>9.8707157774559871E-3</v>
      </c>
      <c r="BM140" s="131">
        <f t="shared" si="299"/>
        <v>6.8437327722776029E-7</v>
      </c>
      <c r="BN140" s="131">
        <f t="shared" ref="BN140:BO140" si="388">V140/BB140</f>
        <v>0.16669795633749934</v>
      </c>
      <c r="BO140" s="131">
        <f t="shared" si="388"/>
        <v>4.924804924804925E-2</v>
      </c>
      <c r="BP140" s="136">
        <v>131880</v>
      </c>
      <c r="BQ140" s="136">
        <v>57111</v>
      </c>
      <c r="BR140" s="136" t="s">
        <v>366</v>
      </c>
      <c r="BS140" s="136" t="s">
        <v>366</v>
      </c>
    </row>
    <row r="141" spans="1:71" x14ac:dyDescent="0.25">
      <c r="A141" s="125">
        <v>44395</v>
      </c>
      <c r="B141" s="126">
        <v>112301</v>
      </c>
      <c r="C141" s="127">
        <v>136733</v>
      </c>
      <c r="D141" s="127">
        <v>121794</v>
      </c>
      <c r="E141" s="128">
        <f t="shared" si="0"/>
        <v>1.2175581695621589</v>
      </c>
      <c r="F141" s="128">
        <f t="shared" si="1"/>
        <v>1.0845317494946616</v>
      </c>
      <c r="G141" s="126">
        <v>911631</v>
      </c>
      <c r="H141" s="127">
        <v>629950</v>
      </c>
      <c r="I141" s="127">
        <v>540406</v>
      </c>
      <c r="J141" s="129">
        <f t="shared" si="2"/>
        <v>0.69101423712006282</v>
      </c>
      <c r="K141" s="129">
        <f t="shared" si="3"/>
        <v>0.59279028466561579</v>
      </c>
      <c r="L141" s="126">
        <v>1976757</v>
      </c>
      <c r="M141" s="130">
        <f t="shared" si="202"/>
        <v>5718225</v>
      </c>
      <c r="N141" s="130">
        <f t="shared" si="210"/>
        <v>1334017</v>
      </c>
      <c r="O141" s="128">
        <f t="shared" si="4"/>
        <v>2.8927303659478629</v>
      </c>
      <c r="P141" s="128">
        <f t="shared" si="5"/>
        <v>0.67485128419932239</v>
      </c>
      <c r="Q141" s="126">
        <v>8815157</v>
      </c>
      <c r="R141" s="126">
        <v>6484908</v>
      </c>
      <c r="S141" s="126">
        <v>1996217</v>
      </c>
      <c r="T141" s="131">
        <f t="shared" si="8"/>
        <v>0.73565428273143629</v>
      </c>
      <c r="U141" s="131">
        <f t="shared" si="9"/>
        <v>0.2264528016914503</v>
      </c>
      <c r="V141" s="132">
        <f t="shared" si="215"/>
        <v>85563</v>
      </c>
      <c r="W141" s="132">
        <f t="shared" si="220"/>
        <v>8377</v>
      </c>
      <c r="X141" s="132">
        <f t="shared" si="290"/>
        <v>7903526</v>
      </c>
      <c r="Y141" s="132">
        <f t="shared" ref="Y141:Z141" si="389">R141-H141-AD141</f>
        <v>5560001</v>
      </c>
      <c r="Z141" s="132">
        <f t="shared" si="389"/>
        <v>1455805</v>
      </c>
      <c r="AA141" s="131">
        <f t="shared" si="222"/>
        <v>0.70348360972052226</v>
      </c>
      <c r="AB141" s="131">
        <f t="shared" si="223"/>
        <v>0.18419690148422363</v>
      </c>
      <c r="AC141" s="126">
        <v>984719</v>
      </c>
      <c r="AD141" s="126">
        <v>294957</v>
      </c>
      <c r="AE141" s="126">
        <v>6</v>
      </c>
      <c r="AF141" s="133">
        <f t="shared" si="292"/>
        <v>0.29953418183258373</v>
      </c>
      <c r="AG141" s="133">
        <f t="shared" si="293"/>
        <v>6.0931087955040981E-6</v>
      </c>
      <c r="AH141" s="126">
        <v>1468764</v>
      </c>
      <c r="AI141" s="127">
        <v>1584016</v>
      </c>
      <c r="AJ141" s="127">
        <v>1437497</v>
      </c>
      <c r="AK141" s="133">
        <v>1.046</v>
      </c>
      <c r="AL141" s="133">
        <v>0.95599999999999996</v>
      </c>
      <c r="AM141" s="127">
        <v>21553118</v>
      </c>
      <c r="AN141" s="127">
        <v>5218972</v>
      </c>
      <c r="AO141" s="127">
        <v>3217057</v>
      </c>
      <c r="AP141" s="133">
        <v>0.19700000000000001</v>
      </c>
      <c r="AQ141" s="133">
        <v>0.11799999999999999</v>
      </c>
      <c r="AR141" s="126">
        <v>17327169</v>
      </c>
      <c r="AS141" s="122">
        <f t="shared" ref="AS141:AT141" si="390">AX141-AN141-AI141</f>
        <v>34465639</v>
      </c>
      <c r="AT141" s="122">
        <f t="shared" si="390"/>
        <v>11563301</v>
      </c>
      <c r="AU141" s="133">
        <v>0.98799999999999999</v>
      </c>
      <c r="AV141" s="133">
        <v>0.47699999999999998</v>
      </c>
      <c r="AW141" s="126">
        <v>181554465</v>
      </c>
      <c r="AX141" s="130">
        <v>41268627</v>
      </c>
      <c r="AY141" s="130">
        <v>16217855</v>
      </c>
      <c r="AZ141" s="111">
        <f t="shared" si="18"/>
        <v>0.22730714444285355</v>
      </c>
      <c r="BA141" s="111">
        <f t="shared" si="19"/>
        <v>8.9327767290107676E-2</v>
      </c>
      <c r="BB141" s="134">
        <f t="shared" ref="BB141:BC141" si="391">AX141-AX140</f>
        <v>356187</v>
      </c>
      <c r="BC141" s="134">
        <f t="shared" si="391"/>
        <v>118856</v>
      </c>
      <c r="BD141" s="132">
        <f t="shared" si="296"/>
        <v>160001347</v>
      </c>
      <c r="BE141" s="132">
        <f t="shared" ref="BE141:BF141" si="392">AX141-AN141-BJ141</f>
        <v>35628383</v>
      </c>
      <c r="BF141" s="132">
        <f t="shared" si="392"/>
        <v>13000769</v>
      </c>
      <c r="BG141" s="131">
        <f t="shared" si="227"/>
        <v>0.22267551910047356</v>
      </c>
      <c r="BH141" s="131">
        <f t="shared" si="228"/>
        <v>8.1254122191858791E-2</v>
      </c>
      <c r="BI141" s="132">
        <v>40913346</v>
      </c>
      <c r="BJ141" s="126">
        <v>421272</v>
      </c>
      <c r="BK141" s="135">
        <v>29</v>
      </c>
      <c r="BL141" s="131">
        <f t="shared" si="298"/>
        <v>1.0296689007054079E-2</v>
      </c>
      <c r="BM141" s="131">
        <f t="shared" si="299"/>
        <v>7.0881516266110333E-7</v>
      </c>
      <c r="BN141" s="131">
        <f t="shared" ref="BN141:BO141" si="393">V141/BB141</f>
        <v>0.24021932299606669</v>
      </c>
      <c r="BO141" s="131">
        <f t="shared" si="393"/>
        <v>7.0480245002355793E-2</v>
      </c>
      <c r="BP141" s="136">
        <v>134764</v>
      </c>
      <c r="BQ141" s="136">
        <v>61842</v>
      </c>
      <c r="BR141" s="136" t="s">
        <v>366</v>
      </c>
      <c r="BS141" s="136" t="s">
        <v>366</v>
      </c>
    </row>
    <row r="142" spans="1:71" x14ac:dyDescent="0.25">
      <c r="A142" s="125">
        <v>44396</v>
      </c>
      <c r="B142" s="126">
        <v>112301</v>
      </c>
      <c r="C142" s="127">
        <v>136733</v>
      </c>
      <c r="D142" s="127">
        <v>121794</v>
      </c>
      <c r="E142" s="128">
        <f t="shared" si="0"/>
        <v>1.2175581695621589</v>
      </c>
      <c r="F142" s="128">
        <f t="shared" si="1"/>
        <v>1.0845317494946616</v>
      </c>
      <c r="G142" s="126">
        <v>911631</v>
      </c>
      <c r="H142" s="127">
        <v>629950</v>
      </c>
      <c r="I142" s="127">
        <v>540406</v>
      </c>
      <c r="J142" s="129">
        <f t="shared" si="2"/>
        <v>0.69101423712006282</v>
      </c>
      <c r="K142" s="129">
        <f t="shared" si="3"/>
        <v>0.59279028466561579</v>
      </c>
      <c r="L142" s="126">
        <v>1976757</v>
      </c>
      <c r="M142" s="130">
        <f t="shared" si="202"/>
        <v>5771763</v>
      </c>
      <c r="N142" s="130">
        <f t="shared" si="210"/>
        <v>1339813</v>
      </c>
      <c r="O142" s="128">
        <f t="shared" si="4"/>
        <v>2.9198141197931764</v>
      </c>
      <c r="P142" s="128">
        <f t="shared" si="5"/>
        <v>0.67778335931022382</v>
      </c>
      <c r="Q142" s="126">
        <v>8815157</v>
      </c>
      <c r="R142" s="126">
        <v>6538446</v>
      </c>
      <c r="S142" s="126">
        <v>2002013</v>
      </c>
      <c r="T142" s="131">
        <f t="shared" si="8"/>
        <v>0.74172768562148128</v>
      </c>
      <c r="U142" s="131">
        <f t="shared" si="9"/>
        <v>0.2271103055793561</v>
      </c>
      <c r="V142" s="132">
        <f t="shared" si="215"/>
        <v>53538</v>
      </c>
      <c r="W142" s="132">
        <f t="shared" si="220"/>
        <v>5796</v>
      </c>
      <c r="X142" s="132">
        <f t="shared" si="290"/>
        <v>7903526</v>
      </c>
      <c r="Y142" s="132">
        <f t="shared" ref="Y142:Z142" si="394">R142-H142-AD142</f>
        <v>5605037</v>
      </c>
      <c r="Z142" s="132">
        <f t="shared" si="394"/>
        <v>1461601</v>
      </c>
      <c r="AA142" s="131">
        <f t="shared" si="222"/>
        <v>0.70918182593439938</v>
      </c>
      <c r="AB142" s="131">
        <f t="shared" si="223"/>
        <v>0.18493024505771222</v>
      </c>
      <c r="AC142" s="126">
        <v>984719</v>
      </c>
      <c r="AD142" s="126">
        <v>303459</v>
      </c>
      <c r="AE142" s="126">
        <v>6</v>
      </c>
      <c r="AF142" s="133">
        <f t="shared" si="292"/>
        <v>0.30816811699581304</v>
      </c>
      <c r="AG142" s="133">
        <f t="shared" si="293"/>
        <v>6.0931087955040981E-6</v>
      </c>
      <c r="AH142" s="126">
        <v>1468764</v>
      </c>
      <c r="AI142" s="127">
        <v>1585054</v>
      </c>
      <c r="AJ142" s="127">
        <v>1438119</v>
      </c>
      <c r="AK142" s="133">
        <v>1.046</v>
      </c>
      <c r="AL142" s="133">
        <v>0.95599999999999996</v>
      </c>
      <c r="AM142" s="127">
        <v>21553118</v>
      </c>
      <c r="AN142" s="127">
        <v>5231538</v>
      </c>
      <c r="AO142" s="127">
        <v>3222426</v>
      </c>
      <c r="AP142" s="133">
        <v>0.19700000000000001</v>
      </c>
      <c r="AQ142" s="133">
        <v>0.11799999999999999</v>
      </c>
      <c r="AR142" s="126">
        <v>17327169</v>
      </c>
      <c r="AS142" s="122">
        <f t="shared" ref="AS142:AT142" si="395">AX142-AN142-AI142</f>
        <v>34961471</v>
      </c>
      <c r="AT142" s="122">
        <f t="shared" si="395"/>
        <v>11622798</v>
      </c>
      <c r="AU142" s="133">
        <v>0.98799999999999999</v>
      </c>
      <c r="AV142" s="133">
        <v>0.47699999999999998</v>
      </c>
      <c r="AW142" s="126">
        <v>181554465</v>
      </c>
      <c r="AX142" s="130">
        <v>41778063</v>
      </c>
      <c r="AY142" s="130">
        <v>16283343</v>
      </c>
      <c r="AZ142" s="111">
        <f t="shared" si="18"/>
        <v>0.23011311233794224</v>
      </c>
      <c r="BA142" s="111">
        <f t="shared" si="19"/>
        <v>8.9688474475138905E-2</v>
      </c>
      <c r="BB142" s="134">
        <f t="shared" ref="BB142:BC142" si="396">AX142-AX141</f>
        <v>509436</v>
      </c>
      <c r="BC142" s="134">
        <f t="shared" si="396"/>
        <v>65488</v>
      </c>
      <c r="BD142" s="132">
        <f t="shared" si="296"/>
        <v>160001347</v>
      </c>
      <c r="BE142" s="132">
        <f t="shared" ref="BE142:BF142" si="397">AX142-AN142-BJ142</f>
        <v>36103915</v>
      </c>
      <c r="BF142" s="132">
        <f t="shared" si="397"/>
        <v>13060887</v>
      </c>
      <c r="BG142" s="131">
        <f t="shared" si="227"/>
        <v>0.22564756907952782</v>
      </c>
      <c r="BH142" s="131">
        <f t="shared" si="228"/>
        <v>8.162985652864535E-2</v>
      </c>
      <c r="BI142" s="132">
        <v>40913347</v>
      </c>
      <c r="BJ142" s="126">
        <v>442610</v>
      </c>
      <c r="BK142" s="135">
        <v>30</v>
      </c>
      <c r="BL142" s="131">
        <f t="shared" si="298"/>
        <v>1.0818230050941567E-2</v>
      </c>
      <c r="BM142" s="131">
        <f t="shared" si="299"/>
        <v>7.3325704689963398E-7</v>
      </c>
      <c r="BN142" s="131">
        <f t="shared" ref="BN142:BO142" si="398">V142/BB142</f>
        <v>0.10509269074034815</v>
      </c>
      <c r="BO142" s="131">
        <f t="shared" si="398"/>
        <v>8.8504764231614949E-2</v>
      </c>
      <c r="BP142" s="136">
        <v>136567</v>
      </c>
      <c r="BQ142" s="136">
        <v>65489</v>
      </c>
      <c r="BR142" s="136" t="s">
        <v>366</v>
      </c>
      <c r="BS142" s="136" t="s">
        <v>366</v>
      </c>
    </row>
    <row r="143" spans="1:71" x14ac:dyDescent="0.25">
      <c r="A143" s="125">
        <v>44397</v>
      </c>
      <c r="B143" s="126">
        <v>112301</v>
      </c>
      <c r="C143" s="127">
        <v>136733</v>
      </c>
      <c r="D143" s="127">
        <v>121794</v>
      </c>
      <c r="E143" s="128">
        <f t="shared" si="0"/>
        <v>1.2175581695621589</v>
      </c>
      <c r="F143" s="128">
        <f t="shared" si="1"/>
        <v>1.0845317494946616</v>
      </c>
      <c r="G143" s="126">
        <v>911631</v>
      </c>
      <c r="H143" s="127">
        <v>629950</v>
      </c>
      <c r="I143" s="127">
        <v>540406</v>
      </c>
      <c r="J143" s="129">
        <f t="shared" si="2"/>
        <v>0.69101423712006282</v>
      </c>
      <c r="K143" s="129">
        <f t="shared" si="3"/>
        <v>0.59279028466561579</v>
      </c>
      <c r="L143" s="126">
        <v>1976757</v>
      </c>
      <c r="M143" s="130">
        <f t="shared" si="202"/>
        <v>5879802</v>
      </c>
      <c r="N143" s="130">
        <f t="shared" si="210"/>
        <v>1359286</v>
      </c>
      <c r="O143" s="128">
        <f t="shared" si="4"/>
        <v>2.9744687890317323</v>
      </c>
      <c r="P143" s="128">
        <f t="shared" si="5"/>
        <v>0.68763434251149735</v>
      </c>
      <c r="Q143" s="126">
        <v>8815157</v>
      </c>
      <c r="R143" s="126">
        <v>6646485</v>
      </c>
      <c r="S143" s="126">
        <v>2021486</v>
      </c>
      <c r="T143" s="131">
        <f t="shared" si="8"/>
        <v>0.75398373505996552</v>
      </c>
      <c r="U143" s="131">
        <f t="shared" si="9"/>
        <v>0.22931934167479945</v>
      </c>
      <c r="V143" s="132">
        <f t="shared" si="215"/>
        <v>108039</v>
      </c>
      <c r="W143" s="132">
        <f t="shared" si="220"/>
        <v>19473</v>
      </c>
      <c r="X143" s="132">
        <f t="shared" si="290"/>
        <v>7903526</v>
      </c>
      <c r="Y143" s="132">
        <f t="shared" ref="Y143:Z143" si="399">R143-H143-AD143</f>
        <v>5686856</v>
      </c>
      <c r="Z143" s="132">
        <f t="shared" si="399"/>
        <v>1481072</v>
      </c>
      <c r="AA143" s="131">
        <f t="shared" si="222"/>
        <v>0.71953404088251249</v>
      </c>
      <c r="AB143" s="131">
        <f t="shared" si="223"/>
        <v>0.18739382903276336</v>
      </c>
      <c r="AC143" s="126">
        <v>984719</v>
      </c>
      <c r="AD143" s="126">
        <v>329679</v>
      </c>
      <c r="AE143" s="126">
        <v>8</v>
      </c>
      <c r="AF143" s="133">
        <f t="shared" si="292"/>
        <v>0.33479500243216592</v>
      </c>
      <c r="AG143" s="133">
        <f t="shared" si="293"/>
        <v>8.1241450606721302E-6</v>
      </c>
      <c r="AH143" s="126">
        <v>1468764</v>
      </c>
      <c r="AI143" s="127">
        <v>1586172</v>
      </c>
      <c r="AJ143" s="127">
        <v>1439234</v>
      </c>
      <c r="AK143" s="133">
        <v>1.046</v>
      </c>
      <c r="AL143" s="133">
        <v>0.95599999999999996</v>
      </c>
      <c r="AM143" s="127">
        <v>21553118</v>
      </c>
      <c r="AN143" s="127">
        <v>4704081</v>
      </c>
      <c r="AO143" s="127">
        <v>2965880</v>
      </c>
      <c r="AP143" s="133">
        <v>0.19700000000000001</v>
      </c>
      <c r="AQ143" s="133">
        <v>0.11799999999999999</v>
      </c>
      <c r="AR143" s="126">
        <v>17327169</v>
      </c>
      <c r="AS143" s="122">
        <f t="shared" ref="AS143:AT143" si="400">AX143-AN143-AI143</f>
        <v>36023478</v>
      </c>
      <c r="AT143" s="122">
        <f t="shared" si="400"/>
        <v>12039348</v>
      </c>
      <c r="AU143" s="133">
        <v>0.98799999999999999</v>
      </c>
      <c r="AV143" s="133">
        <v>0.47699999999999998</v>
      </c>
      <c r="AW143" s="126">
        <v>181554465</v>
      </c>
      <c r="AX143" s="130">
        <v>42313731</v>
      </c>
      <c r="AY143" s="130">
        <v>16444462</v>
      </c>
      <c r="AZ143" s="111">
        <f t="shared" si="18"/>
        <v>0.23306356580103937</v>
      </c>
      <c r="BA143" s="111">
        <f t="shared" si="19"/>
        <v>9.0575916158272402E-2</v>
      </c>
      <c r="BB143" s="134">
        <f t="shared" ref="BB143:BC143" si="401">AX143-AX142</f>
        <v>535668</v>
      </c>
      <c r="BC143" s="134">
        <f t="shared" si="401"/>
        <v>161119</v>
      </c>
      <c r="BD143" s="132">
        <f t="shared" si="296"/>
        <v>160001347</v>
      </c>
      <c r="BE143" s="132">
        <f t="shared" ref="BE143:BF143" si="402">AX143-AN143-BJ143</f>
        <v>37119767</v>
      </c>
      <c r="BF143" s="132">
        <f t="shared" si="402"/>
        <v>13478551</v>
      </c>
      <c r="BG143" s="131">
        <f t="shared" si="227"/>
        <v>0.23199659062870265</v>
      </c>
      <c r="BH143" s="131">
        <f t="shared" si="228"/>
        <v>8.4240234552525356E-2</v>
      </c>
      <c r="BI143" s="132">
        <v>40913348</v>
      </c>
      <c r="BJ143" s="126">
        <v>489883</v>
      </c>
      <c r="BK143" s="135">
        <v>31</v>
      </c>
      <c r="BL143" s="131">
        <f t="shared" si="298"/>
        <v>1.197367177088514E-2</v>
      </c>
      <c r="BM143" s="131">
        <f t="shared" si="299"/>
        <v>7.5769892994335245E-7</v>
      </c>
      <c r="BN143" s="131">
        <f t="shared" ref="BN143:BO143" si="403">V143/BB143</f>
        <v>0.20169022603552947</v>
      </c>
      <c r="BO143" s="131">
        <f t="shared" si="403"/>
        <v>0.12086097853139605</v>
      </c>
      <c r="BP143" s="136">
        <v>138195</v>
      </c>
      <c r="BQ143" s="136">
        <v>70404</v>
      </c>
      <c r="BR143" s="136" t="s">
        <v>366</v>
      </c>
      <c r="BS143" s="136" t="s">
        <v>366</v>
      </c>
    </row>
    <row r="144" spans="1:71" x14ac:dyDescent="0.25">
      <c r="A144" s="125">
        <v>44398</v>
      </c>
      <c r="B144" s="126">
        <v>112301</v>
      </c>
      <c r="C144" s="127">
        <v>136733</v>
      </c>
      <c r="D144" s="127">
        <v>121794</v>
      </c>
      <c r="E144" s="128">
        <f t="shared" si="0"/>
        <v>1.2175581695621589</v>
      </c>
      <c r="F144" s="128">
        <f t="shared" si="1"/>
        <v>1.0845317494946616</v>
      </c>
      <c r="G144" s="126">
        <v>911631</v>
      </c>
      <c r="H144" s="127">
        <v>629950</v>
      </c>
      <c r="I144" s="127">
        <v>540406</v>
      </c>
      <c r="J144" s="129">
        <f t="shared" si="2"/>
        <v>0.69101423712006282</v>
      </c>
      <c r="K144" s="129">
        <f t="shared" si="3"/>
        <v>0.59279028466561579</v>
      </c>
      <c r="L144" s="126">
        <v>1976757</v>
      </c>
      <c r="M144" s="130">
        <f t="shared" si="202"/>
        <v>5885328</v>
      </c>
      <c r="N144" s="130">
        <f t="shared" si="210"/>
        <v>1359580</v>
      </c>
      <c r="O144" s="128">
        <f t="shared" si="4"/>
        <v>2.9772642767927469</v>
      </c>
      <c r="P144" s="128">
        <f t="shared" si="5"/>
        <v>0.68778307095915181</v>
      </c>
      <c r="Q144" s="126">
        <v>8815157</v>
      </c>
      <c r="R144" s="126">
        <v>6652011</v>
      </c>
      <c r="S144" s="126">
        <v>2021780</v>
      </c>
      <c r="T144" s="131">
        <f t="shared" si="8"/>
        <v>0.75461060988477002</v>
      </c>
      <c r="U144" s="131">
        <f t="shared" si="9"/>
        <v>0.22935269332128741</v>
      </c>
      <c r="V144" s="132">
        <f t="shared" si="215"/>
        <v>5526</v>
      </c>
      <c r="W144" s="132">
        <f t="shared" si="220"/>
        <v>294</v>
      </c>
      <c r="X144" s="132">
        <f t="shared" si="290"/>
        <v>7903526</v>
      </c>
      <c r="Y144" s="132">
        <f t="shared" ref="Y144:Z144" si="404">R144-H144-AD144</f>
        <v>5691911</v>
      </c>
      <c r="Z144" s="132">
        <f t="shared" si="404"/>
        <v>1481366</v>
      </c>
      <c r="AA144" s="131">
        <f t="shared" si="222"/>
        <v>0.72017362883351055</v>
      </c>
      <c r="AB144" s="131">
        <f t="shared" si="223"/>
        <v>0.18743102761982436</v>
      </c>
      <c r="AC144" s="126">
        <v>984719</v>
      </c>
      <c r="AD144" s="126">
        <v>330150</v>
      </c>
      <c r="AE144" s="126">
        <v>8</v>
      </c>
      <c r="AF144" s="133">
        <f t="shared" si="292"/>
        <v>0.33527331147261302</v>
      </c>
      <c r="AG144" s="133">
        <f t="shared" si="293"/>
        <v>8.1241450606721302E-6</v>
      </c>
      <c r="AH144" s="126">
        <v>1468764</v>
      </c>
      <c r="AI144" s="127">
        <v>1586252</v>
      </c>
      <c r="AJ144" s="127">
        <v>1439349</v>
      </c>
      <c r="AK144" s="133">
        <v>1.046</v>
      </c>
      <c r="AL144" s="133">
        <v>0.95599999999999996</v>
      </c>
      <c r="AM144" s="127">
        <v>21553118</v>
      </c>
      <c r="AN144" s="127">
        <v>4704925</v>
      </c>
      <c r="AO144" s="127">
        <v>2966504</v>
      </c>
      <c r="AP144" s="133">
        <v>0.19700000000000001</v>
      </c>
      <c r="AQ144" s="133">
        <v>0.11799999999999999</v>
      </c>
      <c r="AR144" s="126">
        <v>17327169</v>
      </c>
      <c r="AS144" s="122">
        <f t="shared" ref="AS144:AT144" si="405">AX144-AN144-AI144</f>
        <v>36053498</v>
      </c>
      <c r="AT144" s="122">
        <f t="shared" si="405"/>
        <v>12045435</v>
      </c>
      <c r="AU144" s="133">
        <v>0.98799999999999999</v>
      </c>
      <c r="AV144" s="133">
        <v>0.47699999999999998</v>
      </c>
      <c r="AW144" s="126">
        <v>181554465</v>
      </c>
      <c r="AX144" s="130">
        <v>42344675</v>
      </c>
      <c r="AY144" s="130">
        <v>16451288</v>
      </c>
      <c r="AZ144" s="111">
        <f t="shared" si="18"/>
        <v>0.23323400501331654</v>
      </c>
      <c r="BA144" s="111">
        <f t="shared" si="19"/>
        <v>9.0613513691332234E-2</v>
      </c>
      <c r="BB144" s="134">
        <f t="shared" ref="BB144:BC144" si="406">AX144-AX143</f>
        <v>30944</v>
      </c>
      <c r="BC144" s="134">
        <f t="shared" si="406"/>
        <v>6826</v>
      </c>
      <c r="BD144" s="132">
        <f t="shared" si="296"/>
        <v>160001347</v>
      </c>
      <c r="BE144" s="132">
        <f t="shared" ref="BE144:BF144" si="407">AX144-AN144-BJ144</f>
        <v>37149250</v>
      </c>
      <c r="BF144" s="132">
        <f t="shared" si="407"/>
        <v>13484752</v>
      </c>
      <c r="BG144" s="131">
        <f t="shared" si="227"/>
        <v>0.23218085782740316</v>
      </c>
      <c r="BH144" s="131">
        <f t="shared" si="228"/>
        <v>8.4278990476248927E-2</v>
      </c>
      <c r="BI144" s="132">
        <v>40913349</v>
      </c>
      <c r="BJ144" s="126">
        <v>490500</v>
      </c>
      <c r="BK144" s="135">
        <v>32</v>
      </c>
      <c r="BL144" s="131">
        <f t="shared" si="298"/>
        <v>1.1988752130753217E-2</v>
      </c>
      <c r="BM144" s="131">
        <f t="shared" si="299"/>
        <v>7.8214081179225884E-7</v>
      </c>
      <c r="BN144" s="131">
        <f t="shared" ref="BN144:BO144" si="408">V144/BB144</f>
        <v>0.17858066184074456</v>
      </c>
      <c r="BO144" s="131">
        <f t="shared" si="408"/>
        <v>4.3070612364488718E-2</v>
      </c>
      <c r="BP144" s="136">
        <v>138469</v>
      </c>
      <c r="BQ144" s="136">
        <v>70416</v>
      </c>
      <c r="BR144" s="136" t="s">
        <v>366</v>
      </c>
      <c r="BS144" s="136" t="s">
        <v>366</v>
      </c>
    </row>
    <row r="145" spans="1:71" x14ac:dyDescent="0.25">
      <c r="A145" s="125">
        <v>44399</v>
      </c>
      <c r="B145" s="126">
        <v>112301</v>
      </c>
      <c r="C145" s="127">
        <v>136733</v>
      </c>
      <c r="D145" s="127">
        <v>121794</v>
      </c>
      <c r="E145" s="128">
        <f t="shared" si="0"/>
        <v>1.2175581695621589</v>
      </c>
      <c r="F145" s="128">
        <f t="shared" si="1"/>
        <v>1.0845317494946616</v>
      </c>
      <c r="G145" s="126">
        <v>911631</v>
      </c>
      <c r="H145" s="127">
        <v>629950</v>
      </c>
      <c r="I145" s="127">
        <v>540406</v>
      </c>
      <c r="J145" s="129">
        <f t="shared" si="2"/>
        <v>0.69101423712006282</v>
      </c>
      <c r="K145" s="129">
        <f t="shared" si="3"/>
        <v>0.59279028466561579</v>
      </c>
      <c r="L145" s="126">
        <v>1976757</v>
      </c>
      <c r="M145" s="130">
        <f t="shared" si="202"/>
        <v>5986605</v>
      </c>
      <c r="N145" s="130">
        <f t="shared" si="210"/>
        <v>1405433</v>
      </c>
      <c r="O145" s="128">
        <f t="shared" si="4"/>
        <v>3.0284981917352511</v>
      </c>
      <c r="P145" s="128">
        <f t="shared" si="5"/>
        <v>0.71097914412343044</v>
      </c>
      <c r="Q145" s="126">
        <v>8815157</v>
      </c>
      <c r="R145" s="126">
        <v>6753288</v>
      </c>
      <c r="S145" s="126">
        <v>2067633</v>
      </c>
      <c r="T145" s="131">
        <f t="shared" si="8"/>
        <v>0.76609957145403085</v>
      </c>
      <c r="U145" s="131">
        <f t="shared" si="9"/>
        <v>0.23455430232269261</v>
      </c>
      <c r="V145" s="132">
        <f t="shared" si="215"/>
        <v>101277</v>
      </c>
      <c r="W145" s="132">
        <f t="shared" si="220"/>
        <v>45853</v>
      </c>
      <c r="X145" s="132">
        <f t="shared" si="290"/>
        <v>7903526</v>
      </c>
      <c r="Y145" s="132">
        <f t="shared" ref="Y145:Z145" si="409">R145-H145-AD145</f>
        <v>5766206</v>
      </c>
      <c r="Z145" s="132">
        <f t="shared" si="409"/>
        <v>1527216</v>
      </c>
      <c r="AA145" s="131">
        <f t="shared" si="222"/>
        <v>0.7295738636147967</v>
      </c>
      <c r="AB145" s="131">
        <f t="shared" si="223"/>
        <v>0.19323223584005417</v>
      </c>
      <c r="AC145" s="126">
        <v>984719</v>
      </c>
      <c r="AD145" s="126">
        <v>357132</v>
      </c>
      <c r="AE145" s="126">
        <v>11</v>
      </c>
      <c r="AF145" s="133">
        <f t="shared" si="292"/>
        <v>0.36267402172599494</v>
      </c>
      <c r="AG145" s="133">
        <f t="shared" si="293"/>
        <v>1.1170699458424181E-5</v>
      </c>
      <c r="AH145" s="126">
        <v>1468764</v>
      </c>
      <c r="AI145" s="127">
        <v>1587505</v>
      </c>
      <c r="AJ145" s="127">
        <v>1440945</v>
      </c>
      <c r="AK145" s="133">
        <v>1.046</v>
      </c>
      <c r="AL145" s="133">
        <v>0.95599999999999996</v>
      </c>
      <c r="AM145" s="127">
        <v>21553118</v>
      </c>
      <c r="AN145" s="127">
        <v>4720533</v>
      </c>
      <c r="AO145" s="127">
        <v>2987829</v>
      </c>
      <c r="AP145" s="133">
        <v>0.19700000000000001</v>
      </c>
      <c r="AQ145" s="133">
        <v>0.11799999999999999</v>
      </c>
      <c r="AR145" s="126">
        <v>17327169</v>
      </c>
      <c r="AS145" s="122">
        <f t="shared" ref="AS145:AT145" si="410">AX145-AN145-AI145</f>
        <v>36559985</v>
      </c>
      <c r="AT145" s="122">
        <f t="shared" si="410"/>
        <v>12284632</v>
      </c>
      <c r="AU145" s="133">
        <v>0.98799999999999999</v>
      </c>
      <c r="AV145" s="133">
        <v>0.47699999999999998</v>
      </c>
      <c r="AW145" s="126">
        <v>181554465</v>
      </c>
      <c r="AX145" s="130">
        <v>42868023</v>
      </c>
      <c r="AY145" s="130">
        <v>16713406</v>
      </c>
      <c r="AZ145" s="111">
        <f t="shared" si="18"/>
        <v>0.23611660005167046</v>
      </c>
      <c r="BA145" s="111">
        <f t="shared" si="19"/>
        <v>9.2057256757634681E-2</v>
      </c>
      <c r="BB145" s="134">
        <f t="shared" ref="BB145:BC145" si="411">AX145-AX144</f>
        <v>523348</v>
      </c>
      <c r="BC145" s="134">
        <f t="shared" si="411"/>
        <v>262118</v>
      </c>
      <c r="BD145" s="132">
        <f t="shared" si="296"/>
        <v>160001347</v>
      </c>
      <c r="BE145" s="132">
        <f t="shared" ref="BE145:BF145" si="412">AX145-AN145-BJ145</f>
        <v>37607472</v>
      </c>
      <c r="BF145" s="132">
        <f t="shared" si="412"/>
        <v>13725540</v>
      </c>
      <c r="BG145" s="131">
        <f t="shared" si="227"/>
        <v>0.23504472121725326</v>
      </c>
      <c r="BH145" s="131">
        <f t="shared" si="228"/>
        <v>8.5783902806768245E-2</v>
      </c>
      <c r="BI145" s="132">
        <v>40913349</v>
      </c>
      <c r="BJ145" s="126">
        <v>540018</v>
      </c>
      <c r="BK145" s="135">
        <v>37</v>
      </c>
      <c r="BL145" s="131">
        <f t="shared" si="298"/>
        <v>1.3199066153201001E-2</v>
      </c>
      <c r="BM145" s="131">
        <f t="shared" si="299"/>
        <v>9.0435031363479925E-7</v>
      </c>
      <c r="BN145" s="131">
        <f t="shared" ref="BN145:BO145" si="413">V145/BB145</f>
        <v>0.19351750651574096</v>
      </c>
      <c r="BO145" s="131">
        <f t="shared" si="413"/>
        <v>0.17493266391472542</v>
      </c>
      <c r="BP145" s="136">
        <v>139632</v>
      </c>
      <c r="BQ145" s="136">
        <v>77080</v>
      </c>
      <c r="BR145" s="136" t="s">
        <v>366</v>
      </c>
      <c r="BS145" s="136" t="s">
        <v>366</v>
      </c>
    </row>
    <row r="146" spans="1:71" x14ac:dyDescent="0.25">
      <c r="A146" s="125">
        <v>44400</v>
      </c>
      <c r="B146" s="126">
        <v>112301</v>
      </c>
      <c r="C146" s="127">
        <v>136733</v>
      </c>
      <c r="D146" s="127">
        <v>121794</v>
      </c>
      <c r="E146" s="128">
        <f t="shared" si="0"/>
        <v>1.2175581695621589</v>
      </c>
      <c r="F146" s="128">
        <f t="shared" si="1"/>
        <v>1.0845317494946616</v>
      </c>
      <c r="G146" s="126">
        <v>911631</v>
      </c>
      <c r="H146" s="127">
        <v>629950</v>
      </c>
      <c r="I146" s="127">
        <v>540406</v>
      </c>
      <c r="J146" s="129">
        <f t="shared" si="2"/>
        <v>0.69101423712006282</v>
      </c>
      <c r="K146" s="129">
        <f t="shared" si="3"/>
        <v>0.59279028466561579</v>
      </c>
      <c r="L146" s="126">
        <v>1976757</v>
      </c>
      <c r="M146" s="130">
        <f t="shared" si="202"/>
        <v>6103614</v>
      </c>
      <c r="N146" s="130">
        <f t="shared" si="210"/>
        <v>1461849</v>
      </c>
      <c r="O146" s="128">
        <f t="shared" si="4"/>
        <v>3.0876905962644878</v>
      </c>
      <c r="P146" s="128">
        <f t="shared" si="5"/>
        <v>0.73951881794272134</v>
      </c>
      <c r="Q146" s="126">
        <v>8815157</v>
      </c>
      <c r="R146" s="126">
        <v>6870297</v>
      </c>
      <c r="S146" s="126">
        <v>2124049</v>
      </c>
      <c r="T146" s="131">
        <f t="shared" si="8"/>
        <v>0.77937318643332165</v>
      </c>
      <c r="U146" s="131">
        <f t="shared" si="9"/>
        <v>0.24095418833720147</v>
      </c>
      <c r="V146" s="132">
        <f t="shared" si="215"/>
        <v>117009</v>
      </c>
      <c r="W146" s="132">
        <f t="shared" si="220"/>
        <v>56416</v>
      </c>
      <c r="X146" s="132">
        <f t="shared" si="290"/>
        <v>7903526</v>
      </c>
      <c r="Y146" s="132">
        <f t="shared" ref="Y146:Z146" si="414">R146-H146-AD146</f>
        <v>5849471</v>
      </c>
      <c r="Z146" s="132">
        <f t="shared" si="414"/>
        <v>1583629</v>
      </c>
      <c r="AA146" s="131">
        <f t="shared" si="222"/>
        <v>0.74010903487886293</v>
      </c>
      <c r="AB146" s="131">
        <f t="shared" si="223"/>
        <v>0.20036993615254761</v>
      </c>
      <c r="AC146" s="126">
        <v>984719</v>
      </c>
      <c r="AD146" s="126">
        <v>390876</v>
      </c>
      <c r="AE146" s="126">
        <v>14</v>
      </c>
      <c r="AF146" s="133">
        <f t="shared" si="292"/>
        <v>0.39694166559190996</v>
      </c>
      <c r="AG146" s="133">
        <f t="shared" si="293"/>
        <v>1.4217253856176229E-5</v>
      </c>
      <c r="AH146" s="126">
        <v>1468764</v>
      </c>
      <c r="AI146" s="127">
        <v>1588326</v>
      </c>
      <c r="AJ146" s="127">
        <v>1441989</v>
      </c>
      <c r="AK146" s="133">
        <v>1.046</v>
      </c>
      <c r="AL146" s="133">
        <v>0.95599999999999996</v>
      </c>
      <c r="AM146" s="127">
        <v>21553118</v>
      </c>
      <c r="AN146" s="127">
        <v>4730337</v>
      </c>
      <c r="AO146" s="127">
        <v>3002630</v>
      </c>
      <c r="AP146" s="133">
        <v>0.19700000000000001</v>
      </c>
      <c r="AQ146" s="133">
        <v>0.11799999999999999</v>
      </c>
      <c r="AR146" s="126">
        <v>17327169</v>
      </c>
      <c r="AS146" s="122">
        <f t="shared" ref="AS146:AT146" si="415">AX146-AN146-AI146</f>
        <v>36837132</v>
      </c>
      <c r="AT146" s="122">
        <f t="shared" si="415"/>
        <v>12451581</v>
      </c>
      <c r="AU146" s="133">
        <v>0.98799999999999999</v>
      </c>
      <c r="AV146" s="133">
        <v>0.47699999999999998</v>
      </c>
      <c r="AW146" s="126">
        <v>181554465</v>
      </c>
      <c r="AX146" s="130">
        <v>43155795</v>
      </c>
      <c r="AY146" s="130">
        <v>16896200</v>
      </c>
      <c r="AZ146" s="111">
        <f t="shared" si="18"/>
        <v>0.23770164506832703</v>
      </c>
      <c r="BA146" s="111">
        <f t="shared" si="19"/>
        <v>9.3064084102806283E-2</v>
      </c>
      <c r="BB146" s="134">
        <f t="shared" ref="BB146:BC146" si="416">AX146-AX145</f>
        <v>287772</v>
      </c>
      <c r="BC146" s="134">
        <f t="shared" si="416"/>
        <v>182794</v>
      </c>
      <c r="BD146" s="132">
        <f t="shared" si="296"/>
        <v>160001347</v>
      </c>
      <c r="BE146" s="132">
        <f t="shared" ref="BE146:BF146" si="417">AX146-AN146-BJ146</f>
        <v>37861098</v>
      </c>
      <c r="BF146" s="132">
        <f t="shared" si="417"/>
        <v>13893531</v>
      </c>
      <c r="BG146" s="131">
        <f t="shared" si="227"/>
        <v>0.23662987037227881</v>
      </c>
      <c r="BH146" s="131">
        <f t="shared" si="228"/>
        <v>8.6833837717628717E-2</v>
      </c>
      <c r="BI146" s="132">
        <v>40913349</v>
      </c>
      <c r="BJ146" s="126">
        <v>564360</v>
      </c>
      <c r="BK146" s="135">
        <v>39</v>
      </c>
      <c r="BL146" s="131">
        <f t="shared" si="298"/>
        <v>1.3794030891971225E-2</v>
      </c>
      <c r="BM146" s="131">
        <f t="shared" si="299"/>
        <v>9.532341143718154E-7</v>
      </c>
      <c r="BN146" s="131">
        <f t="shared" ref="BN146:BO146" si="418">V146/BB146</f>
        <v>0.40660314415579002</v>
      </c>
      <c r="BO146" s="131">
        <f t="shared" si="418"/>
        <v>0.30863157434051447</v>
      </c>
      <c r="BP146" s="136">
        <v>140666</v>
      </c>
      <c r="BQ146" s="136">
        <v>81067</v>
      </c>
      <c r="BR146" s="136" t="s">
        <v>366</v>
      </c>
      <c r="BS146" s="136" t="s">
        <v>366</v>
      </c>
    </row>
    <row r="147" spans="1:71" x14ac:dyDescent="0.25">
      <c r="A147" s="125">
        <v>44401</v>
      </c>
      <c r="B147" s="126">
        <v>112301</v>
      </c>
      <c r="C147" s="127">
        <v>141604</v>
      </c>
      <c r="D147" s="127">
        <v>123670</v>
      </c>
      <c r="E147" s="128">
        <f t="shared" si="0"/>
        <v>1.2609326720153873</v>
      </c>
      <c r="F147" s="128">
        <f t="shared" si="1"/>
        <v>1.1012368545248929</v>
      </c>
      <c r="G147" s="126">
        <v>911631</v>
      </c>
      <c r="H147" s="127">
        <v>629950</v>
      </c>
      <c r="I147" s="127">
        <v>540406</v>
      </c>
      <c r="J147" s="129">
        <f t="shared" si="2"/>
        <v>0.69101423712006282</v>
      </c>
      <c r="K147" s="129">
        <f t="shared" si="3"/>
        <v>0.59279028466561579</v>
      </c>
      <c r="L147" s="126">
        <v>1976757</v>
      </c>
      <c r="M147" s="130">
        <f t="shared" si="202"/>
        <v>6210875</v>
      </c>
      <c r="N147" s="130">
        <f t="shared" si="210"/>
        <v>1527331</v>
      </c>
      <c r="O147" s="128">
        <f t="shared" si="4"/>
        <v>3.1419516915837407</v>
      </c>
      <c r="P147" s="128">
        <f t="shared" si="5"/>
        <v>0.77264479144376375</v>
      </c>
      <c r="Q147" s="126">
        <v>8815157</v>
      </c>
      <c r="R147" s="126">
        <v>6982429</v>
      </c>
      <c r="S147" s="126">
        <v>2191407</v>
      </c>
      <c r="T147" s="131">
        <f t="shared" si="8"/>
        <v>0.79209354978022517</v>
      </c>
      <c r="U147" s="131">
        <f t="shared" si="9"/>
        <v>0.24859534549413018</v>
      </c>
      <c r="V147" s="132">
        <f t="shared" si="215"/>
        <v>112132</v>
      </c>
      <c r="W147" s="132">
        <f t="shared" si="220"/>
        <v>67358</v>
      </c>
      <c r="X147" s="132">
        <f t="shared" si="290"/>
        <v>7903526</v>
      </c>
      <c r="Y147" s="132">
        <f t="shared" ref="Y147:Z147" si="419">R147-H147-AD147</f>
        <v>5930867</v>
      </c>
      <c r="Z147" s="132">
        <f t="shared" si="419"/>
        <v>1650983</v>
      </c>
      <c r="AA147" s="131">
        <f t="shared" si="222"/>
        <v>0.75040772941089839</v>
      </c>
      <c r="AB147" s="131">
        <f t="shared" si="223"/>
        <v>0.20889195531209742</v>
      </c>
      <c r="AC147" s="126">
        <v>984719</v>
      </c>
      <c r="AD147" s="126">
        <v>421612</v>
      </c>
      <c r="AE147" s="126">
        <v>18</v>
      </c>
      <c r="AF147" s="133">
        <f t="shared" si="292"/>
        <v>0.42815463091501232</v>
      </c>
      <c r="AG147" s="133">
        <f t="shared" si="293"/>
        <v>1.8279326386512295E-5</v>
      </c>
      <c r="AH147" s="126">
        <v>1468764</v>
      </c>
      <c r="AI147" s="127">
        <v>1590045</v>
      </c>
      <c r="AJ147" s="127">
        <v>1444040</v>
      </c>
      <c r="AK147" s="133">
        <v>1.046</v>
      </c>
      <c r="AL147" s="133">
        <v>0.95599999999999996</v>
      </c>
      <c r="AM147" s="127">
        <v>21553118</v>
      </c>
      <c r="AN147" s="127">
        <v>4751432</v>
      </c>
      <c r="AO147" s="127">
        <v>3022965</v>
      </c>
      <c r="AP147" s="133">
        <v>0.19700000000000001</v>
      </c>
      <c r="AQ147" s="133">
        <v>0.11799999999999999</v>
      </c>
      <c r="AR147" s="126">
        <v>17327169</v>
      </c>
      <c r="AS147" s="122">
        <f t="shared" ref="AS147:AT147" si="420">AX147-AN147-AI147</f>
        <v>37590810</v>
      </c>
      <c r="AT147" s="122">
        <f t="shared" si="420"/>
        <v>12786704</v>
      </c>
      <c r="AU147" s="133">
        <v>0.98799999999999999</v>
      </c>
      <c r="AV147" s="133">
        <v>0.47699999999999998</v>
      </c>
      <c r="AW147" s="126">
        <v>181554465</v>
      </c>
      <c r="AX147" s="130">
        <v>43932287</v>
      </c>
      <c r="AY147" s="130">
        <v>17253709</v>
      </c>
      <c r="AZ147" s="111">
        <f t="shared" si="18"/>
        <v>0.24197855447950564</v>
      </c>
      <c r="BA147" s="111">
        <f t="shared" si="19"/>
        <v>9.5033239749845871E-2</v>
      </c>
      <c r="BB147" s="134">
        <f t="shared" ref="BB147:BC147" si="421">AX147-AX146</f>
        <v>776492</v>
      </c>
      <c r="BC147" s="134">
        <f t="shared" si="421"/>
        <v>357509</v>
      </c>
      <c r="BD147" s="132">
        <f t="shared" si="296"/>
        <v>160001347</v>
      </c>
      <c r="BE147" s="132">
        <f t="shared" ref="BE147:BF147" si="422">AX147-AN147-BJ147</f>
        <v>38540805</v>
      </c>
      <c r="BF147" s="132">
        <f t="shared" si="422"/>
        <v>14230698</v>
      </c>
      <c r="BG147" s="131">
        <f t="shared" si="227"/>
        <v>0.24087800335830922</v>
      </c>
      <c r="BH147" s="131">
        <f t="shared" si="228"/>
        <v>8.8941113726998811E-2</v>
      </c>
      <c r="BI147" s="132">
        <v>40913349</v>
      </c>
      <c r="BJ147" s="126">
        <v>640050</v>
      </c>
      <c r="BK147" s="135">
        <v>46</v>
      </c>
      <c r="BL147" s="131">
        <f t="shared" si="298"/>
        <v>1.5644038330863603E-2</v>
      </c>
      <c r="BM147" s="131">
        <f t="shared" si="299"/>
        <v>1.1243274169513721E-6</v>
      </c>
      <c r="BN147" s="131">
        <f t="shared" ref="BN147:BO147" si="423">V147/BB147</f>
        <v>0.14440844207023382</v>
      </c>
      <c r="BO147" s="131">
        <f t="shared" si="423"/>
        <v>0.1884092428442361</v>
      </c>
      <c r="BP147" s="136">
        <v>142283</v>
      </c>
      <c r="BQ147" s="136">
        <v>85304</v>
      </c>
      <c r="BR147" s="136" t="s">
        <v>366</v>
      </c>
      <c r="BS147" s="136" t="s">
        <v>366</v>
      </c>
    </row>
    <row r="148" spans="1:71" x14ac:dyDescent="0.25">
      <c r="A148" s="125">
        <v>44402</v>
      </c>
      <c r="B148" s="126">
        <v>112301</v>
      </c>
      <c r="C148" s="127">
        <v>141704</v>
      </c>
      <c r="D148" s="127">
        <v>123789</v>
      </c>
      <c r="E148" s="128">
        <f t="shared" si="0"/>
        <v>1.2618231360361885</v>
      </c>
      <c r="F148" s="128">
        <f t="shared" si="1"/>
        <v>1.1022965067096464</v>
      </c>
      <c r="G148" s="126">
        <v>911631</v>
      </c>
      <c r="H148" s="127">
        <v>629950</v>
      </c>
      <c r="I148" s="127">
        <v>540406</v>
      </c>
      <c r="J148" s="129">
        <f t="shared" si="2"/>
        <v>0.69101423712006282</v>
      </c>
      <c r="K148" s="129">
        <f t="shared" si="3"/>
        <v>0.59279028466561579</v>
      </c>
      <c r="L148" s="126">
        <v>1976757</v>
      </c>
      <c r="M148" s="130">
        <f t="shared" si="202"/>
        <v>6278994</v>
      </c>
      <c r="N148" s="130">
        <f t="shared" si="210"/>
        <v>1557671</v>
      </c>
      <c r="O148" s="128">
        <f t="shared" si="4"/>
        <v>3.1764116682020096</v>
      </c>
      <c r="P148" s="128">
        <f t="shared" si="5"/>
        <v>0.78799316253844054</v>
      </c>
      <c r="Q148" s="126">
        <v>8815157</v>
      </c>
      <c r="R148" s="126">
        <v>7050648</v>
      </c>
      <c r="S148" s="126">
        <v>2221866</v>
      </c>
      <c r="T148" s="131">
        <f t="shared" si="8"/>
        <v>0.79983237961615428</v>
      </c>
      <c r="U148" s="131">
        <f t="shared" si="9"/>
        <v>0.25205064413486905</v>
      </c>
      <c r="V148" s="132">
        <f t="shared" si="215"/>
        <v>68219</v>
      </c>
      <c r="W148" s="132">
        <f t="shared" si="220"/>
        <v>30459</v>
      </c>
      <c r="X148" s="132">
        <v>7044861</v>
      </c>
      <c r="Y148" s="132">
        <f t="shared" ref="Y148:Z148" si="424">R148-H148-AD148</f>
        <v>5985057</v>
      </c>
      <c r="Z148" s="132">
        <f t="shared" si="424"/>
        <v>1681442</v>
      </c>
      <c r="AA148" s="131">
        <f t="shared" si="222"/>
        <v>0.84956353290717868</v>
      </c>
      <c r="AB148" s="131">
        <f t="shared" si="223"/>
        <v>0.23867639120204076</v>
      </c>
      <c r="AC148" s="126">
        <v>984719</v>
      </c>
      <c r="AD148" s="126">
        <v>435641</v>
      </c>
      <c r="AE148" s="126">
        <v>18</v>
      </c>
      <c r="AF148" s="133">
        <f t="shared" si="292"/>
        <v>0.44240133479703347</v>
      </c>
      <c r="AG148" s="133">
        <f t="shared" si="293"/>
        <v>1.8279326386512295E-5</v>
      </c>
      <c r="AH148" s="126">
        <v>1468764</v>
      </c>
      <c r="AI148" s="127">
        <v>1590978</v>
      </c>
      <c r="AJ148" s="127">
        <v>1446036</v>
      </c>
      <c r="AK148" s="133">
        <v>1.046</v>
      </c>
      <c r="AL148" s="133">
        <v>0.95599999999999996</v>
      </c>
      <c r="AM148" s="127">
        <v>21553118</v>
      </c>
      <c r="AN148" s="127">
        <v>4761954</v>
      </c>
      <c r="AO148" s="127">
        <v>3044618</v>
      </c>
      <c r="AP148" s="133">
        <v>0.19700000000000001</v>
      </c>
      <c r="AQ148" s="133">
        <v>0.11799999999999999</v>
      </c>
      <c r="AR148" s="126">
        <v>17327169</v>
      </c>
      <c r="AS148" s="122">
        <f t="shared" ref="AS148:AT148" si="425">AX148-AN148-AI148</f>
        <v>37989266</v>
      </c>
      <c r="AT148" s="122">
        <f t="shared" si="425"/>
        <v>13307485</v>
      </c>
      <c r="AU148" s="133">
        <v>0.98799999999999999</v>
      </c>
      <c r="AV148" s="133">
        <v>0.47699999999999998</v>
      </c>
      <c r="AW148" s="126">
        <v>181554465</v>
      </c>
      <c r="AX148" s="130">
        <v>44342198</v>
      </c>
      <c r="AY148" s="130">
        <v>17798139</v>
      </c>
      <c r="AZ148" s="111">
        <f t="shared" si="18"/>
        <v>0.24423633976724285</v>
      </c>
      <c r="BA148" s="111">
        <f t="shared" si="19"/>
        <v>9.8031954212748226E-2</v>
      </c>
      <c r="BB148" s="134">
        <f t="shared" ref="BB148:BC148" si="426">AX148-AX147</f>
        <v>409911</v>
      </c>
      <c r="BC148" s="134">
        <f t="shared" si="426"/>
        <v>544430</v>
      </c>
      <c r="BD148" s="132">
        <f t="shared" si="296"/>
        <v>160001347</v>
      </c>
      <c r="BE148" s="132">
        <f t="shared" ref="BE148:BF148" si="427">AX148-AN148-BJ148</f>
        <v>38892202</v>
      </c>
      <c r="BF148" s="132">
        <f t="shared" si="427"/>
        <v>14753465</v>
      </c>
      <c r="BG148" s="131">
        <f t="shared" si="227"/>
        <v>0.24307421611894306</v>
      </c>
      <c r="BH148" s="131">
        <f t="shared" si="228"/>
        <v>9.2208379970701124E-2</v>
      </c>
      <c r="BI148" s="132">
        <v>40913349</v>
      </c>
      <c r="BJ148" s="126">
        <v>688042</v>
      </c>
      <c r="BK148" s="135">
        <v>56</v>
      </c>
      <c r="BL148" s="131">
        <f t="shared" si="298"/>
        <v>1.6817054013349042E-2</v>
      </c>
      <c r="BM148" s="131">
        <f t="shared" si="299"/>
        <v>1.3687464206364529E-6</v>
      </c>
      <c r="BN148" s="131">
        <f t="shared" ref="BN148:BO148" si="428">V148/BB148</f>
        <v>0.1664239310484471</v>
      </c>
      <c r="BO148" s="131">
        <f t="shared" si="428"/>
        <v>5.5946586338004888E-2</v>
      </c>
      <c r="BP148" s="136">
        <v>146157</v>
      </c>
      <c r="BQ148" s="136">
        <v>87924</v>
      </c>
      <c r="BR148" s="136" t="s">
        <v>366</v>
      </c>
      <c r="BS148" s="136" t="s">
        <v>366</v>
      </c>
    </row>
    <row r="149" spans="1:71" x14ac:dyDescent="0.25">
      <c r="A149" s="125">
        <v>44403</v>
      </c>
      <c r="B149" s="126">
        <v>112301</v>
      </c>
      <c r="C149" s="127">
        <v>141739</v>
      </c>
      <c r="D149" s="127">
        <v>123811</v>
      </c>
      <c r="E149" s="128">
        <f t="shared" si="0"/>
        <v>1.262134798443469</v>
      </c>
      <c r="F149" s="128">
        <f t="shared" si="1"/>
        <v>1.1024924087942227</v>
      </c>
      <c r="G149" s="126">
        <v>911631</v>
      </c>
      <c r="H149" s="127">
        <v>629950</v>
      </c>
      <c r="I149" s="127">
        <v>540406</v>
      </c>
      <c r="J149" s="129">
        <f t="shared" si="2"/>
        <v>0.69101423712006282</v>
      </c>
      <c r="K149" s="129">
        <f t="shared" si="3"/>
        <v>0.59279028466561579</v>
      </c>
      <c r="L149" s="126">
        <v>1976757</v>
      </c>
      <c r="M149" s="130">
        <f t="shared" si="202"/>
        <v>6326313</v>
      </c>
      <c r="N149" s="130">
        <f t="shared" si="210"/>
        <v>1574659</v>
      </c>
      <c r="O149" s="128">
        <f t="shared" si="4"/>
        <v>3.200349360088266</v>
      </c>
      <c r="P149" s="128">
        <f t="shared" si="5"/>
        <v>0.7965870362416827</v>
      </c>
      <c r="Q149" s="126">
        <v>8815157</v>
      </c>
      <c r="R149" s="126">
        <v>7098002</v>
      </c>
      <c r="S149" s="126">
        <v>2238876</v>
      </c>
      <c r="T149" s="131">
        <f t="shared" si="8"/>
        <v>0.80520426352020735</v>
      </c>
      <c r="U149" s="131">
        <f t="shared" si="9"/>
        <v>0.25398027511024479</v>
      </c>
      <c r="V149" s="132">
        <f t="shared" si="215"/>
        <v>47354</v>
      </c>
      <c r="W149" s="132">
        <f t="shared" si="220"/>
        <v>17010</v>
      </c>
      <c r="X149" s="132">
        <v>7044861</v>
      </c>
      <c r="Y149" s="132">
        <f t="shared" ref="Y149:Z149" si="429">R149-H149-AD149</f>
        <v>6022346</v>
      </c>
      <c r="Z149" s="132">
        <f t="shared" si="429"/>
        <v>1698448</v>
      </c>
      <c r="AA149" s="131">
        <f t="shared" si="222"/>
        <v>0.85485661108146771</v>
      </c>
      <c r="AB149" s="131">
        <f t="shared" si="223"/>
        <v>0.24109034940504859</v>
      </c>
      <c r="AC149" s="126">
        <v>984719</v>
      </c>
      <c r="AD149" s="126">
        <v>445706</v>
      </c>
      <c r="AE149" s="126">
        <v>22</v>
      </c>
      <c r="AF149" s="133">
        <f t="shared" si="292"/>
        <v>0.45262252480149157</v>
      </c>
      <c r="AG149" s="133">
        <f t="shared" si="293"/>
        <v>2.2341398916848361E-5</v>
      </c>
      <c r="AH149" s="126">
        <v>1468764</v>
      </c>
      <c r="AI149" s="127">
        <v>1591365</v>
      </c>
      <c r="AJ149" s="127">
        <v>1446523</v>
      </c>
      <c r="AK149" s="133">
        <v>1.046</v>
      </c>
      <c r="AL149" s="133">
        <v>0.95599999999999996</v>
      </c>
      <c r="AM149" s="127">
        <v>21553118</v>
      </c>
      <c r="AN149" s="127">
        <v>4766906</v>
      </c>
      <c r="AO149" s="127">
        <v>3051222</v>
      </c>
      <c r="AP149" s="133">
        <v>0.19700000000000001</v>
      </c>
      <c r="AQ149" s="133">
        <v>0.11799999999999999</v>
      </c>
      <c r="AR149" s="126">
        <v>17327169</v>
      </c>
      <c r="AS149" s="122">
        <f t="shared" ref="AS149:AT149" si="430">AX149-AN149-AI149</f>
        <v>38193066</v>
      </c>
      <c r="AT149" s="122">
        <f t="shared" si="430"/>
        <v>13435820</v>
      </c>
      <c r="AU149" s="133">
        <v>0.98799999999999999</v>
      </c>
      <c r="AV149" s="133">
        <v>0.47699999999999998</v>
      </c>
      <c r="AW149" s="126">
        <v>181554465</v>
      </c>
      <c r="AX149" s="130">
        <v>44551337</v>
      </c>
      <c r="AY149" s="130">
        <v>17933565</v>
      </c>
      <c r="AZ149" s="111">
        <f t="shared" si="18"/>
        <v>0.24538827508318234</v>
      </c>
      <c r="BA149" s="111">
        <f t="shared" si="19"/>
        <v>9.8777879133955748E-2</v>
      </c>
      <c r="BB149" s="134">
        <f t="shared" ref="BB149:BC149" si="431">AX149-AX148</f>
        <v>209139</v>
      </c>
      <c r="BC149" s="134">
        <f t="shared" si="431"/>
        <v>135426</v>
      </c>
      <c r="BD149" s="132">
        <f t="shared" si="296"/>
        <v>160001347</v>
      </c>
      <c r="BE149" s="132">
        <f t="shared" ref="BE149:BF149" si="432">AX149-AN149-BJ149</f>
        <v>39078187</v>
      </c>
      <c r="BF149" s="132">
        <f t="shared" si="432"/>
        <v>14882279</v>
      </c>
      <c r="BG149" s="131">
        <f t="shared" si="227"/>
        <v>0.24423661258301782</v>
      </c>
      <c r="BH149" s="131">
        <f t="shared" si="228"/>
        <v>9.3013460692927791E-2</v>
      </c>
      <c r="BI149" s="132">
        <v>40913349</v>
      </c>
      <c r="BJ149" s="126">
        <v>706244</v>
      </c>
      <c r="BK149" s="135">
        <v>64</v>
      </c>
      <c r="BL149" s="131">
        <f t="shared" si="298"/>
        <v>1.7261945483856626E-2</v>
      </c>
      <c r="BM149" s="131">
        <f t="shared" si="299"/>
        <v>1.5642816235845177E-6</v>
      </c>
      <c r="BN149" s="131">
        <f t="shared" ref="BN149:BO149" si="433">V149/BB149</f>
        <v>0.22642357475172015</v>
      </c>
      <c r="BO149" s="131">
        <f t="shared" si="433"/>
        <v>0.12560365070222854</v>
      </c>
      <c r="BP149" s="136">
        <v>148498</v>
      </c>
      <c r="BQ149" s="136">
        <v>88641</v>
      </c>
      <c r="BR149" s="136" t="s">
        <v>366</v>
      </c>
      <c r="BS149" s="136" t="s">
        <v>366</v>
      </c>
    </row>
    <row r="150" spans="1:71" x14ac:dyDescent="0.25">
      <c r="A150" s="125">
        <v>44404</v>
      </c>
      <c r="B150" s="126">
        <v>112301</v>
      </c>
      <c r="C150" s="127">
        <v>141920</v>
      </c>
      <c r="D150" s="127">
        <v>124084</v>
      </c>
      <c r="E150" s="128">
        <f t="shared" si="0"/>
        <v>1.2637465383211191</v>
      </c>
      <c r="F150" s="128">
        <f t="shared" si="1"/>
        <v>1.1049233755710099</v>
      </c>
      <c r="G150" s="126">
        <v>911631</v>
      </c>
      <c r="H150" s="127">
        <v>629950</v>
      </c>
      <c r="I150" s="127">
        <v>540406</v>
      </c>
      <c r="J150" s="129">
        <f t="shared" si="2"/>
        <v>0.69101423712006282</v>
      </c>
      <c r="K150" s="129">
        <f t="shared" si="3"/>
        <v>0.59279028466561579</v>
      </c>
      <c r="L150" s="126">
        <v>1976757</v>
      </c>
      <c r="M150" s="130">
        <f t="shared" si="202"/>
        <v>6437603</v>
      </c>
      <c r="N150" s="130">
        <f t="shared" si="210"/>
        <v>1657041</v>
      </c>
      <c r="O150" s="128">
        <f t="shared" si="4"/>
        <v>3.2566486421952723</v>
      </c>
      <c r="P150" s="128">
        <f t="shared" si="5"/>
        <v>0.83826236608748572</v>
      </c>
      <c r="Q150" s="126">
        <v>8815157</v>
      </c>
      <c r="R150" s="126">
        <v>7209473</v>
      </c>
      <c r="S150" s="126">
        <v>2321531</v>
      </c>
      <c r="T150" s="131">
        <f t="shared" si="8"/>
        <v>0.81784964238300006</v>
      </c>
      <c r="U150" s="131">
        <f t="shared" si="9"/>
        <v>0.26335673885331823</v>
      </c>
      <c r="V150" s="132">
        <f t="shared" si="215"/>
        <v>111471</v>
      </c>
      <c r="W150" s="132">
        <f t="shared" si="220"/>
        <v>82655</v>
      </c>
      <c r="X150" s="132">
        <v>7044861</v>
      </c>
      <c r="Y150" s="132">
        <f t="shared" ref="Y150:Z150" si="434">R150-H150-AD150</f>
        <v>6101754</v>
      </c>
      <c r="Z150" s="132">
        <f t="shared" si="434"/>
        <v>1781099</v>
      </c>
      <c r="AA150" s="131">
        <f t="shared" si="222"/>
        <v>0.86612837357614292</v>
      </c>
      <c r="AB150" s="131">
        <f t="shared" si="223"/>
        <v>0.25282244745496041</v>
      </c>
      <c r="AC150" s="126">
        <v>984719</v>
      </c>
      <c r="AD150" s="126">
        <v>477769</v>
      </c>
      <c r="AE150" s="126">
        <v>26</v>
      </c>
      <c r="AF150" s="133">
        <f t="shared" si="292"/>
        <v>0.48518308268653293</v>
      </c>
      <c r="AG150" s="133">
        <f t="shared" si="293"/>
        <v>2.6403471447184424E-5</v>
      </c>
      <c r="AH150" s="126">
        <v>1468764</v>
      </c>
      <c r="AI150" s="127">
        <v>1592432</v>
      </c>
      <c r="AJ150" s="127">
        <v>1448425</v>
      </c>
      <c r="AK150" s="133">
        <v>1.046</v>
      </c>
      <c r="AL150" s="133">
        <v>0.95599999999999996</v>
      </c>
      <c r="AM150" s="127">
        <v>21553118</v>
      </c>
      <c r="AN150" s="127">
        <v>4780438</v>
      </c>
      <c r="AO150" s="127">
        <v>3073295</v>
      </c>
      <c r="AP150" s="133">
        <v>0.19700000000000001</v>
      </c>
      <c r="AQ150" s="133">
        <v>0.11799999999999999</v>
      </c>
      <c r="AR150" s="126">
        <v>17327169</v>
      </c>
      <c r="AS150" s="122">
        <f t="shared" ref="AS150:AT150" si="435">AX150-AN150-AI150</f>
        <v>38639779</v>
      </c>
      <c r="AT150" s="122">
        <f t="shared" si="435"/>
        <v>13845378</v>
      </c>
      <c r="AU150" s="133">
        <v>0.98799999999999999</v>
      </c>
      <c r="AV150" s="133">
        <v>0.47699999999999998</v>
      </c>
      <c r="AW150" s="126">
        <v>181554465</v>
      </c>
      <c r="AX150" s="130">
        <v>45012649</v>
      </c>
      <c r="AY150" s="130">
        <v>18367098</v>
      </c>
      <c r="AZ150" s="111">
        <f t="shared" si="18"/>
        <v>0.24792917651460677</v>
      </c>
      <c r="BA150" s="111">
        <f t="shared" si="19"/>
        <v>0.10116577413835567</v>
      </c>
      <c r="BB150" s="134">
        <f t="shared" ref="BB150:BC150" si="436">AX150-AX149</f>
        <v>461312</v>
      </c>
      <c r="BC150" s="134">
        <f t="shared" si="436"/>
        <v>433533</v>
      </c>
      <c r="BD150" s="132">
        <f t="shared" si="296"/>
        <v>160001347</v>
      </c>
      <c r="BE150" s="132">
        <f t="shared" ref="BE150:BF150" si="437">AX150-AN150-BJ150</f>
        <v>39485400</v>
      </c>
      <c r="BF150" s="132">
        <f t="shared" si="437"/>
        <v>15293737</v>
      </c>
      <c r="BG150" s="131">
        <f t="shared" si="227"/>
        <v>0.24678167240679544</v>
      </c>
      <c r="BH150" s="131">
        <f t="shared" si="228"/>
        <v>9.5585051543347316E-2</v>
      </c>
      <c r="BI150" s="132">
        <v>40913349</v>
      </c>
      <c r="BJ150" s="126">
        <v>746811</v>
      </c>
      <c r="BK150" s="135">
        <v>66</v>
      </c>
      <c r="BL150" s="131">
        <f t="shared" si="298"/>
        <v>1.8253480056105893E-2</v>
      </c>
      <c r="BM150" s="131">
        <f t="shared" si="299"/>
        <v>1.6131654243215337E-6</v>
      </c>
      <c r="BN150" s="131">
        <f t="shared" ref="BN150:BO150" si="438">V150/BB150</f>
        <v>0.24163906423418424</v>
      </c>
      <c r="BO150" s="131">
        <f t="shared" si="438"/>
        <v>0.19065445998343841</v>
      </c>
      <c r="BP150" s="136">
        <v>151142</v>
      </c>
      <c r="BQ150" s="136">
        <v>90490</v>
      </c>
      <c r="BR150" s="136" t="s">
        <v>366</v>
      </c>
      <c r="BS150" s="136" t="s">
        <v>366</v>
      </c>
    </row>
    <row r="151" spans="1:71" x14ac:dyDescent="0.25">
      <c r="A151" s="125">
        <v>44405</v>
      </c>
      <c r="B151" s="126">
        <v>112301</v>
      </c>
      <c r="C151" s="127">
        <v>142112</v>
      </c>
      <c r="D151" s="127">
        <v>124297</v>
      </c>
      <c r="E151" s="128">
        <f t="shared" si="0"/>
        <v>1.2654562292410576</v>
      </c>
      <c r="F151" s="128">
        <f t="shared" si="1"/>
        <v>1.1068200639353167</v>
      </c>
      <c r="G151" s="126">
        <v>911631</v>
      </c>
      <c r="H151" s="127">
        <v>629950</v>
      </c>
      <c r="I151" s="127">
        <v>540406</v>
      </c>
      <c r="J151" s="129">
        <f t="shared" si="2"/>
        <v>0.69101423712006282</v>
      </c>
      <c r="K151" s="129">
        <f t="shared" si="3"/>
        <v>0.59279028466561579</v>
      </c>
      <c r="L151" s="126">
        <v>1976757</v>
      </c>
      <c r="M151" s="130">
        <f t="shared" si="202"/>
        <v>6554143</v>
      </c>
      <c r="N151" s="130">
        <f t="shared" si="210"/>
        <v>1745969</v>
      </c>
      <c r="O151" s="128">
        <f t="shared" si="4"/>
        <v>3.3156037894389647</v>
      </c>
      <c r="P151" s="128">
        <f t="shared" si="5"/>
        <v>0.8832491803494309</v>
      </c>
      <c r="Q151" s="126">
        <v>8815157</v>
      </c>
      <c r="R151" s="126">
        <v>7326205</v>
      </c>
      <c r="S151" s="126">
        <v>2410672</v>
      </c>
      <c r="T151" s="131">
        <f t="shared" si="8"/>
        <v>0.83109183421236854</v>
      </c>
      <c r="U151" s="131">
        <f t="shared" si="9"/>
        <v>0.2734689807566672</v>
      </c>
      <c r="V151" s="132">
        <f t="shared" si="215"/>
        <v>116732</v>
      </c>
      <c r="W151" s="132">
        <f t="shared" si="220"/>
        <v>89141</v>
      </c>
      <c r="X151" s="132">
        <v>7044861</v>
      </c>
      <c r="Y151" s="132">
        <f t="shared" ref="Y151:Z151" si="439">R151-H151-AD151</f>
        <v>6187868</v>
      </c>
      <c r="Z151" s="132">
        <f t="shared" si="439"/>
        <v>1870170</v>
      </c>
      <c r="AA151" s="131">
        <f t="shared" si="222"/>
        <v>0.87835203561858777</v>
      </c>
      <c r="AB151" s="131">
        <f t="shared" si="223"/>
        <v>0.26546584808415669</v>
      </c>
      <c r="AC151" s="126">
        <v>984719</v>
      </c>
      <c r="AD151" s="126">
        <v>508387</v>
      </c>
      <c r="AE151" s="126">
        <v>96</v>
      </c>
      <c r="AF151" s="133">
        <f t="shared" si="292"/>
        <v>0.51627621686999037</v>
      </c>
      <c r="AG151" s="133">
        <f t="shared" si="293"/>
        <v>9.7489740728065569E-5</v>
      </c>
      <c r="AH151" s="126">
        <v>1468764</v>
      </c>
      <c r="AI151" s="127">
        <v>1593641</v>
      </c>
      <c r="AJ151" s="127">
        <v>1450462</v>
      </c>
      <c r="AK151" s="133">
        <v>1.046</v>
      </c>
      <c r="AL151" s="133">
        <v>0.95599999999999996</v>
      </c>
      <c r="AM151" s="127">
        <v>21553118</v>
      </c>
      <c r="AN151" s="127">
        <v>4795761</v>
      </c>
      <c r="AO151" s="127">
        <v>3097519</v>
      </c>
      <c r="AP151" s="133">
        <v>0.19700000000000001</v>
      </c>
      <c r="AQ151" s="133">
        <v>0.11799999999999999</v>
      </c>
      <c r="AR151" s="126">
        <v>17327169</v>
      </c>
      <c r="AS151" s="122">
        <f t="shared" ref="AS151:AT151" si="440">AX151-AN151-AI151</f>
        <v>39144781</v>
      </c>
      <c r="AT151" s="122">
        <f t="shared" si="440"/>
        <v>14309270</v>
      </c>
      <c r="AU151" s="133">
        <v>0.98799999999999999</v>
      </c>
      <c r="AV151" s="133">
        <v>0.47699999999999998</v>
      </c>
      <c r="AW151" s="126">
        <v>181554465</v>
      </c>
      <c r="AX151" s="130">
        <v>45534183</v>
      </c>
      <c r="AY151" s="130">
        <v>18857251</v>
      </c>
      <c r="AZ151" s="111">
        <f t="shared" si="18"/>
        <v>0.25080178006087595</v>
      </c>
      <c r="BA151" s="111">
        <f t="shared" si="19"/>
        <v>0.10386553148114534</v>
      </c>
      <c r="BB151" s="134">
        <f t="shared" ref="BB151:BC151" si="441">AX151-AX150</f>
        <v>521534</v>
      </c>
      <c r="BC151" s="134">
        <f t="shared" si="441"/>
        <v>490153</v>
      </c>
      <c r="BD151" s="132">
        <f t="shared" si="296"/>
        <v>160001347</v>
      </c>
      <c r="BE151" s="132">
        <f t="shared" ref="BE151:BF151" si="442">AX151-AN151-BJ151</f>
        <v>39938206</v>
      </c>
      <c r="BF151" s="132">
        <f t="shared" si="442"/>
        <v>15759617</v>
      </c>
      <c r="BG151" s="131">
        <f t="shared" si="227"/>
        <v>0.2496116860816178</v>
      </c>
      <c r="BH151" s="131">
        <f t="shared" si="228"/>
        <v>9.8496777030258373E-2</v>
      </c>
      <c r="BI151" s="132">
        <v>40913349</v>
      </c>
      <c r="BJ151" s="126">
        <v>800216</v>
      </c>
      <c r="BK151" s="135">
        <v>115</v>
      </c>
      <c r="BL151" s="131">
        <f t="shared" si="298"/>
        <v>1.9558799745286067E-2</v>
      </c>
      <c r="BM151" s="131">
        <f t="shared" si="299"/>
        <v>2.8108185423784302E-6</v>
      </c>
      <c r="BN151" s="131">
        <f t="shared" ref="BN151:BO151" si="443">V151/BB151</f>
        <v>0.22382433360049392</v>
      </c>
      <c r="BO151" s="131">
        <f t="shared" si="443"/>
        <v>0.18186362217511676</v>
      </c>
      <c r="BP151" s="136">
        <v>154534</v>
      </c>
      <c r="BQ151" s="136">
        <v>92461</v>
      </c>
      <c r="BR151" s="136" t="s">
        <v>366</v>
      </c>
      <c r="BS151" s="136" t="s">
        <v>366</v>
      </c>
    </row>
    <row r="152" spans="1:71" x14ac:dyDescent="0.25">
      <c r="A152" s="125">
        <v>44406</v>
      </c>
      <c r="B152" s="126">
        <v>112301</v>
      </c>
      <c r="C152" s="127">
        <v>142317</v>
      </c>
      <c r="D152" s="127">
        <v>124541</v>
      </c>
      <c r="E152" s="128">
        <f t="shared" si="0"/>
        <v>1.2672816804837002</v>
      </c>
      <c r="F152" s="128">
        <f t="shared" si="1"/>
        <v>1.1089927961460717</v>
      </c>
      <c r="G152" s="126">
        <v>911631</v>
      </c>
      <c r="H152" s="127">
        <v>629950</v>
      </c>
      <c r="I152" s="127">
        <v>540406</v>
      </c>
      <c r="J152" s="129">
        <f t="shared" si="2"/>
        <v>0.69101423712006282</v>
      </c>
      <c r="K152" s="129">
        <f t="shared" si="3"/>
        <v>0.59279028466561579</v>
      </c>
      <c r="L152" s="126">
        <v>1976757</v>
      </c>
      <c r="M152" s="130">
        <f t="shared" si="202"/>
        <v>6510402</v>
      </c>
      <c r="N152" s="130">
        <f t="shared" si="210"/>
        <v>1761561</v>
      </c>
      <c r="O152" s="128">
        <f t="shared" si="4"/>
        <v>3.2934761328782445</v>
      </c>
      <c r="P152" s="128">
        <f t="shared" si="5"/>
        <v>0.89113684686585148</v>
      </c>
      <c r="Q152" s="126">
        <v>8815157</v>
      </c>
      <c r="R152" s="126">
        <v>7282669</v>
      </c>
      <c r="S152" s="126">
        <v>2426508</v>
      </c>
      <c r="T152" s="131">
        <f t="shared" si="8"/>
        <v>0.82615306794876142</v>
      </c>
      <c r="U152" s="131">
        <f t="shared" si="9"/>
        <v>0.27526543202803988</v>
      </c>
      <c r="V152" s="132">
        <f t="shared" si="215"/>
        <v>-43536</v>
      </c>
      <c r="W152" s="132">
        <f t="shared" si="220"/>
        <v>15836</v>
      </c>
      <c r="X152" s="132">
        <v>7044861</v>
      </c>
      <c r="Y152" s="132">
        <f t="shared" ref="Y152:Z152" si="444">R152-H152-AD152</f>
        <v>6118730</v>
      </c>
      <c r="Z152" s="132">
        <f t="shared" si="444"/>
        <v>1885908</v>
      </c>
      <c r="AA152" s="131">
        <f t="shared" si="222"/>
        <v>0.86853807335588307</v>
      </c>
      <c r="AB152" s="131">
        <f t="shared" si="223"/>
        <v>0.26769981693038375</v>
      </c>
      <c r="AC152" s="126">
        <v>984719</v>
      </c>
      <c r="AD152" s="126">
        <v>533989</v>
      </c>
      <c r="AE152" s="126">
        <v>194</v>
      </c>
      <c r="AF152" s="133">
        <f t="shared" si="292"/>
        <v>0.54227551210040625</v>
      </c>
      <c r="AG152" s="133">
        <f t="shared" si="293"/>
        <v>1.9701051772129917E-4</v>
      </c>
      <c r="AH152" s="126">
        <v>1468764</v>
      </c>
      <c r="AI152" s="127">
        <v>1594828</v>
      </c>
      <c r="AJ152" s="127">
        <v>1594828</v>
      </c>
      <c r="AK152" s="133">
        <v>1.046</v>
      </c>
      <c r="AL152" s="133">
        <v>0.95599999999999996</v>
      </c>
      <c r="AM152" s="127">
        <v>21553118</v>
      </c>
      <c r="AN152" s="127">
        <v>4810970</v>
      </c>
      <c r="AO152" s="127">
        <v>3120010</v>
      </c>
      <c r="AP152" s="133">
        <v>0.19700000000000001</v>
      </c>
      <c r="AQ152" s="133">
        <v>0.11799999999999999</v>
      </c>
      <c r="AR152" s="126">
        <v>17327169</v>
      </c>
      <c r="AS152" s="122">
        <f t="shared" ref="AS152:AT152" si="445">AX152-AN152-AI152</f>
        <v>39647206</v>
      </c>
      <c r="AT152" s="122">
        <f t="shared" si="445"/>
        <v>14639491</v>
      </c>
      <c r="AU152" s="133">
        <v>0.98799999999999999</v>
      </c>
      <c r="AV152" s="133">
        <v>0.47699999999999998</v>
      </c>
      <c r="AW152" s="126">
        <v>181554465</v>
      </c>
      <c r="AX152" s="130">
        <v>46053004</v>
      </c>
      <c r="AY152" s="130">
        <v>19354329</v>
      </c>
      <c r="AZ152" s="111">
        <f t="shared" si="18"/>
        <v>0.25365944043293015</v>
      </c>
      <c r="BA152" s="111">
        <f t="shared" si="19"/>
        <v>0.10660343164790798</v>
      </c>
      <c r="BB152" s="134">
        <f t="shared" ref="BB152:BC152" si="446">AX152-AX151</f>
        <v>518821</v>
      </c>
      <c r="BC152" s="134">
        <f t="shared" si="446"/>
        <v>497078</v>
      </c>
      <c r="BD152" s="132">
        <f t="shared" si="296"/>
        <v>160001347</v>
      </c>
      <c r="BE152" s="132">
        <f t="shared" ref="BE152:BF152" si="447">AX152-AN152-BJ152</f>
        <v>40390643</v>
      </c>
      <c r="BF152" s="132">
        <f t="shared" si="447"/>
        <v>16234082</v>
      </c>
      <c r="BG152" s="131">
        <f t="shared" si="227"/>
        <v>0.25243939352585576</v>
      </c>
      <c r="BH152" s="131">
        <f t="shared" si="228"/>
        <v>0.10146215831545469</v>
      </c>
      <c r="BI152" s="132">
        <v>40913349</v>
      </c>
      <c r="BJ152" s="126">
        <v>851391</v>
      </c>
      <c r="BK152" s="135">
        <v>237</v>
      </c>
      <c r="BL152" s="131">
        <f t="shared" si="298"/>
        <v>2.0809613996644469E-2</v>
      </c>
      <c r="BM152" s="131">
        <f t="shared" si="299"/>
        <v>5.7927303873364168E-6</v>
      </c>
      <c r="BN152" s="131">
        <f t="shared" ref="BN152:BO152" si="448">V152/BB152</f>
        <v>-8.3913334271357554E-2</v>
      </c>
      <c r="BO152" s="131">
        <f t="shared" si="448"/>
        <v>3.1858179199240361E-2</v>
      </c>
      <c r="BP152" s="136">
        <v>157810</v>
      </c>
      <c r="BQ152" s="136">
        <v>94965</v>
      </c>
      <c r="BR152" s="136" t="s">
        <v>366</v>
      </c>
      <c r="BS152" s="136" t="s">
        <v>366</v>
      </c>
    </row>
    <row r="153" spans="1:71" x14ac:dyDescent="0.25">
      <c r="A153" s="125">
        <v>44407</v>
      </c>
      <c r="B153" s="126">
        <v>112301</v>
      </c>
      <c r="C153" s="127">
        <v>142571</v>
      </c>
      <c r="D153" s="127">
        <v>124864</v>
      </c>
      <c r="E153" s="128">
        <f t="shared" si="0"/>
        <v>1.2695434590965351</v>
      </c>
      <c r="F153" s="128">
        <f t="shared" si="1"/>
        <v>1.1118689949332596</v>
      </c>
      <c r="G153" s="126">
        <v>911631</v>
      </c>
      <c r="H153" s="127">
        <v>629950</v>
      </c>
      <c r="I153" s="127">
        <v>540406</v>
      </c>
      <c r="J153" s="129">
        <f t="shared" si="2"/>
        <v>0.69101423712006282</v>
      </c>
      <c r="K153" s="129">
        <f t="shared" si="3"/>
        <v>0.59279028466561579</v>
      </c>
      <c r="L153" s="126">
        <v>1976757</v>
      </c>
      <c r="M153" s="130">
        <f t="shared" si="202"/>
        <v>6627899</v>
      </c>
      <c r="N153" s="130">
        <f t="shared" si="210"/>
        <v>1877760</v>
      </c>
      <c r="O153" s="128">
        <f t="shared" si="4"/>
        <v>3.3529154063954243</v>
      </c>
      <c r="P153" s="128">
        <f t="shared" si="5"/>
        <v>0.94991948934542791</v>
      </c>
      <c r="Q153" s="126">
        <v>8815157</v>
      </c>
      <c r="R153" s="126">
        <v>7400420</v>
      </c>
      <c r="S153" s="126">
        <v>2543030</v>
      </c>
      <c r="T153" s="131">
        <f t="shared" si="8"/>
        <v>0.83951085613109333</v>
      </c>
      <c r="U153" s="131">
        <f t="shared" si="9"/>
        <v>0.28848380125277406</v>
      </c>
      <c r="V153" s="132">
        <f t="shared" si="215"/>
        <v>117751</v>
      </c>
      <c r="W153" s="132">
        <f t="shared" si="220"/>
        <v>116522</v>
      </c>
      <c r="X153" s="132">
        <v>7044861</v>
      </c>
      <c r="Y153" s="132">
        <f t="shared" ref="Y153:Z153" si="449">R153-H153-AD153</f>
        <v>6212280</v>
      </c>
      <c r="Z153" s="132">
        <f t="shared" si="449"/>
        <v>2001512</v>
      </c>
      <c r="AA153" s="131">
        <f t="shared" si="222"/>
        <v>0.88181725657894461</v>
      </c>
      <c r="AB153" s="131">
        <f t="shared" si="223"/>
        <v>0.28410950904496202</v>
      </c>
      <c r="AC153" s="126">
        <v>984719</v>
      </c>
      <c r="AD153" s="126">
        <v>558190</v>
      </c>
      <c r="AE153" s="126">
        <v>1112</v>
      </c>
      <c r="AF153" s="133">
        <f t="shared" si="292"/>
        <v>0.56685206642707209</v>
      </c>
      <c r="AG153" s="133">
        <f t="shared" si="293"/>
        <v>1.1292561634334262E-3</v>
      </c>
      <c r="AH153" s="126">
        <v>1468764</v>
      </c>
      <c r="AI153" s="127">
        <v>1596183</v>
      </c>
      <c r="AJ153" s="127">
        <v>1596183</v>
      </c>
      <c r="AK153" s="133">
        <v>1.046</v>
      </c>
      <c r="AL153" s="133">
        <v>0.95599999999999996</v>
      </c>
      <c r="AM153" s="127">
        <v>21553118</v>
      </c>
      <c r="AN153" s="127">
        <v>4826749</v>
      </c>
      <c r="AO153" s="127">
        <v>4826749</v>
      </c>
      <c r="AP153" s="133">
        <v>0.19700000000000001</v>
      </c>
      <c r="AQ153" s="133">
        <v>0.11799999999999999</v>
      </c>
      <c r="AR153" s="126">
        <v>17327169</v>
      </c>
      <c r="AS153" s="122">
        <f t="shared" ref="AS153:AT153" si="450">AX153-AN153-AI153</f>
        <v>40144438</v>
      </c>
      <c r="AT153" s="122">
        <f t="shared" si="450"/>
        <v>13444339</v>
      </c>
      <c r="AU153" s="133">
        <v>0.98799999999999999</v>
      </c>
      <c r="AV153" s="133">
        <v>0.47699999999999998</v>
      </c>
      <c r="AW153" s="126">
        <v>181554465</v>
      </c>
      <c r="AX153" s="130">
        <v>46567370</v>
      </c>
      <c r="AY153" s="130">
        <v>19867271</v>
      </c>
      <c r="AZ153" s="111">
        <f t="shared" si="18"/>
        <v>0.25649256271389415</v>
      </c>
      <c r="BA153" s="111">
        <f t="shared" si="19"/>
        <v>0.10942871055250555</v>
      </c>
      <c r="BB153" s="134">
        <f t="shared" ref="BB153:BC153" si="451">AX153-AX152</f>
        <v>514366</v>
      </c>
      <c r="BC153" s="134">
        <f t="shared" si="451"/>
        <v>512942</v>
      </c>
      <c r="BD153" s="132">
        <f t="shared" si="296"/>
        <v>160001347</v>
      </c>
      <c r="BE153" s="132">
        <f t="shared" ref="BE153:BF153" si="452">AX153-AN153-BJ153</f>
        <v>40842789</v>
      </c>
      <c r="BF153" s="132">
        <f t="shared" si="452"/>
        <v>15039469</v>
      </c>
      <c r="BG153" s="131">
        <f t="shared" si="227"/>
        <v>0.25526528223540518</v>
      </c>
      <c r="BH153" s="131">
        <f t="shared" si="228"/>
        <v>9.3995889922101714E-2</v>
      </c>
      <c r="BI153" s="132">
        <v>40913349</v>
      </c>
      <c r="BJ153" s="126">
        <v>897832</v>
      </c>
      <c r="BK153" s="137">
        <v>1053</v>
      </c>
      <c r="BL153" s="131">
        <f t="shared" si="298"/>
        <v>2.1944720291658355E-2</v>
      </c>
      <c r="BM153" s="131">
        <f t="shared" si="299"/>
        <v>2.5737321088039015E-5</v>
      </c>
      <c r="BN153" s="131">
        <f t="shared" ref="BN153:BO153" si="453">V153/BB153</f>
        <v>0.22892454011346006</v>
      </c>
      <c r="BO153" s="131">
        <f t="shared" si="453"/>
        <v>0.22716408482830416</v>
      </c>
      <c r="BP153" s="136">
        <v>160115</v>
      </c>
      <c r="BQ153" s="136">
        <v>96743</v>
      </c>
      <c r="BR153" s="136" t="s">
        <v>366</v>
      </c>
      <c r="BS153" s="136" t="s">
        <v>366</v>
      </c>
    </row>
    <row r="154" spans="1:71" x14ac:dyDescent="0.25">
      <c r="A154" s="125">
        <v>44408</v>
      </c>
      <c r="B154" s="126">
        <v>112301</v>
      </c>
      <c r="C154" s="127">
        <v>142855</v>
      </c>
      <c r="D154" s="127">
        <v>125273</v>
      </c>
      <c r="E154" s="128">
        <f t="shared" si="0"/>
        <v>1.2720723769156108</v>
      </c>
      <c r="F154" s="128">
        <f t="shared" si="1"/>
        <v>1.1155109927783369</v>
      </c>
      <c r="G154" s="126">
        <v>911631</v>
      </c>
      <c r="H154" s="127">
        <v>629950</v>
      </c>
      <c r="I154" s="127">
        <v>540406</v>
      </c>
      <c r="J154" s="129">
        <f t="shared" si="2"/>
        <v>0.69101423712006282</v>
      </c>
      <c r="K154" s="129">
        <f t="shared" si="3"/>
        <v>0.59279028466561579</v>
      </c>
      <c r="L154" s="126">
        <v>1976757</v>
      </c>
      <c r="M154" s="130">
        <f t="shared" si="202"/>
        <v>6734535</v>
      </c>
      <c r="N154" s="130">
        <f t="shared" si="210"/>
        <v>2001620</v>
      </c>
      <c r="O154" s="128">
        <f t="shared" si="4"/>
        <v>3.4068603272936429</v>
      </c>
      <c r="P154" s="128">
        <f t="shared" si="5"/>
        <v>1.0125776714082713</v>
      </c>
      <c r="Q154" s="126">
        <v>8815157</v>
      </c>
      <c r="R154" s="126">
        <v>7507340</v>
      </c>
      <c r="S154" s="126">
        <v>2667299</v>
      </c>
      <c r="T154" s="131">
        <f t="shared" si="8"/>
        <v>0.85163996511916917</v>
      </c>
      <c r="U154" s="131">
        <f t="shared" si="9"/>
        <v>0.30258099770656383</v>
      </c>
      <c r="V154" s="132">
        <f t="shared" si="215"/>
        <v>106920</v>
      </c>
      <c r="W154" s="132">
        <f t="shared" si="220"/>
        <v>124269</v>
      </c>
      <c r="X154" s="132">
        <v>7044861</v>
      </c>
      <c r="Y154" s="132">
        <f t="shared" ref="Y154:Z154" si="454">R154-H154-AD154</f>
        <v>6299622</v>
      </c>
      <c r="Z154" s="132">
        <f t="shared" si="454"/>
        <v>2122550</v>
      </c>
      <c r="AA154" s="131">
        <f t="shared" si="222"/>
        <v>0.89421523008047998</v>
      </c>
      <c r="AB154" s="131">
        <f t="shared" si="223"/>
        <v>0.30129054356076013</v>
      </c>
      <c r="AC154" s="126">
        <v>984719</v>
      </c>
      <c r="AD154" s="126">
        <v>577768</v>
      </c>
      <c r="AE154" s="126">
        <v>4343</v>
      </c>
      <c r="AF154" s="133">
        <f t="shared" si="292"/>
        <v>0.58673388042680197</v>
      </c>
      <c r="AG154" s="133">
        <f t="shared" si="293"/>
        <v>4.4103952498123827E-3</v>
      </c>
      <c r="AH154" s="126">
        <v>1468764</v>
      </c>
      <c r="AI154" s="127">
        <v>1597420</v>
      </c>
      <c r="AJ154" s="127">
        <v>1456868</v>
      </c>
      <c r="AK154" s="133">
        <v>1.046</v>
      </c>
      <c r="AL154" s="133">
        <v>0.95599999999999996</v>
      </c>
      <c r="AM154" s="127">
        <v>21553118</v>
      </c>
      <c r="AN154" s="127">
        <v>4838255</v>
      </c>
      <c r="AO154" s="127">
        <v>3162088</v>
      </c>
      <c r="AP154" s="133">
        <v>0.19700000000000001</v>
      </c>
      <c r="AQ154" s="133">
        <v>0.11799999999999999</v>
      </c>
      <c r="AR154" s="126">
        <v>17327169</v>
      </c>
      <c r="AS154" s="122">
        <f t="shared" ref="AS154:AT154" si="455">AX154-AN154-AI154</f>
        <v>40579245</v>
      </c>
      <c r="AT154" s="122">
        <f t="shared" si="455"/>
        <v>15683891</v>
      </c>
      <c r="AU154" s="133">
        <v>0.98799999999999999</v>
      </c>
      <c r="AV154" s="133">
        <v>0.47699999999999998</v>
      </c>
      <c r="AW154" s="126">
        <v>181554465</v>
      </c>
      <c r="AX154" s="130">
        <v>47014920</v>
      </c>
      <c r="AY154" s="130">
        <v>20302847</v>
      </c>
      <c r="AZ154" s="111">
        <f t="shared" si="18"/>
        <v>0.25895766320040653</v>
      </c>
      <c r="BA154" s="111">
        <f t="shared" si="19"/>
        <v>0.11182785837847613</v>
      </c>
      <c r="BB154" s="134">
        <f t="shared" ref="BB154:BC154" si="456">AX154-AX153</f>
        <v>447550</v>
      </c>
      <c r="BC154" s="134">
        <f t="shared" si="456"/>
        <v>435576</v>
      </c>
      <c r="BD154" s="132">
        <f t="shared" si="296"/>
        <v>160001347</v>
      </c>
      <c r="BE154" s="132">
        <f t="shared" ref="BE154:BF154" si="457">AX154-AN154-BJ154</f>
        <v>41239710</v>
      </c>
      <c r="BF154" s="132">
        <f t="shared" si="457"/>
        <v>17136256</v>
      </c>
      <c r="BG154" s="131">
        <f t="shared" si="227"/>
        <v>0.25774601760071431</v>
      </c>
      <c r="BH154" s="131">
        <f t="shared" si="228"/>
        <v>0.1071006983459958</v>
      </c>
      <c r="BI154" s="132">
        <v>40913349</v>
      </c>
      <c r="BJ154" s="126">
        <v>936955</v>
      </c>
      <c r="BK154" s="137">
        <v>4503</v>
      </c>
      <c r="BL154" s="131">
        <f t="shared" si="298"/>
        <v>2.2900960759775494E-2</v>
      </c>
      <c r="BM154" s="131">
        <f t="shared" si="299"/>
        <v>1.1006187735939191E-4</v>
      </c>
      <c r="BN154" s="131">
        <f t="shared" ref="BN154:BO154" si="458">V154/BB154</f>
        <v>0.2389006814881019</v>
      </c>
      <c r="BO154" s="131">
        <f t="shared" si="458"/>
        <v>0.28529808804892831</v>
      </c>
      <c r="BP154" s="136">
        <v>161715</v>
      </c>
      <c r="BQ154" s="136">
        <v>98645</v>
      </c>
      <c r="BR154" s="136" t="s">
        <v>366</v>
      </c>
      <c r="BS154" s="136" t="s">
        <v>366</v>
      </c>
    </row>
    <row r="155" spans="1:71" x14ac:dyDescent="0.25">
      <c r="A155" s="125">
        <v>44409</v>
      </c>
      <c r="B155" s="126">
        <v>112301</v>
      </c>
      <c r="C155" s="127">
        <v>142972</v>
      </c>
      <c r="D155" s="127">
        <v>125395</v>
      </c>
      <c r="E155" s="128">
        <f t="shared" si="0"/>
        <v>1.2731142198199481</v>
      </c>
      <c r="F155" s="128">
        <f t="shared" si="1"/>
        <v>1.1165973588837144</v>
      </c>
      <c r="G155" s="126">
        <v>911631</v>
      </c>
      <c r="H155" s="127">
        <v>629950</v>
      </c>
      <c r="I155" s="127">
        <v>540406</v>
      </c>
      <c r="J155" s="129">
        <f t="shared" si="2"/>
        <v>0.69101423712006282</v>
      </c>
      <c r="K155" s="129">
        <f t="shared" si="3"/>
        <v>0.59279028466561579</v>
      </c>
      <c r="L155" s="126">
        <v>1976757</v>
      </c>
      <c r="M155" s="130">
        <f t="shared" si="202"/>
        <v>6824921</v>
      </c>
      <c r="N155" s="130">
        <f t="shared" si="210"/>
        <v>2050320</v>
      </c>
      <c r="O155" s="128">
        <f t="shared" si="4"/>
        <v>3.4525847132449763</v>
      </c>
      <c r="P155" s="128">
        <f t="shared" si="5"/>
        <v>1.0372139822952442</v>
      </c>
      <c r="Q155" s="126">
        <v>8815157</v>
      </c>
      <c r="R155" s="126">
        <v>7597843</v>
      </c>
      <c r="S155" s="126">
        <v>2716121</v>
      </c>
      <c r="T155" s="131">
        <f t="shared" si="8"/>
        <v>0.86190671362971749</v>
      </c>
      <c r="U155" s="131">
        <f t="shared" si="9"/>
        <v>0.30811941296110779</v>
      </c>
      <c r="V155" s="132">
        <f t="shared" si="215"/>
        <v>90503</v>
      </c>
      <c r="W155" s="132">
        <f t="shared" si="220"/>
        <v>48822</v>
      </c>
      <c r="X155" s="132">
        <v>7044861</v>
      </c>
      <c r="Y155" s="132">
        <f t="shared" ref="Y155:Z155" si="459">R155-H155-AD155</f>
        <v>6379083</v>
      </c>
      <c r="Z155" s="132">
        <f t="shared" si="459"/>
        <v>2168611</v>
      </c>
      <c r="AA155" s="131">
        <f t="shared" si="222"/>
        <v>0.90549451578959472</v>
      </c>
      <c r="AB155" s="131">
        <f t="shared" si="223"/>
        <v>0.30782878469851993</v>
      </c>
      <c r="AC155" s="126">
        <v>984719</v>
      </c>
      <c r="AD155" s="126">
        <v>588810</v>
      </c>
      <c r="AE155" s="126">
        <v>7104</v>
      </c>
      <c r="AF155" s="133">
        <f t="shared" si="292"/>
        <v>0.59794723164679464</v>
      </c>
      <c r="AG155" s="133">
        <f t="shared" si="293"/>
        <v>7.2142408138768524E-3</v>
      </c>
      <c r="AH155" s="126">
        <v>1468764</v>
      </c>
      <c r="AI155" s="127">
        <v>1598200</v>
      </c>
      <c r="AJ155" s="127">
        <v>1458319</v>
      </c>
      <c r="AK155" s="133">
        <v>1.046</v>
      </c>
      <c r="AL155" s="133">
        <v>0.95599999999999996</v>
      </c>
      <c r="AM155" s="127">
        <v>21553118</v>
      </c>
      <c r="AN155" s="127">
        <v>4848613</v>
      </c>
      <c r="AO155" s="127">
        <v>3178242</v>
      </c>
      <c r="AP155" s="133">
        <v>0.19700000000000001</v>
      </c>
      <c r="AQ155" s="133">
        <v>0.11799999999999999</v>
      </c>
      <c r="AR155" s="126">
        <v>17327169</v>
      </c>
      <c r="AS155" s="122">
        <f t="shared" ref="AS155:AT155" si="460">AX155-AN155-AI155</f>
        <v>40943681</v>
      </c>
      <c r="AT155" s="122">
        <f t="shared" si="460"/>
        <v>15984733</v>
      </c>
      <c r="AU155" s="133">
        <v>0.98799999999999999</v>
      </c>
      <c r="AV155" s="133">
        <v>0.47699999999999998</v>
      </c>
      <c r="AW155" s="126">
        <v>181554465</v>
      </c>
      <c r="AX155" s="130">
        <v>47390494</v>
      </c>
      <c r="AY155" s="130">
        <v>20621294</v>
      </c>
      <c r="AZ155" s="111">
        <f t="shared" si="18"/>
        <v>0.26102632066911713</v>
      </c>
      <c r="BA155" s="111">
        <f t="shared" si="19"/>
        <v>0.1135818609583631</v>
      </c>
      <c r="BB155" s="134">
        <f t="shared" ref="BB155:BC155" si="461">AX155-AX154</f>
        <v>375574</v>
      </c>
      <c r="BC155" s="134">
        <f t="shared" si="461"/>
        <v>318447</v>
      </c>
      <c r="BD155" s="132">
        <f t="shared" si="296"/>
        <v>160001347</v>
      </c>
      <c r="BE155" s="132">
        <f t="shared" ref="BE155:BF155" si="462">AX155-AN155-BJ155</f>
        <v>41584430</v>
      </c>
      <c r="BF155" s="132">
        <f t="shared" si="462"/>
        <v>17435677</v>
      </c>
      <c r="BG155" s="131">
        <f t="shared" si="227"/>
        <v>0.25990049946267013</v>
      </c>
      <c r="BH155" s="131">
        <f t="shared" si="228"/>
        <v>0.10897206384143754</v>
      </c>
      <c r="BI155" s="132">
        <v>40913349</v>
      </c>
      <c r="BJ155" s="126">
        <v>957451</v>
      </c>
      <c r="BK155" s="137">
        <v>7375</v>
      </c>
      <c r="BL155" s="131">
        <f t="shared" si="298"/>
        <v>2.3401921949728437E-2</v>
      </c>
      <c r="BM155" s="131">
        <f t="shared" si="299"/>
        <v>1.8025901521774714E-4</v>
      </c>
      <c r="BN155" s="131">
        <f t="shared" ref="BN155:BO155" si="463">V155/BB155</f>
        <v>0.2409724847832917</v>
      </c>
      <c r="BO155" s="131">
        <f t="shared" si="463"/>
        <v>0.15331279616388285</v>
      </c>
      <c r="BP155" s="136">
        <v>164054</v>
      </c>
      <c r="BQ155" s="136">
        <v>102128</v>
      </c>
      <c r="BR155" s="136" t="s">
        <v>366</v>
      </c>
      <c r="BS155" s="136" t="s">
        <v>366</v>
      </c>
    </row>
    <row r="156" spans="1:71" x14ac:dyDescent="0.25">
      <c r="A156" s="125">
        <v>44410</v>
      </c>
      <c r="B156" s="126">
        <v>112301</v>
      </c>
      <c r="C156" s="127">
        <v>143056</v>
      </c>
      <c r="D156" s="127">
        <v>125439</v>
      </c>
      <c r="E156" s="128">
        <f t="shared" si="0"/>
        <v>1.2738622095974212</v>
      </c>
      <c r="F156" s="128">
        <f t="shared" si="1"/>
        <v>1.1169891630528668</v>
      </c>
      <c r="G156" s="126">
        <v>911631</v>
      </c>
      <c r="H156" s="127">
        <v>738421</v>
      </c>
      <c r="I156" s="127">
        <v>629025</v>
      </c>
      <c r="J156" s="129">
        <f t="shared" si="2"/>
        <v>0.80999987933714412</v>
      </c>
      <c r="K156" s="129">
        <f t="shared" si="3"/>
        <v>0.68999957219532904</v>
      </c>
      <c r="L156" s="126">
        <v>1976757</v>
      </c>
      <c r="M156" s="130">
        <f t="shared" si="202"/>
        <v>6786017</v>
      </c>
      <c r="N156" s="130">
        <f t="shared" si="210"/>
        <v>1990252</v>
      </c>
      <c r="O156" s="128">
        <f t="shared" si="4"/>
        <v>3.4329039937635226</v>
      </c>
      <c r="P156" s="128">
        <f t="shared" si="5"/>
        <v>1.0068268380989671</v>
      </c>
      <c r="Q156" s="126">
        <v>8815157</v>
      </c>
      <c r="R156" s="126">
        <v>7667494</v>
      </c>
      <c r="S156" s="126">
        <v>2744716</v>
      </c>
      <c r="T156" s="131">
        <f t="shared" si="8"/>
        <v>0.86980799094105754</v>
      </c>
      <c r="U156" s="131">
        <f t="shared" si="9"/>
        <v>0.31136325762547395</v>
      </c>
      <c r="V156" s="132">
        <f t="shared" si="215"/>
        <v>69651</v>
      </c>
      <c r="W156" s="132">
        <f t="shared" si="220"/>
        <v>28595</v>
      </c>
      <c r="X156" s="132">
        <v>7044861</v>
      </c>
      <c r="Y156" s="132">
        <f t="shared" ref="Y156:Z156" si="464">R156-H156-AD156</f>
        <v>6334681</v>
      </c>
      <c r="Z156" s="132">
        <f t="shared" si="464"/>
        <v>2107155</v>
      </c>
      <c r="AA156" s="131">
        <f t="shared" si="222"/>
        <v>0.89919176545853774</v>
      </c>
      <c r="AB156" s="131">
        <f t="shared" si="223"/>
        <v>0.29910526268722692</v>
      </c>
      <c r="AC156" s="126">
        <v>984719</v>
      </c>
      <c r="AD156" s="126">
        <v>594392</v>
      </c>
      <c r="AE156" s="126">
        <v>8536</v>
      </c>
      <c r="AF156" s="133">
        <f t="shared" si="292"/>
        <v>0.60361585386287864</v>
      </c>
      <c r="AG156" s="133">
        <f t="shared" si="293"/>
        <v>8.6684627797371638E-3</v>
      </c>
      <c r="AH156" s="126">
        <v>1468764</v>
      </c>
      <c r="AI156" s="127">
        <v>1598537</v>
      </c>
      <c r="AJ156" s="127">
        <v>1458707</v>
      </c>
      <c r="AK156" s="133">
        <v>1.046</v>
      </c>
      <c r="AL156" s="133">
        <v>0.95599999999999996</v>
      </c>
      <c r="AM156" s="127">
        <v>21553118</v>
      </c>
      <c r="AN156" s="127">
        <v>4852390</v>
      </c>
      <c r="AO156" s="127">
        <v>3180403</v>
      </c>
      <c r="AP156" s="133">
        <v>0.19700000000000001</v>
      </c>
      <c r="AQ156" s="133">
        <v>0.11799999999999999</v>
      </c>
      <c r="AR156" s="126">
        <v>17327169</v>
      </c>
      <c r="AS156" s="122">
        <f t="shared" ref="AS156:AT156" si="465">AX156-AN156-AI156</f>
        <v>41111417</v>
      </c>
      <c r="AT156" s="122">
        <f t="shared" si="465"/>
        <v>16067992</v>
      </c>
      <c r="AU156" s="133">
        <v>0.98799999999999999</v>
      </c>
      <c r="AV156" s="133">
        <v>0.47699999999999998</v>
      </c>
      <c r="AW156" s="126">
        <v>181554465</v>
      </c>
      <c r="AX156" s="130">
        <v>47562344</v>
      </c>
      <c r="AY156" s="130">
        <v>20707102</v>
      </c>
      <c r="AZ156" s="111">
        <f t="shared" si="18"/>
        <v>0.2619728685824389</v>
      </c>
      <c r="BA156" s="111">
        <f t="shared" si="19"/>
        <v>0.11405449048030848</v>
      </c>
      <c r="BB156" s="134">
        <f t="shared" ref="BB156:BC156" si="466">AX156-AX155</f>
        <v>171850</v>
      </c>
      <c r="BC156" s="134">
        <f t="shared" si="466"/>
        <v>85808</v>
      </c>
      <c r="BD156" s="132">
        <f t="shared" si="296"/>
        <v>160001347</v>
      </c>
      <c r="BE156" s="132">
        <f t="shared" ref="BE156:BF156" si="467">AX156-AN156-BJ156</f>
        <v>41745502</v>
      </c>
      <c r="BF156" s="132">
        <f t="shared" si="467"/>
        <v>17517570</v>
      </c>
      <c r="BG156" s="131">
        <f t="shared" si="227"/>
        <v>0.26090719098758586</v>
      </c>
      <c r="BH156" s="131">
        <f t="shared" si="228"/>
        <v>0.10948389078249447</v>
      </c>
      <c r="BI156" s="132">
        <v>40913349</v>
      </c>
      <c r="BJ156" s="126">
        <v>964452</v>
      </c>
      <c r="BK156" s="137">
        <v>9129</v>
      </c>
      <c r="BL156" s="131">
        <f t="shared" si="298"/>
        <v>2.3573039694208361E-2</v>
      </c>
      <c r="BM156" s="131">
        <f t="shared" si="299"/>
        <v>2.2313010846411032E-4</v>
      </c>
      <c r="BN156" s="131">
        <f t="shared" ref="BN156:BO156" si="468">V156/BB156</f>
        <v>0.40530113471050333</v>
      </c>
      <c r="BO156" s="131">
        <f t="shared" si="468"/>
        <v>0.33324398657467835</v>
      </c>
      <c r="BP156" s="136">
        <v>164532</v>
      </c>
      <c r="BQ156" s="136">
        <v>104333</v>
      </c>
      <c r="BR156" s="136" t="s">
        <v>366</v>
      </c>
      <c r="BS156" s="136" t="s">
        <v>366</v>
      </c>
    </row>
    <row r="157" spans="1:71" x14ac:dyDescent="0.25">
      <c r="A157" s="125">
        <v>44411</v>
      </c>
      <c r="B157" s="126">
        <v>112301</v>
      </c>
      <c r="C157" s="127">
        <v>143333</v>
      </c>
      <c r="D157" s="127">
        <v>125814</v>
      </c>
      <c r="E157" s="128">
        <f t="shared" si="0"/>
        <v>1.2763287949350406</v>
      </c>
      <c r="F157" s="128">
        <f t="shared" si="1"/>
        <v>1.1203284031308716</v>
      </c>
      <c r="G157" s="126">
        <v>911631</v>
      </c>
      <c r="H157" s="127">
        <v>738421</v>
      </c>
      <c r="I157" s="127">
        <v>629025</v>
      </c>
      <c r="J157" s="129">
        <f t="shared" si="2"/>
        <v>0.80999987933714412</v>
      </c>
      <c r="K157" s="129">
        <f t="shared" si="3"/>
        <v>0.68999957219532904</v>
      </c>
      <c r="L157" s="126">
        <v>1976757</v>
      </c>
      <c r="M157" s="130">
        <f t="shared" si="202"/>
        <v>6918588</v>
      </c>
      <c r="N157" s="130">
        <f t="shared" si="210"/>
        <v>2110197</v>
      </c>
      <c r="O157" s="128">
        <f t="shared" si="4"/>
        <v>3.4999688884369702</v>
      </c>
      <c r="P157" s="128">
        <f t="shared" si="5"/>
        <v>1.0675045035884532</v>
      </c>
      <c r="Q157" s="126">
        <v>8815157</v>
      </c>
      <c r="R157" s="138">
        <v>7800342</v>
      </c>
      <c r="S157" s="138">
        <v>2865036</v>
      </c>
      <c r="T157" s="131">
        <f t="shared" si="8"/>
        <v>0.88487839751464437</v>
      </c>
      <c r="U157" s="131">
        <f t="shared" si="9"/>
        <v>0.32501247567116504</v>
      </c>
      <c r="V157" s="132">
        <f t="shared" si="215"/>
        <v>132848</v>
      </c>
      <c r="W157" s="132">
        <f t="shared" si="220"/>
        <v>120320</v>
      </c>
      <c r="X157" s="132">
        <v>7044861</v>
      </c>
      <c r="Y157" s="132">
        <f t="shared" ref="Y157:Z157" si="469">R157-H157-AD157</f>
        <v>6447040</v>
      </c>
      <c r="Z157" s="132">
        <f t="shared" si="469"/>
        <v>2219014</v>
      </c>
      <c r="AA157" s="131">
        <f t="shared" si="222"/>
        <v>0.91514083812299485</v>
      </c>
      <c r="AB157" s="131">
        <f t="shared" si="223"/>
        <v>0.31498336163055596</v>
      </c>
      <c r="AC157" s="126">
        <v>984719</v>
      </c>
      <c r="AD157" s="138">
        <v>614881</v>
      </c>
      <c r="AE157" s="138">
        <v>16997</v>
      </c>
      <c r="AF157" s="133">
        <f t="shared" si="292"/>
        <v>0.62442280488139257</v>
      </c>
      <c r="AG157" s="133">
        <f t="shared" si="293"/>
        <v>1.7260761699530527E-2</v>
      </c>
      <c r="AH157" s="126">
        <v>1468764</v>
      </c>
      <c r="AI157" s="127">
        <v>1599420</v>
      </c>
      <c r="AJ157" s="127">
        <v>1460489</v>
      </c>
      <c r="AK157" s="133">
        <v>1.046</v>
      </c>
      <c r="AL157" s="133">
        <v>0.95599999999999996</v>
      </c>
      <c r="AM157" s="127">
        <v>21553118</v>
      </c>
      <c r="AN157" s="127">
        <v>4861985</v>
      </c>
      <c r="AO157" s="127">
        <v>3199592</v>
      </c>
      <c r="AP157" s="133">
        <v>0.19700000000000001</v>
      </c>
      <c r="AQ157" s="133">
        <v>0.11799999999999999</v>
      </c>
      <c r="AR157" s="126">
        <v>17327169</v>
      </c>
      <c r="AS157" s="122">
        <f t="shared" ref="AS157:AT157" si="470">AX157-AN157-AI157</f>
        <v>41385774</v>
      </c>
      <c r="AT157" s="122">
        <f t="shared" si="470"/>
        <v>16411015</v>
      </c>
      <c r="AU157" s="133">
        <v>0.98799999999999999</v>
      </c>
      <c r="AV157" s="133">
        <v>0.47699999999999998</v>
      </c>
      <c r="AW157" s="126">
        <v>181554465</v>
      </c>
      <c r="AX157" s="130">
        <v>47847179</v>
      </c>
      <c r="AY157" s="130">
        <v>21071096</v>
      </c>
      <c r="AZ157" s="111">
        <f t="shared" si="18"/>
        <v>0.2635417366353397</v>
      </c>
      <c r="BA157" s="111">
        <f t="shared" si="19"/>
        <v>0.11605936543615163</v>
      </c>
      <c r="BB157" s="134">
        <f t="shared" ref="BB157:BC157" si="471">AX157-AX156</f>
        <v>284835</v>
      </c>
      <c r="BC157" s="134">
        <f t="shared" si="471"/>
        <v>363994</v>
      </c>
      <c r="BD157" s="132">
        <f t="shared" si="296"/>
        <v>160001347</v>
      </c>
      <c r="BE157" s="132">
        <f t="shared" ref="BE157:BF157" si="472">AX157-AN157-BJ157</f>
        <v>42009938</v>
      </c>
      <c r="BF157" s="132">
        <f t="shared" si="472"/>
        <v>17857984</v>
      </c>
      <c r="BG157" s="131">
        <f t="shared" si="227"/>
        <v>0.2625599020738244</v>
      </c>
      <c r="BH157" s="131">
        <f t="shared" si="228"/>
        <v>0.111611460371018</v>
      </c>
      <c r="BI157" s="132">
        <v>40913349</v>
      </c>
      <c r="BJ157" s="138">
        <v>975256</v>
      </c>
      <c r="BK157" s="139">
        <v>13520</v>
      </c>
      <c r="BL157" s="131">
        <f t="shared" si="298"/>
        <v>2.3837109985789723E-2</v>
      </c>
      <c r="BM157" s="131">
        <f t="shared" si="299"/>
        <v>3.3045449298222936E-4</v>
      </c>
      <c r="BN157" s="131">
        <f t="shared" ref="BN157:BO157" si="473">V157/BB157</f>
        <v>0.46640335632910279</v>
      </c>
      <c r="BO157" s="131">
        <f t="shared" si="473"/>
        <v>0.33055489925658116</v>
      </c>
      <c r="BP157" s="140">
        <v>164975</v>
      </c>
      <c r="BQ157" s="140">
        <v>106434</v>
      </c>
      <c r="BR157" s="136" t="s">
        <v>366</v>
      </c>
      <c r="BS157" s="136" t="s">
        <v>366</v>
      </c>
    </row>
    <row r="158" spans="1:71" x14ac:dyDescent="0.25">
      <c r="A158" s="125">
        <v>44412</v>
      </c>
      <c r="B158" s="126">
        <v>112301</v>
      </c>
      <c r="C158" s="127">
        <v>143589</v>
      </c>
      <c r="D158" s="127">
        <v>126105</v>
      </c>
      <c r="E158" s="128">
        <f t="shared" si="0"/>
        <v>1.2786083828282919</v>
      </c>
      <c r="F158" s="128">
        <f t="shared" si="1"/>
        <v>1.1229196534314032</v>
      </c>
      <c r="G158" s="126">
        <v>911631</v>
      </c>
      <c r="H158" s="127">
        <v>741612</v>
      </c>
      <c r="I158" s="127">
        <v>634130</v>
      </c>
      <c r="J158" s="129">
        <f t="shared" si="2"/>
        <v>0.8135001990937123</v>
      </c>
      <c r="K158" s="129">
        <f t="shared" si="3"/>
        <v>0.69559942564480581</v>
      </c>
      <c r="L158" s="126">
        <v>1976757</v>
      </c>
      <c r="M158" s="130">
        <f t="shared" si="202"/>
        <v>7033531</v>
      </c>
      <c r="N158" s="130">
        <f t="shared" si="210"/>
        <v>2224009</v>
      </c>
      <c r="O158" s="128">
        <f t="shared" si="4"/>
        <v>3.5581161468000366</v>
      </c>
      <c r="P158" s="128">
        <f t="shared" si="5"/>
        <v>1.1250796127192164</v>
      </c>
      <c r="Q158" s="126">
        <v>8815157</v>
      </c>
      <c r="R158" s="138">
        <v>7918732</v>
      </c>
      <c r="S158" s="138">
        <v>2984244</v>
      </c>
      <c r="T158" s="131">
        <f t="shared" si="8"/>
        <v>0.89830867447964913</v>
      </c>
      <c r="U158" s="131">
        <f t="shared" si="9"/>
        <v>0.33853554735326891</v>
      </c>
      <c r="V158" s="132">
        <f t="shared" si="215"/>
        <v>118390</v>
      </c>
      <c r="W158" s="132">
        <f t="shared" si="220"/>
        <v>119208</v>
      </c>
      <c r="X158" s="132">
        <v>7044861</v>
      </c>
      <c r="Y158" s="132">
        <f t="shared" ref="Y158:Z158" si="474">R158-H158-AD158</f>
        <v>6543520</v>
      </c>
      <c r="Z158" s="132">
        <f t="shared" si="474"/>
        <v>2322087</v>
      </c>
      <c r="AA158" s="131">
        <f t="shared" si="222"/>
        <v>0.92883592735186682</v>
      </c>
      <c r="AB158" s="131">
        <f t="shared" si="223"/>
        <v>0.32961431034622257</v>
      </c>
      <c r="AC158" s="126">
        <v>984719</v>
      </c>
      <c r="AD158" s="138">
        <v>633600</v>
      </c>
      <c r="AE158" s="138">
        <v>28027</v>
      </c>
      <c r="AF158" s="133">
        <f t="shared" si="292"/>
        <v>0.64343228880523273</v>
      </c>
      <c r="AG158" s="133">
        <f t="shared" si="293"/>
        <v>2.8461926701932226E-2</v>
      </c>
      <c r="AH158" s="126">
        <v>1468764</v>
      </c>
      <c r="AI158" s="127">
        <v>1600274</v>
      </c>
      <c r="AJ158" s="127">
        <v>1462171</v>
      </c>
      <c r="AK158" s="133">
        <v>1.046</v>
      </c>
      <c r="AL158" s="133">
        <v>0.95599999999999996</v>
      </c>
      <c r="AM158" s="127">
        <v>21553118</v>
      </c>
      <c r="AN158" s="127">
        <v>4871507</v>
      </c>
      <c r="AO158" s="127">
        <v>3218316</v>
      </c>
      <c r="AP158" s="133">
        <v>0.19700000000000001</v>
      </c>
      <c r="AQ158" s="133">
        <v>0.11799999999999999</v>
      </c>
      <c r="AR158" s="126">
        <v>17327169</v>
      </c>
      <c r="AS158" s="122">
        <f t="shared" ref="AS158:AT158" si="475">AX158-AN158-AI158</f>
        <v>41677036</v>
      </c>
      <c r="AT158" s="122">
        <f t="shared" si="475"/>
        <v>16816508</v>
      </c>
      <c r="AU158" s="133">
        <v>0.98799999999999999</v>
      </c>
      <c r="AV158" s="133">
        <v>0.47699999999999998</v>
      </c>
      <c r="AW158" s="126">
        <v>181554465</v>
      </c>
      <c r="AX158" s="130">
        <v>48148817</v>
      </c>
      <c r="AY158" s="130">
        <v>21496995</v>
      </c>
      <c r="AZ158" s="111">
        <f t="shared" si="18"/>
        <v>0.26520315542776651</v>
      </c>
      <c r="BA158" s="111">
        <f t="shared" si="19"/>
        <v>0.11840521245236243</v>
      </c>
      <c r="BB158" s="134">
        <f t="shared" ref="BB158:BC158" si="476">AX158-AX157</f>
        <v>301638</v>
      </c>
      <c r="BC158" s="134">
        <f t="shared" si="476"/>
        <v>425899</v>
      </c>
      <c r="BD158" s="132">
        <f t="shared" si="296"/>
        <v>160001347</v>
      </c>
      <c r="BE158" s="132">
        <f t="shared" ref="BE158:BF158" si="477">AX158-AN158-BJ158</f>
        <v>42281110</v>
      </c>
      <c r="BF158" s="132">
        <f t="shared" si="477"/>
        <v>18256126</v>
      </c>
      <c r="BG158" s="131">
        <f t="shared" si="227"/>
        <v>0.26425471280563656</v>
      </c>
      <c r="BH158" s="131">
        <f t="shared" si="228"/>
        <v>0.11409982692208211</v>
      </c>
      <c r="BI158" s="132">
        <v>40913349</v>
      </c>
      <c r="BJ158" s="138">
        <v>996200</v>
      </c>
      <c r="BK158" s="139">
        <v>22553</v>
      </c>
      <c r="BL158" s="131">
        <f t="shared" si="298"/>
        <v>2.4349021147107758E-2</v>
      </c>
      <c r="BM158" s="131">
        <f t="shared" si="299"/>
        <v>5.5123817901096286E-4</v>
      </c>
      <c r="BN158" s="131">
        <f t="shared" ref="BN158:BO158" si="478">V158/BB158</f>
        <v>0.39249033609823697</v>
      </c>
      <c r="BO158" s="131">
        <f t="shared" si="478"/>
        <v>0.27989734655399517</v>
      </c>
      <c r="BP158" s="140">
        <v>166057</v>
      </c>
      <c r="BQ158" s="140">
        <v>108799</v>
      </c>
      <c r="BR158" s="136" t="s">
        <v>366</v>
      </c>
      <c r="BS158" s="136" t="s">
        <v>366</v>
      </c>
    </row>
    <row r="159" spans="1:71" x14ac:dyDescent="0.25">
      <c r="A159" s="125">
        <v>44413</v>
      </c>
      <c r="B159" s="126">
        <v>112301</v>
      </c>
      <c r="C159" s="127">
        <v>143883</v>
      </c>
      <c r="D159" s="127">
        <v>126483</v>
      </c>
      <c r="E159" s="128">
        <f t="shared" si="0"/>
        <v>1.2812263470494474</v>
      </c>
      <c r="F159" s="128">
        <f t="shared" si="1"/>
        <v>1.1262856074300318</v>
      </c>
      <c r="G159" s="126">
        <v>911631</v>
      </c>
      <c r="H159" s="127">
        <v>744893</v>
      </c>
      <c r="I159" s="127">
        <v>635953</v>
      </c>
      <c r="J159" s="129">
        <f t="shared" si="2"/>
        <v>0.81709924300511938</v>
      </c>
      <c r="K159" s="129">
        <f t="shared" si="3"/>
        <v>0.69759913824782172</v>
      </c>
      <c r="L159" s="126">
        <v>1976757</v>
      </c>
      <c r="M159" s="130">
        <f t="shared" si="202"/>
        <v>7143488</v>
      </c>
      <c r="N159" s="130">
        <f t="shared" si="210"/>
        <v>2320699</v>
      </c>
      <c r="O159" s="128">
        <f t="shared" si="4"/>
        <v>3.6137410921018618</v>
      </c>
      <c r="P159" s="128">
        <f t="shared" si="5"/>
        <v>1.1739930603508677</v>
      </c>
      <c r="Q159" s="126">
        <v>8815157</v>
      </c>
      <c r="R159" s="138">
        <v>8032264</v>
      </c>
      <c r="S159" s="138">
        <v>3083135</v>
      </c>
      <c r="T159" s="131">
        <f t="shared" si="8"/>
        <v>0.91118785519078105</v>
      </c>
      <c r="U159" s="131">
        <f t="shared" si="9"/>
        <v>0.34975383875749461</v>
      </c>
      <c r="V159" s="132">
        <f t="shared" si="215"/>
        <v>113532</v>
      </c>
      <c r="W159" s="132">
        <f t="shared" si="220"/>
        <v>98891</v>
      </c>
      <c r="X159" s="132">
        <v>7044861</v>
      </c>
      <c r="Y159" s="132">
        <f t="shared" ref="Y159:Z159" si="479">R159-H159-AD159</f>
        <v>6535072</v>
      </c>
      <c r="Z159" s="132">
        <f t="shared" si="479"/>
        <v>2394291</v>
      </c>
      <c r="AA159" s="131">
        <f t="shared" si="222"/>
        <v>0.92763675535968704</v>
      </c>
      <c r="AB159" s="131">
        <f t="shared" si="223"/>
        <v>0.33986348346688461</v>
      </c>
      <c r="AC159" s="126">
        <v>984719</v>
      </c>
      <c r="AD159" s="138">
        <v>752299</v>
      </c>
      <c r="AE159" s="138">
        <v>52891</v>
      </c>
      <c r="AF159" s="133">
        <f t="shared" si="292"/>
        <v>0.76397327562482287</v>
      </c>
      <c r="AG159" s="133">
        <f t="shared" si="293"/>
        <v>5.3711769550501207E-2</v>
      </c>
      <c r="AH159" s="126">
        <v>1468764</v>
      </c>
      <c r="AI159" s="127">
        <v>1601161</v>
      </c>
      <c r="AJ159" s="127">
        <v>1464056</v>
      </c>
      <c r="AK159" s="133">
        <v>1.046</v>
      </c>
      <c r="AL159" s="133">
        <v>0.95599999999999996</v>
      </c>
      <c r="AM159" s="127">
        <v>21553118</v>
      </c>
      <c r="AN159" s="127">
        <v>4882081</v>
      </c>
      <c r="AO159" s="127">
        <v>3236940</v>
      </c>
      <c r="AP159" s="133">
        <v>0.19700000000000001</v>
      </c>
      <c r="AQ159" s="133">
        <v>0.11799999999999999</v>
      </c>
      <c r="AR159" s="126">
        <v>17327169</v>
      </c>
      <c r="AS159" s="122">
        <f t="shared" ref="AS159:AT159" si="480">AX159-AN159-AI159</f>
        <v>42011526</v>
      </c>
      <c r="AT159" s="122">
        <f t="shared" si="480"/>
        <v>17275630</v>
      </c>
      <c r="AU159" s="133">
        <v>0.98799999999999999</v>
      </c>
      <c r="AV159" s="133">
        <v>0.47699999999999998</v>
      </c>
      <c r="AW159" s="126">
        <v>181554465</v>
      </c>
      <c r="AX159" s="130">
        <v>48494768</v>
      </c>
      <c r="AY159" s="130">
        <v>21976626</v>
      </c>
      <c r="AZ159" s="111">
        <f t="shared" si="18"/>
        <v>0.26710864973769716</v>
      </c>
      <c r="BA159" s="111">
        <f t="shared" si="19"/>
        <v>0.12104701473466929</v>
      </c>
      <c r="BB159" s="134">
        <f t="shared" ref="BB159:BC159" si="481">AX159-AX158</f>
        <v>345951</v>
      </c>
      <c r="BC159" s="134">
        <f t="shared" si="481"/>
        <v>479631</v>
      </c>
      <c r="BD159" s="132">
        <f t="shared" si="296"/>
        <v>160001347</v>
      </c>
      <c r="BE159" s="132">
        <f t="shared" ref="BE159:BF159" si="482">AX159-AN159-BJ159</f>
        <v>41282078</v>
      </c>
      <c r="BF159" s="132">
        <f t="shared" si="482"/>
        <v>18609991</v>
      </c>
      <c r="BG159" s="131">
        <f t="shared" si="227"/>
        <v>0.2580108153714481</v>
      </c>
      <c r="BH159" s="131">
        <f t="shared" si="228"/>
        <v>0.11631146455285779</v>
      </c>
      <c r="BI159" s="132">
        <v>40913349</v>
      </c>
      <c r="BJ159" s="138">
        <v>2330609</v>
      </c>
      <c r="BK159" s="139">
        <v>129695</v>
      </c>
      <c r="BL159" s="131">
        <f t="shared" si="298"/>
        <v>5.6964512975948269E-2</v>
      </c>
      <c r="BM159" s="131">
        <f t="shared" si="299"/>
        <v>3.1699922682936563E-3</v>
      </c>
      <c r="BN159" s="131">
        <f t="shared" ref="BN159:BO159" si="483">V159/BB159</f>
        <v>0.32817364308818303</v>
      </c>
      <c r="BO159" s="131">
        <f t="shared" si="483"/>
        <v>0.20618141863224021</v>
      </c>
      <c r="BP159" s="140">
        <v>166758</v>
      </c>
      <c r="BQ159" s="140">
        <v>111294</v>
      </c>
      <c r="BR159" s="136" t="s">
        <v>366</v>
      </c>
      <c r="BS159" s="136" t="s">
        <v>366</v>
      </c>
    </row>
    <row r="160" spans="1:71" x14ac:dyDescent="0.25">
      <c r="A160" s="125">
        <v>44414</v>
      </c>
      <c r="B160" s="126">
        <v>112301</v>
      </c>
      <c r="C160" s="127">
        <v>143973</v>
      </c>
      <c r="D160" s="127">
        <v>126651</v>
      </c>
      <c r="E160" s="128">
        <f t="shared" si="0"/>
        <v>1.2820277646681686</v>
      </c>
      <c r="F160" s="128">
        <f t="shared" si="1"/>
        <v>1.1277815869849779</v>
      </c>
      <c r="G160" s="126">
        <v>911631</v>
      </c>
      <c r="H160" s="127">
        <v>745532</v>
      </c>
      <c r="I160" s="127">
        <v>636501</v>
      </c>
      <c r="J160" s="129">
        <f t="shared" si="2"/>
        <v>0.817800184504476</v>
      </c>
      <c r="K160" s="129">
        <f t="shared" si="3"/>
        <v>0.69820025865728563</v>
      </c>
      <c r="L160" s="126">
        <v>1976757</v>
      </c>
      <c r="M160" s="130">
        <f t="shared" si="202"/>
        <v>7212559</v>
      </c>
      <c r="N160" s="130">
        <f t="shared" si="210"/>
        <v>2347229</v>
      </c>
      <c r="O160" s="128">
        <f t="shared" si="4"/>
        <v>3.6486826655982503</v>
      </c>
      <c r="P160" s="128">
        <f t="shared" si="5"/>
        <v>1.1874140321749209</v>
      </c>
      <c r="Q160" s="126">
        <v>8815157</v>
      </c>
      <c r="R160" s="138">
        <v>8102064</v>
      </c>
      <c r="S160" s="138">
        <v>3110381</v>
      </c>
      <c r="T160" s="131">
        <f t="shared" si="8"/>
        <v>0.91910603520731393</v>
      </c>
      <c r="U160" s="131">
        <f t="shared" si="9"/>
        <v>0.35284465154732925</v>
      </c>
      <c r="V160" s="132">
        <f t="shared" si="215"/>
        <v>69800</v>
      </c>
      <c r="W160" s="132">
        <f t="shared" si="220"/>
        <v>27246</v>
      </c>
      <c r="X160" s="132">
        <v>7044861</v>
      </c>
      <c r="Y160" s="132">
        <f t="shared" ref="Y160:Z160" si="484">R160-H160-AD160</f>
        <v>6599473</v>
      </c>
      <c r="Z160" s="132">
        <f t="shared" si="484"/>
        <v>2416793</v>
      </c>
      <c r="AA160" s="131">
        <f t="shared" si="222"/>
        <v>0.93677831258842437</v>
      </c>
      <c r="AB160" s="131">
        <f t="shared" si="223"/>
        <v>0.34305758481253212</v>
      </c>
      <c r="AC160" s="126">
        <v>984719</v>
      </c>
      <c r="AD160" s="138">
        <v>757059</v>
      </c>
      <c r="AE160" s="138">
        <v>57087</v>
      </c>
      <c r="AF160" s="133">
        <f t="shared" si="292"/>
        <v>0.76880714193592281</v>
      </c>
      <c r="AG160" s="133">
        <f t="shared" si="293"/>
        <v>5.7972883634823745E-2</v>
      </c>
      <c r="AH160" s="126">
        <v>1468764</v>
      </c>
      <c r="AI160" s="127">
        <v>1602289</v>
      </c>
      <c r="AJ160" s="127">
        <v>1465859</v>
      </c>
      <c r="AK160" s="133">
        <v>1.046</v>
      </c>
      <c r="AL160" s="133">
        <v>0.95599999999999996</v>
      </c>
      <c r="AM160" s="127">
        <v>21553118</v>
      </c>
      <c r="AN160" s="127">
        <v>4890614</v>
      </c>
      <c r="AO160" s="127">
        <v>3247861</v>
      </c>
      <c r="AP160" s="133">
        <v>0.19700000000000001</v>
      </c>
      <c r="AQ160" s="133">
        <v>0.11799999999999999</v>
      </c>
      <c r="AR160" s="126">
        <v>17327169</v>
      </c>
      <c r="AS160" s="122">
        <f t="shared" ref="AS160:AT160" si="485">AX160-AN160-AI160</f>
        <v>42363516</v>
      </c>
      <c r="AT160" s="122">
        <f t="shared" si="485"/>
        <v>17570264</v>
      </c>
      <c r="AU160" s="133">
        <v>0.98799999999999999</v>
      </c>
      <c r="AV160" s="133">
        <v>0.47699999999999998</v>
      </c>
      <c r="AW160" s="126">
        <v>181554465</v>
      </c>
      <c r="AX160" s="130">
        <v>48856419</v>
      </c>
      <c r="AY160" s="130">
        <v>22283984</v>
      </c>
      <c r="AZ160" s="111">
        <f t="shared" si="18"/>
        <v>0.26910061947526326</v>
      </c>
      <c r="BA160" s="111">
        <f t="shared" si="19"/>
        <v>0.12273993922429834</v>
      </c>
      <c r="BB160" s="134">
        <f t="shared" ref="BB160:BC160" si="486">AX160-AX159</f>
        <v>361651</v>
      </c>
      <c r="BC160" s="134">
        <f t="shared" si="486"/>
        <v>307358</v>
      </c>
      <c r="BD160" s="132">
        <f t="shared" si="296"/>
        <v>160001347</v>
      </c>
      <c r="BE160" s="132">
        <f t="shared" ref="BE160:BF160" si="487">AX160-AN160-BJ160</f>
        <v>41612898</v>
      </c>
      <c r="BF160" s="132">
        <f t="shared" si="487"/>
        <v>18874764</v>
      </c>
      <c r="BG160" s="131">
        <f t="shared" si="227"/>
        <v>0.26007842296477668</v>
      </c>
      <c r="BH160" s="131">
        <f t="shared" si="228"/>
        <v>0.1179662818713645</v>
      </c>
      <c r="BI160" s="132">
        <v>40913349</v>
      </c>
      <c r="BJ160" s="138">
        <v>2352907</v>
      </c>
      <c r="BK160" s="139">
        <v>161359</v>
      </c>
      <c r="BL160" s="131">
        <f t="shared" si="298"/>
        <v>5.7509518470365256E-2</v>
      </c>
      <c r="BM160" s="131">
        <f t="shared" si="299"/>
        <v>3.9439206015620962E-3</v>
      </c>
      <c r="BN160" s="131">
        <f t="shared" ref="BN160:BO160" si="488">V160/BB160</f>
        <v>0.19300375223627197</v>
      </c>
      <c r="BO160" s="131">
        <f t="shared" si="488"/>
        <v>8.8645813676559576E-2</v>
      </c>
      <c r="BP160" s="140">
        <v>167199</v>
      </c>
      <c r="BQ160" s="140">
        <v>112207</v>
      </c>
      <c r="BR160" s="136" t="s">
        <v>366</v>
      </c>
      <c r="BS160" s="136" t="s">
        <v>366</v>
      </c>
    </row>
    <row r="161" spans="1:71" x14ac:dyDescent="0.25">
      <c r="A161" s="125">
        <v>44415</v>
      </c>
      <c r="B161" s="126">
        <v>112301</v>
      </c>
      <c r="C161" s="127">
        <v>144251</v>
      </c>
      <c r="D161" s="127">
        <v>127046</v>
      </c>
      <c r="E161" s="128">
        <f t="shared" si="0"/>
        <v>1.284503254645996</v>
      </c>
      <c r="F161" s="128">
        <f t="shared" si="1"/>
        <v>1.1312989198671428</v>
      </c>
      <c r="G161" s="126">
        <v>911631</v>
      </c>
      <c r="H161" s="127">
        <v>747355</v>
      </c>
      <c r="I161" s="127">
        <v>637868</v>
      </c>
      <c r="J161" s="129">
        <f t="shared" si="2"/>
        <v>0.8197998971074919</v>
      </c>
      <c r="K161" s="129">
        <f t="shared" si="3"/>
        <v>0.69969976887578422</v>
      </c>
      <c r="L161" s="126">
        <v>1976757</v>
      </c>
      <c r="M161" s="130">
        <f t="shared" si="202"/>
        <v>7294189</v>
      </c>
      <c r="N161" s="130">
        <f t="shared" si="210"/>
        <v>2419482</v>
      </c>
      <c r="O161" s="128">
        <f t="shared" si="4"/>
        <v>3.6899775743806651</v>
      </c>
      <c r="P161" s="128">
        <f t="shared" si="5"/>
        <v>1.2239653128836776</v>
      </c>
      <c r="Q161" s="126">
        <v>8815157</v>
      </c>
      <c r="R161" s="138">
        <v>8185795</v>
      </c>
      <c r="S161" s="138">
        <v>3184396</v>
      </c>
      <c r="T161" s="131">
        <f t="shared" si="8"/>
        <v>0.92860456143889436</v>
      </c>
      <c r="U161" s="131">
        <f t="shared" si="9"/>
        <v>0.36124098527116422</v>
      </c>
      <c r="V161" s="132">
        <f t="shared" si="215"/>
        <v>83731</v>
      </c>
      <c r="W161" s="132">
        <f t="shared" si="220"/>
        <v>74015</v>
      </c>
      <c r="X161" s="132">
        <v>7044861</v>
      </c>
      <c r="Y161" s="132">
        <f t="shared" ref="Y161:Z161" si="489">R161-H161-AD161</f>
        <v>6673037</v>
      </c>
      <c r="Z161" s="132">
        <f t="shared" si="489"/>
        <v>2475741</v>
      </c>
      <c r="AA161" s="131">
        <f t="shared" si="222"/>
        <v>0.94722053423055474</v>
      </c>
      <c r="AB161" s="131">
        <f t="shared" si="223"/>
        <v>0.35142510263864679</v>
      </c>
      <c r="AC161" s="126">
        <v>984719</v>
      </c>
      <c r="AD161" s="138">
        <v>765403</v>
      </c>
      <c r="AE161" s="138">
        <v>70787</v>
      </c>
      <c r="AF161" s="133">
        <f t="shared" si="292"/>
        <v>0.77728062523420383</v>
      </c>
      <c r="AG161" s="133">
        <f t="shared" si="293"/>
        <v>7.1885482051224761E-2</v>
      </c>
      <c r="AH161" s="126">
        <v>1468764</v>
      </c>
      <c r="AI161" s="127">
        <v>1604269</v>
      </c>
      <c r="AJ161" s="127">
        <v>1469818</v>
      </c>
      <c r="AK161" s="133">
        <v>1.046</v>
      </c>
      <c r="AL161" s="133">
        <v>0.95599999999999996</v>
      </c>
      <c r="AM161" s="127">
        <v>21553118</v>
      </c>
      <c r="AN161" s="127">
        <v>4909924</v>
      </c>
      <c r="AO161" s="127">
        <v>3283269</v>
      </c>
      <c r="AP161" s="133">
        <v>0.19700000000000001</v>
      </c>
      <c r="AQ161" s="133">
        <v>0.11799999999999999</v>
      </c>
      <c r="AR161" s="126">
        <v>17327169</v>
      </c>
      <c r="AS161" s="122">
        <f t="shared" ref="AS161:AT161" si="490">AX161-AN161-AI161</f>
        <v>43028495</v>
      </c>
      <c r="AT161" s="122">
        <f t="shared" si="490"/>
        <v>18328934</v>
      </c>
      <c r="AU161" s="133">
        <v>0.98799999999999999</v>
      </c>
      <c r="AV161" s="133">
        <v>0.47699999999999998</v>
      </c>
      <c r="AW161" s="126">
        <v>181554465</v>
      </c>
      <c r="AX161" s="130">
        <v>49542688</v>
      </c>
      <c r="AY161" s="130">
        <v>23082021</v>
      </c>
      <c r="AZ161" s="111">
        <f t="shared" si="18"/>
        <v>0.27288058159296713</v>
      </c>
      <c r="BA161" s="111">
        <f t="shared" si="19"/>
        <v>0.12713551825894229</v>
      </c>
      <c r="BB161" s="134">
        <f t="shared" ref="BB161:BC161" si="491">AX161-AX160</f>
        <v>686269</v>
      </c>
      <c r="BC161" s="134">
        <f t="shared" si="491"/>
        <v>798037</v>
      </c>
      <c r="BD161" s="132">
        <f t="shared" si="296"/>
        <v>160001347</v>
      </c>
      <c r="BE161" s="132">
        <f t="shared" ref="BE161:BF161" si="492">AX161-AN161-BJ161</f>
        <v>42262177</v>
      </c>
      <c r="BF161" s="132">
        <f t="shared" si="492"/>
        <v>19544570</v>
      </c>
      <c r="BG161" s="131">
        <f t="shared" si="227"/>
        <v>0.26413638255182942</v>
      </c>
      <c r="BH161" s="131">
        <f t="shared" si="228"/>
        <v>0.12215253412835331</v>
      </c>
      <c r="BI161" s="132">
        <v>40913349</v>
      </c>
      <c r="BJ161" s="138">
        <v>2370587</v>
      </c>
      <c r="BK161" s="139">
        <v>254182</v>
      </c>
      <c r="BL161" s="131">
        <f t="shared" si="298"/>
        <v>5.7941651268880484E-2</v>
      </c>
      <c r="BM161" s="131">
        <f t="shared" si="299"/>
        <v>6.2126911194681231E-3</v>
      </c>
      <c r="BN161" s="131">
        <f t="shared" ref="BN161:BO161" si="493">V161/BB161</f>
        <v>0.12200900812946527</v>
      </c>
      <c r="BO161" s="131">
        <f t="shared" si="493"/>
        <v>9.2746326298154089E-2</v>
      </c>
      <c r="BP161" s="140">
        <v>167891</v>
      </c>
      <c r="BQ161" s="140">
        <v>113667</v>
      </c>
      <c r="BR161" s="136" t="s">
        <v>366</v>
      </c>
      <c r="BS161" s="136" t="s">
        <v>366</v>
      </c>
    </row>
    <row r="162" spans="1:71" x14ac:dyDescent="0.25">
      <c r="A162" s="120">
        <v>44416</v>
      </c>
      <c r="B162" s="126">
        <v>112301</v>
      </c>
      <c r="C162" s="127">
        <v>144251</v>
      </c>
      <c r="D162" s="127">
        <v>127046</v>
      </c>
      <c r="E162" s="128">
        <f t="shared" si="0"/>
        <v>1.284503254645996</v>
      </c>
      <c r="F162" s="128">
        <f t="shared" si="1"/>
        <v>1.1312989198671428</v>
      </c>
      <c r="G162" s="126">
        <v>911631</v>
      </c>
      <c r="H162" s="127">
        <v>754010</v>
      </c>
      <c r="I162" s="127">
        <v>641606</v>
      </c>
      <c r="J162" s="129">
        <f t="shared" si="2"/>
        <v>0.82709999989030647</v>
      </c>
      <c r="K162" s="129">
        <f t="shared" si="3"/>
        <v>0.70380011210676252</v>
      </c>
      <c r="L162" s="126">
        <v>1976757</v>
      </c>
      <c r="M162" s="130">
        <f t="shared" si="202"/>
        <v>7472929</v>
      </c>
      <c r="N162" s="130">
        <f t="shared" si="210"/>
        <v>2647312</v>
      </c>
      <c r="O162" s="128">
        <f t="shared" si="4"/>
        <v>3.7803984000056658</v>
      </c>
      <c r="P162" s="128">
        <f t="shared" si="5"/>
        <v>1.3392197422343768</v>
      </c>
      <c r="Q162" s="126">
        <v>8941211</v>
      </c>
      <c r="R162" s="138">
        <v>8371190</v>
      </c>
      <c r="S162" s="138">
        <v>3415964</v>
      </c>
      <c r="T162" s="131">
        <f t="shared" si="8"/>
        <v>0.93624789751634319</v>
      </c>
      <c r="U162" s="131">
        <f t="shared" si="9"/>
        <v>0.38204712985746564</v>
      </c>
      <c r="V162" s="132">
        <f t="shared" si="215"/>
        <v>185395</v>
      </c>
      <c r="W162" s="132">
        <f t="shared" si="220"/>
        <v>231568</v>
      </c>
      <c r="X162" s="132">
        <f t="shared" ref="X162:X184" si="494">Q162-AC162-G162</f>
        <v>7044861</v>
      </c>
      <c r="Y162" s="132">
        <f t="shared" ref="Y162:Z162" si="495">R162-H162-AD162</f>
        <v>6851777</v>
      </c>
      <c r="Z162" s="132">
        <f t="shared" si="495"/>
        <v>2703571</v>
      </c>
      <c r="AA162" s="131">
        <f t="shared" si="222"/>
        <v>0.97259222005941637</v>
      </c>
      <c r="AB162" s="131">
        <f t="shared" si="223"/>
        <v>0.38376498840786211</v>
      </c>
      <c r="AC162" s="126">
        <v>984719</v>
      </c>
      <c r="AD162" s="138">
        <v>765403</v>
      </c>
      <c r="AE162" s="138">
        <v>70787</v>
      </c>
      <c r="AF162" s="133">
        <f t="shared" si="292"/>
        <v>0.77728062523420383</v>
      </c>
      <c r="AG162" s="133">
        <f t="shared" si="293"/>
        <v>7.1885482051224761E-2</v>
      </c>
      <c r="AH162" s="126">
        <v>1468764</v>
      </c>
      <c r="AI162" s="127">
        <v>1595639</v>
      </c>
      <c r="AJ162" s="127">
        <v>1462914</v>
      </c>
      <c r="AK162" s="133">
        <v>1.046</v>
      </c>
      <c r="AL162" s="133">
        <v>0.95599999999999996</v>
      </c>
      <c r="AM162" s="127">
        <v>21553118</v>
      </c>
      <c r="AN162" s="127">
        <v>4923635</v>
      </c>
      <c r="AO162" s="127">
        <v>3302094</v>
      </c>
      <c r="AP162" s="133">
        <v>0.19700000000000001</v>
      </c>
      <c r="AQ162" s="133">
        <v>0.11799999999999999</v>
      </c>
      <c r="AR162" s="126">
        <v>17327169</v>
      </c>
      <c r="AS162" s="122">
        <f t="shared" ref="AS162:AT162" si="496">AX162-AN162-AI162</f>
        <v>43445471</v>
      </c>
      <c r="AT162" s="122">
        <f t="shared" si="496"/>
        <v>18763122</v>
      </c>
      <c r="AU162" s="133">
        <v>0.98799999999999999</v>
      </c>
      <c r="AV162" s="133">
        <v>0.47699999999999998</v>
      </c>
      <c r="AW162" s="126">
        <v>208265720</v>
      </c>
      <c r="AX162" s="130">
        <v>49964745</v>
      </c>
      <c r="AY162" s="130">
        <v>23528130</v>
      </c>
      <c r="AZ162" s="111">
        <f t="shared" si="18"/>
        <v>0.23990863690865688</v>
      </c>
      <c r="BA162" s="111">
        <f t="shared" si="19"/>
        <v>0.11297168828360231</v>
      </c>
      <c r="BB162" s="134">
        <f t="shared" ref="BB162:BC162" si="497">AX162-AX161</f>
        <v>422057</v>
      </c>
      <c r="BC162" s="134">
        <f t="shared" si="497"/>
        <v>446109</v>
      </c>
      <c r="BD162" s="132">
        <f t="shared" ref="BD162:BF162" si="498">AW162-AM162-BI162</f>
        <v>145799253</v>
      </c>
      <c r="BE162" s="132">
        <f t="shared" si="498"/>
        <v>42678339</v>
      </c>
      <c r="BF162" s="132">
        <f t="shared" si="498"/>
        <v>19941863</v>
      </c>
      <c r="BG162" s="131">
        <f t="shared" si="227"/>
        <v>0.29271987422322387</v>
      </c>
      <c r="BH162" s="131">
        <f t="shared" si="228"/>
        <v>0.1367761671591006</v>
      </c>
      <c r="BI162" s="132">
        <v>40913349</v>
      </c>
      <c r="BJ162" s="138">
        <v>2362771</v>
      </c>
      <c r="BK162" s="139">
        <v>284173</v>
      </c>
      <c r="BL162" s="131">
        <f t="shared" si="298"/>
        <v>5.7750613375600224E-2</v>
      </c>
      <c r="BM162" s="131">
        <f t="shared" si="299"/>
        <v>6.9457281534200492E-3</v>
      </c>
      <c r="BN162" s="131">
        <f t="shared" ref="BN162:BO162" si="499">V162/BB162</f>
        <v>0.43926531250518297</v>
      </c>
      <c r="BO162" s="131">
        <f t="shared" si="499"/>
        <v>0.51908390101970592</v>
      </c>
      <c r="BP162" s="140">
        <v>167928</v>
      </c>
      <c r="BQ162" s="140">
        <v>113728</v>
      </c>
      <c r="BR162" s="136" t="s">
        <v>366</v>
      </c>
      <c r="BS162" s="136" t="s">
        <v>366</v>
      </c>
    </row>
    <row r="163" spans="1:71" x14ac:dyDescent="0.25">
      <c r="A163" s="120">
        <v>44417</v>
      </c>
      <c r="B163" s="126">
        <v>112301</v>
      </c>
      <c r="C163" s="127">
        <v>144251</v>
      </c>
      <c r="D163" s="127">
        <v>127046</v>
      </c>
      <c r="E163" s="128">
        <f t="shared" si="0"/>
        <v>1.284503254645996</v>
      </c>
      <c r="F163" s="128">
        <f t="shared" si="1"/>
        <v>1.1312989198671428</v>
      </c>
      <c r="G163" s="126">
        <v>911631</v>
      </c>
      <c r="H163" s="127">
        <v>758203</v>
      </c>
      <c r="I163" s="127">
        <v>643520</v>
      </c>
      <c r="J163" s="129">
        <f t="shared" si="2"/>
        <v>0.83169944857074851</v>
      </c>
      <c r="K163" s="129">
        <f t="shared" si="3"/>
        <v>0.70589964579967113</v>
      </c>
      <c r="L163" s="126">
        <v>1976757</v>
      </c>
      <c r="M163" s="130">
        <f t="shared" si="202"/>
        <v>7605181</v>
      </c>
      <c r="N163" s="130">
        <f t="shared" si="210"/>
        <v>2762080</v>
      </c>
      <c r="O163" s="128">
        <f t="shared" si="4"/>
        <v>3.8473019192546176</v>
      </c>
      <c r="P163" s="128">
        <f t="shared" si="5"/>
        <v>1.3972784717595537</v>
      </c>
      <c r="Q163" s="126">
        <v>8941211</v>
      </c>
      <c r="R163" s="138">
        <v>8507635</v>
      </c>
      <c r="S163" s="138">
        <v>3532646</v>
      </c>
      <c r="T163" s="131">
        <f t="shared" si="8"/>
        <v>0.95150813463634842</v>
      </c>
      <c r="U163" s="131">
        <f t="shared" si="9"/>
        <v>0.395097039987089</v>
      </c>
      <c r="V163" s="132">
        <f t="shared" si="215"/>
        <v>136445</v>
      </c>
      <c r="W163" s="132">
        <f t="shared" si="220"/>
        <v>116682</v>
      </c>
      <c r="X163" s="132">
        <f t="shared" si="494"/>
        <v>7044861</v>
      </c>
      <c r="Y163" s="132">
        <f t="shared" ref="Y163:Z163" si="500">R163-H163-AD163</f>
        <v>6984029</v>
      </c>
      <c r="Z163" s="132">
        <f t="shared" si="500"/>
        <v>2818339</v>
      </c>
      <c r="AA163" s="131">
        <f t="shared" si="222"/>
        <v>0.99136505319267476</v>
      </c>
      <c r="AB163" s="131">
        <f t="shared" si="223"/>
        <v>0.40005601246071426</v>
      </c>
      <c r="AC163" s="126">
        <v>984719</v>
      </c>
      <c r="AD163" s="138">
        <v>765403</v>
      </c>
      <c r="AE163" s="138">
        <v>70787</v>
      </c>
      <c r="AF163" s="133">
        <f t="shared" si="292"/>
        <v>0.77728062523420383</v>
      </c>
      <c r="AG163" s="133">
        <f t="shared" si="293"/>
        <v>7.1885482051224761E-2</v>
      </c>
      <c r="AH163" s="126">
        <v>1468764</v>
      </c>
      <c r="AI163" s="127">
        <v>1585298</v>
      </c>
      <c r="AJ163" s="127">
        <v>1454424</v>
      </c>
      <c r="AK163" s="133">
        <v>1.046</v>
      </c>
      <c r="AL163" s="133">
        <v>0.95599999999999996</v>
      </c>
      <c r="AM163" s="127">
        <v>21553118</v>
      </c>
      <c r="AN163" s="127">
        <v>4937505</v>
      </c>
      <c r="AO163" s="127">
        <v>3312941</v>
      </c>
      <c r="AP163" s="133">
        <v>0.19700000000000001</v>
      </c>
      <c r="AQ163" s="133">
        <v>0.11799999999999999</v>
      </c>
      <c r="AR163" s="126">
        <v>17327169</v>
      </c>
      <c r="AS163" s="122">
        <f t="shared" ref="AS163:AT163" si="501">AX163-AN163-AI163</f>
        <v>44038768</v>
      </c>
      <c r="AT163" s="122">
        <f t="shared" si="501"/>
        <v>19279849</v>
      </c>
      <c r="AU163" s="133">
        <v>0.98799999999999999</v>
      </c>
      <c r="AV163" s="133">
        <v>0.47699999999999998</v>
      </c>
      <c r="AW163" s="126">
        <v>208265720</v>
      </c>
      <c r="AX163" s="130">
        <v>50561571</v>
      </c>
      <c r="AY163" s="130">
        <v>24047214</v>
      </c>
      <c r="AZ163" s="111">
        <f t="shared" si="18"/>
        <v>0.24277433175272436</v>
      </c>
      <c r="BA163" s="111">
        <f t="shared" si="19"/>
        <v>0.11546410038099406</v>
      </c>
      <c r="BB163" s="134">
        <f t="shared" ref="BB163:BC163" si="502">AX163-AX162</f>
        <v>596826</v>
      </c>
      <c r="BC163" s="134">
        <f t="shared" si="502"/>
        <v>519084</v>
      </c>
      <c r="BD163" s="132">
        <f t="shared" ref="BD163:BF163" si="503">AW163-AM163-BI163</f>
        <v>145799253</v>
      </c>
      <c r="BE163" s="132">
        <f t="shared" si="503"/>
        <v>43320430</v>
      </c>
      <c r="BF163" s="132">
        <f t="shared" si="503"/>
        <v>20447772</v>
      </c>
      <c r="BG163" s="131">
        <f t="shared" si="227"/>
        <v>0.29712381311034564</v>
      </c>
      <c r="BH163" s="131">
        <f t="shared" si="228"/>
        <v>0.14024606833890979</v>
      </c>
      <c r="BI163" s="132">
        <v>40913349</v>
      </c>
      <c r="BJ163" s="138">
        <v>2303636</v>
      </c>
      <c r="BK163" s="139">
        <v>286501</v>
      </c>
      <c r="BL163" s="131">
        <f t="shared" si="298"/>
        <v>5.63052415973085E-2</v>
      </c>
      <c r="BM163" s="131">
        <f t="shared" si="299"/>
        <v>7.002628897477936E-3</v>
      </c>
      <c r="BN163" s="131">
        <f t="shared" ref="BN163:BO163" si="504">V163/BB163</f>
        <v>0.22861772107783507</v>
      </c>
      <c r="BO163" s="131">
        <f t="shared" si="504"/>
        <v>0.22478442795385717</v>
      </c>
      <c r="BP163" s="140">
        <v>172781</v>
      </c>
      <c r="BQ163" s="140">
        <v>123034</v>
      </c>
      <c r="BR163" s="136" t="s">
        <v>366</v>
      </c>
      <c r="BS163" s="136" t="s">
        <v>366</v>
      </c>
    </row>
    <row r="164" spans="1:71" x14ac:dyDescent="0.25">
      <c r="A164" s="120">
        <v>44418</v>
      </c>
      <c r="B164" s="126">
        <v>112301</v>
      </c>
      <c r="C164" s="141">
        <v>144251</v>
      </c>
      <c r="D164" s="141">
        <v>127046</v>
      </c>
      <c r="E164" s="128">
        <f t="shared" si="0"/>
        <v>1.284503254645996</v>
      </c>
      <c r="F164" s="128">
        <f t="shared" si="1"/>
        <v>1.1312989198671428</v>
      </c>
      <c r="G164" s="126">
        <v>911631</v>
      </c>
      <c r="H164" s="141">
        <v>761941</v>
      </c>
      <c r="I164" s="141">
        <v>646255</v>
      </c>
      <c r="J164" s="129">
        <f t="shared" si="2"/>
        <v>0.83579979180172681</v>
      </c>
      <c r="K164" s="129">
        <f t="shared" si="3"/>
        <v>0.70889976317172188</v>
      </c>
      <c r="L164" s="126">
        <v>1976757</v>
      </c>
      <c r="M164" s="130">
        <f t="shared" si="202"/>
        <v>7723897</v>
      </c>
      <c r="N164" s="130">
        <f t="shared" si="210"/>
        <v>2897904</v>
      </c>
      <c r="O164" s="128">
        <f t="shared" si="4"/>
        <v>3.9073578593625822</v>
      </c>
      <c r="P164" s="128">
        <f t="shared" si="5"/>
        <v>1.4659889910595991</v>
      </c>
      <c r="Q164" s="126">
        <v>8941211</v>
      </c>
      <c r="R164" s="142">
        <v>8630089</v>
      </c>
      <c r="S164" s="142">
        <v>3671205</v>
      </c>
      <c r="T164" s="131">
        <f t="shared" si="8"/>
        <v>0.96520359490453811</v>
      </c>
      <c r="U164" s="131">
        <f t="shared" si="9"/>
        <v>0.41059371040455256</v>
      </c>
      <c r="V164" s="132">
        <f t="shared" si="215"/>
        <v>122454</v>
      </c>
      <c r="W164" s="132">
        <f t="shared" si="220"/>
        <v>138559</v>
      </c>
      <c r="X164" s="132">
        <f t="shared" si="494"/>
        <v>7044861</v>
      </c>
      <c r="Y164" s="132">
        <f t="shared" ref="Y164:Z164" si="505">R164-H164-AD164</f>
        <v>7142726</v>
      </c>
      <c r="Z164" s="132">
        <f t="shared" si="505"/>
        <v>2918538</v>
      </c>
      <c r="AA164" s="131">
        <f t="shared" si="222"/>
        <v>1.0138916864363967</v>
      </c>
      <c r="AB164" s="131">
        <f t="shared" si="223"/>
        <v>0.41427900422733677</v>
      </c>
      <c r="AC164" s="126">
        <v>984719</v>
      </c>
      <c r="AD164" s="142">
        <v>725422</v>
      </c>
      <c r="AE164" s="142">
        <v>106412</v>
      </c>
      <c r="AF164" s="133">
        <f t="shared" si="292"/>
        <v>0.73667919477536226</v>
      </c>
      <c r="AG164" s="133">
        <f t="shared" si="293"/>
        <v>0.10806331552453034</v>
      </c>
      <c r="AH164" s="126">
        <v>1468764</v>
      </c>
      <c r="AI164" s="127">
        <v>1603012</v>
      </c>
      <c r="AJ164" s="127">
        <v>1473500</v>
      </c>
      <c r="AK164" s="133">
        <v>1.046</v>
      </c>
      <c r="AL164" s="133">
        <v>0.95599999999999996</v>
      </c>
      <c r="AM164" s="127">
        <v>21553118</v>
      </c>
      <c r="AN164" s="127">
        <v>4950257</v>
      </c>
      <c r="AO164" s="127">
        <v>3338199</v>
      </c>
      <c r="AP164" s="133">
        <v>0.19700000000000001</v>
      </c>
      <c r="AQ164" s="133">
        <v>0.11799999999999999</v>
      </c>
      <c r="AR164" s="126">
        <v>17327169</v>
      </c>
      <c r="AS164" s="122">
        <f t="shared" ref="AS164:AT164" si="506">AX164-AN164-AI164</f>
        <v>44284339</v>
      </c>
      <c r="AT164" s="122">
        <f t="shared" si="506"/>
        <v>19804265</v>
      </c>
      <c r="AU164" s="133">
        <v>0.98799999999999999</v>
      </c>
      <c r="AV164" s="133">
        <v>0.47699999999999998</v>
      </c>
      <c r="AW164" s="126">
        <v>208265720</v>
      </c>
      <c r="AX164" s="130">
        <v>50837608</v>
      </c>
      <c r="AY164" s="130">
        <v>24615964</v>
      </c>
      <c r="AZ164" s="111">
        <f t="shared" si="18"/>
        <v>0.2440997395058582</v>
      </c>
      <c r="BA164" s="111">
        <f t="shared" si="19"/>
        <v>0.11819498667375505</v>
      </c>
      <c r="BB164" s="134">
        <f t="shared" ref="BB164:BC164" si="507">AX164-AX163</f>
        <v>276037</v>
      </c>
      <c r="BC164" s="134">
        <f t="shared" si="507"/>
        <v>568750</v>
      </c>
      <c r="BD164" s="132">
        <f t="shared" ref="BD164:BF164" si="508">AW164-AM164-BI164</f>
        <v>145799253</v>
      </c>
      <c r="BE164" s="132">
        <f t="shared" si="508"/>
        <v>43574323</v>
      </c>
      <c r="BF164" s="132">
        <f t="shared" si="508"/>
        <v>20922041</v>
      </c>
      <c r="BG164" s="131">
        <f t="shared" si="227"/>
        <v>0.29886520063309241</v>
      </c>
      <c r="BH164" s="131">
        <f t="shared" si="228"/>
        <v>0.14349895880467919</v>
      </c>
      <c r="BI164" s="132">
        <v>40913349</v>
      </c>
      <c r="BJ164" s="138">
        <v>2313028</v>
      </c>
      <c r="BK164" s="139">
        <v>355724</v>
      </c>
      <c r="BL164" s="131">
        <f t="shared" si="298"/>
        <v>5.6534799925569527E-2</v>
      </c>
      <c r="BM164" s="131">
        <f t="shared" si="299"/>
        <v>8.6945705666871716E-3</v>
      </c>
      <c r="BN164" s="131">
        <f t="shared" ref="BN164:BO164" si="509">V164/BB164</f>
        <v>0.44361444299133812</v>
      </c>
      <c r="BO164" s="131">
        <f t="shared" si="509"/>
        <v>0.24362021978021978</v>
      </c>
      <c r="BP164" s="143">
        <v>173992</v>
      </c>
      <c r="BQ164" s="143">
        <v>125173</v>
      </c>
      <c r="BR164" s="136" t="s">
        <v>366</v>
      </c>
      <c r="BS164" s="136" t="s">
        <v>366</v>
      </c>
    </row>
    <row r="165" spans="1:71" x14ac:dyDescent="0.25">
      <c r="A165" s="120">
        <v>44419</v>
      </c>
      <c r="B165" s="126">
        <v>112301</v>
      </c>
      <c r="C165" s="141">
        <v>144251</v>
      </c>
      <c r="D165" s="141">
        <v>127046</v>
      </c>
      <c r="E165" s="128">
        <f t="shared" si="0"/>
        <v>1.284503254645996</v>
      </c>
      <c r="F165" s="128">
        <f t="shared" si="1"/>
        <v>1.1312989198671428</v>
      </c>
      <c r="G165" s="126">
        <v>911631</v>
      </c>
      <c r="H165" s="141">
        <v>764676</v>
      </c>
      <c r="I165" s="141">
        <v>648078</v>
      </c>
      <c r="J165" s="129">
        <f t="shared" si="2"/>
        <v>0.83879990917377756</v>
      </c>
      <c r="K165" s="129">
        <f t="shared" si="3"/>
        <v>0.71089947577473778</v>
      </c>
      <c r="L165" s="126">
        <v>1976757</v>
      </c>
      <c r="M165" s="130">
        <f t="shared" si="202"/>
        <v>7813719</v>
      </c>
      <c r="N165" s="130">
        <f t="shared" si="210"/>
        <v>3009229</v>
      </c>
      <c r="O165" s="128">
        <f t="shared" si="4"/>
        <v>3.9527969295163747</v>
      </c>
      <c r="P165" s="128">
        <f t="shared" si="5"/>
        <v>1.5223059789341835</v>
      </c>
      <c r="Q165" s="126">
        <v>8941211</v>
      </c>
      <c r="R165" s="142">
        <v>8722646</v>
      </c>
      <c r="S165" s="142">
        <v>3784353</v>
      </c>
      <c r="T165" s="131">
        <f t="shared" si="8"/>
        <v>0.97555532466463435</v>
      </c>
      <c r="U165" s="131">
        <f t="shared" si="9"/>
        <v>0.42324837206056315</v>
      </c>
      <c r="V165" s="132">
        <f t="shared" si="215"/>
        <v>92557</v>
      </c>
      <c r="W165" s="132">
        <f t="shared" si="220"/>
        <v>113148</v>
      </c>
      <c r="X165" s="132">
        <f t="shared" si="494"/>
        <v>7044861</v>
      </c>
      <c r="Y165" s="132">
        <f t="shared" ref="Y165:Z165" si="510">R165-H165-AD165</f>
        <v>7225616</v>
      </c>
      <c r="Z165" s="132">
        <f t="shared" si="510"/>
        <v>3005119</v>
      </c>
      <c r="AA165" s="131">
        <f t="shared" si="222"/>
        <v>1.0256577099250077</v>
      </c>
      <c r="AB165" s="131">
        <f t="shared" si="223"/>
        <v>0.42656895572531522</v>
      </c>
      <c r="AC165" s="126">
        <v>984719</v>
      </c>
      <c r="AD165" s="142">
        <v>732354</v>
      </c>
      <c r="AE165" s="142">
        <v>131156</v>
      </c>
      <c r="AF165" s="133">
        <f t="shared" si="292"/>
        <v>0.74371876647043467</v>
      </c>
      <c r="AG165" s="133">
        <f t="shared" si="293"/>
        <v>0.13319129619718925</v>
      </c>
      <c r="AH165" s="126">
        <v>1468764</v>
      </c>
      <c r="AI165" s="127">
        <v>1605104</v>
      </c>
      <c r="AJ165" s="127">
        <v>1477058</v>
      </c>
      <c r="AK165" s="133">
        <v>1.046</v>
      </c>
      <c r="AL165" s="133">
        <v>0.95599999999999996</v>
      </c>
      <c r="AM165" s="127">
        <v>21553118</v>
      </c>
      <c r="AN165" s="127">
        <v>4967521</v>
      </c>
      <c r="AO165" s="127">
        <v>3362468</v>
      </c>
      <c r="AP165" s="133">
        <v>0.19700000000000001</v>
      </c>
      <c r="AQ165" s="133">
        <v>0.11799999999999999</v>
      </c>
      <c r="AR165" s="126">
        <v>17327169</v>
      </c>
      <c r="AS165" s="122">
        <f t="shared" ref="AS165:AT165" si="511">AX165-AN165-AI165</f>
        <v>44870417</v>
      </c>
      <c r="AT165" s="122">
        <f t="shared" si="511"/>
        <v>20410466</v>
      </c>
      <c r="AU165" s="133">
        <v>0.98799999999999999</v>
      </c>
      <c r="AV165" s="133">
        <v>0.47699999999999998</v>
      </c>
      <c r="AW165" s="126">
        <v>208265720</v>
      </c>
      <c r="AX165" s="130">
        <v>51443042</v>
      </c>
      <c r="AY165" s="130">
        <v>25249992</v>
      </c>
      <c r="AZ165" s="111">
        <f t="shared" si="18"/>
        <v>0.2470067661639179</v>
      </c>
      <c r="BA165" s="111">
        <f t="shared" si="19"/>
        <v>0.12123930909032941</v>
      </c>
      <c r="BB165" s="134">
        <f t="shared" ref="BB165:BC165" si="512">AX165-AX164</f>
        <v>605434</v>
      </c>
      <c r="BC165" s="134">
        <f t="shared" si="512"/>
        <v>634028</v>
      </c>
      <c r="BD165" s="132">
        <f t="shared" ref="BD165:BF165" si="513">AW165-AM165-BI165</f>
        <v>145799253</v>
      </c>
      <c r="BE165" s="132">
        <f t="shared" si="513"/>
        <v>44141352</v>
      </c>
      <c r="BF165" s="132">
        <f t="shared" si="513"/>
        <v>21444758</v>
      </c>
      <c r="BG165" s="131">
        <f t="shared" si="227"/>
        <v>0.30275430835026296</v>
      </c>
      <c r="BH165" s="131">
        <f t="shared" si="228"/>
        <v>0.14708414178226276</v>
      </c>
      <c r="BI165" s="132">
        <v>40913349</v>
      </c>
      <c r="BJ165" s="138">
        <v>2334169</v>
      </c>
      <c r="BK165" s="139">
        <v>442766</v>
      </c>
      <c r="BL165" s="131">
        <f t="shared" si="298"/>
        <v>5.7051526141260155E-2</v>
      </c>
      <c r="BM165" s="131">
        <f t="shared" si="299"/>
        <v>1.0822042458562851E-2</v>
      </c>
      <c r="BN165" s="131">
        <f t="shared" ref="BN165:BO165" si="514">V165/BB165</f>
        <v>0.15287710964366058</v>
      </c>
      <c r="BO165" s="131">
        <f t="shared" si="514"/>
        <v>0.17845899550177594</v>
      </c>
      <c r="BP165" s="143">
        <v>175494</v>
      </c>
      <c r="BQ165" s="143">
        <v>127140</v>
      </c>
      <c r="BR165" s="136" t="s">
        <v>366</v>
      </c>
      <c r="BS165" s="136" t="s">
        <v>366</v>
      </c>
    </row>
    <row r="166" spans="1:71" x14ac:dyDescent="0.25">
      <c r="A166" s="120">
        <v>44420</v>
      </c>
      <c r="B166" s="126">
        <v>112301</v>
      </c>
      <c r="C166" s="141">
        <v>144251</v>
      </c>
      <c r="D166" s="141">
        <v>127046</v>
      </c>
      <c r="E166" s="128">
        <f t="shared" si="0"/>
        <v>1.284503254645996</v>
      </c>
      <c r="F166" s="128">
        <f t="shared" si="1"/>
        <v>1.1312989198671428</v>
      </c>
      <c r="G166" s="126">
        <v>911631</v>
      </c>
      <c r="H166" s="141">
        <v>765861</v>
      </c>
      <c r="I166" s="141">
        <v>648716</v>
      </c>
      <c r="J166" s="129">
        <f t="shared" si="2"/>
        <v>0.84009977721249063</v>
      </c>
      <c r="K166" s="129">
        <f t="shared" si="3"/>
        <v>0.71159932033904072</v>
      </c>
      <c r="L166" s="126">
        <v>1976757</v>
      </c>
      <c r="M166" s="130">
        <f t="shared" si="202"/>
        <v>7861445</v>
      </c>
      <c r="N166" s="130">
        <f t="shared" si="210"/>
        <v>3045017</v>
      </c>
      <c r="O166" s="128">
        <f t="shared" si="4"/>
        <v>3.9769405141856082</v>
      </c>
      <c r="P166" s="128">
        <f t="shared" si="5"/>
        <v>1.54041037922213</v>
      </c>
      <c r="Q166" s="126">
        <v>8941211</v>
      </c>
      <c r="R166" s="142">
        <v>8771557</v>
      </c>
      <c r="S166" s="142">
        <v>3820779</v>
      </c>
      <c r="T166" s="131">
        <f t="shared" si="8"/>
        <v>0.98102561274977185</v>
      </c>
      <c r="U166" s="131">
        <f t="shared" si="9"/>
        <v>0.42732231685394739</v>
      </c>
      <c r="V166" s="132">
        <f t="shared" si="215"/>
        <v>48911</v>
      </c>
      <c r="W166" s="132">
        <f t="shared" si="220"/>
        <v>36426</v>
      </c>
      <c r="X166" s="132">
        <f t="shared" si="494"/>
        <v>7044861</v>
      </c>
      <c r="Y166" s="132">
        <f t="shared" ref="Y166:Z166" si="515">R166-H166-AD166</f>
        <v>7270906</v>
      </c>
      <c r="Z166" s="132">
        <f t="shared" si="515"/>
        <v>3035920</v>
      </c>
      <c r="AA166" s="131">
        <f t="shared" si="222"/>
        <v>1.0320865095847882</v>
      </c>
      <c r="AB166" s="131">
        <f t="shared" si="223"/>
        <v>0.43094107889424643</v>
      </c>
      <c r="AC166" s="126">
        <v>984719</v>
      </c>
      <c r="AD166" s="142">
        <v>734790</v>
      </c>
      <c r="AE166" s="142">
        <v>136143</v>
      </c>
      <c r="AF166" s="133">
        <f t="shared" si="292"/>
        <v>0.74619256864140937</v>
      </c>
      <c r="AG166" s="133">
        <f t="shared" si="293"/>
        <v>0.13825568512438574</v>
      </c>
      <c r="AH166" s="126">
        <v>1468764</v>
      </c>
      <c r="AI166" s="127">
        <v>1605836</v>
      </c>
      <c r="AJ166" s="127">
        <v>1478463</v>
      </c>
      <c r="AK166" s="133">
        <v>1.046</v>
      </c>
      <c r="AL166" s="133">
        <v>0.95599999999999996</v>
      </c>
      <c r="AM166" s="127">
        <v>21553118</v>
      </c>
      <c r="AN166" s="127">
        <v>4974734</v>
      </c>
      <c r="AO166" s="127">
        <v>3372273</v>
      </c>
      <c r="AP166" s="133">
        <v>0.19700000000000001</v>
      </c>
      <c r="AQ166" s="133">
        <v>0.11799999999999999</v>
      </c>
      <c r="AR166" s="126">
        <v>17327169</v>
      </c>
      <c r="AS166" s="122">
        <f t="shared" ref="AS166:AT166" si="516">AX166-AN166-AI166</f>
        <v>45313996</v>
      </c>
      <c r="AT166" s="122">
        <f t="shared" si="516"/>
        <v>20652113</v>
      </c>
      <c r="AU166" s="133">
        <v>0.98799999999999999</v>
      </c>
      <c r="AV166" s="133">
        <v>0.47699999999999998</v>
      </c>
      <c r="AW166" s="126">
        <v>208265720</v>
      </c>
      <c r="AX166" s="130">
        <v>51894566</v>
      </c>
      <c r="AY166" s="130">
        <v>25502849</v>
      </c>
      <c r="AZ166" s="111">
        <f t="shared" si="18"/>
        <v>0.24917478498141701</v>
      </c>
      <c r="BA166" s="111">
        <f t="shared" si="19"/>
        <v>0.12245341672167652</v>
      </c>
      <c r="BB166" s="134">
        <f t="shared" ref="BB166:BC166" si="517">AX166-AX165</f>
        <v>451524</v>
      </c>
      <c r="BC166" s="134">
        <f t="shared" si="517"/>
        <v>252857</v>
      </c>
      <c r="BD166" s="132">
        <f t="shared" ref="BD166:BF166" si="518">AW166-AM166-BI166</f>
        <v>145799253</v>
      </c>
      <c r="BE166" s="132">
        <f t="shared" si="518"/>
        <v>44578165</v>
      </c>
      <c r="BF166" s="132">
        <f t="shared" si="518"/>
        <v>21655111</v>
      </c>
      <c r="BG166" s="131">
        <f t="shared" si="227"/>
        <v>0.30575029763698447</v>
      </c>
      <c r="BH166" s="131">
        <f t="shared" si="228"/>
        <v>0.14852689951710521</v>
      </c>
      <c r="BI166" s="132">
        <v>40913349</v>
      </c>
      <c r="BJ166" s="138">
        <v>2341667</v>
      </c>
      <c r="BK166" s="139">
        <v>475465</v>
      </c>
      <c r="BL166" s="131">
        <f t="shared" si="298"/>
        <v>5.7234791510223225E-2</v>
      </c>
      <c r="BM166" s="131">
        <f t="shared" si="299"/>
        <v>1.1621268158712698E-2</v>
      </c>
      <c r="BN166" s="131">
        <f t="shared" ref="BN166:BO166" si="519">V166/BB166</f>
        <v>0.10832425297437125</v>
      </c>
      <c r="BO166" s="131">
        <f t="shared" si="519"/>
        <v>0.14405770850717994</v>
      </c>
      <c r="BP166" s="143">
        <v>177898</v>
      </c>
      <c r="BQ166" s="143">
        <v>128245</v>
      </c>
      <c r="BR166" s="136" t="s">
        <v>366</v>
      </c>
      <c r="BS166" s="136" t="s">
        <v>366</v>
      </c>
    </row>
    <row r="167" spans="1:71" x14ac:dyDescent="0.25">
      <c r="A167" s="120">
        <v>44421</v>
      </c>
      <c r="B167" s="126">
        <v>112301</v>
      </c>
      <c r="C167" s="141">
        <v>144512</v>
      </c>
      <c r="D167" s="141">
        <v>129007</v>
      </c>
      <c r="E167" s="128">
        <f t="shared" si="0"/>
        <v>1.2868273657402873</v>
      </c>
      <c r="F167" s="128">
        <f t="shared" si="1"/>
        <v>1.148760919315055</v>
      </c>
      <c r="G167" s="126">
        <v>911631</v>
      </c>
      <c r="H167" s="141">
        <v>768414</v>
      </c>
      <c r="I167" s="141">
        <v>651907</v>
      </c>
      <c r="J167" s="129">
        <f t="shared" si="2"/>
        <v>0.84290025240475586</v>
      </c>
      <c r="K167" s="129">
        <f t="shared" si="3"/>
        <v>0.71509964009560889</v>
      </c>
      <c r="L167" s="126">
        <v>1976757</v>
      </c>
      <c r="M167" s="130">
        <f t="shared" si="202"/>
        <v>7948338</v>
      </c>
      <c r="N167" s="130">
        <f t="shared" si="210"/>
        <v>3227035</v>
      </c>
      <c r="O167" s="128">
        <f t="shared" si="4"/>
        <v>4.0208978645326665</v>
      </c>
      <c r="P167" s="128">
        <f t="shared" si="5"/>
        <v>1.6324894764505704</v>
      </c>
      <c r="Q167" s="126">
        <v>8941211</v>
      </c>
      <c r="R167" s="142">
        <v>8861264</v>
      </c>
      <c r="S167" s="142">
        <v>4007949</v>
      </c>
      <c r="T167" s="131">
        <f t="shared" si="8"/>
        <v>0.9910585937408255</v>
      </c>
      <c r="U167" s="131">
        <f t="shared" si="9"/>
        <v>0.44825572285454396</v>
      </c>
      <c r="V167" s="132">
        <f t="shared" si="215"/>
        <v>89707</v>
      </c>
      <c r="W167" s="132">
        <f t="shared" si="220"/>
        <v>187170</v>
      </c>
      <c r="X167" s="132">
        <f t="shared" si="494"/>
        <v>7044861</v>
      </c>
      <c r="Y167" s="132">
        <f t="shared" ref="Y167:Z167" si="520">R167-H167-AD167</f>
        <v>7350823</v>
      </c>
      <c r="Z167" s="132">
        <f t="shared" si="520"/>
        <v>3178051</v>
      </c>
      <c r="AA167" s="131">
        <f t="shared" si="222"/>
        <v>1.0434305233275716</v>
      </c>
      <c r="AB167" s="131">
        <f t="shared" si="223"/>
        <v>0.45111621080955322</v>
      </c>
      <c r="AC167" s="126">
        <v>984719</v>
      </c>
      <c r="AD167" s="142">
        <v>742027</v>
      </c>
      <c r="AE167" s="142">
        <v>177991</v>
      </c>
      <c r="AF167" s="133">
        <f t="shared" si="292"/>
        <v>0.75354187336691991</v>
      </c>
      <c r="AG167" s="133">
        <f t="shared" si="293"/>
        <v>0.18075308793676165</v>
      </c>
      <c r="AH167" s="126">
        <v>1468764</v>
      </c>
      <c r="AI167" s="127">
        <v>1607284</v>
      </c>
      <c r="AJ167" s="127">
        <v>1481324</v>
      </c>
      <c r="AK167" s="133">
        <v>1.046</v>
      </c>
      <c r="AL167" s="133">
        <v>0.95599999999999996</v>
      </c>
      <c r="AM167" s="127">
        <v>21553118</v>
      </c>
      <c r="AN167" s="127">
        <v>4987862</v>
      </c>
      <c r="AO167" s="127">
        <v>3402777</v>
      </c>
      <c r="AP167" s="133">
        <v>0.19700000000000001</v>
      </c>
      <c r="AQ167" s="133">
        <v>0.11799999999999999</v>
      </c>
      <c r="AR167" s="126">
        <v>17327169</v>
      </c>
      <c r="AS167" s="122">
        <f t="shared" ref="AS167:AT167" si="521">AX167-AN167-AI167</f>
        <v>45431770</v>
      </c>
      <c r="AT167" s="122">
        <f t="shared" si="521"/>
        <v>21260061</v>
      </c>
      <c r="AU167" s="133">
        <v>0.98799999999999999</v>
      </c>
      <c r="AV167" s="133">
        <v>0.47699999999999998</v>
      </c>
      <c r="AW167" s="126">
        <v>208265720</v>
      </c>
      <c r="AX167" s="130">
        <v>52026916</v>
      </c>
      <c r="AY167" s="130">
        <v>26144162</v>
      </c>
      <c r="AZ167" s="111">
        <f t="shared" si="18"/>
        <v>0.24981027122466434</v>
      </c>
      <c r="BA167" s="111">
        <f t="shared" si="19"/>
        <v>0.12553271849058981</v>
      </c>
      <c r="BB167" s="134">
        <f t="shared" ref="BB167:BC167" si="522">AX167-AX166</f>
        <v>132350</v>
      </c>
      <c r="BC167" s="134">
        <f t="shared" si="522"/>
        <v>641313</v>
      </c>
      <c r="BD167" s="132">
        <f t="shared" ref="BD167:BF167" si="523">AW167-AM167-BI167</f>
        <v>145799253</v>
      </c>
      <c r="BE167" s="132">
        <f t="shared" si="523"/>
        <v>44689835</v>
      </c>
      <c r="BF167" s="132">
        <f t="shared" si="523"/>
        <v>22196249</v>
      </c>
      <c r="BG167" s="131">
        <f t="shared" si="227"/>
        <v>0.30651621376962745</v>
      </c>
      <c r="BH167" s="131">
        <f t="shared" si="228"/>
        <v>0.15223842744928193</v>
      </c>
      <c r="BI167" s="132">
        <v>40913349</v>
      </c>
      <c r="BJ167" s="138">
        <v>2349219</v>
      </c>
      <c r="BK167" s="139">
        <v>545136</v>
      </c>
      <c r="BL167" s="131">
        <f t="shared" si="298"/>
        <v>5.7419376741806201E-2</v>
      </c>
      <c r="BM167" s="131">
        <f t="shared" si="299"/>
        <v>1.3324159799287024E-2</v>
      </c>
      <c r="BN167" s="131">
        <f t="shared" ref="BN167:BO167" si="524">V167/BB167</f>
        <v>0.67780128447298826</v>
      </c>
      <c r="BO167" s="131">
        <f t="shared" si="524"/>
        <v>0.2918543675241263</v>
      </c>
      <c r="BP167" s="143">
        <v>179429</v>
      </c>
      <c r="BQ167" s="143">
        <v>129672</v>
      </c>
      <c r="BR167" s="136" t="s">
        <v>366</v>
      </c>
      <c r="BS167" s="136" t="s">
        <v>366</v>
      </c>
    </row>
    <row r="168" spans="1:71" x14ac:dyDescent="0.25">
      <c r="A168" s="120">
        <v>44422</v>
      </c>
      <c r="B168" s="126">
        <v>112301</v>
      </c>
      <c r="C168" s="141">
        <v>144815</v>
      </c>
      <c r="D168" s="141">
        <v>129662</v>
      </c>
      <c r="E168" s="128">
        <f t="shared" si="0"/>
        <v>1.2895254717233151</v>
      </c>
      <c r="F168" s="128">
        <f t="shared" si="1"/>
        <v>1.1545934586513031</v>
      </c>
      <c r="G168" s="126">
        <v>911631</v>
      </c>
      <c r="H168" s="141">
        <v>770875</v>
      </c>
      <c r="I168" s="141">
        <v>654642</v>
      </c>
      <c r="J168" s="129">
        <f t="shared" si="2"/>
        <v>0.8455998095720747</v>
      </c>
      <c r="K168" s="129">
        <f t="shared" si="3"/>
        <v>0.71809975746765964</v>
      </c>
      <c r="L168" s="126">
        <v>1976757</v>
      </c>
      <c r="M168" s="130">
        <f t="shared" si="202"/>
        <v>8036003</v>
      </c>
      <c r="N168" s="130">
        <f t="shared" si="210"/>
        <v>3397014</v>
      </c>
      <c r="O168" s="128">
        <f t="shared" si="4"/>
        <v>4.0652457535245858</v>
      </c>
      <c r="P168" s="128">
        <f t="shared" si="5"/>
        <v>1.7184782955112843</v>
      </c>
      <c r="Q168" s="126">
        <v>8941211</v>
      </c>
      <c r="R168" s="142">
        <v>8951693</v>
      </c>
      <c r="S168" s="142">
        <v>4181318</v>
      </c>
      <c r="T168" s="131">
        <f t="shared" si="8"/>
        <v>1.0011723244200366</v>
      </c>
      <c r="U168" s="131">
        <f t="shared" si="9"/>
        <v>0.46764560192126098</v>
      </c>
      <c r="V168" s="132">
        <f t="shared" si="215"/>
        <v>90429</v>
      </c>
      <c r="W168" s="132">
        <f t="shared" si="220"/>
        <v>173369</v>
      </c>
      <c r="X168" s="132">
        <f t="shared" si="494"/>
        <v>7044861</v>
      </c>
      <c r="Y168" s="132">
        <f t="shared" ref="Y168:Z168" si="525">R168-H168-AD168</f>
        <v>7431863</v>
      </c>
      <c r="Z168" s="132">
        <f t="shared" si="525"/>
        <v>3307968</v>
      </c>
      <c r="AA168" s="131">
        <f t="shared" si="222"/>
        <v>1.054933944048009</v>
      </c>
      <c r="AB168" s="131">
        <f t="shared" si="223"/>
        <v>0.46955759666514357</v>
      </c>
      <c r="AC168" s="126">
        <v>984719</v>
      </c>
      <c r="AD168" s="142">
        <v>748955</v>
      </c>
      <c r="AE168" s="142">
        <v>218708</v>
      </c>
      <c r="AF168" s="133">
        <f t="shared" si="292"/>
        <v>0.76057738298946198</v>
      </c>
      <c r="AG168" s="133">
        <f t="shared" si="293"/>
        <v>0.22210193974118506</v>
      </c>
      <c r="AH168" s="126">
        <v>1468764</v>
      </c>
      <c r="AI168" s="127">
        <v>1609398</v>
      </c>
      <c r="AJ168" s="127">
        <v>1485554</v>
      </c>
      <c r="AK168" s="133">
        <v>1.046</v>
      </c>
      <c r="AL168" s="133">
        <v>0.95599999999999996</v>
      </c>
      <c r="AM168" s="127">
        <v>21553118</v>
      </c>
      <c r="AN168" s="127">
        <v>5005427</v>
      </c>
      <c r="AO168" s="127">
        <v>3434272</v>
      </c>
      <c r="AP168" s="133">
        <v>0.19700000000000001</v>
      </c>
      <c r="AQ168" s="133">
        <v>0.11799999999999999</v>
      </c>
      <c r="AR168" s="126">
        <v>17327169</v>
      </c>
      <c r="AS168" s="122">
        <f t="shared" ref="AS168:AT168" si="526">AX168-AN168-AI168</f>
        <v>46676482</v>
      </c>
      <c r="AT168" s="122">
        <f t="shared" si="526"/>
        <v>22443089</v>
      </c>
      <c r="AU168" s="133">
        <v>0.98799999999999999</v>
      </c>
      <c r="AV168" s="133">
        <v>0.47699999999999998</v>
      </c>
      <c r="AW168" s="126">
        <v>208265720</v>
      </c>
      <c r="AX168" s="130">
        <v>53291307</v>
      </c>
      <c r="AY168" s="130">
        <v>27362915</v>
      </c>
      <c r="AZ168" s="111">
        <f t="shared" si="18"/>
        <v>0.25588131834658145</v>
      </c>
      <c r="BA168" s="111">
        <f t="shared" si="19"/>
        <v>0.13138463209403833</v>
      </c>
      <c r="BB168" s="134">
        <f t="shared" ref="BB168:BC168" si="527">AX168-AX167</f>
        <v>1264391</v>
      </c>
      <c r="BC168" s="134">
        <f t="shared" si="527"/>
        <v>1218753</v>
      </c>
      <c r="BD168" s="132">
        <f t="shared" ref="BD168:BF168" si="528">AW168-AM168-BI168</f>
        <v>145799253</v>
      </c>
      <c r="BE168" s="132">
        <f t="shared" si="528"/>
        <v>45917511</v>
      </c>
      <c r="BF168" s="132">
        <f t="shared" si="528"/>
        <v>23265932</v>
      </c>
      <c r="BG168" s="131">
        <f t="shared" si="227"/>
        <v>0.31493653125918281</v>
      </c>
      <c r="BH168" s="131">
        <f t="shared" si="228"/>
        <v>0.15957511112899872</v>
      </c>
      <c r="BI168" s="132">
        <v>40913349</v>
      </c>
      <c r="BJ168" s="138">
        <v>2368369</v>
      </c>
      <c r="BK168" s="139">
        <v>662711</v>
      </c>
      <c r="BL168" s="131">
        <f t="shared" si="298"/>
        <v>5.7887439133863128E-2</v>
      </c>
      <c r="BM168" s="131">
        <f t="shared" si="299"/>
        <v>1.6197916235114362E-2</v>
      </c>
      <c r="BN168" s="131">
        <f t="shared" ref="BN168:BO168" si="529">V168/BB168</f>
        <v>7.1519806768634064E-2</v>
      </c>
      <c r="BO168" s="131">
        <f t="shared" si="529"/>
        <v>0.1422511370228422</v>
      </c>
      <c r="BP168" s="143">
        <v>181045</v>
      </c>
      <c r="BQ168" s="143">
        <v>131886</v>
      </c>
      <c r="BR168" s="136" t="s">
        <v>366</v>
      </c>
      <c r="BS168" s="136" t="s">
        <v>366</v>
      </c>
    </row>
    <row r="169" spans="1:71" x14ac:dyDescent="0.25">
      <c r="A169" s="120">
        <v>44423</v>
      </c>
      <c r="B169" s="126">
        <v>112301</v>
      </c>
      <c r="C169" s="141">
        <v>144930</v>
      </c>
      <c r="D169" s="141">
        <v>129959</v>
      </c>
      <c r="E169" s="128">
        <f t="shared" si="0"/>
        <v>1.2905495053472364</v>
      </c>
      <c r="F169" s="128">
        <f t="shared" si="1"/>
        <v>1.1572381367930828</v>
      </c>
      <c r="G169" s="126">
        <v>911631</v>
      </c>
      <c r="H169" s="141">
        <v>771878</v>
      </c>
      <c r="I169" s="141">
        <v>655827</v>
      </c>
      <c r="J169" s="129">
        <f t="shared" si="2"/>
        <v>0.84670003543100225</v>
      </c>
      <c r="K169" s="129">
        <f t="shared" si="3"/>
        <v>0.7193996255063726</v>
      </c>
      <c r="L169" s="126">
        <v>1976757</v>
      </c>
      <c r="M169" s="130">
        <f t="shared" si="202"/>
        <v>8100243</v>
      </c>
      <c r="N169" s="130">
        <f t="shared" si="210"/>
        <v>3474465</v>
      </c>
      <c r="O169" s="128">
        <f t="shared" si="4"/>
        <v>4.0977434252161498</v>
      </c>
      <c r="P169" s="128">
        <f t="shared" si="5"/>
        <v>1.7576591356448972</v>
      </c>
      <c r="Q169" s="126">
        <v>8941211</v>
      </c>
      <c r="R169" s="142">
        <v>9017051</v>
      </c>
      <c r="S169" s="142">
        <v>4260251</v>
      </c>
      <c r="T169" s="131">
        <f t="shared" si="8"/>
        <v>1.0084820725067332</v>
      </c>
      <c r="U169" s="131">
        <f t="shared" si="9"/>
        <v>0.47647360072366035</v>
      </c>
      <c r="V169" s="132">
        <f t="shared" si="215"/>
        <v>65358</v>
      </c>
      <c r="W169" s="132">
        <f t="shared" si="220"/>
        <v>78933</v>
      </c>
      <c r="X169" s="132">
        <f t="shared" si="494"/>
        <v>7044861</v>
      </c>
      <c r="Y169" s="132">
        <f t="shared" ref="Y169:Z169" si="530">R169-H169-AD169</f>
        <v>7494173</v>
      </c>
      <c r="Z169" s="132">
        <f t="shared" si="530"/>
        <v>3370268</v>
      </c>
      <c r="AA169" s="131">
        <f t="shared" si="222"/>
        <v>1.0637786891749887</v>
      </c>
      <c r="AB169" s="131">
        <f t="shared" si="223"/>
        <v>0.47840092231770082</v>
      </c>
      <c r="AC169" s="126">
        <v>984719</v>
      </c>
      <c r="AD169" s="142">
        <v>751000</v>
      </c>
      <c r="AE169" s="142">
        <v>234156</v>
      </c>
      <c r="AF169" s="133">
        <f t="shared" si="292"/>
        <v>0.76265411757059631</v>
      </c>
      <c r="AG169" s="133">
        <f t="shared" si="293"/>
        <v>0.23778966385334294</v>
      </c>
      <c r="AH169" s="126">
        <v>1468764</v>
      </c>
      <c r="AI169" s="127">
        <v>1611081</v>
      </c>
      <c r="AJ169" s="127">
        <v>1489303</v>
      </c>
      <c r="AK169" s="133">
        <v>1.046</v>
      </c>
      <c r="AL169" s="133">
        <v>0.95599999999999996</v>
      </c>
      <c r="AM169" s="127">
        <v>21553118</v>
      </c>
      <c r="AN169" s="127">
        <v>5022660</v>
      </c>
      <c r="AO169" s="127">
        <v>3464531</v>
      </c>
      <c r="AP169" s="133">
        <v>0.19700000000000001</v>
      </c>
      <c r="AQ169" s="133">
        <v>0.11799999999999999</v>
      </c>
      <c r="AR169" s="126">
        <v>17327169</v>
      </c>
      <c r="AS169" s="122">
        <f t="shared" ref="AS169:AT169" si="531">AX169-AN169-AI169</f>
        <v>47358264</v>
      </c>
      <c r="AT169" s="122">
        <f t="shared" si="531"/>
        <v>23269192</v>
      </c>
      <c r="AU169" s="133">
        <v>0.98799999999999999</v>
      </c>
      <c r="AV169" s="133">
        <v>0.47699999999999998</v>
      </c>
      <c r="AW169" s="126">
        <v>208265720</v>
      </c>
      <c r="AX169" s="130">
        <v>53992005</v>
      </c>
      <c r="AY169" s="130">
        <v>28223026</v>
      </c>
      <c r="AZ169" s="111">
        <f t="shared" si="18"/>
        <v>0.25924576065614641</v>
      </c>
      <c r="BA169" s="111">
        <f t="shared" si="19"/>
        <v>0.13551450521958197</v>
      </c>
      <c r="BB169" s="134">
        <f t="shared" ref="BB169:BC169" si="532">AX169-AX168</f>
        <v>700698</v>
      </c>
      <c r="BC169" s="134">
        <f t="shared" si="532"/>
        <v>860111</v>
      </c>
      <c r="BD169" s="132">
        <f t="shared" ref="BD169:BF169" si="533">AW169-AM169-BI169</f>
        <v>145799253</v>
      </c>
      <c r="BE169" s="132">
        <f t="shared" si="533"/>
        <v>46587023</v>
      </c>
      <c r="BF169" s="132">
        <f t="shared" si="533"/>
        <v>23985585</v>
      </c>
      <c r="BG169" s="131">
        <f t="shared" si="227"/>
        <v>0.31952854381222379</v>
      </c>
      <c r="BH169" s="131">
        <f t="shared" si="228"/>
        <v>0.16451102805032891</v>
      </c>
      <c r="BI169" s="132">
        <v>40913349</v>
      </c>
      <c r="BJ169" s="138">
        <v>2382322</v>
      </c>
      <c r="BK169" s="139">
        <v>772910</v>
      </c>
      <c r="BL169" s="131">
        <f t="shared" si="298"/>
        <v>5.8228476969704922E-2</v>
      </c>
      <c r="BM169" s="131">
        <f t="shared" si="299"/>
        <v>1.8891389213823585E-2</v>
      </c>
      <c r="BN169" s="131">
        <f t="shared" ref="BN169:BO169" si="534">V169/BB169</f>
        <v>9.3275562367810386E-2</v>
      </c>
      <c r="BO169" s="131">
        <f t="shared" si="534"/>
        <v>9.1770713314909352E-2</v>
      </c>
      <c r="BP169" s="143">
        <v>183436</v>
      </c>
      <c r="BQ169" s="143">
        <v>135191</v>
      </c>
      <c r="BR169" s="136" t="s">
        <v>366</v>
      </c>
      <c r="BS169" s="136" t="s">
        <v>366</v>
      </c>
    </row>
    <row r="170" spans="1:71" x14ac:dyDescent="0.25">
      <c r="A170" s="120">
        <v>44424</v>
      </c>
      <c r="B170" s="126">
        <v>112301</v>
      </c>
      <c r="C170" s="141">
        <v>145012</v>
      </c>
      <c r="D170" s="141">
        <v>130106</v>
      </c>
      <c r="E170" s="128">
        <f t="shared" si="0"/>
        <v>1.2912796858442934</v>
      </c>
      <c r="F170" s="128">
        <f t="shared" si="1"/>
        <v>1.1585471189036607</v>
      </c>
      <c r="G170" s="126">
        <v>911631</v>
      </c>
      <c r="H170" s="141">
        <v>772972</v>
      </c>
      <c r="I170" s="141">
        <v>656556</v>
      </c>
      <c r="J170" s="129">
        <f t="shared" si="2"/>
        <v>0.84790008237982251</v>
      </c>
      <c r="K170" s="129">
        <f t="shared" si="3"/>
        <v>0.72019929116056824</v>
      </c>
      <c r="L170" s="126">
        <v>1976757</v>
      </c>
      <c r="M170" s="130">
        <f t="shared" si="202"/>
        <v>8151366</v>
      </c>
      <c r="N170" s="130">
        <f t="shared" si="210"/>
        <v>3523733</v>
      </c>
      <c r="O170" s="128">
        <f t="shared" si="4"/>
        <v>4.1236054810985872</v>
      </c>
      <c r="P170" s="128">
        <f t="shared" si="5"/>
        <v>1.782582785845706</v>
      </c>
      <c r="Q170" s="126">
        <v>8941211</v>
      </c>
      <c r="R170" s="142">
        <v>9069350</v>
      </c>
      <c r="S170" s="142">
        <v>4310395</v>
      </c>
      <c r="T170" s="131">
        <f t="shared" si="8"/>
        <v>1.0143312801811746</v>
      </c>
      <c r="U170" s="131">
        <f t="shared" si="9"/>
        <v>0.48208178959203624</v>
      </c>
      <c r="V170" s="132">
        <f t="shared" si="215"/>
        <v>52299</v>
      </c>
      <c r="W170" s="132">
        <f t="shared" si="220"/>
        <v>50144</v>
      </c>
      <c r="X170" s="132">
        <f t="shared" si="494"/>
        <v>7044861</v>
      </c>
      <c r="Y170" s="132">
        <f t="shared" ref="Y170:Z170" si="535">R170-H170-AD170</f>
        <v>7543837</v>
      </c>
      <c r="Z170" s="132">
        <f t="shared" si="535"/>
        <v>3409626</v>
      </c>
      <c r="AA170" s="131">
        <f t="shared" si="222"/>
        <v>1.0708283669471974</v>
      </c>
      <c r="AB170" s="131">
        <f t="shared" si="223"/>
        <v>0.48398768975001777</v>
      </c>
      <c r="AC170" s="126">
        <v>984719</v>
      </c>
      <c r="AD170" s="142">
        <v>752541</v>
      </c>
      <c r="AE170" s="142">
        <v>244213</v>
      </c>
      <c r="AF170" s="133">
        <f t="shared" si="292"/>
        <v>0.76421903101290822</v>
      </c>
      <c r="AG170" s="133">
        <f t="shared" si="293"/>
        <v>0.2480027297127404</v>
      </c>
      <c r="AH170" s="126">
        <v>1468764</v>
      </c>
      <c r="AI170" s="127">
        <v>1612024</v>
      </c>
      <c r="AJ170" s="127">
        <v>1490394</v>
      </c>
      <c r="AK170" s="133">
        <v>1.046</v>
      </c>
      <c r="AL170" s="133">
        <v>0.95599999999999996</v>
      </c>
      <c r="AM170" s="127">
        <v>21553118</v>
      </c>
      <c r="AN170" s="127">
        <v>5027024</v>
      </c>
      <c r="AO170" s="127">
        <v>3470203</v>
      </c>
      <c r="AP170" s="133">
        <v>0.19700000000000001</v>
      </c>
      <c r="AQ170" s="133">
        <v>0.11799999999999999</v>
      </c>
      <c r="AR170" s="126">
        <v>17327169</v>
      </c>
      <c r="AS170" s="122">
        <f t="shared" ref="AS170:AT170" si="536">AX170-AN170-AI170</f>
        <v>47049074</v>
      </c>
      <c r="AT170" s="122">
        <f t="shared" si="536"/>
        <v>23151688</v>
      </c>
      <c r="AU170" s="133">
        <v>0.98799999999999999</v>
      </c>
      <c r="AV170" s="133">
        <v>0.47699999999999998</v>
      </c>
      <c r="AW170" s="126">
        <v>208265720</v>
      </c>
      <c r="AX170" s="130">
        <v>53688122</v>
      </c>
      <c r="AY170" s="130">
        <v>28112285</v>
      </c>
      <c r="AZ170" s="111">
        <f t="shared" si="18"/>
        <v>0.25778664871011897</v>
      </c>
      <c r="BA170" s="111">
        <f t="shared" si="19"/>
        <v>0.13498277585000545</v>
      </c>
      <c r="BB170" s="134">
        <f t="shared" ref="BB170:BC170" si="537">AX170-AX169</f>
        <v>-303883</v>
      </c>
      <c r="BC170" s="134">
        <f t="shared" si="537"/>
        <v>-110741</v>
      </c>
      <c r="BD170" s="132">
        <f t="shared" ref="BD170:BF170" si="538">AW170-AM170-BI170</f>
        <v>145799253</v>
      </c>
      <c r="BE170" s="132">
        <f t="shared" si="538"/>
        <v>46275331</v>
      </c>
      <c r="BF170" s="132">
        <f t="shared" si="538"/>
        <v>23846099</v>
      </c>
      <c r="BG170" s="131">
        <f t="shared" si="227"/>
        <v>0.31739072764659498</v>
      </c>
      <c r="BH170" s="131">
        <f t="shared" si="228"/>
        <v>0.16355432904721398</v>
      </c>
      <c r="BI170" s="132">
        <v>40913349</v>
      </c>
      <c r="BJ170" s="138">
        <v>2385767</v>
      </c>
      <c r="BK170" s="139">
        <v>795983</v>
      </c>
      <c r="BL170" s="131">
        <f t="shared" si="298"/>
        <v>5.8312679316474436E-2</v>
      </c>
      <c r="BM170" s="131">
        <f t="shared" si="299"/>
        <v>1.9455337181026173E-2</v>
      </c>
      <c r="BN170" s="131">
        <f t="shared" ref="BN170:BO170" si="539">V170/BB170</f>
        <v>-0.17210242099755499</v>
      </c>
      <c r="BO170" s="131">
        <f t="shared" si="539"/>
        <v>-0.4528042910936329</v>
      </c>
      <c r="BP170" s="143">
        <v>184980</v>
      </c>
      <c r="BQ170" s="143">
        <v>138004</v>
      </c>
      <c r="BR170" s="136" t="s">
        <v>366</v>
      </c>
      <c r="BS170" s="136" t="s">
        <v>366</v>
      </c>
    </row>
    <row r="171" spans="1:71" x14ac:dyDescent="0.25">
      <c r="A171" s="120">
        <v>44425</v>
      </c>
      <c r="B171" s="126">
        <v>112301</v>
      </c>
      <c r="C171" s="141">
        <v>145377</v>
      </c>
      <c r="D171" s="141">
        <v>130598</v>
      </c>
      <c r="E171" s="128">
        <f t="shared" si="0"/>
        <v>1.294529879520218</v>
      </c>
      <c r="F171" s="128">
        <f t="shared" si="1"/>
        <v>1.1629282018860028</v>
      </c>
      <c r="G171" s="126">
        <v>911631</v>
      </c>
      <c r="H171" s="141">
        <v>774339</v>
      </c>
      <c r="I171" s="141">
        <v>658653</v>
      </c>
      <c r="J171" s="129">
        <f t="shared" si="2"/>
        <v>0.84939959259832098</v>
      </c>
      <c r="K171" s="129">
        <f t="shared" si="3"/>
        <v>0.72249956396831616</v>
      </c>
      <c r="L171" s="126">
        <v>1976757</v>
      </c>
      <c r="M171" s="130">
        <f t="shared" si="202"/>
        <v>8231512</v>
      </c>
      <c r="N171" s="130">
        <f t="shared" si="210"/>
        <v>3645545</v>
      </c>
      <c r="O171" s="128">
        <f t="shared" si="4"/>
        <v>4.1641496653356986</v>
      </c>
      <c r="P171" s="128">
        <f t="shared" si="5"/>
        <v>1.8442049275657049</v>
      </c>
      <c r="Q171" s="126">
        <v>8941211</v>
      </c>
      <c r="R171" s="142">
        <v>9151228</v>
      </c>
      <c r="S171" s="142">
        <v>4434796</v>
      </c>
      <c r="T171" s="131">
        <f t="shared" si="8"/>
        <v>1.0234886527115845</v>
      </c>
      <c r="U171" s="131">
        <f t="shared" si="9"/>
        <v>0.49599500559823495</v>
      </c>
      <c r="V171" s="132">
        <f t="shared" si="215"/>
        <v>81878</v>
      </c>
      <c r="W171" s="132">
        <f t="shared" si="220"/>
        <v>124401</v>
      </c>
      <c r="X171" s="132">
        <f t="shared" si="494"/>
        <v>7044861</v>
      </c>
      <c r="Y171" s="132">
        <f t="shared" ref="Y171:Z171" si="540">R171-H171-AD171</f>
        <v>7620385</v>
      </c>
      <c r="Z171" s="132">
        <f t="shared" si="540"/>
        <v>3503040</v>
      </c>
      <c r="AA171" s="131">
        <f t="shared" si="222"/>
        <v>1.08169415975702</v>
      </c>
      <c r="AB171" s="131">
        <f t="shared" si="223"/>
        <v>0.4972475681209324</v>
      </c>
      <c r="AC171" s="126">
        <v>984719</v>
      </c>
      <c r="AD171" s="142">
        <v>756504</v>
      </c>
      <c r="AE171" s="142">
        <v>273103</v>
      </c>
      <c r="AF171" s="133">
        <f t="shared" si="292"/>
        <v>0.76824352937233875</v>
      </c>
      <c r="AG171" s="133">
        <f t="shared" si="293"/>
        <v>0.27734104856309261</v>
      </c>
      <c r="AH171" s="126">
        <v>1468764</v>
      </c>
      <c r="AI171" s="127">
        <v>1614606</v>
      </c>
      <c r="AJ171" s="127">
        <v>1492997</v>
      </c>
      <c r="AK171" s="133">
        <v>1.046</v>
      </c>
      <c r="AL171" s="133">
        <v>0.95599999999999996</v>
      </c>
      <c r="AM171" s="127">
        <v>21553118</v>
      </c>
      <c r="AN171" s="127">
        <v>5038179</v>
      </c>
      <c r="AO171" s="127">
        <v>3492764</v>
      </c>
      <c r="AP171" s="133">
        <v>0.19700000000000001</v>
      </c>
      <c r="AQ171" s="133">
        <v>0.11799999999999999</v>
      </c>
      <c r="AR171" s="126">
        <v>17327169</v>
      </c>
      <c r="AS171" s="122">
        <f t="shared" ref="AS171:AT171" si="541">AX171-AN171-AI171</f>
        <v>48022127</v>
      </c>
      <c r="AT171" s="122">
        <f t="shared" si="541"/>
        <v>23959159</v>
      </c>
      <c r="AU171" s="133">
        <v>0.98799999999999999</v>
      </c>
      <c r="AV171" s="133">
        <v>0.47699999999999998</v>
      </c>
      <c r="AW171" s="126">
        <v>208265720</v>
      </c>
      <c r="AX171" s="130">
        <v>54674912</v>
      </c>
      <c r="AY171" s="130">
        <v>28944920</v>
      </c>
      <c r="AZ171" s="111">
        <f t="shared" si="18"/>
        <v>0.26252477844169458</v>
      </c>
      <c r="BA171" s="111">
        <f t="shared" si="19"/>
        <v>0.13898072135923281</v>
      </c>
      <c r="BB171" s="134">
        <f t="shared" ref="BB171:BC171" si="542">AX171-AX170</f>
        <v>986790</v>
      </c>
      <c r="BC171" s="134">
        <f t="shared" si="542"/>
        <v>832635</v>
      </c>
      <c r="BD171" s="132">
        <f t="shared" ref="BD171:BF171" si="543">AW171-AM171-BI171</f>
        <v>145799253</v>
      </c>
      <c r="BE171" s="132">
        <f t="shared" si="543"/>
        <v>47243604</v>
      </c>
      <c r="BF171" s="132">
        <f t="shared" si="543"/>
        <v>24600971</v>
      </c>
      <c r="BG171" s="131">
        <f t="shared" si="227"/>
        <v>0.32403186592458055</v>
      </c>
      <c r="BH171" s="131">
        <f t="shared" si="228"/>
        <v>0.16873180413345465</v>
      </c>
      <c r="BI171" s="132">
        <v>40913349</v>
      </c>
      <c r="BJ171" s="138">
        <v>2393129</v>
      </c>
      <c r="BK171" s="139">
        <v>851185</v>
      </c>
      <c r="BL171" s="131">
        <f t="shared" si="298"/>
        <v>5.8492620586987391E-2</v>
      </c>
      <c r="BM171" s="131">
        <f t="shared" si="299"/>
        <v>2.0804578965168557E-2</v>
      </c>
      <c r="BN171" s="131">
        <f t="shared" ref="BN171:BO171" si="544">V171/BB171</f>
        <v>8.2974087698497151E-2</v>
      </c>
      <c r="BO171" s="131">
        <f t="shared" si="544"/>
        <v>0.14940640256534976</v>
      </c>
      <c r="BP171" s="143">
        <v>186102</v>
      </c>
      <c r="BQ171" s="143">
        <v>139354</v>
      </c>
      <c r="BR171" s="136" t="s">
        <v>366</v>
      </c>
      <c r="BS171" s="136" t="s">
        <v>366</v>
      </c>
    </row>
    <row r="172" spans="1:71" x14ac:dyDescent="0.25">
      <c r="A172" s="120">
        <v>44426</v>
      </c>
      <c r="B172" s="126">
        <v>112301</v>
      </c>
      <c r="C172" s="141">
        <v>145437</v>
      </c>
      <c r="D172" s="141">
        <v>130664</v>
      </c>
      <c r="E172" s="128">
        <f t="shared" si="0"/>
        <v>1.2950641579326987</v>
      </c>
      <c r="F172" s="128">
        <f t="shared" si="1"/>
        <v>1.1635159081397317</v>
      </c>
      <c r="G172" s="126">
        <v>911631</v>
      </c>
      <c r="H172" s="141">
        <v>774795</v>
      </c>
      <c r="I172" s="141">
        <v>658927</v>
      </c>
      <c r="J172" s="129">
        <f t="shared" si="2"/>
        <v>0.84989979498283841</v>
      </c>
      <c r="K172" s="129">
        <f t="shared" si="3"/>
        <v>0.72280012417304806</v>
      </c>
      <c r="L172" s="126">
        <v>1976757</v>
      </c>
      <c r="M172" s="130">
        <f t="shared" si="202"/>
        <v>8270704</v>
      </c>
      <c r="N172" s="130">
        <f t="shared" si="210"/>
        <v>3659507</v>
      </c>
      <c r="O172" s="128">
        <f t="shared" si="4"/>
        <v>4.1839760779903648</v>
      </c>
      <c r="P172" s="128">
        <f t="shared" si="5"/>
        <v>1.8512680111920685</v>
      </c>
      <c r="Q172" s="126">
        <v>8941211</v>
      </c>
      <c r="R172" s="142">
        <v>9190936</v>
      </c>
      <c r="S172" s="142">
        <v>4449098</v>
      </c>
      <c r="T172" s="131">
        <f t="shared" si="8"/>
        <v>1.0279296618768978</v>
      </c>
      <c r="U172" s="131">
        <f t="shared" si="9"/>
        <v>0.49759456521046197</v>
      </c>
      <c r="V172" s="132">
        <f t="shared" si="215"/>
        <v>39708</v>
      </c>
      <c r="W172" s="132">
        <f t="shared" si="220"/>
        <v>14302</v>
      </c>
      <c r="X172" s="132">
        <f t="shared" si="494"/>
        <v>7044861</v>
      </c>
      <c r="Y172" s="132">
        <f t="shared" ref="Y172:Z172" si="545">R172-H172-AD172</f>
        <v>7658754</v>
      </c>
      <c r="Z172" s="132">
        <f t="shared" si="545"/>
        <v>3514253</v>
      </c>
      <c r="AA172" s="131">
        <f t="shared" si="222"/>
        <v>1.0871405411689457</v>
      </c>
      <c r="AB172" s="131">
        <f t="shared" si="223"/>
        <v>0.49883922479095044</v>
      </c>
      <c r="AC172" s="126">
        <v>984719</v>
      </c>
      <c r="AD172" s="142">
        <v>757387</v>
      </c>
      <c r="AE172" s="142">
        <v>275918</v>
      </c>
      <c r="AF172" s="133">
        <f t="shared" si="292"/>
        <v>0.76914023188341041</v>
      </c>
      <c r="AG172" s="133">
        <f t="shared" si="293"/>
        <v>0.2801997321063166</v>
      </c>
      <c r="AH172" s="126">
        <v>1468764</v>
      </c>
      <c r="AI172" s="127">
        <v>1616049</v>
      </c>
      <c r="AJ172" s="127">
        <v>1494565</v>
      </c>
      <c r="AK172" s="133">
        <v>1.046</v>
      </c>
      <c r="AL172" s="133">
        <v>0.95599999999999996</v>
      </c>
      <c r="AM172" s="127">
        <v>21553118</v>
      </c>
      <c r="AN172" s="127">
        <v>5044492</v>
      </c>
      <c r="AO172" s="127">
        <v>3499461</v>
      </c>
      <c r="AP172" s="133">
        <v>0.19700000000000001</v>
      </c>
      <c r="AQ172" s="133">
        <v>0.11799999999999999</v>
      </c>
      <c r="AR172" s="126">
        <v>17327169</v>
      </c>
      <c r="AS172" s="122">
        <f t="shared" ref="AS172:AT172" si="546">AX172-AN172-AI172</f>
        <v>48439712</v>
      </c>
      <c r="AT172" s="122">
        <f t="shared" si="546"/>
        <v>24199691</v>
      </c>
      <c r="AU172" s="133">
        <v>0.98799999999999999</v>
      </c>
      <c r="AV172" s="133">
        <v>0.47699999999999998</v>
      </c>
      <c r="AW172" s="126">
        <v>208265720</v>
      </c>
      <c r="AX172" s="130">
        <v>55100253</v>
      </c>
      <c r="AY172" s="130">
        <v>29193717</v>
      </c>
      <c r="AZ172" s="111">
        <f t="shared" si="18"/>
        <v>0.26456707805778118</v>
      </c>
      <c r="BA172" s="111">
        <f t="shared" si="19"/>
        <v>0.14017533466381313</v>
      </c>
      <c r="BB172" s="134">
        <f t="shared" ref="BB172:BC172" si="547">AX172-AX171</f>
        <v>425341</v>
      </c>
      <c r="BC172" s="134">
        <f t="shared" si="547"/>
        <v>248797</v>
      </c>
      <c r="BD172" s="132">
        <f t="shared" ref="BD172:BF172" si="548">AW172-AM172-BI172</f>
        <v>145799253</v>
      </c>
      <c r="BE172" s="132">
        <f t="shared" si="548"/>
        <v>47656671</v>
      </c>
      <c r="BF172" s="132">
        <f t="shared" si="548"/>
        <v>24805709</v>
      </c>
      <c r="BG172" s="131">
        <f t="shared" si="227"/>
        <v>0.32686498743584097</v>
      </c>
      <c r="BH172" s="131">
        <f t="shared" si="228"/>
        <v>0.17013605001117529</v>
      </c>
      <c r="BI172" s="132">
        <v>40913349</v>
      </c>
      <c r="BJ172" s="138">
        <v>2399090</v>
      </c>
      <c r="BK172" s="139">
        <v>888547</v>
      </c>
      <c r="BL172" s="131">
        <f t="shared" si="298"/>
        <v>5.8638318755084066E-2</v>
      </c>
      <c r="BM172" s="131">
        <f t="shared" si="299"/>
        <v>2.1717777246736757E-2</v>
      </c>
      <c r="BN172" s="131">
        <f t="shared" ref="BN172:BO172" si="549">V172/BB172</f>
        <v>9.3355684027638997E-2</v>
      </c>
      <c r="BO172" s="131">
        <f t="shared" si="549"/>
        <v>5.7484615972057541E-2</v>
      </c>
      <c r="BP172" s="143">
        <v>186205</v>
      </c>
      <c r="BQ172" s="143">
        <v>139763</v>
      </c>
      <c r="BR172" s="136" t="s">
        <v>366</v>
      </c>
      <c r="BS172" s="136" t="s">
        <v>366</v>
      </c>
    </row>
    <row r="173" spans="1:71" x14ac:dyDescent="0.25">
      <c r="A173" s="120">
        <v>44427</v>
      </c>
      <c r="B173" s="126">
        <v>112301</v>
      </c>
      <c r="C173" s="141">
        <v>145760</v>
      </c>
      <c r="D173" s="141">
        <v>131099</v>
      </c>
      <c r="E173" s="128">
        <f t="shared" si="0"/>
        <v>1.2979403567198868</v>
      </c>
      <c r="F173" s="128">
        <f t="shared" si="1"/>
        <v>1.1673894266302169</v>
      </c>
      <c r="G173" s="126">
        <v>911631</v>
      </c>
      <c r="H173" s="141">
        <v>776527</v>
      </c>
      <c r="I173" s="141">
        <v>660659</v>
      </c>
      <c r="J173" s="129">
        <f t="shared" si="2"/>
        <v>0.85179968649596161</v>
      </c>
      <c r="K173" s="129">
        <f t="shared" si="3"/>
        <v>0.72470001568617126</v>
      </c>
      <c r="L173" s="126">
        <v>1976757</v>
      </c>
      <c r="M173" s="130">
        <f t="shared" si="202"/>
        <v>8318021</v>
      </c>
      <c r="N173" s="130">
        <f t="shared" si="210"/>
        <v>3769857</v>
      </c>
      <c r="O173" s="128">
        <f t="shared" si="4"/>
        <v>4.2079127581184741</v>
      </c>
      <c r="P173" s="128">
        <f t="shared" si="5"/>
        <v>1.90709176696984</v>
      </c>
      <c r="Q173" s="126">
        <v>8941211</v>
      </c>
      <c r="R173" s="142">
        <v>9240308</v>
      </c>
      <c r="S173" s="142">
        <v>4561615</v>
      </c>
      <c r="T173" s="131">
        <f t="shared" si="8"/>
        <v>1.0334515089734488</v>
      </c>
      <c r="U173" s="131">
        <f t="shared" si="9"/>
        <v>0.51017865477058977</v>
      </c>
      <c r="V173" s="132">
        <f t="shared" si="215"/>
        <v>49372</v>
      </c>
      <c r="W173" s="132">
        <f t="shared" si="220"/>
        <v>112517</v>
      </c>
      <c r="X173" s="132">
        <f t="shared" si="494"/>
        <v>7044861</v>
      </c>
      <c r="Y173" s="132">
        <f t="shared" ref="Y173:Z173" si="550">R173-H173-AD173</f>
        <v>7701823</v>
      </c>
      <c r="Z173" s="132">
        <f t="shared" si="550"/>
        <v>3599711</v>
      </c>
      <c r="AA173" s="131">
        <f t="shared" si="222"/>
        <v>1.0932540755594753</v>
      </c>
      <c r="AB173" s="131">
        <f t="shared" si="223"/>
        <v>0.51096976931127525</v>
      </c>
      <c r="AC173" s="126">
        <v>984719</v>
      </c>
      <c r="AD173" s="142">
        <v>761958</v>
      </c>
      <c r="AE173" s="142">
        <v>301245</v>
      </c>
      <c r="AF173" s="133">
        <f t="shared" si="292"/>
        <v>0.77378216526745192</v>
      </c>
      <c r="AG173" s="133">
        <f t="shared" si="293"/>
        <v>0.30591975985027203</v>
      </c>
      <c r="AH173" s="126">
        <v>1468764</v>
      </c>
      <c r="AI173" s="127">
        <v>1619070</v>
      </c>
      <c r="AJ173" s="127">
        <v>1498060</v>
      </c>
      <c r="AK173" s="133">
        <v>1.046</v>
      </c>
      <c r="AL173" s="133">
        <v>0.95599999999999996</v>
      </c>
      <c r="AM173" s="127">
        <v>21553118</v>
      </c>
      <c r="AN173" s="127">
        <v>5063765</v>
      </c>
      <c r="AO173" s="127">
        <v>3529094</v>
      </c>
      <c r="AP173" s="133">
        <v>0.19700000000000001</v>
      </c>
      <c r="AQ173" s="133">
        <v>0.11799999999999999</v>
      </c>
      <c r="AR173" s="126">
        <v>17327169</v>
      </c>
      <c r="AS173" s="122">
        <f t="shared" ref="AS173:AT173" si="551">AX173-AN173-AI173</f>
        <v>48978129</v>
      </c>
      <c r="AT173" s="122">
        <f t="shared" si="551"/>
        <v>24850572</v>
      </c>
      <c r="AU173" s="133">
        <v>0.98799999999999999</v>
      </c>
      <c r="AV173" s="133">
        <v>0.47699999999999998</v>
      </c>
      <c r="AW173" s="126">
        <v>208265720</v>
      </c>
      <c r="AX173" s="130">
        <v>55660964</v>
      </c>
      <c r="AY173" s="130">
        <v>29877726</v>
      </c>
      <c r="AZ173" s="111">
        <f t="shared" si="18"/>
        <v>0.2672593646232323</v>
      </c>
      <c r="BA173" s="111">
        <f t="shared" si="19"/>
        <v>0.14345964376662659</v>
      </c>
      <c r="BB173" s="134">
        <f t="shared" ref="BB173:BC173" si="552">AX173-AX172</f>
        <v>560711</v>
      </c>
      <c r="BC173" s="134">
        <f t="shared" si="552"/>
        <v>684009</v>
      </c>
      <c r="BD173" s="132">
        <f t="shared" ref="BD173:BF173" si="553">AW173-AM173-BI173</f>
        <v>145799253</v>
      </c>
      <c r="BE173" s="132">
        <f t="shared" si="553"/>
        <v>48184935</v>
      </c>
      <c r="BF173" s="132">
        <f t="shared" si="553"/>
        <v>25370529</v>
      </c>
      <c r="BG173" s="131">
        <f t="shared" si="227"/>
        <v>0.33048821587583854</v>
      </c>
      <c r="BH173" s="131">
        <f t="shared" si="228"/>
        <v>0.17401000675908812</v>
      </c>
      <c r="BI173" s="132">
        <v>40913349</v>
      </c>
      <c r="BJ173" s="138">
        <v>2412264</v>
      </c>
      <c r="BK173" s="139">
        <v>978103</v>
      </c>
      <c r="BL173" s="131">
        <f t="shared" si="298"/>
        <v>5.8960316350538791E-2</v>
      </c>
      <c r="BM173" s="131">
        <f t="shared" si="299"/>
        <v>2.3906696076138868E-2</v>
      </c>
      <c r="BN173" s="131">
        <f t="shared" ref="BN173:BO173" si="554">V173/BB173</f>
        <v>8.8052490498670435E-2</v>
      </c>
      <c r="BO173" s="131">
        <f t="shared" si="554"/>
        <v>0.16449637358572766</v>
      </c>
      <c r="BP173" s="143">
        <v>187348</v>
      </c>
      <c r="BQ173" s="143">
        <v>140791</v>
      </c>
      <c r="BR173" s="136" t="s">
        <v>366</v>
      </c>
      <c r="BS173" s="136" t="s">
        <v>366</v>
      </c>
    </row>
    <row r="174" spans="1:71" x14ac:dyDescent="0.25">
      <c r="A174" s="120">
        <v>44428</v>
      </c>
      <c r="B174" s="126">
        <v>112301</v>
      </c>
      <c r="C174" s="141">
        <v>146009</v>
      </c>
      <c r="D174" s="141">
        <v>131541</v>
      </c>
      <c r="E174" s="144">
        <f t="shared" si="0"/>
        <v>1.3001576121316818</v>
      </c>
      <c r="F174" s="144">
        <f t="shared" si="1"/>
        <v>1.1713252776021585</v>
      </c>
      <c r="G174" s="145">
        <v>911631</v>
      </c>
      <c r="H174" s="141">
        <v>778077</v>
      </c>
      <c r="I174" s="141">
        <v>662573</v>
      </c>
      <c r="J174" s="146">
        <f t="shared" si="2"/>
        <v>0.85349993582929939</v>
      </c>
      <c r="K174" s="146">
        <f t="shared" si="3"/>
        <v>0.72679954937907987</v>
      </c>
      <c r="L174" s="145">
        <v>1976757</v>
      </c>
      <c r="M174" s="147">
        <f t="shared" si="202"/>
        <v>8360969</v>
      </c>
      <c r="N174" s="147">
        <f t="shared" si="210"/>
        <v>3885330</v>
      </c>
      <c r="O174" s="144">
        <f t="shared" si="4"/>
        <v>4.2296392525737865</v>
      </c>
      <c r="P174" s="144">
        <f t="shared" si="5"/>
        <v>1.9655071412419431</v>
      </c>
      <c r="Q174" s="145">
        <v>8941211</v>
      </c>
      <c r="R174" s="142">
        <v>9285055</v>
      </c>
      <c r="S174" s="142">
        <v>4679444</v>
      </c>
      <c r="T174" s="148">
        <f t="shared" si="8"/>
        <v>1.0384560883307641</v>
      </c>
      <c r="U174" s="148">
        <f t="shared" si="9"/>
        <v>0.52335684729954368</v>
      </c>
      <c r="V174" s="149">
        <f t="shared" si="215"/>
        <v>44747</v>
      </c>
      <c r="W174" s="149">
        <f t="shared" si="220"/>
        <v>117829</v>
      </c>
      <c r="X174" s="149">
        <f t="shared" si="494"/>
        <v>7044861</v>
      </c>
      <c r="Y174" s="149">
        <f t="shared" ref="Y174:Z174" si="555">R174-H174-AD174</f>
        <v>7741075</v>
      </c>
      <c r="Z174" s="149">
        <f t="shared" si="555"/>
        <v>3685898</v>
      </c>
      <c r="AA174" s="148">
        <f t="shared" si="222"/>
        <v>1.0988257965629131</v>
      </c>
      <c r="AB174" s="148">
        <f t="shared" si="223"/>
        <v>0.52320379351700486</v>
      </c>
      <c r="AC174" s="145">
        <v>984719</v>
      </c>
      <c r="AD174" s="142">
        <v>765903</v>
      </c>
      <c r="AE174" s="142">
        <v>330973</v>
      </c>
      <c r="AF174" s="150">
        <f t="shared" si="292"/>
        <v>0.77778838430049591</v>
      </c>
      <c r="AG174" s="133">
        <f t="shared" si="293"/>
        <v>0.33610908289572966</v>
      </c>
      <c r="AH174" s="126">
        <v>1468764</v>
      </c>
      <c r="AI174" s="127">
        <v>1622338</v>
      </c>
      <c r="AJ174" s="127">
        <v>1501857</v>
      </c>
      <c r="AK174" s="133">
        <v>1.046</v>
      </c>
      <c r="AL174" s="133">
        <v>0.95599999999999996</v>
      </c>
      <c r="AM174" s="127">
        <v>21553118</v>
      </c>
      <c r="AN174" s="127">
        <v>5083907</v>
      </c>
      <c r="AO174" s="127">
        <v>3558550</v>
      </c>
      <c r="AP174" s="133">
        <v>0.19700000000000001</v>
      </c>
      <c r="AQ174" s="133">
        <v>0.11799999999999999</v>
      </c>
      <c r="AR174" s="126">
        <v>17327169</v>
      </c>
      <c r="AS174" s="122">
        <f t="shared" ref="AS174:AT174" si="556">AX174-AN174-AI174</f>
        <v>49616039</v>
      </c>
      <c r="AT174" s="122">
        <f t="shared" si="556"/>
        <v>25529638</v>
      </c>
      <c r="AU174" s="133">
        <v>0.98799999999999999</v>
      </c>
      <c r="AV174" s="133">
        <v>0.47699999999999998</v>
      </c>
      <c r="AW174" s="126">
        <v>208265720</v>
      </c>
      <c r="AX174" s="130">
        <v>56322284</v>
      </c>
      <c r="AY174" s="130">
        <v>30590045</v>
      </c>
      <c r="AZ174" s="111">
        <f t="shared" si="18"/>
        <v>0.27043473116939265</v>
      </c>
      <c r="BA174" s="111">
        <f t="shared" si="19"/>
        <v>0.1468798849853927</v>
      </c>
      <c r="BB174" s="134">
        <f t="shared" ref="BB174:BC174" si="557">AX174-AX173</f>
        <v>661320</v>
      </c>
      <c r="BC174" s="134">
        <f t="shared" si="557"/>
        <v>712319</v>
      </c>
      <c r="BD174" s="132">
        <f t="shared" ref="BD174:BF174" si="558">AW174-AM174-BI174</f>
        <v>145799253</v>
      </c>
      <c r="BE174" s="132">
        <f t="shared" si="558"/>
        <v>48811121</v>
      </c>
      <c r="BF174" s="132">
        <f t="shared" si="558"/>
        <v>25959794</v>
      </c>
      <c r="BG174" s="131">
        <f t="shared" si="227"/>
        <v>0.33478306641255562</v>
      </c>
      <c r="BH174" s="131">
        <f t="shared" si="228"/>
        <v>0.17805162554570839</v>
      </c>
      <c r="BI174" s="132">
        <v>40913349</v>
      </c>
      <c r="BJ174" s="138">
        <v>2427256</v>
      </c>
      <c r="BK174" s="139">
        <v>1071701</v>
      </c>
      <c r="BL174" s="131">
        <f t="shared" si="298"/>
        <v>5.9326749320863466E-2</v>
      </c>
      <c r="BM174" s="131">
        <f t="shared" si="299"/>
        <v>2.6194409066830487E-2</v>
      </c>
      <c r="BN174" s="131">
        <f t="shared" ref="BN174:BO174" si="559">V174/BB174</f>
        <v>6.7663158531422005E-2</v>
      </c>
      <c r="BO174" s="131">
        <f t="shared" si="559"/>
        <v>0.16541605657016029</v>
      </c>
      <c r="BP174" s="143">
        <v>188109</v>
      </c>
      <c r="BQ174" s="143">
        <v>142047</v>
      </c>
      <c r="BR174" s="136" t="s">
        <v>366</v>
      </c>
      <c r="BS174" s="136" t="s">
        <v>366</v>
      </c>
    </row>
    <row r="175" spans="1:71" x14ac:dyDescent="0.25">
      <c r="A175" s="120">
        <v>44429</v>
      </c>
      <c r="B175" s="126">
        <v>112301</v>
      </c>
      <c r="C175" s="141">
        <v>146276</v>
      </c>
      <c r="D175" s="141">
        <v>131945</v>
      </c>
      <c r="E175" s="144">
        <f t="shared" si="0"/>
        <v>1.3025351510672212</v>
      </c>
      <c r="F175" s="144">
        <f t="shared" si="1"/>
        <v>1.1749227522461956</v>
      </c>
      <c r="G175" s="145">
        <v>911631</v>
      </c>
      <c r="H175" s="141">
        <v>779171</v>
      </c>
      <c r="I175" s="141">
        <v>663758</v>
      </c>
      <c r="J175" s="146">
        <f t="shared" si="2"/>
        <v>0.85469998277811965</v>
      </c>
      <c r="K175" s="146">
        <f t="shared" si="3"/>
        <v>0.72809941741779294</v>
      </c>
      <c r="L175" s="145">
        <v>1976757</v>
      </c>
      <c r="M175" s="147">
        <f t="shared" si="202"/>
        <v>8393744</v>
      </c>
      <c r="N175" s="147">
        <f t="shared" si="210"/>
        <v>3967204</v>
      </c>
      <c r="O175" s="144">
        <f t="shared" si="4"/>
        <v>4.2462194392128119</v>
      </c>
      <c r="P175" s="144">
        <f t="shared" si="5"/>
        <v>2.0069254845183297</v>
      </c>
      <c r="Q175" s="145">
        <v>8941211</v>
      </c>
      <c r="R175" s="142">
        <v>9319191</v>
      </c>
      <c r="S175" s="142">
        <v>4762907</v>
      </c>
      <c r="T175" s="148">
        <f t="shared" si="8"/>
        <v>1.0422739156921808</v>
      </c>
      <c r="U175" s="148">
        <f t="shared" si="9"/>
        <v>0.53269148888221074</v>
      </c>
      <c r="V175" s="149">
        <f t="shared" si="215"/>
        <v>34136</v>
      </c>
      <c r="W175" s="149">
        <f t="shared" si="220"/>
        <v>83463</v>
      </c>
      <c r="X175" s="149">
        <f t="shared" si="494"/>
        <v>7044861</v>
      </c>
      <c r="Y175" s="149">
        <f t="shared" ref="Y175:Z175" si="560">R175-H175-AD175</f>
        <v>7771668</v>
      </c>
      <c r="Z175" s="149">
        <f t="shared" si="560"/>
        <v>3747306</v>
      </c>
      <c r="AA175" s="148">
        <f t="shared" si="222"/>
        <v>1.1031683946638551</v>
      </c>
      <c r="AB175" s="148">
        <f t="shared" si="223"/>
        <v>0.53192050205106955</v>
      </c>
      <c r="AC175" s="145">
        <v>984719</v>
      </c>
      <c r="AD175" s="142">
        <v>768352</v>
      </c>
      <c r="AE175" s="142">
        <v>351843</v>
      </c>
      <c r="AF175" s="150">
        <f t="shared" si="292"/>
        <v>0.78027538820719411</v>
      </c>
      <c r="AG175" s="133">
        <f t="shared" si="293"/>
        <v>0.35730294632275805</v>
      </c>
      <c r="AH175" s="126">
        <v>1468764</v>
      </c>
      <c r="AI175" s="127">
        <v>1624226</v>
      </c>
      <c r="AJ175" s="127">
        <v>1504136</v>
      </c>
      <c r="AK175" s="133">
        <v>1.046</v>
      </c>
      <c r="AL175" s="133">
        <v>0.95599999999999996</v>
      </c>
      <c r="AM175" s="127">
        <v>21553118</v>
      </c>
      <c r="AN175" s="127">
        <v>5093126</v>
      </c>
      <c r="AO175" s="127">
        <v>3569648</v>
      </c>
      <c r="AP175" s="133">
        <v>0.19700000000000001</v>
      </c>
      <c r="AQ175" s="133">
        <v>0.11799999999999999</v>
      </c>
      <c r="AR175" s="126">
        <v>17327169</v>
      </c>
      <c r="AS175" s="122">
        <f t="shared" ref="AS175:AT175" si="561">AX175-AN175-AI175</f>
        <v>49969129</v>
      </c>
      <c r="AT175" s="122">
        <f t="shared" si="561"/>
        <v>25874587</v>
      </c>
      <c r="AU175" s="133">
        <v>0.98799999999999999</v>
      </c>
      <c r="AV175" s="133">
        <v>0.47699999999999998</v>
      </c>
      <c r="AW175" s="126">
        <v>208265720</v>
      </c>
      <c r="AX175" s="130">
        <v>56686481</v>
      </c>
      <c r="AY175" s="130">
        <v>30948371</v>
      </c>
      <c r="AZ175" s="111">
        <f t="shared" si="18"/>
        <v>0.27218344430374813</v>
      </c>
      <c r="BA175" s="111">
        <f t="shared" si="19"/>
        <v>0.14860040817086942</v>
      </c>
      <c r="BB175" s="134">
        <f t="shared" ref="BB175:BC175" si="562">AX175-AX174</f>
        <v>364197</v>
      </c>
      <c r="BC175" s="134">
        <f t="shared" si="562"/>
        <v>358326</v>
      </c>
      <c r="BD175" s="132">
        <f t="shared" ref="BD175:BF175" si="563">AW175-AM175-BI175</f>
        <v>145799253</v>
      </c>
      <c r="BE175" s="132">
        <f t="shared" si="563"/>
        <v>49159989</v>
      </c>
      <c r="BF175" s="132">
        <f t="shared" si="563"/>
        <v>26265198</v>
      </c>
      <c r="BG175" s="131">
        <f t="shared" si="227"/>
        <v>0.33717586330843546</v>
      </c>
      <c r="BH175" s="131">
        <f t="shared" si="228"/>
        <v>0.18014631391835731</v>
      </c>
      <c r="BI175" s="132">
        <v>40913349</v>
      </c>
      <c r="BJ175" s="138">
        <v>2433366</v>
      </c>
      <c r="BK175" s="139">
        <v>1113525</v>
      </c>
      <c r="BL175" s="131">
        <f t="shared" si="298"/>
        <v>5.9476089332115054E-2</v>
      </c>
      <c r="BM175" s="131">
        <f t="shared" si="299"/>
        <v>2.7216667107842967E-2</v>
      </c>
      <c r="BN175" s="131">
        <f t="shared" ref="BN175:BO175" si="564">V175/BB175</f>
        <v>9.372949255485355E-2</v>
      </c>
      <c r="BO175" s="131">
        <f t="shared" si="564"/>
        <v>0.23292476683243751</v>
      </c>
      <c r="BP175" s="143">
        <v>188334</v>
      </c>
      <c r="BQ175" s="143">
        <v>142517</v>
      </c>
      <c r="BR175" s="136" t="s">
        <v>366</v>
      </c>
      <c r="BS175" s="136" t="s">
        <v>366</v>
      </c>
    </row>
    <row r="176" spans="1:71" x14ac:dyDescent="0.25">
      <c r="A176" s="120">
        <v>44430</v>
      </c>
      <c r="B176" s="126">
        <v>112301</v>
      </c>
      <c r="C176" s="141">
        <v>146472</v>
      </c>
      <c r="D176" s="141">
        <v>132277</v>
      </c>
      <c r="E176" s="144">
        <f t="shared" si="0"/>
        <v>1.3042804605479916</v>
      </c>
      <c r="F176" s="144">
        <f t="shared" si="1"/>
        <v>1.1778790927952556</v>
      </c>
      <c r="G176" s="145">
        <v>911631</v>
      </c>
      <c r="H176" s="141">
        <v>780174</v>
      </c>
      <c r="I176" s="141">
        <v>664943</v>
      </c>
      <c r="J176" s="146">
        <f t="shared" si="2"/>
        <v>0.8558002086370472</v>
      </c>
      <c r="K176" s="146">
        <f t="shared" si="3"/>
        <v>0.72939928545650601</v>
      </c>
      <c r="L176" s="145">
        <v>1976757</v>
      </c>
      <c r="M176" s="147">
        <f t="shared" si="202"/>
        <v>8424447</v>
      </c>
      <c r="N176" s="147">
        <f t="shared" si="210"/>
        <v>4048051</v>
      </c>
      <c r="O176" s="144">
        <f t="shared" si="4"/>
        <v>4.2617514444112254</v>
      </c>
      <c r="P176" s="144">
        <f t="shared" si="5"/>
        <v>2.0478242899860732</v>
      </c>
      <c r="Q176" s="145">
        <v>8941211</v>
      </c>
      <c r="R176" s="142">
        <v>9351093</v>
      </c>
      <c r="S176" s="142">
        <v>4845271</v>
      </c>
      <c r="T176" s="148">
        <f t="shared" si="8"/>
        <v>1.0458418887553376</v>
      </c>
      <c r="U176" s="148">
        <f t="shared" si="9"/>
        <v>0.54190321646586803</v>
      </c>
      <c r="V176" s="149">
        <f t="shared" si="215"/>
        <v>31902</v>
      </c>
      <c r="W176" s="149">
        <f t="shared" si="220"/>
        <v>82364</v>
      </c>
      <c r="X176" s="149">
        <f t="shared" si="494"/>
        <v>7044861</v>
      </c>
      <c r="Y176" s="149">
        <f t="shared" ref="Y176:Z176" si="565">R176-H176-AD176</f>
        <v>7799770</v>
      </c>
      <c r="Z176" s="149">
        <f t="shared" si="565"/>
        <v>3809344</v>
      </c>
      <c r="AA176" s="148">
        <f t="shared" si="222"/>
        <v>1.107157401686137</v>
      </c>
      <c r="AB176" s="148">
        <f t="shared" si="223"/>
        <v>0.54072663747375571</v>
      </c>
      <c r="AC176" s="145">
        <v>984719</v>
      </c>
      <c r="AD176" s="142">
        <v>771149</v>
      </c>
      <c r="AE176" s="142">
        <v>370984</v>
      </c>
      <c r="AF176" s="150">
        <f t="shared" si="292"/>
        <v>0.78311579242403162</v>
      </c>
      <c r="AG176" s="133">
        <f t="shared" si="293"/>
        <v>0.37674097889854874</v>
      </c>
      <c r="AH176" s="126">
        <v>1468764</v>
      </c>
      <c r="AI176" s="127">
        <v>1627357</v>
      </c>
      <c r="AJ176" s="127">
        <v>1507894</v>
      </c>
      <c r="AK176" s="133">
        <v>1.046</v>
      </c>
      <c r="AL176" s="133">
        <v>0.95599999999999996</v>
      </c>
      <c r="AM176" s="127">
        <v>21553118</v>
      </c>
      <c r="AN176" s="127">
        <v>5113316</v>
      </c>
      <c r="AO176" s="127">
        <v>3592892</v>
      </c>
      <c r="AP176" s="133">
        <v>0.19700000000000001</v>
      </c>
      <c r="AQ176" s="133">
        <v>0.11799999999999999</v>
      </c>
      <c r="AR176" s="126">
        <v>17327169</v>
      </c>
      <c r="AS176" s="122">
        <f t="shared" ref="AS176:AT176" si="566">AX176-AN176-AI176</f>
        <v>50562888</v>
      </c>
      <c r="AT176" s="122">
        <f t="shared" si="566"/>
        <v>26486661</v>
      </c>
      <c r="AU176" s="133">
        <v>0.98799999999999999</v>
      </c>
      <c r="AV176" s="133">
        <v>0.47699999999999998</v>
      </c>
      <c r="AW176" s="126">
        <v>208265720</v>
      </c>
      <c r="AX176" s="130">
        <v>57303561</v>
      </c>
      <c r="AY176" s="130">
        <v>31587447</v>
      </c>
      <c r="AZ176" s="111">
        <f t="shared" si="18"/>
        <v>0.27514638990996693</v>
      </c>
      <c r="BA176" s="111">
        <f t="shared" si="19"/>
        <v>0.15166896885382769</v>
      </c>
      <c r="BB176" s="134">
        <f t="shared" ref="BB176:BC176" si="567">AX176-AX175</f>
        <v>617080</v>
      </c>
      <c r="BC176" s="134">
        <f t="shared" si="567"/>
        <v>639076</v>
      </c>
      <c r="BD176" s="132">
        <f t="shared" ref="BD176:BF176" si="568">AW176-AM176-BI176</f>
        <v>145799253</v>
      </c>
      <c r="BE176" s="132">
        <f t="shared" si="568"/>
        <v>49741823</v>
      </c>
      <c r="BF176" s="132">
        <f t="shared" si="568"/>
        <v>26795019</v>
      </c>
      <c r="BG176" s="131">
        <f t="shared" si="227"/>
        <v>0.34116651475573745</v>
      </c>
      <c r="BH176" s="131">
        <f t="shared" si="228"/>
        <v>0.18378022142541431</v>
      </c>
      <c r="BI176" s="132">
        <v>40913349</v>
      </c>
      <c r="BJ176" s="138">
        <v>2448422</v>
      </c>
      <c r="BK176" s="139">
        <v>1199536</v>
      </c>
      <c r="BL176" s="131">
        <f t="shared" si="298"/>
        <v>5.9844086584063309E-2</v>
      </c>
      <c r="BM176" s="131">
        <f t="shared" si="299"/>
        <v>2.9318939400438719E-2</v>
      </c>
      <c r="BN176" s="131">
        <f t="shared" ref="BN176:BO176" si="569">V176/BB176</f>
        <v>5.1698321125299797E-2</v>
      </c>
      <c r="BO176" s="131">
        <f t="shared" si="569"/>
        <v>0.12887982024047218</v>
      </c>
      <c r="BP176" s="143">
        <v>189962</v>
      </c>
      <c r="BQ176" s="143">
        <v>146603</v>
      </c>
      <c r="BR176" s="136" t="s">
        <v>366</v>
      </c>
      <c r="BS176" s="136" t="s">
        <v>366</v>
      </c>
    </row>
    <row r="177" spans="1:71" x14ac:dyDescent="0.25">
      <c r="A177" s="120">
        <v>44431</v>
      </c>
      <c r="B177" s="126">
        <v>112301</v>
      </c>
      <c r="C177" s="141">
        <v>146495</v>
      </c>
      <c r="D177" s="141">
        <v>132325</v>
      </c>
      <c r="E177" s="144">
        <f t="shared" si="0"/>
        <v>1.3044852672727758</v>
      </c>
      <c r="F177" s="144">
        <f t="shared" si="1"/>
        <v>1.1783065155252401</v>
      </c>
      <c r="G177" s="145">
        <v>911631</v>
      </c>
      <c r="H177" s="141">
        <v>780447</v>
      </c>
      <c r="I177" s="141">
        <v>665399</v>
      </c>
      <c r="J177" s="146">
        <f t="shared" si="2"/>
        <v>0.85609967190672542</v>
      </c>
      <c r="K177" s="146">
        <f t="shared" si="3"/>
        <v>0.72989948784102343</v>
      </c>
      <c r="L177" s="145">
        <v>1976757</v>
      </c>
      <c r="M177" s="147">
        <f t="shared" si="202"/>
        <v>8436966</v>
      </c>
      <c r="N177" s="147">
        <f t="shared" si="210"/>
        <v>4081847</v>
      </c>
      <c r="O177" s="144">
        <f t="shared" si="4"/>
        <v>4.2680845445343056</v>
      </c>
      <c r="P177" s="144">
        <f t="shared" si="5"/>
        <v>2.0649209791592997</v>
      </c>
      <c r="Q177" s="145">
        <v>8941211</v>
      </c>
      <c r="R177" s="142">
        <v>9363908</v>
      </c>
      <c r="S177" s="142">
        <v>4879571</v>
      </c>
      <c r="T177" s="148">
        <f t="shared" si="8"/>
        <v>1.0472751397992957</v>
      </c>
      <c r="U177" s="148">
        <f t="shared" si="9"/>
        <v>0.54573938586171378</v>
      </c>
      <c r="V177" s="149">
        <f t="shared" si="215"/>
        <v>12815</v>
      </c>
      <c r="W177" s="149">
        <f t="shared" si="220"/>
        <v>34300</v>
      </c>
      <c r="X177" s="149">
        <f t="shared" si="494"/>
        <v>7044861</v>
      </c>
      <c r="Y177" s="149">
        <f t="shared" ref="Y177:Z177" si="570">R177-H177-AD177</f>
        <v>7811409</v>
      </c>
      <c r="Z177" s="149">
        <f t="shared" si="570"/>
        <v>3834944</v>
      </c>
      <c r="AA177" s="148">
        <f t="shared" si="222"/>
        <v>1.108809527966556</v>
      </c>
      <c r="AB177" s="148">
        <f t="shared" si="223"/>
        <v>0.54436049199551273</v>
      </c>
      <c r="AC177" s="145">
        <v>984719</v>
      </c>
      <c r="AD177" s="142">
        <v>772052</v>
      </c>
      <c r="AE177" s="142">
        <v>379228</v>
      </c>
      <c r="AF177" s="150">
        <f t="shared" si="292"/>
        <v>0.78403280529775499</v>
      </c>
      <c r="AG177" s="133">
        <f t="shared" si="293"/>
        <v>0.38511291038357137</v>
      </c>
      <c r="AH177" s="126">
        <v>1468764</v>
      </c>
      <c r="AI177" s="127">
        <v>1627523</v>
      </c>
      <c r="AJ177" s="127">
        <v>1508089</v>
      </c>
      <c r="AK177" s="133">
        <v>1.046</v>
      </c>
      <c r="AL177" s="133">
        <v>0.95599999999999996</v>
      </c>
      <c r="AM177" s="127">
        <v>21553118</v>
      </c>
      <c r="AN177" s="127">
        <v>5114412</v>
      </c>
      <c r="AO177" s="127">
        <v>3593533</v>
      </c>
      <c r="AP177" s="133">
        <v>0.19700000000000001</v>
      </c>
      <c r="AQ177" s="133">
        <v>0.11799999999999999</v>
      </c>
      <c r="AR177" s="126">
        <v>17327169</v>
      </c>
      <c r="AS177" s="122">
        <f t="shared" ref="AS177:AT177" si="571">AX177-AN177-AI177</f>
        <v>50598794</v>
      </c>
      <c r="AT177" s="122">
        <f t="shared" si="571"/>
        <v>26501011</v>
      </c>
      <c r="AU177" s="133">
        <v>0.98799999999999999</v>
      </c>
      <c r="AV177" s="133">
        <v>0.47699999999999998</v>
      </c>
      <c r="AW177" s="126">
        <v>208265720</v>
      </c>
      <c r="AX177" s="130">
        <v>57340729</v>
      </c>
      <c r="AY177" s="130">
        <v>31602633</v>
      </c>
      <c r="AZ177" s="111">
        <f t="shared" si="18"/>
        <v>0.27532485422949105</v>
      </c>
      <c r="BA177" s="111">
        <f t="shared" si="19"/>
        <v>0.15174188531842878</v>
      </c>
      <c r="BB177" s="134">
        <f t="shared" ref="BB177:BC177" si="572">AX177-AX176</f>
        <v>37168</v>
      </c>
      <c r="BC177" s="134">
        <f t="shared" si="572"/>
        <v>15186</v>
      </c>
      <c r="BD177" s="132">
        <f t="shared" ref="BD177:BF177" si="573">AW177-AM177-BI177</f>
        <v>145799253</v>
      </c>
      <c r="BE177" s="132">
        <f t="shared" si="573"/>
        <v>49776962</v>
      </c>
      <c r="BF177" s="132">
        <f t="shared" si="573"/>
        <v>26808244</v>
      </c>
      <c r="BG177" s="131">
        <f t="shared" si="227"/>
        <v>0.34140752422099174</v>
      </c>
      <c r="BH177" s="131">
        <f t="shared" si="228"/>
        <v>0.18387092833733518</v>
      </c>
      <c r="BI177" s="132">
        <v>40913349</v>
      </c>
      <c r="BJ177" s="138">
        <v>2449355</v>
      </c>
      <c r="BK177" s="139">
        <v>1200856</v>
      </c>
      <c r="BL177" s="131">
        <f t="shared" si="298"/>
        <v>5.9866890877107129E-2</v>
      </c>
      <c r="BM177" s="131">
        <f t="shared" si="299"/>
        <v>2.9351202708925148E-2</v>
      </c>
      <c r="BN177" s="131">
        <f t="shared" ref="BN177:BO177" si="574">V177/BB177</f>
        <v>0.34478583727938011</v>
      </c>
      <c r="BO177" s="131">
        <f t="shared" si="574"/>
        <v>2.2586592914526538</v>
      </c>
      <c r="BP177" s="143">
        <v>191184</v>
      </c>
      <c r="BQ177" s="143">
        <v>148317</v>
      </c>
      <c r="BR177" s="136" t="s">
        <v>366</v>
      </c>
      <c r="BS177" s="136" t="s">
        <v>366</v>
      </c>
    </row>
    <row r="178" spans="1:71" x14ac:dyDescent="0.25">
      <c r="A178" s="120">
        <v>44432</v>
      </c>
      <c r="B178" s="145">
        <v>112301</v>
      </c>
      <c r="C178" s="141">
        <v>146752</v>
      </c>
      <c r="D178" s="141">
        <v>132749</v>
      </c>
      <c r="E178" s="144">
        <f t="shared" si="0"/>
        <v>1.306773759806235</v>
      </c>
      <c r="F178" s="144">
        <f t="shared" si="1"/>
        <v>1.1820820829734375</v>
      </c>
      <c r="G178" s="145">
        <v>911631</v>
      </c>
      <c r="H178" s="141">
        <v>781906</v>
      </c>
      <c r="I178" s="141">
        <v>667040</v>
      </c>
      <c r="J178" s="146">
        <f t="shared" si="2"/>
        <v>0.8577001001501704</v>
      </c>
      <c r="K178" s="146">
        <f t="shared" si="3"/>
        <v>0.73169955826425381</v>
      </c>
      <c r="L178" s="145">
        <v>1976757</v>
      </c>
      <c r="M178" s="147">
        <f t="shared" si="202"/>
        <v>8480560</v>
      </c>
      <c r="N178" s="147">
        <f t="shared" si="210"/>
        <v>4178798</v>
      </c>
      <c r="O178" s="144">
        <f t="shared" si="4"/>
        <v>4.2901378368711987</v>
      </c>
      <c r="P178" s="144">
        <f t="shared" si="5"/>
        <v>2.1139664612291749</v>
      </c>
      <c r="Q178" s="145">
        <v>8941211</v>
      </c>
      <c r="R178" s="142">
        <v>9409218</v>
      </c>
      <c r="S178" s="142">
        <v>4978587</v>
      </c>
      <c r="T178" s="148">
        <f t="shared" si="8"/>
        <v>1.052342686018706</v>
      </c>
      <c r="U178" s="148">
        <f t="shared" si="9"/>
        <v>0.55681350098996663</v>
      </c>
      <c r="V178" s="149">
        <f t="shared" si="215"/>
        <v>45310</v>
      </c>
      <c r="W178" s="149">
        <f t="shared" si="220"/>
        <v>99016</v>
      </c>
      <c r="X178" s="149">
        <f t="shared" si="494"/>
        <v>7044861</v>
      </c>
      <c r="Y178" s="149">
        <f t="shared" ref="Y178:Z178" si="575">R178-H178-AD178</f>
        <v>7852020</v>
      </c>
      <c r="Z178" s="149">
        <f t="shared" si="575"/>
        <v>3906729</v>
      </c>
      <c r="AA178" s="148">
        <f t="shared" si="222"/>
        <v>1.1145741555440201</v>
      </c>
      <c r="AB178" s="148">
        <f t="shared" si="223"/>
        <v>0.55455018913786946</v>
      </c>
      <c r="AC178" s="145">
        <v>984719</v>
      </c>
      <c r="AD178" s="142">
        <v>775292</v>
      </c>
      <c r="AE178" s="142">
        <v>404818</v>
      </c>
      <c r="AF178" s="150">
        <f t="shared" si="292"/>
        <v>0.7873230840473272</v>
      </c>
      <c r="AG178" s="150">
        <f t="shared" si="293"/>
        <v>0.41110001939639634</v>
      </c>
      <c r="AH178" s="145">
        <v>1468764</v>
      </c>
      <c r="AI178" s="141">
        <v>1630171</v>
      </c>
      <c r="AJ178" s="141">
        <v>1511295</v>
      </c>
      <c r="AK178" s="150">
        <v>1.046</v>
      </c>
      <c r="AL178" s="150">
        <v>0.95599999999999996</v>
      </c>
      <c r="AM178" s="141">
        <v>21553118</v>
      </c>
      <c r="AN178" s="141">
        <v>5133555</v>
      </c>
      <c r="AO178" s="141">
        <v>3614799</v>
      </c>
      <c r="AP178" s="150">
        <v>0.19700000000000001</v>
      </c>
      <c r="AQ178" s="150">
        <v>0.11799999999999999</v>
      </c>
      <c r="AR178" s="145">
        <v>17327169</v>
      </c>
      <c r="AS178" s="141">
        <f t="shared" ref="AS178:AT178" si="576">AX178-AN178-AI178</f>
        <v>51259298</v>
      </c>
      <c r="AT178" s="141">
        <f t="shared" si="576"/>
        <v>27121156</v>
      </c>
      <c r="AU178" s="150">
        <v>0.98799999999999999</v>
      </c>
      <c r="AV178" s="150">
        <v>0.47699999999999998</v>
      </c>
      <c r="AW178" s="145">
        <v>208265720</v>
      </c>
      <c r="AX178" s="147">
        <v>58023024</v>
      </c>
      <c r="AY178" s="147">
        <v>32247250</v>
      </c>
      <c r="AZ178" s="144">
        <f t="shared" si="18"/>
        <v>0.27860093346134929</v>
      </c>
      <c r="BA178" s="144">
        <f t="shared" si="19"/>
        <v>0.15483705143602125</v>
      </c>
      <c r="BB178" s="151">
        <f t="shared" ref="BB178:BC178" si="577">AX178-AX177</f>
        <v>682295</v>
      </c>
      <c r="BC178" s="151">
        <f t="shared" si="577"/>
        <v>644617</v>
      </c>
      <c r="BD178" s="149">
        <f t="shared" ref="BD178:BF178" si="578">AW178-AM178-BI178</f>
        <v>145799253</v>
      </c>
      <c r="BE178" s="149">
        <f t="shared" si="578"/>
        <v>50423690</v>
      </c>
      <c r="BF178" s="149">
        <f t="shared" si="578"/>
        <v>27340094</v>
      </c>
      <c r="BG178" s="148">
        <f t="shared" si="227"/>
        <v>0.3458432671119378</v>
      </c>
      <c r="BH178" s="148">
        <f t="shared" si="228"/>
        <v>0.18751875223942335</v>
      </c>
      <c r="BI178" s="149">
        <v>40913349</v>
      </c>
      <c r="BJ178" s="142">
        <v>2465779</v>
      </c>
      <c r="BK178" s="152">
        <v>1292357</v>
      </c>
      <c r="BL178" s="148">
        <f t="shared" si="298"/>
        <v>6.0268324648759503E-2</v>
      </c>
      <c r="BM178" s="148">
        <f t="shared" si="299"/>
        <v>3.158766103454401E-2</v>
      </c>
      <c r="BN178" s="148">
        <f t="shared" ref="BN178:BO178" si="579">V178/BB178</f>
        <v>6.6408225181189953E-2</v>
      </c>
      <c r="BO178" s="148">
        <f t="shared" si="579"/>
        <v>0.15360438834222492</v>
      </c>
      <c r="BP178" s="143">
        <v>192386</v>
      </c>
      <c r="BQ178" s="143">
        <v>149705</v>
      </c>
      <c r="BR178" s="153" t="s">
        <v>366</v>
      </c>
      <c r="BS178" s="153" t="s">
        <v>366</v>
      </c>
    </row>
    <row r="179" spans="1:71" x14ac:dyDescent="0.25">
      <c r="A179" s="120">
        <v>44433</v>
      </c>
      <c r="B179" s="145">
        <v>112301</v>
      </c>
      <c r="C179" s="141">
        <v>146976</v>
      </c>
      <c r="D179" s="141">
        <v>133152</v>
      </c>
      <c r="E179" s="144">
        <f t="shared" si="0"/>
        <v>1.3087683992128298</v>
      </c>
      <c r="F179" s="144">
        <f t="shared" si="1"/>
        <v>1.1856706529772665</v>
      </c>
      <c r="G179" s="145">
        <v>911631</v>
      </c>
      <c r="H179" s="141">
        <v>783547</v>
      </c>
      <c r="I179" s="141">
        <v>668863</v>
      </c>
      <c r="J179" s="146">
        <f t="shared" si="2"/>
        <v>0.85950017057340089</v>
      </c>
      <c r="K179" s="146">
        <f t="shared" si="3"/>
        <v>0.73369927086726971</v>
      </c>
      <c r="L179" s="145">
        <v>1976757</v>
      </c>
      <c r="M179" s="147">
        <f t="shared" si="202"/>
        <v>8527088</v>
      </c>
      <c r="N179" s="147">
        <f t="shared" si="210"/>
        <v>4285995</v>
      </c>
      <c r="O179" s="144">
        <f t="shared" si="4"/>
        <v>4.3136753784101938</v>
      </c>
      <c r="P179" s="144">
        <f t="shared" si="5"/>
        <v>2.1681951802877135</v>
      </c>
      <c r="Q179" s="145">
        <v>8941211</v>
      </c>
      <c r="R179" s="142">
        <v>9457611</v>
      </c>
      <c r="S179" s="142">
        <v>5088010</v>
      </c>
      <c r="T179" s="148">
        <f t="shared" si="8"/>
        <v>1.057755040117049</v>
      </c>
      <c r="U179" s="148">
        <f t="shared" si="9"/>
        <v>0.56905155241275485</v>
      </c>
      <c r="V179" s="149">
        <f t="shared" si="215"/>
        <v>48393</v>
      </c>
      <c r="W179" s="149">
        <f t="shared" si="220"/>
        <v>109423</v>
      </c>
      <c r="X179" s="149">
        <f t="shared" si="494"/>
        <v>7044861</v>
      </c>
      <c r="Y179" s="149">
        <f t="shared" ref="Y179:Z179" si="580">R179-H179-AD179</f>
        <v>7895380</v>
      </c>
      <c r="Z179" s="149">
        <f t="shared" si="580"/>
        <v>3981825</v>
      </c>
      <c r="AA179" s="148">
        <f t="shared" si="222"/>
        <v>1.1207289966402461</v>
      </c>
      <c r="AB179" s="148">
        <f t="shared" si="223"/>
        <v>0.56520987426153613</v>
      </c>
      <c r="AC179" s="145">
        <v>984719</v>
      </c>
      <c r="AD179" s="142">
        <v>778684</v>
      </c>
      <c r="AE179" s="142">
        <v>437322</v>
      </c>
      <c r="AF179" s="150">
        <f t="shared" si="292"/>
        <v>0.79076772155305219</v>
      </c>
      <c r="AG179" s="150">
        <f t="shared" si="293"/>
        <v>0.44410842077790719</v>
      </c>
      <c r="AH179" s="145">
        <v>1468764</v>
      </c>
      <c r="AI179" s="141">
        <v>1632920</v>
      </c>
      <c r="AJ179" s="141">
        <v>1514205</v>
      </c>
      <c r="AK179" s="150">
        <v>1.046</v>
      </c>
      <c r="AL179" s="150">
        <v>0.95599999999999996</v>
      </c>
      <c r="AM179" s="141">
        <v>21553118</v>
      </c>
      <c r="AN179" s="141">
        <v>5153027</v>
      </c>
      <c r="AO179" s="141">
        <v>3635848</v>
      </c>
      <c r="AP179" s="150">
        <v>0.19700000000000001</v>
      </c>
      <c r="AQ179" s="150">
        <v>0.11799999999999999</v>
      </c>
      <c r="AR179" s="145">
        <v>17327169</v>
      </c>
      <c r="AS179" s="141">
        <f t="shared" ref="AS179:AT179" si="581">AX179-AN179-AI179</f>
        <v>51926158</v>
      </c>
      <c r="AT179" s="141">
        <f t="shared" si="581"/>
        <v>27649163</v>
      </c>
      <c r="AU179" s="150">
        <v>0.98799999999999999</v>
      </c>
      <c r="AV179" s="150">
        <v>0.47699999999999998</v>
      </c>
      <c r="AW179" s="145">
        <v>208265720</v>
      </c>
      <c r="AX179" s="147">
        <v>58712105</v>
      </c>
      <c r="AY179" s="147">
        <v>32799216</v>
      </c>
      <c r="AZ179" s="144">
        <f t="shared" si="18"/>
        <v>0.2819095960679463</v>
      </c>
      <c r="BA179" s="144">
        <f t="shared" si="19"/>
        <v>0.1574873483739907</v>
      </c>
      <c r="BB179" s="151">
        <f t="shared" ref="BB179:BC179" si="582">AX179-AX178</f>
        <v>689081</v>
      </c>
      <c r="BC179" s="151">
        <f t="shared" si="582"/>
        <v>551966</v>
      </c>
      <c r="BD179" s="149">
        <f t="shared" ref="BD179:BF179" si="583">AW179-AM179-BI179</f>
        <v>145799253</v>
      </c>
      <c r="BE179" s="149">
        <f t="shared" si="583"/>
        <v>51080192</v>
      </c>
      <c r="BF179" s="149">
        <f t="shared" si="583"/>
        <v>27792373</v>
      </c>
      <c r="BG179" s="148">
        <f t="shared" si="227"/>
        <v>0.35034604738338404</v>
      </c>
      <c r="BH179" s="148">
        <f t="shared" si="228"/>
        <v>0.19062081888718593</v>
      </c>
      <c r="BI179" s="149">
        <v>40913349</v>
      </c>
      <c r="BJ179" s="142">
        <v>2478886</v>
      </c>
      <c r="BK179" s="152">
        <v>1370995</v>
      </c>
      <c r="BL179" s="148">
        <f t="shared" si="298"/>
        <v>6.0588684636889538E-2</v>
      </c>
      <c r="BM179" s="148">
        <f t="shared" si="299"/>
        <v>3.3509723195722749E-2</v>
      </c>
      <c r="BN179" s="148">
        <f t="shared" ref="BN179:BO179" si="584">V179/BB179</f>
        <v>7.0228318586639304E-2</v>
      </c>
      <c r="BO179" s="148">
        <f t="shared" si="584"/>
        <v>0.19824228303917271</v>
      </c>
      <c r="BP179" s="143">
        <v>193433</v>
      </c>
      <c r="BQ179" s="143">
        <v>150718</v>
      </c>
      <c r="BR179" s="153" t="s">
        <v>366</v>
      </c>
      <c r="BS179" s="153" t="s">
        <v>366</v>
      </c>
    </row>
    <row r="180" spans="1:71" x14ac:dyDescent="0.25">
      <c r="A180" s="120">
        <v>44434</v>
      </c>
      <c r="B180" s="145">
        <v>112301</v>
      </c>
      <c r="C180" s="141">
        <v>147447</v>
      </c>
      <c r="D180" s="141">
        <v>133747</v>
      </c>
      <c r="E180" s="144">
        <f t="shared" si="0"/>
        <v>1.3129624847508037</v>
      </c>
      <c r="F180" s="144">
        <f t="shared" si="1"/>
        <v>1.1909689139010338</v>
      </c>
      <c r="G180" s="145">
        <v>911631</v>
      </c>
      <c r="H180" s="141">
        <v>785279</v>
      </c>
      <c r="I180" s="141">
        <v>670869</v>
      </c>
      <c r="J180" s="146">
        <f t="shared" si="2"/>
        <v>0.86140006208652409</v>
      </c>
      <c r="K180" s="146">
        <f t="shared" si="3"/>
        <v>0.73589972258512493</v>
      </c>
      <c r="L180" s="145">
        <v>1976757</v>
      </c>
      <c r="M180" s="147">
        <f t="shared" si="202"/>
        <v>8572954</v>
      </c>
      <c r="N180" s="147">
        <f t="shared" si="210"/>
        <v>4392765</v>
      </c>
      <c r="O180" s="144">
        <f t="shared" si="4"/>
        <v>4.3368780280024302</v>
      </c>
      <c r="P180" s="144">
        <f t="shared" si="5"/>
        <v>2.222207888981802</v>
      </c>
      <c r="Q180" s="145">
        <v>8941211</v>
      </c>
      <c r="R180" s="142">
        <v>9505680</v>
      </c>
      <c r="S180" s="142">
        <v>5197381</v>
      </c>
      <c r="T180" s="148">
        <f t="shared" si="8"/>
        <v>1.0631311575132272</v>
      </c>
      <c r="U180" s="148">
        <f t="shared" si="9"/>
        <v>0.58128378806852898</v>
      </c>
      <c r="V180" s="149">
        <f t="shared" si="215"/>
        <v>48069</v>
      </c>
      <c r="W180" s="149">
        <f t="shared" si="220"/>
        <v>109371</v>
      </c>
      <c r="X180" s="149">
        <f t="shared" si="494"/>
        <v>7044861</v>
      </c>
      <c r="Y180" s="149">
        <f t="shared" ref="Y180:Z180" si="585">R180-H180-AD180</f>
        <v>7938495</v>
      </c>
      <c r="Z180" s="149">
        <f t="shared" si="585"/>
        <v>4065478</v>
      </c>
      <c r="AA180" s="148">
        <f t="shared" si="222"/>
        <v>1.1268490606131192</v>
      </c>
      <c r="AB180" s="148">
        <f t="shared" si="223"/>
        <v>0.5770842036485887</v>
      </c>
      <c r="AC180" s="145">
        <v>984719</v>
      </c>
      <c r="AD180" s="142">
        <v>781906</v>
      </c>
      <c r="AE180" s="142">
        <v>461034</v>
      </c>
      <c r="AF180" s="150">
        <f t="shared" si="292"/>
        <v>0.79403972097623787</v>
      </c>
      <c r="AG180" s="150">
        <f t="shared" si="293"/>
        <v>0.46818838673773938</v>
      </c>
      <c r="AH180" s="145">
        <v>1468764</v>
      </c>
      <c r="AI180" s="141">
        <v>1635703</v>
      </c>
      <c r="AJ180" s="141">
        <v>1516815</v>
      </c>
      <c r="AK180" s="150">
        <v>1.046</v>
      </c>
      <c r="AL180" s="150">
        <v>0.95599999999999996</v>
      </c>
      <c r="AM180" s="141">
        <v>21553118</v>
      </c>
      <c r="AN180" s="141">
        <v>5173665</v>
      </c>
      <c r="AO180" s="141">
        <v>3657656</v>
      </c>
      <c r="AP180" s="150">
        <v>0.19700000000000001</v>
      </c>
      <c r="AQ180" s="150">
        <v>0.11799999999999999</v>
      </c>
      <c r="AR180" s="145">
        <v>17327169</v>
      </c>
      <c r="AS180" s="141">
        <f t="shared" ref="AS180:AT180" si="586">AX180-AN180-AI180</f>
        <v>52571835</v>
      </c>
      <c r="AT180" s="141">
        <f t="shared" si="586"/>
        <v>28169680</v>
      </c>
      <c r="AU180" s="150">
        <v>0.98799999999999999</v>
      </c>
      <c r="AV180" s="150">
        <v>0.47699999999999998</v>
      </c>
      <c r="AW180" s="145">
        <v>208265720</v>
      </c>
      <c r="AX180" s="147">
        <v>59381203</v>
      </c>
      <c r="AY180" s="147">
        <v>33344151</v>
      </c>
      <c r="AZ180" s="144">
        <f t="shared" si="18"/>
        <v>0.28512230913469583</v>
      </c>
      <c r="BA180" s="144">
        <f t="shared" si="19"/>
        <v>0.1601038855554337</v>
      </c>
      <c r="BB180" s="151">
        <f t="shared" ref="BB180:BC180" si="587">AX180-AX179</f>
        <v>669098</v>
      </c>
      <c r="BC180" s="151">
        <f t="shared" si="587"/>
        <v>544935</v>
      </c>
      <c r="BD180" s="149">
        <f t="shared" ref="BD180:BF180" si="588">AW180-AM180-BI180</f>
        <v>145799253</v>
      </c>
      <c r="BE180" s="149">
        <f t="shared" si="588"/>
        <v>51713647</v>
      </c>
      <c r="BF180" s="149">
        <f t="shared" si="588"/>
        <v>28255254</v>
      </c>
      <c r="BG180" s="148">
        <f t="shared" si="227"/>
        <v>0.35469075414261553</v>
      </c>
      <c r="BH180" s="148">
        <f t="shared" si="228"/>
        <v>0.19379560195689069</v>
      </c>
      <c r="BI180" s="149">
        <v>40913349</v>
      </c>
      <c r="BJ180" s="142">
        <v>2493891</v>
      </c>
      <c r="BK180" s="152">
        <v>1431241</v>
      </c>
      <c r="BL180" s="148">
        <f t="shared" si="298"/>
        <v>6.0955435351919003E-2</v>
      </c>
      <c r="BM180" s="148">
        <f t="shared" si="299"/>
        <v>3.4982249925323887E-2</v>
      </c>
      <c r="BN180" s="148">
        <f t="shared" ref="BN180:BO180" si="589">V180/BB180</f>
        <v>7.1841494071122614E-2</v>
      </c>
      <c r="BO180" s="148">
        <f t="shared" si="589"/>
        <v>0.20070467119931734</v>
      </c>
      <c r="BP180" s="143">
        <v>194254</v>
      </c>
      <c r="BQ180" s="143">
        <v>151930</v>
      </c>
      <c r="BR180" s="153" t="s">
        <v>366</v>
      </c>
      <c r="BS180" s="153" t="s">
        <v>366</v>
      </c>
    </row>
    <row r="181" spans="1:71" x14ac:dyDescent="0.25">
      <c r="A181" s="120">
        <v>44435</v>
      </c>
      <c r="B181" s="145">
        <v>112301</v>
      </c>
      <c r="C181" s="141">
        <v>147717</v>
      </c>
      <c r="D181" s="141">
        <v>134070</v>
      </c>
      <c r="E181" s="144">
        <f t="shared" si="0"/>
        <v>1.3153667376069671</v>
      </c>
      <c r="F181" s="144">
        <f t="shared" si="1"/>
        <v>1.1938451126882219</v>
      </c>
      <c r="G181" s="145">
        <v>911631</v>
      </c>
      <c r="H181" s="141">
        <v>787193</v>
      </c>
      <c r="I181" s="141">
        <v>673057</v>
      </c>
      <c r="J181" s="146">
        <f t="shared" si="2"/>
        <v>0.86349959577943269</v>
      </c>
      <c r="K181" s="146">
        <f t="shared" si="3"/>
        <v>0.73829981648276555</v>
      </c>
      <c r="L181" s="145">
        <v>1976757</v>
      </c>
      <c r="M181" s="147">
        <f t="shared" si="202"/>
        <v>8619388</v>
      </c>
      <c r="N181" s="147">
        <f t="shared" si="210"/>
        <v>4510822</v>
      </c>
      <c r="O181" s="144">
        <f t="shared" si="4"/>
        <v>4.3603680169085024</v>
      </c>
      <c r="P181" s="144">
        <f t="shared" si="5"/>
        <v>2.2819304547802286</v>
      </c>
      <c r="Q181" s="145">
        <v>8941211</v>
      </c>
      <c r="R181" s="142">
        <v>9554298</v>
      </c>
      <c r="S181" s="142">
        <v>5317949</v>
      </c>
      <c r="T181" s="148">
        <f t="shared" si="8"/>
        <v>1.0685686759880737</v>
      </c>
      <c r="U181" s="148">
        <f t="shared" si="9"/>
        <v>0.59476831494078375</v>
      </c>
      <c r="V181" s="149">
        <f t="shared" si="215"/>
        <v>48618</v>
      </c>
      <c r="W181" s="149">
        <f t="shared" si="220"/>
        <v>120568</v>
      </c>
      <c r="X181" s="149">
        <f t="shared" si="494"/>
        <v>7044861</v>
      </c>
      <c r="Y181" s="149">
        <f t="shared" ref="Y181:Z181" si="590">R181-H181-AD181</f>
        <v>7977764</v>
      </c>
      <c r="Z181" s="149">
        <f t="shared" si="590"/>
        <v>4157309</v>
      </c>
      <c r="AA181" s="148">
        <f t="shared" si="222"/>
        <v>1.1324231947230754</v>
      </c>
      <c r="AB181" s="148">
        <f t="shared" si="223"/>
        <v>0.59011937921841184</v>
      </c>
      <c r="AC181" s="145">
        <v>984719</v>
      </c>
      <c r="AD181" s="142">
        <v>789341</v>
      </c>
      <c r="AE181" s="142">
        <v>487583</v>
      </c>
      <c r="AF181" s="150">
        <f t="shared" si="292"/>
        <v>0.80159009829200001</v>
      </c>
      <c r="AG181" s="150">
        <f t="shared" si="293"/>
        <v>0.49514937763971245</v>
      </c>
      <c r="AH181" s="145">
        <v>1468764</v>
      </c>
      <c r="AI181" s="141">
        <v>1636776</v>
      </c>
      <c r="AJ181" s="141">
        <v>1517893</v>
      </c>
      <c r="AK181" s="150">
        <v>1.046</v>
      </c>
      <c r="AL181" s="150">
        <v>0.95599999999999996</v>
      </c>
      <c r="AM181" s="141">
        <v>21553118</v>
      </c>
      <c r="AN181" s="141">
        <v>5173487</v>
      </c>
      <c r="AO181" s="141">
        <v>3658276</v>
      </c>
      <c r="AP181" s="150">
        <v>0.19700000000000001</v>
      </c>
      <c r="AQ181" s="150">
        <v>0.11799999999999999</v>
      </c>
      <c r="AR181" s="145">
        <v>17327169</v>
      </c>
      <c r="AS181" s="141">
        <f t="shared" ref="AS181:AT181" si="591">AX181-AN181-AI181</f>
        <v>52616674</v>
      </c>
      <c r="AT181" s="141">
        <f t="shared" si="591"/>
        <v>28181178</v>
      </c>
      <c r="AU181" s="150">
        <v>0.98799999999999999</v>
      </c>
      <c r="AV181" s="150">
        <v>0.47699999999999998</v>
      </c>
      <c r="AW181" s="145">
        <v>208265720</v>
      </c>
      <c r="AX181" s="147">
        <v>59426937</v>
      </c>
      <c r="AY181" s="147">
        <v>33357347</v>
      </c>
      <c r="AZ181" s="144">
        <f t="shared" si="18"/>
        <v>0.28534190360276285</v>
      </c>
      <c r="BA181" s="144">
        <f t="shared" si="19"/>
        <v>0.16016724691898407</v>
      </c>
      <c r="BB181" s="151">
        <f t="shared" ref="BB181:BC181" si="592">AX181-AX180</f>
        <v>45734</v>
      </c>
      <c r="BC181" s="151">
        <f t="shared" si="592"/>
        <v>13196</v>
      </c>
      <c r="BD181" s="149">
        <f t="shared" ref="BD181:BF181" si="593">AW181-AM181-BI181</f>
        <v>145799253</v>
      </c>
      <c r="BE181" s="149">
        <f t="shared" si="593"/>
        <v>51733311</v>
      </c>
      <c r="BF181" s="149">
        <f t="shared" si="593"/>
        <v>28256340</v>
      </c>
      <c r="BG181" s="148">
        <f t="shared" si="227"/>
        <v>0.35482562451811739</v>
      </c>
      <c r="BH181" s="148">
        <f t="shared" si="228"/>
        <v>0.19380305055472405</v>
      </c>
      <c r="BI181" s="149">
        <v>40913349</v>
      </c>
      <c r="BJ181" s="142">
        <v>2520139</v>
      </c>
      <c r="BK181" s="152">
        <v>1442731</v>
      </c>
      <c r="BL181" s="148">
        <f t="shared" si="298"/>
        <v>6.1596986352791601E-2</v>
      </c>
      <c r="BM181" s="148">
        <f t="shared" si="299"/>
        <v>3.526308736055804E-2</v>
      </c>
      <c r="BN181" s="148">
        <f t="shared" ref="BN181:BO181" si="594">V181/BB181</f>
        <v>1.0630603052433638</v>
      </c>
      <c r="BO181" s="148">
        <f t="shared" si="594"/>
        <v>9.1367080933616247</v>
      </c>
      <c r="BP181" s="143">
        <v>194889</v>
      </c>
      <c r="BQ181" s="143">
        <v>152728</v>
      </c>
      <c r="BR181" s="153" t="s">
        <v>366</v>
      </c>
      <c r="BS181" s="153" t="s">
        <v>366</v>
      </c>
    </row>
    <row r="182" spans="1:71" x14ac:dyDescent="0.25">
      <c r="A182" s="120">
        <v>44436</v>
      </c>
      <c r="B182" s="145">
        <v>112301</v>
      </c>
      <c r="C182" s="141">
        <v>148087</v>
      </c>
      <c r="D182" s="141">
        <v>134753</v>
      </c>
      <c r="E182" s="144">
        <f t="shared" si="0"/>
        <v>1.3186614544839317</v>
      </c>
      <c r="F182" s="144">
        <f t="shared" si="1"/>
        <v>1.1999269819502942</v>
      </c>
      <c r="G182" s="145">
        <v>911631</v>
      </c>
      <c r="H182" s="141">
        <v>789563</v>
      </c>
      <c r="I182" s="141">
        <v>676339</v>
      </c>
      <c r="J182" s="146">
        <f t="shared" si="2"/>
        <v>0.86609933185685872</v>
      </c>
      <c r="K182" s="146">
        <f t="shared" si="3"/>
        <v>0.74189995732922642</v>
      </c>
      <c r="L182" s="145">
        <v>1976757</v>
      </c>
      <c r="M182" s="147">
        <f t="shared" si="202"/>
        <v>8685051</v>
      </c>
      <c r="N182" s="147">
        <f t="shared" si="210"/>
        <v>4679799</v>
      </c>
      <c r="O182" s="144">
        <f t="shared" si="4"/>
        <v>4.3935855545218763</v>
      </c>
      <c r="P182" s="144">
        <f t="shared" si="5"/>
        <v>2.3674123830091407</v>
      </c>
      <c r="Q182" s="145">
        <v>8941211</v>
      </c>
      <c r="R182" s="142">
        <v>9622701</v>
      </c>
      <c r="S182" s="142">
        <v>5490891</v>
      </c>
      <c r="T182" s="148">
        <f t="shared" si="8"/>
        <v>1.0762189819701158</v>
      </c>
      <c r="U182" s="148">
        <f t="shared" si="9"/>
        <v>0.61411043761298101</v>
      </c>
      <c r="V182" s="149">
        <f t="shared" si="215"/>
        <v>68403</v>
      </c>
      <c r="W182" s="149">
        <f t="shared" si="220"/>
        <v>172942</v>
      </c>
      <c r="X182" s="149">
        <f t="shared" si="494"/>
        <v>7044861</v>
      </c>
      <c r="Y182" s="149">
        <f t="shared" ref="Y182:Z182" si="595">R182-H182-AD182</f>
        <v>8037256</v>
      </c>
      <c r="Z182" s="149">
        <f t="shared" si="595"/>
        <v>4293536</v>
      </c>
      <c r="AA182" s="148">
        <f t="shared" si="222"/>
        <v>1.1408679319577775</v>
      </c>
      <c r="AB182" s="148">
        <f t="shared" si="223"/>
        <v>0.60945645343463839</v>
      </c>
      <c r="AC182" s="145">
        <v>984719</v>
      </c>
      <c r="AD182" s="142">
        <v>795882</v>
      </c>
      <c r="AE182" s="142">
        <v>521016</v>
      </c>
      <c r="AF182" s="150">
        <f t="shared" si="292"/>
        <v>0.80823260239723216</v>
      </c>
      <c r="AG182" s="150">
        <f t="shared" si="293"/>
        <v>0.52910119536639388</v>
      </c>
      <c r="AH182" s="145">
        <v>1468764</v>
      </c>
      <c r="AI182" s="141">
        <v>1642557</v>
      </c>
      <c r="AJ182" s="141">
        <v>1523167</v>
      </c>
      <c r="AK182" s="150">
        <v>1.046</v>
      </c>
      <c r="AL182" s="150">
        <v>0.95599999999999996</v>
      </c>
      <c r="AM182" s="141">
        <v>21553118</v>
      </c>
      <c r="AN182" s="141">
        <v>5213872</v>
      </c>
      <c r="AO182" s="141">
        <v>3698155</v>
      </c>
      <c r="AP182" s="150">
        <v>0.19700000000000001</v>
      </c>
      <c r="AQ182" s="150">
        <v>0.11799999999999999</v>
      </c>
      <c r="AR182" s="145">
        <v>17327169</v>
      </c>
      <c r="AS182" s="141">
        <f t="shared" ref="AS182:AT182" si="596">AX182-AN182-AI182</f>
        <v>53935191</v>
      </c>
      <c r="AT182" s="141">
        <f t="shared" si="596"/>
        <v>29214383</v>
      </c>
      <c r="AU182" s="150">
        <v>0.98799999999999999</v>
      </c>
      <c r="AV182" s="150">
        <v>0.47699999999999998</v>
      </c>
      <c r="AW182" s="145">
        <v>208265720</v>
      </c>
      <c r="AX182" s="147">
        <v>60791620</v>
      </c>
      <c r="AY182" s="147">
        <v>34435705</v>
      </c>
      <c r="AZ182" s="144">
        <f t="shared" si="18"/>
        <v>0.29189450861140276</v>
      </c>
      <c r="BA182" s="144">
        <f t="shared" si="19"/>
        <v>0.16534504574252545</v>
      </c>
      <c r="BB182" s="151">
        <f t="shared" ref="BB182:BC182" si="597">AX182-AX181</f>
        <v>1364683</v>
      </c>
      <c r="BC182" s="151">
        <f t="shared" si="597"/>
        <v>1078358</v>
      </c>
      <c r="BD182" s="149">
        <f t="shared" ref="BD182:BF182" si="598">AW182-AM182-BI182</f>
        <v>145799253</v>
      </c>
      <c r="BE182" s="149">
        <f t="shared" si="598"/>
        <v>53022127</v>
      </c>
      <c r="BF182" s="149">
        <f t="shared" si="598"/>
        <v>29154534</v>
      </c>
      <c r="BG182" s="148">
        <f t="shared" si="227"/>
        <v>0.36366528571994811</v>
      </c>
      <c r="BH182" s="148">
        <f t="shared" si="228"/>
        <v>0.19996353479259596</v>
      </c>
      <c r="BI182" s="149">
        <v>40913349</v>
      </c>
      <c r="BJ182" s="142">
        <v>2555621</v>
      </c>
      <c r="BK182" s="152">
        <v>1583016</v>
      </c>
      <c r="BL182" s="148">
        <f t="shared" si="298"/>
        <v>6.246423386166701E-2</v>
      </c>
      <c r="BM182" s="148">
        <f t="shared" si="299"/>
        <v>3.8691919353754198E-2</v>
      </c>
      <c r="BN182" s="148">
        <f t="shared" ref="BN182:BO182" si="599">V182/BB182</f>
        <v>5.0123728367686853E-2</v>
      </c>
      <c r="BO182" s="148">
        <f t="shared" si="599"/>
        <v>0.16037531135300151</v>
      </c>
      <c r="BP182" s="143">
        <v>196845</v>
      </c>
      <c r="BQ182" s="143">
        <v>154603</v>
      </c>
      <c r="BR182" s="153" t="s">
        <v>366</v>
      </c>
      <c r="BS182" s="153" t="s">
        <v>366</v>
      </c>
    </row>
    <row r="183" spans="1:71" x14ac:dyDescent="0.25">
      <c r="A183" s="120">
        <v>44437</v>
      </c>
      <c r="B183" s="145">
        <v>112301</v>
      </c>
      <c r="C183" s="141">
        <v>148137</v>
      </c>
      <c r="D183" s="141">
        <v>134806</v>
      </c>
      <c r="E183" s="144">
        <f t="shared" si="0"/>
        <v>1.3191066864943322</v>
      </c>
      <c r="F183" s="144">
        <f t="shared" si="1"/>
        <v>1.200398927881319</v>
      </c>
      <c r="G183" s="145">
        <v>911631</v>
      </c>
      <c r="H183" s="141">
        <v>789746</v>
      </c>
      <c r="I183" s="141">
        <v>676703</v>
      </c>
      <c r="J183" s="146">
        <f t="shared" si="2"/>
        <v>0.86630007097169803</v>
      </c>
      <c r="K183" s="146">
        <f t="shared" si="3"/>
        <v>0.74229924168879735</v>
      </c>
      <c r="L183" s="145">
        <v>1976757</v>
      </c>
      <c r="M183" s="147">
        <f t="shared" si="202"/>
        <v>8692003</v>
      </c>
      <c r="N183" s="147">
        <f t="shared" si="210"/>
        <v>4695753</v>
      </c>
      <c r="O183" s="144">
        <f t="shared" si="4"/>
        <v>4.397102425841922</v>
      </c>
      <c r="P183" s="144">
        <f t="shared" si="5"/>
        <v>2.3754831777502243</v>
      </c>
      <c r="Q183" s="145">
        <v>8941211</v>
      </c>
      <c r="R183" s="142">
        <v>9629886</v>
      </c>
      <c r="S183" s="142">
        <v>5507262</v>
      </c>
      <c r="T183" s="148">
        <f t="shared" si="8"/>
        <v>1.077022564393123</v>
      </c>
      <c r="U183" s="148">
        <f t="shared" si="9"/>
        <v>0.61594139764736566</v>
      </c>
      <c r="V183" s="149">
        <f t="shared" si="215"/>
        <v>7185</v>
      </c>
      <c r="W183" s="149">
        <f t="shared" si="220"/>
        <v>16371</v>
      </c>
      <c r="X183" s="149">
        <f t="shared" si="494"/>
        <v>7044861</v>
      </c>
      <c r="Y183" s="149">
        <f t="shared" ref="Y183:Z183" si="600">R183-H183-AD183</f>
        <v>8043774</v>
      </c>
      <c r="Z183" s="149">
        <f t="shared" si="600"/>
        <v>4307721</v>
      </c>
      <c r="AA183" s="148">
        <f t="shared" si="222"/>
        <v>1.141793145386403</v>
      </c>
      <c r="AB183" s="148">
        <f t="shared" si="223"/>
        <v>0.61146997790304169</v>
      </c>
      <c r="AC183" s="145">
        <v>984719</v>
      </c>
      <c r="AD183" s="142">
        <v>796366</v>
      </c>
      <c r="AE183" s="142">
        <v>522838</v>
      </c>
      <c r="AF183" s="150">
        <f t="shared" si="292"/>
        <v>0.80872411317340276</v>
      </c>
      <c r="AG183" s="150">
        <f t="shared" si="293"/>
        <v>0.53095146940396198</v>
      </c>
      <c r="AH183" s="145">
        <v>1468764</v>
      </c>
      <c r="AI183" s="141">
        <v>1644851</v>
      </c>
      <c r="AJ183" s="141">
        <v>1525098</v>
      </c>
      <c r="AK183" s="150">
        <v>1.046</v>
      </c>
      <c r="AL183" s="150">
        <v>0.95599999999999996</v>
      </c>
      <c r="AM183" s="141">
        <v>21553118</v>
      </c>
      <c r="AN183" s="141">
        <v>5231837</v>
      </c>
      <c r="AO183" s="141">
        <v>3710860</v>
      </c>
      <c r="AP183" s="150">
        <v>0.19700000000000001</v>
      </c>
      <c r="AQ183" s="150">
        <v>0.11799999999999999</v>
      </c>
      <c r="AR183" s="145">
        <v>17327169</v>
      </c>
      <c r="AS183" s="141">
        <f t="shared" ref="AS183:AT183" si="601">AX183-AN183-AI183</f>
        <v>54588650</v>
      </c>
      <c r="AT183" s="141">
        <f t="shared" si="601"/>
        <v>29567830</v>
      </c>
      <c r="AU183" s="150">
        <v>0.98799999999999999</v>
      </c>
      <c r="AV183" s="150">
        <v>0.47699999999999998</v>
      </c>
      <c r="AW183" s="145">
        <v>208265720</v>
      </c>
      <c r="AX183" s="147">
        <v>61465338</v>
      </c>
      <c r="AY183" s="147">
        <v>34803788</v>
      </c>
      <c r="AZ183" s="144">
        <f t="shared" si="18"/>
        <v>0.29512940487757661</v>
      </c>
      <c r="BA183" s="144">
        <f t="shared" si="19"/>
        <v>0.16711241773250057</v>
      </c>
      <c r="BB183" s="151">
        <f t="shared" ref="BB183:BC183" si="602">AX183-AX182</f>
        <v>673718</v>
      </c>
      <c r="BC183" s="151">
        <f t="shared" si="602"/>
        <v>368083</v>
      </c>
      <c r="BD183" s="149">
        <f t="shared" ref="BD183:BF183" si="603">AW183-AM183-BI183</f>
        <v>145799253</v>
      </c>
      <c r="BE183" s="149">
        <f t="shared" si="603"/>
        <v>53619442</v>
      </c>
      <c r="BF183" s="149">
        <f t="shared" si="603"/>
        <v>29456243</v>
      </c>
      <c r="BG183" s="148">
        <f t="shared" si="227"/>
        <v>0.36776211740947673</v>
      </c>
      <c r="BH183" s="148">
        <f t="shared" si="228"/>
        <v>0.20203288009987266</v>
      </c>
      <c r="BI183" s="149">
        <v>40913349</v>
      </c>
      <c r="BJ183" s="142">
        <v>2614059</v>
      </c>
      <c r="BK183" s="152">
        <v>1636685</v>
      </c>
      <c r="BL183" s="148">
        <f t="shared" si="298"/>
        <v>6.389256963540188E-2</v>
      </c>
      <c r="BM183" s="148">
        <f t="shared" si="299"/>
        <v>4.000369170463166E-2</v>
      </c>
      <c r="BN183" s="148">
        <f t="shared" ref="BN183:BO183" si="604">V183/BB183</f>
        <v>1.0664699473667024E-2</v>
      </c>
      <c r="BO183" s="148">
        <f t="shared" si="604"/>
        <v>4.4476381685652419E-2</v>
      </c>
      <c r="BP183" s="143">
        <v>197172</v>
      </c>
      <c r="BQ183" s="143">
        <v>154947</v>
      </c>
      <c r="BR183" s="153" t="s">
        <v>366</v>
      </c>
      <c r="BS183" s="153" t="s">
        <v>366</v>
      </c>
    </row>
    <row r="184" spans="1:71" x14ac:dyDescent="0.25">
      <c r="A184" s="120">
        <v>44438</v>
      </c>
      <c r="B184" s="145">
        <v>112301</v>
      </c>
      <c r="C184" s="141">
        <v>148144</v>
      </c>
      <c r="D184" s="141">
        <v>134817</v>
      </c>
      <c r="E184" s="144">
        <f t="shared" si="0"/>
        <v>1.3191690189757883</v>
      </c>
      <c r="F184" s="144">
        <f t="shared" si="1"/>
        <v>1.200496878923607</v>
      </c>
      <c r="G184" s="145">
        <v>911631</v>
      </c>
      <c r="H184" s="141">
        <v>789837</v>
      </c>
      <c r="I184" s="141">
        <v>676704</v>
      </c>
      <c r="J184" s="146">
        <f t="shared" si="2"/>
        <v>0.86639989206159074</v>
      </c>
      <c r="K184" s="146">
        <f t="shared" si="3"/>
        <v>0.74230033862385114</v>
      </c>
      <c r="L184" s="145">
        <v>1976757</v>
      </c>
      <c r="M184" s="147">
        <f t="shared" si="202"/>
        <v>8692566</v>
      </c>
      <c r="N184" s="147">
        <f t="shared" si="210"/>
        <v>4696182</v>
      </c>
      <c r="O184" s="144">
        <f t="shared" si="4"/>
        <v>4.3973872357603891</v>
      </c>
      <c r="P184" s="144">
        <f t="shared" si="5"/>
        <v>2.375700199872822</v>
      </c>
      <c r="Q184" s="145">
        <v>8941211</v>
      </c>
      <c r="R184" s="142">
        <v>9630547</v>
      </c>
      <c r="S184" s="142">
        <v>5507703</v>
      </c>
      <c r="T184" s="148">
        <f t="shared" si="8"/>
        <v>1.0770964917392063</v>
      </c>
      <c r="U184" s="148">
        <f t="shared" si="9"/>
        <v>0.61599071982531228</v>
      </c>
      <c r="V184" s="149">
        <f t="shared" si="215"/>
        <v>661</v>
      </c>
      <c r="W184" s="149">
        <f t="shared" si="220"/>
        <v>441</v>
      </c>
      <c r="X184" s="149">
        <f t="shared" si="494"/>
        <v>7044861</v>
      </c>
      <c r="Y184" s="149">
        <f t="shared" ref="Y184:Z184" si="605">R184-H184-AD184</f>
        <v>8044296</v>
      </c>
      <c r="Z184" s="149">
        <f t="shared" si="605"/>
        <v>4308116</v>
      </c>
      <c r="AA184" s="148">
        <f t="shared" si="222"/>
        <v>1.1418672419512605</v>
      </c>
      <c r="AB184" s="148">
        <f t="shared" si="223"/>
        <v>0.61152604714273284</v>
      </c>
      <c r="AC184" s="145">
        <v>984719</v>
      </c>
      <c r="AD184" s="142">
        <v>796414</v>
      </c>
      <c r="AE184" s="142">
        <v>522883</v>
      </c>
      <c r="AF184" s="150">
        <f t="shared" si="292"/>
        <v>0.80877285804376675</v>
      </c>
      <c r="AG184" s="150">
        <f t="shared" si="293"/>
        <v>0.53099716771992822</v>
      </c>
      <c r="AH184" s="145">
        <v>1468764</v>
      </c>
      <c r="AI184" s="141">
        <v>1645220</v>
      </c>
      <c r="AJ184" s="141">
        <v>1525425</v>
      </c>
      <c r="AK184" s="150">
        <v>1.046</v>
      </c>
      <c r="AL184" s="150">
        <v>0.95599999999999996</v>
      </c>
      <c r="AM184" s="141">
        <v>21553118</v>
      </c>
      <c r="AN184" s="141">
        <v>5235767</v>
      </c>
      <c r="AO184" s="141">
        <v>3712507</v>
      </c>
      <c r="AP184" s="150">
        <v>0.19700000000000001</v>
      </c>
      <c r="AQ184" s="150">
        <v>0.11799999999999999</v>
      </c>
      <c r="AR184" s="145">
        <v>17327169</v>
      </c>
      <c r="AS184" s="141">
        <f t="shared" ref="AS184:AT184" si="606">AX184-AN184-AI184</f>
        <v>54774658</v>
      </c>
      <c r="AT184" s="141">
        <f t="shared" si="606"/>
        <v>29620528</v>
      </c>
      <c r="AU184" s="150">
        <v>0.98799999999999999</v>
      </c>
      <c r="AV184" s="150">
        <v>0.47699999999999998</v>
      </c>
      <c r="AW184" s="145">
        <v>208265720</v>
      </c>
      <c r="AX184" s="147">
        <v>61655645</v>
      </c>
      <c r="AY184" s="147">
        <v>34858460</v>
      </c>
      <c r="AZ184" s="144">
        <f t="shared" si="18"/>
        <v>0.29604317503619892</v>
      </c>
      <c r="BA184" s="144">
        <f t="shared" si="19"/>
        <v>0.16737492852880445</v>
      </c>
      <c r="BB184" s="151">
        <f t="shared" ref="BB184:BC184" si="607">AX184-AX183</f>
        <v>190307</v>
      </c>
      <c r="BC184" s="151">
        <f t="shared" si="607"/>
        <v>54672</v>
      </c>
      <c r="BD184" s="149">
        <f t="shared" ref="BD184:BF184" si="608">AW184-AM184-BI184</f>
        <v>145799253</v>
      </c>
      <c r="BE184" s="149">
        <f t="shared" si="608"/>
        <v>53800050</v>
      </c>
      <c r="BF184" s="149">
        <f t="shared" si="608"/>
        <v>29504711</v>
      </c>
      <c r="BG184" s="148">
        <f t="shared" si="227"/>
        <v>0.36900086175338637</v>
      </c>
      <c r="BH184" s="148">
        <f t="shared" si="228"/>
        <v>0.20236530978660089</v>
      </c>
      <c r="BI184" s="149">
        <v>40913349</v>
      </c>
      <c r="BJ184" s="142">
        <v>2619828</v>
      </c>
      <c r="BK184" s="152">
        <v>1641242</v>
      </c>
      <c r="BL184" s="148">
        <f t="shared" si="298"/>
        <v>6.4033574958627812E-2</v>
      </c>
      <c r="BM184" s="148">
        <f t="shared" si="299"/>
        <v>4.0115073444610953E-2</v>
      </c>
      <c r="BN184" s="148">
        <f t="shared" ref="BN184:BO184" si="609">V184/BB184</f>
        <v>3.4733351899825021E-3</v>
      </c>
      <c r="BO184" s="148">
        <f t="shared" si="609"/>
        <v>8.0662862159789281E-3</v>
      </c>
      <c r="BP184" s="143">
        <v>197234</v>
      </c>
      <c r="BQ184" s="143">
        <v>154985</v>
      </c>
      <c r="BR184" s="153" t="s">
        <v>366</v>
      </c>
      <c r="BS184" s="153" t="s">
        <v>366</v>
      </c>
    </row>
    <row r="185" spans="1:71" x14ac:dyDescent="0.25">
      <c r="A185" s="154"/>
      <c r="B185" s="155"/>
      <c r="C185" s="155"/>
      <c r="D185" s="155"/>
      <c r="E185" s="156"/>
      <c r="F185" s="156"/>
      <c r="G185" s="155"/>
      <c r="H185" s="155"/>
      <c r="I185" s="155"/>
      <c r="J185" s="157"/>
      <c r="K185" s="157"/>
      <c r="L185" s="155"/>
      <c r="M185" s="155"/>
      <c r="N185" s="155"/>
      <c r="O185" s="156"/>
      <c r="P185" s="156"/>
      <c r="Q185" s="155"/>
      <c r="R185" s="155"/>
      <c r="S185" s="155"/>
      <c r="T185" s="156"/>
      <c r="U185" s="156"/>
      <c r="V185" s="155"/>
      <c r="W185" s="155"/>
      <c r="X185" s="155"/>
      <c r="Y185" s="155"/>
      <c r="Z185" s="155"/>
      <c r="AA185" s="156"/>
      <c r="AB185" s="156"/>
      <c r="AC185" s="155"/>
      <c r="AD185" s="155"/>
      <c r="AE185" s="155"/>
      <c r="AF185" s="156"/>
      <c r="AG185" s="156"/>
      <c r="AH185" s="155"/>
      <c r="AI185" s="155"/>
      <c r="AJ185" s="155"/>
      <c r="AK185" s="156"/>
      <c r="AL185" s="156"/>
      <c r="AM185" s="155"/>
      <c r="AN185" s="155"/>
      <c r="AO185" s="155"/>
      <c r="AP185" s="156"/>
      <c r="AQ185" s="156"/>
      <c r="AR185" s="155"/>
      <c r="AS185" s="155"/>
      <c r="AT185" s="155"/>
      <c r="AU185" s="156"/>
      <c r="AV185" s="156"/>
      <c r="AW185" s="155"/>
      <c r="AX185" s="155"/>
      <c r="AY185" s="155"/>
      <c r="AZ185" s="156"/>
      <c r="BA185" s="156"/>
      <c r="BB185" s="155"/>
      <c r="BC185" s="155"/>
      <c r="BD185" s="155"/>
      <c r="BE185" s="155"/>
      <c r="BF185" s="155"/>
      <c r="BG185" s="158"/>
      <c r="BH185" s="158"/>
      <c r="BI185" s="155"/>
      <c r="BJ185" s="155"/>
      <c r="BK185" s="159"/>
      <c r="BL185" s="156"/>
      <c r="BM185" s="156"/>
      <c r="BN185" s="156"/>
      <c r="BO185" s="156"/>
      <c r="BP185" s="160"/>
      <c r="BQ185" s="160"/>
      <c r="BR185" s="160"/>
      <c r="BS185" s="160"/>
    </row>
    <row r="186" spans="1:71" x14ac:dyDescent="0.25">
      <c r="A186" s="154"/>
      <c r="B186" s="155"/>
      <c r="C186" s="155"/>
      <c r="D186" s="155"/>
      <c r="E186" s="156"/>
      <c r="F186" s="156"/>
      <c r="G186" s="155"/>
      <c r="H186" s="155"/>
      <c r="I186" s="155"/>
      <c r="J186" s="157"/>
      <c r="K186" s="157"/>
      <c r="L186" s="155"/>
      <c r="M186" s="155"/>
      <c r="N186" s="155"/>
      <c r="O186" s="156"/>
      <c r="P186" s="156"/>
      <c r="Q186" s="155"/>
      <c r="R186" s="155"/>
      <c r="S186" s="155"/>
      <c r="T186" s="156"/>
      <c r="U186" s="156"/>
      <c r="V186" s="155"/>
      <c r="W186" s="155"/>
      <c r="X186" s="155"/>
      <c r="Y186" s="155"/>
      <c r="Z186" s="155"/>
      <c r="AA186" s="156"/>
      <c r="AB186" s="156"/>
      <c r="AC186" s="155"/>
      <c r="AD186" s="155"/>
      <c r="AE186" s="155"/>
      <c r="AF186" s="156"/>
      <c r="AG186" s="156"/>
      <c r="AH186" s="155"/>
      <c r="AI186" s="155"/>
      <c r="AJ186" s="155"/>
      <c r="AK186" s="156"/>
      <c r="AL186" s="156"/>
      <c r="AM186" s="155"/>
      <c r="AN186" s="155"/>
      <c r="AO186" s="155"/>
      <c r="AP186" s="156"/>
      <c r="AQ186" s="156"/>
      <c r="AR186" s="155"/>
      <c r="AS186" s="155"/>
      <c r="AT186" s="155"/>
      <c r="AU186" s="156"/>
      <c r="AV186" s="156"/>
      <c r="AW186" s="155"/>
      <c r="AX186" s="155"/>
      <c r="AY186" s="155"/>
      <c r="AZ186" s="156"/>
      <c r="BA186" s="156"/>
      <c r="BB186" s="155"/>
      <c r="BC186" s="155"/>
      <c r="BD186" s="155"/>
      <c r="BE186" s="155"/>
      <c r="BF186" s="155"/>
      <c r="BG186" s="158"/>
      <c r="BH186" s="158"/>
      <c r="BI186" s="155"/>
      <c r="BJ186" s="155"/>
      <c r="BK186" s="159"/>
      <c r="BL186" s="156"/>
      <c r="BM186" s="156"/>
      <c r="BN186" s="156"/>
      <c r="BO186" s="156"/>
      <c r="BP186" s="160"/>
      <c r="BQ186" s="160"/>
      <c r="BR186" s="160"/>
      <c r="BS186" s="160"/>
    </row>
    <row r="187" spans="1:71" x14ac:dyDescent="0.25">
      <c r="A187" s="154"/>
      <c r="B187" s="155"/>
      <c r="C187" s="155"/>
      <c r="D187" s="155"/>
      <c r="E187" s="156"/>
      <c r="F187" s="156"/>
      <c r="G187" s="155"/>
      <c r="H187" s="155"/>
      <c r="I187" s="155"/>
      <c r="J187" s="157"/>
      <c r="K187" s="157"/>
      <c r="L187" s="155"/>
      <c r="M187" s="155"/>
      <c r="N187" s="155"/>
      <c r="O187" s="156"/>
      <c r="P187" s="156"/>
      <c r="Q187" s="155"/>
      <c r="R187" s="155"/>
      <c r="S187" s="155"/>
      <c r="T187" s="156"/>
      <c r="U187" s="156"/>
      <c r="V187" s="155"/>
      <c r="W187" s="155"/>
      <c r="X187" s="155"/>
      <c r="Y187" s="155"/>
      <c r="Z187" s="155"/>
      <c r="AA187" s="156"/>
      <c r="AB187" s="156"/>
      <c r="AC187" s="155"/>
      <c r="AD187" s="155"/>
      <c r="AE187" s="155"/>
      <c r="AF187" s="156"/>
      <c r="AG187" s="156"/>
      <c r="AH187" s="155"/>
      <c r="AI187" s="155"/>
      <c r="AJ187" s="155"/>
      <c r="AK187" s="156"/>
      <c r="AL187" s="156"/>
      <c r="AM187" s="155"/>
      <c r="AN187" s="155"/>
      <c r="AO187" s="155"/>
      <c r="AP187" s="156"/>
      <c r="AQ187" s="156"/>
      <c r="AR187" s="155"/>
      <c r="AS187" s="155"/>
      <c r="AT187" s="155"/>
      <c r="AU187" s="156"/>
      <c r="AV187" s="156"/>
      <c r="AW187" s="155"/>
      <c r="AX187" s="155"/>
      <c r="AY187" s="155"/>
      <c r="AZ187" s="156"/>
      <c r="BA187" s="156"/>
      <c r="BB187" s="155"/>
      <c r="BC187" s="155"/>
      <c r="BD187" s="155"/>
      <c r="BE187" s="155"/>
      <c r="BF187" s="155"/>
      <c r="BG187" s="158"/>
      <c r="BH187" s="158"/>
      <c r="BI187" s="155"/>
      <c r="BJ187" s="155"/>
      <c r="BK187" s="159"/>
      <c r="BL187" s="156"/>
      <c r="BM187" s="156"/>
      <c r="BN187" s="156"/>
      <c r="BO187" s="156"/>
      <c r="BP187" s="160"/>
      <c r="BQ187" s="160"/>
      <c r="BR187" s="160"/>
      <c r="BS187" s="160"/>
    </row>
    <row r="188" spans="1:71" x14ac:dyDescent="0.25">
      <c r="A188" s="154"/>
      <c r="B188" s="155"/>
      <c r="C188" s="155"/>
      <c r="D188" s="155"/>
      <c r="E188" s="156"/>
      <c r="F188" s="156"/>
      <c r="G188" s="155"/>
      <c r="H188" s="155"/>
      <c r="I188" s="155"/>
      <c r="J188" s="157"/>
      <c r="K188" s="157"/>
      <c r="L188" s="155"/>
      <c r="M188" s="155"/>
      <c r="N188" s="155"/>
      <c r="O188" s="156"/>
      <c r="P188" s="156"/>
      <c r="Q188" s="155"/>
      <c r="R188" s="155"/>
      <c r="S188" s="155"/>
      <c r="T188" s="156"/>
      <c r="U188" s="156"/>
      <c r="V188" s="155"/>
      <c r="W188" s="155"/>
      <c r="X188" s="155"/>
      <c r="Y188" s="155"/>
      <c r="Z188" s="155"/>
      <c r="AA188" s="156"/>
      <c r="AB188" s="156"/>
      <c r="AC188" s="155"/>
      <c r="AD188" s="155"/>
      <c r="AE188" s="155"/>
      <c r="AF188" s="156"/>
      <c r="AG188" s="156"/>
      <c r="AH188" s="155"/>
      <c r="AI188" s="155"/>
      <c r="AJ188" s="155"/>
      <c r="AK188" s="156"/>
      <c r="AL188" s="156"/>
      <c r="AM188" s="155"/>
      <c r="AN188" s="155"/>
      <c r="AO188" s="155"/>
      <c r="AP188" s="156"/>
      <c r="AQ188" s="156"/>
      <c r="AR188" s="155"/>
      <c r="AS188" s="155"/>
      <c r="AT188" s="155"/>
      <c r="AU188" s="156"/>
      <c r="AV188" s="156"/>
      <c r="AW188" s="155"/>
      <c r="AX188" s="155"/>
      <c r="AY188" s="155"/>
      <c r="AZ188" s="156"/>
      <c r="BA188" s="156"/>
      <c r="BB188" s="155"/>
      <c r="BC188" s="155"/>
      <c r="BD188" s="155"/>
      <c r="BE188" s="155"/>
      <c r="BF188" s="155"/>
      <c r="BG188" s="158"/>
      <c r="BH188" s="158"/>
      <c r="BI188" s="155"/>
      <c r="BJ188" s="155"/>
      <c r="BK188" s="159"/>
      <c r="BL188" s="156"/>
      <c r="BM188" s="156"/>
      <c r="BN188" s="156"/>
      <c r="BO188" s="156"/>
      <c r="BP188" s="160"/>
      <c r="BQ188" s="160"/>
      <c r="BR188" s="160"/>
      <c r="BS188" s="160"/>
    </row>
    <row r="189" spans="1:71" x14ac:dyDescent="0.25">
      <c r="A189" s="154"/>
      <c r="B189" s="155"/>
      <c r="C189" s="155"/>
      <c r="D189" s="155"/>
      <c r="E189" s="156"/>
      <c r="F189" s="156"/>
      <c r="G189" s="155"/>
      <c r="H189" s="155"/>
      <c r="I189" s="155"/>
      <c r="J189" s="157"/>
      <c r="K189" s="157"/>
      <c r="L189" s="155"/>
      <c r="M189" s="155"/>
      <c r="N189" s="155"/>
      <c r="O189" s="156"/>
      <c r="P189" s="156"/>
      <c r="Q189" s="155"/>
      <c r="R189" s="155"/>
      <c r="S189" s="155"/>
      <c r="T189" s="156"/>
      <c r="U189" s="156"/>
      <c r="V189" s="155"/>
      <c r="W189" s="155"/>
      <c r="X189" s="155"/>
      <c r="Y189" s="155"/>
      <c r="Z189" s="155"/>
      <c r="AA189" s="156"/>
      <c r="AB189" s="156"/>
      <c r="AC189" s="155"/>
      <c r="AD189" s="155"/>
      <c r="AE189" s="155"/>
      <c r="AF189" s="156"/>
      <c r="AG189" s="156"/>
      <c r="AH189" s="155"/>
      <c r="AI189" s="155"/>
      <c r="AJ189" s="155"/>
      <c r="AK189" s="156"/>
      <c r="AL189" s="156"/>
      <c r="AM189" s="155"/>
      <c r="AN189" s="155"/>
      <c r="AO189" s="155"/>
      <c r="AP189" s="156"/>
      <c r="AQ189" s="156"/>
      <c r="AR189" s="155"/>
      <c r="AS189" s="155"/>
      <c r="AT189" s="155"/>
      <c r="AU189" s="156"/>
      <c r="AV189" s="156"/>
      <c r="AW189" s="155"/>
      <c r="AX189" s="155"/>
      <c r="AY189" s="155"/>
      <c r="AZ189" s="156"/>
      <c r="BA189" s="156"/>
      <c r="BB189" s="155"/>
      <c r="BC189" s="155"/>
      <c r="BD189" s="155"/>
      <c r="BE189" s="155"/>
      <c r="BF189" s="155"/>
      <c r="BG189" s="158"/>
      <c r="BH189" s="158"/>
      <c r="BI189" s="155"/>
      <c r="BJ189" s="155"/>
      <c r="BK189" s="159"/>
      <c r="BL189" s="156"/>
      <c r="BM189" s="156"/>
      <c r="BN189" s="156"/>
      <c r="BO189" s="156"/>
      <c r="BP189" s="160"/>
      <c r="BQ189" s="160"/>
      <c r="BR189" s="160"/>
      <c r="BS189" s="160"/>
    </row>
    <row r="190" spans="1:71" x14ac:dyDescent="0.25">
      <c r="A190" s="154"/>
      <c r="B190" s="155"/>
      <c r="C190" s="155"/>
      <c r="D190" s="155"/>
      <c r="E190" s="156"/>
      <c r="F190" s="156"/>
      <c r="G190" s="155"/>
      <c r="H190" s="155"/>
      <c r="I190" s="155"/>
      <c r="J190" s="157"/>
      <c r="K190" s="157"/>
      <c r="L190" s="155"/>
      <c r="M190" s="155"/>
      <c r="N190" s="155"/>
      <c r="O190" s="156"/>
      <c r="P190" s="156"/>
      <c r="Q190" s="155"/>
      <c r="R190" s="155"/>
      <c r="S190" s="155"/>
      <c r="T190" s="156"/>
      <c r="U190" s="156"/>
      <c r="V190" s="155"/>
      <c r="W190" s="155"/>
      <c r="X190" s="155"/>
      <c r="Y190" s="155"/>
      <c r="Z190" s="155"/>
      <c r="AA190" s="156"/>
      <c r="AB190" s="156"/>
      <c r="AC190" s="155"/>
      <c r="AD190" s="155"/>
      <c r="AE190" s="155"/>
      <c r="AF190" s="156"/>
      <c r="AG190" s="156"/>
      <c r="AH190" s="155"/>
      <c r="AI190" s="155"/>
      <c r="AJ190" s="155"/>
      <c r="AK190" s="156"/>
      <c r="AL190" s="156"/>
      <c r="AM190" s="155"/>
      <c r="AN190" s="155"/>
      <c r="AO190" s="155"/>
      <c r="AP190" s="156"/>
      <c r="AQ190" s="156"/>
      <c r="AR190" s="155"/>
      <c r="AS190" s="155"/>
      <c r="AT190" s="155"/>
      <c r="AU190" s="156"/>
      <c r="AV190" s="156"/>
      <c r="AW190" s="155"/>
      <c r="AX190" s="155"/>
      <c r="AY190" s="155"/>
      <c r="AZ190" s="156"/>
      <c r="BA190" s="156"/>
      <c r="BB190" s="155"/>
      <c r="BC190" s="155"/>
      <c r="BD190" s="155"/>
      <c r="BE190" s="155"/>
      <c r="BF190" s="155"/>
      <c r="BG190" s="158"/>
      <c r="BH190" s="158"/>
      <c r="BI190" s="155"/>
      <c r="BJ190" s="155"/>
      <c r="BK190" s="159"/>
      <c r="BL190" s="156"/>
      <c r="BM190" s="156"/>
      <c r="BN190" s="156"/>
      <c r="BO190" s="156"/>
      <c r="BP190" s="160"/>
      <c r="BQ190" s="160"/>
      <c r="BR190" s="160"/>
      <c r="BS190" s="160"/>
    </row>
    <row r="191" spans="1:71" x14ac:dyDescent="0.25">
      <c r="A191" s="154"/>
      <c r="B191" s="155"/>
      <c r="C191" s="155"/>
      <c r="D191" s="155"/>
      <c r="E191" s="156"/>
      <c r="F191" s="156"/>
      <c r="G191" s="155"/>
      <c r="H191" s="155"/>
      <c r="I191" s="155"/>
      <c r="J191" s="157"/>
      <c r="K191" s="157"/>
      <c r="L191" s="155"/>
      <c r="M191" s="155"/>
      <c r="N191" s="155"/>
      <c r="O191" s="156"/>
      <c r="P191" s="156"/>
      <c r="Q191" s="155"/>
      <c r="R191" s="155"/>
      <c r="S191" s="155"/>
      <c r="T191" s="156"/>
      <c r="U191" s="156"/>
      <c r="V191" s="155"/>
      <c r="W191" s="155"/>
      <c r="X191" s="155"/>
      <c r="Y191" s="155"/>
      <c r="Z191" s="155"/>
      <c r="AA191" s="156"/>
      <c r="AB191" s="156"/>
      <c r="AC191" s="155"/>
      <c r="AD191" s="155"/>
      <c r="AE191" s="155"/>
      <c r="AF191" s="156"/>
      <c r="AG191" s="156"/>
      <c r="AH191" s="155"/>
      <c r="AI191" s="155"/>
      <c r="AJ191" s="155"/>
      <c r="AK191" s="156"/>
      <c r="AL191" s="156"/>
      <c r="AM191" s="155"/>
      <c r="AN191" s="155"/>
      <c r="AO191" s="155"/>
      <c r="AP191" s="156"/>
      <c r="AQ191" s="156"/>
      <c r="AR191" s="155"/>
      <c r="AS191" s="155"/>
      <c r="AT191" s="155"/>
      <c r="AU191" s="156"/>
      <c r="AV191" s="156"/>
      <c r="AW191" s="155"/>
      <c r="AX191" s="155"/>
      <c r="AY191" s="155"/>
      <c r="AZ191" s="156"/>
      <c r="BA191" s="156"/>
      <c r="BB191" s="155"/>
      <c r="BC191" s="155"/>
      <c r="BD191" s="155"/>
      <c r="BE191" s="155"/>
      <c r="BF191" s="155"/>
      <c r="BG191" s="158"/>
      <c r="BH191" s="158"/>
      <c r="BI191" s="155"/>
      <c r="BJ191" s="155"/>
      <c r="BK191" s="159"/>
      <c r="BL191" s="156"/>
      <c r="BM191" s="156"/>
      <c r="BN191" s="156"/>
      <c r="BO191" s="156"/>
      <c r="BP191" s="160"/>
      <c r="BQ191" s="160"/>
      <c r="BR191" s="160"/>
      <c r="BS191" s="160"/>
    </row>
    <row r="192" spans="1:71" x14ac:dyDescent="0.25">
      <c r="A192" s="154"/>
      <c r="B192" s="155"/>
      <c r="C192" s="155"/>
      <c r="D192" s="155"/>
      <c r="E192" s="156"/>
      <c r="F192" s="156"/>
      <c r="G192" s="155"/>
      <c r="H192" s="155"/>
      <c r="I192" s="155"/>
      <c r="J192" s="157"/>
      <c r="K192" s="157"/>
      <c r="L192" s="155"/>
      <c r="M192" s="155"/>
      <c r="N192" s="155"/>
      <c r="O192" s="156"/>
      <c r="P192" s="156"/>
      <c r="Q192" s="155"/>
      <c r="R192" s="155"/>
      <c r="S192" s="155"/>
      <c r="T192" s="156"/>
      <c r="U192" s="156"/>
      <c r="V192" s="155"/>
      <c r="W192" s="155"/>
      <c r="X192" s="155"/>
      <c r="Y192" s="155"/>
      <c r="Z192" s="155"/>
      <c r="AA192" s="156"/>
      <c r="AB192" s="156"/>
      <c r="AC192" s="155"/>
      <c r="AD192" s="155"/>
      <c r="AE192" s="155"/>
      <c r="AF192" s="156"/>
      <c r="AG192" s="156"/>
      <c r="AH192" s="155"/>
      <c r="AI192" s="155"/>
      <c r="AJ192" s="155"/>
      <c r="AK192" s="156"/>
      <c r="AL192" s="156"/>
      <c r="AM192" s="155"/>
      <c r="AN192" s="155"/>
      <c r="AO192" s="155"/>
      <c r="AP192" s="156"/>
      <c r="AQ192" s="156"/>
      <c r="AR192" s="155"/>
      <c r="AS192" s="155"/>
      <c r="AT192" s="155"/>
      <c r="AU192" s="156"/>
      <c r="AV192" s="156"/>
      <c r="AW192" s="155"/>
      <c r="AX192" s="155"/>
      <c r="AY192" s="155"/>
      <c r="AZ192" s="156"/>
      <c r="BA192" s="156"/>
      <c r="BB192" s="155"/>
      <c r="BC192" s="155"/>
      <c r="BD192" s="155"/>
      <c r="BE192" s="155"/>
      <c r="BF192" s="155"/>
      <c r="BG192" s="158"/>
      <c r="BH192" s="158"/>
      <c r="BI192" s="155"/>
      <c r="BJ192" s="155"/>
      <c r="BK192" s="159"/>
      <c r="BL192" s="156"/>
      <c r="BM192" s="156"/>
      <c r="BN192" s="156"/>
      <c r="BO192" s="156"/>
      <c r="BP192" s="160"/>
      <c r="BQ192" s="160"/>
      <c r="BR192" s="160"/>
      <c r="BS192" s="160"/>
    </row>
    <row r="193" spans="1:71" x14ac:dyDescent="0.25">
      <c r="A193" s="154"/>
      <c r="B193" s="155"/>
      <c r="C193" s="155"/>
      <c r="D193" s="155"/>
      <c r="E193" s="156"/>
      <c r="F193" s="156"/>
      <c r="G193" s="155"/>
      <c r="H193" s="155"/>
      <c r="I193" s="155"/>
      <c r="J193" s="157"/>
      <c r="K193" s="157"/>
      <c r="L193" s="155"/>
      <c r="M193" s="155"/>
      <c r="N193" s="155"/>
      <c r="O193" s="156"/>
      <c r="P193" s="156"/>
      <c r="Q193" s="155"/>
      <c r="R193" s="155"/>
      <c r="S193" s="155"/>
      <c r="T193" s="156"/>
      <c r="U193" s="156"/>
      <c r="V193" s="155"/>
      <c r="W193" s="155"/>
      <c r="X193" s="155"/>
      <c r="Y193" s="155"/>
      <c r="Z193" s="155"/>
      <c r="AA193" s="156"/>
      <c r="AB193" s="156"/>
      <c r="AC193" s="155"/>
      <c r="AD193" s="155"/>
      <c r="AE193" s="155"/>
      <c r="AF193" s="156"/>
      <c r="AG193" s="156"/>
      <c r="AH193" s="155"/>
      <c r="AI193" s="155"/>
      <c r="AJ193" s="155"/>
      <c r="AK193" s="156"/>
      <c r="AL193" s="156"/>
      <c r="AM193" s="155"/>
      <c r="AN193" s="155"/>
      <c r="AO193" s="155"/>
      <c r="AP193" s="156"/>
      <c r="AQ193" s="156"/>
      <c r="AR193" s="155"/>
      <c r="AS193" s="155"/>
      <c r="AT193" s="155"/>
      <c r="AU193" s="156"/>
      <c r="AV193" s="156"/>
      <c r="AW193" s="155"/>
      <c r="AX193" s="155"/>
      <c r="AY193" s="155"/>
      <c r="AZ193" s="156"/>
      <c r="BA193" s="156"/>
      <c r="BB193" s="155"/>
      <c r="BC193" s="155"/>
      <c r="BD193" s="155"/>
      <c r="BE193" s="155"/>
      <c r="BF193" s="155"/>
      <c r="BG193" s="158"/>
      <c r="BH193" s="158"/>
      <c r="BI193" s="155"/>
      <c r="BJ193" s="155"/>
      <c r="BK193" s="159"/>
      <c r="BL193" s="156"/>
      <c r="BM193" s="156"/>
      <c r="BN193" s="156"/>
      <c r="BO193" s="156"/>
      <c r="BP193" s="160"/>
      <c r="BQ193" s="160"/>
      <c r="BR193" s="160"/>
      <c r="BS193" s="160"/>
    </row>
    <row r="194" spans="1:71" x14ac:dyDescent="0.25">
      <c r="A194" s="154"/>
      <c r="B194" s="155"/>
      <c r="C194" s="155"/>
      <c r="D194" s="155"/>
      <c r="E194" s="156"/>
      <c r="F194" s="156"/>
      <c r="G194" s="155"/>
      <c r="H194" s="155"/>
      <c r="I194" s="155"/>
      <c r="J194" s="157"/>
      <c r="K194" s="157"/>
      <c r="L194" s="155"/>
      <c r="M194" s="155"/>
      <c r="N194" s="155"/>
      <c r="O194" s="156"/>
      <c r="P194" s="156"/>
      <c r="Q194" s="155"/>
      <c r="R194" s="155"/>
      <c r="S194" s="155"/>
      <c r="T194" s="156"/>
      <c r="U194" s="156"/>
      <c r="V194" s="155"/>
      <c r="W194" s="155"/>
      <c r="X194" s="155"/>
      <c r="Y194" s="155"/>
      <c r="Z194" s="155"/>
      <c r="AA194" s="156"/>
      <c r="AB194" s="156"/>
      <c r="AC194" s="155"/>
      <c r="AD194" s="155"/>
      <c r="AE194" s="155"/>
      <c r="AF194" s="156"/>
      <c r="AG194" s="156"/>
      <c r="AH194" s="155"/>
      <c r="AI194" s="155"/>
      <c r="AJ194" s="155"/>
      <c r="AK194" s="156"/>
      <c r="AL194" s="156"/>
      <c r="AM194" s="155"/>
      <c r="AN194" s="155"/>
      <c r="AO194" s="155"/>
      <c r="AP194" s="156"/>
      <c r="AQ194" s="156"/>
      <c r="AR194" s="155"/>
      <c r="AS194" s="155"/>
      <c r="AT194" s="155"/>
      <c r="AU194" s="156"/>
      <c r="AV194" s="156"/>
      <c r="AW194" s="155"/>
      <c r="AX194" s="155"/>
      <c r="AY194" s="155"/>
      <c r="AZ194" s="156"/>
      <c r="BA194" s="156"/>
      <c r="BB194" s="155"/>
      <c r="BC194" s="155"/>
      <c r="BD194" s="155"/>
      <c r="BE194" s="155"/>
      <c r="BF194" s="155"/>
      <c r="BG194" s="158"/>
      <c r="BH194" s="158"/>
      <c r="BI194" s="155"/>
      <c r="BJ194" s="155"/>
      <c r="BK194" s="159"/>
      <c r="BL194" s="156"/>
      <c r="BM194" s="156"/>
      <c r="BN194" s="156"/>
      <c r="BO194" s="156"/>
      <c r="BP194" s="160"/>
      <c r="BQ194" s="160"/>
      <c r="BR194" s="160"/>
      <c r="BS194" s="160"/>
    </row>
    <row r="195" spans="1:71" x14ac:dyDescent="0.25">
      <c r="A195" s="154"/>
      <c r="B195" s="155"/>
      <c r="C195" s="155"/>
      <c r="D195" s="155"/>
      <c r="E195" s="156"/>
      <c r="F195" s="156"/>
      <c r="G195" s="155"/>
      <c r="H195" s="155"/>
      <c r="I195" s="155"/>
      <c r="J195" s="157"/>
      <c r="K195" s="157"/>
      <c r="L195" s="155"/>
      <c r="M195" s="155"/>
      <c r="N195" s="155"/>
      <c r="O195" s="156"/>
      <c r="P195" s="156"/>
      <c r="Q195" s="155"/>
      <c r="R195" s="155"/>
      <c r="S195" s="155"/>
      <c r="T195" s="156"/>
      <c r="U195" s="156"/>
      <c r="V195" s="155"/>
      <c r="W195" s="155"/>
      <c r="X195" s="155"/>
      <c r="Y195" s="155"/>
      <c r="Z195" s="155"/>
      <c r="AA195" s="156"/>
      <c r="AB195" s="156"/>
      <c r="AC195" s="155"/>
      <c r="AD195" s="155"/>
      <c r="AE195" s="155"/>
      <c r="AF195" s="156"/>
      <c r="AG195" s="156"/>
      <c r="AH195" s="155"/>
      <c r="AI195" s="155"/>
      <c r="AJ195" s="155"/>
      <c r="AK195" s="156"/>
      <c r="AL195" s="156"/>
      <c r="AM195" s="155"/>
      <c r="AN195" s="155"/>
      <c r="AO195" s="155"/>
      <c r="AP195" s="156"/>
      <c r="AQ195" s="156"/>
      <c r="AR195" s="155"/>
      <c r="AS195" s="155"/>
      <c r="AT195" s="155"/>
      <c r="AU195" s="156"/>
      <c r="AV195" s="156"/>
      <c r="AW195" s="155"/>
      <c r="AX195" s="155"/>
      <c r="AY195" s="155"/>
      <c r="AZ195" s="156"/>
      <c r="BA195" s="156"/>
      <c r="BB195" s="155"/>
      <c r="BC195" s="155"/>
      <c r="BD195" s="155"/>
      <c r="BE195" s="155"/>
      <c r="BF195" s="155"/>
      <c r="BG195" s="158"/>
      <c r="BH195" s="158"/>
      <c r="BI195" s="155"/>
      <c r="BJ195" s="155"/>
      <c r="BK195" s="159"/>
      <c r="BL195" s="156"/>
      <c r="BM195" s="156"/>
      <c r="BN195" s="156"/>
      <c r="BO195" s="156"/>
      <c r="BP195" s="160"/>
      <c r="BQ195" s="160"/>
      <c r="BR195" s="160"/>
      <c r="BS195" s="160"/>
    </row>
    <row r="196" spans="1:71" x14ac:dyDescent="0.25">
      <c r="A196" s="154"/>
      <c r="B196" s="155"/>
      <c r="C196" s="155"/>
      <c r="D196" s="155"/>
      <c r="E196" s="156"/>
      <c r="F196" s="156"/>
      <c r="G196" s="155"/>
      <c r="H196" s="155"/>
      <c r="I196" s="155"/>
      <c r="J196" s="157"/>
      <c r="K196" s="157"/>
      <c r="L196" s="155"/>
      <c r="M196" s="155"/>
      <c r="N196" s="155"/>
      <c r="O196" s="156"/>
      <c r="P196" s="156"/>
      <c r="Q196" s="155"/>
      <c r="R196" s="155"/>
      <c r="S196" s="155"/>
      <c r="T196" s="156"/>
      <c r="U196" s="156"/>
      <c r="V196" s="155"/>
      <c r="W196" s="155"/>
      <c r="X196" s="155"/>
      <c r="Y196" s="155"/>
      <c r="Z196" s="155"/>
      <c r="AA196" s="156"/>
      <c r="AB196" s="156"/>
      <c r="AC196" s="155"/>
      <c r="AD196" s="155"/>
      <c r="AE196" s="155"/>
      <c r="AF196" s="156"/>
      <c r="AG196" s="156"/>
      <c r="AH196" s="155"/>
      <c r="AI196" s="155"/>
      <c r="AJ196" s="155"/>
      <c r="AK196" s="156"/>
      <c r="AL196" s="156"/>
      <c r="AM196" s="155"/>
      <c r="AN196" s="155"/>
      <c r="AO196" s="155"/>
      <c r="AP196" s="156"/>
      <c r="AQ196" s="156"/>
      <c r="AR196" s="155"/>
      <c r="AS196" s="155"/>
      <c r="AT196" s="155"/>
      <c r="AU196" s="156"/>
      <c r="AV196" s="156"/>
      <c r="AW196" s="155"/>
      <c r="AX196" s="155"/>
      <c r="AY196" s="155"/>
      <c r="AZ196" s="156"/>
      <c r="BA196" s="156"/>
      <c r="BB196" s="155"/>
      <c r="BC196" s="155"/>
      <c r="BD196" s="155"/>
      <c r="BE196" s="155"/>
      <c r="BF196" s="155"/>
      <c r="BG196" s="158"/>
      <c r="BH196" s="158"/>
      <c r="BI196" s="155"/>
      <c r="BJ196" s="155"/>
      <c r="BK196" s="159"/>
      <c r="BL196" s="156"/>
      <c r="BM196" s="156"/>
      <c r="BN196" s="156"/>
      <c r="BO196" s="156"/>
      <c r="BP196" s="160"/>
      <c r="BQ196" s="160"/>
      <c r="BR196" s="160"/>
      <c r="BS196" s="160"/>
    </row>
    <row r="197" spans="1:71" x14ac:dyDescent="0.25">
      <c r="A197" s="154"/>
      <c r="B197" s="155"/>
      <c r="C197" s="155"/>
      <c r="D197" s="155"/>
      <c r="E197" s="156"/>
      <c r="F197" s="156"/>
      <c r="G197" s="155"/>
      <c r="H197" s="155"/>
      <c r="I197" s="155"/>
      <c r="J197" s="157"/>
      <c r="K197" s="157"/>
      <c r="L197" s="155"/>
      <c r="M197" s="155"/>
      <c r="N197" s="155"/>
      <c r="O197" s="156"/>
      <c r="P197" s="156"/>
      <c r="Q197" s="155"/>
      <c r="R197" s="155"/>
      <c r="S197" s="155"/>
      <c r="T197" s="156"/>
      <c r="U197" s="156"/>
      <c r="V197" s="155"/>
      <c r="W197" s="155"/>
      <c r="X197" s="155"/>
      <c r="Y197" s="155"/>
      <c r="Z197" s="155"/>
      <c r="AA197" s="156"/>
      <c r="AB197" s="156"/>
      <c r="AC197" s="155"/>
      <c r="AD197" s="155"/>
      <c r="AE197" s="155"/>
      <c r="AF197" s="156"/>
      <c r="AG197" s="156"/>
      <c r="AH197" s="155"/>
      <c r="AI197" s="155"/>
      <c r="AJ197" s="155"/>
      <c r="AK197" s="156"/>
      <c r="AL197" s="156"/>
      <c r="AM197" s="155"/>
      <c r="AN197" s="155"/>
      <c r="AO197" s="155"/>
      <c r="AP197" s="156"/>
      <c r="AQ197" s="156"/>
      <c r="AR197" s="155"/>
      <c r="AS197" s="155"/>
      <c r="AT197" s="155"/>
      <c r="AU197" s="156"/>
      <c r="AV197" s="156"/>
      <c r="AW197" s="155"/>
      <c r="AX197" s="155"/>
      <c r="AY197" s="155"/>
      <c r="AZ197" s="156"/>
      <c r="BA197" s="156"/>
      <c r="BB197" s="155"/>
      <c r="BC197" s="155"/>
      <c r="BD197" s="155"/>
      <c r="BE197" s="155"/>
      <c r="BF197" s="155"/>
      <c r="BG197" s="158"/>
      <c r="BH197" s="158"/>
      <c r="BI197" s="155"/>
      <c r="BJ197" s="155"/>
      <c r="BK197" s="159"/>
      <c r="BL197" s="156"/>
      <c r="BM197" s="156"/>
      <c r="BN197" s="156"/>
      <c r="BO197" s="156"/>
      <c r="BP197" s="160"/>
      <c r="BQ197" s="160"/>
      <c r="BR197" s="160"/>
      <c r="BS197" s="160"/>
    </row>
    <row r="198" spans="1:71" x14ac:dyDescent="0.25">
      <c r="A198" s="154"/>
      <c r="B198" s="155"/>
      <c r="C198" s="155"/>
      <c r="D198" s="155"/>
      <c r="E198" s="156"/>
      <c r="F198" s="156"/>
      <c r="G198" s="155"/>
      <c r="H198" s="155"/>
      <c r="I198" s="155"/>
      <c r="J198" s="157"/>
      <c r="K198" s="157"/>
      <c r="L198" s="155"/>
      <c r="M198" s="155"/>
      <c r="N198" s="155"/>
      <c r="O198" s="156"/>
      <c r="P198" s="156"/>
      <c r="Q198" s="155"/>
      <c r="R198" s="155"/>
      <c r="S198" s="155"/>
      <c r="T198" s="156"/>
      <c r="U198" s="156"/>
      <c r="V198" s="155"/>
      <c r="W198" s="155"/>
      <c r="X198" s="155"/>
      <c r="Y198" s="155"/>
      <c r="Z198" s="155"/>
      <c r="AA198" s="156"/>
      <c r="AB198" s="156"/>
      <c r="AC198" s="155"/>
      <c r="AD198" s="155"/>
      <c r="AE198" s="155"/>
      <c r="AF198" s="156"/>
      <c r="AG198" s="156"/>
      <c r="AH198" s="155"/>
      <c r="AI198" s="155"/>
      <c r="AJ198" s="155"/>
      <c r="AK198" s="156"/>
      <c r="AL198" s="156"/>
      <c r="AM198" s="155"/>
      <c r="AN198" s="155"/>
      <c r="AO198" s="155"/>
      <c r="AP198" s="156"/>
      <c r="AQ198" s="156"/>
      <c r="AR198" s="155"/>
      <c r="AS198" s="155"/>
      <c r="AT198" s="155"/>
      <c r="AU198" s="156"/>
      <c r="AV198" s="156"/>
      <c r="AW198" s="155"/>
      <c r="AX198" s="155"/>
      <c r="AY198" s="155"/>
      <c r="AZ198" s="156"/>
      <c r="BA198" s="156"/>
      <c r="BB198" s="155"/>
      <c r="BC198" s="155"/>
      <c r="BD198" s="155"/>
      <c r="BE198" s="155"/>
      <c r="BF198" s="155"/>
      <c r="BG198" s="158"/>
      <c r="BH198" s="158"/>
      <c r="BI198" s="155"/>
      <c r="BJ198" s="155"/>
      <c r="BK198" s="159"/>
      <c r="BL198" s="156"/>
      <c r="BM198" s="156"/>
      <c r="BN198" s="156"/>
      <c r="BO198" s="156"/>
      <c r="BP198" s="160"/>
      <c r="BQ198" s="160"/>
      <c r="BR198" s="160"/>
      <c r="BS198" s="160"/>
    </row>
    <row r="199" spans="1:71" x14ac:dyDescent="0.25">
      <c r="A199" s="154"/>
      <c r="B199" s="155"/>
      <c r="C199" s="155"/>
      <c r="D199" s="155"/>
      <c r="E199" s="156"/>
      <c r="F199" s="156"/>
      <c r="G199" s="155"/>
      <c r="H199" s="155"/>
      <c r="I199" s="155"/>
      <c r="J199" s="157"/>
      <c r="K199" s="157"/>
      <c r="L199" s="155"/>
      <c r="M199" s="155"/>
      <c r="N199" s="155"/>
      <c r="O199" s="156"/>
      <c r="P199" s="156"/>
      <c r="Q199" s="155"/>
      <c r="R199" s="155"/>
      <c r="S199" s="155"/>
      <c r="T199" s="156"/>
      <c r="U199" s="156"/>
      <c r="V199" s="155"/>
      <c r="W199" s="155"/>
      <c r="X199" s="155"/>
      <c r="Y199" s="155"/>
      <c r="Z199" s="155"/>
      <c r="AA199" s="156"/>
      <c r="AB199" s="156"/>
      <c r="AC199" s="155"/>
      <c r="AD199" s="155"/>
      <c r="AE199" s="155"/>
      <c r="AF199" s="156"/>
      <c r="AG199" s="156"/>
      <c r="AH199" s="155"/>
      <c r="AI199" s="155"/>
      <c r="AJ199" s="155"/>
      <c r="AK199" s="156"/>
      <c r="AL199" s="156"/>
      <c r="AM199" s="155"/>
      <c r="AN199" s="155"/>
      <c r="AO199" s="155"/>
      <c r="AP199" s="156"/>
      <c r="AQ199" s="156"/>
      <c r="AR199" s="155"/>
      <c r="AS199" s="155"/>
      <c r="AT199" s="155"/>
      <c r="AU199" s="156"/>
      <c r="AV199" s="156"/>
      <c r="AW199" s="155"/>
      <c r="AX199" s="155"/>
      <c r="AY199" s="155"/>
      <c r="AZ199" s="156"/>
      <c r="BA199" s="156"/>
      <c r="BB199" s="155"/>
      <c r="BC199" s="155"/>
      <c r="BD199" s="155"/>
      <c r="BE199" s="155"/>
      <c r="BF199" s="155"/>
      <c r="BG199" s="158"/>
      <c r="BH199" s="158"/>
      <c r="BI199" s="155"/>
      <c r="BJ199" s="155"/>
      <c r="BK199" s="159"/>
      <c r="BL199" s="156"/>
      <c r="BM199" s="156"/>
      <c r="BN199" s="156"/>
      <c r="BO199" s="156"/>
      <c r="BP199" s="160"/>
      <c r="BQ199" s="160"/>
      <c r="BR199" s="160"/>
      <c r="BS199" s="160"/>
    </row>
    <row r="200" spans="1:71" x14ac:dyDescent="0.25">
      <c r="A200" s="154"/>
      <c r="B200" s="155"/>
      <c r="C200" s="155"/>
      <c r="D200" s="155"/>
      <c r="E200" s="156"/>
      <c r="F200" s="156"/>
      <c r="G200" s="155"/>
      <c r="H200" s="155"/>
      <c r="I200" s="155"/>
      <c r="J200" s="157"/>
      <c r="K200" s="157"/>
      <c r="L200" s="155"/>
      <c r="M200" s="155"/>
      <c r="N200" s="155"/>
      <c r="O200" s="156"/>
      <c r="P200" s="156"/>
      <c r="Q200" s="155"/>
      <c r="R200" s="155"/>
      <c r="S200" s="155"/>
      <c r="T200" s="156"/>
      <c r="U200" s="156"/>
      <c r="V200" s="155"/>
      <c r="W200" s="155"/>
      <c r="X200" s="155"/>
      <c r="Y200" s="155"/>
      <c r="Z200" s="155"/>
      <c r="AA200" s="156"/>
      <c r="AB200" s="156"/>
      <c r="AC200" s="155"/>
      <c r="AD200" s="155"/>
      <c r="AE200" s="155"/>
      <c r="AF200" s="156"/>
      <c r="AG200" s="156"/>
      <c r="AH200" s="155"/>
      <c r="AI200" s="155"/>
      <c r="AJ200" s="155"/>
      <c r="AK200" s="156"/>
      <c r="AL200" s="156"/>
      <c r="AM200" s="155"/>
      <c r="AN200" s="155"/>
      <c r="AO200" s="155"/>
      <c r="AP200" s="156"/>
      <c r="AQ200" s="156"/>
      <c r="AR200" s="155"/>
      <c r="AS200" s="155"/>
      <c r="AT200" s="155"/>
      <c r="AU200" s="156"/>
      <c r="AV200" s="156"/>
      <c r="AW200" s="155"/>
      <c r="AX200" s="155"/>
      <c r="AY200" s="155"/>
      <c r="AZ200" s="156"/>
      <c r="BA200" s="156"/>
      <c r="BB200" s="155"/>
      <c r="BC200" s="155"/>
      <c r="BD200" s="155"/>
      <c r="BE200" s="155"/>
      <c r="BF200" s="155"/>
      <c r="BG200" s="158"/>
      <c r="BH200" s="158"/>
      <c r="BI200" s="155"/>
      <c r="BJ200" s="155"/>
      <c r="BK200" s="159"/>
      <c r="BL200" s="156"/>
      <c r="BM200" s="156"/>
      <c r="BN200" s="156"/>
      <c r="BO200" s="156"/>
      <c r="BP200" s="160"/>
      <c r="BQ200" s="160"/>
      <c r="BR200" s="160"/>
      <c r="BS200" s="160"/>
    </row>
    <row r="201" spans="1:71" x14ac:dyDescent="0.25">
      <c r="A201" s="154"/>
      <c r="B201" s="155"/>
      <c r="C201" s="155"/>
      <c r="D201" s="155"/>
      <c r="E201" s="156"/>
      <c r="F201" s="156"/>
      <c r="G201" s="155"/>
      <c r="H201" s="155"/>
      <c r="I201" s="155"/>
      <c r="J201" s="157"/>
      <c r="K201" s="157"/>
      <c r="L201" s="155"/>
      <c r="M201" s="155"/>
      <c r="N201" s="155"/>
      <c r="O201" s="156"/>
      <c r="P201" s="156"/>
      <c r="Q201" s="155"/>
      <c r="R201" s="155"/>
      <c r="S201" s="155"/>
      <c r="T201" s="156"/>
      <c r="U201" s="156"/>
      <c r="V201" s="155"/>
      <c r="W201" s="155"/>
      <c r="X201" s="155"/>
      <c r="Y201" s="155"/>
      <c r="Z201" s="155"/>
      <c r="AA201" s="156"/>
      <c r="AB201" s="156"/>
      <c r="AC201" s="155"/>
      <c r="AD201" s="155"/>
      <c r="AE201" s="155"/>
      <c r="AF201" s="156"/>
      <c r="AG201" s="156"/>
      <c r="AH201" s="155"/>
      <c r="AI201" s="155"/>
      <c r="AJ201" s="155"/>
      <c r="AK201" s="156"/>
      <c r="AL201" s="156"/>
      <c r="AM201" s="155"/>
      <c r="AN201" s="155"/>
      <c r="AO201" s="155"/>
      <c r="AP201" s="156"/>
      <c r="AQ201" s="156"/>
      <c r="AR201" s="155"/>
      <c r="AS201" s="155"/>
      <c r="AT201" s="155"/>
      <c r="AU201" s="156"/>
      <c r="AV201" s="156"/>
      <c r="AW201" s="155"/>
      <c r="AX201" s="155"/>
      <c r="AY201" s="155"/>
      <c r="AZ201" s="156"/>
      <c r="BA201" s="156"/>
      <c r="BB201" s="155"/>
      <c r="BC201" s="155"/>
      <c r="BD201" s="155"/>
      <c r="BE201" s="155"/>
      <c r="BF201" s="155"/>
      <c r="BG201" s="158"/>
      <c r="BH201" s="158"/>
      <c r="BI201" s="155"/>
      <c r="BJ201" s="155"/>
      <c r="BK201" s="159"/>
      <c r="BL201" s="156"/>
      <c r="BM201" s="156"/>
      <c r="BN201" s="156"/>
      <c r="BO201" s="156"/>
      <c r="BP201" s="160"/>
      <c r="BQ201" s="160"/>
      <c r="BR201" s="160"/>
      <c r="BS201" s="160"/>
    </row>
    <row r="202" spans="1:71" x14ac:dyDescent="0.25">
      <c r="A202" s="154"/>
      <c r="B202" s="155"/>
      <c r="C202" s="155"/>
      <c r="D202" s="155"/>
      <c r="E202" s="156"/>
      <c r="F202" s="156"/>
      <c r="G202" s="155"/>
      <c r="H202" s="155"/>
      <c r="I202" s="155"/>
      <c r="J202" s="157"/>
      <c r="K202" s="157"/>
      <c r="L202" s="155"/>
      <c r="M202" s="155"/>
      <c r="N202" s="155"/>
      <c r="O202" s="156"/>
      <c r="P202" s="156"/>
      <c r="Q202" s="155"/>
      <c r="R202" s="155"/>
      <c r="S202" s="155"/>
      <c r="T202" s="156"/>
      <c r="U202" s="156"/>
      <c r="V202" s="155"/>
      <c r="W202" s="155"/>
      <c r="X202" s="155"/>
      <c r="Y202" s="155"/>
      <c r="Z202" s="155"/>
      <c r="AA202" s="156"/>
      <c r="AB202" s="156"/>
      <c r="AC202" s="155"/>
      <c r="AD202" s="155"/>
      <c r="AE202" s="155"/>
      <c r="AF202" s="156"/>
      <c r="AG202" s="156"/>
      <c r="AH202" s="155"/>
      <c r="AI202" s="155"/>
      <c r="AJ202" s="155"/>
      <c r="AK202" s="156"/>
      <c r="AL202" s="156"/>
      <c r="AM202" s="155"/>
      <c r="AN202" s="155"/>
      <c r="AO202" s="155"/>
      <c r="AP202" s="156"/>
      <c r="AQ202" s="156"/>
      <c r="AR202" s="155"/>
      <c r="AS202" s="155"/>
      <c r="AT202" s="155"/>
      <c r="AU202" s="156"/>
      <c r="AV202" s="156"/>
      <c r="AW202" s="155"/>
      <c r="AX202" s="155"/>
      <c r="AY202" s="155"/>
      <c r="AZ202" s="156"/>
      <c r="BA202" s="156"/>
      <c r="BB202" s="155"/>
      <c r="BC202" s="155"/>
      <c r="BD202" s="155"/>
      <c r="BE202" s="155"/>
      <c r="BF202" s="155"/>
      <c r="BG202" s="158"/>
      <c r="BH202" s="158"/>
      <c r="BI202" s="155"/>
      <c r="BJ202" s="155"/>
      <c r="BK202" s="159"/>
      <c r="BL202" s="156"/>
      <c r="BM202" s="156"/>
      <c r="BN202" s="156"/>
      <c r="BO202" s="156"/>
      <c r="BP202" s="160"/>
      <c r="BQ202" s="160"/>
      <c r="BR202" s="160"/>
      <c r="BS202" s="160"/>
    </row>
    <row r="203" spans="1:71" x14ac:dyDescent="0.25">
      <c r="A203" s="154"/>
      <c r="B203" s="155"/>
      <c r="C203" s="155"/>
      <c r="D203" s="155"/>
      <c r="E203" s="156"/>
      <c r="F203" s="156"/>
      <c r="G203" s="155"/>
      <c r="H203" s="155"/>
      <c r="I203" s="155"/>
      <c r="J203" s="157"/>
      <c r="K203" s="157"/>
      <c r="L203" s="155"/>
      <c r="M203" s="155"/>
      <c r="N203" s="155"/>
      <c r="O203" s="156"/>
      <c r="P203" s="156"/>
      <c r="Q203" s="155"/>
      <c r="R203" s="155"/>
      <c r="S203" s="155"/>
      <c r="T203" s="156"/>
      <c r="U203" s="156"/>
      <c r="V203" s="155"/>
      <c r="W203" s="155"/>
      <c r="X203" s="155"/>
      <c r="Y203" s="155"/>
      <c r="Z203" s="155"/>
      <c r="AA203" s="156"/>
      <c r="AB203" s="156"/>
      <c r="AC203" s="155"/>
      <c r="AD203" s="155"/>
      <c r="AE203" s="155"/>
      <c r="AF203" s="156"/>
      <c r="AG203" s="156"/>
      <c r="AH203" s="155"/>
      <c r="AI203" s="155"/>
      <c r="AJ203" s="155"/>
      <c r="AK203" s="156"/>
      <c r="AL203" s="156"/>
      <c r="AM203" s="155"/>
      <c r="AN203" s="155"/>
      <c r="AO203" s="155"/>
      <c r="AP203" s="156"/>
      <c r="AQ203" s="156"/>
      <c r="AR203" s="155"/>
      <c r="AS203" s="155"/>
      <c r="AT203" s="155"/>
      <c r="AU203" s="156"/>
      <c r="AV203" s="156"/>
      <c r="AW203" s="155"/>
      <c r="AX203" s="155"/>
      <c r="AY203" s="155"/>
      <c r="AZ203" s="156"/>
      <c r="BA203" s="156"/>
      <c r="BB203" s="155"/>
      <c r="BC203" s="155"/>
      <c r="BD203" s="155"/>
      <c r="BE203" s="155"/>
      <c r="BF203" s="155"/>
      <c r="BG203" s="158"/>
      <c r="BH203" s="158"/>
      <c r="BI203" s="155"/>
      <c r="BJ203" s="155"/>
      <c r="BK203" s="159"/>
      <c r="BL203" s="156"/>
      <c r="BM203" s="156"/>
      <c r="BN203" s="156"/>
      <c r="BO203" s="156"/>
      <c r="BP203" s="160"/>
      <c r="BQ203" s="160"/>
      <c r="BR203" s="160"/>
      <c r="BS203" s="160"/>
    </row>
    <row r="204" spans="1:71" x14ac:dyDescent="0.25">
      <c r="A204" s="154"/>
      <c r="B204" s="155"/>
      <c r="C204" s="155"/>
      <c r="D204" s="155"/>
      <c r="E204" s="156"/>
      <c r="F204" s="156"/>
      <c r="G204" s="155"/>
      <c r="H204" s="155"/>
      <c r="I204" s="155"/>
      <c r="J204" s="157"/>
      <c r="K204" s="157"/>
      <c r="L204" s="155"/>
      <c r="M204" s="155"/>
      <c r="N204" s="155"/>
      <c r="O204" s="156"/>
      <c r="P204" s="156"/>
      <c r="Q204" s="155"/>
      <c r="R204" s="155"/>
      <c r="S204" s="155"/>
      <c r="T204" s="156"/>
      <c r="U204" s="156"/>
      <c r="V204" s="155"/>
      <c r="W204" s="155"/>
      <c r="X204" s="155"/>
      <c r="Y204" s="155"/>
      <c r="Z204" s="155"/>
      <c r="AA204" s="156"/>
      <c r="AB204" s="156"/>
      <c r="AC204" s="155"/>
      <c r="AD204" s="155"/>
      <c r="AE204" s="155"/>
      <c r="AF204" s="156"/>
      <c r="AG204" s="156"/>
      <c r="AH204" s="155"/>
      <c r="AI204" s="155"/>
      <c r="AJ204" s="155"/>
      <c r="AK204" s="156"/>
      <c r="AL204" s="156"/>
      <c r="AM204" s="155"/>
      <c r="AN204" s="155"/>
      <c r="AO204" s="155"/>
      <c r="AP204" s="156"/>
      <c r="AQ204" s="156"/>
      <c r="AR204" s="155"/>
      <c r="AS204" s="155"/>
      <c r="AT204" s="155"/>
      <c r="AU204" s="156"/>
      <c r="AV204" s="156"/>
      <c r="AW204" s="155"/>
      <c r="AX204" s="155"/>
      <c r="AY204" s="155"/>
      <c r="AZ204" s="156"/>
      <c r="BA204" s="156"/>
      <c r="BB204" s="155"/>
      <c r="BC204" s="155"/>
      <c r="BD204" s="155"/>
      <c r="BE204" s="155"/>
      <c r="BF204" s="155"/>
      <c r="BG204" s="158"/>
      <c r="BH204" s="158"/>
      <c r="BI204" s="155"/>
      <c r="BJ204" s="155"/>
      <c r="BK204" s="159"/>
      <c r="BL204" s="156"/>
      <c r="BM204" s="156"/>
      <c r="BN204" s="156"/>
      <c r="BO204" s="156"/>
      <c r="BP204" s="160"/>
      <c r="BQ204" s="160"/>
      <c r="BR204" s="160"/>
      <c r="BS204" s="160"/>
    </row>
    <row r="205" spans="1:71" x14ac:dyDescent="0.25">
      <c r="A205" s="154"/>
      <c r="B205" s="155"/>
      <c r="C205" s="155"/>
      <c r="D205" s="155"/>
      <c r="E205" s="156"/>
      <c r="F205" s="156"/>
      <c r="G205" s="155"/>
      <c r="H205" s="155"/>
      <c r="I205" s="155"/>
      <c r="J205" s="157"/>
      <c r="K205" s="157"/>
      <c r="L205" s="155"/>
      <c r="M205" s="155"/>
      <c r="N205" s="155"/>
      <c r="O205" s="156"/>
      <c r="P205" s="156"/>
      <c r="Q205" s="155"/>
      <c r="R205" s="155"/>
      <c r="S205" s="155"/>
      <c r="T205" s="156"/>
      <c r="U205" s="156"/>
      <c r="V205" s="155"/>
      <c r="W205" s="155"/>
      <c r="X205" s="155"/>
      <c r="Y205" s="155"/>
      <c r="Z205" s="155"/>
      <c r="AA205" s="156"/>
      <c r="AB205" s="156"/>
      <c r="AC205" s="155"/>
      <c r="AD205" s="155"/>
      <c r="AE205" s="155"/>
      <c r="AF205" s="156"/>
      <c r="AG205" s="156"/>
      <c r="AH205" s="155"/>
      <c r="AI205" s="155"/>
      <c r="AJ205" s="155"/>
      <c r="AK205" s="156"/>
      <c r="AL205" s="156"/>
      <c r="AM205" s="155"/>
      <c r="AN205" s="155"/>
      <c r="AO205" s="155"/>
      <c r="AP205" s="156"/>
      <c r="AQ205" s="156"/>
      <c r="AR205" s="155"/>
      <c r="AS205" s="155"/>
      <c r="AT205" s="155"/>
      <c r="AU205" s="156"/>
      <c r="AV205" s="156"/>
      <c r="AW205" s="155"/>
      <c r="AX205" s="155"/>
      <c r="AY205" s="155"/>
      <c r="AZ205" s="156"/>
      <c r="BA205" s="156"/>
      <c r="BB205" s="155"/>
      <c r="BC205" s="155"/>
      <c r="BD205" s="155"/>
      <c r="BE205" s="155"/>
      <c r="BF205" s="155"/>
      <c r="BG205" s="158"/>
      <c r="BH205" s="158"/>
      <c r="BI205" s="155"/>
      <c r="BJ205" s="155"/>
      <c r="BK205" s="159"/>
      <c r="BL205" s="156"/>
      <c r="BM205" s="156"/>
      <c r="BN205" s="156"/>
      <c r="BO205" s="156"/>
      <c r="BP205" s="160"/>
      <c r="BQ205" s="160"/>
      <c r="BR205" s="160"/>
      <c r="BS205" s="160"/>
    </row>
    <row r="206" spans="1:71" x14ac:dyDescent="0.25">
      <c r="A206" s="154"/>
      <c r="B206" s="155"/>
      <c r="C206" s="155"/>
      <c r="D206" s="155"/>
      <c r="E206" s="156"/>
      <c r="F206" s="156"/>
      <c r="G206" s="155"/>
      <c r="H206" s="155"/>
      <c r="I206" s="155"/>
      <c r="J206" s="157"/>
      <c r="K206" s="157"/>
      <c r="L206" s="155"/>
      <c r="M206" s="155"/>
      <c r="N206" s="155"/>
      <c r="O206" s="156"/>
      <c r="P206" s="156"/>
      <c r="Q206" s="155"/>
      <c r="R206" s="155"/>
      <c r="S206" s="155"/>
      <c r="T206" s="156"/>
      <c r="U206" s="156"/>
      <c r="V206" s="155"/>
      <c r="W206" s="155"/>
      <c r="X206" s="155"/>
      <c r="Y206" s="155"/>
      <c r="Z206" s="155"/>
      <c r="AA206" s="156"/>
      <c r="AB206" s="156"/>
      <c r="AC206" s="155"/>
      <c r="AD206" s="155"/>
      <c r="AE206" s="155"/>
      <c r="AF206" s="156"/>
      <c r="AG206" s="156"/>
      <c r="AH206" s="155"/>
      <c r="AI206" s="155"/>
      <c r="AJ206" s="155"/>
      <c r="AK206" s="156"/>
      <c r="AL206" s="156"/>
      <c r="AM206" s="155"/>
      <c r="AN206" s="155"/>
      <c r="AO206" s="155"/>
      <c r="AP206" s="156"/>
      <c r="AQ206" s="156"/>
      <c r="AR206" s="155"/>
      <c r="AS206" s="155"/>
      <c r="AT206" s="155"/>
      <c r="AU206" s="156"/>
      <c r="AV206" s="156"/>
      <c r="AW206" s="155"/>
      <c r="AX206" s="155"/>
      <c r="AY206" s="155"/>
      <c r="AZ206" s="156"/>
      <c r="BA206" s="156"/>
      <c r="BB206" s="155"/>
      <c r="BC206" s="155"/>
      <c r="BD206" s="155"/>
      <c r="BE206" s="155"/>
      <c r="BF206" s="155"/>
      <c r="BG206" s="158"/>
      <c r="BH206" s="158"/>
      <c r="BI206" s="155"/>
      <c r="BJ206" s="155"/>
      <c r="BK206" s="159"/>
      <c r="BL206" s="156"/>
      <c r="BM206" s="156"/>
      <c r="BN206" s="156"/>
      <c r="BO206" s="156"/>
      <c r="BP206" s="160"/>
      <c r="BQ206" s="160"/>
      <c r="BR206" s="160"/>
      <c r="BS206" s="160"/>
    </row>
    <row r="207" spans="1:71" x14ac:dyDescent="0.25">
      <c r="A207" s="154"/>
      <c r="B207" s="155"/>
      <c r="C207" s="155"/>
      <c r="D207" s="155"/>
      <c r="E207" s="156"/>
      <c r="F207" s="156"/>
      <c r="G207" s="155"/>
      <c r="H207" s="155"/>
      <c r="I207" s="155"/>
      <c r="J207" s="157"/>
      <c r="K207" s="157"/>
      <c r="L207" s="155"/>
      <c r="M207" s="155"/>
      <c r="N207" s="155"/>
      <c r="O207" s="156"/>
      <c r="P207" s="156"/>
      <c r="Q207" s="155"/>
      <c r="R207" s="155"/>
      <c r="S207" s="155"/>
      <c r="T207" s="156"/>
      <c r="U207" s="156"/>
      <c r="V207" s="155"/>
      <c r="W207" s="155"/>
      <c r="X207" s="155"/>
      <c r="Y207" s="155"/>
      <c r="Z207" s="155"/>
      <c r="AA207" s="156"/>
      <c r="AB207" s="156"/>
      <c r="AC207" s="155"/>
      <c r="AD207" s="155"/>
      <c r="AE207" s="155"/>
      <c r="AF207" s="156"/>
      <c r="AG207" s="156"/>
      <c r="AH207" s="155"/>
      <c r="AI207" s="155"/>
      <c r="AJ207" s="155"/>
      <c r="AK207" s="156"/>
      <c r="AL207" s="156"/>
      <c r="AM207" s="155"/>
      <c r="AN207" s="155"/>
      <c r="AO207" s="155"/>
      <c r="AP207" s="156"/>
      <c r="AQ207" s="156"/>
      <c r="AR207" s="155"/>
      <c r="AS207" s="155"/>
      <c r="AT207" s="155"/>
      <c r="AU207" s="156"/>
      <c r="AV207" s="156"/>
      <c r="AW207" s="155"/>
      <c r="AX207" s="155"/>
      <c r="AY207" s="155"/>
      <c r="AZ207" s="156"/>
      <c r="BA207" s="156"/>
      <c r="BB207" s="155"/>
      <c r="BC207" s="155"/>
      <c r="BD207" s="155"/>
      <c r="BE207" s="155"/>
      <c r="BF207" s="155"/>
      <c r="BG207" s="158"/>
      <c r="BH207" s="158"/>
      <c r="BI207" s="155"/>
      <c r="BJ207" s="155"/>
      <c r="BK207" s="159"/>
      <c r="BL207" s="156"/>
      <c r="BM207" s="156"/>
      <c r="BN207" s="156"/>
      <c r="BO207" s="156"/>
      <c r="BP207" s="160"/>
      <c r="BQ207" s="160"/>
      <c r="BR207" s="160"/>
      <c r="BS207" s="160"/>
    </row>
    <row r="208" spans="1:71" x14ac:dyDescent="0.25">
      <c r="A208" s="154"/>
      <c r="B208" s="155"/>
      <c r="C208" s="155"/>
      <c r="D208" s="155"/>
      <c r="E208" s="156"/>
      <c r="F208" s="156"/>
      <c r="G208" s="155"/>
      <c r="H208" s="155"/>
      <c r="I208" s="155"/>
      <c r="J208" s="157"/>
      <c r="K208" s="157"/>
      <c r="L208" s="155"/>
      <c r="M208" s="155"/>
      <c r="N208" s="155"/>
      <c r="O208" s="156"/>
      <c r="P208" s="156"/>
      <c r="Q208" s="155"/>
      <c r="R208" s="155"/>
      <c r="S208" s="155"/>
      <c r="T208" s="156"/>
      <c r="U208" s="156"/>
      <c r="V208" s="155"/>
      <c r="W208" s="155"/>
      <c r="X208" s="155"/>
      <c r="Y208" s="155"/>
      <c r="Z208" s="155"/>
      <c r="AA208" s="156"/>
      <c r="AB208" s="156"/>
      <c r="AC208" s="155"/>
      <c r="AD208" s="155"/>
      <c r="AE208" s="155"/>
      <c r="AF208" s="156"/>
      <c r="AG208" s="156"/>
      <c r="AH208" s="155"/>
      <c r="AI208" s="155"/>
      <c r="AJ208" s="155"/>
      <c r="AK208" s="156"/>
      <c r="AL208" s="156"/>
      <c r="AM208" s="155"/>
      <c r="AN208" s="155"/>
      <c r="AO208" s="155"/>
      <c r="AP208" s="156"/>
      <c r="AQ208" s="156"/>
      <c r="AR208" s="155"/>
      <c r="AS208" s="155"/>
      <c r="AT208" s="155"/>
      <c r="AU208" s="156"/>
      <c r="AV208" s="156"/>
      <c r="AW208" s="155"/>
      <c r="AX208" s="155"/>
      <c r="AY208" s="155"/>
      <c r="AZ208" s="156"/>
      <c r="BA208" s="156"/>
      <c r="BB208" s="155"/>
      <c r="BC208" s="155"/>
      <c r="BD208" s="155"/>
      <c r="BE208" s="155"/>
      <c r="BF208" s="155"/>
      <c r="BG208" s="158"/>
      <c r="BH208" s="158"/>
      <c r="BI208" s="155"/>
      <c r="BJ208" s="155"/>
      <c r="BK208" s="159"/>
      <c r="BL208" s="156"/>
      <c r="BM208" s="156"/>
      <c r="BN208" s="156"/>
      <c r="BO208" s="156"/>
      <c r="BP208" s="160"/>
      <c r="BQ208" s="160"/>
      <c r="BR208" s="160"/>
      <c r="BS208" s="160"/>
    </row>
    <row r="209" spans="1:71" x14ac:dyDescent="0.25">
      <c r="A209" s="154"/>
      <c r="B209" s="155"/>
      <c r="C209" s="155"/>
      <c r="D209" s="155"/>
      <c r="E209" s="156"/>
      <c r="F209" s="156"/>
      <c r="G209" s="155"/>
      <c r="H209" s="155"/>
      <c r="I209" s="155"/>
      <c r="J209" s="157"/>
      <c r="K209" s="157"/>
      <c r="L209" s="155"/>
      <c r="M209" s="155"/>
      <c r="N209" s="155"/>
      <c r="O209" s="156"/>
      <c r="P209" s="156"/>
      <c r="Q209" s="155"/>
      <c r="R209" s="155"/>
      <c r="S209" s="155"/>
      <c r="T209" s="156"/>
      <c r="U209" s="156"/>
      <c r="V209" s="155"/>
      <c r="W209" s="155"/>
      <c r="X209" s="155"/>
      <c r="Y209" s="155"/>
      <c r="Z209" s="155"/>
      <c r="AA209" s="156"/>
      <c r="AB209" s="156"/>
      <c r="AC209" s="155"/>
      <c r="AD209" s="155"/>
      <c r="AE209" s="155"/>
      <c r="AF209" s="156"/>
      <c r="AG209" s="156"/>
      <c r="AH209" s="155"/>
      <c r="AI209" s="155"/>
      <c r="AJ209" s="155"/>
      <c r="AK209" s="156"/>
      <c r="AL209" s="156"/>
      <c r="AM209" s="155"/>
      <c r="AN209" s="155"/>
      <c r="AO209" s="155"/>
      <c r="AP209" s="156"/>
      <c r="AQ209" s="156"/>
      <c r="AR209" s="155"/>
      <c r="AS209" s="155"/>
      <c r="AT209" s="155"/>
      <c r="AU209" s="156"/>
      <c r="AV209" s="156"/>
      <c r="AW209" s="155"/>
      <c r="AX209" s="155"/>
      <c r="AY209" s="155"/>
      <c r="AZ209" s="156"/>
      <c r="BA209" s="156"/>
      <c r="BB209" s="155"/>
      <c r="BC209" s="155"/>
      <c r="BD209" s="155"/>
      <c r="BE209" s="155"/>
      <c r="BF209" s="155"/>
      <c r="BG209" s="158"/>
      <c r="BH209" s="158"/>
      <c r="BI209" s="155"/>
      <c r="BJ209" s="155"/>
      <c r="BK209" s="159"/>
      <c r="BL209" s="156"/>
      <c r="BM209" s="156"/>
      <c r="BN209" s="156"/>
      <c r="BO209" s="156"/>
      <c r="BP209" s="160"/>
      <c r="BQ209" s="160"/>
      <c r="BR209" s="160"/>
      <c r="BS209" s="160"/>
    </row>
    <row r="210" spans="1:71" x14ac:dyDescent="0.25">
      <c r="A210" s="154"/>
      <c r="B210" s="155"/>
      <c r="C210" s="155"/>
      <c r="D210" s="155"/>
      <c r="E210" s="156"/>
      <c r="F210" s="156"/>
      <c r="G210" s="155"/>
      <c r="H210" s="155"/>
      <c r="I210" s="155"/>
      <c r="J210" s="157"/>
      <c r="K210" s="157"/>
      <c r="L210" s="155"/>
      <c r="M210" s="155"/>
      <c r="N210" s="155"/>
      <c r="O210" s="156"/>
      <c r="P210" s="156"/>
      <c r="Q210" s="155"/>
      <c r="R210" s="155"/>
      <c r="S210" s="155"/>
      <c r="T210" s="156"/>
      <c r="U210" s="156"/>
      <c r="V210" s="155"/>
      <c r="W210" s="155"/>
      <c r="X210" s="155"/>
      <c r="Y210" s="155"/>
      <c r="Z210" s="155"/>
      <c r="AA210" s="156"/>
      <c r="AB210" s="156"/>
      <c r="AC210" s="155"/>
      <c r="AD210" s="155"/>
      <c r="AE210" s="155"/>
      <c r="AF210" s="156"/>
      <c r="AG210" s="156"/>
      <c r="AH210" s="155"/>
      <c r="AI210" s="155"/>
      <c r="AJ210" s="155"/>
      <c r="AK210" s="156"/>
      <c r="AL210" s="156"/>
      <c r="AM210" s="155"/>
      <c r="AN210" s="155"/>
      <c r="AO210" s="155"/>
      <c r="AP210" s="156"/>
      <c r="AQ210" s="156"/>
      <c r="AR210" s="155"/>
      <c r="AS210" s="155"/>
      <c r="AT210" s="155"/>
      <c r="AU210" s="156"/>
      <c r="AV210" s="156"/>
      <c r="AW210" s="155"/>
      <c r="AX210" s="155"/>
      <c r="AY210" s="155"/>
      <c r="AZ210" s="156"/>
      <c r="BA210" s="156"/>
      <c r="BB210" s="155"/>
      <c r="BC210" s="155"/>
      <c r="BD210" s="155"/>
      <c r="BE210" s="155"/>
      <c r="BF210" s="155"/>
      <c r="BG210" s="158"/>
      <c r="BH210" s="158"/>
      <c r="BI210" s="155"/>
      <c r="BJ210" s="155"/>
      <c r="BK210" s="159"/>
      <c r="BL210" s="156"/>
      <c r="BM210" s="156"/>
      <c r="BN210" s="156"/>
      <c r="BO210" s="156"/>
      <c r="BP210" s="160"/>
      <c r="BQ210" s="160"/>
      <c r="BR210" s="160"/>
      <c r="BS210" s="160"/>
    </row>
    <row r="211" spans="1:71" x14ac:dyDescent="0.25">
      <c r="A211" s="154"/>
      <c r="B211" s="155"/>
      <c r="C211" s="155"/>
      <c r="D211" s="155"/>
      <c r="E211" s="156"/>
      <c r="F211" s="156"/>
      <c r="G211" s="155"/>
      <c r="H211" s="155"/>
      <c r="I211" s="155"/>
      <c r="J211" s="157"/>
      <c r="K211" s="157"/>
      <c r="L211" s="155"/>
      <c r="M211" s="155"/>
      <c r="N211" s="155"/>
      <c r="O211" s="156"/>
      <c r="P211" s="156"/>
      <c r="Q211" s="155"/>
      <c r="R211" s="155"/>
      <c r="S211" s="155"/>
      <c r="T211" s="156"/>
      <c r="U211" s="156"/>
      <c r="V211" s="155"/>
      <c r="W211" s="155"/>
      <c r="X211" s="155"/>
      <c r="Y211" s="155"/>
      <c r="Z211" s="155"/>
      <c r="AA211" s="156"/>
      <c r="AB211" s="156"/>
      <c r="AC211" s="155"/>
      <c r="AD211" s="155"/>
      <c r="AE211" s="155"/>
      <c r="AF211" s="156"/>
      <c r="AG211" s="156"/>
      <c r="AH211" s="155"/>
      <c r="AI211" s="155"/>
      <c r="AJ211" s="155"/>
      <c r="AK211" s="156"/>
      <c r="AL211" s="156"/>
      <c r="AM211" s="155"/>
      <c r="AN211" s="155"/>
      <c r="AO211" s="155"/>
      <c r="AP211" s="156"/>
      <c r="AQ211" s="156"/>
      <c r="AR211" s="155"/>
      <c r="AS211" s="155"/>
      <c r="AT211" s="155"/>
      <c r="AU211" s="156"/>
      <c r="AV211" s="156"/>
      <c r="AW211" s="155"/>
      <c r="AX211" s="155"/>
      <c r="AY211" s="155"/>
      <c r="AZ211" s="156"/>
      <c r="BA211" s="156"/>
      <c r="BB211" s="155"/>
      <c r="BC211" s="155"/>
      <c r="BD211" s="155"/>
      <c r="BE211" s="155"/>
      <c r="BF211" s="155"/>
      <c r="BG211" s="158"/>
      <c r="BH211" s="158"/>
      <c r="BI211" s="155"/>
      <c r="BJ211" s="155"/>
      <c r="BK211" s="159"/>
      <c r="BL211" s="156"/>
      <c r="BM211" s="156"/>
      <c r="BN211" s="156"/>
      <c r="BO211" s="156"/>
      <c r="BP211" s="160"/>
      <c r="BQ211" s="160"/>
      <c r="BR211" s="160"/>
      <c r="BS211" s="160"/>
    </row>
    <row r="212" spans="1:71" x14ac:dyDescent="0.25">
      <c r="A212" s="154"/>
      <c r="B212" s="155"/>
      <c r="C212" s="155"/>
      <c r="D212" s="155"/>
      <c r="E212" s="156"/>
      <c r="F212" s="156"/>
      <c r="G212" s="155"/>
      <c r="H212" s="155"/>
      <c r="I212" s="155"/>
      <c r="J212" s="157"/>
      <c r="K212" s="157"/>
      <c r="L212" s="155"/>
      <c r="M212" s="155"/>
      <c r="N212" s="155"/>
      <c r="O212" s="156"/>
      <c r="P212" s="156"/>
      <c r="Q212" s="155"/>
      <c r="R212" s="155"/>
      <c r="S212" s="155"/>
      <c r="T212" s="156"/>
      <c r="U212" s="156"/>
      <c r="V212" s="155"/>
      <c r="W212" s="155"/>
      <c r="X212" s="155"/>
      <c r="Y212" s="155"/>
      <c r="Z212" s="155"/>
      <c r="AA212" s="156"/>
      <c r="AB212" s="156"/>
      <c r="AC212" s="155"/>
      <c r="AD212" s="155"/>
      <c r="AE212" s="155"/>
      <c r="AF212" s="156"/>
      <c r="AG212" s="156"/>
      <c r="AH212" s="155"/>
      <c r="AI212" s="155"/>
      <c r="AJ212" s="155"/>
      <c r="AK212" s="156"/>
      <c r="AL212" s="156"/>
      <c r="AM212" s="155"/>
      <c r="AN212" s="155"/>
      <c r="AO212" s="155"/>
      <c r="AP212" s="156"/>
      <c r="AQ212" s="156"/>
      <c r="AR212" s="155"/>
      <c r="AS212" s="155"/>
      <c r="AT212" s="155"/>
      <c r="AU212" s="156"/>
      <c r="AV212" s="156"/>
      <c r="AW212" s="155"/>
      <c r="AX212" s="155"/>
      <c r="AY212" s="155"/>
      <c r="AZ212" s="156"/>
      <c r="BA212" s="156"/>
      <c r="BB212" s="155"/>
      <c r="BC212" s="155"/>
      <c r="BD212" s="155"/>
      <c r="BE212" s="155"/>
      <c r="BF212" s="155"/>
      <c r="BG212" s="158"/>
      <c r="BH212" s="158"/>
      <c r="BI212" s="155"/>
      <c r="BJ212" s="155"/>
      <c r="BK212" s="159"/>
      <c r="BL212" s="156"/>
      <c r="BM212" s="156"/>
      <c r="BN212" s="156"/>
      <c r="BO212" s="156"/>
      <c r="BP212" s="160"/>
      <c r="BQ212" s="160"/>
      <c r="BR212" s="160"/>
      <c r="BS212" s="160"/>
    </row>
    <row r="213" spans="1:71" x14ac:dyDescent="0.25">
      <c r="A213" s="154"/>
      <c r="B213" s="155"/>
      <c r="C213" s="155"/>
      <c r="D213" s="155"/>
      <c r="E213" s="156"/>
      <c r="F213" s="156"/>
      <c r="G213" s="155"/>
      <c r="H213" s="155"/>
      <c r="I213" s="155"/>
      <c r="J213" s="157"/>
      <c r="K213" s="157"/>
      <c r="L213" s="155"/>
      <c r="M213" s="155"/>
      <c r="N213" s="155"/>
      <c r="O213" s="156"/>
      <c r="P213" s="156"/>
      <c r="Q213" s="155"/>
      <c r="R213" s="155"/>
      <c r="S213" s="155"/>
      <c r="T213" s="156"/>
      <c r="U213" s="156"/>
      <c r="V213" s="155"/>
      <c r="W213" s="155"/>
      <c r="X213" s="155"/>
      <c r="Y213" s="155"/>
      <c r="Z213" s="155"/>
      <c r="AA213" s="156"/>
      <c r="AB213" s="156"/>
      <c r="AC213" s="155"/>
      <c r="AD213" s="155"/>
      <c r="AE213" s="155"/>
      <c r="AF213" s="156"/>
      <c r="AG213" s="156"/>
      <c r="AH213" s="155"/>
      <c r="AI213" s="155"/>
      <c r="AJ213" s="155"/>
      <c r="AK213" s="156"/>
      <c r="AL213" s="156"/>
      <c r="AM213" s="155"/>
      <c r="AN213" s="155"/>
      <c r="AO213" s="155"/>
      <c r="AP213" s="156"/>
      <c r="AQ213" s="156"/>
      <c r="AR213" s="155"/>
      <c r="AS213" s="155"/>
      <c r="AT213" s="155"/>
      <c r="AU213" s="156"/>
      <c r="AV213" s="156"/>
      <c r="AW213" s="155"/>
      <c r="AX213" s="155"/>
      <c r="AY213" s="155"/>
      <c r="AZ213" s="156"/>
      <c r="BA213" s="156"/>
      <c r="BB213" s="155"/>
      <c r="BC213" s="155"/>
      <c r="BD213" s="155"/>
      <c r="BE213" s="155"/>
      <c r="BF213" s="155"/>
      <c r="BG213" s="158"/>
      <c r="BH213" s="158"/>
      <c r="BI213" s="155"/>
      <c r="BJ213" s="155"/>
      <c r="BK213" s="159"/>
      <c r="BL213" s="156"/>
      <c r="BM213" s="156"/>
      <c r="BN213" s="156"/>
      <c r="BO213" s="156"/>
      <c r="BP213" s="160"/>
      <c r="BQ213" s="160"/>
      <c r="BR213" s="160"/>
      <c r="BS213" s="160"/>
    </row>
    <row r="214" spans="1:71" x14ac:dyDescent="0.25">
      <c r="A214" s="154"/>
      <c r="B214" s="155"/>
      <c r="C214" s="155"/>
      <c r="D214" s="155"/>
      <c r="E214" s="156"/>
      <c r="F214" s="156"/>
      <c r="G214" s="155"/>
      <c r="H214" s="155"/>
      <c r="I214" s="155"/>
      <c r="J214" s="157"/>
      <c r="K214" s="157"/>
      <c r="L214" s="155"/>
      <c r="M214" s="155"/>
      <c r="N214" s="155"/>
      <c r="O214" s="156"/>
      <c r="P214" s="156"/>
      <c r="Q214" s="155"/>
      <c r="R214" s="155"/>
      <c r="S214" s="155"/>
      <c r="T214" s="156"/>
      <c r="U214" s="156"/>
      <c r="V214" s="155"/>
      <c r="W214" s="155"/>
      <c r="X214" s="155"/>
      <c r="Y214" s="155"/>
      <c r="Z214" s="155"/>
      <c r="AA214" s="156"/>
      <c r="AB214" s="156"/>
      <c r="AC214" s="155"/>
      <c r="AD214" s="155"/>
      <c r="AE214" s="155"/>
      <c r="AF214" s="156"/>
      <c r="AG214" s="156"/>
      <c r="AH214" s="155"/>
      <c r="AI214" s="155"/>
      <c r="AJ214" s="155"/>
      <c r="AK214" s="156"/>
      <c r="AL214" s="156"/>
      <c r="AM214" s="155"/>
      <c r="AN214" s="155"/>
      <c r="AO214" s="155"/>
      <c r="AP214" s="156"/>
      <c r="AQ214" s="156"/>
      <c r="AR214" s="155"/>
      <c r="AS214" s="155"/>
      <c r="AT214" s="155"/>
      <c r="AU214" s="156"/>
      <c r="AV214" s="156"/>
      <c r="AW214" s="155"/>
      <c r="AX214" s="155"/>
      <c r="AY214" s="155"/>
      <c r="AZ214" s="156"/>
      <c r="BA214" s="156"/>
      <c r="BB214" s="155"/>
      <c r="BC214" s="155"/>
      <c r="BD214" s="155"/>
      <c r="BE214" s="155"/>
      <c r="BF214" s="155"/>
      <c r="BG214" s="158"/>
      <c r="BH214" s="158"/>
      <c r="BI214" s="155"/>
      <c r="BJ214" s="155"/>
      <c r="BK214" s="159"/>
      <c r="BL214" s="156"/>
      <c r="BM214" s="156"/>
      <c r="BN214" s="156"/>
      <c r="BO214" s="156"/>
      <c r="BP214" s="160"/>
      <c r="BQ214" s="160"/>
      <c r="BR214" s="160"/>
      <c r="BS214" s="160"/>
    </row>
    <row r="215" spans="1:71" x14ac:dyDescent="0.25">
      <c r="A215" s="154"/>
      <c r="B215" s="155"/>
      <c r="C215" s="155"/>
      <c r="D215" s="155"/>
      <c r="E215" s="156"/>
      <c r="F215" s="156"/>
      <c r="G215" s="155"/>
      <c r="H215" s="155"/>
      <c r="I215" s="155"/>
      <c r="J215" s="157"/>
      <c r="K215" s="157"/>
      <c r="L215" s="155"/>
      <c r="M215" s="155"/>
      <c r="N215" s="155"/>
      <c r="O215" s="156"/>
      <c r="P215" s="156"/>
      <c r="Q215" s="155"/>
      <c r="R215" s="155"/>
      <c r="S215" s="155"/>
      <c r="T215" s="156"/>
      <c r="U215" s="156"/>
      <c r="V215" s="155"/>
      <c r="W215" s="155"/>
      <c r="X215" s="155"/>
      <c r="Y215" s="155"/>
      <c r="Z215" s="155"/>
      <c r="AA215" s="156"/>
      <c r="AB215" s="156"/>
      <c r="AC215" s="155"/>
      <c r="AD215" s="155"/>
      <c r="AE215" s="155"/>
      <c r="AF215" s="156"/>
      <c r="AG215" s="156"/>
      <c r="AH215" s="155"/>
      <c r="AI215" s="155"/>
      <c r="AJ215" s="155"/>
      <c r="AK215" s="156"/>
      <c r="AL215" s="156"/>
      <c r="AM215" s="155"/>
      <c r="AN215" s="155"/>
      <c r="AO215" s="155"/>
      <c r="AP215" s="156"/>
      <c r="AQ215" s="156"/>
      <c r="AR215" s="155"/>
      <c r="AS215" s="155"/>
      <c r="AT215" s="155"/>
      <c r="AU215" s="156"/>
      <c r="AV215" s="156"/>
      <c r="AW215" s="155"/>
      <c r="AX215" s="155"/>
      <c r="AY215" s="155"/>
      <c r="AZ215" s="156"/>
      <c r="BA215" s="156"/>
      <c r="BB215" s="155"/>
      <c r="BC215" s="155"/>
      <c r="BD215" s="155"/>
      <c r="BE215" s="155"/>
      <c r="BF215" s="155"/>
      <c r="BG215" s="158"/>
      <c r="BH215" s="158"/>
      <c r="BI215" s="155"/>
      <c r="BJ215" s="155"/>
      <c r="BK215" s="159"/>
      <c r="BL215" s="156"/>
      <c r="BM215" s="156"/>
      <c r="BN215" s="156"/>
      <c r="BO215" s="156"/>
      <c r="BP215" s="160"/>
      <c r="BQ215" s="160"/>
      <c r="BR215" s="160"/>
      <c r="BS215" s="160"/>
    </row>
    <row r="216" spans="1:71" x14ac:dyDescent="0.25">
      <c r="A216" s="154"/>
      <c r="B216" s="155"/>
      <c r="C216" s="155"/>
      <c r="D216" s="155"/>
      <c r="E216" s="156"/>
      <c r="F216" s="156"/>
      <c r="G216" s="155"/>
      <c r="H216" s="155"/>
      <c r="I216" s="155"/>
      <c r="J216" s="157"/>
      <c r="K216" s="157"/>
      <c r="L216" s="155"/>
      <c r="M216" s="155"/>
      <c r="N216" s="155"/>
      <c r="O216" s="156"/>
      <c r="P216" s="156"/>
      <c r="Q216" s="155"/>
      <c r="R216" s="155"/>
      <c r="S216" s="155"/>
      <c r="T216" s="156"/>
      <c r="U216" s="156"/>
      <c r="V216" s="155"/>
      <c r="W216" s="155"/>
      <c r="X216" s="155"/>
      <c r="Y216" s="155"/>
      <c r="Z216" s="155"/>
      <c r="AA216" s="156"/>
      <c r="AB216" s="156"/>
      <c r="AC216" s="155"/>
      <c r="AD216" s="155"/>
      <c r="AE216" s="155"/>
      <c r="AF216" s="156"/>
      <c r="AG216" s="156"/>
      <c r="AH216" s="155"/>
      <c r="AI216" s="155"/>
      <c r="AJ216" s="155"/>
      <c r="AK216" s="156"/>
      <c r="AL216" s="156"/>
      <c r="AM216" s="155"/>
      <c r="AN216" s="155"/>
      <c r="AO216" s="155"/>
      <c r="AP216" s="156"/>
      <c r="AQ216" s="156"/>
      <c r="AR216" s="155"/>
      <c r="AS216" s="155"/>
      <c r="AT216" s="155"/>
      <c r="AU216" s="156"/>
      <c r="AV216" s="156"/>
      <c r="AW216" s="155"/>
      <c r="AX216" s="155"/>
      <c r="AY216" s="155"/>
      <c r="AZ216" s="156"/>
      <c r="BA216" s="156"/>
      <c r="BB216" s="155"/>
      <c r="BC216" s="155"/>
      <c r="BD216" s="155"/>
      <c r="BE216" s="155"/>
      <c r="BF216" s="155"/>
      <c r="BG216" s="158"/>
      <c r="BH216" s="158"/>
      <c r="BI216" s="155"/>
      <c r="BJ216" s="155"/>
      <c r="BK216" s="159"/>
      <c r="BL216" s="156"/>
      <c r="BM216" s="156"/>
      <c r="BN216" s="156"/>
      <c r="BO216" s="156"/>
      <c r="BP216" s="160"/>
      <c r="BQ216" s="160"/>
      <c r="BR216" s="160"/>
      <c r="BS216" s="160"/>
    </row>
    <row r="217" spans="1:71" x14ac:dyDescent="0.25">
      <c r="A217" s="154"/>
      <c r="B217" s="155"/>
      <c r="C217" s="155"/>
      <c r="D217" s="155"/>
      <c r="E217" s="156"/>
      <c r="F217" s="156"/>
      <c r="G217" s="155"/>
      <c r="H217" s="155"/>
      <c r="I217" s="155"/>
      <c r="J217" s="157"/>
      <c r="K217" s="157"/>
      <c r="L217" s="155"/>
      <c r="M217" s="155"/>
      <c r="N217" s="155"/>
      <c r="O217" s="156"/>
      <c r="P217" s="156"/>
      <c r="Q217" s="155"/>
      <c r="R217" s="155"/>
      <c r="S217" s="155"/>
      <c r="T217" s="156"/>
      <c r="U217" s="156"/>
      <c r="V217" s="155"/>
      <c r="W217" s="155"/>
      <c r="X217" s="155"/>
      <c r="Y217" s="155"/>
      <c r="Z217" s="155"/>
      <c r="AA217" s="156"/>
      <c r="AB217" s="156"/>
      <c r="AC217" s="155"/>
      <c r="AD217" s="155"/>
      <c r="AE217" s="155"/>
      <c r="AF217" s="156"/>
      <c r="AG217" s="156"/>
      <c r="AH217" s="155"/>
      <c r="AI217" s="155"/>
      <c r="AJ217" s="155"/>
      <c r="AK217" s="156"/>
      <c r="AL217" s="156"/>
      <c r="AM217" s="155"/>
      <c r="AN217" s="155"/>
      <c r="AO217" s="155"/>
      <c r="AP217" s="156"/>
      <c r="AQ217" s="156"/>
      <c r="AR217" s="155"/>
      <c r="AS217" s="155"/>
      <c r="AT217" s="155"/>
      <c r="AU217" s="156"/>
      <c r="AV217" s="156"/>
      <c r="AW217" s="155"/>
      <c r="AX217" s="155"/>
      <c r="AY217" s="155"/>
      <c r="AZ217" s="156"/>
      <c r="BA217" s="156"/>
      <c r="BB217" s="155"/>
      <c r="BC217" s="155"/>
      <c r="BD217" s="155"/>
      <c r="BE217" s="155"/>
      <c r="BF217" s="155"/>
      <c r="BG217" s="158"/>
      <c r="BH217" s="158"/>
      <c r="BI217" s="155"/>
      <c r="BJ217" s="155"/>
      <c r="BK217" s="159"/>
      <c r="BL217" s="156"/>
      <c r="BM217" s="156"/>
      <c r="BN217" s="156"/>
      <c r="BO217" s="156"/>
      <c r="BP217" s="160"/>
      <c r="BQ217" s="160"/>
      <c r="BR217" s="160"/>
      <c r="BS217" s="160"/>
    </row>
    <row r="218" spans="1:71" x14ac:dyDescent="0.25">
      <c r="A218" s="154"/>
      <c r="B218" s="155"/>
      <c r="C218" s="155"/>
      <c r="D218" s="155"/>
      <c r="E218" s="156"/>
      <c r="F218" s="156"/>
      <c r="G218" s="155"/>
      <c r="H218" s="155"/>
      <c r="I218" s="155"/>
      <c r="J218" s="157"/>
      <c r="K218" s="157"/>
      <c r="L218" s="155"/>
      <c r="M218" s="155"/>
      <c r="N218" s="155"/>
      <c r="O218" s="156"/>
      <c r="P218" s="156"/>
      <c r="Q218" s="155"/>
      <c r="R218" s="155"/>
      <c r="S218" s="155"/>
      <c r="T218" s="156"/>
      <c r="U218" s="156"/>
      <c r="V218" s="155"/>
      <c r="W218" s="155"/>
      <c r="X218" s="155"/>
      <c r="Y218" s="155"/>
      <c r="Z218" s="155"/>
      <c r="AA218" s="156"/>
      <c r="AB218" s="156"/>
      <c r="AC218" s="155"/>
      <c r="AD218" s="155"/>
      <c r="AE218" s="155"/>
      <c r="AF218" s="156"/>
      <c r="AG218" s="156"/>
      <c r="AH218" s="155"/>
      <c r="AI218" s="155"/>
      <c r="AJ218" s="155"/>
      <c r="AK218" s="156"/>
      <c r="AL218" s="156"/>
      <c r="AM218" s="155"/>
      <c r="AN218" s="155"/>
      <c r="AO218" s="155"/>
      <c r="AP218" s="156"/>
      <c r="AQ218" s="156"/>
      <c r="AR218" s="155"/>
      <c r="AS218" s="155"/>
      <c r="AT218" s="155"/>
      <c r="AU218" s="156"/>
      <c r="AV218" s="156"/>
      <c r="AW218" s="155"/>
      <c r="AX218" s="155"/>
      <c r="AY218" s="155"/>
      <c r="AZ218" s="156"/>
      <c r="BA218" s="156"/>
      <c r="BB218" s="155"/>
      <c r="BC218" s="155"/>
      <c r="BD218" s="155"/>
      <c r="BE218" s="155"/>
      <c r="BF218" s="155"/>
      <c r="BG218" s="158"/>
      <c r="BH218" s="158"/>
      <c r="BI218" s="155"/>
      <c r="BJ218" s="155"/>
      <c r="BK218" s="159"/>
      <c r="BL218" s="156"/>
      <c r="BM218" s="156"/>
      <c r="BN218" s="156"/>
      <c r="BO218" s="156"/>
      <c r="BP218" s="160"/>
      <c r="BQ218" s="160"/>
      <c r="BR218" s="160"/>
      <c r="BS218" s="160"/>
    </row>
    <row r="219" spans="1:71" x14ac:dyDescent="0.25">
      <c r="A219" s="154"/>
      <c r="B219" s="155"/>
      <c r="C219" s="155"/>
      <c r="D219" s="155"/>
      <c r="E219" s="156"/>
      <c r="F219" s="156"/>
      <c r="G219" s="155"/>
      <c r="H219" s="155"/>
      <c r="I219" s="155"/>
      <c r="J219" s="157"/>
      <c r="K219" s="157"/>
      <c r="L219" s="155"/>
      <c r="M219" s="155"/>
      <c r="N219" s="155"/>
      <c r="O219" s="156"/>
      <c r="P219" s="156"/>
      <c r="Q219" s="155"/>
      <c r="R219" s="155"/>
      <c r="S219" s="155"/>
      <c r="T219" s="156"/>
      <c r="U219" s="156"/>
      <c r="V219" s="155"/>
      <c r="W219" s="155"/>
      <c r="X219" s="155"/>
      <c r="Y219" s="155"/>
      <c r="Z219" s="155"/>
      <c r="AA219" s="156"/>
      <c r="AB219" s="156"/>
      <c r="AC219" s="155"/>
      <c r="AD219" s="155"/>
      <c r="AE219" s="155"/>
      <c r="AF219" s="156"/>
      <c r="AG219" s="156"/>
      <c r="AH219" s="155"/>
      <c r="AI219" s="155"/>
      <c r="AJ219" s="155"/>
      <c r="AK219" s="156"/>
      <c r="AL219" s="156"/>
      <c r="AM219" s="155"/>
      <c r="AN219" s="155"/>
      <c r="AO219" s="155"/>
      <c r="AP219" s="156"/>
      <c r="AQ219" s="156"/>
      <c r="AR219" s="155"/>
      <c r="AS219" s="155"/>
      <c r="AT219" s="155"/>
      <c r="AU219" s="156"/>
      <c r="AV219" s="156"/>
      <c r="AW219" s="155"/>
      <c r="AX219" s="155"/>
      <c r="AY219" s="155"/>
      <c r="AZ219" s="156"/>
      <c r="BA219" s="156"/>
      <c r="BB219" s="155"/>
      <c r="BC219" s="155"/>
      <c r="BD219" s="155"/>
      <c r="BE219" s="155"/>
      <c r="BF219" s="155"/>
      <c r="BG219" s="158"/>
      <c r="BH219" s="158"/>
      <c r="BI219" s="155"/>
      <c r="BJ219" s="155"/>
      <c r="BK219" s="159"/>
      <c r="BL219" s="156"/>
      <c r="BM219" s="156"/>
      <c r="BN219" s="156"/>
      <c r="BO219" s="156"/>
      <c r="BP219" s="160"/>
      <c r="BQ219" s="160"/>
      <c r="BR219" s="160"/>
      <c r="BS219" s="160"/>
    </row>
    <row r="220" spans="1:71" x14ac:dyDescent="0.25">
      <c r="A220" s="154"/>
      <c r="B220" s="155"/>
      <c r="C220" s="155"/>
      <c r="D220" s="155"/>
      <c r="E220" s="156"/>
      <c r="F220" s="156"/>
      <c r="G220" s="155"/>
      <c r="H220" s="155"/>
      <c r="I220" s="155"/>
      <c r="J220" s="157"/>
      <c r="K220" s="157"/>
      <c r="L220" s="155"/>
      <c r="M220" s="155"/>
      <c r="N220" s="155"/>
      <c r="O220" s="156"/>
      <c r="P220" s="156"/>
      <c r="Q220" s="155"/>
      <c r="R220" s="155"/>
      <c r="S220" s="155"/>
      <c r="T220" s="156"/>
      <c r="U220" s="156"/>
      <c r="V220" s="155"/>
      <c r="W220" s="155"/>
      <c r="X220" s="155"/>
      <c r="Y220" s="155"/>
      <c r="Z220" s="155"/>
      <c r="AA220" s="156"/>
      <c r="AB220" s="156"/>
      <c r="AC220" s="155"/>
      <c r="AD220" s="155"/>
      <c r="AE220" s="155"/>
      <c r="AF220" s="156"/>
      <c r="AG220" s="156"/>
      <c r="AH220" s="155"/>
      <c r="AI220" s="155"/>
      <c r="AJ220" s="155"/>
      <c r="AK220" s="156"/>
      <c r="AL220" s="156"/>
      <c r="AM220" s="155"/>
      <c r="AN220" s="155"/>
      <c r="AO220" s="155"/>
      <c r="AP220" s="156"/>
      <c r="AQ220" s="156"/>
      <c r="AR220" s="155"/>
      <c r="AS220" s="155"/>
      <c r="AT220" s="155"/>
      <c r="AU220" s="156"/>
      <c r="AV220" s="156"/>
      <c r="AW220" s="155"/>
      <c r="AX220" s="155"/>
      <c r="AY220" s="155"/>
      <c r="AZ220" s="156"/>
      <c r="BA220" s="156"/>
      <c r="BB220" s="155"/>
      <c r="BC220" s="155"/>
      <c r="BD220" s="155"/>
      <c r="BE220" s="155"/>
      <c r="BF220" s="155"/>
      <c r="BG220" s="158"/>
      <c r="BH220" s="158"/>
      <c r="BI220" s="155"/>
      <c r="BJ220" s="155"/>
      <c r="BK220" s="159"/>
      <c r="BL220" s="156"/>
      <c r="BM220" s="156"/>
      <c r="BN220" s="156"/>
      <c r="BO220" s="156"/>
      <c r="BP220" s="160"/>
      <c r="BQ220" s="160"/>
      <c r="BR220" s="160"/>
      <c r="BS220" s="160"/>
    </row>
    <row r="221" spans="1:71" x14ac:dyDescent="0.25">
      <c r="A221" s="154"/>
      <c r="B221" s="155"/>
      <c r="C221" s="155"/>
      <c r="D221" s="155"/>
      <c r="E221" s="156"/>
      <c r="F221" s="156"/>
      <c r="G221" s="155"/>
      <c r="H221" s="155"/>
      <c r="I221" s="155"/>
      <c r="J221" s="157"/>
      <c r="K221" s="157"/>
      <c r="L221" s="155"/>
      <c r="M221" s="155"/>
      <c r="N221" s="155"/>
      <c r="O221" s="156"/>
      <c r="P221" s="156"/>
      <c r="Q221" s="155"/>
      <c r="R221" s="155"/>
      <c r="S221" s="155"/>
      <c r="T221" s="156"/>
      <c r="U221" s="156"/>
      <c r="V221" s="155"/>
      <c r="W221" s="155"/>
      <c r="X221" s="155"/>
      <c r="Y221" s="155"/>
      <c r="Z221" s="155"/>
      <c r="AA221" s="156"/>
      <c r="AB221" s="156"/>
      <c r="AC221" s="155"/>
      <c r="AD221" s="155"/>
      <c r="AE221" s="155"/>
      <c r="AF221" s="156"/>
      <c r="AG221" s="156"/>
      <c r="AH221" s="155"/>
      <c r="AI221" s="155"/>
      <c r="AJ221" s="155"/>
      <c r="AK221" s="156"/>
      <c r="AL221" s="156"/>
      <c r="AM221" s="155"/>
      <c r="AN221" s="155"/>
      <c r="AO221" s="155"/>
      <c r="AP221" s="156"/>
      <c r="AQ221" s="156"/>
      <c r="AR221" s="155"/>
      <c r="AS221" s="155"/>
      <c r="AT221" s="155"/>
      <c r="AU221" s="156"/>
      <c r="AV221" s="156"/>
      <c r="AW221" s="155"/>
      <c r="AX221" s="155"/>
      <c r="AY221" s="155"/>
      <c r="AZ221" s="156"/>
      <c r="BA221" s="156"/>
      <c r="BB221" s="155"/>
      <c r="BC221" s="155"/>
      <c r="BD221" s="155"/>
      <c r="BE221" s="155"/>
      <c r="BF221" s="155"/>
      <c r="BG221" s="158"/>
      <c r="BH221" s="158"/>
      <c r="BI221" s="155"/>
      <c r="BJ221" s="155"/>
      <c r="BK221" s="159"/>
      <c r="BL221" s="156"/>
      <c r="BM221" s="156"/>
      <c r="BN221" s="156"/>
      <c r="BO221" s="156"/>
      <c r="BP221" s="160"/>
      <c r="BQ221" s="160"/>
      <c r="BR221" s="160"/>
      <c r="BS221" s="160"/>
    </row>
    <row r="222" spans="1:71" x14ac:dyDescent="0.25">
      <c r="A222" s="154"/>
      <c r="B222" s="155"/>
      <c r="C222" s="155"/>
      <c r="D222" s="155"/>
      <c r="E222" s="156"/>
      <c r="F222" s="156"/>
      <c r="G222" s="155"/>
      <c r="H222" s="155"/>
      <c r="I222" s="155"/>
      <c r="J222" s="157"/>
      <c r="K222" s="157"/>
      <c r="L222" s="155"/>
      <c r="M222" s="155"/>
      <c r="N222" s="155"/>
      <c r="O222" s="156"/>
      <c r="P222" s="156"/>
      <c r="Q222" s="155"/>
      <c r="R222" s="155"/>
      <c r="S222" s="155"/>
      <c r="T222" s="156"/>
      <c r="U222" s="156"/>
      <c r="V222" s="155"/>
      <c r="W222" s="155"/>
      <c r="X222" s="155"/>
      <c r="Y222" s="155"/>
      <c r="Z222" s="155"/>
      <c r="AA222" s="156"/>
      <c r="AB222" s="156"/>
      <c r="AC222" s="155"/>
      <c r="AD222" s="155"/>
      <c r="AE222" s="155"/>
      <c r="AF222" s="156"/>
      <c r="AG222" s="156"/>
      <c r="AH222" s="155"/>
      <c r="AI222" s="155"/>
      <c r="AJ222" s="155"/>
      <c r="AK222" s="156"/>
      <c r="AL222" s="156"/>
      <c r="AM222" s="155"/>
      <c r="AN222" s="155"/>
      <c r="AO222" s="155"/>
      <c r="AP222" s="156"/>
      <c r="AQ222" s="156"/>
      <c r="AR222" s="155"/>
      <c r="AS222" s="155"/>
      <c r="AT222" s="155"/>
      <c r="AU222" s="156"/>
      <c r="AV222" s="156"/>
      <c r="AW222" s="155"/>
      <c r="AX222" s="155"/>
      <c r="AY222" s="155"/>
      <c r="AZ222" s="156"/>
      <c r="BA222" s="156"/>
      <c r="BB222" s="155"/>
      <c r="BC222" s="155"/>
      <c r="BD222" s="155"/>
      <c r="BE222" s="155"/>
      <c r="BF222" s="155"/>
      <c r="BG222" s="158"/>
      <c r="BH222" s="158"/>
      <c r="BI222" s="155"/>
      <c r="BJ222" s="155"/>
      <c r="BK222" s="159"/>
      <c r="BL222" s="156"/>
      <c r="BM222" s="156"/>
      <c r="BN222" s="156"/>
      <c r="BO222" s="156"/>
      <c r="BP222" s="160"/>
      <c r="BQ222" s="160"/>
      <c r="BR222" s="160"/>
      <c r="BS222" s="160"/>
    </row>
    <row r="223" spans="1:71" x14ac:dyDescent="0.25">
      <c r="A223" s="154"/>
      <c r="B223" s="155"/>
      <c r="C223" s="155"/>
      <c r="D223" s="155"/>
      <c r="E223" s="156"/>
      <c r="F223" s="156"/>
      <c r="G223" s="155"/>
      <c r="H223" s="155"/>
      <c r="I223" s="155"/>
      <c r="J223" s="157"/>
      <c r="K223" s="157"/>
      <c r="L223" s="155"/>
      <c r="M223" s="155"/>
      <c r="N223" s="155"/>
      <c r="O223" s="156"/>
      <c r="P223" s="156"/>
      <c r="Q223" s="155"/>
      <c r="R223" s="155"/>
      <c r="S223" s="155"/>
      <c r="T223" s="156"/>
      <c r="U223" s="156"/>
      <c r="V223" s="155"/>
      <c r="W223" s="155"/>
      <c r="X223" s="155"/>
      <c r="Y223" s="155"/>
      <c r="Z223" s="155"/>
      <c r="AA223" s="156"/>
      <c r="AB223" s="156"/>
      <c r="AC223" s="155"/>
      <c r="AD223" s="155"/>
      <c r="AE223" s="155"/>
      <c r="AF223" s="156"/>
      <c r="AG223" s="156"/>
      <c r="AH223" s="155"/>
      <c r="AI223" s="155"/>
      <c r="AJ223" s="155"/>
      <c r="AK223" s="156"/>
      <c r="AL223" s="156"/>
      <c r="AM223" s="155"/>
      <c r="AN223" s="155"/>
      <c r="AO223" s="155"/>
      <c r="AP223" s="156"/>
      <c r="AQ223" s="156"/>
      <c r="AR223" s="155"/>
      <c r="AS223" s="155"/>
      <c r="AT223" s="155"/>
      <c r="AU223" s="156"/>
      <c r="AV223" s="156"/>
      <c r="AW223" s="155"/>
      <c r="AX223" s="155"/>
      <c r="AY223" s="155"/>
      <c r="AZ223" s="156"/>
      <c r="BA223" s="156"/>
      <c r="BB223" s="155"/>
      <c r="BC223" s="155"/>
      <c r="BD223" s="155"/>
      <c r="BE223" s="155"/>
      <c r="BF223" s="155"/>
      <c r="BG223" s="158"/>
      <c r="BH223" s="158"/>
      <c r="BI223" s="155"/>
      <c r="BJ223" s="155"/>
      <c r="BK223" s="159"/>
      <c r="BL223" s="156"/>
      <c r="BM223" s="156"/>
      <c r="BN223" s="156"/>
      <c r="BO223" s="156"/>
      <c r="BP223" s="160"/>
      <c r="BQ223" s="160"/>
      <c r="BR223" s="160"/>
      <c r="BS223" s="160"/>
    </row>
    <row r="224" spans="1:71" x14ac:dyDescent="0.25">
      <c r="A224" s="154"/>
      <c r="B224" s="155"/>
      <c r="C224" s="155"/>
      <c r="D224" s="155"/>
      <c r="E224" s="156"/>
      <c r="F224" s="156"/>
      <c r="G224" s="155"/>
      <c r="H224" s="155"/>
      <c r="I224" s="155"/>
      <c r="J224" s="157"/>
      <c r="K224" s="157"/>
      <c r="L224" s="155"/>
      <c r="M224" s="155"/>
      <c r="N224" s="155"/>
      <c r="O224" s="156"/>
      <c r="P224" s="156"/>
      <c r="Q224" s="155"/>
      <c r="R224" s="155"/>
      <c r="S224" s="155"/>
      <c r="T224" s="156"/>
      <c r="U224" s="156"/>
      <c r="V224" s="155"/>
      <c r="W224" s="155"/>
      <c r="X224" s="155"/>
      <c r="Y224" s="155"/>
      <c r="Z224" s="155"/>
      <c r="AA224" s="156"/>
      <c r="AB224" s="156"/>
      <c r="AC224" s="155"/>
      <c r="AD224" s="155"/>
      <c r="AE224" s="155"/>
      <c r="AF224" s="156"/>
      <c r="AG224" s="156"/>
      <c r="AH224" s="155"/>
      <c r="AI224" s="155"/>
      <c r="AJ224" s="155"/>
      <c r="AK224" s="156"/>
      <c r="AL224" s="156"/>
      <c r="AM224" s="155"/>
      <c r="AN224" s="155"/>
      <c r="AO224" s="155"/>
      <c r="AP224" s="156"/>
      <c r="AQ224" s="156"/>
      <c r="AR224" s="155"/>
      <c r="AS224" s="155"/>
      <c r="AT224" s="155"/>
      <c r="AU224" s="156"/>
      <c r="AV224" s="156"/>
      <c r="AW224" s="155"/>
      <c r="AX224" s="155"/>
      <c r="AY224" s="155"/>
      <c r="AZ224" s="156"/>
      <c r="BA224" s="156"/>
      <c r="BB224" s="155"/>
      <c r="BC224" s="155"/>
      <c r="BD224" s="155"/>
      <c r="BE224" s="155"/>
      <c r="BF224" s="155"/>
      <c r="BG224" s="158"/>
      <c r="BH224" s="158"/>
      <c r="BI224" s="155"/>
      <c r="BJ224" s="155"/>
      <c r="BK224" s="159"/>
      <c r="BL224" s="156"/>
      <c r="BM224" s="156"/>
      <c r="BN224" s="156"/>
      <c r="BO224" s="156"/>
      <c r="BP224" s="160"/>
      <c r="BQ224" s="160"/>
      <c r="BR224" s="160"/>
      <c r="BS224" s="160"/>
    </row>
    <row r="225" spans="1:71" x14ac:dyDescent="0.25">
      <c r="A225" s="154"/>
      <c r="B225" s="155"/>
      <c r="C225" s="155"/>
      <c r="D225" s="155"/>
      <c r="E225" s="156"/>
      <c r="F225" s="156"/>
      <c r="G225" s="155"/>
      <c r="H225" s="155"/>
      <c r="I225" s="155"/>
      <c r="J225" s="157"/>
      <c r="K225" s="157"/>
      <c r="L225" s="155"/>
      <c r="M225" s="155"/>
      <c r="N225" s="155"/>
      <c r="O225" s="156"/>
      <c r="P225" s="156"/>
      <c r="Q225" s="155"/>
      <c r="R225" s="155"/>
      <c r="S225" s="155"/>
      <c r="T225" s="156"/>
      <c r="U225" s="156"/>
      <c r="V225" s="155"/>
      <c r="W225" s="155"/>
      <c r="X225" s="155"/>
      <c r="Y225" s="155"/>
      <c r="Z225" s="155"/>
      <c r="AA225" s="156"/>
      <c r="AB225" s="156"/>
      <c r="AC225" s="155"/>
      <c r="AD225" s="155"/>
      <c r="AE225" s="155"/>
      <c r="AF225" s="156"/>
      <c r="AG225" s="156"/>
      <c r="AH225" s="155"/>
      <c r="AI225" s="155"/>
      <c r="AJ225" s="155"/>
      <c r="AK225" s="156"/>
      <c r="AL225" s="156"/>
      <c r="AM225" s="155"/>
      <c r="AN225" s="155"/>
      <c r="AO225" s="155"/>
      <c r="AP225" s="156"/>
      <c r="AQ225" s="156"/>
      <c r="AR225" s="155"/>
      <c r="AS225" s="155"/>
      <c r="AT225" s="155"/>
      <c r="AU225" s="156"/>
      <c r="AV225" s="156"/>
      <c r="AW225" s="155"/>
      <c r="AX225" s="155"/>
      <c r="AY225" s="155"/>
      <c r="AZ225" s="156"/>
      <c r="BA225" s="156"/>
      <c r="BB225" s="155"/>
      <c r="BC225" s="155"/>
      <c r="BD225" s="155"/>
      <c r="BE225" s="155"/>
      <c r="BF225" s="155"/>
      <c r="BG225" s="158"/>
      <c r="BH225" s="158"/>
      <c r="BI225" s="155"/>
      <c r="BJ225" s="155"/>
      <c r="BK225" s="159"/>
      <c r="BL225" s="156"/>
      <c r="BM225" s="156"/>
      <c r="BN225" s="156"/>
      <c r="BO225" s="156"/>
      <c r="BP225" s="160"/>
      <c r="BQ225" s="160"/>
      <c r="BR225" s="160"/>
      <c r="BS225" s="160"/>
    </row>
    <row r="226" spans="1:71" x14ac:dyDescent="0.25">
      <c r="A226" s="154"/>
      <c r="B226" s="155"/>
      <c r="C226" s="155"/>
      <c r="D226" s="155"/>
      <c r="E226" s="156"/>
      <c r="F226" s="156"/>
      <c r="G226" s="155"/>
      <c r="H226" s="155"/>
      <c r="I226" s="155"/>
      <c r="J226" s="157"/>
      <c r="K226" s="157"/>
      <c r="L226" s="155"/>
      <c r="M226" s="155"/>
      <c r="N226" s="155"/>
      <c r="O226" s="156"/>
      <c r="P226" s="156"/>
      <c r="Q226" s="155"/>
      <c r="R226" s="155"/>
      <c r="S226" s="155"/>
      <c r="T226" s="156"/>
      <c r="U226" s="156"/>
      <c r="V226" s="155"/>
      <c r="W226" s="155"/>
      <c r="X226" s="155"/>
      <c r="Y226" s="155"/>
      <c r="Z226" s="155"/>
      <c r="AA226" s="156"/>
      <c r="AB226" s="156"/>
      <c r="AC226" s="155"/>
      <c r="AD226" s="155"/>
      <c r="AE226" s="155"/>
      <c r="AF226" s="156"/>
      <c r="AG226" s="156"/>
      <c r="AH226" s="155"/>
      <c r="AI226" s="155"/>
      <c r="AJ226" s="155"/>
      <c r="AK226" s="156"/>
      <c r="AL226" s="156"/>
      <c r="AM226" s="155"/>
      <c r="AN226" s="155"/>
      <c r="AO226" s="155"/>
      <c r="AP226" s="156"/>
      <c r="AQ226" s="156"/>
      <c r="AR226" s="155"/>
      <c r="AS226" s="155"/>
      <c r="AT226" s="155"/>
      <c r="AU226" s="156"/>
      <c r="AV226" s="156"/>
      <c r="AW226" s="155"/>
      <c r="AX226" s="155"/>
      <c r="AY226" s="155"/>
      <c r="AZ226" s="156"/>
      <c r="BA226" s="156"/>
      <c r="BB226" s="155"/>
      <c r="BC226" s="155"/>
      <c r="BD226" s="155"/>
      <c r="BE226" s="155"/>
      <c r="BF226" s="155"/>
      <c r="BG226" s="158"/>
      <c r="BH226" s="158"/>
      <c r="BI226" s="155"/>
      <c r="BJ226" s="155"/>
      <c r="BK226" s="159"/>
      <c r="BL226" s="156"/>
      <c r="BM226" s="156"/>
      <c r="BN226" s="156"/>
      <c r="BO226" s="156"/>
      <c r="BP226" s="160"/>
      <c r="BQ226" s="160"/>
      <c r="BR226" s="160"/>
      <c r="BS226" s="160"/>
    </row>
    <row r="227" spans="1:71" x14ac:dyDescent="0.25">
      <c r="A227" s="154"/>
      <c r="B227" s="155"/>
      <c r="C227" s="155"/>
      <c r="D227" s="155"/>
      <c r="E227" s="156"/>
      <c r="F227" s="156"/>
      <c r="G227" s="155"/>
      <c r="H227" s="155"/>
      <c r="I227" s="155"/>
      <c r="J227" s="157"/>
      <c r="K227" s="157"/>
      <c r="L227" s="155"/>
      <c r="M227" s="155"/>
      <c r="N227" s="155"/>
      <c r="O227" s="156"/>
      <c r="P227" s="156"/>
      <c r="Q227" s="155"/>
      <c r="R227" s="155"/>
      <c r="S227" s="155"/>
      <c r="T227" s="156"/>
      <c r="U227" s="156"/>
      <c r="V227" s="155"/>
      <c r="W227" s="155"/>
      <c r="X227" s="155"/>
      <c r="Y227" s="155"/>
      <c r="Z227" s="155"/>
      <c r="AA227" s="156"/>
      <c r="AB227" s="156"/>
      <c r="AC227" s="155"/>
      <c r="AD227" s="155"/>
      <c r="AE227" s="155"/>
      <c r="AF227" s="156"/>
      <c r="AG227" s="156"/>
      <c r="AH227" s="155"/>
      <c r="AI227" s="155"/>
      <c r="AJ227" s="155"/>
      <c r="AK227" s="156"/>
      <c r="AL227" s="156"/>
      <c r="AM227" s="155"/>
      <c r="AN227" s="155"/>
      <c r="AO227" s="155"/>
      <c r="AP227" s="156"/>
      <c r="AQ227" s="156"/>
      <c r="AR227" s="155"/>
      <c r="AS227" s="155"/>
      <c r="AT227" s="155"/>
      <c r="AU227" s="156"/>
      <c r="AV227" s="156"/>
      <c r="AW227" s="155"/>
      <c r="AX227" s="155"/>
      <c r="AY227" s="155"/>
      <c r="AZ227" s="156"/>
      <c r="BA227" s="156"/>
      <c r="BB227" s="155"/>
      <c r="BC227" s="155"/>
      <c r="BD227" s="155"/>
      <c r="BE227" s="155"/>
      <c r="BF227" s="155"/>
      <c r="BG227" s="158"/>
      <c r="BH227" s="158"/>
      <c r="BI227" s="155"/>
      <c r="BJ227" s="155"/>
      <c r="BK227" s="159"/>
      <c r="BL227" s="156"/>
      <c r="BM227" s="156"/>
      <c r="BN227" s="156"/>
      <c r="BO227" s="156"/>
      <c r="BP227" s="160"/>
      <c r="BQ227" s="160"/>
      <c r="BR227" s="160"/>
      <c r="BS227" s="160"/>
    </row>
    <row r="228" spans="1:71" x14ac:dyDescent="0.25">
      <c r="A228" s="154"/>
      <c r="B228" s="155"/>
      <c r="C228" s="155"/>
      <c r="D228" s="155"/>
      <c r="E228" s="156"/>
      <c r="F228" s="156"/>
      <c r="G228" s="155"/>
      <c r="H228" s="155"/>
      <c r="I228" s="155"/>
      <c r="J228" s="157"/>
      <c r="K228" s="157"/>
      <c r="L228" s="155"/>
      <c r="M228" s="155"/>
      <c r="N228" s="155"/>
      <c r="O228" s="156"/>
      <c r="P228" s="156"/>
      <c r="Q228" s="155"/>
      <c r="R228" s="155"/>
      <c r="S228" s="155"/>
      <c r="T228" s="156"/>
      <c r="U228" s="156"/>
      <c r="V228" s="155"/>
      <c r="W228" s="155"/>
      <c r="X228" s="155"/>
      <c r="Y228" s="155"/>
      <c r="Z228" s="155"/>
      <c r="AA228" s="156"/>
      <c r="AB228" s="156"/>
      <c r="AC228" s="155"/>
      <c r="AD228" s="155"/>
      <c r="AE228" s="155"/>
      <c r="AF228" s="156"/>
      <c r="AG228" s="156"/>
      <c r="AH228" s="155"/>
      <c r="AI228" s="155"/>
      <c r="AJ228" s="155"/>
      <c r="AK228" s="156"/>
      <c r="AL228" s="156"/>
      <c r="AM228" s="155"/>
      <c r="AN228" s="155"/>
      <c r="AO228" s="155"/>
      <c r="AP228" s="156"/>
      <c r="AQ228" s="156"/>
      <c r="AR228" s="155"/>
      <c r="AS228" s="155"/>
      <c r="AT228" s="155"/>
      <c r="AU228" s="156"/>
      <c r="AV228" s="156"/>
      <c r="AW228" s="155"/>
      <c r="AX228" s="155"/>
      <c r="AY228" s="155"/>
      <c r="AZ228" s="156"/>
      <c r="BA228" s="156"/>
      <c r="BB228" s="155"/>
      <c r="BC228" s="155"/>
      <c r="BD228" s="155"/>
      <c r="BE228" s="155"/>
      <c r="BF228" s="155"/>
      <c r="BG228" s="158"/>
      <c r="BH228" s="158"/>
      <c r="BI228" s="155"/>
      <c r="BJ228" s="155"/>
      <c r="BK228" s="159"/>
      <c r="BL228" s="156"/>
      <c r="BM228" s="156"/>
      <c r="BN228" s="156"/>
      <c r="BO228" s="156"/>
      <c r="BP228" s="160"/>
      <c r="BQ228" s="160"/>
      <c r="BR228" s="160"/>
      <c r="BS228" s="160"/>
    </row>
    <row r="229" spans="1:71" x14ac:dyDescent="0.25">
      <c r="A229" s="154"/>
      <c r="B229" s="155"/>
      <c r="C229" s="155"/>
      <c r="D229" s="155"/>
      <c r="E229" s="156"/>
      <c r="F229" s="156"/>
      <c r="G229" s="155"/>
      <c r="H229" s="155"/>
      <c r="I229" s="155"/>
      <c r="J229" s="157"/>
      <c r="K229" s="157"/>
      <c r="L229" s="155"/>
      <c r="M229" s="155"/>
      <c r="N229" s="155"/>
      <c r="O229" s="156"/>
      <c r="P229" s="156"/>
      <c r="Q229" s="155"/>
      <c r="R229" s="155"/>
      <c r="S229" s="155"/>
      <c r="T229" s="156"/>
      <c r="U229" s="156"/>
      <c r="V229" s="155"/>
      <c r="W229" s="155"/>
      <c r="X229" s="155"/>
      <c r="Y229" s="155"/>
      <c r="Z229" s="155"/>
      <c r="AA229" s="156"/>
      <c r="AB229" s="156"/>
      <c r="AC229" s="155"/>
      <c r="AD229" s="155"/>
      <c r="AE229" s="155"/>
      <c r="AF229" s="156"/>
      <c r="AG229" s="156"/>
      <c r="AH229" s="155"/>
      <c r="AI229" s="155"/>
      <c r="AJ229" s="155"/>
      <c r="AK229" s="156"/>
      <c r="AL229" s="156"/>
      <c r="AM229" s="155"/>
      <c r="AN229" s="155"/>
      <c r="AO229" s="155"/>
      <c r="AP229" s="156"/>
      <c r="AQ229" s="156"/>
      <c r="AR229" s="155"/>
      <c r="AS229" s="155"/>
      <c r="AT229" s="155"/>
      <c r="AU229" s="156"/>
      <c r="AV229" s="156"/>
      <c r="AW229" s="155"/>
      <c r="AX229" s="155"/>
      <c r="AY229" s="155"/>
      <c r="AZ229" s="156"/>
      <c r="BA229" s="156"/>
      <c r="BB229" s="155"/>
      <c r="BC229" s="155"/>
      <c r="BD229" s="155"/>
      <c r="BE229" s="155"/>
      <c r="BF229" s="155"/>
      <c r="BG229" s="158"/>
      <c r="BH229" s="158"/>
      <c r="BI229" s="155"/>
      <c r="BJ229" s="155"/>
      <c r="BK229" s="159"/>
      <c r="BL229" s="156"/>
      <c r="BM229" s="156"/>
      <c r="BN229" s="156"/>
      <c r="BO229" s="156"/>
      <c r="BP229" s="160"/>
      <c r="BQ229" s="160"/>
      <c r="BR229" s="160"/>
      <c r="BS229" s="160"/>
    </row>
    <row r="230" spans="1:71" x14ac:dyDescent="0.25">
      <c r="A230" s="154"/>
      <c r="B230" s="155"/>
      <c r="C230" s="155"/>
      <c r="D230" s="155"/>
      <c r="E230" s="156"/>
      <c r="F230" s="156"/>
      <c r="G230" s="155"/>
      <c r="H230" s="155"/>
      <c r="I230" s="155"/>
      <c r="J230" s="157"/>
      <c r="K230" s="157"/>
      <c r="L230" s="155"/>
      <c r="M230" s="155"/>
      <c r="N230" s="155"/>
      <c r="O230" s="156"/>
      <c r="P230" s="156"/>
      <c r="Q230" s="155"/>
      <c r="R230" s="155"/>
      <c r="S230" s="155"/>
      <c r="T230" s="156"/>
      <c r="U230" s="156"/>
      <c r="V230" s="155"/>
      <c r="W230" s="155"/>
      <c r="X230" s="155"/>
      <c r="Y230" s="155"/>
      <c r="Z230" s="155"/>
      <c r="AA230" s="156"/>
      <c r="AB230" s="156"/>
      <c r="AC230" s="155"/>
      <c r="AD230" s="155"/>
      <c r="AE230" s="155"/>
      <c r="AF230" s="156"/>
      <c r="AG230" s="156"/>
      <c r="AH230" s="155"/>
      <c r="AI230" s="155"/>
      <c r="AJ230" s="155"/>
      <c r="AK230" s="156"/>
      <c r="AL230" s="156"/>
      <c r="AM230" s="155"/>
      <c r="AN230" s="155"/>
      <c r="AO230" s="155"/>
      <c r="AP230" s="156"/>
      <c r="AQ230" s="156"/>
      <c r="AR230" s="155"/>
      <c r="AS230" s="155"/>
      <c r="AT230" s="155"/>
      <c r="AU230" s="156"/>
      <c r="AV230" s="156"/>
      <c r="AW230" s="155"/>
      <c r="AX230" s="155"/>
      <c r="AY230" s="155"/>
      <c r="AZ230" s="156"/>
      <c r="BA230" s="156"/>
      <c r="BB230" s="155"/>
      <c r="BC230" s="155"/>
      <c r="BD230" s="155"/>
      <c r="BE230" s="155"/>
      <c r="BF230" s="155"/>
      <c r="BG230" s="158"/>
      <c r="BH230" s="158"/>
      <c r="BI230" s="155"/>
      <c r="BJ230" s="155"/>
      <c r="BK230" s="159"/>
      <c r="BL230" s="156"/>
      <c r="BM230" s="156"/>
      <c r="BN230" s="156"/>
      <c r="BO230" s="156"/>
      <c r="BP230" s="160"/>
      <c r="BQ230" s="160"/>
      <c r="BR230" s="160"/>
      <c r="BS230" s="160"/>
    </row>
    <row r="231" spans="1:71" x14ac:dyDescent="0.25">
      <c r="A231" s="154"/>
      <c r="B231" s="155"/>
      <c r="C231" s="155"/>
      <c r="D231" s="155"/>
      <c r="E231" s="156"/>
      <c r="F231" s="156"/>
      <c r="G231" s="155"/>
      <c r="H231" s="155"/>
      <c r="I231" s="155"/>
      <c r="J231" s="157"/>
      <c r="K231" s="157"/>
      <c r="L231" s="155"/>
      <c r="M231" s="155"/>
      <c r="N231" s="155"/>
      <c r="O231" s="156"/>
      <c r="P231" s="156"/>
      <c r="Q231" s="155"/>
      <c r="R231" s="155"/>
      <c r="S231" s="155"/>
      <c r="T231" s="156"/>
      <c r="U231" s="156"/>
      <c r="V231" s="155"/>
      <c r="W231" s="155"/>
      <c r="X231" s="155"/>
      <c r="Y231" s="155"/>
      <c r="Z231" s="155"/>
      <c r="AA231" s="156"/>
      <c r="AB231" s="156"/>
      <c r="AC231" s="155"/>
      <c r="AD231" s="155"/>
      <c r="AE231" s="155"/>
      <c r="AF231" s="156"/>
      <c r="AG231" s="156"/>
      <c r="AH231" s="155"/>
      <c r="AI231" s="155"/>
      <c r="AJ231" s="155"/>
      <c r="AK231" s="156"/>
      <c r="AL231" s="156"/>
      <c r="AM231" s="155"/>
      <c r="AN231" s="155"/>
      <c r="AO231" s="155"/>
      <c r="AP231" s="156"/>
      <c r="AQ231" s="156"/>
      <c r="AR231" s="155"/>
      <c r="AS231" s="155"/>
      <c r="AT231" s="155"/>
      <c r="AU231" s="156"/>
      <c r="AV231" s="156"/>
      <c r="AW231" s="155"/>
      <c r="AX231" s="155"/>
      <c r="AY231" s="155"/>
      <c r="AZ231" s="156"/>
      <c r="BA231" s="156"/>
      <c r="BB231" s="155"/>
      <c r="BC231" s="155"/>
      <c r="BD231" s="155"/>
      <c r="BE231" s="155"/>
      <c r="BF231" s="155"/>
      <c r="BG231" s="158"/>
      <c r="BH231" s="158"/>
      <c r="BI231" s="155"/>
      <c r="BJ231" s="155"/>
      <c r="BK231" s="159"/>
      <c r="BL231" s="156"/>
      <c r="BM231" s="156"/>
      <c r="BN231" s="156"/>
      <c r="BO231" s="156"/>
      <c r="BP231" s="160"/>
      <c r="BQ231" s="160"/>
      <c r="BR231" s="160"/>
      <c r="BS231" s="160"/>
    </row>
    <row r="232" spans="1:71" x14ac:dyDescent="0.25">
      <c r="A232" s="154"/>
      <c r="B232" s="155"/>
      <c r="C232" s="155"/>
      <c r="D232" s="155"/>
      <c r="E232" s="156"/>
      <c r="F232" s="156"/>
      <c r="G232" s="155"/>
      <c r="H232" s="155"/>
      <c r="I232" s="155"/>
      <c r="J232" s="157"/>
      <c r="K232" s="157"/>
      <c r="L232" s="155"/>
      <c r="M232" s="155"/>
      <c r="N232" s="155"/>
      <c r="O232" s="156"/>
      <c r="P232" s="156"/>
      <c r="Q232" s="155"/>
      <c r="R232" s="155"/>
      <c r="S232" s="155"/>
      <c r="T232" s="156"/>
      <c r="U232" s="156"/>
      <c r="V232" s="155"/>
      <c r="W232" s="155"/>
      <c r="X232" s="155"/>
      <c r="Y232" s="155"/>
      <c r="Z232" s="155"/>
      <c r="AA232" s="156"/>
      <c r="AB232" s="156"/>
      <c r="AC232" s="155"/>
      <c r="AD232" s="155"/>
      <c r="AE232" s="155"/>
      <c r="AF232" s="156"/>
      <c r="AG232" s="156"/>
      <c r="AH232" s="155"/>
      <c r="AI232" s="155"/>
      <c r="AJ232" s="155"/>
      <c r="AK232" s="156"/>
      <c r="AL232" s="156"/>
      <c r="AM232" s="155"/>
      <c r="AN232" s="155"/>
      <c r="AO232" s="155"/>
      <c r="AP232" s="156"/>
      <c r="AQ232" s="156"/>
      <c r="AR232" s="155"/>
      <c r="AS232" s="155"/>
      <c r="AT232" s="155"/>
      <c r="AU232" s="156"/>
      <c r="AV232" s="156"/>
      <c r="AW232" s="155"/>
      <c r="AX232" s="155"/>
      <c r="AY232" s="155"/>
      <c r="AZ232" s="156"/>
      <c r="BA232" s="156"/>
      <c r="BB232" s="155"/>
      <c r="BC232" s="155"/>
      <c r="BD232" s="155"/>
      <c r="BE232" s="155"/>
      <c r="BF232" s="155"/>
      <c r="BG232" s="158"/>
      <c r="BH232" s="158"/>
      <c r="BI232" s="155"/>
      <c r="BJ232" s="155"/>
      <c r="BK232" s="159"/>
      <c r="BL232" s="156"/>
      <c r="BM232" s="156"/>
      <c r="BN232" s="156"/>
      <c r="BO232" s="156"/>
      <c r="BP232" s="160"/>
      <c r="BQ232" s="160"/>
      <c r="BR232" s="160"/>
      <c r="BS232" s="160"/>
    </row>
    <row r="233" spans="1:71" x14ac:dyDescent="0.25">
      <c r="A233" s="154"/>
      <c r="B233" s="155"/>
      <c r="C233" s="155"/>
      <c r="D233" s="155"/>
      <c r="E233" s="156"/>
      <c r="F233" s="156"/>
      <c r="G233" s="155"/>
      <c r="H233" s="155"/>
      <c r="I233" s="155"/>
      <c r="J233" s="157"/>
      <c r="K233" s="157"/>
      <c r="L233" s="155"/>
      <c r="M233" s="155"/>
      <c r="N233" s="155"/>
      <c r="O233" s="156"/>
      <c r="P233" s="156"/>
      <c r="Q233" s="155"/>
      <c r="R233" s="155"/>
      <c r="S233" s="155"/>
      <c r="T233" s="156"/>
      <c r="U233" s="156"/>
      <c r="V233" s="155"/>
      <c r="W233" s="155"/>
      <c r="X233" s="155"/>
      <c r="Y233" s="155"/>
      <c r="Z233" s="155"/>
      <c r="AA233" s="156"/>
      <c r="AB233" s="156"/>
      <c r="AC233" s="155"/>
      <c r="AD233" s="155"/>
      <c r="AE233" s="155"/>
      <c r="AF233" s="156"/>
      <c r="AG233" s="156"/>
      <c r="AH233" s="155"/>
      <c r="AI233" s="155"/>
      <c r="AJ233" s="155"/>
      <c r="AK233" s="156"/>
      <c r="AL233" s="156"/>
      <c r="AM233" s="155"/>
      <c r="AN233" s="155"/>
      <c r="AO233" s="155"/>
      <c r="AP233" s="156"/>
      <c r="AQ233" s="156"/>
      <c r="AR233" s="155"/>
      <c r="AS233" s="155"/>
      <c r="AT233" s="155"/>
      <c r="AU233" s="156"/>
      <c r="AV233" s="156"/>
      <c r="AW233" s="155"/>
      <c r="AX233" s="155"/>
      <c r="AY233" s="155"/>
      <c r="AZ233" s="156"/>
      <c r="BA233" s="156"/>
      <c r="BB233" s="155"/>
      <c r="BC233" s="155"/>
      <c r="BD233" s="155"/>
      <c r="BE233" s="155"/>
      <c r="BF233" s="155"/>
      <c r="BG233" s="158"/>
      <c r="BH233" s="158"/>
      <c r="BI233" s="155"/>
      <c r="BJ233" s="155"/>
      <c r="BK233" s="159"/>
      <c r="BL233" s="156"/>
      <c r="BM233" s="156"/>
      <c r="BN233" s="156"/>
      <c r="BO233" s="156"/>
      <c r="BP233" s="160"/>
      <c r="BQ233" s="160"/>
      <c r="BR233" s="160"/>
      <c r="BS233" s="160"/>
    </row>
    <row r="234" spans="1:71" x14ac:dyDescent="0.25">
      <c r="A234" s="154"/>
      <c r="B234" s="155"/>
      <c r="C234" s="155"/>
      <c r="D234" s="155"/>
      <c r="E234" s="156"/>
      <c r="F234" s="156"/>
      <c r="G234" s="155"/>
      <c r="H234" s="155"/>
      <c r="I234" s="155"/>
      <c r="J234" s="157"/>
      <c r="K234" s="157"/>
      <c r="L234" s="155"/>
      <c r="M234" s="155"/>
      <c r="N234" s="155"/>
      <c r="O234" s="156"/>
      <c r="P234" s="156"/>
      <c r="Q234" s="155"/>
      <c r="R234" s="155"/>
      <c r="S234" s="155"/>
      <c r="T234" s="156"/>
      <c r="U234" s="156"/>
      <c r="V234" s="155"/>
      <c r="W234" s="155"/>
      <c r="X234" s="155"/>
      <c r="Y234" s="155"/>
      <c r="Z234" s="155"/>
      <c r="AA234" s="156"/>
      <c r="AB234" s="156"/>
      <c r="AC234" s="155"/>
      <c r="AD234" s="155"/>
      <c r="AE234" s="155"/>
      <c r="AF234" s="156"/>
      <c r="AG234" s="156"/>
      <c r="AH234" s="155"/>
      <c r="AI234" s="155"/>
      <c r="AJ234" s="155"/>
      <c r="AK234" s="156"/>
      <c r="AL234" s="156"/>
      <c r="AM234" s="155"/>
      <c r="AN234" s="155"/>
      <c r="AO234" s="155"/>
      <c r="AP234" s="156"/>
      <c r="AQ234" s="156"/>
      <c r="AR234" s="155"/>
      <c r="AS234" s="155"/>
      <c r="AT234" s="155"/>
      <c r="AU234" s="156"/>
      <c r="AV234" s="156"/>
      <c r="AW234" s="155"/>
      <c r="AX234" s="155"/>
      <c r="AY234" s="155"/>
      <c r="AZ234" s="156"/>
      <c r="BA234" s="156"/>
      <c r="BB234" s="155"/>
      <c r="BC234" s="155"/>
      <c r="BD234" s="155"/>
      <c r="BE234" s="155"/>
      <c r="BF234" s="155"/>
      <c r="BG234" s="158"/>
      <c r="BH234" s="158"/>
      <c r="BI234" s="155"/>
      <c r="BJ234" s="155"/>
      <c r="BK234" s="159"/>
      <c r="BL234" s="156"/>
      <c r="BM234" s="156"/>
      <c r="BN234" s="156"/>
      <c r="BO234" s="156"/>
      <c r="BP234" s="160"/>
      <c r="BQ234" s="160"/>
      <c r="BR234" s="160"/>
      <c r="BS234" s="160"/>
    </row>
    <row r="235" spans="1:71" x14ac:dyDescent="0.25">
      <c r="A235" s="154"/>
      <c r="B235" s="155"/>
      <c r="C235" s="155"/>
      <c r="D235" s="155"/>
      <c r="E235" s="156"/>
      <c r="F235" s="156"/>
      <c r="G235" s="155"/>
      <c r="H235" s="155"/>
      <c r="I235" s="155"/>
      <c r="J235" s="157"/>
      <c r="K235" s="157"/>
      <c r="L235" s="155"/>
      <c r="M235" s="155"/>
      <c r="N235" s="155"/>
      <c r="O235" s="156"/>
      <c r="P235" s="156"/>
      <c r="Q235" s="155"/>
      <c r="R235" s="155"/>
      <c r="S235" s="155"/>
      <c r="T235" s="156"/>
      <c r="U235" s="156"/>
      <c r="V235" s="155"/>
      <c r="W235" s="155"/>
      <c r="X235" s="155"/>
      <c r="Y235" s="155"/>
      <c r="Z235" s="155"/>
      <c r="AA235" s="156"/>
      <c r="AB235" s="156"/>
      <c r="AC235" s="155"/>
      <c r="AD235" s="155"/>
      <c r="AE235" s="155"/>
      <c r="AF235" s="156"/>
      <c r="AG235" s="156"/>
      <c r="AH235" s="155"/>
      <c r="AI235" s="155"/>
      <c r="AJ235" s="155"/>
      <c r="AK235" s="156"/>
      <c r="AL235" s="156"/>
      <c r="AM235" s="155"/>
      <c r="AN235" s="155"/>
      <c r="AO235" s="155"/>
      <c r="AP235" s="156"/>
      <c r="AQ235" s="156"/>
      <c r="AR235" s="155"/>
      <c r="AS235" s="155"/>
      <c r="AT235" s="155"/>
      <c r="AU235" s="156"/>
      <c r="AV235" s="156"/>
      <c r="AW235" s="155"/>
      <c r="AX235" s="155"/>
      <c r="AY235" s="155"/>
      <c r="AZ235" s="156"/>
      <c r="BA235" s="156"/>
      <c r="BB235" s="155"/>
      <c r="BC235" s="155"/>
      <c r="BD235" s="155"/>
      <c r="BE235" s="155"/>
      <c r="BF235" s="155"/>
      <c r="BG235" s="158"/>
      <c r="BH235" s="158"/>
      <c r="BI235" s="155"/>
      <c r="BJ235" s="155"/>
      <c r="BK235" s="159"/>
      <c r="BL235" s="156"/>
      <c r="BM235" s="156"/>
      <c r="BN235" s="156"/>
      <c r="BO235" s="156"/>
      <c r="BP235" s="160"/>
      <c r="BQ235" s="160"/>
      <c r="BR235" s="160"/>
      <c r="BS235" s="160"/>
    </row>
    <row r="236" spans="1:71" x14ac:dyDescent="0.25">
      <c r="A236" s="154"/>
      <c r="B236" s="155"/>
      <c r="C236" s="155"/>
      <c r="D236" s="155"/>
      <c r="E236" s="156"/>
      <c r="F236" s="156"/>
      <c r="G236" s="155"/>
      <c r="H236" s="155"/>
      <c r="I236" s="155"/>
      <c r="J236" s="157"/>
      <c r="K236" s="157"/>
      <c r="L236" s="155"/>
      <c r="M236" s="155"/>
      <c r="N236" s="155"/>
      <c r="O236" s="156"/>
      <c r="P236" s="156"/>
      <c r="Q236" s="155"/>
      <c r="R236" s="155"/>
      <c r="S236" s="155"/>
      <c r="T236" s="156"/>
      <c r="U236" s="156"/>
      <c r="V236" s="155"/>
      <c r="W236" s="155"/>
      <c r="X236" s="155"/>
      <c r="Y236" s="155"/>
      <c r="Z236" s="155"/>
      <c r="AA236" s="156"/>
      <c r="AB236" s="156"/>
      <c r="AC236" s="155"/>
      <c r="AD236" s="155"/>
      <c r="AE236" s="155"/>
      <c r="AF236" s="156"/>
      <c r="AG236" s="156"/>
      <c r="AH236" s="155"/>
      <c r="AI236" s="155"/>
      <c r="AJ236" s="155"/>
      <c r="AK236" s="156"/>
      <c r="AL236" s="156"/>
      <c r="AM236" s="155"/>
      <c r="AN236" s="155"/>
      <c r="AO236" s="155"/>
      <c r="AP236" s="156"/>
      <c r="AQ236" s="156"/>
      <c r="AR236" s="155"/>
      <c r="AS236" s="155"/>
      <c r="AT236" s="155"/>
      <c r="AU236" s="156"/>
      <c r="AV236" s="156"/>
      <c r="AW236" s="155"/>
      <c r="AX236" s="155"/>
      <c r="AY236" s="155"/>
      <c r="AZ236" s="156"/>
      <c r="BA236" s="156"/>
      <c r="BB236" s="155"/>
      <c r="BC236" s="155"/>
      <c r="BD236" s="155"/>
      <c r="BE236" s="155"/>
      <c r="BF236" s="155"/>
      <c r="BG236" s="158"/>
      <c r="BH236" s="158"/>
      <c r="BI236" s="155"/>
      <c r="BJ236" s="155"/>
      <c r="BK236" s="159"/>
      <c r="BL236" s="156"/>
      <c r="BM236" s="156"/>
      <c r="BN236" s="156"/>
      <c r="BO236" s="156"/>
      <c r="BP236" s="160"/>
      <c r="BQ236" s="160"/>
      <c r="BR236" s="160"/>
      <c r="BS236" s="160"/>
    </row>
    <row r="237" spans="1:71" x14ac:dyDescent="0.25">
      <c r="A237" s="154"/>
      <c r="B237" s="155"/>
      <c r="C237" s="155"/>
      <c r="D237" s="155"/>
      <c r="E237" s="156"/>
      <c r="F237" s="156"/>
      <c r="G237" s="155"/>
      <c r="H237" s="155"/>
      <c r="I237" s="155"/>
      <c r="J237" s="157"/>
      <c r="K237" s="157"/>
      <c r="L237" s="155"/>
      <c r="M237" s="155"/>
      <c r="N237" s="155"/>
      <c r="O237" s="156"/>
      <c r="P237" s="156"/>
      <c r="Q237" s="155"/>
      <c r="R237" s="155"/>
      <c r="S237" s="155"/>
      <c r="T237" s="156"/>
      <c r="U237" s="156"/>
      <c r="V237" s="155"/>
      <c r="W237" s="155"/>
      <c r="X237" s="155"/>
      <c r="Y237" s="155"/>
      <c r="Z237" s="155"/>
      <c r="AA237" s="156"/>
      <c r="AB237" s="156"/>
      <c r="AC237" s="155"/>
      <c r="AD237" s="155"/>
      <c r="AE237" s="155"/>
      <c r="AF237" s="156"/>
      <c r="AG237" s="156"/>
      <c r="AH237" s="155"/>
      <c r="AI237" s="155"/>
      <c r="AJ237" s="155"/>
      <c r="AK237" s="156"/>
      <c r="AL237" s="156"/>
      <c r="AM237" s="155"/>
      <c r="AN237" s="155"/>
      <c r="AO237" s="155"/>
      <c r="AP237" s="156"/>
      <c r="AQ237" s="156"/>
      <c r="AR237" s="155"/>
      <c r="AS237" s="155"/>
      <c r="AT237" s="155"/>
      <c r="AU237" s="156"/>
      <c r="AV237" s="156"/>
      <c r="AW237" s="155"/>
      <c r="AX237" s="155"/>
      <c r="AY237" s="155"/>
      <c r="AZ237" s="156"/>
      <c r="BA237" s="156"/>
      <c r="BB237" s="155"/>
      <c r="BC237" s="155"/>
      <c r="BD237" s="155"/>
      <c r="BE237" s="155"/>
      <c r="BF237" s="155"/>
      <c r="BG237" s="158"/>
      <c r="BH237" s="158"/>
      <c r="BI237" s="155"/>
      <c r="BJ237" s="155"/>
      <c r="BK237" s="159"/>
      <c r="BL237" s="156"/>
      <c r="BM237" s="156"/>
      <c r="BN237" s="156"/>
      <c r="BO237" s="156"/>
      <c r="BP237" s="160"/>
      <c r="BQ237" s="160"/>
      <c r="BR237" s="160"/>
      <c r="BS237" s="160"/>
    </row>
    <row r="238" spans="1:71" x14ac:dyDescent="0.25">
      <c r="A238" s="154"/>
      <c r="B238" s="155"/>
      <c r="C238" s="155"/>
      <c r="D238" s="155"/>
      <c r="E238" s="156"/>
      <c r="F238" s="156"/>
      <c r="G238" s="155"/>
      <c r="H238" s="155"/>
      <c r="I238" s="155"/>
      <c r="J238" s="157"/>
      <c r="K238" s="157"/>
      <c r="L238" s="155"/>
      <c r="M238" s="155"/>
      <c r="N238" s="155"/>
      <c r="O238" s="156"/>
      <c r="P238" s="156"/>
      <c r="Q238" s="155"/>
      <c r="R238" s="155"/>
      <c r="S238" s="155"/>
      <c r="T238" s="156"/>
      <c r="U238" s="156"/>
      <c r="V238" s="155"/>
      <c r="W238" s="155"/>
      <c r="X238" s="155"/>
      <c r="Y238" s="155"/>
      <c r="Z238" s="155"/>
      <c r="AA238" s="156"/>
      <c r="AB238" s="156"/>
      <c r="AC238" s="155"/>
      <c r="AD238" s="155"/>
      <c r="AE238" s="155"/>
      <c r="AF238" s="156"/>
      <c r="AG238" s="156"/>
      <c r="AH238" s="155"/>
      <c r="AI238" s="155"/>
      <c r="AJ238" s="155"/>
      <c r="AK238" s="156"/>
      <c r="AL238" s="156"/>
      <c r="AM238" s="155"/>
      <c r="AN238" s="155"/>
      <c r="AO238" s="155"/>
      <c r="AP238" s="156"/>
      <c r="AQ238" s="156"/>
      <c r="AR238" s="155"/>
      <c r="AS238" s="155"/>
      <c r="AT238" s="155"/>
      <c r="AU238" s="156"/>
      <c r="AV238" s="156"/>
      <c r="AW238" s="155"/>
      <c r="AX238" s="155"/>
      <c r="AY238" s="155"/>
      <c r="AZ238" s="156"/>
      <c r="BA238" s="156"/>
      <c r="BB238" s="155"/>
      <c r="BC238" s="155"/>
      <c r="BD238" s="155"/>
      <c r="BE238" s="155"/>
      <c r="BF238" s="155"/>
      <c r="BG238" s="158"/>
      <c r="BH238" s="158"/>
      <c r="BI238" s="155"/>
      <c r="BJ238" s="155"/>
      <c r="BK238" s="159"/>
      <c r="BL238" s="156"/>
      <c r="BM238" s="156"/>
      <c r="BN238" s="156"/>
      <c r="BO238" s="156"/>
      <c r="BP238" s="160"/>
      <c r="BQ238" s="160"/>
      <c r="BR238" s="160"/>
      <c r="BS238" s="160"/>
    </row>
    <row r="239" spans="1:71" x14ac:dyDescent="0.25">
      <c r="A239" s="154"/>
      <c r="B239" s="155"/>
      <c r="C239" s="155"/>
      <c r="D239" s="155"/>
      <c r="E239" s="156"/>
      <c r="F239" s="156"/>
      <c r="G239" s="155"/>
      <c r="H239" s="155"/>
      <c r="I239" s="155"/>
      <c r="J239" s="157"/>
      <c r="K239" s="157"/>
      <c r="L239" s="155"/>
      <c r="M239" s="155"/>
      <c r="N239" s="155"/>
      <c r="O239" s="156"/>
      <c r="P239" s="156"/>
      <c r="Q239" s="155"/>
      <c r="R239" s="155"/>
      <c r="S239" s="155"/>
      <c r="T239" s="156"/>
      <c r="U239" s="156"/>
      <c r="V239" s="155"/>
      <c r="W239" s="155"/>
      <c r="X239" s="155"/>
      <c r="Y239" s="155"/>
      <c r="Z239" s="155"/>
      <c r="AA239" s="156"/>
      <c r="AB239" s="156"/>
      <c r="AC239" s="155"/>
      <c r="AD239" s="155"/>
      <c r="AE239" s="155"/>
      <c r="AF239" s="156"/>
      <c r="AG239" s="156"/>
      <c r="AH239" s="155"/>
      <c r="AI239" s="155"/>
      <c r="AJ239" s="155"/>
      <c r="AK239" s="156"/>
      <c r="AL239" s="156"/>
      <c r="AM239" s="155"/>
      <c r="AN239" s="155"/>
      <c r="AO239" s="155"/>
      <c r="AP239" s="156"/>
      <c r="AQ239" s="156"/>
      <c r="AR239" s="155"/>
      <c r="AS239" s="155"/>
      <c r="AT239" s="155"/>
      <c r="AU239" s="156"/>
      <c r="AV239" s="156"/>
      <c r="AW239" s="155"/>
      <c r="AX239" s="155"/>
      <c r="AY239" s="155"/>
      <c r="AZ239" s="156"/>
      <c r="BA239" s="156"/>
      <c r="BB239" s="155"/>
      <c r="BC239" s="155"/>
      <c r="BD239" s="155"/>
      <c r="BE239" s="155"/>
      <c r="BF239" s="155"/>
      <c r="BG239" s="158"/>
      <c r="BH239" s="158"/>
      <c r="BI239" s="155"/>
      <c r="BJ239" s="155"/>
      <c r="BK239" s="159"/>
      <c r="BL239" s="156"/>
      <c r="BM239" s="156"/>
      <c r="BN239" s="156"/>
      <c r="BO239" s="156"/>
      <c r="BP239" s="160"/>
      <c r="BQ239" s="160"/>
      <c r="BR239" s="160"/>
      <c r="BS239" s="160"/>
    </row>
    <row r="240" spans="1:71" x14ac:dyDescent="0.25">
      <c r="A240" s="154"/>
      <c r="B240" s="155"/>
      <c r="C240" s="155"/>
      <c r="D240" s="155"/>
      <c r="E240" s="156"/>
      <c r="F240" s="156"/>
      <c r="G240" s="155"/>
      <c r="H240" s="155"/>
      <c r="I240" s="155"/>
      <c r="J240" s="157"/>
      <c r="K240" s="157"/>
      <c r="L240" s="155"/>
      <c r="M240" s="155"/>
      <c r="N240" s="155"/>
      <c r="O240" s="156"/>
      <c r="P240" s="156"/>
      <c r="Q240" s="155"/>
      <c r="R240" s="155"/>
      <c r="S240" s="155"/>
      <c r="T240" s="156"/>
      <c r="U240" s="156"/>
      <c r="V240" s="155"/>
      <c r="W240" s="155"/>
      <c r="X240" s="155"/>
      <c r="Y240" s="155"/>
      <c r="Z240" s="155"/>
      <c r="AA240" s="156"/>
      <c r="AB240" s="156"/>
      <c r="AC240" s="155"/>
      <c r="AD240" s="155"/>
      <c r="AE240" s="155"/>
      <c r="AF240" s="156"/>
      <c r="AG240" s="156"/>
      <c r="AH240" s="155"/>
      <c r="AI240" s="155"/>
      <c r="AJ240" s="155"/>
      <c r="AK240" s="156"/>
      <c r="AL240" s="156"/>
      <c r="AM240" s="155"/>
      <c r="AN240" s="155"/>
      <c r="AO240" s="155"/>
      <c r="AP240" s="156"/>
      <c r="AQ240" s="156"/>
      <c r="AR240" s="155"/>
      <c r="AS240" s="155"/>
      <c r="AT240" s="155"/>
      <c r="AU240" s="156"/>
      <c r="AV240" s="156"/>
      <c r="AW240" s="155"/>
      <c r="AX240" s="155"/>
      <c r="AY240" s="155"/>
      <c r="AZ240" s="156"/>
      <c r="BA240" s="156"/>
      <c r="BB240" s="155"/>
      <c r="BC240" s="155"/>
      <c r="BD240" s="155"/>
      <c r="BE240" s="155"/>
      <c r="BF240" s="155"/>
      <c r="BG240" s="158"/>
      <c r="BH240" s="158"/>
      <c r="BI240" s="155"/>
      <c r="BJ240" s="155"/>
      <c r="BK240" s="159"/>
      <c r="BL240" s="156"/>
      <c r="BM240" s="156"/>
      <c r="BN240" s="156"/>
      <c r="BO240" s="156"/>
      <c r="BP240" s="160"/>
      <c r="BQ240" s="160"/>
      <c r="BR240" s="160"/>
      <c r="BS240" s="160"/>
    </row>
    <row r="241" spans="1:71" x14ac:dyDescent="0.25">
      <c r="A241" s="154"/>
      <c r="B241" s="155"/>
      <c r="C241" s="155"/>
      <c r="D241" s="155"/>
      <c r="E241" s="156"/>
      <c r="F241" s="156"/>
      <c r="G241" s="155"/>
      <c r="H241" s="155"/>
      <c r="I241" s="155"/>
      <c r="J241" s="157"/>
      <c r="K241" s="157"/>
      <c r="L241" s="155"/>
      <c r="M241" s="155"/>
      <c r="N241" s="155"/>
      <c r="O241" s="156"/>
      <c r="P241" s="156"/>
      <c r="Q241" s="155"/>
      <c r="R241" s="155"/>
      <c r="S241" s="155"/>
      <c r="T241" s="156"/>
      <c r="U241" s="156"/>
      <c r="V241" s="155"/>
      <c r="W241" s="155"/>
      <c r="X241" s="155"/>
      <c r="Y241" s="155"/>
      <c r="Z241" s="155"/>
      <c r="AA241" s="156"/>
      <c r="AB241" s="156"/>
      <c r="AC241" s="155"/>
      <c r="AD241" s="155"/>
      <c r="AE241" s="155"/>
      <c r="AF241" s="156"/>
      <c r="AG241" s="156"/>
      <c r="AH241" s="155"/>
      <c r="AI241" s="155"/>
      <c r="AJ241" s="155"/>
      <c r="AK241" s="156"/>
      <c r="AL241" s="156"/>
      <c r="AM241" s="155"/>
      <c r="AN241" s="155"/>
      <c r="AO241" s="155"/>
      <c r="AP241" s="156"/>
      <c r="AQ241" s="156"/>
      <c r="AR241" s="155"/>
      <c r="AS241" s="155"/>
      <c r="AT241" s="155"/>
      <c r="AU241" s="156"/>
      <c r="AV241" s="156"/>
      <c r="AW241" s="155"/>
      <c r="AX241" s="155"/>
      <c r="AY241" s="155"/>
      <c r="AZ241" s="156"/>
      <c r="BA241" s="156"/>
      <c r="BB241" s="155"/>
      <c r="BC241" s="155"/>
      <c r="BD241" s="155"/>
      <c r="BE241" s="155"/>
      <c r="BF241" s="155"/>
      <c r="BG241" s="158"/>
      <c r="BH241" s="158"/>
      <c r="BI241" s="155"/>
      <c r="BJ241" s="155"/>
      <c r="BK241" s="159"/>
      <c r="BL241" s="156"/>
      <c r="BM241" s="156"/>
      <c r="BN241" s="156"/>
      <c r="BO241" s="156"/>
      <c r="BP241" s="160"/>
      <c r="BQ241" s="160"/>
      <c r="BR241" s="160"/>
      <c r="BS241" s="160"/>
    </row>
    <row r="242" spans="1:71" x14ac:dyDescent="0.25">
      <c r="A242" s="154"/>
      <c r="B242" s="155"/>
      <c r="C242" s="155"/>
      <c r="D242" s="155"/>
      <c r="E242" s="156"/>
      <c r="F242" s="156"/>
      <c r="G242" s="155"/>
      <c r="H242" s="155"/>
      <c r="I242" s="155"/>
      <c r="J242" s="157"/>
      <c r="K242" s="157"/>
      <c r="L242" s="155"/>
      <c r="M242" s="155"/>
      <c r="N242" s="155"/>
      <c r="O242" s="156"/>
      <c r="P242" s="156"/>
      <c r="Q242" s="155"/>
      <c r="R242" s="155"/>
      <c r="S242" s="155"/>
      <c r="T242" s="156"/>
      <c r="U242" s="156"/>
      <c r="V242" s="155"/>
      <c r="W242" s="155"/>
      <c r="X242" s="155"/>
      <c r="Y242" s="155"/>
      <c r="Z242" s="155"/>
      <c r="AA242" s="156"/>
      <c r="AB242" s="156"/>
      <c r="AC242" s="155"/>
      <c r="AD242" s="155"/>
      <c r="AE242" s="155"/>
      <c r="AF242" s="156"/>
      <c r="AG242" s="156"/>
      <c r="AH242" s="155"/>
      <c r="AI242" s="155"/>
      <c r="AJ242" s="155"/>
      <c r="AK242" s="156"/>
      <c r="AL242" s="156"/>
      <c r="AM242" s="155"/>
      <c r="AN242" s="155"/>
      <c r="AO242" s="155"/>
      <c r="AP242" s="156"/>
      <c r="AQ242" s="156"/>
      <c r="AR242" s="155"/>
      <c r="AS242" s="155"/>
      <c r="AT242" s="155"/>
      <c r="AU242" s="156"/>
      <c r="AV242" s="156"/>
      <c r="AW242" s="155"/>
      <c r="AX242" s="155"/>
      <c r="AY242" s="155"/>
      <c r="AZ242" s="156"/>
      <c r="BA242" s="156"/>
      <c r="BB242" s="155"/>
      <c r="BC242" s="155"/>
      <c r="BD242" s="155"/>
      <c r="BE242" s="155"/>
      <c r="BF242" s="155"/>
      <c r="BG242" s="158"/>
      <c r="BH242" s="158"/>
      <c r="BI242" s="155"/>
      <c r="BJ242" s="155"/>
      <c r="BK242" s="159"/>
      <c r="BL242" s="156"/>
      <c r="BM242" s="156"/>
      <c r="BN242" s="156"/>
      <c r="BO242" s="156"/>
      <c r="BP242" s="160"/>
      <c r="BQ242" s="160"/>
      <c r="BR242" s="160"/>
      <c r="BS242" s="160"/>
    </row>
    <row r="243" spans="1:71" x14ac:dyDescent="0.25">
      <c r="A243" s="154"/>
      <c r="B243" s="155"/>
      <c r="C243" s="155"/>
      <c r="D243" s="155"/>
      <c r="E243" s="156"/>
      <c r="F243" s="156"/>
      <c r="G243" s="155"/>
      <c r="H243" s="155"/>
      <c r="I243" s="155"/>
      <c r="J243" s="157"/>
      <c r="K243" s="157"/>
      <c r="L243" s="155"/>
      <c r="M243" s="155"/>
      <c r="N243" s="155"/>
      <c r="O243" s="156"/>
      <c r="P243" s="156"/>
      <c r="Q243" s="155"/>
      <c r="R243" s="155"/>
      <c r="S243" s="155"/>
      <c r="T243" s="156"/>
      <c r="U243" s="156"/>
      <c r="V243" s="155"/>
      <c r="W243" s="155"/>
      <c r="X243" s="155"/>
      <c r="Y243" s="155"/>
      <c r="Z243" s="155"/>
      <c r="AA243" s="156"/>
      <c r="AB243" s="156"/>
      <c r="AC243" s="155"/>
      <c r="AD243" s="155"/>
      <c r="AE243" s="155"/>
      <c r="AF243" s="156"/>
      <c r="AG243" s="156"/>
      <c r="AH243" s="155"/>
      <c r="AI243" s="155"/>
      <c r="AJ243" s="155"/>
      <c r="AK243" s="156"/>
      <c r="AL243" s="156"/>
      <c r="AM243" s="155"/>
      <c r="AN243" s="155"/>
      <c r="AO243" s="155"/>
      <c r="AP243" s="156"/>
      <c r="AQ243" s="156"/>
      <c r="AR243" s="155"/>
      <c r="AS243" s="155"/>
      <c r="AT243" s="155"/>
      <c r="AU243" s="156"/>
      <c r="AV243" s="156"/>
      <c r="AW243" s="155"/>
      <c r="AX243" s="155"/>
      <c r="AY243" s="155"/>
      <c r="AZ243" s="156"/>
      <c r="BA243" s="156"/>
      <c r="BB243" s="155"/>
      <c r="BC243" s="155"/>
      <c r="BD243" s="155"/>
      <c r="BE243" s="155"/>
      <c r="BF243" s="155"/>
      <c r="BG243" s="158"/>
      <c r="BH243" s="158"/>
      <c r="BI243" s="155"/>
      <c r="BJ243" s="155"/>
      <c r="BK243" s="159"/>
      <c r="BL243" s="156"/>
      <c r="BM243" s="156"/>
      <c r="BN243" s="156"/>
      <c r="BO243" s="156"/>
      <c r="BP243" s="160"/>
      <c r="BQ243" s="160"/>
      <c r="BR243" s="160"/>
      <c r="BS243" s="160"/>
    </row>
    <row r="244" spans="1:71" x14ac:dyDescent="0.25">
      <c r="A244" s="154"/>
      <c r="B244" s="155"/>
      <c r="C244" s="155"/>
      <c r="D244" s="155"/>
      <c r="E244" s="156"/>
      <c r="F244" s="156"/>
      <c r="G244" s="155"/>
      <c r="H244" s="155"/>
      <c r="I244" s="155"/>
      <c r="J244" s="157"/>
      <c r="K244" s="157"/>
      <c r="L244" s="155"/>
      <c r="M244" s="155"/>
      <c r="N244" s="155"/>
      <c r="O244" s="156"/>
      <c r="P244" s="156"/>
      <c r="Q244" s="155"/>
      <c r="R244" s="155"/>
      <c r="S244" s="155"/>
      <c r="T244" s="156"/>
      <c r="U244" s="156"/>
      <c r="V244" s="155"/>
      <c r="W244" s="155"/>
      <c r="X244" s="155"/>
      <c r="Y244" s="155"/>
      <c r="Z244" s="155"/>
      <c r="AA244" s="156"/>
      <c r="AB244" s="156"/>
      <c r="AC244" s="155"/>
      <c r="AD244" s="155"/>
      <c r="AE244" s="155"/>
      <c r="AF244" s="156"/>
      <c r="AG244" s="156"/>
      <c r="AH244" s="155"/>
      <c r="AI244" s="155"/>
      <c r="AJ244" s="155"/>
      <c r="AK244" s="156"/>
      <c r="AL244" s="156"/>
      <c r="AM244" s="155"/>
      <c r="AN244" s="155"/>
      <c r="AO244" s="155"/>
      <c r="AP244" s="156"/>
      <c r="AQ244" s="156"/>
      <c r="AR244" s="155"/>
      <c r="AS244" s="155"/>
      <c r="AT244" s="155"/>
      <c r="AU244" s="156"/>
      <c r="AV244" s="156"/>
      <c r="AW244" s="155"/>
      <c r="AX244" s="155"/>
      <c r="AY244" s="155"/>
      <c r="AZ244" s="156"/>
      <c r="BA244" s="156"/>
      <c r="BB244" s="155"/>
      <c r="BC244" s="155"/>
      <c r="BD244" s="155"/>
      <c r="BE244" s="155"/>
      <c r="BF244" s="155"/>
      <c r="BG244" s="158"/>
      <c r="BH244" s="158"/>
      <c r="BI244" s="155"/>
      <c r="BJ244" s="155"/>
      <c r="BK244" s="159"/>
      <c r="BL244" s="156"/>
      <c r="BM244" s="156"/>
      <c r="BN244" s="156"/>
      <c r="BO244" s="156"/>
      <c r="BP244" s="160"/>
      <c r="BQ244" s="160"/>
      <c r="BR244" s="160"/>
      <c r="BS244" s="160"/>
    </row>
    <row r="245" spans="1:71" x14ac:dyDescent="0.25">
      <c r="A245" s="154"/>
      <c r="B245" s="155"/>
      <c r="C245" s="155"/>
      <c r="D245" s="155"/>
      <c r="E245" s="156"/>
      <c r="F245" s="156"/>
      <c r="G245" s="155"/>
      <c r="H245" s="155"/>
      <c r="I245" s="155"/>
      <c r="J245" s="157"/>
      <c r="K245" s="157"/>
      <c r="L245" s="155"/>
      <c r="M245" s="155"/>
      <c r="N245" s="155"/>
      <c r="O245" s="156"/>
      <c r="P245" s="156"/>
      <c r="Q245" s="155"/>
      <c r="R245" s="155"/>
      <c r="S245" s="155"/>
      <c r="T245" s="156"/>
      <c r="U245" s="156"/>
      <c r="V245" s="155"/>
      <c r="W245" s="155"/>
      <c r="X245" s="155"/>
      <c r="Y245" s="155"/>
      <c r="Z245" s="155"/>
      <c r="AA245" s="156"/>
      <c r="AB245" s="156"/>
      <c r="AC245" s="155"/>
      <c r="AD245" s="155"/>
      <c r="AE245" s="155"/>
      <c r="AF245" s="156"/>
      <c r="AG245" s="156"/>
      <c r="AH245" s="155"/>
      <c r="AI245" s="155"/>
      <c r="AJ245" s="155"/>
      <c r="AK245" s="156"/>
      <c r="AL245" s="156"/>
      <c r="AM245" s="155"/>
      <c r="AN245" s="155"/>
      <c r="AO245" s="155"/>
      <c r="AP245" s="156"/>
      <c r="AQ245" s="156"/>
      <c r="AR245" s="155"/>
      <c r="AS245" s="155"/>
      <c r="AT245" s="155"/>
      <c r="AU245" s="156"/>
      <c r="AV245" s="156"/>
      <c r="AW245" s="155"/>
      <c r="AX245" s="155"/>
      <c r="AY245" s="155"/>
      <c r="AZ245" s="156"/>
      <c r="BA245" s="156"/>
      <c r="BB245" s="155"/>
      <c r="BC245" s="155"/>
      <c r="BD245" s="155"/>
      <c r="BE245" s="155"/>
      <c r="BF245" s="155"/>
      <c r="BG245" s="158"/>
      <c r="BH245" s="158"/>
      <c r="BI245" s="155"/>
      <c r="BJ245" s="155"/>
      <c r="BK245" s="159"/>
      <c r="BL245" s="156"/>
      <c r="BM245" s="156"/>
      <c r="BN245" s="156"/>
      <c r="BO245" s="156"/>
      <c r="BP245" s="160"/>
      <c r="BQ245" s="160"/>
      <c r="BR245" s="160"/>
      <c r="BS245" s="160"/>
    </row>
    <row r="246" spans="1:71" x14ac:dyDescent="0.25">
      <c r="A246" s="154"/>
      <c r="B246" s="155"/>
      <c r="C246" s="155"/>
      <c r="D246" s="155"/>
      <c r="E246" s="156"/>
      <c r="F246" s="156"/>
      <c r="G246" s="155"/>
      <c r="H246" s="155"/>
      <c r="I246" s="155"/>
      <c r="J246" s="157"/>
      <c r="K246" s="157"/>
      <c r="L246" s="155"/>
      <c r="M246" s="155"/>
      <c r="N246" s="155"/>
      <c r="O246" s="156"/>
      <c r="P246" s="156"/>
      <c r="Q246" s="155"/>
      <c r="R246" s="155"/>
      <c r="S246" s="155"/>
      <c r="T246" s="156"/>
      <c r="U246" s="156"/>
      <c r="V246" s="155"/>
      <c r="W246" s="155"/>
      <c r="X246" s="155"/>
      <c r="Y246" s="155"/>
      <c r="Z246" s="155"/>
      <c r="AA246" s="156"/>
      <c r="AB246" s="156"/>
      <c r="AC246" s="155"/>
      <c r="AD246" s="155"/>
      <c r="AE246" s="155"/>
      <c r="AF246" s="156"/>
      <c r="AG246" s="156"/>
      <c r="AH246" s="155"/>
      <c r="AI246" s="155"/>
      <c r="AJ246" s="155"/>
      <c r="AK246" s="156"/>
      <c r="AL246" s="156"/>
      <c r="AM246" s="155"/>
      <c r="AN246" s="155"/>
      <c r="AO246" s="155"/>
      <c r="AP246" s="156"/>
      <c r="AQ246" s="156"/>
      <c r="AR246" s="155"/>
      <c r="AS246" s="155"/>
      <c r="AT246" s="155"/>
      <c r="AU246" s="156"/>
      <c r="AV246" s="156"/>
      <c r="AW246" s="155"/>
      <c r="AX246" s="155"/>
      <c r="AY246" s="155"/>
      <c r="AZ246" s="156"/>
      <c r="BA246" s="156"/>
      <c r="BB246" s="155"/>
      <c r="BC246" s="155"/>
      <c r="BD246" s="155"/>
      <c r="BE246" s="155"/>
      <c r="BF246" s="155"/>
      <c r="BG246" s="158"/>
      <c r="BH246" s="158"/>
      <c r="BI246" s="155"/>
      <c r="BJ246" s="155"/>
      <c r="BK246" s="159"/>
      <c r="BL246" s="156"/>
      <c r="BM246" s="156"/>
      <c r="BN246" s="156"/>
      <c r="BO246" s="156"/>
      <c r="BP246" s="160"/>
      <c r="BQ246" s="160"/>
      <c r="BR246" s="160"/>
      <c r="BS246" s="160"/>
    </row>
    <row r="247" spans="1:71" x14ac:dyDescent="0.25">
      <c r="A247" s="154"/>
      <c r="B247" s="155"/>
      <c r="C247" s="155"/>
      <c r="D247" s="155"/>
      <c r="E247" s="156"/>
      <c r="F247" s="156"/>
      <c r="G247" s="155"/>
      <c r="H247" s="155"/>
      <c r="I247" s="155"/>
      <c r="J247" s="157"/>
      <c r="K247" s="157"/>
      <c r="L247" s="155"/>
      <c r="M247" s="155"/>
      <c r="N247" s="155"/>
      <c r="O247" s="156"/>
      <c r="P247" s="156"/>
      <c r="Q247" s="155"/>
      <c r="R247" s="155"/>
      <c r="S247" s="155"/>
      <c r="T247" s="156"/>
      <c r="U247" s="156"/>
      <c r="V247" s="155"/>
      <c r="W247" s="155"/>
      <c r="X247" s="155"/>
      <c r="Y247" s="155"/>
      <c r="Z247" s="155"/>
      <c r="AA247" s="156"/>
      <c r="AB247" s="156"/>
      <c r="AC247" s="155"/>
      <c r="AD247" s="155"/>
      <c r="AE247" s="155"/>
      <c r="AF247" s="156"/>
      <c r="AG247" s="156"/>
      <c r="AH247" s="155"/>
      <c r="AI247" s="155"/>
      <c r="AJ247" s="155"/>
      <c r="AK247" s="156"/>
      <c r="AL247" s="156"/>
      <c r="AM247" s="155"/>
      <c r="AN247" s="155"/>
      <c r="AO247" s="155"/>
      <c r="AP247" s="156"/>
      <c r="AQ247" s="156"/>
      <c r="AR247" s="155"/>
      <c r="AS247" s="155"/>
      <c r="AT247" s="155"/>
      <c r="AU247" s="156"/>
      <c r="AV247" s="156"/>
      <c r="AW247" s="155"/>
      <c r="AX247" s="155"/>
      <c r="AY247" s="155"/>
      <c r="AZ247" s="156"/>
      <c r="BA247" s="156"/>
      <c r="BB247" s="155"/>
      <c r="BC247" s="155"/>
      <c r="BD247" s="155"/>
      <c r="BE247" s="155"/>
      <c r="BF247" s="155"/>
      <c r="BG247" s="158"/>
      <c r="BH247" s="158"/>
      <c r="BI247" s="155"/>
      <c r="BJ247" s="155"/>
      <c r="BK247" s="159"/>
      <c r="BL247" s="156"/>
      <c r="BM247" s="156"/>
      <c r="BN247" s="156"/>
      <c r="BO247" s="156"/>
      <c r="BP247" s="160"/>
      <c r="BQ247" s="160"/>
      <c r="BR247" s="160"/>
      <c r="BS247" s="160"/>
    </row>
    <row r="248" spans="1:71" x14ac:dyDescent="0.25">
      <c r="A248" s="154"/>
      <c r="B248" s="155"/>
      <c r="C248" s="155"/>
      <c r="D248" s="155"/>
      <c r="E248" s="156"/>
      <c r="F248" s="156"/>
      <c r="G248" s="155"/>
      <c r="H248" s="155"/>
      <c r="I248" s="155"/>
      <c r="J248" s="157"/>
      <c r="K248" s="157"/>
      <c r="L248" s="155"/>
      <c r="M248" s="155"/>
      <c r="N248" s="155"/>
      <c r="O248" s="156"/>
      <c r="P248" s="156"/>
      <c r="Q248" s="155"/>
      <c r="R248" s="155"/>
      <c r="S248" s="155"/>
      <c r="T248" s="156"/>
      <c r="U248" s="156"/>
      <c r="V248" s="155"/>
      <c r="W248" s="155"/>
      <c r="X248" s="155"/>
      <c r="Y248" s="155"/>
      <c r="Z248" s="155"/>
      <c r="AA248" s="156"/>
      <c r="AB248" s="156"/>
      <c r="AC248" s="155"/>
      <c r="AD248" s="155"/>
      <c r="AE248" s="155"/>
      <c r="AF248" s="156"/>
      <c r="AG248" s="156"/>
      <c r="AH248" s="155"/>
      <c r="AI248" s="155"/>
      <c r="AJ248" s="155"/>
      <c r="AK248" s="156"/>
      <c r="AL248" s="156"/>
      <c r="AM248" s="155"/>
      <c r="AN248" s="155"/>
      <c r="AO248" s="155"/>
      <c r="AP248" s="156"/>
      <c r="AQ248" s="156"/>
      <c r="AR248" s="155"/>
      <c r="AS248" s="155"/>
      <c r="AT248" s="155"/>
      <c r="AU248" s="156"/>
      <c r="AV248" s="156"/>
      <c r="AW248" s="155"/>
      <c r="AX248" s="155"/>
      <c r="AY248" s="155"/>
      <c r="AZ248" s="156"/>
      <c r="BA248" s="156"/>
      <c r="BB248" s="155"/>
      <c r="BC248" s="155"/>
      <c r="BD248" s="155"/>
      <c r="BE248" s="155"/>
      <c r="BF248" s="155"/>
      <c r="BG248" s="158"/>
      <c r="BH248" s="158"/>
      <c r="BI248" s="155"/>
      <c r="BJ248" s="155"/>
      <c r="BK248" s="159"/>
      <c r="BL248" s="156"/>
      <c r="BM248" s="156"/>
      <c r="BN248" s="156"/>
      <c r="BO248" s="156"/>
      <c r="BP248" s="160"/>
      <c r="BQ248" s="160"/>
      <c r="BR248" s="160"/>
      <c r="BS248" s="160"/>
    </row>
    <row r="249" spans="1:71" x14ac:dyDescent="0.25">
      <c r="A249" s="154"/>
      <c r="B249" s="155"/>
      <c r="C249" s="155"/>
      <c r="D249" s="155"/>
      <c r="E249" s="156"/>
      <c r="F249" s="156"/>
      <c r="G249" s="155"/>
      <c r="H249" s="155"/>
      <c r="I249" s="155"/>
      <c r="J249" s="157"/>
      <c r="K249" s="157"/>
      <c r="L249" s="155"/>
      <c r="M249" s="155"/>
      <c r="N249" s="155"/>
      <c r="O249" s="156"/>
      <c r="P249" s="156"/>
      <c r="Q249" s="155"/>
      <c r="R249" s="155"/>
      <c r="S249" s="155"/>
      <c r="T249" s="156"/>
      <c r="U249" s="156"/>
      <c r="V249" s="155"/>
      <c r="W249" s="155"/>
      <c r="X249" s="155"/>
      <c r="Y249" s="155"/>
      <c r="Z249" s="155"/>
      <c r="AA249" s="156"/>
      <c r="AB249" s="156"/>
      <c r="AC249" s="155"/>
      <c r="AD249" s="155"/>
      <c r="AE249" s="155"/>
      <c r="AF249" s="156"/>
      <c r="AG249" s="156"/>
      <c r="AH249" s="155"/>
      <c r="AI249" s="155"/>
      <c r="AJ249" s="155"/>
      <c r="AK249" s="156"/>
      <c r="AL249" s="156"/>
      <c r="AM249" s="155"/>
      <c r="AN249" s="155"/>
      <c r="AO249" s="155"/>
      <c r="AP249" s="156"/>
      <c r="AQ249" s="156"/>
      <c r="AR249" s="155"/>
      <c r="AS249" s="155"/>
      <c r="AT249" s="155"/>
      <c r="AU249" s="156"/>
      <c r="AV249" s="156"/>
      <c r="AW249" s="155"/>
      <c r="AX249" s="155"/>
      <c r="AY249" s="155"/>
      <c r="AZ249" s="156"/>
      <c r="BA249" s="156"/>
      <c r="BB249" s="155"/>
      <c r="BC249" s="155"/>
      <c r="BD249" s="155"/>
      <c r="BE249" s="155"/>
      <c r="BF249" s="155"/>
      <c r="BG249" s="158"/>
      <c r="BH249" s="158"/>
      <c r="BI249" s="155"/>
      <c r="BJ249" s="155"/>
      <c r="BK249" s="159"/>
      <c r="BL249" s="156"/>
      <c r="BM249" s="156"/>
      <c r="BN249" s="156"/>
      <c r="BO249" s="156"/>
      <c r="BP249" s="160"/>
      <c r="BQ249" s="160"/>
      <c r="BR249" s="160"/>
      <c r="BS249" s="160"/>
    </row>
    <row r="250" spans="1:71" x14ac:dyDescent="0.25">
      <c r="A250" s="154"/>
      <c r="B250" s="155"/>
      <c r="C250" s="155"/>
      <c r="D250" s="155"/>
      <c r="E250" s="156"/>
      <c r="F250" s="156"/>
      <c r="G250" s="155"/>
      <c r="H250" s="155"/>
      <c r="I250" s="155"/>
      <c r="J250" s="157"/>
      <c r="K250" s="157"/>
      <c r="L250" s="155"/>
      <c r="M250" s="155"/>
      <c r="N250" s="155"/>
      <c r="O250" s="156"/>
      <c r="P250" s="156"/>
      <c r="Q250" s="155"/>
      <c r="R250" s="155"/>
      <c r="S250" s="155"/>
      <c r="T250" s="156"/>
      <c r="U250" s="156"/>
      <c r="V250" s="155"/>
      <c r="W250" s="155"/>
      <c r="X250" s="155"/>
      <c r="Y250" s="155"/>
      <c r="Z250" s="155"/>
      <c r="AA250" s="156"/>
      <c r="AB250" s="156"/>
      <c r="AC250" s="155"/>
      <c r="AD250" s="155"/>
      <c r="AE250" s="155"/>
      <c r="AF250" s="156"/>
      <c r="AG250" s="156"/>
      <c r="AH250" s="155"/>
      <c r="AI250" s="155"/>
      <c r="AJ250" s="155"/>
      <c r="AK250" s="156"/>
      <c r="AL250" s="156"/>
      <c r="AM250" s="155"/>
      <c r="AN250" s="155"/>
      <c r="AO250" s="155"/>
      <c r="AP250" s="156"/>
      <c r="AQ250" s="156"/>
      <c r="AR250" s="155"/>
      <c r="AS250" s="155"/>
      <c r="AT250" s="155"/>
      <c r="AU250" s="156"/>
      <c r="AV250" s="156"/>
      <c r="AW250" s="155"/>
      <c r="AX250" s="155"/>
      <c r="AY250" s="155"/>
      <c r="AZ250" s="156"/>
      <c r="BA250" s="156"/>
      <c r="BB250" s="155"/>
      <c r="BC250" s="155"/>
      <c r="BD250" s="155"/>
      <c r="BE250" s="155"/>
      <c r="BF250" s="155"/>
      <c r="BG250" s="158"/>
      <c r="BH250" s="158"/>
      <c r="BI250" s="155"/>
      <c r="BJ250" s="155"/>
      <c r="BK250" s="159"/>
      <c r="BL250" s="156"/>
      <c r="BM250" s="156"/>
      <c r="BN250" s="156"/>
      <c r="BO250" s="156"/>
      <c r="BP250" s="160"/>
      <c r="BQ250" s="160"/>
      <c r="BR250" s="160"/>
      <c r="BS250" s="160"/>
    </row>
    <row r="251" spans="1:71" x14ac:dyDescent="0.25">
      <c r="A251" s="154"/>
      <c r="B251" s="155"/>
      <c r="C251" s="155"/>
      <c r="D251" s="155"/>
      <c r="E251" s="156"/>
      <c r="F251" s="156"/>
      <c r="G251" s="155"/>
      <c r="H251" s="155"/>
      <c r="I251" s="155"/>
      <c r="J251" s="157"/>
      <c r="K251" s="157"/>
      <c r="L251" s="155"/>
      <c r="M251" s="155"/>
      <c r="N251" s="155"/>
      <c r="O251" s="156"/>
      <c r="P251" s="156"/>
      <c r="Q251" s="155"/>
      <c r="R251" s="155"/>
      <c r="S251" s="155"/>
      <c r="T251" s="156"/>
      <c r="U251" s="156"/>
      <c r="V251" s="155"/>
      <c r="W251" s="155"/>
      <c r="X251" s="155"/>
      <c r="Y251" s="155"/>
      <c r="Z251" s="155"/>
      <c r="AA251" s="156"/>
      <c r="AB251" s="156"/>
      <c r="AC251" s="155"/>
      <c r="AD251" s="155"/>
      <c r="AE251" s="155"/>
      <c r="AF251" s="156"/>
      <c r="AG251" s="156"/>
      <c r="AH251" s="155"/>
      <c r="AI251" s="155"/>
      <c r="AJ251" s="155"/>
      <c r="AK251" s="156"/>
      <c r="AL251" s="156"/>
      <c r="AM251" s="155"/>
      <c r="AN251" s="155"/>
      <c r="AO251" s="155"/>
      <c r="AP251" s="156"/>
      <c r="AQ251" s="156"/>
      <c r="AR251" s="155"/>
      <c r="AS251" s="155"/>
      <c r="AT251" s="155"/>
      <c r="AU251" s="156"/>
      <c r="AV251" s="156"/>
      <c r="AW251" s="155"/>
      <c r="AX251" s="155"/>
      <c r="AY251" s="155"/>
      <c r="AZ251" s="156"/>
      <c r="BA251" s="156"/>
      <c r="BB251" s="155"/>
      <c r="BC251" s="155"/>
      <c r="BD251" s="155"/>
      <c r="BE251" s="155"/>
      <c r="BF251" s="155"/>
      <c r="BG251" s="158"/>
      <c r="BH251" s="158"/>
      <c r="BI251" s="155"/>
      <c r="BJ251" s="155"/>
      <c r="BK251" s="159"/>
      <c r="BL251" s="156"/>
      <c r="BM251" s="156"/>
      <c r="BN251" s="156"/>
      <c r="BO251" s="156"/>
      <c r="BP251" s="160"/>
      <c r="BQ251" s="160"/>
      <c r="BR251" s="160"/>
      <c r="BS251" s="160"/>
    </row>
    <row r="252" spans="1:71" x14ac:dyDescent="0.25">
      <c r="A252" s="154"/>
      <c r="B252" s="155"/>
      <c r="C252" s="155"/>
      <c r="D252" s="155"/>
      <c r="E252" s="156"/>
      <c r="F252" s="156"/>
      <c r="G252" s="155"/>
      <c r="H252" s="155"/>
      <c r="I252" s="155"/>
      <c r="J252" s="157"/>
      <c r="K252" s="157"/>
      <c r="L252" s="155"/>
      <c r="M252" s="155"/>
      <c r="N252" s="155"/>
      <c r="O252" s="156"/>
      <c r="P252" s="156"/>
      <c r="Q252" s="155"/>
      <c r="R252" s="155"/>
      <c r="S252" s="155"/>
      <c r="T252" s="156"/>
      <c r="U252" s="156"/>
      <c r="V252" s="155"/>
      <c r="W252" s="155"/>
      <c r="X252" s="155"/>
      <c r="Y252" s="155"/>
      <c r="Z252" s="155"/>
      <c r="AA252" s="156"/>
      <c r="AB252" s="156"/>
      <c r="AC252" s="155"/>
      <c r="AD252" s="155"/>
      <c r="AE252" s="155"/>
      <c r="AF252" s="156"/>
      <c r="AG252" s="156"/>
      <c r="AH252" s="155"/>
      <c r="AI252" s="155"/>
      <c r="AJ252" s="155"/>
      <c r="AK252" s="156"/>
      <c r="AL252" s="156"/>
      <c r="AM252" s="155"/>
      <c r="AN252" s="155"/>
      <c r="AO252" s="155"/>
      <c r="AP252" s="156"/>
      <c r="AQ252" s="156"/>
      <c r="AR252" s="155"/>
      <c r="AS252" s="155"/>
      <c r="AT252" s="155"/>
      <c r="AU252" s="156"/>
      <c r="AV252" s="156"/>
      <c r="AW252" s="155"/>
      <c r="AX252" s="155"/>
      <c r="AY252" s="155"/>
      <c r="AZ252" s="156"/>
      <c r="BA252" s="156"/>
      <c r="BB252" s="155"/>
      <c r="BC252" s="155"/>
      <c r="BD252" s="155"/>
      <c r="BE252" s="155"/>
      <c r="BF252" s="155"/>
      <c r="BG252" s="158"/>
      <c r="BH252" s="158"/>
      <c r="BI252" s="155"/>
      <c r="BJ252" s="155"/>
      <c r="BK252" s="159"/>
      <c r="BL252" s="156"/>
      <c r="BM252" s="156"/>
      <c r="BN252" s="156"/>
      <c r="BO252" s="156"/>
      <c r="BP252" s="160"/>
      <c r="BQ252" s="160"/>
      <c r="BR252" s="160"/>
      <c r="BS252" s="160"/>
    </row>
    <row r="253" spans="1:71" x14ac:dyDescent="0.25">
      <c r="A253" s="154"/>
      <c r="B253" s="155"/>
      <c r="C253" s="155"/>
      <c r="D253" s="155"/>
      <c r="E253" s="156"/>
      <c r="F253" s="156"/>
      <c r="G253" s="155"/>
      <c r="H253" s="155"/>
      <c r="I253" s="155"/>
      <c r="J253" s="157"/>
      <c r="K253" s="157"/>
      <c r="L253" s="155"/>
      <c r="M253" s="155"/>
      <c r="N253" s="155"/>
      <c r="O253" s="156"/>
      <c r="P253" s="156"/>
      <c r="Q253" s="155"/>
      <c r="R253" s="155"/>
      <c r="S253" s="155"/>
      <c r="T253" s="156"/>
      <c r="U253" s="156"/>
      <c r="V253" s="155"/>
      <c r="W253" s="155"/>
      <c r="X253" s="155"/>
      <c r="Y253" s="155"/>
      <c r="Z253" s="155"/>
      <c r="AA253" s="156"/>
      <c r="AB253" s="156"/>
      <c r="AC253" s="155"/>
      <c r="AD253" s="155"/>
      <c r="AE253" s="155"/>
      <c r="AF253" s="156"/>
      <c r="AG253" s="156"/>
      <c r="AH253" s="155"/>
      <c r="AI253" s="155"/>
      <c r="AJ253" s="155"/>
      <c r="AK253" s="156"/>
      <c r="AL253" s="156"/>
      <c r="AM253" s="155"/>
      <c r="AN253" s="155"/>
      <c r="AO253" s="155"/>
      <c r="AP253" s="156"/>
      <c r="AQ253" s="156"/>
      <c r="AR253" s="155"/>
      <c r="AS253" s="155"/>
      <c r="AT253" s="155"/>
      <c r="AU253" s="156"/>
      <c r="AV253" s="156"/>
      <c r="AW253" s="155"/>
      <c r="AX253" s="155"/>
      <c r="AY253" s="155"/>
      <c r="AZ253" s="156"/>
      <c r="BA253" s="156"/>
      <c r="BB253" s="155"/>
      <c r="BC253" s="155"/>
      <c r="BD253" s="155"/>
      <c r="BE253" s="155"/>
      <c r="BF253" s="155"/>
      <c r="BG253" s="158"/>
      <c r="BH253" s="158"/>
      <c r="BI253" s="155"/>
      <c r="BJ253" s="155"/>
      <c r="BK253" s="159"/>
      <c r="BL253" s="156"/>
      <c r="BM253" s="156"/>
      <c r="BN253" s="156"/>
      <c r="BO253" s="156"/>
      <c r="BP253" s="160"/>
      <c r="BQ253" s="160"/>
      <c r="BR253" s="160"/>
      <c r="BS253" s="160"/>
    </row>
    <row r="254" spans="1:71" x14ac:dyDescent="0.25">
      <c r="A254" s="154"/>
      <c r="B254" s="155"/>
      <c r="C254" s="155"/>
      <c r="D254" s="155"/>
      <c r="E254" s="156"/>
      <c r="F254" s="156"/>
      <c r="G254" s="155"/>
      <c r="H254" s="155"/>
      <c r="I254" s="155"/>
      <c r="J254" s="157"/>
      <c r="K254" s="157"/>
      <c r="L254" s="155"/>
      <c r="M254" s="155"/>
      <c r="N254" s="155"/>
      <c r="O254" s="156"/>
      <c r="P254" s="156"/>
      <c r="Q254" s="155"/>
      <c r="R254" s="155"/>
      <c r="S254" s="155"/>
      <c r="T254" s="156"/>
      <c r="U254" s="156"/>
      <c r="V254" s="155"/>
      <c r="W254" s="155"/>
      <c r="X254" s="155"/>
      <c r="Y254" s="155"/>
      <c r="Z254" s="155"/>
      <c r="AA254" s="156"/>
      <c r="AB254" s="156"/>
      <c r="AC254" s="155"/>
      <c r="AD254" s="155"/>
      <c r="AE254" s="155"/>
      <c r="AF254" s="156"/>
      <c r="AG254" s="156"/>
      <c r="AH254" s="155"/>
      <c r="AI254" s="155"/>
      <c r="AJ254" s="155"/>
      <c r="AK254" s="156"/>
      <c r="AL254" s="156"/>
      <c r="AM254" s="155"/>
      <c r="AN254" s="155"/>
      <c r="AO254" s="155"/>
      <c r="AP254" s="156"/>
      <c r="AQ254" s="156"/>
      <c r="AR254" s="155"/>
      <c r="AS254" s="155"/>
      <c r="AT254" s="155"/>
      <c r="AU254" s="156"/>
      <c r="AV254" s="156"/>
      <c r="AW254" s="155"/>
      <c r="AX254" s="155"/>
      <c r="AY254" s="155"/>
      <c r="AZ254" s="156"/>
      <c r="BA254" s="156"/>
      <c r="BB254" s="155"/>
      <c r="BC254" s="155"/>
      <c r="BD254" s="155"/>
      <c r="BE254" s="155"/>
      <c r="BF254" s="155"/>
      <c r="BG254" s="158"/>
      <c r="BH254" s="158"/>
      <c r="BI254" s="155"/>
      <c r="BJ254" s="155"/>
      <c r="BK254" s="159"/>
      <c r="BL254" s="156"/>
      <c r="BM254" s="156"/>
      <c r="BN254" s="156"/>
      <c r="BO254" s="156"/>
      <c r="BP254" s="160"/>
      <c r="BQ254" s="160"/>
      <c r="BR254" s="160"/>
      <c r="BS254" s="160"/>
    </row>
    <row r="255" spans="1:71" x14ac:dyDescent="0.25">
      <c r="A255" s="154"/>
      <c r="B255" s="155"/>
      <c r="C255" s="155"/>
      <c r="D255" s="155"/>
      <c r="E255" s="156"/>
      <c r="F255" s="156"/>
      <c r="G255" s="155"/>
      <c r="H255" s="155"/>
      <c r="I255" s="155"/>
      <c r="J255" s="157"/>
      <c r="K255" s="157"/>
      <c r="L255" s="155"/>
      <c r="M255" s="155"/>
      <c r="N255" s="155"/>
      <c r="O255" s="156"/>
      <c r="P255" s="156"/>
      <c r="Q255" s="155"/>
      <c r="R255" s="155"/>
      <c r="S255" s="155"/>
      <c r="T255" s="156"/>
      <c r="U255" s="156"/>
      <c r="V255" s="155"/>
      <c r="W255" s="155"/>
      <c r="X255" s="155"/>
      <c r="Y255" s="155"/>
      <c r="Z255" s="155"/>
      <c r="AA255" s="156"/>
      <c r="AB255" s="156"/>
      <c r="AC255" s="155"/>
      <c r="AD255" s="155"/>
      <c r="AE255" s="155"/>
      <c r="AF255" s="156"/>
      <c r="AG255" s="156"/>
      <c r="AH255" s="155"/>
      <c r="AI255" s="155"/>
      <c r="AJ255" s="155"/>
      <c r="AK255" s="156"/>
      <c r="AL255" s="156"/>
      <c r="AM255" s="155"/>
      <c r="AN255" s="155"/>
      <c r="AO255" s="155"/>
      <c r="AP255" s="156"/>
      <c r="AQ255" s="156"/>
      <c r="AR255" s="155"/>
      <c r="AS255" s="155"/>
      <c r="AT255" s="155"/>
      <c r="AU255" s="156"/>
      <c r="AV255" s="156"/>
      <c r="AW255" s="155"/>
      <c r="AX255" s="155"/>
      <c r="AY255" s="155"/>
      <c r="AZ255" s="156"/>
      <c r="BA255" s="156"/>
      <c r="BB255" s="155"/>
      <c r="BC255" s="155"/>
      <c r="BD255" s="155"/>
      <c r="BE255" s="155"/>
      <c r="BF255" s="155"/>
      <c r="BG255" s="158"/>
      <c r="BH255" s="158"/>
      <c r="BI255" s="155"/>
      <c r="BJ255" s="155"/>
      <c r="BK255" s="159"/>
      <c r="BL255" s="156"/>
      <c r="BM255" s="156"/>
      <c r="BN255" s="156"/>
      <c r="BO255" s="156"/>
      <c r="BP255" s="160"/>
      <c r="BQ255" s="160"/>
      <c r="BR255" s="160"/>
      <c r="BS255" s="160"/>
    </row>
    <row r="256" spans="1:71" x14ac:dyDescent="0.25">
      <c r="A256" s="154"/>
      <c r="B256" s="155"/>
      <c r="C256" s="155"/>
      <c r="D256" s="155"/>
      <c r="E256" s="156"/>
      <c r="F256" s="156"/>
      <c r="G256" s="155"/>
      <c r="H256" s="155"/>
      <c r="I256" s="155"/>
      <c r="J256" s="157"/>
      <c r="K256" s="157"/>
      <c r="L256" s="155"/>
      <c r="M256" s="155"/>
      <c r="N256" s="155"/>
      <c r="O256" s="156"/>
      <c r="P256" s="156"/>
      <c r="Q256" s="155"/>
      <c r="R256" s="155"/>
      <c r="S256" s="155"/>
      <c r="T256" s="156"/>
      <c r="U256" s="156"/>
      <c r="V256" s="155"/>
      <c r="W256" s="155"/>
      <c r="X256" s="155"/>
      <c r="Y256" s="155"/>
      <c r="Z256" s="155"/>
      <c r="AA256" s="156"/>
      <c r="AB256" s="156"/>
      <c r="AC256" s="155"/>
      <c r="AD256" s="155"/>
      <c r="AE256" s="155"/>
      <c r="AF256" s="156"/>
      <c r="AG256" s="156"/>
      <c r="AH256" s="155"/>
      <c r="AI256" s="155"/>
      <c r="AJ256" s="155"/>
      <c r="AK256" s="156"/>
      <c r="AL256" s="156"/>
      <c r="AM256" s="155"/>
      <c r="AN256" s="155"/>
      <c r="AO256" s="155"/>
      <c r="AP256" s="156"/>
      <c r="AQ256" s="156"/>
      <c r="AR256" s="155"/>
      <c r="AS256" s="155"/>
      <c r="AT256" s="155"/>
      <c r="AU256" s="156"/>
      <c r="AV256" s="156"/>
      <c r="AW256" s="155"/>
      <c r="AX256" s="155"/>
      <c r="AY256" s="155"/>
      <c r="AZ256" s="156"/>
      <c r="BA256" s="156"/>
      <c r="BB256" s="155"/>
      <c r="BC256" s="155"/>
      <c r="BD256" s="155"/>
      <c r="BE256" s="155"/>
      <c r="BF256" s="155"/>
      <c r="BG256" s="158"/>
      <c r="BH256" s="158"/>
      <c r="BI256" s="155"/>
      <c r="BJ256" s="155"/>
      <c r="BK256" s="159"/>
      <c r="BL256" s="156"/>
      <c r="BM256" s="156"/>
      <c r="BN256" s="156"/>
      <c r="BO256" s="156"/>
      <c r="BP256" s="160"/>
      <c r="BQ256" s="160"/>
      <c r="BR256" s="160"/>
      <c r="BS256" s="160"/>
    </row>
    <row r="257" spans="1:71" x14ac:dyDescent="0.25">
      <c r="A257" s="154"/>
      <c r="B257" s="155"/>
      <c r="C257" s="155"/>
      <c r="D257" s="155"/>
      <c r="E257" s="156"/>
      <c r="F257" s="156"/>
      <c r="G257" s="155"/>
      <c r="H257" s="155"/>
      <c r="I257" s="155"/>
      <c r="J257" s="157"/>
      <c r="K257" s="157"/>
      <c r="L257" s="155"/>
      <c r="M257" s="155"/>
      <c r="N257" s="155"/>
      <c r="O257" s="156"/>
      <c r="P257" s="156"/>
      <c r="Q257" s="155"/>
      <c r="R257" s="155"/>
      <c r="S257" s="155"/>
      <c r="T257" s="156"/>
      <c r="U257" s="156"/>
      <c r="V257" s="155"/>
      <c r="W257" s="155"/>
      <c r="X257" s="155"/>
      <c r="Y257" s="155"/>
      <c r="Z257" s="155"/>
      <c r="AA257" s="156"/>
      <c r="AB257" s="156"/>
      <c r="AC257" s="155"/>
      <c r="AD257" s="155"/>
      <c r="AE257" s="155"/>
      <c r="AF257" s="156"/>
      <c r="AG257" s="156"/>
      <c r="AH257" s="155"/>
      <c r="AI257" s="155"/>
      <c r="AJ257" s="155"/>
      <c r="AK257" s="156"/>
      <c r="AL257" s="156"/>
      <c r="AM257" s="155"/>
      <c r="AN257" s="155"/>
      <c r="AO257" s="155"/>
      <c r="AP257" s="156"/>
      <c r="AQ257" s="156"/>
      <c r="AR257" s="155"/>
      <c r="AS257" s="155"/>
      <c r="AT257" s="155"/>
      <c r="AU257" s="156"/>
      <c r="AV257" s="156"/>
      <c r="AW257" s="155"/>
      <c r="AX257" s="155"/>
      <c r="AY257" s="155"/>
      <c r="AZ257" s="156"/>
      <c r="BA257" s="156"/>
      <c r="BB257" s="155"/>
      <c r="BC257" s="155"/>
      <c r="BD257" s="155"/>
      <c r="BE257" s="155"/>
      <c r="BF257" s="155"/>
      <c r="BG257" s="158"/>
      <c r="BH257" s="158"/>
      <c r="BI257" s="155"/>
      <c r="BJ257" s="155"/>
      <c r="BK257" s="159"/>
      <c r="BL257" s="156"/>
      <c r="BM257" s="156"/>
      <c r="BN257" s="156"/>
      <c r="BO257" s="156"/>
      <c r="BP257" s="160"/>
      <c r="BQ257" s="160"/>
      <c r="BR257" s="160"/>
      <c r="BS257" s="160"/>
    </row>
    <row r="258" spans="1:71" x14ac:dyDescent="0.25">
      <c r="A258" s="154"/>
      <c r="B258" s="155"/>
      <c r="C258" s="155"/>
      <c r="D258" s="155"/>
      <c r="E258" s="156"/>
      <c r="F258" s="156"/>
      <c r="G258" s="155"/>
      <c r="H258" s="155"/>
      <c r="I258" s="155"/>
      <c r="J258" s="157"/>
      <c r="K258" s="157"/>
      <c r="L258" s="155"/>
      <c r="M258" s="155"/>
      <c r="N258" s="155"/>
      <c r="O258" s="156"/>
      <c r="P258" s="156"/>
      <c r="Q258" s="155"/>
      <c r="R258" s="155"/>
      <c r="S258" s="155"/>
      <c r="T258" s="156"/>
      <c r="U258" s="156"/>
      <c r="V258" s="155"/>
      <c r="W258" s="155"/>
      <c r="X258" s="155"/>
      <c r="Y258" s="155"/>
      <c r="Z258" s="155"/>
      <c r="AA258" s="156"/>
      <c r="AB258" s="156"/>
      <c r="AC258" s="155"/>
      <c r="AD258" s="155"/>
      <c r="AE258" s="155"/>
      <c r="AF258" s="156"/>
      <c r="AG258" s="156"/>
      <c r="AH258" s="155"/>
      <c r="AI258" s="155"/>
      <c r="AJ258" s="155"/>
      <c r="AK258" s="156"/>
      <c r="AL258" s="156"/>
      <c r="AM258" s="155"/>
      <c r="AN258" s="155"/>
      <c r="AO258" s="155"/>
      <c r="AP258" s="156"/>
      <c r="AQ258" s="156"/>
      <c r="AR258" s="155"/>
      <c r="AS258" s="155"/>
      <c r="AT258" s="155"/>
      <c r="AU258" s="156"/>
      <c r="AV258" s="156"/>
      <c r="AW258" s="155"/>
      <c r="AX258" s="155"/>
      <c r="AY258" s="155"/>
      <c r="AZ258" s="156"/>
      <c r="BA258" s="156"/>
      <c r="BB258" s="155"/>
      <c r="BC258" s="155"/>
      <c r="BD258" s="155"/>
      <c r="BE258" s="155"/>
      <c r="BF258" s="155"/>
      <c r="BG258" s="158"/>
      <c r="BH258" s="158"/>
      <c r="BI258" s="155"/>
      <c r="BJ258" s="155"/>
      <c r="BK258" s="159"/>
      <c r="BL258" s="156"/>
      <c r="BM258" s="156"/>
      <c r="BN258" s="156"/>
      <c r="BO258" s="156"/>
      <c r="BP258" s="160"/>
      <c r="BQ258" s="160"/>
      <c r="BR258" s="160"/>
      <c r="BS258" s="160"/>
    </row>
    <row r="259" spans="1:71" x14ac:dyDescent="0.25">
      <c r="A259" s="154"/>
      <c r="B259" s="155"/>
      <c r="C259" s="155"/>
      <c r="D259" s="155"/>
      <c r="E259" s="156"/>
      <c r="F259" s="156"/>
      <c r="G259" s="155"/>
      <c r="H259" s="155"/>
      <c r="I259" s="155"/>
      <c r="J259" s="157"/>
      <c r="K259" s="157"/>
      <c r="L259" s="155"/>
      <c r="M259" s="155"/>
      <c r="N259" s="155"/>
      <c r="O259" s="156"/>
      <c r="P259" s="156"/>
      <c r="Q259" s="155"/>
      <c r="R259" s="155"/>
      <c r="S259" s="155"/>
      <c r="T259" s="156"/>
      <c r="U259" s="156"/>
      <c r="V259" s="155"/>
      <c r="W259" s="155"/>
      <c r="X259" s="155"/>
      <c r="Y259" s="155"/>
      <c r="Z259" s="155"/>
      <c r="AA259" s="156"/>
      <c r="AB259" s="156"/>
      <c r="AC259" s="155"/>
      <c r="AD259" s="155"/>
      <c r="AE259" s="155"/>
      <c r="AF259" s="156"/>
      <c r="AG259" s="156"/>
      <c r="AH259" s="155"/>
      <c r="AI259" s="155"/>
      <c r="AJ259" s="155"/>
      <c r="AK259" s="156"/>
      <c r="AL259" s="156"/>
      <c r="AM259" s="155"/>
      <c r="AN259" s="155"/>
      <c r="AO259" s="155"/>
      <c r="AP259" s="156"/>
      <c r="AQ259" s="156"/>
      <c r="AR259" s="155"/>
      <c r="AS259" s="155"/>
      <c r="AT259" s="155"/>
      <c r="AU259" s="156"/>
      <c r="AV259" s="156"/>
      <c r="AW259" s="155"/>
      <c r="AX259" s="155"/>
      <c r="AY259" s="155"/>
      <c r="AZ259" s="156"/>
      <c r="BA259" s="156"/>
      <c r="BB259" s="155"/>
      <c r="BC259" s="155"/>
      <c r="BD259" s="155"/>
      <c r="BE259" s="155"/>
      <c r="BF259" s="155"/>
      <c r="BG259" s="158"/>
      <c r="BH259" s="158"/>
      <c r="BI259" s="155"/>
      <c r="BJ259" s="155"/>
      <c r="BK259" s="159"/>
      <c r="BL259" s="156"/>
      <c r="BM259" s="156"/>
      <c r="BN259" s="156"/>
      <c r="BO259" s="156"/>
      <c r="BP259" s="160"/>
      <c r="BQ259" s="160"/>
      <c r="BR259" s="160"/>
      <c r="BS259" s="160"/>
    </row>
    <row r="260" spans="1:71" x14ac:dyDescent="0.25">
      <c r="A260" s="154"/>
      <c r="B260" s="155"/>
      <c r="C260" s="155"/>
      <c r="D260" s="155"/>
      <c r="E260" s="156"/>
      <c r="F260" s="156"/>
      <c r="G260" s="155"/>
      <c r="H260" s="155"/>
      <c r="I260" s="155"/>
      <c r="J260" s="157"/>
      <c r="K260" s="157"/>
      <c r="L260" s="155"/>
      <c r="M260" s="155"/>
      <c r="N260" s="155"/>
      <c r="O260" s="156"/>
      <c r="P260" s="156"/>
      <c r="Q260" s="155"/>
      <c r="R260" s="155"/>
      <c r="S260" s="155"/>
      <c r="T260" s="156"/>
      <c r="U260" s="156"/>
      <c r="V260" s="155"/>
      <c r="W260" s="155"/>
      <c r="X260" s="155"/>
      <c r="Y260" s="155"/>
      <c r="Z260" s="155"/>
      <c r="AA260" s="156"/>
      <c r="AB260" s="156"/>
      <c r="AC260" s="155"/>
      <c r="AD260" s="155"/>
      <c r="AE260" s="155"/>
      <c r="AF260" s="156"/>
      <c r="AG260" s="156"/>
      <c r="AH260" s="155"/>
      <c r="AI260" s="155"/>
      <c r="AJ260" s="155"/>
      <c r="AK260" s="156"/>
      <c r="AL260" s="156"/>
      <c r="AM260" s="155"/>
      <c r="AN260" s="155"/>
      <c r="AO260" s="155"/>
      <c r="AP260" s="156"/>
      <c r="AQ260" s="156"/>
      <c r="AR260" s="155"/>
      <c r="AS260" s="155"/>
      <c r="AT260" s="155"/>
      <c r="AU260" s="156"/>
      <c r="AV260" s="156"/>
      <c r="AW260" s="155"/>
      <c r="AX260" s="155"/>
      <c r="AY260" s="155"/>
      <c r="AZ260" s="156"/>
      <c r="BA260" s="156"/>
      <c r="BB260" s="155"/>
      <c r="BC260" s="155"/>
      <c r="BD260" s="155"/>
      <c r="BE260" s="155"/>
      <c r="BF260" s="155"/>
      <c r="BG260" s="158"/>
      <c r="BH260" s="158"/>
      <c r="BI260" s="155"/>
      <c r="BJ260" s="155"/>
      <c r="BK260" s="159"/>
      <c r="BL260" s="156"/>
      <c r="BM260" s="156"/>
      <c r="BN260" s="156"/>
      <c r="BO260" s="156"/>
      <c r="BP260" s="160"/>
      <c r="BQ260" s="160"/>
      <c r="BR260" s="160"/>
      <c r="BS260" s="160"/>
    </row>
    <row r="261" spans="1:71" x14ac:dyDescent="0.25">
      <c r="A261" s="154"/>
      <c r="B261" s="155"/>
      <c r="C261" s="155"/>
      <c r="D261" s="155"/>
      <c r="E261" s="156"/>
      <c r="F261" s="156"/>
      <c r="G261" s="155"/>
      <c r="H261" s="155"/>
      <c r="I261" s="155"/>
      <c r="J261" s="157"/>
      <c r="K261" s="157"/>
      <c r="L261" s="155"/>
      <c r="M261" s="155"/>
      <c r="N261" s="155"/>
      <c r="O261" s="156"/>
      <c r="P261" s="156"/>
      <c r="Q261" s="155"/>
      <c r="R261" s="155"/>
      <c r="S261" s="155"/>
      <c r="T261" s="156"/>
      <c r="U261" s="156"/>
      <c r="V261" s="155"/>
      <c r="W261" s="155"/>
      <c r="X261" s="155"/>
      <c r="Y261" s="155"/>
      <c r="Z261" s="155"/>
      <c r="AA261" s="156"/>
      <c r="AB261" s="156"/>
      <c r="AC261" s="155"/>
      <c r="AD261" s="155"/>
      <c r="AE261" s="155"/>
      <c r="AF261" s="156"/>
      <c r="AG261" s="156"/>
      <c r="AH261" s="155"/>
      <c r="AI261" s="155"/>
      <c r="AJ261" s="155"/>
      <c r="AK261" s="156"/>
      <c r="AL261" s="156"/>
      <c r="AM261" s="155"/>
      <c r="AN261" s="155"/>
      <c r="AO261" s="155"/>
      <c r="AP261" s="156"/>
      <c r="AQ261" s="156"/>
      <c r="AR261" s="155"/>
      <c r="AS261" s="155"/>
      <c r="AT261" s="155"/>
      <c r="AU261" s="156"/>
      <c r="AV261" s="156"/>
      <c r="AW261" s="155"/>
      <c r="AX261" s="155"/>
      <c r="AY261" s="155"/>
      <c r="AZ261" s="156"/>
      <c r="BA261" s="156"/>
      <c r="BB261" s="155"/>
      <c r="BC261" s="155"/>
      <c r="BD261" s="155"/>
      <c r="BE261" s="155"/>
      <c r="BF261" s="155"/>
      <c r="BG261" s="158"/>
      <c r="BH261" s="158"/>
      <c r="BI261" s="155"/>
      <c r="BJ261" s="155"/>
      <c r="BK261" s="159"/>
      <c r="BL261" s="156"/>
      <c r="BM261" s="156"/>
      <c r="BN261" s="156"/>
      <c r="BO261" s="156"/>
      <c r="BP261" s="160"/>
      <c r="BQ261" s="160"/>
      <c r="BR261" s="160"/>
      <c r="BS261" s="160"/>
    </row>
    <row r="262" spans="1:71" x14ac:dyDescent="0.25">
      <c r="A262" s="154"/>
      <c r="B262" s="155"/>
      <c r="C262" s="155"/>
      <c r="D262" s="155"/>
      <c r="E262" s="156"/>
      <c r="F262" s="156"/>
      <c r="G262" s="155"/>
      <c r="H262" s="155"/>
      <c r="I262" s="155"/>
      <c r="J262" s="157"/>
      <c r="K262" s="157"/>
      <c r="L262" s="155"/>
      <c r="M262" s="155"/>
      <c r="N262" s="155"/>
      <c r="O262" s="156"/>
      <c r="P262" s="156"/>
      <c r="Q262" s="155"/>
      <c r="R262" s="155"/>
      <c r="S262" s="155"/>
      <c r="T262" s="156"/>
      <c r="U262" s="156"/>
      <c r="V262" s="155"/>
      <c r="W262" s="155"/>
      <c r="X262" s="155"/>
      <c r="Y262" s="155"/>
      <c r="Z262" s="155"/>
      <c r="AA262" s="156"/>
      <c r="AB262" s="156"/>
      <c r="AC262" s="155"/>
      <c r="AD262" s="155"/>
      <c r="AE262" s="155"/>
      <c r="AF262" s="156"/>
      <c r="AG262" s="156"/>
      <c r="AH262" s="155"/>
      <c r="AI262" s="155"/>
      <c r="AJ262" s="155"/>
      <c r="AK262" s="156"/>
      <c r="AL262" s="156"/>
      <c r="AM262" s="155"/>
      <c r="AN262" s="155"/>
      <c r="AO262" s="155"/>
      <c r="AP262" s="156"/>
      <c r="AQ262" s="156"/>
      <c r="AR262" s="155"/>
      <c r="AS262" s="155"/>
      <c r="AT262" s="155"/>
      <c r="AU262" s="156"/>
      <c r="AV262" s="156"/>
      <c r="AW262" s="155"/>
      <c r="AX262" s="155"/>
      <c r="AY262" s="155"/>
      <c r="AZ262" s="156"/>
      <c r="BA262" s="156"/>
      <c r="BB262" s="155"/>
      <c r="BC262" s="155"/>
      <c r="BD262" s="155"/>
      <c r="BE262" s="155"/>
      <c r="BF262" s="155"/>
      <c r="BG262" s="158"/>
      <c r="BH262" s="158"/>
      <c r="BI262" s="155"/>
      <c r="BJ262" s="155"/>
      <c r="BK262" s="159"/>
      <c r="BL262" s="156"/>
      <c r="BM262" s="156"/>
      <c r="BN262" s="156"/>
      <c r="BO262" s="156"/>
      <c r="BP262" s="160"/>
      <c r="BQ262" s="160"/>
      <c r="BR262" s="160"/>
      <c r="BS262" s="160"/>
    </row>
    <row r="263" spans="1:71" x14ac:dyDescent="0.25">
      <c r="A263" s="154"/>
      <c r="B263" s="155"/>
      <c r="C263" s="155"/>
      <c r="D263" s="155"/>
      <c r="E263" s="156"/>
      <c r="F263" s="156"/>
      <c r="G263" s="155"/>
      <c r="H263" s="155"/>
      <c r="I263" s="155"/>
      <c r="J263" s="157"/>
      <c r="K263" s="157"/>
      <c r="L263" s="155"/>
      <c r="M263" s="155"/>
      <c r="N263" s="155"/>
      <c r="O263" s="156"/>
      <c r="P263" s="156"/>
      <c r="Q263" s="155"/>
      <c r="R263" s="155"/>
      <c r="S263" s="155"/>
      <c r="T263" s="156"/>
      <c r="U263" s="156"/>
      <c r="V263" s="155"/>
      <c r="W263" s="155"/>
      <c r="X263" s="155"/>
      <c r="Y263" s="155"/>
      <c r="Z263" s="155"/>
      <c r="AA263" s="156"/>
      <c r="AB263" s="156"/>
      <c r="AC263" s="155"/>
      <c r="AD263" s="155"/>
      <c r="AE263" s="155"/>
      <c r="AF263" s="156"/>
      <c r="AG263" s="156"/>
      <c r="AH263" s="155"/>
      <c r="AI263" s="155"/>
      <c r="AJ263" s="155"/>
      <c r="AK263" s="156"/>
      <c r="AL263" s="156"/>
      <c r="AM263" s="155"/>
      <c r="AN263" s="155"/>
      <c r="AO263" s="155"/>
      <c r="AP263" s="156"/>
      <c r="AQ263" s="156"/>
      <c r="AR263" s="155"/>
      <c r="AS263" s="155"/>
      <c r="AT263" s="155"/>
      <c r="AU263" s="156"/>
      <c r="AV263" s="156"/>
      <c r="AW263" s="155"/>
      <c r="AX263" s="155"/>
      <c r="AY263" s="155"/>
      <c r="AZ263" s="156"/>
      <c r="BA263" s="156"/>
      <c r="BB263" s="155"/>
      <c r="BC263" s="155"/>
      <c r="BD263" s="155"/>
      <c r="BE263" s="155"/>
      <c r="BF263" s="155"/>
      <c r="BG263" s="158"/>
      <c r="BH263" s="158"/>
      <c r="BI263" s="155"/>
      <c r="BJ263" s="155"/>
      <c r="BK263" s="159"/>
      <c r="BL263" s="156"/>
      <c r="BM263" s="156"/>
      <c r="BN263" s="156"/>
      <c r="BO263" s="156"/>
      <c r="BP263" s="160"/>
      <c r="BQ263" s="160"/>
      <c r="BR263" s="160"/>
      <c r="BS263" s="160"/>
    </row>
    <row r="264" spans="1:71" x14ac:dyDescent="0.25">
      <c r="A264" s="154"/>
      <c r="B264" s="155"/>
      <c r="C264" s="155"/>
      <c r="D264" s="155"/>
      <c r="E264" s="156"/>
      <c r="F264" s="156"/>
      <c r="G264" s="155"/>
      <c r="H264" s="155"/>
      <c r="I264" s="155"/>
      <c r="J264" s="157"/>
      <c r="K264" s="157"/>
      <c r="L264" s="155"/>
      <c r="M264" s="155"/>
      <c r="N264" s="155"/>
      <c r="O264" s="156"/>
      <c r="P264" s="156"/>
      <c r="Q264" s="155"/>
      <c r="R264" s="155"/>
      <c r="S264" s="155"/>
      <c r="T264" s="156"/>
      <c r="U264" s="156"/>
      <c r="V264" s="155"/>
      <c r="W264" s="155"/>
      <c r="X264" s="155"/>
      <c r="Y264" s="155"/>
      <c r="Z264" s="155"/>
      <c r="AA264" s="156"/>
      <c r="AB264" s="156"/>
      <c r="AC264" s="155"/>
      <c r="AD264" s="155"/>
      <c r="AE264" s="155"/>
      <c r="AF264" s="156"/>
      <c r="AG264" s="156"/>
      <c r="AH264" s="155"/>
      <c r="AI264" s="155"/>
      <c r="AJ264" s="155"/>
      <c r="AK264" s="156"/>
      <c r="AL264" s="156"/>
      <c r="AM264" s="155"/>
      <c r="AN264" s="155"/>
      <c r="AO264" s="155"/>
      <c r="AP264" s="156"/>
      <c r="AQ264" s="156"/>
      <c r="AR264" s="155"/>
      <c r="AS264" s="155"/>
      <c r="AT264" s="155"/>
      <c r="AU264" s="156"/>
      <c r="AV264" s="156"/>
      <c r="AW264" s="155"/>
      <c r="AX264" s="155"/>
      <c r="AY264" s="155"/>
      <c r="AZ264" s="156"/>
      <c r="BA264" s="156"/>
      <c r="BB264" s="155"/>
      <c r="BC264" s="155"/>
      <c r="BD264" s="155"/>
      <c r="BE264" s="155"/>
      <c r="BF264" s="155"/>
      <c r="BG264" s="158"/>
      <c r="BH264" s="158"/>
      <c r="BI264" s="155"/>
      <c r="BJ264" s="155"/>
      <c r="BK264" s="159"/>
      <c r="BL264" s="156"/>
      <c r="BM264" s="156"/>
      <c r="BN264" s="156"/>
      <c r="BO264" s="156"/>
      <c r="BP264" s="160"/>
      <c r="BQ264" s="160"/>
      <c r="BR264" s="160"/>
      <c r="BS264" s="160"/>
    </row>
    <row r="265" spans="1:71" x14ac:dyDescent="0.25">
      <c r="A265" s="154"/>
      <c r="B265" s="155"/>
      <c r="C265" s="155"/>
      <c r="D265" s="155"/>
      <c r="E265" s="156"/>
      <c r="F265" s="156"/>
      <c r="G265" s="155"/>
      <c r="H265" s="155"/>
      <c r="I265" s="155"/>
      <c r="J265" s="157"/>
      <c r="K265" s="157"/>
      <c r="L265" s="155"/>
      <c r="M265" s="155"/>
      <c r="N265" s="155"/>
      <c r="O265" s="156"/>
      <c r="P265" s="156"/>
      <c r="Q265" s="155"/>
      <c r="R265" s="155"/>
      <c r="S265" s="155"/>
      <c r="T265" s="156"/>
      <c r="U265" s="156"/>
      <c r="V265" s="155"/>
      <c r="W265" s="155"/>
      <c r="X265" s="155"/>
      <c r="Y265" s="155"/>
      <c r="Z265" s="155"/>
      <c r="AA265" s="156"/>
      <c r="AB265" s="156"/>
      <c r="AC265" s="155"/>
      <c r="AD265" s="155"/>
      <c r="AE265" s="155"/>
      <c r="AF265" s="156"/>
      <c r="AG265" s="156"/>
      <c r="AH265" s="155"/>
      <c r="AI265" s="155"/>
      <c r="AJ265" s="155"/>
      <c r="AK265" s="156"/>
      <c r="AL265" s="156"/>
      <c r="AM265" s="155"/>
      <c r="AN265" s="155"/>
      <c r="AO265" s="155"/>
      <c r="AP265" s="156"/>
      <c r="AQ265" s="156"/>
      <c r="AR265" s="155"/>
      <c r="AS265" s="155"/>
      <c r="AT265" s="155"/>
      <c r="AU265" s="156"/>
      <c r="AV265" s="156"/>
      <c r="AW265" s="155"/>
      <c r="AX265" s="155"/>
      <c r="AY265" s="155"/>
      <c r="AZ265" s="156"/>
      <c r="BA265" s="156"/>
      <c r="BB265" s="155"/>
      <c r="BC265" s="155"/>
      <c r="BD265" s="155"/>
      <c r="BE265" s="155"/>
      <c r="BF265" s="155"/>
      <c r="BG265" s="158"/>
      <c r="BH265" s="158"/>
      <c r="BI265" s="155"/>
      <c r="BJ265" s="155"/>
      <c r="BK265" s="159"/>
      <c r="BL265" s="156"/>
      <c r="BM265" s="156"/>
      <c r="BN265" s="156"/>
      <c r="BO265" s="156"/>
      <c r="BP265" s="160"/>
      <c r="BQ265" s="160"/>
      <c r="BR265" s="160"/>
      <c r="BS265" s="160"/>
    </row>
    <row r="266" spans="1:71" x14ac:dyDescent="0.25">
      <c r="A266" s="154"/>
      <c r="B266" s="155"/>
      <c r="C266" s="155"/>
      <c r="D266" s="155"/>
      <c r="E266" s="156"/>
      <c r="F266" s="156"/>
      <c r="G266" s="155"/>
      <c r="H266" s="155"/>
      <c r="I266" s="155"/>
      <c r="J266" s="157"/>
      <c r="K266" s="157"/>
      <c r="L266" s="155"/>
      <c r="M266" s="155"/>
      <c r="N266" s="155"/>
      <c r="O266" s="156"/>
      <c r="P266" s="156"/>
      <c r="Q266" s="155"/>
      <c r="R266" s="155"/>
      <c r="S266" s="155"/>
      <c r="T266" s="156"/>
      <c r="U266" s="156"/>
      <c r="V266" s="155"/>
      <c r="W266" s="155"/>
      <c r="X266" s="155"/>
      <c r="Y266" s="155"/>
      <c r="Z266" s="155"/>
      <c r="AA266" s="156"/>
      <c r="AB266" s="156"/>
      <c r="AC266" s="155"/>
      <c r="AD266" s="155"/>
      <c r="AE266" s="155"/>
      <c r="AF266" s="156"/>
      <c r="AG266" s="156"/>
      <c r="AH266" s="155"/>
      <c r="AI266" s="155"/>
      <c r="AJ266" s="155"/>
      <c r="AK266" s="156"/>
      <c r="AL266" s="156"/>
      <c r="AM266" s="155"/>
      <c r="AN266" s="155"/>
      <c r="AO266" s="155"/>
      <c r="AP266" s="156"/>
      <c r="AQ266" s="156"/>
      <c r="AR266" s="155"/>
      <c r="AS266" s="155"/>
      <c r="AT266" s="155"/>
      <c r="AU266" s="156"/>
      <c r="AV266" s="156"/>
      <c r="AW266" s="155"/>
      <c r="AX266" s="155"/>
      <c r="AY266" s="155"/>
      <c r="AZ266" s="156"/>
      <c r="BA266" s="156"/>
      <c r="BB266" s="155"/>
      <c r="BC266" s="155"/>
      <c r="BD266" s="155"/>
      <c r="BE266" s="155"/>
      <c r="BF266" s="155"/>
      <c r="BG266" s="158"/>
      <c r="BH266" s="158"/>
      <c r="BI266" s="155"/>
      <c r="BJ266" s="155"/>
      <c r="BK266" s="159"/>
      <c r="BL266" s="156"/>
      <c r="BM266" s="156"/>
      <c r="BN266" s="156"/>
      <c r="BO266" s="156"/>
      <c r="BP266" s="160"/>
      <c r="BQ266" s="160"/>
      <c r="BR266" s="160"/>
      <c r="BS266" s="160"/>
    </row>
    <row r="267" spans="1:71" x14ac:dyDescent="0.25">
      <c r="A267" s="154"/>
      <c r="B267" s="155"/>
      <c r="C267" s="155"/>
      <c r="D267" s="155"/>
      <c r="E267" s="156"/>
      <c r="F267" s="156"/>
      <c r="G267" s="155"/>
      <c r="H267" s="155"/>
      <c r="I267" s="155"/>
      <c r="J267" s="157"/>
      <c r="K267" s="157"/>
      <c r="L267" s="155"/>
      <c r="M267" s="155"/>
      <c r="N267" s="155"/>
      <c r="O267" s="156"/>
      <c r="P267" s="156"/>
      <c r="Q267" s="155"/>
      <c r="R267" s="155"/>
      <c r="S267" s="155"/>
      <c r="T267" s="156"/>
      <c r="U267" s="156"/>
      <c r="V267" s="155"/>
      <c r="W267" s="155"/>
      <c r="X267" s="155"/>
      <c r="Y267" s="155"/>
      <c r="Z267" s="155"/>
      <c r="AA267" s="156"/>
      <c r="AB267" s="156"/>
      <c r="AC267" s="155"/>
      <c r="AD267" s="155"/>
      <c r="AE267" s="155"/>
      <c r="AF267" s="156"/>
      <c r="AG267" s="156"/>
      <c r="AH267" s="155"/>
      <c r="AI267" s="155"/>
      <c r="AJ267" s="155"/>
      <c r="AK267" s="156"/>
      <c r="AL267" s="156"/>
      <c r="AM267" s="155"/>
      <c r="AN267" s="155"/>
      <c r="AO267" s="155"/>
      <c r="AP267" s="156"/>
      <c r="AQ267" s="156"/>
      <c r="AR267" s="155"/>
      <c r="AS267" s="155"/>
      <c r="AT267" s="155"/>
      <c r="AU267" s="156"/>
      <c r="AV267" s="156"/>
      <c r="AW267" s="155"/>
      <c r="AX267" s="155"/>
      <c r="AY267" s="155"/>
      <c r="AZ267" s="156"/>
      <c r="BA267" s="156"/>
      <c r="BB267" s="155"/>
      <c r="BC267" s="155"/>
      <c r="BD267" s="155"/>
      <c r="BE267" s="155"/>
      <c r="BF267" s="155"/>
      <c r="BG267" s="158"/>
      <c r="BH267" s="158"/>
      <c r="BI267" s="155"/>
      <c r="BJ267" s="155"/>
      <c r="BK267" s="159"/>
      <c r="BL267" s="156"/>
      <c r="BM267" s="156"/>
      <c r="BN267" s="156"/>
      <c r="BO267" s="156"/>
      <c r="BP267" s="160"/>
      <c r="BQ267" s="160"/>
      <c r="BR267" s="160"/>
      <c r="BS267" s="160"/>
    </row>
    <row r="268" spans="1:71" x14ac:dyDescent="0.25">
      <c r="A268" s="154"/>
      <c r="B268" s="155"/>
      <c r="C268" s="155"/>
      <c r="D268" s="155"/>
      <c r="E268" s="156"/>
      <c r="F268" s="156"/>
      <c r="G268" s="155"/>
      <c r="H268" s="155"/>
      <c r="I268" s="155"/>
      <c r="J268" s="157"/>
      <c r="K268" s="157"/>
      <c r="L268" s="155"/>
      <c r="M268" s="155"/>
      <c r="N268" s="155"/>
      <c r="O268" s="156"/>
      <c r="P268" s="156"/>
      <c r="Q268" s="155"/>
      <c r="R268" s="155"/>
      <c r="S268" s="155"/>
      <c r="T268" s="156"/>
      <c r="U268" s="156"/>
      <c r="V268" s="155"/>
      <c r="W268" s="155"/>
      <c r="X268" s="155"/>
      <c r="Y268" s="155"/>
      <c r="Z268" s="155"/>
      <c r="AA268" s="156"/>
      <c r="AB268" s="156"/>
      <c r="AC268" s="155"/>
      <c r="AD268" s="155"/>
      <c r="AE268" s="155"/>
      <c r="AF268" s="156"/>
      <c r="AG268" s="156"/>
      <c r="AH268" s="155"/>
      <c r="AI268" s="155"/>
      <c r="AJ268" s="155"/>
      <c r="AK268" s="156"/>
      <c r="AL268" s="156"/>
      <c r="AM268" s="155"/>
      <c r="AN268" s="155"/>
      <c r="AO268" s="155"/>
      <c r="AP268" s="156"/>
      <c r="AQ268" s="156"/>
      <c r="AR268" s="155"/>
      <c r="AS268" s="155"/>
      <c r="AT268" s="155"/>
      <c r="AU268" s="156"/>
      <c r="AV268" s="156"/>
      <c r="AW268" s="155"/>
      <c r="AX268" s="155"/>
      <c r="AY268" s="155"/>
      <c r="AZ268" s="156"/>
      <c r="BA268" s="156"/>
      <c r="BB268" s="155"/>
      <c r="BC268" s="155"/>
      <c r="BD268" s="155"/>
      <c r="BE268" s="155"/>
      <c r="BF268" s="155"/>
      <c r="BG268" s="158"/>
      <c r="BH268" s="158"/>
      <c r="BI268" s="155"/>
      <c r="BJ268" s="155"/>
      <c r="BK268" s="159"/>
      <c r="BL268" s="156"/>
      <c r="BM268" s="156"/>
      <c r="BN268" s="156"/>
      <c r="BO268" s="156"/>
      <c r="BP268" s="160"/>
      <c r="BQ268" s="160"/>
      <c r="BR268" s="160"/>
      <c r="BS268" s="160"/>
    </row>
    <row r="269" spans="1:71" x14ac:dyDescent="0.25">
      <c r="A269" s="154"/>
      <c r="B269" s="155"/>
      <c r="C269" s="155"/>
      <c r="D269" s="155"/>
      <c r="E269" s="156"/>
      <c r="F269" s="156"/>
      <c r="G269" s="155"/>
      <c r="H269" s="155"/>
      <c r="I269" s="155"/>
      <c r="J269" s="157"/>
      <c r="K269" s="157"/>
      <c r="L269" s="155"/>
      <c r="M269" s="155"/>
      <c r="N269" s="155"/>
      <c r="O269" s="156"/>
      <c r="P269" s="156"/>
      <c r="Q269" s="155"/>
      <c r="R269" s="155"/>
      <c r="S269" s="155"/>
      <c r="T269" s="156"/>
      <c r="U269" s="156"/>
      <c r="V269" s="155"/>
      <c r="W269" s="155"/>
      <c r="X269" s="155"/>
      <c r="Y269" s="155"/>
      <c r="Z269" s="155"/>
      <c r="AA269" s="156"/>
      <c r="AB269" s="156"/>
      <c r="AC269" s="155"/>
      <c r="AD269" s="155"/>
      <c r="AE269" s="155"/>
      <c r="AF269" s="156"/>
      <c r="AG269" s="156"/>
      <c r="AH269" s="155"/>
      <c r="AI269" s="155"/>
      <c r="AJ269" s="155"/>
      <c r="AK269" s="156"/>
      <c r="AL269" s="156"/>
      <c r="AM269" s="155"/>
      <c r="AN269" s="155"/>
      <c r="AO269" s="155"/>
      <c r="AP269" s="156"/>
      <c r="AQ269" s="156"/>
      <c r="AR269" s="155"/>
      <c r="AS269" s="155"/>
      <c r="AT269" s="155"/>
      <c r="AU269" s="156"/>
      <c r="AV269" s="156"/>
      <c r="AW269" s="155"/>
      <c r="AX269" s="155"/>
      <c r="AY269" s="155"/>
      <c r="AZ269" s="156"/>
      <c r="BA269" s="156"/>
      <c r="BB269" s="155"/>
      <c r="BC269" s="155"/>
      <c r="BD269" s="155"/>
      <c r="BE269" s="155"/>
      <c r="BF269" s="155"/>
      <c r="BG269" s="158"/>
      <c r="BH269" s="158"/>
      <c r="BI269" s="155"/>
      <c r="BJ269" s="155"/>
      <c r="BK269" s="159"/>
      <c r="BL269" s="156"/>
      <c r="BM269" s="156"/>
      <c r="BN269" s="156"/>
      <c r="BO269" s="156"/>
      <c r="BP269" s="160"/>
      <c r="BQ269" s="160"/>
      <c r="BR269" s="160"/>
      <c r="BS269" s="160"/>
    </row>
    <row r="270" spans="1:71" x14ac:dyDescent="0.25">
      <c r="A270" s="154"/>
      <c r="B270" s="155"/>
      <c r="C270" s="155"/>
      <c r="D270" s="155"/>
      <c r="E270" s="156"/>
      <c r="F270" s="156"/>
      <c r="G270" s="155"/>
      <c r="H270" s="155"/>
      <c r="I270" s="155"/>
      <c r="J270" s="157"/>
      <c r="K270" s="157"/>
      <c r="L270" s="155"/>
      <c r="M270" s="155"/>
      <c r="N270" s="155"/>
      <c r="O270" s="156"/>
      <c r="P270" s="156"/>
      <c r="Q270" s="155"/>
      <c r="R270" s="155"/>
      <c r="S270" s="155"/>
      <c r="T270" s="156"/>
      <c r="U270" s="156"/>
      <c r="V270" s="155"/>
      <c r="W270" s="155"/>
      <c r="X270" s="155"/>
      <c r="Y270" s="155"/>
      <c r="Z270" s="155"/>
      <c r="AA270" s="156"/>
      <c r="AB270" s="156"/>
      <c r="AC270" s="155"/>
      <c r="AD270" s="155"/>
      <c r="AE270" s="155"/>
      <c r="AF270" s="156"/>
      <c r="AG270" s="156"/>
      <c r="AH270" s="155"/>
      <c r="AI270" s="155"/>
      <c r="AJ270" s="155"/>
      <c r="AK270" s="156"/>
      <c r="AL270" s="156"/>
      <c r="AM270" s="155"/>
      <c r="AN270" s="155"/>
      <c r="AO270" s="155"/>
      <c r="AP270" s="156"/>
      <c r="AQ270" s="156"/>
      <c r="AR270" s="155"/>
      <c r="AS270" s="155"/>
      <c r="AT270" s="155"/>
      <c r="AU270" s="156"/>
      <c r="AV270" s="156"/>
      <c r="AW270" s="155"/>
      <c r="AX270" s="155"/>
      <c r="AY270" s="155"/>
      <c r="AZ270" s="156"/>
      <c r="BA270" s="156"/>
      <c r="BB270" s="155"/>
      <c r="BC270" s="155"/>
      <c r="BD270" s="155"/>
      <c r="BE270" s="155"/>
      <c r="BF270" s="155"/>
      <c r="BG270" s="158"/>
      <c r="BH270" s="158"/>
      <c r="BI270" s="155"/>
      <c r="BJ270" s="155"/>
      <c r="BK270" s="159"/>
      <c r="BL270" s="156"/>
      <c r="BM270" s="156"/>
      <c r="BN270" s="156"/>
      <c r="BO270" s="156"/>
      <c r="BP270" s="160"/>
      <c r="BQ270" s="160"/>
      <c r="BR270" s="160"/>
      <c r="BS270" s="160"/>
    </row>
    <row r="271" spans="1:71" x14ac:dyDescent="0.25">
      <c r="A271" s="154"/>
      <c r="B271" s="155"/>
      <c r="C271" s="155"/>
      <c r="D271" s="155"/>
      <c r="E271" s="156"/>
      <c r="F271" s="156"/>
      <c r="G271" s="155"/>
      <c r="H271" s="155"/>
      <c r="I271" s="155"/>
      <c r="J271" s="157"/>
      <c r="K271" s="157"/>
      <c r="L271" s="155"/>
      <c r="M271" s="155"/>
      <c r="N271" s="155"/>
      <c r="O271" s="156"/>
      <c r="P271" s="156"/>
      <c r="Q271" s="155"/>
      <c r="R271" s="155"/>
      <c r="S271" s="155"/>
      <c r="T271" s="156"/>
      <c r="U271" s="156"/>
      <c r="V271" s="155"/>
      <c r="W271" s="155"/>
      <c r="X271" s="155"/>
      <c r="Y271" s="155"/>
      <c r="Z271" s="155"/>
      <c r="AA271" s="156"/>
      <c r="AB271" s="156"/>
      <c r="AC271" s="155"/>
      <c r="AD271" s="155"/>
      <c r="AE271" s="155"/>
      <c r="AF271" s="156"/>
      <c r="AG271" s="156"/>
      <c r="AH271" s="155"/>
      <c r="AI271" s="155"/>
      <c r="AJ271" s="155"/>
      <c r="AK271" s="156"/>
      <c r="AL271" s="156"/>
      <c r="AM271" s="155"/>
      <c r="AN271" s="155"/>
      <c r="AO271" s="155"/>
      <c r="AP271" s="156"/>
      <c r="AQ271" s="156"/>
      <c r="AR271" s="155"/>
      <c r="AS271" s="155"/>
      <c r="AT271" s="155"/>
      <c r="AU271" s="156"/>
      <c r="AV271" s="156"/>
      <c r="AW271" s="155"/>
      <c r="AX271" s="155"/>
      <c r="AY271" s="155"/>
      <c r="AZ271" s="156"/>
      <c r="BA271" s="156"/>
      <c r="BB271" s="155"/>
      <c r="BC271" s="155"/>
      <c r="BD271" s="155"/>
      <c r="BE271" s="155"/>
      <c r="BF271" s="155"/>
      <c r="BG271" s="158"/>
      <c r="BH271" s="158"/>
      <c r="BI271" s="155"/>
      <c r="BJ271" s="155"/>
      <c r="BK271" s="159"/>
      <c r="BL271" s="156"/>
      <c r="BM271" s="156"/>
      <c r="BN271" s="156"/>
      <c r="BO271" s="156"/>
      <c r="BP271" s="160"/>
      <c r="BQ271" s="160"/>
      <c r="BR271" s="160"/>
      <c r="BS271" s="160"/>
    </row>
    <row r="272" spans="1:71" x14ac:dyDescent="0.25">
      <c r="A272" s="154"/>
      <c r="B272" s="155"/>
      <c r="C272" s="155"/>
      <c r="D272" s="155"/>
      <c r="E272" s="156"/>
      <c r="F272" s="156"/>
      <c r="G272" s="155"/>
      <c r="H272" s="155"/>
      <c r="I272" s="155"/>
      <c r="J272" s="157"/>
      <c r="K272" s="157"/>
      <c r="L272" s="155"/>
      <c r="M272" s="155"/>
      <c r="N272" s="155"/>
      <c r="O272" s="156"/>
      <c r="P272" s="156"/>
      <c r="Q272" s="155"/>
      <c r="R272" s="155"/>
      <c r="S272" s="155"/>
      <c r="T272" s="156"/>
      <c r="U272" s="156"/>
      <c r="V272" s="155"/>
      <c r="W272" s="155"/>
      <c r="X272" s="155"/>
      <c r="Y272" s="155"/>
      <c r="Z272" s="155"/>
      <c r="AA272" s="156"/>
      <c r="AB272" s="156"/>
      <c r="AC272" s="155"/>
      <c r="AD272" s="155"/>
      <c r="AE272" s="155"/>
      <c r="AF272" s="156"/>
      <c r="AG272" s="156"/>
      <c r="AH272" s="155"/>
      <c r="AI272" s="155"/>
      <c r="AJ272" s="155"/>
      <c r="AK272" s="156"/>
      <c r="AL272" s="156"/>
      <c r="AM272" s="155"/>
      <c r="AN272" s="155"/>
      <c r="AO272" s="155"/>
      <c r="AP272" s="156"/>
      <c r="AQ272" s="156"/>
      <c r="AR272" s="155"/>
      <c r="AS272" s="155"/>
      <c r="AT272" s="155"/>
      <c r="AU272" s="156"/>
      <c r="AV272" s="156"/>
      <c r="AW272" s="155"/>
      <c r="AX272" s="155"/>
      <c r="AY272" s="155"/>
      <c r="AZ272" s="156"/>
      <c r="BA272" s="156"/>
      <c r="BB272" s="155"/>
      <c r="BC272" s="155"/>
      <c r="BD272" s="155"/>
      <c r="BE272" s="155"/>
      <c r="BF272" s="155"/>
      <c r="BG272" s="158"/>
      <c r="BH272" s="158"/>
      <c r="BI272" s="155"/>
      <c r="BJ272" s="155"/>
      <c r="BK272" s="159"/>
      <c r="BL272" s="156"/>
      <c r="BM272" s="156"/>
      <c r="BN272" s="156"/>
      <c r="BO272" s="156"/>
      <c r="BP272" s="160"/>
      <c r="BQ272" s="160"/>
      <c r="BR272" s="160"/>
      <c r="BS272" s="160"/>
    </row>
    <row r="273" spans="1:71" x14ac:dyDescent="0.25">
      <c r="A273" s="154"/>
      <c r="B273" s="155"/>
      <c r="C273" s="155"/>
      <c r="D273" s="155"/>
      <c r="E273" s="156"/>
      <c r="F273" s="156"/>
      <c r="G273" s="155"/>
      <c r="H273" s="155"/>
      <c r="I273" s="155"/>
      <c r="J273" s="157"/>
      <c r="K273" s="157"/>
      <c r="L273" s="155"/>
      <c r="M273" s="155"/>
      <c r="N273" s="155"/>
      <c r="O273" s="156"/>
      <c r="P273" s="156"/>
      <c r="Q273" s="155"/>
      <c r="R273" s="155"/>
      <c r="S273" s="155"/>
      <c r="T273" s="156"/>
      <c r="U273" s="156"/>
      <c r="V273" s="155"/>
      <c r="W273" s="155"/>
      <c r="X273" s="155"/>
      <c r="Y273" s="155"/>
      <c r="Z273" s="155"/>
      <c r="AA273" s="156"/>
      <c r="AB273" s="156"/>
      <c r="AC273" s="155"/>
      <c r="AD273" s="155"/>
      <c r="AE273" s="155"/>
      <c r="AF273" s="156"/>
      <c r="AG273" s="156"/>
      <c r="AH273" s="155"/>
      <c r="AI273" s="155"/>
      <c r="AJ273" s="155"/>
      <c r="AK273" s="156"/>
      <c r="AL273" s="156"/>
      <c r="AM273" s="155"/>
      <c r="AN273" s="155"/>
      <c r="AO273" s="155"/>
      <c r="AP273" s="156"/>
      <c r="AQ273" s="156"/>
      <c r="AR273" s="155"/>
      <c r="AS273" s="155"/>
      <c r="AT273" s="155"/>
      <c r="AU273" s="156"/>
      <c r="AV273" s="156"/>
      <c r="AW273" s="155"/>
      <c r="AX273" s="155"/>
      <c r="AY273" s="155"/>
      <c r="AZ273" s="156"/>
      <c r="BA273" s="156"/>
      <c r="BB273" s="155"/>
      <c r="BC273" s="155"/>
      <c r="BD273" s="155"/>
      <c r="BE273" s="155"/>
      <c r="BF273" s="155"/>
      <c r="BG273" s="158"/>
      <c r="BH273" s="158"/>
      <c r="BI273" s="155"/>
      <c r="BJ273" s="155"/>
      <c r="BK273" s="159"/>
      <c r="BL273" s="156"/>
      <c r="BM273" s="156"/>
      <c r="BN273" s="156"/>
      <c r="BO273" s="156"/>
      <c r="BP273" s="160"/>
      <c r="BQ273" s="160"/>
      <c r="BR273" s="160"/>
      <c r="BS273" s="160"/>
    </row>
    <row r="274" spans="1:71" x14ac:dyDescent="0.25">
      <c r="A274" s="154"/>
      <c r="B274" s="155"/>
      <c r="C274" s="155"/>
      <c r="D274" s="155"/>
      <c r="E274" s="156"/>
      <c r="F274" s="156"/>
      <c r="G274" s="155"/>
      <c r="H274" s="155"/>
      <c r="I274" s="155"/>
      <c r="J274" s="157"/>
      <c r="K274" s="157"/>
      <c r="L274" s="155"/>
      <c r="M274" s="155"/>
      <c r="N274" s="155"/>
      <c r="O274" s="156"/>
      <c r="P274" s="156"/>
      <c r="Q274" s="155"/>
      <c r="R274" s="155"/>
      <c r="S274" s="155"/>
      <c r="T274" s="156"/>
      <c r="U274" s="156"/>
      <c r="V274" s="155"/>
      <c r="W274" s="155"/>
      <c r="X274" s="155"/>
      <c r="Y274" s="155"/>
      <c r="Z274" s="155"/>
      <c r="AA274" s="156"/>
      <c r="AB274" s="156"/>
      <c r="AC274" s="155"/>
      <c r="AD274" s="155"/>
      <c r="AE274" s="155"/>
      <c r="AF274" s="156"/>
      <c r="AG274" s="156"/>
      <c r="AH274" s="155"/>
      <c r="AI274" s="155"/>
      <c r="AJ274" s="155"/>
      <c r="AK274" s="156"/>
      <c r="AL274" s="156"/>
      <c r="AM274" s="155"/>
      <c r="AN274" s="155"/>
      <c r="AO274" s="155"/>
      <c r="AP274" s="156"/>
      <c r="AQ274" s="156"/>
      <c r="AR274" s="155"/>
      <c r="AS274" s="155"/>
      <c r="AT274" s="155"/>
      <c r="AU274" s="156"/>
      <c r="AV274" s="156"/>
      <c r="AW274" s="155"/>
      <c r="AX274" s="155"/>
      <c r="AY274" s="155"/>
      <c r="AZ274" s="156"/>
      <c r="BA274" s="156"/>
      <c r="BB274" s="155"/>
      <c r="BC274" s="155"/>
      <c r="BD274" s="155"/>
      <c r="BE274" s="155"/>
      <c r="BF274" s="155"/>
      <c r="BG274" s="158"/>
      <c r="BH274" s="158"/>
      <c r="BI274" s="155"/>
      <c r="BJ274" s="155"/>
      <c r="BK274" s="159"/>
      <c r="BL274" s="156"/>
      <c r="BM274" s="156"/>
      <c r="BN274" s="156"/>
      <c r="BO274" s="156"/>
      <c r="BP274" s="160"/>
      <c r="BQ274" s="160"/>
      <c r="BR274" s="160"/>
      <c r="BS274" s="160"/>
    </row>
    <row r="275" spans="1:71" x14ac:dyDescent="0.25">
      <c r="A275" s="154"/>
      <c r="B275" s="155"/>
      <c r="C275" s="155"/>
      <c r="D275" s="155"/>
      <c r="E275" s="156"/>
      <c r="F275" s="156"/>
      <c r="G275" s="155"/>
      <c r="H275" s="155"/>
      <c r="I275" s="155"/>
      <c r="J275" s="157"/>
      <c r="K275" s="157"/>
      <c r="L275" s="155"/>
      <c r="M275" s="155"/>
      <c r="N275" s="155"/>
      <c r="O275" s="156"/>
      <c r="P275" s="156"/>
      <c r="Q275" s="155"/>
      <c r="R275" s="155"/>
      <c r="S275" s="155"/>
      <c r="T275" s="156"/>
      <c r="U275" s="156"/>
      <c r="V275" s="155"/>
      <c r="W275" s="155"/>
      <c r="X275" s="155"/>
      <c r="Y275" s="155"/>
      <c r="Z275" s="155"/>
      <c r="AA275" s="156"/>
      <c r="AB275" s="156"/>
      <c r="AC275" s="155"/>
      <c r="AD275" s="155"/>
      <c r="AE275" s="155"/>
      <c r="AF275" s="156"/>
      <c r="AG275" s="156"/>
      <c r="AH275" s="155"/>
      <c r="AI275" s="155"/>
      <c r="AJ275" s="155"/>
      <c r="AK275" s="156"/>
      <c r="AL275" s="156"/>
      <c r="AM275" s="155"/>
      <c r="AN275" s="155"/>
      <c r="AO275" s="155"/>
      <c r="AP275" s="156"/>
      <c r="AQ275" s="156"/>
      <c r="AR275" s="155"/>
      <c r="AS275" s="155"/>
      <c r="AT275" s="155"/>
      <c r="AU275" s="156"/>
      <c r="AV275" s="156"/>
      <c r="AW275" s="155"/>
      <c r="AX275" s="155"/>
      <c r="AY275" s="155"/>
      <c r="AZ275" s="156"/>
      <c r="BA275" s="156"/>
      <c r="BB275" s="155"/>
      <c r="BC275" s="155"/>
      <c r="BD275" s="155"/>
      <c r="BE275" s="155"/>
      <c r="BF275" s="155"/>
      <c r="BG275" s="158"/>
      <c r="BH275" s="158"/>
      <c r="BI275" s="155"/>
      <c r="BJ275" s="155"/>
      <c r="BK275" s="159"/>
      <c r="BL275" s="156"/>
      <c r="BM275" s="156"/>
      <c r="BN275" s="156"/>
      <c r="BO275" s="156"/>
      <c r="BP275" s="160"/>
      <c r="BQ275" s="160"/>
      <c r="BR275" s="160"/>
      <c r="BS275" s="160"/>
    </row>
    <row r="276" spans="1:71" x14ac:dyDescent="0.25">
      <c r="A276" s="154"/>
      <c r="B276" s="155"/>
      <c r="C276" s="155"/>
      <c r="D276" s="155"/>
      <c r="E276" s="156"/>
      <c r="F276" s="156"/>
      <c r="G276" s="155"/>
      <c r="H276" s="155"/>
      <c r="I276" s="155"/>
      <c r="J276" s="157"/>
      <c r="K276" s="157"/>
      <c r="L276" s="155"/>
      <c r="M276" s="155"/>
      <c r="N276" s="155"/>
      <c r="O276" s="156"/>
      <c r="P276" s="156"/>
      <c r="Q276" s="155"/>
      <c r="R276" s="155"/>
      <c r="S276" s="155"/>
      <c r="T276" s="156"/>
      <c r="U276" s="156"/>
      <c r="V276" s="155"/>
      <c r="W276" s="155"/>
      <c r="X276" s="155"/>
      <c r="Y276" s="155"/>
      <c r="Z276" s="155"/>
      <c r="AA276" s="156"/>
      <c r="AB276" s="156"/>
      <c r="AC276" s="155"/>
      <c r="AD276" s="155"/>
      <c r="AE276" s="155"/>
      <c r="AF276" s="156"/>
      <c r="AG276" s="156"/>
      <c r="AH276" s="155"/>
      <c r="AI276" s="155"/>
      <c r="AJ276" s="155"/>
      <c r="AK276" s="156"/>
      <c r="AL276" s="156"/>
      <c r="AM276" s="155"/>
      <c r="AN276" s="155"/>
      <c r="AO276" s="155"/>
      <c r="AP276" s="156"/>
      <c r="AQ276" s="156"/>
      <c r="AR276" s="155"/>
      <c r="AS276" s="155"/>
      <c r="AT276" s="155"/>
      <c r="AU276" s="156"/>
      <c r="AV276" s="156"/>
      <c r="AW276" s="155"/>
      <c r="AX276" s="155"/>
      <c r="AY276" s="155"/>
      <c r="AZ276" s="156"/>
      <c r="BA276" s="156"/>
      <c r="BB276" s="155"/>
      <c r="BC276" s="155"/>
      <c r="BD276" s="155"/>
      <c r="BE276" s="155"/>
      <c r="BF276" s="155"/>
      <c r="BG276" s="158"/>
      <c r="BH276" s="158"/>
      <c r="BI276" s="155"/>
      <c r="BJ276" s="155"/>
      <c r="BK276" s="159"/>
      <c r="BL276" s="156"/>
      <c r="BM276" s="156"/>
      <c r="BN276" s="156"/>
      <c r="BO276" s="156"/>
      <c r="BP276" s="160"/>
      <c r="BQ276" s="160"/>
      <c r="BR276" s="160"/>
      <c r="BS276" s="160"/>
    </row>
    <row r="277" spans="1:71" x14ac:dyDescent="0.25">
      <c r="A277" s="154"/>
      <c r="B277" s="155"/>
      <c r="C277" s="155"/>
      <c r="D277" s="155"/>
      <c r="E277" s="156"/>
      <c r="F277" s="156"/>
      <c r="G277" s="155"/>
      <c r="H277" s="155"/>
      <c r="I277" s="155"/>
      <c r="J277" s="157"/>
      <c r="K277" s="157"/>
      <c r="L277" s="155"/>
      <c r="M277" s="155"/>
      <c r="N277" s="155"/>
      <c r="O277" s="156"/>
      <c r="P277" s="156"/>
      <c r="Q277" s="155"/>
      <c r="R277" s="155"/>
      <c r="S277" s="155"/>
      <c r="T277" s="156"/>
      <c r="U277" s="156"/>
      <c r="V277" s="155"/>
      <c r="W277" s="155"/>
      <c r="X277" s="155"/>
      <c r="Y277" s="155"/>
      <c r="Z277" s="155"/>
      <c r="AA277" s="156"/>
      <c r="AB277" s="156"/>
      <c r="AC277" s="155"/>
      <c r="AD277" s="155"/>
      <c r="AE277" s="155"/>
      <c r="AF277" s="156"/>
      <c r="AG277" s="156"/>
      <c r="AH277" s="155"/>
      <c r="AI277" s="155"/>
      <c r="AJ277" s="155"/>
      <c r="AK277" s="156"/>
      <c r="AL277" s="156"/>
      <c r="AM277" s="155"/>
      <c r="AN277" s="155"/>
      <c r="AO277" s="155"/>
      <c r="AP277" s="156"/>
      <c r="AQ277" s="156"/>
      <c r="AR277" s="155"/>
      <c r="AS277" s="155"/>
      <c r="AT277" s="155"/>
      <c r="AU277" s="156"/>
      <c r="AV277" s="156"/>
      <c r="AW277" s="155"/>
      <c r="AX277" s="155"/>
      <c r="AY277" s="155"/>
      <c r="AZ277" s="156"/>
      <c r="BA277" s="156"/>
      <c r="BB277" s="155"/>
      <c r="BC277" s="155"/>
      <c r="BD277" s="155"/>
      <c r="BE277" s="155"/>
      <c r="BF277" s="155"/>
      <c r="BG277" s="158"/>
      <c r="BH277" s="158"/>
      <c r="BI277" s="155"/>
      <c r="BJ277" s="155"/>
      <c r="BK277" s="159"/>
      <c r="BL277" s="156"/>
      <c r="BM277" s="156"/>
      <c r="BN277" s="156"/>
      <c r="BO277" s="156"/>
      <c r="BP277" s="160"/>
      <c r="BQ277" s="160"/>
      <c r="BR277" s="160"/>
      <c r="BS277" s="160"/>
    </row>
    <row r="278" spans="1:71" x14ac:dyDescent="0.25">
      <c r="A278" s="154"/>
      <c r="B278" s="155"/>
      <c r="C278" s="155"/>
      <c r="D278" s="155"/>
      <c r="E278" s="156"/>
      <c r="F278" s="156"/>
      <c r="G278" s="155"/>
      <c r="H278" s="155"/>
      <c r="I278" s="155"/>
      <c r="J278" s="157"/>
      <c r="K278" s="157"/>
      <c r="L278" s="155"/>
      <c r="M278" s="155"/>
      <c r="N278" s="155"/>
      <c r="O278" s="156"/>
      <c r="P278" s="156"/>
      <c r="Q278" s="155"/>
      <c r="R278" s="155"/>
      <c r="S278" s="155"/>
      <c r="T278" s="156"/>
      <c r="U278" s="156"/>
      <c r="V278" s="155"/>
      <c r="W278" s="155"/>
      <c r="X278" s="155"/>
      <c r="Y278" s="155"/>
      <c r="Z278" s="155"/>
      <c r="AA278" s="156"/>
      <c r="AB278" s="156"/>
      <c r="AC278" s="155"/>
      <c r="AD278" s="155"/>
      <c r="AE278" s="155"/>
      <c r="AF278" s="156"/>
      <c r="AG278" s="156"/>
      <c r="AH278" s="155"/>
      <c r="AI278" s="155"/>
      <c r="AJ278" s="155"/>
      <c r="AK278" s="156"/>
      <c r="AL278" s="156"/>
      <c r="AM278" s="155"/>
      <c r="AN278" s="155"/>
      <c r="AO278" s="155"/>
      <c r="AP278" s="156"/>
      <c r="AQ278" s="156"/>
      <c r="AR278" s="155"/>
      <c r="AS278" s="155"/>
      <c r="AT278" s="155"/>
      <c r="AU278" s="156"/>
      <c r="AV278" s="156"/>
      <c r="AW278" s="155"/>
      <c r="AX278" s="155"/>
      <c r="AY278" s="155"/>
      <c r="AZ278" s="156"/>
      <c r="BA278" s="156"/>
      <c r="BB278" s="155"/>
      <c r="BC278" s="155"/>
      <c r="BD278" s="155"/>
      <c r="BE278" s="155"/>
      <c r="BF278" s="155"/>
      <c r="BG278" s="158"/>
      <c r="BH278" s="158"/>
      <c r="BI278" s="155"/>
      <c r="BJ278" s="155"/>
      <c r="BK278" s="159"/>
      <c r="BL278" s="156"/>
      <c r="BM278" s="156"/>
      <c r="BN278" s="156"/>
      <c r="BO278" s="156"/>
      <c r="BP278" s="160"/>
      <c r="BQ278" s="160"/>
      <c r="BR278" s="160"/>
      <c r="BS278" s="160"/>
    </row>
    <row r="279" spans="1:71" x14ac:dyDescent="0.25">
      <c r="A279" s="154"/>
      <c r="B279" s="155"/>
      <c r="C279" s="155"/>
      <c r="D279" s="155"/>
      <c r="E279" s="156"/>
      <c r="F279" s="156"/>
      <c r="G279" s="155"/>
      <c r="H279" s="155"/>
      <c r="I279" s="155"/>
      <c r="J279" s="157"/>
      <c r="K279" s="157"/>
      <c r="L279" s="155"/>
      <c r="M279" s="155"/>
      <c r="N279" s="155"/>
      <c r="O279" s="156"/>
      <c r="P279" s="156"/>
      <c r="Q279" s="155"/>
      <c r="R279" s="155"/>
      <c r="S279" s="155"/>
      <c r="T279" s="156"/>
      <c r="U279" s="156"/>
      <c r="V279" s="155"/>
      <c r="W279" s="155"/>
      <c r="X279" s="155"/>
      <c r="Y279" s="155"/>
      <c r="Z279" s="155"/>
      <c r="AA279" s="156"/>
      <c r="AB279" s="156"/>
      <c r="AC279" s="155"/>
      <c r="AD279" s="155"/>
      <c r="AE279" s="155"/>
      <c r="AF279" s="156"/>
      <c r="AG279" s="156"/>
      <c r="AH279" s="155"/>
      <c r="AI279" s="155"/>
      <c r="AJ279" s="155"/>
      <c r="AK279" s="156"/>
      <c r="AL279" s="156"/>
      <c r="AM279" s="155"/>
      <c r="AN279" s="155"/>
      <c r="AO279" s="155"/>
      <c r="AP279" s="156"/>
      <c r="AQ279" s="156"/>
      <c r="AR279" s="155"/>
      <c r="AS279" s="155"/>
      <c r="AT279" s="155"/>
      <c r="AU279" s="156"/>
      <c r="AV279" s="156"/>
      <c r="AW279" s="155"/>
      <c r="AX279" s="155"/>
      <c r="AY279" s="155"/>
      <c r="AZ279" s="156"/>
      <c r="BA279" s="156"/>
      <c r="BB279" s="155"/>
      <c r="BC279" s="155"/>
      <c r="BD279" s="155"/>
      <c r="BE279" s="155"/>
      <c r="BF279" s="155"/>
      <c r="BG279" s="158"/>
      <c r="BH279" s="158"/>
      <c r="BI279" s="155"/>
      <c r="BJ279" s="155"/>
      <c r="BK279" s="159"/>
      <c r="BL279" s="156"/>
      <c r="BM279" s="156"/>
      <c r="BN279" s="156"/>
      <c r="BO279" s="156"/>
      <c r="BP279" s="160"/>
      <c r="BQ279" s="160"/>
      <c r="BR279" s="160"/>
      <c r="BS279" s="160"/>
    </row>
    <row r="280" spans="1:71" x14ac:dyDescent="0.25">
      <c r="A280" s="154"/>
      <c r="B280" s="155"/>
      <c r="C280" s="155"/>
      <c r="D280" s="155"/>
      <c r="E280" s="156"/>
      <c r="F280" s="156"/>
      <c r="G280" s="155"/>
      <c r="H280" s="155"/>
      <c r="I280" s="155"/>
      <c r="J280" s="157"/>
      <c r="K280" s="157"/>
      <c r="L280" s="155"/>
      <c r="M280" s="155"/>
      <c r="N280" s="155"/>
      <c r="O280" s="156"/>
      <c r="P280" s="156"/>
      <c r="Q280" s="155"/>
      <c r="R280" s="155"/>
      <c r="S280" s="155"/>
      <c r="T280" s="156"/>
      <c r="U280" s="156"/>
      <c r="V280" s="155"/>
      <c r="W280" s="155"/>
      <c r="X280" s="155"/>
      <c r="Y280" s="155"/>
      <c r="Z280" s="155"/>
      <c r="AA280" s="156"/>
      <c r="AB280" s="156"/>
      <c r="AC280" s="155"/>
      <c r="AD280" s="155"/>
      <c r="AE280" s="155"/>
      <c r="AF280" s="156"/>
      <c r="AG280" s="156"/>
      <c r="AH280" s="155"/>
      <c r="AI280" s="155"/>
      <c r="AJ280" s="155"/>
      <c r="AK280" s="156"/>
      <c r="AL280" s="156"/>
      <c r="AM280" s="155"/>
      <c r="AN280" s="155"/>
      <c r="AO280" s="155"/>
      <c r="AP280" s="156"/>
      <c r="AQ280" s="156"/>
      <c r="AR280" s="155"/>
      <c r="AS280" s="155"/>
      <c r="AT280" s="155"/>
      <c r="AU280" s="156"/>
      <c r="AV280" s="156"/>
      <c r="AW280" s="155"/>
      <c r="AX280" s="155"/>
      <c r="AY280" s="155"/>
      <c r="AZ280" s="156"/>
      <c r="BA280" s="156"/>
      <c r="BB280" s="155"/>
      <c r="BC280" s="155"/>
      <c r="BD280" s="155"/>
      <c r="BE280" s="155"/>
      <c r="BF280" s="155"/>
      <c r="BG280" s="158"/>
      <c r="BH280" s="158"/>
      <c r="BI280" s="155"/>
      <c r="BJ280" s="155"/>
      <c r="BK280" s="159"/>
      <c r="BL280" s="156"/>
      <c r="BM280" s="156"/>
      <c r="BN280" s="156"/>
      <c r="BO280" s="156"/>
      <c r="BP280" s="160"/>
      <c r="BQ280" s="160"/>
      <c r="BR280" s="160"/>
      <c r="BS280" s="160"/>
    </row>
    <row r="281" spans="1:71" x14ac:dyDescent="0.25">
      <c r="A281" s="154"/>
      <c r="B281" s="155"/>
      <c r="C281" s="155"/>
      <c r="D281" s="155"/>
      <c r="E281" s="156"/>
      <c r="F281" s="156"/>
      <c r="G281" s="155"/>
      <c r="H281" s="155"/>
      <c r="I281" s="155"/>
      <c r="J281" s="157"/>
      <c r="K281" s="157"/>
      <c r="L281" s="155"/>
      <c r="M281" s="155"/>
      <c r="N281" s="155"/>
      <c r="O281" s="156"/>
      <c r="P281" s="156"/>
      <c r="Q281" s="155"/>
      <c r="R281" s="155"/>
      <c r="S281" s="155"/>
      <c r="T281" s="156"/>
      <c r="U281" s="156"/>
      <c r="V281" s="155"/>
      <c r="W281" s="155"/>
      <c r="X281" s="155"/>
      <c r="Y281" s="155"/>
      <c r="Z281" s="155"/>
      <c r="AA281" s="156"/>
      <c r="AB281" s="156"/>
      <c r="AC281" s="155"/>
      <c r="AD281" s="155"/>
      <c r="AE281" s="155"/>
      <c r="AF281" s="156"/>
      <c r="AG281" s="156"/>
      <c r="AH281" s="155"/>
      <c r="AI281" s="155"/>
      <c r="AJ281" s="155"/>
      <c r="AK281" s="156"/>
      <c r="AL281" s="156"/>
      <c r="AM281" s="155"/>
      <c r="AN281" s="155"/>
      <c r="AO281" s="155"/>
      <c r="AP281" s="156"/>
      <c r="AQ281" s="156"/>
      <c r="AR281" s="155"/>
      <c r="AS281" s="155"/>
      <c r="AT281" s="155"/>
      <c r="AU281" s="156"/>
      <c r="AV281" s="156"/>
      <c r="AW281" s="155"/>
      <c r="AX281" s="155"/>
      <c r="AY281" s="155"/>
      <c r="AZ281" s="156"/>
      <c r="BA281" s="156"/>
      <c r="BB281" s="155"/>
      <c r="BC281" s="155"/>
      <c r="BD281" s="155"/>
      <c r="BE281" s="155"/>
      <c r="BF281" s="155"/>
      <c r="BG281" s="158"/>
      <c r="BH281" s="158"/>
      <c r="BI281" s="155"/>
      <c r="BJ281" s="155"/>
      <c r="BK281" s="159"/>
      <c r="BL281" s="156"/>
      <c r="BM281" s="156"/>
      <c r="BN281" s="156"/>
      <c r="BO281" s="156"/>
      <c r="BP281" s="160"/>
      <c r="BQ281" s="160"/>
      <c r="BR281" s="160"/>
      <c r="BS281" s="160"/>
    </row>
    <row r="282" spans="1:71" x14ac:dyDescent="0.25">
      <c r="A282" s="154"/>
      <c r="B282" s="155"/>
      <c r="C282" s="155"/>
      <c r="D282" s="155"/>
      <c r="E282" s="156"/>
      <c r="F282" s="156"/>
      <c r="G282" s="155"/>
      <c r="H282" s="155"/>
      <c r="I282" s="155"/>
      <c r="J282" s="157"/>
      <c r="K282" s="157"/>
      <c r="L282" s="155"/>
      <c r="M282" s="155"/>
      <c r="N282" s="155"/>
      <c r="O282" s="156"/>
      <c r="P282" s="156"/>
      <c r="Q282" s="155"/>
      <c r="R282" s="155"/>
      <c r="S282" s="155"/>
      <c r="T282" s="156"/>
      <c r="U282" s="156"/>
      <c r="V282" s="155"/>
      <c r="W282" s="155"/>
      <c r="X282" s="155"/>
      <c r="Y282" s="155"/>
      <c r="Z282" s="155"/>
      <c r="AA282" s="156"/>
      <c r="AB282" s="156"/>
      <c r="AC282" s="155"/>
      <c r="AD282" s="155"/>
      <c r="AE282" s="155"/>
      <c r="AF282" s="156"/>
      <c r="AG282" s="156"/>
      <c r="AH282" s="155"/>
      <c r="AI282" s="155"/>
      <c r="AJ282" s="155"/>
      <c r="AK282" s="156"/>
      <c r="AL282" s="156"/>
      <c r="AM282" s="155"/>
      <c r="AN282" s="155"/>
      <c r="AO282" s="155"/>
      <c r="AP282" s="156"/>
      <c r="AQ282" s="156"/>
      <c r="AR282" s="155"/>
      <c r="AS282" s="155"/>
      <c r="AT282" s="155"/>
      <c r="AU282" s="156"/>
      <c r="AV282" s="156"/>
      <c r="AW282" s="155"/>
      <c r="AX282" s="155"/>
      <c r="AY282" s="155"/>
      <c r="AZ282" s="156"/>
      <c r="BA282" s="156"/>
      <c r="BB282" s="155"/>
      <c r="BC282" s="155"/>
      <c r="BD282" s="155"/>
      <c r="BE282" s="155"/>
      <c r="BF282" s="155"/>
      <c r="BG282" s="158"/>
      <c r="BH282" s="158"/>
      <c r="BI282" s="155"/>
      <c r="BJ282" s="155"/>
      <c r="BK282" s="159"/>
      <c r="BL282" s="156"/>
      <c r="BM282" s="156"/>
      <c r="BN282" s="156"/>
      <c r="BO282" s="156"/>
      <c r="BP282" s="160"/>
      <c r="BQ282" s="160"/>
      <c r="BR282" s="160"/>
      <c r="BS282" s="160"/>
    </row>
    <row r="283" spans="1:71" x14ac:dyDescent="0.25">
      <c r="A283" s="154"/>
      <c r="B283" s="155"/>
      <c r="C283" s="155"/>
      <c r="D283" s="155"/>
      <c r="E283" s="156"/>
      <c r="F283" s="156"/>
      <c r="G283" s="155"/>
      <c r="H283" s="155"/>
      <c r="I283" s="155"/>
      <c r="J283" s="157"/>
      <c r="K283" s="157"/>
      <c r="L283" s="155"/>
      <c r="M283" s="155"/>
      <c r="N283" s="155"/>
      <c r="O283" s="156"/>
      <c r="P283" s="156"/>
      <c r="Q283" s="155"/>
      <c r="R283" s="155"/>
      <c r="S283" s="155"/>
      <c r="T283" s="156"/>
      <c r="U283" s="156"/>
      <c r="V283" s="155"/>
      <c r="W283" s="155"/>
      <c r="X283" s="155"/>
      <c r="Y283" s="155"/>
      <c r="Z283" s="155"/>
      <c r="AA283" s="156"/>
      <c r="AB283" s="156"/>
      <c r="AC283" s="155"/>
      <c r="AD283" s="155"/>
      <c r="AE283" s="155"/>
      <c r="AF283" s="156"/>
      <c r="AG283" s="156"/>
      <c r="AH283" s="155"/>
      <c r="AI283" s="155"/>
      <c r="AJ283" s="155"/>
      <c r="AK283" s="156"/>
      <c r="AL283" s="156"/>
      <c r="AM283" s="155"/>
      <c r="AN283" s="155"/>
      <c r="AO283" s="155"/>
      <c r="AP283" s="156"/>
      <c r="AQ283" s="156"/>
      <c r="AR283" s="155"/>
      <c r="AS283" s="155"/>
      <c r="AT283" s="155"/>
      <c r="AU283" s="156"/>
      <c r="AV283" s="156"/>
      <c r="AW283" s="155"/>
      <c r="AX283" s="155"/>
      <c r="AY283" s="155"/>
      <c r="AZ283" s="156"/>
      <c r="BA283" s="156"/>
      <c r="BB283" s="155"/>
      <c r="BC283" s="155"/>
      <c r="BD283" s="155"/>
      <c r="BE283" s="155"/>
      <c r="BF283" s="155"/>
      <c r="BG283" s="158"/>
      <c r="BH283" s="158"/>
      <c r="BI283" s="155"/>
      <c r="BJ283" s="155"/>
      <c r="BK283" s="159"/>
      <c r="BL283" s="156"/>
      <c r="BM283" s="156"/>
      <c r="BN283" s="156"/>
      <c r="BO283" s="156"/>
      <c r="BP283" s="160"/>
      <c r="BQ283" s="160"/>
      <c r="BR283" s="160"/>
      <c r="BS283" s="160"/>
    </row>
    <row r="284" spans="1:71" x14ac:dyDescent="0.25">
      <c r="A284" s="154"/>
      <c r="B284" s="155"/>
      <c r="C284" s="155"/>
      <c r="D284" s="155"/>
      <c r="E284" s="156"/>
      <c r="F284" s="156"/>
      <c r="G284" s="155"/>
      <c r="H284" s="155"/>
      <c r="I284" s="155"/>
      <c r="J284" s="157"/>
      <c r="K284" s="157"/>
      <c r="L284" s="155"/>
      <c r="M284" s="155"/>
      <c r="N284" s="155"/>
      <c r="O284" s="156"/>
      <c r="P284" s="156"/>
      <c r="Q284" s="155"/>
      <c r="R284" s="155"/>
      <c r="S284" s="155"/>
      <c r="T284" s="156"/>
      <c r="U284" s="156"/>
      <c r="V284" s="155"/>
      <c r="W284" s="155"/>
      <c r="X284" s="155"/>
      <c r="Y284" s="155"/>
      <c r="Z284" s="155"/>
      <c r="AA284" s="156"/>
      <c r="AB284" s="156"/>
      <c r="AC284" s="155"/>
      <c r="AD284" s="155"/>
      <c r="AE284" s="155"/>
      <c r="AF284" s="156"/>
      <c r="AG284" s="156"/>
      <c r="AH284" s="155"/>
      <c r="AI284" s="155"/>
      <c r="AJ284" s="155"/>
      <c r="AK284" s="156"/>
      <c r="AL284" s="156"/>
      <c r="AM284" s="155"/>
      <c r="AN284" s="155"/>
      <c r="AO284" s="155"/>
      <c r="AP284" s="156"/>
      <c r="AQ284" s="156"/>
      <c r="AR284" s="155"/>
      <c r="AS284" s="155"/>
      <c r="AT284" s="155"/>
      <c r="AU284" s="156"/>
      <c r="AV284" s="156"/>
      <c r="AW284" s="155"/>
      <c r="AX284" s="155"/>
      <c r="AY284" s="155"/>
      <c r="AZ284" s="156"/>
      <c r="BA284" s="156"/>
      <c r="BB284" s="155"/>
      <c r="BC284" s="155"/>
      <c r="BD284" s="155"/>
      <c r="BE284" s="155"/>
      <c r="BF284" s="155"/>
      <c r="BG284" s="158"/>
      <c r="BH284" s="158"/>
      <c r="BI284" s="155"/>
      <c r="BJ284" s="155"/>
      <c r="BK284" s="159"/>
      <c r="BL284" s="156"/>
      <c r="BM284" s="156"/>
      <c r="BN284" s="156"/>
      <c r="BO284" s="156"/>
      <c r="BP284" s="160"/>
      <c r="BQ284" s="160"/>
      <c r="BR284" s="160"/>
      <c r="BS284" s="160"/>
    </row>
    <row r="285" spans="1:71" x14ac:dyDescent="0.25">
      <c r="A285" s="154"/>
      <c r="B285" s="155"/>
      <c r="C285" s="155"/>
      <c r="D285" s="155"/>
      <c r="E285" s="156"/>
      <c r="F285" s="156"/>
      <c r="G285" s="155"/>
      <c r="H285" s="155"/>
      <c r="I285" s="155"/>
      <c r="J285" s="157"/>
      <c r="K285" s="157"/>
      <c r="L285" s="155"/>
      <c r="M285" s="155"/>
      <c r="N285" s="155"/>
      <c r="O285" s="156"/>
      <c r="P285" s="156"/>
      <c r="Q285" s="155"/>
      <c r="R285" s="155"/>
      <c r="S285" s="155"/>
      <c r="T285" s="156"/>
      <c r="U285" s="156"/>
      <c r="V285" s="155"/>
      <c r="W285" s="155"/>
      <c r="X285" s="155"/>
      <c r="Y285" s="155"/>
      <c r="Z285" s="155"/>
      <c r="AA285" s="156"/>
      <c r="AB285" s="156"/>
      <c r="AC285" s="155"/>
      <c r="AD285" s="155"/>
      <c r="AE285" s="155"/>
      <c r="AF285" s="156"/>
      <c r="AG285" s="156"/>
      <c r="AH285" s="155"/>
      <c r="AI285" s="155"/>
      <c r="AJ285" s="155"/>
      <c r="AK285" s="156"/>
      <c r="AL285" s="156"/>
      <c r="AM285" s="155"/>
      <c r="AN285" s="155"/>
      <c r="AO285" s="155"/>
      <c r="AP285" s="156"/>
      <c r="AQ285" s="156"/>
      <c r="AR285" s="155"/>
      <c r="AS285" s="155"/>
      <c r="AT285" s="155"/>
      <c r="AU285" s="156"/>
      <c r="AV285" s="156"/>
      <c r="AW285" s="155"/>
      <c r="AX285" s="155"/>
      <c r="AY285" s="155"/>
      <c r="AZ285" s="156"/>
      <c r="BA285" s="156"/>
      <c r="BB285" s="155"/>
      <c r="BC285" s="155"/>
      <c r="BD285" s="155"/>
      <c r="BE285" s="155"/>
      <c r="BF285" s="155"/>
      <c r="BG285" s="158"/>
      <c r="BH285" s="158"/>
      <c r="BI285" s="155"/>
      <c r="BJ285" s="155"/>
      <c r="BK285" s="159"/>
      <c r="BL285" s="156"/>
      <c r="BM285" s="156"/>
      <c r="BN285" s="156"/>
      <c r="BO285" s="156"/>
      <c r="BP285" s="160"/>
      <c r="BQ285" s="160"/>
      <c r="BR285" s="160"/>
      <c r="BS285" s="160"/>
    </row>
    <row r="286" spans="1:71" x14ac:dyDescent="0.25">
      <c r="A286" s="154"/>
      <c r="B286" s="155"/>
      <c r="C286" s="155"/>
      <c r="D286" s="155"/>
      <c r="E286" s="156"/>
      <c r="F286" s="156"/>
      <c r="G286" s="155"/>
      <c r="H286" s="155"/>
      <c r="I286" s="155"/>
      <c r="J286" s="157"/>
      <c r="K286" s="157"/>
      <c r="L286" s="155"/>
      <c r="M286" s="155"/>
      <c r="N286" s="155"/>
      <c r="O286" s="156"/>
      <c r="P286" s="156"/>
      <c r="Q286" s="155"/>
      <c r="R286" s="155"/>
      <c r="S286" s="155"/>
      <c r="T286" s="156"/>
      <c r="U286" s="156"/>
      <c r="V286" s="155"/>
      <c r="W286" s="155"/>
      <c r="X286" s="155"/>
      <c r="Y286" s="155"/>
      <c r="Z286" s="155"/>
      <c r="AA286" s="156"/>
      <c r="AB286" s="156"/>
      <c r="AC286" s="155"/>
      <c r="AD286" s="155"/>
      <c r="AE286" s="155"/>
      <c r="AF286" s="156"/>
      <c r="AG286" s="156"/>
      <c r="AH286" s="155"/>
      <c r="AI286" s="155"/>
      <c r="AJ286" s="155"/>
      <c r="AK286" s="156"/>
      <c r="AL286" s="156"/>
      <c r="AM286" s="155"/>
      <c r="AN286" s="155"/>
      <c r="AO286" s="155"/>
      <c r="AP286" s="156"/>
      <c r="AQ286" s="156"/>
      <c r="AR286" s="155"/>
      <c r="AS286" s="155"/>
      <c r="AT286" s="155"/>
      <c r="AU286" s="156"/>
      <c r="AV286" s="156"/>
      <c r="AW286" s="155"/>
      <c r="AX286" s="155"/>
      <c r="AY286" s="155"/>
      <c r="AZ286" s="156"/>
      <c r="BA286" s="156"/>
      <c r="BB286" s="155"/>
      <c r="BC286" s="155"/>
      <c r="BD286" s="155"/>
      <c r="BE286" s="155"/>
      <c r="BF286" s="155"/>
      <c r="BG286" s="158"/>
      <c r="BH286" s="158"/>
      <c r="BI286" s="155"/>
      <c r="BJ286" s="155"/>
      <c r="BK286" s="159"/>
      <c r="BL286" s="156"/>
      <c r="BM286" s="156"/>
      <c r="BN286" s="156"/>
      <c r="BO286" s="156"/>
      <c r="BP286" s="160"/>
      <c r="BQ286" s="160"/>
      <c r="BR286" s="160"/>
      <c r="BS286" s="160"/>
    </row>
    <row r="287" spans="1:71" x14ac:dyDescent="0.25">
      <c r="A287" s="154"/>
      <c r="B287" s="155"/>
      <c r="C287" s="155"/>
      <c r="D287" s="155"/>
      <c r="E287" s="156"/>
      <c r="F287" s="156"/>
      <c r="G287" s="155"/>
      <c r="H287" s="155"/>
      <c r="I287" s="155"/>
      <c r="J287" s="157"/>
      <c r="K287" s="157"/>
      <c r="L287" s="155"/>
      <c r="M287" s="155"/>
      <c r="N287" s="155"/>
      <c r="O287" s="156"/>
      <c r="P287" s="156"/>
      <c r="Q287" s="155"/>
      <c r="R287" s="155"/>
      <c r="S287" s="155"/>
      <c r="T287" s="156"/>
      <c r="U287" s="156"/>
      <c r="V287" s="155"/>
      <c r="W287" s="155"/>
      <c r="X287" s="155"/>
      <c r="Y287" s="155"/>
      <c r="Z287" s="155"/>
      <c r="AA287" s="156"/>
      <c r="AB287" s="156"/>
      <c r="AC287" s="155"/>
      <c r="AD287" s="155"/>
      <c r="AE287" s="155"/>
      <c r="AF287" s="156"/>
      <c r="AG287" s="156"/>
      <c r="AH287" s="155"/>
      <c r="AI287" s="155"/>
      <c r="AJ287" s="155"/>
      <c r="AK287" s="156"/>
      <c r="AL287" s="156"/>
      <c r="AM287" s="155"/>
      <c r="AN287" s="155"/>
      <c r="AO287" s="155"/>
      <c r="AP287" s="156"/>
      <c r="AQ287" s="156"/>
      <c r="AR287" s="155"/>
      <c r="AS287" s="155"/>
      <c r="AT287" s="155"/>
      <c r="AU287" s="156"/>
      <c r="AV287" s="156"/>
      <c r="AW287" s="155"/>
      <c r="AX287" s="155"/>
      <c r="AY287" s="155"/>
      <c r="AZ287" s="156"/>
      <c r="BA287" s="156"/>
      <c r="BB287" s="155"/>
      <c r="BC287" s="155"/>
      <c r="BD287" s="155"/>
      <c r="BE287" s="155"/>
      <c r="BF287" s="155"/>
      <c r="BG287" s="158"/>
      <c r="BH287" s="158"/>
      <c r="BI287" s="155"/>
      <c r="BJ287" s="155"/>
      <c r="BK287" s="159"/>
      <c r="BL287" s="156"/>
      <c r="BM287" s="156"/>
      <c r="BN287" s="156"/>
      <c r="BO287" s="156"/>
      <c r="BP287" s="160"/>
      <c r="BQ287" s="160"/>
      <c r="BR287" s="160"/>
      <c r="BS287" s="160"/>
    </row>
    <row r="288" spans="1:71" x14ac:dyDescent="0.25">
      <c r="A288" s="154"/>
      <c r="B288" s="155"/>
      <c r="C288" s="155"/>
      <c r="D288" s="155"/>
      <c r="E288" s="156"/>
      <c r="F288" s="156"/>
      <c r="G288" s="155"/>
      <c r="H288" s="155"/>
      <c r="I288" s="155"/>
      <c r="J288" s="157"/>
      <c r="K288" s="157"/>
      <c r="L288" s="155"/>
      <c r="M288" s="155"/>
      <c r="N288" s="155"/>
      <c r="O288" s="156"/>
      <c r="P288" s="156"/>
      <c r="Q288" s="155"/>
      <c r="R288" s="155"/>
      <c r="S288" s="155"/>
      <c r="T288" s="156"/>
      <c r="U288" s="156"/>
      <c r="V288" s="155"/>
      <c r="W288" s="155"/>
      <c r="X288" s="155"/>
      <c r="Y288" s="155"/>
      <c r="Z288" s="155"/>
      <c r="AA288" s="156"/>
      <c r="AB288" s="156"/>
      <c r="AC288" s="155"/>
      <c r="AD288" s="155"/>
      <c r="AE288" s="155"/>
      <c r="AF288" s="156"/>
      <c r="AG288" s="156"/>
      <c r="AH288" s="155"/>
      <c r="AI288" s="155"/>
      <c r="AJ288" s="155"/>
      <c r="AK288" s="156"/>
      <c r="AL288" s="156"/>
      <c r="AM288" s="155"/>
      <c r="AN288" s="155"/>
      <c r="AO288" s="155"/>
      <c r="AP288" s="156"/>
      <c r="AQ288" s="156"/>
      <c r="AR288" s="155"/>
      <c r="AS288" s="155"/>
      <c r="AT288" s="155"/>
      <c r="AU288" s="156"/>
      <c r="AV288" s="156"/>
      <c r="AW288" s="155"/>
      <c r="AX288" s="155"/>
      <c r="AY288" s="155"/>
      <c r="AZ288" s="156"/>
      <c r="BA288" s="156"/>
      <c r="BB288" s="155"/>
      <c r="BC288" s="155"/>
      <c r="BD288" s="155"/>
      <c r="BE288" s="155"/>
      <c r="BF288" s="155"/>
      <c r="BG288" s="158"/>
      <c r="BH288" s="158"/>
      <c r="BI288" s="155"/>
      <c r="BJ288" s="155"/>
      <c r="BK288" s="159"/>
      <c r="BL288" s="156"/>
      <c r="BM288" s="156"/>
      <c r="BN288" s="156"/>
      <c r="BO288" s="156"/>
      <c r="BP288" s="160"/>
      <c r="BQ288" s="160"/>
      <c r="BR288" s="160"/>
      <c r="BS288" s="160"/>
    </row>
    <row r="289" spans="1:71" x14ac:dyDescent="0.25">
      <c r="A289" s="154"/>
      <c r="B289" s="155"/>
      <c r="C289" s="155"/>
      <c r="D289" s="155"/>
      <c r="E289" s="156"/>
      <c r="F289" s="156"/>
      <c r="G289" s="155"/>
      <c r="H289" s="155"/>
      <c r="I289" s="155"/>
      <c r="J289" s="157"/>
      <c r="K289" s="157"/>
      <c r="L289" s="155"/>
      <c r="M289" s="155"/>
      <c r="N289" s="155"/>
      <c r="O289" s="156"/>
      <c r="P289" s="156"/>
      <c r="Q289" s="155"/>
      <c r="R289" s="155"/>
      <c r="S289" s="155"/>
      <c r="T289" s="156"/>
      <c r="U289" s="156"/>
      <c r="V289" s="155"/>
      <c r="W289" s="155"/>
      <c r="X289" s="155"/>
      <c r="Y289" s="155"/>
      <c r="Z289" s="155"/>
      <c r="AA289" s="156"/>
      <c r="AB289" s="156"/>
      <c r="AC289" s="155"/>
      <c r="AD289" s="155"/>
      <c r="AE289" s="155"/>
      <c r="AF289" s="156"/>
      <c r="AG289" s="156"/>
      <c r="AH289" s="155"/>
      <c r="AI289" s="155"/>
      <c r="AJ289" s="155"/>
      <c r="AK289" s="156"/>
      <c r="AL289" s="156"/>
      <c r="AM289" s="155"/>
      <c r="AN289" s="155"/>
      <c r="AO289" s="155"/>
      <c r="AP289" s="156"/>
      <c r="AQ289" s="156"/>
      <c r="AR289" s="155"/>
      <c r="AS289" s="155"/>
      <c r="AT289" s="155"/>
      <c r="AU289" s="156"/>
      <c r="AV289" s="156"/>
      <c r="AW289" s="155"/>
      <c r="AX289" s="155"/>
      <c r="AY289" s="155"/>
      <c r="AZ289" s="156"/>
      <c r="BA289" s="156"/>
      <c r="BB289" s="155"/>
      <c r="BC289" s="155"/>
      <c r="BD289" s="155"/>
      <c r="BE289" s="155"/>
      <c r="BF289" s="155"/>
      <c r="BG289" s="158"/>
      <c r="BH289" s="158"/>
      <c r="BI289" s="155"/>
      <c r="BJ289" s="155"/>
      <c r="BK289" s="159"/>
      <c r="BL289" s="156"/>
      <c r="BM289" s="156"/>
      <c r="BN289" s="156"/>
      <c r="BO289" s="156"/>
      <c r="BP289" s="160"/>
      <c r="BQ289" s="160"/>
      <c r="BR289" s="160"/>
      <c r="BS289" s="160"/>
    </row>
    <row r="290" spans="1:71" x14ac:dyDescent="0.25">
      <c r="A290" s="154"/>
      <c r="B290" s="155"/>
      <c r="C290" s="155"/>
      <c r="D290" s="155"/>
      <c r="E290" s="156"/>
      <c r="F290" s="156"/>
      <c r="G290" s="155"/>
      <c r="H290" s="155"/>
      <c r="I290" s="155"/>
      <c r="J290" s="157"/>
      <c r="K290" s="157"/>
      <c r="L290" s="155"/>
      <c r="M290" s="155"/>
      <c r="N290" s="155"/>
      <c r="O290" s="156"/>
      <c r="P290" s="156"/>
      <c r="Q290" s="155"/>
      <c r="R290" s="155"/>
      <c r="S290" s="155"/>
      <c r="T290" s="156"/>
      <c r="U290" s="156"/>
      <c r="V290" s="155"/>
      <c r="W290" s="155"/>
      <c r="X290" s="155"/>
      <c r="Y290" s="155"/>
      <c r="Z290" s="155"/>
      <c r="AA290" s="156"/>
      <c r="AB290" s="156"/>
      <c r="AC290" s="155"/>
      <c r="AD290" s="155"/>
      <c r="AE290" s="155"/>
      <c r="AF290" s="156"/>
      <c r="AG290" s="156"/>
      <c r="AH290" s="155"/>
      <c r="AI290" s="155"/>
      <c r="AJ290" s="155"/>
      <c r="AK290" s="156"/>
      <c r="AL290" s="156"/>
      <c r="AM290" s="155"/>
      <c r="AN290" s="155"/>
      <c r="AO290" s="155"/>
      <c r="AP290" s="156"/>
      <c r="AQ290" s="156"/>
      <c r="AR290" s="155"/>
      <c r="AS290" s="155"/>
      <c r="AT290" s="155"/>
      <c r="AU290" s="156"/>
      <c r="AV290" s="156"/>
      <c r="AW290" s="155"/>
      <c r="AX290" s="155"/>
      <c r="AY290" s="155"/>
      <c r="AZ290" s="156"/>
      <c r="BA290" s="156"/>
      <c r="BB290" s="155"/>
      <c r="BC290" s="155"/>
      <c r="BD290" s="155"/>
      <c r="BE290" s="155"/>
      <c r="BF290" s="155"/>
      <c r="BG290" s="158"/>
      <c r="BH290" s="158"/>
      <c r="BI290" s="155"/>
      <c r="BJ290" s="155"/>
      <c r="BK290" s="159"/>
      <c r="BL290" s="156"/>
      <c r="BM290" s="156"/>
      <c r="BN290" s="156"/>
      <c r="BO290" s="156"/>
      <c r="BP290" s="160"/>
      <c r="BQ290" s="160"/>
      <c r="BR290" s="160"/>
      <c r="BS290" s="160"/>
    </row>
    <row r="291" spans="1:71" x14ac:dyDescent="0.25">
      <c r="A291" s="154"/>
      <c r="B291" s="155"/>
      <c r="C291" s="155"/>
      <c r="D291" s="155"/>
      <c r="E291" s="156"/>
      <c r="F291" s="156"/>
      <c r="G291" s="155"/>
      <c r="H291" s="155"/>
      <c r="I291" s="155"/>
      <c r="J291" s="157"/>
      <c r="K291" s="157"/>
      <c r="L291" s="155"/>
      <c r="M291" s="155"/>
      <c r="N291" s="155"/>
      <c r="O291" s="156"/>
      <c r="P291" s="156"/>
      <c r="Q291" s="155"/>
      <c r="R291" s="155"/>
      <c r="S291" s="155"/>
      <c r="T291" s="156"/>
      <c r="U291" s="156"/>
      <c r="V291" s="155"/>
      <c r="W291" s="155"/>
      <c r="X291" s="155"/>
      <c r="Y291" s="155"/>
      <c r="Z291" s="155"/>
      <c r="AA291" s="156"/>
      <c r="AB291" s="156"/>
      <c r="AC291" s="155"/>
      <c r="AD291" s="155"/>
      <c r="AE291" s="155"/>
      <c r="AF291" s="156"/>
      <c r="AG291" s="156"/>
      <c r="AH291" s="155"/>
      <c r="AI291" s="155"/>
      <c r="AJ291" s="155"/>
      <c r="AK291" s="156"/>
      <c r="AL291" s="156"/>
      <c r="AM291" s="155"/>
      <c r="AN291" s="155"/>
      <c r="AO291" s="155"/>
      <c r="AP291" s="156"/>
      <c r="AQ291" s="156"/>
      <c r="AR291" s="155"/>
      <c r="AS291" s="155"/>
      <c r="AT291" s="155"/>
      <c r="AU291" s="156"/>
      <c r="AV291" s="156"/>
      <c r="AW291" s="155"/>
      <c r="AX291" s="155"/>
      <c r="AY291" s="155"/>
      <c r="AZ291" s="156"/>
      <c r="BA291" s="156"/>
      <c r="BB291" s="155"/>
      <c r="BC291" s="155"/>
      <c r="BD291" s="155"/>
      <c r="BE291" s="155"/>
      <c r="BF291" s="155"/>
      <c r="BG291" s="158"/>
      <c r="BH291" s="158"/>
      <c r="BI291" s="155"/>
      <c r="BJ291" s="155"/>
      <c r="BK291" s="159"/>
      <c r="BL291" s="156"/>
      <c r="BM291" s="156"/>
      <c r="BN291" s="156"/>
      <c r="BO291" s="156"/>
      <c r="BP291" s="160"/>
      <c r="BQ291" s="160"/>
      <c r="BR291" s="160"/>
      <c r="BS291" s="160"/>
    </row>
    <row r="292" spans="1:71" x14ac:dyDescent="0.25">
      <c r="A292" s="154"/>
      <c r="B292" s="155"/>
      <c r="C292" s="155"/>
      <c r="D292" s="155"/>
      <c r="E292" s="156"/>
      <c r="F292" s="156"/>
      <c r="G292" s="155"/>
      <c r="H292" s="155"/>
      <c r="I292" s="155"/>
      <c r="J292" s="157"/>
      <c r="K292" s="157"/>
      <c r="L292" s="155"/>
      <c r="M292" s="155"/>
      <c r="N292" s="155"/>
      <c r="O292" s="156"/>
      <c r="P292" s="156"/>
      <c r="Q292" s="155"/>
      <c r="R292" s="155"/>
      <c r="S292" s="155"/>
      <c r="T292" s="156"/>
      <c r="U292" s="156"/>
      <c r="V292" s="155"/>
      <c r="W292" s="155"/>
      <c r="X292" s="155"/>
      <c r="Y292" s="155"/>
      <c r="Z292" s="155"/>
      <c r="AA292" s="156"/>
      <c r="AB292" s="156"/>
      <c r="AC292" s="155"/>
      <c r="AD292" s="155"/>
      <c r="AE292" s="155"/>
      <c r="AF292" s="156"/>
      <c r="AG292" s="156"/>
      <c r="AH292" s="155"/>
      <c r="AI292" s="155"/>
      <c r="AJ292" s="155"/>
      <c r="AK292" s="156"/>
      <c r="AL292" s="156"/>
      <c r="AM292" s="155"/>
      <c r="AN292" s="155"/>
      <c r="AO292" s="155"/>
      <c r="AP292" s="156"/>
      <c r="AQ292" s="156"/>
      <c r="AR292" s="155"/>
      <c r="AS292" s="155"/>
      <c r="AT292" s="155"/>
      <c r="AU292" s="156"/>
      <c r="AV292" s="156"/>
      <c r="AW292" s="155"/>
      <c r="AX292" s="155"/>
      <c r="AY292" s="155"/>
      <c r="AZ292" s="156"/>
      <c r="BA292" s="156"/>
      <c r="BB292" s="155"/>
      <c r="BC292" s="155"/>
      <c r="BD292" s="155"/>
      <c r="BE292" s="155"/>
      <c r="BF292" s="155"/>
      <c r="BG292" s="158"/>
      <c r="BH292" s="158"/>
      <c r="BI292" s="155"/>
      <c r="BJ292" s="155"/>
      <c r="BK292" s="159"/>
      <c r="BL292" s="156"/>
      <c r="BM292" s="156"/>
      <c r="BN292" s="156"/>
      <c r="BO292" s="156"/>
      <c r="BP292" s="160"/>
      <c r="BQ292" s="160"/>
      <c r="BR292" s="160"/>
      <c r="BS292" s="160"/>
    </row>
    <row r="293" spans="1:71" x14ac:dyDescent="0.25">
      <c r="A293" s="154"/>
      <c r="B293" s="155"/>
      <c r="C293" s="155"/>
      <c r="D293" s="155"/>
      <c r="E293" s="156"/>
      <c r="F293" s="156"/>
      <c r="G293" s="155"/>
      <c r="H293" s="155"/>
      <c r="I293" s="155"/>
      <c r="J293" s="157"/>
      <c r="K293" s="157"/>
      <c r="L293" s="155"/>
      <c r="M293" s="155"/>
      <c r="N293" s="155"/>
      <c r="O293" s="156"/>
      <c r="P293" s="156"/>
      <c r="Q293" s="155"/>
      <c r="R293" s="155"/>
      <c r="S293" s="155"/>
      <c r="T293" s="156"/>
      <c r="U293" s="156"/>
      <c r="V293" s="155"/>
      <c r="W293" s="155"/>
      <c r="X293" s="155"/>
      <c r="Y293" s="155"/>
      <c r="Z293" s="155"/>
      <c r="AA293" s="156"/>
      <c r="AB293" s="156"/>
      <c r="AC293" s="155"/>
      <c r="AD293" s="155"/>
      <c r="AE293" s="155"/>
      <c r="AF293" s="156"/>
      <c r="AG293" s="156"/>
      <c r="AH293" s="155"/>
      <c r="AI293" s="155"/>
      <c r="AJ293" s="155"/>
      <c r="AK293" s="156"/>
      <c r="AL293" s="156"/>
      <c r="AM293" s="155"/>
      <c r="AN293" s="155"/>
      <c r="AO293" s="155"/>
      <c r="AP293" s="156"/>
      <c r="AQ293" s="156"/>
      <c r="AR293" s="155"/>
      <c r="AS293" s="155"/>
      <c r="AT293" s="155"/>
      <c r="AU293" s="156"/>
      <c r="AV293" s="156"/>
      <c r="AW293" s="155"/>
      <c r="AX293" s="155"/>
      <c r="AY293" s="155"/>
      <c r="AZ293" s="156"/>
      <c r="BA293" s="156"/>
      <c r="BB293" s="155"/>
      <c r="BC293" s="155"/>
      <c r="BD293" s="155"/>
      <c r="BE293" s="155"/>
      <c r="BF293" s="155"/>
      <c r="BG293" s="158"/>
      <c r="BH293" s="158"/>
      <c r="BI293" s="155"/>
      <c r="BJ293" s="155"/>
      <c r="BK293" s="159"/>
      <c r="BL293" s="156"/>
      <c r="BM293" s="156"/>
      <c r="BN293" s="156"/>
      <c r="BO293" s="156"/>
      <c r="BP293" s="160"/>
      <c r="BQ293" s="160"/>
      <c r="BR293" s="160"/>
      <c r="BS293" s="160"/>
    </row>
    <row r="294" spans="1:71" x14ac:dyDescent="0.25">
      <c r="A294" s="154"/>
      <c r="B294" s="155"/>
      <c r="C294" s="155"/>
      <c r="D294" s="155"/>
      <c r="E294" s="156"/>
      <c r="F294" s="156"/>
      <c r="G294" s="155"/>
      <c r="H294" s="155"/>
      <c r="I294" s="155"/>
      <c r="J294" s="157"/>
      <c r="K294" s="157"/>
      <c r="L294" s="155"/>
      <c r="M294" s="155"/>
      <c r="N294" s="155"/>
      <c r="O294" s="156"/>
      <c r="P294" s="156"/>
      <c r="Q294" s="155"/>
      <c r="R294" s="155"/>
      <c r="S294" s="155"/>
      <c r="T294" s="156"/>
      <c r="U294" s="156"/>
      <c r="V294" s="155"/>
      <c r="W294" s="155"/>
      <c r="X294" s="155"/>
      <c r="Y294" s="155"/>
      <c r="Z294" s="155"/>
      <c r="AA294" s="156"/>
      <c r="AB294" s="156"/>
      <c r="AC294" s="155"/>
      <c r="AD294" s="155"/>
      <c r="AE294" s="155"/>
      <c r="AF294" s="156"/>
      <c r="AG294" s="156"/>
      <c r="AH294" s="155"/>
      <c r="AI294" s="155"/>
      <c r="AJ294" s="155"/>
      <c r="AK294" s="156"/>
      <c r="AL294" s="156"/>
      <c r="AM294" s="155"/>
      <c r="AN294" s="155"/>
      <c r="AO294" s="155"/>
      <c r="AP294" s="156"/>
      <c r="AQ294" s="156"/>
      <c r="AR294" s="155"/>
      <c r="AS294" s="155"/>
      <c r="AT294" s="155"/>
      <c r="AU294" s="156"/>
      <c r="AV294" s="156"/>
      <c r="AW294" s="155"/>
      <c r="AX294" s="155"/>
      <c r="AY294" s="155"/>
      <c r="AZ294" s="156"/>
      <c r="BA294" s="156"/>
      <c r="BB294" s="155"/>
      <c r="BC294" s="155"/>
      <c r="BD294" s="155"/>
      <c r="BE294" s="155"/>
      <c r="BF294" s="155"/>
      <c r="BG294" s="158"/>
      <c r="BH294" s="158"/>
      <c r="BI294" s="155"/>
      <c r="BJ294" s="155"/>
      <c r="BK294" s="159"/>
      <c r="BL294" s="156"/>
      <c r="BM294" s="156"/>
      <c r="BN294" s="156"/>
      <c r="BO294" s="156"/>
      <c r="BP294" s="160"/>
      <c r="BQ294" s="160"/>
      <c r="BR294" s="160"/>
      <c r="BS294" s="160"/>
    </row>
    <row r="295" spans="1:71" x14ac:dyDescent="0.25">
      <c r="A295" s="154"/>
      <c r="B295" s="155"/>
      <c r="C295" s="155"/>
      <c r="D295" s="155"/>
      <c r="E295" s="156"/>
      <c r="F295" s="156"/>
      <c r="G295" s="155"/>
      <c r="H295" s="155"/>
      <c r="I295" s="155"/>
      <c r="J295" s="157"/>
      <c r="K295" s="157"/>
      <c r="L295" s="155"/>
      <c r="M295" s="155"/>
      <c r="N295" s="155"/>
      <c r="O295" s="156"/>
      <c r="P295" s="156"/>
      <c r="Q295" s="155"/>
      <c r="R295" s="155"/>
      <c r="S295" s="155"/>
      <c r="T295" s="156"/>
      <c r="U295" s="156"/>
      <c r="V295" s="155"/>
      <c r="W295" s="155"/>
      <c r="X295" s="155"/>
      <c r="Y295" s="155"/>
      <c r="Z295" s="155"/>
      <c r="AA295" s="156"/>
      <c r="AB295" s="156"/>
      <c r="AC295" s="155"/>
      <c r="AD295" s="155"/>
      <c r="AE295" s="155"/>
      <c r="AF295" s="156"/>
      <c r="AG295" s="156"/>
      <c r="AH295" s="155"/>
      <c r="AI295" s="155"/>
      <c r="AJ295" s="155"/>
      <c r="AK295" s="156"/>
      <c r="AL295" s="156"/>
      <c r="AM295" s="155"/>
      <c r="AN295" s="155"/>
      <c r="AO295" s="155"/>
      <c r="AP295" s="156"/>
      <c r="AQ295" s="156"/>
      <c r="AR295" s="155"/>
      <c r="AS295" s="155"/>
      <c r="AT295" s="155"/>
      <c r="AU295" s="156"/>
      <c r="AV295" s="156"/>
      <c r="AW295" s="155"/>
      <c r="AX295" s="155"/>
      <c r="AY295" s="155"/>
      <c r="AZ295" s="156"/>
      <c r="BA295" s="156"/>
      <c r="BB295" s="155"/>
      <c r="BC295" s="155"/>
      <c r="BD295" s="155"/>
      <c r="BE295" s="155"/>
      <c r="BF295" s="155"/>
      <c r="BG295" s="158"/>
      <c r="BH295" s="158"/>
      <c r="BI295" s="155"/>
      <c r="BJ295" s="155"/>
      <c r="BK295" s="159"/>
      <c r="BL295" s="156"/>
      <c r="BM295" s="156"/>
      <c r="BN295" s="156"/>
      <c r="BO295" s="156"/>
      <c r="BP295" s="160"/>
      <c r="BQ295" s="160"/>
      <c r="BR295" s="160"/>
      <c r="BS295" s="160"/>
    </row>
    <row r="296" spans="1:71" x14ac:dyDescent="0.25">
      <c r="A296" s="154"/>
      <c r="B296" s="155"/>
      <c r="C296" s="155"/>
      <c r="D296" s="155"/>
      <c r="E296" s="156"/>
      <c r="F296" s="156"/>
      <c r="G296" s="155"/>
      <c r="H296" s="155"/>
      <c r="I296" s="155"/>
      <c r="J296" s="157"/>
      <c r="K296" s="157"/>
      <c r="L296" s="155"/>
      <c r="M296" s="155"/>
      <c r="N296" s="155"/>
      <c r="O296" s="156"/>
      <c r="P296" s="156"/>
      <c r="Q296" s="155"/>
      <c r="R296" s="155"/>
      <c r="S296" s="155"/>
      <c r="T296" s="156"/>
      <c r="U296" s="156"/>
      <c r="V296" s="155"/>
      <c r="W296" s="155"/>
      <c r="X296" s="155"/>
      <c r="Y296" s="155"/>
      <c r="Z296" s="155"/>
      <c r="AA296" s="156"/>
      <c r="AB296" s="156"/>
      <c r="AC296" s="155"/>
      <c r="AD296" s="155"/>
      <c r="AE296" s="155"/>
      <c r="AF296" s="156"/>
      <c r="AG296" s="156"/>
      <c r="AH296" s="155"/>
      <c r="AI296" s="155"/>
      <c r="AJ296" s="155"/>
      <c r="AK296" s="156"/>
      <c r="AL296" s="156"/>
      <c r="AM296" s="155"/>
      <c r="AN296" s="155"/>
      <c r="AO296" s="155"/>
      <c r="AP296" s="156"/>
      <c r="AQ296" s="156"/>
      <c r="AR296" s="155"/>
      <c r="AS296" s="155"/>
      <c r="AT296" s="155"/>
      <c r="AU296" s="156"/>
      <c r="AV296" s="156"/>
      <c r="AW296" s="155"/>
      <c r="AX296" s="155"/>
      <c r="AY296" s="155"/>
      <c r="AZ296" s="156"/>
      <c r="BA296" s="156"/>
      <c r="BB296" s="155"/>
      <c r="BC296" s="155"/>
      <c r="BD296" s="155"/>
      <c r="BE296" s="155"/>
      <c r="BF296" s="155"/>
      <c r="BG296" s="158"/>
      <c r="BH296" s="158"/>
      <c r="BI296" s="155"/>
      <c r="BJ296" s="155"/>
      <c r="BK296" s="159"/>
      <c r="BL296" s="156"/>
      <c r="BM296" s="156"/>
      <c r="BN296" s="156"/>
      <c r="BO296" s="156"/>
      <c r="BP296" s="160"/>
      <c r="BQ296" s="160"/>
      <c r="BR296" s="160"/>
      <c r="BS296" s="160"/>
    </row>
    <row r="297" spans="1:71" x14ac:dyDescent="0.25">
      <c r="A297" s="154"/>
      <c r="B297" s="155"/>
      <c r="C297" s="155"/>
      <c r="D297" s="155"/>
      <c r="E297" s="156"/>
      <c r="F297" s="156"/>
      <c r="G297" s="155"/>
      <c r="H297" s="155"/>
      <c r="I297" s="155"/>
      <c r="J297" s="157"/>
      <c r="K297" s="157"/>
      <c r="L297" s="155"/>
      <c r="M297" s="155"/>
      <c r="N297" s="155"/>
      <c r="O297" s="156"/>
      <c r="P297" s="156"/>
      <c r="Q297" s="155"/>
      <c r="R297" s="155"/>
      <c r="S297" s="155"/>
      <c r="T297" s="156"/>
      <c r="U297" s="156"/>
      <c r="V297" s="155"/>
      <c r="W297" s="155"/>
      <c r="X297" s="155"/>
      <c r="Y297" s="155"/>
      <c r="Z297" s="155"/>
      <c r="AA297" s="156"/>
      <c r="AB297" s="156"/>
      <c r="AC297" s="155"/>
      <c r="AD297" s="155"/>
      <c r="AE297" s="155"/>
      <c r="AF297" s="156"/>
      <c r="AG297" s="156"/>
      <c r="AH297" s="155"/>
      <c r="AI297" s="155"/>
      <c r="AJ297" s="155"/>
      <c r="AK297" s="156"/>
      <c r="AL297" s="156"/>
      <c r="AM297" s="155"/>
      <c r="AN297" s="155"/>
      <c r="AO297" s="155"/>
      <c r="AP297" s="156"/>
      <c r="AQ297" s="156"/>
      <c r="AR297" s="155"/>
      <c r="AS297" s="155"/>
      <c r="AT297" s="155"/>
      <c r="AU297" s="156"/>
      <c r="AV297" s="156"/>
      <c r="AW297" s="155"/>
      <c r="AX297" s="155"/>
      <c r="AY297" s="155"/>
      <c r="AZ297" s="156"/>
      <c r="BA297" s="156"/>
      <c r="BB297" s="155"/>
      <c r="BC297" s="155"/>
      <c r="BD297" s="155"/>
      <c r="BE297" s="155"/>
      <c r="BF297" s="155"/>
      <c r="BG297" s="158"/>
      <c r="BH297" s="158"/>
      <c r="BI297" s="155"/>
      <c r="BJ297" s="155"/>
      <c r="BK297" s="159"/>
      <c r="BL297" s="156"/>
      <c r="BM297" s="156"/>
      <c r="BN297" s="156"/>
      <c r="BO297" s="156"/>
      <c r="BP297" s="160"/>
      <c r="BQ297" s="160"/>
      <c r="BR297" s="160"/>
      <c r="BS297" s="160"/>
    </row>
    <row r="298" spans="1:71" x14ac:dyDescent="0.25">
      <c r="A298" s="154"/>
      <c r="B298" s="155"/>
      <c r="C298" s="155"/>
      <c r="D298" s="155"/>
      <c r="E298" s="156"/>
      <c r="F298" s="156"/>
      <c r="G298" s="155"/>
      <c r="H298" s="155"/>
      <c r="I298" s="155"/>
      <c r="J298" s="157"/>
      <c r="K298" s="157"/>
      <c r="L298" s="155"/>
      <c r="M298" s="155"/>
      <c r="N298" s="155"/>
      <c r="O298" s="156"/>
      <c r="P298" s="156"/>
      <c r="Q298" s="155"/>
      <c r="R298" s="155"/>
      <c r="S298" s="155"/>
      <c r="T298" s="156"/>
      <c r="U298" s="156"/>
      <c r="V298" s="155"/>
      <c r="W298" s="155"/>
      <c r="X298" s="155"/>
      <c r="Y298" s="155"/>
      <c r="Z298" s="155"/>
      <c r="AA298" s="156"/>
      <c r="AB298" s="156"/>
      <c r="AC298" s="155"/>
      <c r="AD298" s="155"/>
      <c r="AE298" s="155"/>
      <c r="AF298" s="156"/>
      <c r="AG298" s="156"/>
      <c r="AH298" s="155"/>
      <c r="AI298" s="155"/>
      <c r="AJ298" s="155"/>
      <c r="AK298" s="156"/>
      <c r="AL298" s="156"/>
      <c r="AM298" s="155"/>
      <c r="AN298" s="155"/>
      <c r="AO298" s="155"/>
      <c r="AP298" s="156"/>
      <c r="AQ298" s="156"/>
      <c r="AR298" s="155"/>
      <c r="AS298" s="155"/>
      <c r="AT298" s="155"/>
      <c r="AU298" s="156"/>
      <c r="AV298" s="156"/>
      <c r="AW298" s="155"/>
      <c r="AX298" s="155"/>
      <c r="AY298" s="155"/>
      <c r="AZ298" s="156"/>
      <c r="BA298" s="156"/>
      <c r="BB298" s="155"/>
      <c r="BC298" s="155"/>
      <c r="BD298" s="155"/>
      <c r="BE298" s="155"/>
      <c r="BF298" s="155"/>
      <c r="BG298" s="158"/>
      <c r="BH298" s="158"/>
      <c r="BI298" s="155"/>
      <c r="BJ298" s="155"/>
      <c r="BK298" s="159"/>
      <c r="BL298" s="156"/>
      <c r="BM298" s="156"/>
      <c r="BN298" s="156"/>
      <c r="BO298" s="156"/>
      <c r="BP298" s="160"/>
      <c r="BQ298" s="160"/>
      <c r="BR298" s="160"/>
      <c r="BS298" s="160"/>
    </row>
    <row r="299" spans="1:71" x14ac:dyDescent="0.25">
      <c r="A299" s="154"/>
      <c r="B299" s="155"/>
      <c r="C299" s="155"/>
      <c r="D299" s="155"/>
      <c r="E299" s="156"/>
      <c r="F299" s="156"/>
      <c r="G299" s="155"/>
      <c r="H299" s="155"/>
      <c r="I299" s="155"/>
      <c r="J299" s="157"/>
      <c r="K299" s="157"/>
      <c r="L299" s="155"/>
      <c r="M299" s="155"/>
      <c r="N299" s="155"/>
      <c r="O299" s="156"/>
      <c r="P299" s="156"/>
      <c r="Q299" s="155"/>
      <c r="R299" s="155"/>
      <c r="S299" s="155"/>
      <c r="T299" s="156"/>
      <c r="U299" s="156"/>
      <c r="V299" s="155"/>
      <c r="W299" s="155"/>
      <c r="X299" s="155"/>
      <c r="Y299" s="155"/>
      <c r="Z299" s="155"/>
      <c r="AA299" s="156"/>
      <c r="AB299" s="156"/>
      <c r="AC299" s="155"/>
      <c r="AD299" s="155"/>
      <c r="AE299" s="155"/>
      <c r="AF299" s="156"/>
      <c r="AG299" s="156"/>
      <c r="AH299" s="155"/>
      <c r="AI299" s="155"/>
      <c r="AJ299" s="155"/>
      <c r="AK299" s="156"/>
      <c r="AL299" s="156"/>
      <c r="AM299" s="155"/>
      <c r="AN299" s="155"/>
      <c r="AO299" s="155"/>
      <c r="AP299" s="156"/>
      <c r="AQ299" s="156"/>
      <c r="AR299" s="155"/>
      <c r="AS299" s="155"/>
      <c r="AT299" s="155"/>
      <c r="AU299" s="156"/>
      <c r="AV299" s="156"/>
      <c r="AW299" s="155"/>
      <c r="AX299" s="155"/>
      <c r="AY299" s="155"/>
      <c r="AZ299" s="156"/>
      <c r="BA299" s="156"/>
      <c r="BB299" s="155"/>
      <c r="BC299" s="155"/>
      <c r="BD299" s="155"/>
      <c r="BE299" s="155"/>
      <c r="BF299" s="155"/>
      <c r="BG299" s="158"/>
      <c r="BH299" s="158"/>
      <c r="BI299" s="155"/>
      <c r="BJ299" s="155"/>
      <c r="BK299" s="159"/>
      <c r="BL299" s="156"/>
      <c r="BM299" s="156"/>
      <c r="BN299" s="156"/>
      <c r="BO299" s="156"/>
      <c r="BP299" s="160"/>
      <c r="BQ299" s="160"/>
      <c r="BR299" s="160"/>
      <c r="BS299" s="160"/>
    </row>
    <row r="300" spans="1:71" x14ac:dyDescent="0.25">
      <c r="A300" s="154"/>
      <c r="B300" s="155"/>
      <c r="C300" s="155"/>
      <c r="D300" s="155"/>
      <c r="E300" s="156"/>
      <c r="F300" s="156"/>
      <c r="G300" s="155"/>
      <c r="H300" s="155"/>
      <c r="I300" s="155"/>
      <c r="J300" s="157"/>
      <c r="K300" s="157"/>
      <c r="L300" s="155"/>
      <c r="M300" s="155"/>
      <c r="N300" s="155"/>
      <c r="O300" s="156"/>
      <c r="P300" s="156"/>
      <c r="Q300" s="155"/>
      <c r="R300" s="155"/>
      <c r="S300" s="155"/>
      <c r="T300" s="156"/>
      <c r="U300" s="156"/>
      <c r="V300" s="155"/>
      <c r="W300" s="155"/>
      <c r="X300" s="155"/>
      <c r="Y300" s="155"/>
      <c r="Z300" s="155"/>
      <c r="AA300" s="156"/>
      <c r="AB300" s="156"/>
      <c r="AC300" s="155"/>
      <c r="AD300" s="155"/>
      <c r="AE300" s="155"/>
      <c r="AF300" s="156"/>
      <c r="AG300" s="156"/>
      <c r="AH300" s="155"/>
      <c r="AI300" s="155"/>
      <c r="AJ300" s="155"/>
      <c r="AK300" s="156"/>
      <c r="AL300" s="156"/>
      <c r="AM300" s="155"/>
      <c r="AN300" s="155"/>
      <c r="AO300" s="155"/>
      <c r="AP300" s="156"/>
      <c r="AQ300" s="156"/>
      <c r="AR300" s="155"/>
      <c r="AS300" s="155"/>
      <c r="AT300" s="155"/>
      <c r="AU300" s="156"/>
      <c r="AV300" s="156"/>
      <c r="AW300" s="155"/>
      <c r="AX300" s="155"/>
      <c r="AY300" s="155"/>
      <c r="AZ300" s="156"/>
      <c r="BA300" s="156"/>
      <c r="BB300" s="155"/>
      <c r="BC300" s="155"/>
      <c r="BD300" s="155"/>
      <c r="BE300" s="155"/>
      <c r="BF300" s="155"/>
      <c r="BG300" s="158"/>
      <c r="BH300" s="158"/>
      <c r="BI300" s="155"/>
      <c r="BJ300" s="155"/>
      <c r="BK300" s="159"/>
      <c r="BL300" s="156"/>
      <c r="BM300" s="156"/>
      <c r="BN300" s="156"/>
      <c r="BO300" s="156"/>
      <c r="BP300" s="160"/>
      <c r="BQ300" s="160"/>
      <c r="BR300" s="160"/>
      <c r="BS300" s="160"/>
    </row>
    <row r="301" spans="1:71" x14ac:dyDescent="0.25">
      <c r="A301" s="154"/>
      <c r="B301" s="155"/>
      <c r="C301" s="155"/>
      <c r="D301" s="155"/>
      <c r="E301" s="156"/>
      <c r="F301" s="156"/>
      <c r="G301" s="155"/>
      <c r="H301" s="155"/>
      <c r="I301" s="155"/>
      <c r="J301" s="157"/>
      <c r="K301" s="157"/>
      <c r="L301" s="155"/>
      <c r="M301" s="155"/>
      <c r="N301" s="155"/>
      <c r="O301" s="156"/>
      <c r="P301" s="156"/>
      <c r="Q301" s="155"/>
      <c r="R301" s="155"/>
      <c r="S301" s="155"/>
      <c r="T301" s="156"/>
      <c r="U301" s="156"/>
      <c r="V301" s="155"/>
      <c r="W301" s="155"/>
      <c r="X301" s="155"/>
      <c r="Y301" s="155"/>
      <c r="Z301" s="155"/>
      <c r="AA301" s="156"/>
      <c r="AB301" s="156"/>
      <c r="AC301" s="155"/>
      <c r="AD301" s="155"/>
      <c r="AE301" s="155"/>
      <c r="AF301" s="156"/>
      <c r="AG301" s="156"/>
      <c r="AH301" s="155"/>
      <c r="AI301" s="155"/>
      <c r="AJ301" s="155"/>
      <c r="AK301" s="156"/>
      <c r="AL301" s="156"/>
      <c r="AM301" s="155"/>
      <c r="AN301" s="155"/>
      <c r="AO301" s="155"/>
      <c r="AP301" s="156"/>
      <c r="AQ301" s="156"/>
      <c r="AR301" s="155"/>
      <c r="AS301" s="155"/>
      <c r="AT301" s="155"/>
      <c r="AU301" s="156"/>
      <c r="AV301" s="156"/>
      <c r="AW301" s="155"/>
      <c r="AX301" s="155"/>
      <c r="AY301" s="155"/>
      <c r="AZ301" s="156"/>
      <c r="BA301" s="156"/>
      <c r="BB301" s="155"/>
      <c r="BC301" s="155"/>
      <c r="BD301" s="155"/>
      <c r="BE301" s="155"/>
      <c r="BF301" s="155"/>
      <c r="BG301" s="158"/>
      <c r="BH301" s="158"/>
      <c r="BI301" s="155"/>
      <c r="BJ301" s="155"/>
      <c r="BK301" s="159"/>
      <c r="BL301" s="156"/>
      <c r="BM301" s="156"/>
      <c r="BN301" s="156"/>
      <c r="BO301" s="156"/>
      <c r="BP301" s="160"/>
      <c r="BQ301" s="160"/>
      <c r="BR301" s="160"/>
      <c r="BS301" s="160"/>
    </row>
    <row r="302" spans="1:71" x14ac:dyDescent="0.25">
      <c r="A302" s="154"/>
      <c r="B302" s="155"/>
      <c r="C302" s="155"/>
      <c r="D302" s="155"/>
      <c r="E302" s="156"/>
      <c r="F302" s="156"/>
      <c r="G302" s="155"/>
      <c r="H302" s="155"/>
      <c r="I302" s="155"/>
      <c r="J302" s="157"/>
      <c r="K302" s="157"/>
      <c r="L302" s="155"/>
      <c r="M302" s="155"/>
      <c r="N302" s="155"/>
      <c r="O302" s="156"/>
      <c r="P302" s="156"/>
      <c r="Q302" s="155"/>
      <c r="R302" s="155"/>
      <c r="S302" s="155"/>
      <c r="T302" s="156"/>
      <c r="U302" s="156"/>
      <c r="V302" s="155"/>
      <c r="W302" s="155"/>
      <c r="X302" s="155"/>
      <c r="Y302" s="155"/>
      <c r="Z302" s="155"/>
      <c r="AA302" s="156"/>
      <c r="AB302" s="156"/>
      <c r="AC302" s="155"/>
      <c r="AD302" s="155"/>
      <c r="AE302" s="155"/>
      <c r="AF302" s="156"/>
      <c r="AG302" s="156"/>
      <c r="AH302" s="155"/>
      <c r="AI302" s="155"/>
      <c r="AJ302" s="155"/>
      <c r="AK302" s="156"/>
      <c r="AL302" s="156"/>
      <c r="AM302" s="155"/>
      <c r="AN302" s="155"/>
      <c r="AO302" s="155"/>
      <c r="AP302" s="156"/>
      <c r="AQ302" s="156"/>
      <c r="AR302" s="155"/>
      <c r="AS302" s="155"/>
      <c r="AT302" s="155"/>
      <c r="AU302" s="156"/>
      <c r="AV302" s="156"/>
      <c r="AW302" s="155"/>
      <c r="AX302" s="155"/>
      <c r="AY302" s="155"/>
      <c r="AZ302" s="156"/>
      <c r="BA302" s="156"/>
      <c r="BB302" s="155"/>
      <c r="BC302" s="155"/>
      <c r="BD302" s="155"/>
      <c r="BE302" s="155"/>
      <c r="BF302" s="155"/>
      <c r="BG302" s="158"/>
      <c r="BH302" s="158"/>
      <c r="BI302" s="155"/>
      <c r="BJ302" s="155"/>
      <c r="BK302" s="159"/>
      <c r="BL302" s="156"/>
      <c r="BM302" s="156"/>
      <c r="BN302" s="156"/>
      <c r="BO302" s="156"/>
      <c r="BP302" s="160"/>
      <c r="BQ302" s="160"/>
      <c r="BR302" s="160"/>
      <c r="BS302" s="160"/>
    </row>
    <row r="303" spans="1:71" x14ac:dyDescent="0.25">
      <c r="A303" s="154"/>
      <c r="B303" s="155"/>
      <c r="C303" s="155"/>
      <c r="D303" s="155"/>
      <c r="E303" s="156"/>
      <c r="F303" s="156"/>
      <c r="G303" s="155"/>
      <c r="H303" s="155"/>
      <c r="I303" s="155"/>
      <c r="J303" s="157"/>
      <c r="K303" s="157"/>
      <c r="L303" s="155"/>
      <c r="M303" s="155"/>
      <c r="N303" s="155"/>
      <c r="O303" s="156"/>
      <c r="P303" s="156"/>
      <c r="Q303" s="155"/>
      <c r="R303" s="155"/>
      <c r="S303" s="155"/>
      <c r="T303" s="156"/>
      <c r="U303" s="156"/>
      <c r="V303" s="155"/>
      <c r="W303" s="155"/>
      <c r="X303" s="155"/>
      <c r="Y303" s="155"/>
      <c r="Z303" s="155"/>
      <c r="AA303" s="156"/>
      <c r="AB303" s="156"/>
      <c r="AC303" s="155"/>
      <c r="AD303" s="155"/>
      <c r="AE303" s="155"/>
      <c r="AF303" s="156"/>
      <c r="AG303" s="156"/>
      <c r="AH303" s="155"/>
      <c r="AI303" s="155"/>
      <c r="AJ303" s="155"/>
      <c r="AK303" s="156"/>
      <c r="AL303" s="156"/>
      <c r="AM303" s="155"/>
      <c r="AN303" s="155"/>
      <c r="AO303" s="155"/>
      <c r="AP303" s="156"/>
      <c r="AQ303" s="156"/>
      <c r="AR303" s="155"/>
      <c r="AS303" s="155"/>
      <c r="AT303" s="155"/>
      <c r="AU303" s="156"/>
      <c r="AV303" s="156"/>
      <c r="AW303" s="155"/>
      <c r="AX303" s="155"/>
      <c r="AY303" s="155"/>
      <c r="AZ303" s="156"/>
      <c r="BA303" s="156"/>
      <c r="BB303" s="155"/>
      <c r="BC303" s="155"/>
      <c r="BD303" s="155"/>
      <c r="BE303" s="155"/>
      <c r="BF303" s="155"/>
      <c r="BG303" s="158"/>
      <c r="BH303" s="158"/>
      <c r="BI303" s="155"/>
      <c r="BJ303" s="155"/>
      <c r="BK303" s="159"/>
      <c r="BL303" s="156"/>
      <c r="BM303" s="156"/>
      <c r="BN303" s="156"/>
      <c r="BO303" s="156"/>
      <c r="BP303" s="160"/>
      <c r="BQ303" s="160"/>
      <c r="BR303" s="160"/>
      <c r="BS303" s="160"/>
    </row>
    <row r="304" spans="1:71" x14ac:dyDescent="0.25">
      <c r="A304" s="154"/>
      <c r="B304" s="155"/>
      <c r="C304" s="155"/>
      <c r="D304" s="155"/>
      <c r="E304" s="156"/>
      <c r="F304" s="156"/>
      <c r="G304" s="155"/>
      <c r="H304" s="155"/>
      <c r="I304" s="155"/>
      <c r="J304" s="157"/>
      <c r="K304" s="157"/>
      <c r="L304" s="155"/>
      <c r="M304" s="155"/>
      <c r="N304" s="155"/>
      <c r="O304" s="156"/>
      <c r="P304" s="156"/>
      <c r="Q304" s="155"/>
      <c r="R304" s="155"/>
      <c r="S304" s="155"/>
      <c r="T304" s="156"/>
      <c r="U304" s="156"/>
      <c r="V304" s="155"/>
      <c r="W304" s="155"/>
      <c r="X304" s="155"/>
      <c r="Y304" s="155"/>
      <c r="Z304" s="155"/>
      <c r="AA304" s="156"/>
      <c r="AB304" s="156"/>
      <c r="AC304" s="155"/>
      <c r="AD304" s="155"/>
      <c r="AE304" s="155"/>
      <c r="AF304" s="156"/>
      <c r="AG304" s="156"/>
      <c r="AH304" s="155"/>
      <c r="AI304" s="155"/>
      <c r="AJ304" s="155"/>
      <c r="AK304" s="156"/>
      <c r="AL304" s="156"/>
      <c r="AM304" s="155"/>
      <c r="AN304" s="155"/>
      <c r="AO304" s="155"/>
      <c r="AP304" s="156"/>
      <c r="AQ304" s="156"/>
      <c r="AR304" s="155"/>
      <c r="AS304" s="155"/>
      <c r="AT304" s="155"/>
      <c r="AU304" s="156"/>
      <c r="AV304" s="156"/>
      <c r="AW304" s="155"/>
      <c r="AX304" s="155"/>
      <c r="AY304" s="155"/>
      <c r="AZ304" s="156"/>
      <c r="BA304" s="156"/>
      <c r="BB304" s="155"/>
      <c r="BC304" s="155"/>
      <c r="BD304" s="155"/>
      <c r="BE304" s="155"/>
      <c r="BF304" s="155"/>
      <c r="BG304" s="158"/>
      <c r="BH304" s="158"/>
      <c r="BI304" s="155"/>
      <c r="BJ304" s="155"/>
      <c r="BK304" s="159"/>
      <c r="BL304" s="156"/>
      <c r="BM304" s="156"/>
      <c r="BN304" s="156"/>
      <c r="BO304" s="156"/>
      <c r="BP304" s="160"/>
      <c r="BQ304" s="160"/>
      <c r="BR304" s="160"/>
      <c r="BS304" s="160"/>
    </row>
    <row r="305" spans="1:71" x14ac:dyDescent="0.25">
      <c r="A305" s="154"/>
      <c r="B305" s="155"/>
      <c r="C305" s="155"/>
      <c r="D305" s="155"/>
      <c r="E305" s="156"/>
      <c r="F305" s="156"/>
      <c r="G305" s="155"/>
      <c r="H305" s="155"/>
      <c r="I305" s="155"/>
      <c r="J305" s="157"/>
      <c r="K305" s="157"/>
      <c r="L305" s="155"/>
      <c r="M305" s="155"/>
      <c r="N305" s="155"/>
      <c r="O305" s="156"/>
      <c r="P305" s="156"/>
      <c r="Q305" s="155"/>
      <c r="R305" s="155"/>
      <c r="S305" s="155"/>
      <c r="T305" s="156"/>
      <c r="U305" s="156"/>
      <c r="V305" s="155"/>
      <c r="W305" s="155"/>
      <c r="X305" s="155"/>
      <c r="Y305" s="155"/>
      <c r="Z305" s="155"/>
      <c r="AA305" s="156"/>
      <c r="AB305" s="156"/>
      <c r="AC305" s="155"/>
      <c r="AD305" s="155"/>
      <c r="AE305" s="155"/>
      <c r="AF305" s="156"/>
      <c r="AG305" s="156"/>
      <c r="AH305" s="155"/>
      <c r="AI305" s="155"/>
      <c r="AJ305" s="155"/>
      <c r="AK305" s="156"/>
      <c r="AL305" s="156"/>
      <c r="AM305" s="155"/>
      <c r="AN305" s="155"/>
      <c r="AO305" s="155"/>
      <c r="AP305" s="156"/>
      <c r="AQ305" s="156"/>
      <c r="AR305" s="155"/>
      <c r="AS305" s="155"/>
      <c r="AT305" s="155"/>
      <c r="AU305" s="156"/>
      <c r="AV305" s="156"/>
      <c r="AW305" s="155"/>
      <c r="AX305" s="155"/>
      <c r="AY305" s="155"/>
      <c r="AZ305" s="156"/>
      <c r="BA305" s="156"/>
      <c r="BB305" s="155"/>
      <c r="BC305" s="155"/>
      <c r="BD305" s="155"/>
      <c r="BE305" s="155"/>
      <c r="BF305" s="155"/>
      <c r="BG305" s="158"/>
      <c r="BH305" s="158"/>
      <c r="BI305" s="155"/>
      <c r="BJ305" s="155"/>
      <c r="BK305" s="159"/>
      <c r="BL305" s="156"/>
      <c r="BM305" s="156"/>
      <c r="BN305" s="156"/>
      <c r="BO305" s="156"/>
      <c r="BP305" s="160"/>
      <c r="BQ305" s="160"/>
      <c r="BR305" s="160"/>
      <c r="BS305" s="160"/>
    </row>
    <row r="306" spans="1:71" x14ac:dyDescent="0.25">
      <c r="A306" s="154"/>
      <c r="B306" s="155"/>
      <c r="C306" s="155"/>
      <c r="D306" s="155"/>
      <c r="E306" s="156"/>
      <c r="F306" s="156"/>
      <c r="G306" s="155"/>
      <c r="H306" s="155"/>
      <c r="I306" s="155"/>
      <c r="J306" s="157"/>
      <c r="K306" s="157"/>
      <c r="L306" s="155"/>
      <c r="M306" s="155"/>
      <c r="N306" s="155"/>
      <c r="O306" s="156"/>
      <c r="P306" s="156"/>
      <c r="Q306" s="155"/>
      <c r="R306" s="155"/>
      <c r="S306" s="155"/>
      <c r="T306" s="156"/>
      <c r="U306" s="156"/>
      <c r="V306" s="155"/>
      <c r="W306" s="155"/>
      <c r="X306" s="155"/>
      <c r="Y306" s="155"/>
      <c r="Z306" s="155"/>
      <c r="AA306" s="156"/>
      <c r="AB306" s="156"/>
      <c r="AC306" s="155"/>
      <c r="AD306" s="155"/>
      <c r="AE306" s="155"/>
      <c r="AF306" s="156"/>
      <c r="AG306" s="156"/>
      <c r="AH306" s="155"/>
      <c r="AI306" s="155"/>
      <c r="AJ306" s="155"/>
      <c r="AK306" s="156"/>
      <c r="AL306" s="156"/>
      <c r="AM306" s="155"/>
      <c r="AN306" s="155"/>
      <c r="AO306" s="155"/>
      <c r="AP306" s="156"/>
      <c r="AQ306" s="156"/>
      <c r="AR306" s="155"/>
      <c r="AS306" s="155"/>
      <c r="AT306" s="155"/>
      <c r="AU306" s="156"/>
      <c r="AV306" s="156"/>
      <c r="AW306" s="155"/>
      <c r="AX306" s="155"/>
      <c r="AY306" s="155"/>
      <c r="AZ306" s="156"/>
      <c r="BA306" s="156"/>
      <c r="BB306" s="155"/>
      <c r="BC306" s="155"/>
      <c r="BD306" s="155"/>
      <c r="BE306" s="155"/>
      <c r="BF306" s="155"/>
      <c r="BG306" s="158"/>
      <c r="BH306" s="158"/>
      <c r="BI306" s="155"/>
      <c r="BJ306" s="155"/>
      <c r="BK306" s="159"/>
      <c r="BL306" s="156"/>
      <c r="BM306" s="156"/>
      <c r="BN306" s="156"/>
      <c r="BO306" s="156"/>
      <c r="BP306" s="160"/>
      <c r="BQ306" s="160"/>
      <c r="BR306" s="160"/>
      <c r="BS306" s="160"/>
    </row>
    <row r="307" spans="1:71" x14ac:dyDescent="0.25">
      <c r="A307" s="154"/>
      <c r="B307" s="155"/>
      <c r="C307" s="155"/>
      <c r="D307" s="155"/>
      <c r="E307" s="156"/>
      <c r="F307" s="156"/>
      <c r="G307" s="155"/>
      <c r="H307" s="155"/>
      <c r="I307" s="155"/>
      <c r="J307" s="157"/>
      <c r="K307" s="157"/>
      <c r="L307" s="155"/>
      <c r="M307" s="155"/>
      <c r="N307" s="155"/>
      <c r="O307" s="156"/>
      <c r="P307" s="156"/>
      <c r="Q307" s="155"/>
      <c r="R307" s="155"/>
      <c r="S307" s="155"/>
      <c r="T307" s="156"/>
      <c r="U307" s="156"/>
      <c r="V307" s="155"/>
      <c r="W307" s="155"/>
      <c r="X307" s="155"/>
      <c r="Y307" s="155"/>
      <c r="Z307" s="155"/>
      <c r="AA307" s="156"/>
      <c r="AB307" s="156"/>
      <c r="AC307" s="155"/>
      <c r="AD307" s="155"/>
      <c r="AE307" s="155"/>
      <c r="AF307" s="156"/>
      <c r="AG307" s="156"/>
      <c r="AH307" s="155"/>
      <c r="AI307" s="155"/>
      <c r="AJ307" s="155"/>
      <c r="AK307" s="156"/>
      <c r="AL307" s="156"/>
      <c r="AM307" s="155"/>
      <c r="AN307" s="155"/>
      <c r="AO307" s="155"/>
      <c r="AP307" s="156"/>
      <c r="AQ307" s="156"/>
      <c r="AR307" s="155"/>
      <c r="AS307" s="155"/>
      <c r="AT307" s="155"/>
      <c r="AU307" s="156"/>
      <c r="AV307" s="156"/>
      <c r="AW307" s="155"/>
      <c r="AX307" s="155"/>
      <c r="AY307" s="155"/>
      <c r="AZ307" s="156"/>
      <c r="BA307" s="156"/>
      <c r="BB307" s="155"/>
      <c r="BC307" s="155"/>
      <c r="BD307" s="155"/>
      <c r="BE307" s="155"/>
      <c r="BF307" s="155"/>
      <c r="BG307" s="158"/>
      <c r="BH307" s="158"/>
      <c r="BI307" s="155"/>
      <c r="BJ307" s="155"/>
      <c r="BK307" s="159"/>
      <c r="BL307" s="156"/>
      <c r="BM307" s="156"/>
      <c r="BN307" s="156"/>
      <c r="BO307" s="156"/>
      <c r="BP307" s="160"/>
      <c r="BQ307" s="160"/>
      <c r="BR307" s="160"/>
      <c r="BS307" s="160"/>
    </row>
    <row r="308" spans="1:71" x14ac:dyDescent="0.25">
      <c r="A308" s="154"/>
      <c r="B308" s="155"/>
      <c r="C308" s="155"/>
      <c r="D308" s="155"/>
      <c r="E308" s="156"/>
      <c r="F308" s="156"/>
      <c r="G308" s="155"/>
      <c r="H308" s="155"/>
      <c r="I308" s="155"/>
      <c r="J308" s="157"/>
      <c r="K308" s="157"/>
      <c r="L308" s="155"/>
      <c r="M308" s="155"/>
      <c r="N308" s="155"/>
      <c r="O308" s="156"/>
      <c r="P308" s="156"/>
      <c r="Q308" s="155"/>
      <c r="R308" s="155"/>
      <c r="S308" s="155"/>
      <c r="T308" s="156"/>
      <c r="U308" s="156"/>
      <c r="V308" s="155"/>
      <c r="W308" s="155"/>
      <c r="X308" s="155"/>
      <c r="Y308" s="155"/>
      <c r="Z308" s="155"/>
      <c r="AA308" s="156"/>
      <c r="AB308" s="156"/>
      <c r="AC308" s="155"/>
      <c r="AD308" s="155"/>
      <c r="AE308" s="155"/>
      <c r="AF308" s="156"/>
      <c r="AG308" s="156"/>
      <c r="AH308" s="155"/>
      <c r="AI308" s="155"/>
      <c r="AJ308" s="155"/>
      <c r="AK308" s="156"/>
      <c r="AL308" s="156"/>
      <c r="AM308" s="155"/>
      <c r="AN308" s="155"/>
      <c r="AO308" s="155"/>
      <c r="AP308" s="156"/>
      <c r="AQ308" s="156"/>
      <c r="AR308" s="155"/>
      <c r="AS308" s="155"/>
      <c r="AT308" s="155"/>
      <c r="AU308" s="156"/>
      <c r="AV308" s="156"/>
      <c r="AW308" s="155"/>
      <c r="AX308" s="155"/>
      <c r="AY308" s="155"/>
      <c r="AZ308" s="156"/>
      <c r="BA308" s="156"/>
      <c r="BB308" s="155"/>
      <c r="BC308" s="155"/>
      <c r="BD308" s="155"/>
      <c r="BE308" s="155"/>
      <c r="BF308" s="155"/>
      <c r="BG308" s="158"/>
      <c r="BH308" s="158"/>
      <c r="BI308" s="155"/>
      <c r="BJ308" s="155"/>
      <c r="BK308" s="159"/>
      <c r="BL308" s="156"/>
      <c r="BM308" s="156"/>
      <c r="BN308" s="156"/>
      <c r="BO308" s="156"/>
      <c r="BP308" s="160"/>
      <c r="BQ308" s="160"/>
      <c r="BR308" s="160"/>
      <c r="BS308" s="160"/>
    </row>
    <row r="309" spans="1:71" x14ac:dyDescent="0.25">
      <c r="A309" s="154"/>
      <c r="B309" s="155"/>
      <c r="C309" s="155"/>
      <c r="D309" s="155"/>
      <c r="E309" s="156"/>
      <c r="F309" s="156"/>
      <c r="G309" s="155"/>
      <c r="H309" s="155"/>
      <c r="I309" s="155"/>
      <c r="J309" s="157"/>
      <c r="K309" s="157"/>
      <c r="L309" s="155"/>
      <c r="M309" s="155"/>
      <c r="N309" s="155"/>
      <c r="O309" s="156"/>
      <c r="P309" s="156"/>
      <c r="Q309" s="155"/>
      <c r="R309" s="155"/>
      <c r="S309" s="155"/>
      <c r="T309" s="156"/>
      <c r="U309" s="156"/>
      <c r="V309" s="155"/>
      <c r="W309" s="155"/>
      <c r="X309" s="155"/>
      <c r="Y309" s="155"/>
      <c r="Z309" s="155"/>
      <c r="AA309" s="156"/>
      <c r="AB309" s="156"/>
      <c r="AC309" s="155"/>
      <c r="AD309" s="155"/>
      <c r="AE309" s="155"/>
      <c r="AF309" s="156"/>
      <c r="AG309" s="156"/>
      <c r="AH309" s="155"/>
      <c r="AI309" s="155"/>
      <c r="AJ309" s="155"/>
      <c r="AK309" s="156"/>
      <c r="AL309" s="156"/>
      <c r="AM309" s="155"/>
      <c r="AN309" s="155"/>
      <c r="AO309" s="155"/>
      <c r="AP309" s="156"/>
      <c r="AQ309" s="156"/>
      <c r="AR309" s="155"/>
      <c r="AS309" s="155"/>
      <c r="AT309" s="155"/>
      <c r="AU309" s="156"/>
      <c r="AV309" s="156"/>
      <c r="AW309" s="155"/>
      <c r="AX309" s="155"/>
      <c r="AY309" s="155"/>
      <c r="AZ309" s="156"/>
      <c r="BA309" s="156"/>
      <c r="BB309" s="155"/>
      <c r="BC309" s="155"/>
      <c r="BD309" s="155"/>
      <c r="BE309" s="155"/>
      <c r="BF309" s="155"/>
      <c r="BG309" s="158"/>
      <c r="BH309" s="158"/>
      <c r="BI309" s="155"/>
      <c r="BJ309" s="155"/>
      <c r="BK309" s="159"/>
      <c r="BL309" s="156"/>
      <c r="BM309" s="156"/>
      <c r="BN309" s="156"/>
      <c r="BO309" s="156"/>
      <c r="BP309" s="160"/>
      <c r="BQ309" s="160"/>
      <c r="BR309" s="160"/>
      <c r="BS309" s="160"/>
    </row>
    <row r="310" spans="1:71" x14ac:dyDescent="0.25">
      <c r="A310" s="154"/>
      <c r="B310" s="155"/>
      <c r="C310" s="155"/>
      <c r="D310" s="155"/>
      <c r="E310" s="156"/>
      <c r="F310" s="156"/>
      <c r="G310" s="155"/>
      <c r="H310" s="155"/>
      <c r="I310" s="155"/>
      <c r="J310" s="157"/>
      <c r="K310" s="157"/>
      <c r="L310" s="155"/>
      <c r="M310" s="155"/>
      <c r="N310" s="155"/>
      <c r="O310" s="156"/>
      <c r="P310" s="156"/>
      <c r="Q310" s="155"/>
      <c r="R310" s="155"/>
      <c r="S310" s="155"/>
      <c r="T310" s="156"/>
      <c r="U310" s="156"/>
      <c r="V310" s="155"/>
      <c r="W310" s="155"/>
      <c r="X310" s="155"/>
      <c r="Y310" s="155"/>
      <c r="Z310" s="155"/>
      <c r="AA310" s="156"/>
      <c r="AB310" s="156"/>
      <c r="AC310" s="155"/>
      <c r="AD310" s="155"/>
      <c r="AE310" s="155"/>
      <c r="AF310" s="156"/>
      <c r="AG310" s="156"/>
      <c r="AH310" s="155"/>
      <c r="AI310" s="155"/>
      <c r="AJ310" s="155"/>
      <c r="AK310" s="156"/>
      <c r="AL310" s="156"/>
      <c r="AM310" s="155"/>
      <c r="AN310" s="155"/>
      <c r="AO310" s="155"/>
      <c r="AP310" s="156"/>
      <c r="AQ310" s="156"/>
      <c r="AR310" s="155"/>
      <c r="AS310" s="155"/>
      <c r="AT310" s="155"/>
      <c r="AU310" s="156"/>
      <c r="AV310" s="156"/>
      <c r="AW310" s="155"/>
      <c r="AX310" s="155"/>
      <c r="AY310" s="155"/>
      <c r="AZ310" s="156"/>
      <c r="BA310" s="156"/>
      <c r="BB310" s="155"/>
      <c r="BC310" s="155"/>
      <c r="BD310" s="155"/>
      <c r="BE310" s="155"/>
      <c r="BF310" s="155"/>
      <c r="BG310" s="158"/>
      <c r="BH310" s="158"/>
      <c r="BI310" s="155"/>
      <c r="BJ310" s="155"/>
      <c r="BK310" s="159"/>
      <c r="BL310" s="156"/>
      <c r="BM310" s="156"/>
      <c r="BN310" s="156"/>
      <c r="BO310" s="156"/>
      <c r="BP310" s="160"/>
      <c r="BQ310" s="160"/>
      <c r="BR310" s="160"/>
      <c r="BS310" s="160"/>
    </row>
    <row r="311" spans="1:71" x14ac:dyDescent="0.25">
      <c r="A311" s="154"/>
      <c r="B311" s="155"/>
      <c r="C311" s="155"/>
      <c r="D311" s="155"/>
      <c r="E311" s="156"/>
      <c r="F311" s="156"/>
      <c r="G311" s="155"/>
      <c r="H311" s="155"/>
      <c r="I311" s="155"/>
      <c r="J311" s="157"/>
      <c r="K311" s="157"/>
      <c r="L311" s="155"/>
      <c r="M311" s="155"/>
      <c r="N311" s="155"/>
      <c r="O311" s="156"/>
      <c r="P311" s="156"/>
      <c r="Q311" s="155"/>
      <c r="R311" s="155"/>
      <c r="S311" s="155"/>
      <c r="T311" s="156"/>
      <c r="U311" s="156"/>
      <c r="V311" s="155"/>
      <c r="W311" s="155"/>
      <c r="X311" s="155"/>
      <c r="Y311" s="155"/>
      <c r="Z311" s="155"/>
      <c r="AA311" s="156"/>
      <c r="AB311" s="156"/>
      <c r="AC311" s="155"/>
      <c r="AD311" s="155"/>
      <c r="AE311" s="155"/>
      <c r="AF311" s="156"/>
      <c r="AG311" s="156"/>
      <c r="AH311" s="155"/>
      <c r="AI311" s="155"/>
      <c r="AJ311" s="155"/>
      <c r="AK311" s="156"/>
      <c r="AL311" s="156"/>
      <c r="AM311" s="155"/>
      <c r="AN311" s="155"/>
      <c r="AO311" s="155"/>
      <c r="AP311" s="156"/>
      <c r="AQ311" s="156"/>
      <c r="AR311" s="155"/>
      <c r="AS311" s="155"/>
      <c r="AT311" s="155"/>
      <c r="AU311" s="156"/>
      <c r="AV311" s="156"/>
      <c r="AW311" s="155"/>
      <c r="AX311" s="155"/>
      <c r="AY311" s="155"/>
      <c r="AZ311" s="156"/>
      <c r="BA311" s="156"/>
      <c r="BB311" s="155"/>
      <c r="BC311" s="155"/>
      <c r="BD311" s="155"/>
      <c r="BE311" s="155"/>
      <c r="BF311" s="155"/>
      <c r="BG311" s="158"/>
      <c r="BH311" s="158"/>
      <c r="BI311" s="155"/>
      <c r="BJ311" s="155"/>
      <c r="BK311" s="159"/>
      <c r="BL311" s="156"/>
      <c r="BM311" s="156"/>
      <c r="BN311" s="156"/>
      <c r="BO311" s="156"/>
      <c r="BP311" s="160"/>
      <c r="BQ311" s="160"/>
      <c r="BR311" s="160"/>
      <c r="BS311" s="160"/>
    </row>
    <row r="312" spans="1:71" x14ac:dyDescent="0.25">
      <c r="A312" s="154"/>
      <c r="B312" s="155"/>
      <c r="C312" s="155"/>
      <c r="D312" s="155"/>
      <c r="E312" s="156"/>
      <c r="F312" s="156"/>
      <c r="G312" s="155"/>
      <c r="H312" s="155"/>
      <c r="I312" s="155"/>
      <c r="J312" s="157"/>
      <c r="K312" s="157"/>
      <c r="L312" s="155"/>
      <c r="M312" s="155"/>
      <c r="N312" s="155"/>
      <c r="O312" s="156"/>
      <c r="P312" s="156"/>
      <c r="Q312" s="155"/>
      <c r="R312" s="155"/>
      <c r="S312" s="155"/>
      <c r="T312" s="156"/>
      <c r="U312" s="156"/>
      <c r="V312" s="155"/>
      <c r="W312" s="155"/>
      <c r="X312" s="155"/>
      <c r="Y312" s="155"/>
      <c r="Z312" s="155"/>
      <c r="AA312" s="156"/>
      <c r="AB312" s="156"/>
      <c r="AC312" s="155"/>
      <c r="AD312" s="155"/>
      <c r="AE312" s="155"/>
      <c r="AF312" s="156"/>
      <c r="AG312" s="156"/>
      <c r="AH312" s="155"/>
      <c r="AI312" s="155"/>
      <c r="AJ312" s="155"/>
      <c r="AK312" s="156"/>
      <c r="AL312" s="156"/>
      <c r="AM312" s="155"/>
      <c r="AN312" s="155"/>
      <c r="AO312" s="155"/>
      <c r="AP312" s="156"/>
      <c r="AQ312" s="156"/>
      <c r="AR312" s="155"/>
      <c r="AS312" s="155"/>
      <c r="AT312" s="155"/>
      <c r="AU312" s="156"/>
      <c r="AV312" s="156"/>
      <c r="AW312" s="155"/>
      <c r="AX312" s="155"/>
      <c r="AY312" s="155"/>
      <c r="AZ312" s="156"/>
      <c r="BA312" s="156"/>
      <c r="BB312" s="155"/>
      <c r="BC312" s="155"/>
      <c r="BD312" s="155"/>
      <c r="BE312" s="155"/>
      <c r="BF312" s="155"/>
      <c r="BG312" s="158"/>
      <c r="BH312" s="158"/>
      <c r="BI312" s="155"/>
      <c r="BJ312" s="155"/>
      <c r="BK312" s="159"/>
      <c r="BL312" s="156"/>
      <c r="BM312" s="156"/>
      <c r="BN312" s="156"/>
      <c r="BO312" s="156"/>
      <c r="BP312" s="160"/>
      <c r="BQ312" s="160"/>
      <c r="BR312" s="160"/>
      <c r="BS312" s="160"/>
    </row>
    <row r="313" spans="1:71" x14ac:dyDescent="0.25">
      <c r="A313" s="154"/>
      <c r="B313" s="155"/>
      <c r="C313" s="155"/>
      <c r="D313" s="155"/>
      <c r="E313" s="156"/>
      <c r="F313" s="156"/>
      <c r="G313" s="155"/>
      <c r="H313" s="155"/>
      <c r="I313" s="155"/>
      <c r="J313" s="157"/>
      <c r="K313" s="157"/>
      <c r="L313" s="155"/>
      <c r="M313" s="155"/>
      <c r="N313" s="155"/>
      <c r="O313" s="156"/>
      <c r="P313" s="156"/>
      <c r="Q313" s="155"/>
      <c r="R313" s="155"/>
      <c r="S313" s="155"/>
      <c r="T313" s="156"/>
      <c r="U313" s="156"/>
      <c r="V313" s="155"/>
      <c r="W313" s="155"/>
      <c r="X313" s="155"/>
      <c r="Y313" s="155"/>
      <c r="Z313" s="155"/>
      <c r="AA313" s="156"/>
      <c r="AB313" s="156"/>
      <c r="AC313" s="155"/>
      <c r="AD313" s="155"/>
      <c r="AE313" s="155"/>
      <c r="AF313" s="156"/>
      <c r="AG313" s="156"/>
      <c r="AH313" s="155"/>
      <c r="AI313" s="155"/>
      <c r="AJ313" s="155"/>
      <c r="AK313" s="156"/>
      <c r="AL313" s="156"/>
      <c r="AM313" s="155"/>
      <c r="AN313" s="155"/>
      <c r="AO313" s="155"/>
      <c r="AP313" s="156"/>
      <c r="AQ313" s="156"/>
      <c r="AR313" s="155"/>
      <c r="AS313" s="155"/>
      <c r="AT313" s="155"/>
      <c r="AU313" s="156"/>
      <c r="AV313" s="156"/>
      <c r="AW313" s="155"/>
      <c r="AX313" s="155"/>
      <c r="AY313" s="155"/>
      <c r="AZ313" s="156"/>
      <c r="BA313" s="156"/>
      <c r="BB313" s="155"/>
      <c r="BC313" s="155"/>
      <c r="BD313" s="155"/>
      <c r="BE313" s="155"/>
      <c r="BF313" s="155"/>
      <c r="BG313" s="158"/>
      <c r="BH313" s="158"/>
      <c r="BI313" s="155"/>
      <c r="BJ313" s="155"/>
      <c r="BK313" s="159"/>
      <c r="BL313" s="156"/>
      <c r="BM313" s="156"/>
      <c r="BN313" s="156"/>
      <c r="BO313" s="156"/>
      <c r="BP313" s="160"/>
      <c r="BQ313" s="160"/>
      <c r="BR313" s="160"/>
      <c r="BS313" s="160"/>
    </row>
    <row r="314" spans="1:71" x14ac:dyDescent="0.25">
      <c r="A314" s="154"/>
      <c r="B314" s="155"/>
      <c r="C314" s="155"/>
      <c r="D314" s="155"/>
      <c r="E314" s="156"/>
      <c r="F314" s="156"/>
      <c r="G314" s="155"/>
      <c r="H314" s="155"/>
      <c r="I314" s="155"/>
      <c r="J314" s="157"/>
      <c r="K314" s="157"/>
      <c r="L314" s="155"/>
      <c r="M314" s="155"/>
      <c r="N314" s="155"/>
      <c r="O314" s="156"/>
      <c r="P314" s="156"/>
      <c r="Q314" s="155"/>
      <c r="R314" s="155"/>
      <c r="S314" s="155"/>
      <c r="T314" s="156"/>
      <c r="U314" s="156"/>
      <c r="V314" s="155"/>
      <c r="W314" s="155"/>
      <c r="X314" s="155"/>
      <c r="Y314" s="155"/>
      <c r="Z314" s="155"/>
      <c r="AA314" s="156"/>
      <c r="AB314" s="156"/>
      <c r="AC314" s="155"/>
      <c r="AD314" s="155"/>
      <c r="AE314" s="155"/>
      <c r="AF314" s="156"/>
      <c r="AG314" s="156"/>
      <c r="AH314" s="155"/>
      <c r="AI314" s="155"/>
      <c r="AJ314" s="155"/>
      <c r="AK314" s="156"/>
      <c r="AL314" s="156"/>
      <c r="AM314" s="155"/>
      <c r="AN314" s="155"/>
      <c r="AO314" s="155"/>
      <c r="AP314" s="156"/>
      <c r="AQ314" s="156"/>
      <c r="AR314" s="155"/>
      <c r="AS314" s="155"/>
      <c r="AT314" s="155"/>
      <c r="AU314" s="156"/>
      <c r="AV314" s="156"/>
      <c r="AW314" s="155"/>
      <c r="AX314" s="155"/>
      <c r="AY314" s="155"/>
      <c r="AZ314" s="156"/>
      <c r="BA314" s="156"/>
      <c r="BB314" s="155"/>
      <c r="BC314" s="155"/>
      <c r="BD314" s="155"/>
      <c r="BE314" s="155"/>
      <c r="BF314" s="155"/>
      <c r="BG314" s="158"/>
      <c r="BH314" s="158"/>
      <c r="BI314" s="155"/>
      <c r="BJ314" s="155"/>
      <c r="BK314" s="159"/>
      <c r="BL314" s="156"/>
      <c r="BM314" s="156"/>
      <c r="BN314" s="156"/>
      <c r="BO314" s="156"/>
      <c r="BP314" s="160"/>
      <c r="BQ314" s="160"/>
      <c r="BR314" s="160"/>
      <c r="BS314" s="160"/>
    </row>
    <row r="315" spans="1:71" x14ac:dyDescent="0.25">
      <c r="A315" s="154"/>
      <c r="B315" s="155"/>
      <c r="C315" s="155"/>
      <c r="D315" s="155"/>
      <c r="E315" s="156"/>
      <c r="F315" s="156"/>
      <c r="G315" s="155"/>
      <c r="H315" s="155"/>
      <c r="I315" s="155"/>
      <c r="J315" s="157"/>
      <c r="K315" s="157"/>
      <c r="L315" s="155"/>
      <c r="M315" s="155"/>
      <c r="N315" s="155"/>
      <c r="O315" s="156"/>
      <c r="P315" s="156"/>
      <c r="Q315" s="155"/>
      <c r="R315" s="155"/>
      <c r="S315" s="155"/>
      <c r="T315" s="156"/>
      <c r="U315" s="156"/>
      <c r="V315" s="155"/>
      <c r="W315" s="155"/>
      <c r="X315" s="155"/>
      <c r="Y315" s="155"/>
      <c r="Z315" s="155"/>
      <c r="AA315" s="156"/>
      <c r="AB315" s="156"/>
      <c r="AC315" s="155"/>
      <c r="AD315" s="155"/>
      <c r="AE315" s="155"/>
      <c r="AF315" s="156"/>
      <c r="AG315" s="156"/>
      <c r="AH315" s="155"/>
      <c r="AI315" s="155"/>
      <c r="AJ315" s="155"/>
      <c r="AK315" s="156"/>
      <c r="AL315" s="156"/>
      <c r="AM315" s="155"/>
      <c r="AN315" s="155"/>
      <c r="AO315" s="155"/>
      <c r="AP315" s="156"/>
      <c r="AQ315" s="156"/>
      <c r="AR315" s="155"/>
      <c r="AS315" s="155"/>
      <c r="AT315" s="155"/>
      <c r="AU315" s="156"/>
      <c r="AV315" s="156"/>
      <c r="AW315" s="155"/>
      <c r="AX315" s="155"/>
      <c r="AY315" s="155"/>
      <c r="AZ315" s="156"/>
      <c r="BA315" s="156"/>
      <c r="BB315" s="155"/>
      <c r="BC315" s="155"/>
      <c r="BD315" s="155"/>
      <c r="BE315" s="155"/>
      <c r="BF315" s="155"/>
      <c r="BG315" s="158"/>
      <c r="BH315" s="158"/>
      <c r="BI315" s="155"/>
      <c r="BJ315" s="155"/>
      <c r="BK315" s="159"/>
      <c r="BL315" s="156"/>
      <c r="BM315" s="156"/>
      <c r="BN315" s="156"/>
      <c r="BO315" s="156"/>
      <c r="BP315" s="160"/>
      <c r="BQ315" s="160"/>
      <c r="BR315" s="160"/>
      <c r="BS315" s="160"/>
    </row>
    <row r="316" spans="1:71" x14ac:dyDescent="0.25">
      <c r="A316" s="154"/>
      <c r="B316" s="155"/>
      <c r="C316" s="155"/>
      <c r="D316" s="155"/>
      <c r="E316" s="156"/>
      <c r="F316" s="156"/>
      <c r="G316" s="155"/>
      <c r="H316" s="155"/>
      <c r="I316" s="155"/>
      <c r="J316" s="157"/>
      <c r="K316" s="157"/>
      <c r="L316" s="155"/>
      <c r="M316" s="155"/>
      <c r="N316" s="155"/>
      <c r="O316" s="156"/>
      <c r="P316" s="156"/>
      <c r="Q316" s="155"/>
      <c r="R316" s="155"/>
      <c r="S316" s="155"/>
      <c r="T316" s="156"/>
      <c r="U316" s="156"/>
      <c r="V316" s="155"/>
      <c r="W316" s="155"/>
      <c r="X316" s="155"/>
      <c r="Y316" s="155"/>
      <c r="Z316" s="155"/>
      <c r="AA316" s="156"/>
      <c r="AB316" s="156"/>
      <c r="AC316" s="155"/>
      <c r="AD316" s="155"/>
      <c r="AE316" s="155"/>
      <c r="AF316" s="156"/>
      <c r="AG316" s="156"/>
      <c r="AH316" s="155"/>
      <c r="AI316" s="155"/>
      <c r="AJ316" s="155"/>
      <c r="AK316" s="156"/>
      <c r="AL316" s="156"/>
      <c r="AM316" s="155"/>
      <c r="AN316" s="155"/>
      <c r="AO316" s="155"/>
      <c r="AP316" s="156"/>
      <c r="AQ316" s="156"/>
      <c r="AR316" s="155"/>
      <c r="AS316" s="155"/>
      <c r="AT316" s="155"/>
      <c r="AU316" s="156"/>
      <c r="AV316" s="156"/>
      <c r="AW316" s="155"/>
      <c r="AX316" s="155"/>
      <c r="AY316" s="155"/>
      <c r="AZ316" s="156"/>
      <c r="BA316" s="156"/>
      <c r="BB316" s="155"/>
      <c r="BC316" s="155"/>
      <c r="BD316" s="155"/>
      <c r="BE316" s="155"/>
      <c r="BF316" s="155"/>
      <c r="BG316" s="158"/>
      <c r="BH316" s="158"/>
      <c r="BI316" s="155"/>
      <c r="BJ316" s="155"/>
      <c r="BK316" s="159"/>
      <c r="BL316" s="156"/>
      <c r="BM316" s="156"/>
      <c r="BN316" s="156"/>
      <c r="BO316" s="156"/>
      <c r="BP316" s="160"/>
      <c r="BQ316" s="160"/>
      <c r="BR316" s="160"/>
      <c r="BS316" s="160"/>
    </row>
    <row r="317" spans="1:71" x14ac:dyDescent="0.25">
      <c r="A317" s="154"/>
      <c r="B317" s="155"/>
      <c r="C317" s="155"/>
      <c r="D317" s="155"/>
      <c r="E317" s="156"/>
      <c r="F317" s="156"/>
      <c r="G317" s="155"/>
      <c r="H317" s="155"/>
      <c r="I317" s="155"/>
      <c r="J317" s="157"/>
      <c r="K317" s="157"/>
      <c r="L317" s="155"/>
      <c r="M317" s="155"/>
      <c r="N317" s="155"/>
      <c r="O317" s="156"/>
      <c r="P317" s="156"/>
      <c r="Q317" s="155"/>
      <c r="R317" s="155"/>
      <c r="S317" s="155"/>
      <c r="T317" s="156"/>
      <c r="U317" s="156"/>
      <c r="V317" s="155"/>
      <c r="W317" s="155"/>
      <c r="X317" s="155"/>
      <c r="Y317" s="155"/>
      <c r="Z317" s="155"/>
      <c r="AA317" s="156"/>
      <c r="AB317" s="156"/>
      <c r="AC317" s="155"/>
      <c r="AD317" s="155"/>
      <c r="AE317" s="155"/>
      <c r="AF317" s="156"/>
      <c r="AG317" s="156"/>
      <c r="AH317" s="155"/>
      <c r="AI317" s="155"/>
      <c r="AJ317" s="155"/>
      <c r="AK317" s="156"/>
      <c r="AL317" s="156"/>
      <c r="AM317" s="155"/>
      <c r="AN317" s="155"/>
      <c r="AO317" s="155"/>
      <c r="AP317" s="156"/>
      <c r="AQ317" s="156"/>
      <c r="AR317" s="155"/>
      <c r="AS317" s="155"/>
      <c r="AT317" s="155"/>
      <c r="AU317" s="156"/>
      <c r="AV317" s="156"/>
      <c r="AW317" s="155"/>
      <c r="AX317" s="155"/>
      <c r="AY317" s="155"/>
      <c r="AZ317" s="156"/>
      <c r="BA317" s="156"/>
      <c r="BB317" s="155"/>
      <c r="BC317" s="155"/>
      <c r="BD317" s="155"/>
      <c r="BE317" s="155"/>
      <c r="BF317" s="155"/>
      <c r="BG317" s="158"/>
      <c r="BH317" s="158"/>
      <c r="BI317" s="155"/>
      <c r="BJ317" s="155"/>
      <c r="BK317" s="159"/>
      <c r="BL317" s="156"/>
      <c r="BM317" s="156"/>
      <c r="BN317" s="156"/>
      <c r="BO317" s="156"/>
      <c r="BP317" s="160"/>
      <c r="BQ317" s="160"/>
      <c r="BR317" s="160"/>
      <c r="BS317" s="160"/>
    </row>
    <row r="318" spans="1:71" x14ac:dyDescent="0.25">
      <c r="A318" s="154"/>
      <c r="B318" s="155"/>
      <c r="C318" s="155"/>
      <c r="D318" s="155"/>
      <c r="E318" s="156"/>
      <c r="F318" s="156"/>
      <c r="G318" s="155"/>
      <c r="H318" s="155"/>
      <c r="I318" s="155"/>
      <c r="J318" s="157"/>
      <c r="K318" s="157"/>
      <c r="L318" s="155"/>
      <c r="M318" s="155"/>
      <c r="N318" s="155"/>
      <c r="O318" s="156"/>
      <c r="P318" s="156"/>
      <c r="Q318" s="155"/>
      <c r="R318" s="155"/>
      <c r="S318" s="155"/>
      <c r="T318" s="156"/>
      <c r="U318" s="156"/>
      <c r="V318" s="155"/>
      <c r="W318" s="155"/>
      <c r="X318" s="155"/>
      <c r="Y318" s="155"/>
      <c r="Z318" s="155"/>
      <c r="AA318" s="156"/>
      <c r="AB318" s="156"/>
      <c r="AC318" s="155"/>
      <c r="AD318" s="155"/>
      <c r="AE318" s="155"/>
      <c r="AF318" s="156"/>
      <c r="AG318" s="156"/>
      <c r="AH318" s="155"/>
      <c r="AI318" s="155"/>
      <c r="AJ318" s="155"/>
      <c r="AK318" s="156"/>
      <c r="AL318" s="156"/>
      <c r="AM318" s="155"/>
      <c r="AN318" s="155"/>
      <c r="AO318" s="155"/>
      <c r="AP318" s="156"/>
      <c r="AQ318" s="156"/>
      <c r="AR318" s="155"/>
      <c r="AS318" s="155"/>
      <c r="AT318" s="155"/>
      <c r="AU318" s="156"/>
      <c r="AV318" s="156"/>
      <c r="AW318" s="155"/>
      <c r="AX318" s="155"/>
      <c r="AY318" s="155"/>
      <c r="AZ318" s="156"/>
      <c r="BA318" s="156"/>
      <c r="BB318" s="155"/>
      <c r="BC318" s="155"/>
      <c r="BD318" s="155"/>
      <c r="BE318" s="155"/>
      <c r="BF318" s="155"/>
      <c r="BG318" s="158"/>
      <c r="BH318" s="158"/>
      <c r="BI318" s="155"/>
      <c r="BJ318" s="155"/>
      <c r="BK318" s="159"/>
      <c r="BL318" s="156"/>
      <c r="BM318" s="156"/>
      <c r="BN318" s="156"/>
      <c r="BO318" s="156"/>
      <c r="BP318" s="160"/>
      <c r="BQ318" s="160"/>
      <c r="BR318" s="160"/>
      <c r="BS318" s="160"/>
    </row>
    <row r="319" spans="1:71" x14ac:dyDescent="0.25">
      <c r="A319" s="154"/>
      <c r="B319" s="155"/>
      <c r="C319" s="155"/>
      <c r="D319" s="155"/>
      <c r="E319" s="156"/>
      <c r="F319" s="156"/>
      <c r="G319" s="155"/>
      <c r="H319" s="155"/>
      <c r="I319" s="155"/>
      <c r="J319" s="157"/>
      <c r="K319" s="157"/>
      <c r="L319" s="155"/>
      <c r="M319" s="155"/>
      <c r="N319" s="155"/>
      <c r="O319" s="156"/>
      <c r="P319" s="156"/>
      <c r="Q319" s="155"/>
      <c r="R319" s="155"/>
      <c r="S319" s="155"/>
      <c r="T319" s="156"/>
      <c r="U319" s="156"/>
      <c r="V319" s="155"/>
      <c r="W319" s="155"/>
      <c r="X319" s="155"/>
      <c r="Y319" s="155"/>
      <c r="Z319" s="155"/>
      <c r="AA319" s="156"/>
      <c r="AB319" s="156"/>
      <c r="AC319" s="155"/>
      <c r="AD319" s="155"/>
      <c r="AE319" s="155"/>
      <c r="AF319" s="156"/>
      <c r="AG319" s="156"/>
      <c r="AH319" s="155"/>
      <c r="AI319" s="155"/>
      <c r="AJ319" s="155"/>
      <c r="AK319" s="156"/>
      <c r="AL319" s="156"/>
      <c r="AM319" s="155"/>
      <c r="AN319" s="155"/>
      <c r="AO319" s="155"/>
      <c r="AP319" s="156"/>
      <c r="AQ319" s="156"/>
      <c r="AR319" s="155"/>
      <c r="AS319" s="155"/>
      <c r="AT319" s="155"/>
      <c r="AU319" s="156"/>
      <c r="AV319" s="156"/>
      <c r="AW319" s="155"/>
      <c r="AX319" s="155"/>
      <c r="AY319" s="155"/>
      <c r="AZ319" s="156"/>
      <c r="BA319" s="156"/>
      <c r="BB319" s="155"/>
      <c r="BC319" s="155"/>
      <c r="BD319" s="155"/>
      <c r="BE319" s="155"/>
      <c r="BF319" s="155"/>
      <c r="BG319" s="158"/>
      <c r="BH319" s="158"/>
      <c r="BI319" s="155"/>
      <c r="BJ319" s="155"/>
      <c r="BK319" s="159"/>
      <c r="BL319" s="156"/>
      <c r="BM319" s="156"/>
      <c r="BN319" s="156"/>
      <c r="BO319" s="156"/>
      <c r="BP319" s="160"/>
      <c r="BQ319" s="160"/>
      <c r="BR319" s="160"/>
      <c r="BS319" s="160"/>
    </row>
    <row r="320" spans="1:71" x14ac:dyDescent="0.25">
      <c r="A320" s="154"/>
      <c r="B320" s="155"/>
      <c r="C320" s="155"/>
      <c r="D320" s="155"/>
      <c r="E320" s="156"/>
      <c r="F320" s="156"/>
      <c r="G320" s="155"/>
      <c r="H320" s="155"/>
      <c r="I320" s="155"/>
      <c r="J320" s="157"/>
      <c r="K320" s="157"/>
      <c r="L320" s="155"/>
      <c r="M320" s="155"/>
      <c r="N320" s="155"/>
      <c r="O320" s="156"/>
      <c r="P320" s="156"/>
      <c r="Q320" s="155"/>
      <c r="R320" s="155"/>
      <c r="S320" s="155"/>
      <c r="T320" s="156"/>
      <c r="U320" s="156"/>
      <c r="V320" s="155"/>
      <c r="W320" s="155"/>
      <c r="X320" s="155"/>
      <c r="Y320" s="155"/>
      <c r="Z320" s="155"/>
      <c r="AA320" s="156"/>
      <c r="AB320" s="156"/>
      <c r="AC320" s="155"/>
      <c r="AD320" s="155"/>
      <c r="AE320" s="155"/>
      <c r="AF320" s="156"/>
      <c r="AG320" s="156"/>
      <c r="AH320" s="155"/>
      <c r="AI320" s="155"/>
      <c r="AJ320" s="155"/>
      <c r="AK320" s="156"/>
      <c r="AL320" s="156"/>
      <c r="AM320" s="155"/>
      <c r="AN320" s="155"/>
      <c r="AO320" s="155"/>
      <c r="AP320" s="156"/>
      <c r="AQ320" s="156"/>
      <c r="AR320" s="155"/>
      <c r="AS320" s="155"/>
      <c r="AT320" s="155"/>
      <c r="AU320" s="156"/>
      <c r="AV320" s="156"/>
      <c r="AW320" s="155"/>
      <c r="AX320" s="155"/>
      <c r="AY320" s="155"/>
      <c r="AZ320" s="156"/>
      <c r="BA320" s="156"/>
      <c r="BB320" s="155"/>
      <c r="BC320" s="155"/>
      <c r="BD320" s="155"/>
      <c r="BE320" s="155"/>
      <c r="BF320" s="155"/>
      <c r="BG320" s="158"/>
      <c r="BH320" s="158"/>
      <c r="BI320" s="155"/>
      <c r="BJ320" s="155"/>
      <c r="BK320" s="159"/>
      <c r="BL320" s="156"/>
      <c r="BM320" s="156"/>
      <c r="BN320" s="156"/>
      <c r="BO320" s="156"/>
      <c r="BP320" s="160"/>
      <c r="BQ320" s="160"/>
      <c r="BR320" s="160"/>
      <c r="BS320" s="160"/>
    </row>
    <row r="321" spans="1:71" x14ac:dyDescent="0.25">
      <c r="A321" s="154"/>
      <c r="B321" s="155"/>
      <c r="C321" s="155"/>
      <c r="D321" s="155"/>
      <c r="E321" s="156"/>
      <c r="F321" s="156"/>
      <c r="G321" s="155"/>
      <c r="H321" s="155"/>
      <c r="I321" s="155"/>
      <c r="J321" s="157"/>
      <c r="K321" s="157"/>
      <c r="L321" s="155"/>
      <c r="M321" s="155"/>
      <c r="N321" s="155"/>
      <c r="O321" s="156"/>
      <c r="P321" s="156"/>
      <c r="Q321" s="155"/>
      <c r="R321" s="155"/>
      <c r="S321" s="155"/>
      <c r="T321" s="156"/>
      <c r="U321" s="156"/>
      <c r="V321" s="155"/>
      <c r="W321" s="155"/>
      <c r="X321" s="155"/>
      <c r="Y321" s="155"/>
      <c r="Z321" s="155"/>
      <c r="AA321" s="156"/>
      <c r="AB321" s="156"/>
      <c r="AC321" s="155"/>
      <c r="AD321" s="155"/>
      <c r="AE321" s="155"/>
      <c r="AF321" s="156"/>
      <c r="AG321" s="156"/>
      <c r="AH321" s="155"/>
      <c r="AI321" s="155"/>
      <c r="AJ321" s="155"/>
      <c r="AK321" s="156"/>
      <c r="AL321" s="156"/>
      <c r="AM321" s="155"/>
      <c r="AN321" s="155"/>
      <c r="AO321" s="155"/>
      <c r="AP321" s="156"/>
      <c r="AQ321" s="156"/>
      <c r="AR321" s="155"/>
      <c r="AS321" s="155"/>
      <c r="AT321" s="155"/>
      <c r="AU321" s="156"/>
      <c r="AV321" s="156"/>
      <c r="AW321" s="155"/>
      <c r="AX321" s="155"/>
      <c r="AY321" s="155"/>
      <c r="AZ321" s="156"/>
      <c r="BA321" s="156"/>
      <c r="BB321" s="155"/>
      <c r="BC321" s="155"/>
      <c r="BD321" s="155"/>
      <c r="BE321" s="155"/>
      <c r="BF321" s="155"/>
      <c r="BG321" s="158"/>
      <c r="BH321" s="158"/>
      <c r="BI321" s="155"/>
      <c r="BJ321" s="155"/>
      <c r="BK321" s="159"/>
      <c r="BL321" s="156"/>
      <c r="BM321" s="156"/>
      <c r="BN321" s="156"/>
      <c r="BO321" s="156"/>
      <c r="BP321" s="160"/>
      <c r="BQ321" s="160"/>
      <c r="BR321" s="160"/>
      <c r="BS321" s="160"/>
    </row>
    <row r="322" spans="1:71" x14ac:dyDescent="0.25">
      <c r="A322" s="154"/>
      <c r="B322" s="155"/>
      <c r="C322" s="155"/>
      <c r="D322" s="155"/>
      <c r="E322" s="156"/>
      <c r="F322" s="156"/>
      <c r="G322" s="155"/>
      <c r="H322" s="155"/>
      <c r="I322" s="155"/>
      <c r="J322" s="157"/>
      <c r="K322" s="157"/>
      <c r="L322" s="155"/>
      <c r="M322" s="155"/>
      <c r="N322" s="155"/>
      <c r="O322" s="156"/>
      <c r="P322" s="156"/>
      <c r="Q322" s="155"/>
      <c r="R322" s="155"/>
      <c r="S322" s="155"/>
      <c r="T322" s="156"/>
      <c r="U322" s="156"/>
      <c r="V322" s="155"/>
      <c r="W322" s="155"/>
      <c r="X322" s="155"/>
      <c r="Y322" s="155"/>
      <c r="Z322" s="155"/>
      <c r="AA322" s="156"/>
      <c r="AB322" s="156"/>
      <c r="AC322" s="155"/>
      <c r="AD322" s="155"/>
      <c r="AE322" s="155"/>
      <c r="AF322" s="156"/>
      <c r="AG322" s="156"/>
      <c r="AH322" s="155"/>
      <c r="AI322" s="155"/>
      <c r="AJ322" s="155"/>
      <c r="AK322" s="156"/>
      <c r="AL322" s="156"/>
      <c r="AM322" s="155"/>
      <c r="AN322" s="155"/>
      <c r="AO322" s="155"/>
      <c r="AP322" s="156"/>
      <c r="AQ322" s="156"/>
      <c r="AR322" s="155"/>
      <c r="AS322" s="155"/>
      <c r="AT322" s="155"/>
      <c r="AU322" s="156"/>
      <c r="AV322" s="156"/>
      <c r="AW322" s="155"/>
      <c r="AX322" s="155"/>
      <c r="AY322" s="155"/>
      <c r="AZ322" s="156"/>
      <c r="BA322" s="156"/>
      <c r="BB322" s="155"/>
      <c r="BC322" s="155"/>
      <c r="BD322" s="155"/>
      <c r="BE322" s="155"/>
      <c r="BF322" s="155"/>
      <c r="BG322" s="158"/>
      <c r="BH322" s="158"/>
      <c r="BI322" s="155"/>
      <c r="BJ322" s="155"/>
      <c r="BK322" s="159"/>
      <c r="BL322" s="156"/>
      <c r="BM322" s="156"/>
      <c r="BN322" s="156"/>
      <c r="BO322" s="156"/>
      <c r="BP322" s="160"/>
      <c r="BQ322" s="160"/>
      <c r="BR322" s="160"/>
      <c r="BS322" s="160"/>
    </row>
    <row r="323" spans="1:71" x14ac:dyDescent="0.25">
      <c r="A323" s="154"/>
      <c r="B323" s="155"/>
      <c r="C323" s="155"/>
      <c r="D323" s="155"/>
      <c r="E323" s="156"/>
      <c r="F323" s="156"/>
      <c r="G323" s="155"/>
      <c r="H323" s="155"/>
      <c r="I323" s="155"/>
      <c r="J323" s="157"/>
      <c r="K323" s="157"/>
      <c r="L323" s="155"/>
      <c r="M323" s="155"/>
      <c r="N323" s="155"/>
      <c r="O323" s="156"/>
      <c r="P323" s="156"/>
      <c r="Q323" s="155"/>
      <c r="R323" s="155"/>
      <c r="S323" s="155"/>
      <c r="T323" s="156"/>
      <c r="U323" s="156"/>
      <c r="V323" s="155"/>
      <c r="W323" s="155"/>
      <c r="X323" s="155"/>
      <c r="Y323" s="155"/>
      <c r="Z323" s="155"/>
      <c r="AA323" s="156"/>
      <c r="AB323" s="156"/>
      <c r="AC323" s="155"/>
      <c r="AD323" s="155"/>
      <c r="AE323" s="155"/>
      <c r="AF323" s="156"/>
      <c r="AG323" s="156"/>
      <c r="AH323" s="155"/>
      <c r="AI323" s="155"/>
      <c r="AJ323" s="155"/>
      <c r="AK323" s="156"/>
      <c r="AL323" s="156"/>
      <c r="AM323" s="155"/>
      <c r="AN323" s="155"/>
      <c r="AO323" s="155"/>
      <c r="AP323" s="156"/>
      <c r="AQ323" s="156"/>
      <c r="AR323" s="155"/>
      <c r="AS323" s="155"/>
      <c r="AT323" s="155"/>
      <c r="AU323" s="156"/>
      <c r="AV323" s="156"/>
      <c r="AW323" s="155"/>
      <c r="AX323" s="155"/>
      <c r="AY323" s="155"/>
      <c r="AZ323" s="156"/>
      <c r="BA323" s="156"/>
      <c r="BB323" s="155"/>
      <c r="BC323" s="155"/>
      <c r="BD323" s="155"/>
      <c r="BE323" s="155"/>
      <c r="BF323" s="155"/>
      <c r="BG323" s="158"/>
      <c r="BH323" s="158"/>
      <c r="BI323" s="155"/>
      <c r="BJ323" s="155"/>
      <c r="BK323" s="159"/>
      <c r="BL323" s="156"/>
      <c r="BM323" s="156"/>
      <c r="BN323" s="156"/>
      <c r="BO323" s="156"/>
      <c r="BP323" s="160"/>
      <c r="BQ323" s="160"/>
      <c r="BR323" s="160"/>
      <c r="BS323" s="160"/>
    </row>
    <row r="324" spans="1:71" x14ac:dyDescent="0.25">
      <c r="A324" s="154"/>
      <c r="B324" s="155"/>
      <c r="C324" s="155"/>
      <c r="D324" s="155"/>
      <c r="E324" s="156"/>
      <c r="F324" s="156"/>
      <c r="G324" s="155"/>
      <c r="H324" s="155"/>
      <c r="I324" s="155"/>
      <c r="J324" s="157"/>
      <c r="K324" s="157"/>
      <c r="L324" s="155"/>
      <c r="M324" s="155"/>
      <c r="N324" s="155"/>
      <c r="O324" s="156"/>
      <c r="P324" s="156"/>
      <c r="Q324" s="155"/>
      <c r="R324" s="155"/>
      <c r="S324" s="155"/>
      <c r="T324" s="156"/>
      <c r="U324" s="156"/>
      <c r="V324" s="155"/>
      <c r="W324" s="155"/>
      <c r="X324" s="155"/>
      <c r="Y324" s="155"/>
      <c r="Z324" s="155"/>
      <c r="AA324" s="156"/>
      <c r="AB324" s="156"/>
      <c r="AC324" s="155"/>
      <c r="AD324" s="155"/>
      <c r="AE324" s="155"/>
      <c r="AF324" s="156"/>
      <c r="AG324" s="156"/>
      <c r="AH324" s="155"/>
      <c r="AI324" s="155"/>
      <c r="AJ324" s="155"/>
      <c r="AK324" s="156"/>
      <c r="AL324" s="156"/>
      <c r="AM324" s="155"/>
      <c r="AN324" s="155"/>
      <c r="AO324" s="155"/>
      <c r="AP324" s="156"/>
      <c r="AQ324" s="156"/>
      <c r="AR324" s="155"/>
      <c r="AS324" s="155"/>
      <c r="AT324" s="155"/>
      <c r="AU324" s="156"/>
      <c r="AV324" s="156"/>
      <c r="AW324" s="155"/>
      <c r="AX324" s="155"/>
      <c r="AY324" s="155"/>
      <c r="AZ324" s="156"/>
      <c r="BA324" s="156"/>
      <c r="BB324" s="155"/>
      <c r="BC324" s="155"/>
      <c r="BD324" s="155"/>
      <c r="BE324" s="155"/>
      <c r="BF324" s="155"/>
      <c r="BG324" s="158"/>
      <c r="BH324" s="158"/>
      <c r="BI324" s="155"/>
      <c r="BJ324" s="155"/>
      <c r="BK324" s="159"/>
      <c r="BL324" s="156"/>
      <c r="BM324" s="156"/>
      <c r="BN324" s="156"/>
      <c r="BO324" s="156"/>
      <c r="BP324" s="160"/>
      <c r="BQ324" s="160"/>
      <c r="BR324" s="160"/>
      <c r="BS324" s="160"/>
    </row>
    <row r="325" spans="1:71" x14ac:dyDescent="0.25">
      <c r="A325" s="154"/>
      <c r="B325" s="155"/>
      <c r="C325" s="155"/>
      <c r="D325" s="155"/>
      <c r="E325" s="156"/>
      <c r="F325" s="156"/>
      <c r="G325" s="155"/>
      <c r="H325" s="155"/>
      <c r="I325" s="155"/>
      <c r="J325" s="157"/>
      <c r="K325" s="157"/>
      <c r="L325" s="155"/>
      <c r="M325" s="155"/>
      <c r="N325" s="155"/>
      <c r="O325" s="156"/>
      <c r="P325" s="156"/>
      <c r="Q325" s="155"/>
      <c r="R325" s="155"/>
      <c r="S325" s="155"/>
      <c r="T325" s="156"/>
      <c r="U325" s="156"/>
      <c r="V325" s="155"/>
      <c r="W325" s="155"/>
      <c r="X325" s="155"/>
      <c r="Y325" s="155"/>
      <c r="Z325" s="155"/>
      <c r="AA325" s="156"/>
      <c r="AB325" s="156"/>
      <c r="AC325" s="155"/>
      <c r="AD325" s="155"/>
      <c r="AE325" s="155"/>
      <c r="AF325" s="156"/>
      <c r="AG325" s="156"/>
      <c r="AH325" s="155"/>
      <c r="AI325" s="155"/>
      <c r="AJ325" s="155"/>
      <c r="AK325" s="156"/>
      <c r="AL325" s="156"/>
      <c r="AM325" s="155"/>
      <c r="AN325" s="155"/>
      <c r="AO325" s="155"/>
      <c r="AP325" s="156"/>
      <c r="AQ325" s="156"/>
      <c r="AR325" s="155"/>
      <c r="AS325" s="155"/>
      <c r="AT325" s="155"/>
      <c r="AU325" s="156"/>
      <c r="AV325" s="156"/>
      <c r="AW325" s="155"/>
      <c r="AX325" s="155"/>
      <c r="AY325" s="155"/>
      <c r="AZ325" s="156"/>
      <c r="BA325" s="156"/>
      <c r="BB325" s="155"/>
      <c r="BC325" s="155"/>
      <c r="BD325" s="155"/>
      <c r="BE325" s="155"/>
      <c r="BF325" s="155"/>
      <c r="BG325" s="158"/>
      <c r="BH325" s="158"/>
      <c r="BI325" s="155"/>
      <c r="BJ325" s="155"/>
      <c r="BK325" s="159"/>
      <c r="BL325" s="156"/>
      <c r="BM325" s="156"/>
      <c r="BN325" s="156"/>
      <c r="BO325" s="156"/>
      <c r="BP325" s="160"/>
      <c r="BQ325" s="160"/>
      <c r="BR325" s="160"/>
      <c r="BS325" s="160"/>
    </row>
    <row r="326" spans="1:71" x14ac:dyDescent="0.25">
      <c r="A326" s="154"/>
      <c r="B326" s="155"/>
      <c r="C326" s="155"/>
      <c r="D326" s="155"/>
      <c r="E326" s="156"/>
      <c r="F326" s="156"/>
      <c r="G326" s="155"/>
      <c r="H326" s="155"/>
      <c r="I326" s="155"/>
      <c r="J326" s="157"/>
      <c r="K326" s="157"/>
      <c r="L326" s="155"/>
      <c r="M326" s="155"/>
      <c r="N326" s="155"/>
      <c r="O326" s="156"/>
      <c r="P326" s="156"/>
      <c r="Q326" s="155"/>
      <c r="R326" s="155"/>
      <c r="S326" s="155"/>
      <c r="T326" s="156"/>
      <c r="U326" s="156"/>
      <c r="V326" s="155"/>
      <c r="W326" s="155"/>
      <c r="X326" s="155"/>
      <c r="Y326" s="155"/>
      <c r="Z326" s="155"/>
      <c r="AA326" s="156"/>
      <c r="AB326" s="156"/>
      <c r="AC326" s="155"/>
      <c r="AD326" s="155"/>
      <c r="AE326" s="155"/>
      <c r="AF326" s="156"/>
      <c r="AG326" s="156"/>
      <c r="AH326" s="155"/>
      <c r="AI326" s="155"/>
      <c r="AJ326" s="155"/>
      <c r="AK326" s="156"/>
      <c r="AL326" s="156"/>
      <c r="AM326" s="155"/>
      <c r="AN326" s="155"/>
      <c r="AO326" s="155"/>
      <c r="AP326" s="156"/>
      <c r="AQ326" s="156"/>
      <c r="AR326" s="155"/>
      <c r="AS326" s="155"/>
      <c r="AT326" s="155"/>
      <c r="AU326" s="156"/>
      <c r="AV326" s="156"/>
      <c r="AW326" s="155"/>
      <c r="AX326" s="155"/>
      <c r="AY326" s="155"/>
      <c r="AZ326" s="156"/>
      <c r="BA326" s="156"/>
      <c r="BB326" s="155"/>
      <c r="BC326" s="155"/>
      <c r="BD326" s="155"/>
      <c r="BE326" s="155"/>
      <c r="BF326" s="155"/>
      <c r="BG326" s="158"/>
      <c r="BH326" s="158"/>
      <c r="BI326" s="155"/>
      <c r="BJ326" s="155"/>
      <c r="BK326" s="159"/>
      <c r="BL326" s="156"/>
      <c r="BM326" s="156"/>
      <c r="BN326" s="156"/>
      <c r="BO326" s="156"/>
      <c r="BP326" s="160"/>
      <c r="BQ326" s="160"/>
      <c r="BR326" s="160"/>
      <c r="BS326" s="160"/>
    </row>
    <row r="327" spans="1:71" x14ac:dyDescent="0.25">
      <c r="A327" s="154"/>
      <c r="B327" s="155"/>
      <c r="C327" s="155"/>
      <c r="D327" s="155"/>
      <c r="E327" s="156"/>
      <c r="F327" s="156"/>
      <c r="G327" s="155"/>
      <c r="H327" s="155"/>
      <c r="I327" s="155"/>
      <c r="J327" s="157"/>
      <c r="K327" s="157"/>
      <c r="L327" s="155"/>
      <c r="M327" s="155"/>
      <c r="N327" s="155"/>
      <c r="O327" s="156"/>
      <c r="P327" s="156"/>
      <c r="Q327" s="155"/>
      <c r="R327" s="155"/>
      <c r="S327" s="155"/>
      <c r="T327" s="156"/>
      <c r="U327" s="156"/>
      <c r="V327" s="155"/>
      <c r="W327" s="155"/>
      <c r="X327" s="155"/>
      <c r="Y327" s="155"/>
      <c r="Z327" s="155"/>
      <c r="AA327" s="156"/>
      <c r="AB327" s="156"/>
      <c r="AC327" s="155"/>
      <c r="AD327" s="155"/>
      <c r="AE327" s="155"/>
      <c r="AF327" s="156"/>
      <c r="AG327" s="156"/>
      <c r="AH327" s="155"/>
      <c r="AI327" s="155"/>
      <c r="AJ327" s="155"/>
      <c r="AK327" s="156"/>
      <c r="AL327" s="156"/>
      <c r="AM327" s="155"/>
      <c r="AN327" s="155"/>
      <c r="AO327" s="155"/>
      <c r="AP327" s="156"/>
      <c r="AQ327" s="156"/>
      <c r="AR327" s="155"/>
      <c r="AS327" s="155"/>
      <c r="AT327" s="155"/>
      <c r="AU327" s="156"/>
      <c r="AV327" s="156"/>
      <c r="AW327" s="155"/>
      <c r="AX327" s="155"/>
      <c r="AY327" s="155"/>
      <c r="AZ327" s="156"/>
      <c r="BA327" s="156"/>
      <c r="BB327" s="155"/>
      <c r="BC327" s="155"/>
      <c r="BD327" s="155"/>
      <c r="BE327" s="155"/>
      <c r="BF327" s="155"/>
      <c r="BG327" s="158"/>
      <c r="BH327" s="158"/>
      <c r="BI327" s="155"/>
      <c r="BJ327" s="155"/>
      <c r="BK327" s="159"/>
      <c r="BL327" s="156"/>
      <c r="BM327" s="156"/>
      <c r="BN327" s="156"/>
      <c r="BO327" s="156"/>
      <c r="BP327" s="160"/>
      <c r="BQ327" s="160"/>
      <c r="BR327" s="160"/>
      <c r="BS327" s="160"/>
    </row>
    <row r="328" spans="1:71" x14ac:dyDescent="0.25">
      <c r="A328" s="154"/>
      <c r="B328" s="155"/>
      <c r="C328" s="155"/>
      <c r="D328" s="155"/>
      <c r="E328" s="156"/>
      <c r="F328" s="156"/>
      <c r="G328" s="155"/>
      <c r="H328" s="155"/>
      <c r="I328" s="155"/>
      <c r="J328" s="157"/>
      <c r="K328" s="157"/>
      <c r="L328" s="155"/>
      <c r="M328" s="155"/>
      <c r="N328" s="155"/>
      <c r="O328" s="156"/>
      <c r="P328" s="156"/>
      <c r="Q328" s="155"/>
      <c r="R328" s="155"/>
      <c r="S328" s="155"/>
      <c r="T328" s="156"/>
      <c r="U328" s="156"/>
      <c r="V328" s="155"/>
      <c r="W328" s="155"/>
      <c r="X328" s="155"/>
      <c r="Y328" s="155"/>
      <c r="Z328" s="155"/>
      <c r="AA328" s="156"/>
      <c r="AB328" s="156"/>
      <c r="AC328" s="155"/>
      <c r="AD328" s="155"/>
      <c r="AE328" s="155"/>
      <c r="AF328" s="156"/>
      <c r="AG328" s="156"/>
      <c r="AH328" s="155"/>
      <c r="AI328" s="155"/>
      <c r="AJ328" s="155"/>
      <c r="AK328" s="156"/>
      <c r="AL328" s="156"/>
      <c r="AM328" s="155"/>
      <c r="AN328" s="155"/>
      <c r="AO328" s="155"/>
      <c r="AP328" s="156"/>
      <c r="AQ328" s="156"/>
      <c r="AR328" s="155"/>
      <c r="AS328" s="155"/>
      <c r="AT328" s="155"/>
      <c r="AU328" s="156"/>
      <c r="AV328" s="156"/>
      <c r="AW328" s="155"/>
      <c r="AX328" s="155"/>
      <c r="AY328" s="155"/>
      <c r="AZ328" s="156"/>
      <c r="BA328" s="156"/>
      <c r="BB328" s="155"/>
      <c r="BC328" s="155"/>
      <c r="BD328" s="155"/>
      <c r="BE328" s="155"/>
      <c r="BF328" s="155"/>
      <c r="BG328" s="158"/>
      <c r="BH328" s="158"/>
      <c r="BI328" s="155"/>
      <c r="BJ328" s="155"/>
      <c r="BK328" s="159"/>
      <c r="BL328" s="156"/>
      <c r="BM328" s="156"/>
      <c r="BN328" s="156"/>
      <c r="BO328" s="156"/>
      <c r="BP328" s="160"/>
      <c r="BQ328" s="160"/>
      <c r="BR328" s="160"/>
      <c r="BS328" s="160"/>
    </row>
    <row r="329" spans="1:71" x14ac:dyDescent="0.25">
      <c r="A329" s="154"/>
      <c r="B329" s="155"/>
      <c r="C329" s="155"/>
      <c r="D329" s="155"/>
      <c r="E329" s="156"/>
      <c r="F329" s="156"/>
      <c r="G329" s="155"/>
      <c r="H329" s="155"/>
      <c r="I329" s="155"/>
      <c r="J329" s="157"/>
      <c r="K329" s="157"/>
      <c r="L329" s="155"/>
      <c r="M329" s="155"/>
      <c r="N329" s="155"/>
      <c r="O329" s="156"/>
      <c r="P329" s="156"/>
      <c r="Q329" s="155"/>
      <c r="R329" s="155"/>
      <c r="S329" s="155"/>
      <c r="T329" s="156"/>
      <c r="U329" s="156"/>
      <c r="V329" s="155"/>
      <c r="W329" s="155"/>
      <c r="X329" s="155"/>
      <c r="Y329" s="155"/>
      <c r="Z329" s="155"/>
      <c r="AA329" s="156"/>
      <c r="AB329" s="156"/>
      <c r="AC329" s="155"/>
      <c r="AD329" s="155"/>
      <c r="AE329" s="155"/>
      <c r="AF329" s="156"/>
      <c r="AG329" s="156"/>
      <c r="AH329" s="155"/>
      <c r="AI329" s="155"/>
      <c r="AJ329" s="155"/>
      <c r="AK329" s="156"/>
      <c r="AL329" s="156"/>
      <c r="AM329" s="155"/>
      <c r="AN329" s="155"/>
      <c r="AO329" s="155"/>
      <c r="AP329" s="156"/>
      <c r="AQ329" s="156"/>
      <c r="AR329" s="155"/>
      <c r="AS329" s="155"/>
      <c r="AT329" s="155"/>
      <c r="AU329" s="156"/>
      <c r="AV329" s="156"/>
      <c r="AW329" s="155"/>
      <c r="AX329" s="155"/>
      <c r="AY329" s="155"/>
      <c r="AZ329" s="156"/>
      <c r="BA329" s="156"/>
      <c r="BB329" s="155"/>
      <c r="BC329" s="155"/>
      <c r="BD329" s="155"/>
      <c r="BE329" s="155"/>
      <c r="BF329" s="155"/>
      <c r="BG329" s="158"/>
      <c r="BH329" s="158"/>
      <c r="BI329" s="155"/>
      <c r="BJ329" s="155"/>
      <c r="BK329" s="159"/>
      <c r="BL329" s="156"/>
      <c r="BM329" s="156"/>
      <c r="BN329" s="156"/>
      <c r="BO329" s="156"/>
      <c r="BP329" s="160"/>
      <c r="BQ329" s="160"/>
      <c r="BR329" s="160"/>
      <c r="BS329" s="160"/>
    </row>
    <row r="330" spans="1:71" x14ac:dyDescent="0.25">
      <c r="A330" s="154"/>
      <c r="B330" s="155"/>
      <c r="C330" s="155"/>
      <c r="D330" s="155"/>
      <c r="E330" s="156"/>
      <c r="F330" s="156"/>
      <c r="G330" s="155"/>
      <c r="H330" s="155"/>
      <c r="I330" s="155"/>
      <c r="J330" s="157"/>
      <c r="K330" s="157"/>
      <c r="L330" s="155"/>
      <c r="M330" s="155"/>
      <c r="N330" s="155"/>
      <c r="O330" s="156"/>
      <c r="P330" s="156"/>
      <c r="Q330" s="155"/>
      <c r="R330" s="155"/>
      <c r="S330" s="155"/>
      <c r="T330" s="156"/>
      <c r="U330" s="156"/>
      <c r="V330" s="155"/>
      <c r="W330" s="155"/>
      <c r="X330" s="155"/>
      <c r="Y330" s="155"/>
      <c r="Z330" s="155"/>
      <c r="AA330" s="156"/>
      <c r="AB330" s="156"/>
      <c r="AC330" s="155"/>
      <c r="AD330" s="155"/>
      <c r="AE330" s="155"/>
      <c r="AF330" s="156"/>
      <c r="AG330" s="156"/>
      <c r="AH330" s="155"/>
      <c r="AI330" s="155"/>
      <c r="AJ330" s="155"/>
      <c r="AK330" s="156"/>
      <c r="AL330" s="156"/>
      <c r="AM330" s="155"/>
      <c r="AN330" s="155"/>
      <c r="AO330" s="155"/>
      <c r="AP330" s="156"/>
      <c r="AQ330" s="156"/>
      <c r="AR330" s="155"/>
      <c r="AS330" s="155"/>
      <c r="AT330" s="155"/>
      <c r="AU330" s="156"/>
      <c r="AV330" s="156"/>
      <c r="AW330" s="155"/>
      <c r="AX330" s="155"/>
      <c r="AY330" s="155"/>
      <c r="AZ330" s="156"/>
      <c r="BA330" s="156"/>
      <c r="BB330" s="155"/>
      <c r="BC330" s="155"/>
      <c r="BD330" s="155"/>
      <c r="BE330" s="155"/>
      <c r="BF330" s="155"/>
      <c r="BG330" s="158"/>
      <c r="BH330" s="158"/>
      <c r="BI330" s="155"/>
      <c r="BJ330" s="155"/>
      <c r="BK330" s="159"/>
      <c r="BL330" s="156"/>
      <c r="BM330" s="156"/>
      <c r="BN330" s="156"/>
      <c r="BO330" s="156"/>
      <c r="BP330" s="160"/>
      <c r="BQ330" s="160"/>
      <c r="BR330" s="160"/>
      <c r="BS330" s="160"/>
    </row>
    <row r="331" spans="1:71" x14ac:dyDescent="0.25">
      <c r="A331" s="154"/>
      <c r="B331" s="155"/>
      <c r="C331" s="155"/>
      <c r="D331" s="155"/>
      <c r="E331" s="156"/>
      <c r="F331" s="156"/>
      <c r="G331" s="155"/>
      <c r="H331" s="155"/>
      <c r="I331" s="155"/>
      <c r="J331" s="157"/>
      <c r="K331" s="157"/>
      <c r="L331" s="155"/>
      <c r="M331" s="155"/>
      <c r="N331" s="155"/>
      <c r="O331" s="156"/>
      <c r="P331" s="156"/>
      <c r="Q331" s="155"/>
      <c r="R331" s="155"/>
      <c r="S331" s="155"/>
      <c r="T331" s="156"/>
      <c r="U331" s="156"/>
      <c r="V331" s="155"/>
      <c r="W331" s="155"/>
      <c r="X331" s="155"/>
      <c r="Y331" s="155"/>
      <c r="Z331" s="155"/>
      <c r="AA331" s="156"/>
      <c r="AB331" s="156"/>
      <c r="AC331" s="155"/>
      <c r="AD331" s="155"/>
      <c r="AE331" s="155"/>
      <c r="AF331" s="156"/>
      <c r="AG331" s="156"/>
      <c r="AH331" s="155"/>
      <c r="AI331" s="155"/>
      <c r="AJ331" s="155"/>
      <c r="AK331" s="156"/>
      <c r="AL331" s="156"/>
      <c r="AM331" s="155"/>
      <c r="AN331" s="155"/>
      <c r="AO331" s="155"/>
      <c r="AP331" s="156"/>
      <c r="AQ331" s="156"/>
      <c r="AR331" s="155"/>
      <c r="AS331" s="155"/>
      <c r="AT331" s="155"/>
      <c r="AU331" s="156"/>
      <c r="AV331" s="156"/>
      <c r="AW331" s="155"/>
      <c r="AX331" s="155"/>
      <c r="AY331" s="155"/>
      <c r="AZ331" s="156"/>
      <c r="BA331" s="156"/>
      <c r="BB331" s="155"/>
      <c r="BC331" s="155"/>
      <c r="BD331" s="155"/>
      <c r="BE331" s="155"/>
      <c r="BF331" s="155"/>
      <c r="BG331" s="158"/>
      <c r="BH331" s="158"/>
      <c r="BI331" s="155"/>
      <c r="BJ331" s="155"/>
      <c r="BK331" s="159"/>
      <c r="BL331" s="156"/>
      <c r="BM331" s="156"/>
      <c r="BN331" s="156"/>
      <c r="BO331" s="156"/>
      <c r="BP331" s="160"/>
      <c r="BQ331" s="160"/>
      <c r="BR331" s="160"/>
      <c r="BS331" s="160"/>
    </row>
    <row r="332" spans="1:71" x14ac:dyDescent="0.25">
      <c r="A332" s="154"/>
      <c r="B332" s="155"/>
      <c r="C332" s="155"/>
      <c r="D332" s="155"/>
      <c r="E332" s="156"/>
      <c r="F332" s="156"/>
      <c r="G332" s="155"/>
      <c r="H332" s="155"/>
      <c r="I332" s="155"/>
      <c r="J332" s="157"/>
      <c r="K332" s="157"/>
      <c r="L332" s="155"/>
      <c r="M332" s="155"/>
      <c r="N332" s="155"/>
      <c r="O332" s="156"/>
      <c r="P332" s="156"/>
      <c r="Q332" s="155"/>
      <c r="R332" s="155"/>
      <c r="S332" s="155"/>
      <c r="T332" s="156"/>
      <c r="U332" s="156"/>
      <c r="V332" s="155"/>
      <c r="W332" s="155"/>
      <c r="X332" s="155"/>
      <c r="Y332" s="155"/>
      <c r="Z332" s="155"/>
      <c r="AA332" s="156"/>
      <c r="AB332" s="156"/>
      <c r="AC332" s="155"/>
      <c r="AD332" s="155"/>
      <c r="AE332" s="155"/>
      <c r="AF332" s="156"/>
      <c r="AG332" s="156"/>
      <c r="AH332" s="155"/>
      <c r="AI332" s="155"/>
      <c r="AJ332" s="155"/>
      <c r="AK332" s="156"/>
      <c r="AL332" s="156"/>
      <c r="AM332" s="155"/>
      <c r="AN332" s="155"/>
      <c r="AO332" s="155"/>
      <c r="AP332" s="156"/>
      <c r="AQ332" s="156"/>
      <c r="AR332" s="155"/>
      <c r="AS332" s="155"/>
      <c r="AT332" s="155"/>
      <c r="AU332" s="156"/>
      <c r="AV332" s="156"/>
      <c r="AW332" s="155"/>
      <c r="AX332" s="155"/>
      <c r="AY332" s="155"/>
      <c r="AZ332" s="156"/>
      <c r="BA332" s="156"/>
      <c r="BB332" s="155"/>
      <c r="BC332" s="155"/>
      <c r="BD332" s="155"/>
      <c r="BE332" s="155"/>
      <c r="BF332" s="155"/>
      <c r="BG332" s="158"/>
      <c r="BH332" s="158"/>
      <c r="BI332" s="155"/>
      <c r="BJ332" s="155"/>
      <c r="BK332" s="159"/>
      <c r="BL332" s="156"/>
      <c r="BM332" s="156"/>
      <c r="BN332" s="156"/>
      <c r="BO332" s="156"/>
      <c r="BP332" s="160"/>
      <c r="BQ332" s="160"/>
      <c r="BR332" s="160"/>
      <c r="BS332" s="160"/>
    </row>
    <row r="333" spans="1:71" x14ac:dyDescent="0.25">
      <c r="A333" s="154"/>
      <c r="B333" s="155"/>
      <c r="C333" s="155"/>
      <c r="D333" s="155"/>
      <c r="E333" s="156"/>
      <c r="F333" s="156"/>
      <c r="G333" s="155"/>
      <c r="H333" s="155"/>
      <c r="I333" s="155"/>
      <c r="J333" s="157"/>
      <c r="K333" s="157"/>
      <c r="L333" s="155"/>
      <c r="M333" s="155"/>
      <c r="N333" s="155"/>
      <c r="O333" s="156"/>
      <c r="P333" s="156"/>
      <c r="Q333" s="155"/>
      <c r="R333" s="155"/>
      <c r="S333" s="155"/>
      <c r="T333" s="156"/>
      <c r="U333" s="156"/>
      <c r="V333" s="155"/>
      <c r="W333" s="155"/>
      <c r="X333" s="155"/>
      <c r="Y333" s="155"/>
      <c r="Z333" s="155"/>
      <c r="AA333" s="156"/>
      <c r="AB333" s="156"/>
      <c r="AC333" s="155"/>
      <c r="AD333" s="155"/>
      <c r="AE333" s="155"/>
      <c r="AF333" s="156"/>
      <c r="AG333" s="156"/>
      <c r="AH333" s="155"/>
      <c r="AI333" s="155"/>
      <c r="AJ333" s="155"/>
      <c r="AK333" s="156"/>
      <c r="AL333" s="156"/>
      <c r="AM333" s="155"/>
      <c r="AN333" s="155"/>
      <c r="AO333" s="155"/>
      <c r="AP333" s="156"/>
      <c r="AQ333" s="156"/>
      <c r="AR333" s="155"/>
      <c r="AS333" s="155"/>
      <c r="AT333" s="155"/>
      <c r="AU333" s="156"/>
      <c r="AV333" s="156"/>
      <c r="AW333" s="155"/>
      <c r="AX333" s="155"/>
      <c r="AY333" s="155"/>
      <c r="AZ333" s="156"/>
      <c r="BA333" s="156"/>
      <c r="BB333" s="155"/>
      <c r="BC333" s="155"/>
      <c r="BD333" s="155"/>
      <c r="BE333" s="155"/>
      <c r="BF333" s="155"/>
      <c r="BG333" s="158"/>
      <c r="BH333" s="158"/>
      <c r="BI333" s="155"/>
      <c r="BJ333" s="155"/>
      <c r="BK333" s="159"/>
      <c r="BL333" s="156"/>
      <c r="BM333" s="156"/>
      <c r="BN333" s="156"/>
      <c r="BO333" s="156"/>
      <c r="BP333" s="160"/>
      <c r="BQ333" s="160"/>
      <c r="BR333" s="160"/>
      <c r="BS333" s="160"/>
    </row>
    <row r="334" spans="1:71" x14ac:dyDescent="0.25">
      <c r="A334" s="154"/>
      <c r="B334" s="155"/>
      <c r="C334" s="155"/>
      <c r="D334" s="155"/>
      <c r="E334" s="156"/>
      <c r="F334" s="156"/>
      <c r="G334" s="155"/>
      <c r="H334" s="155"/>
      <c r="I334" s="155"/>
      <c r="J334" s="157"/>
      <c r="K334" s="157"/>
      <c r="L334" s="155"/>
      <c r="M334" s="155"/>
      <c r="N334" s="155"/>
      <c r="O334" s="156"/>
      <c r="P334" s="156"/>
      <c r="Q334" s="155"/>
      <c r="R334" s="155"/>
      <c r="S334" s="155"/>
      <c r="T334" s="156"/>
      <c r="U334" s="156"/>
      <c r="V334" s="155"/>
      <c r="W334" s="155"/>
      <c r="X334" s="155"/>
      <c r="Y334" s="155"/>
      <c r="Z334" s="155"/>
      <c r="AA334" s="156"/>
      <c r="AB334" s="156"/>
      <c r="AC334" s="155"/>
      <c r="AD334" s="155"/>
      <c r="AE334" s="155"/>
      <c r="AF334" s="156"/>
      <c r="AG334" s="156"/>
      <c r="AH334" s="155"/>
      <c r="AI334" s="155"/>
      <c r="AJ334" s="155"/>
      <c r="AK334" s="156"/>
      <c r="AL334" s="156"/>
      <c r="AM334" s="155"/>
      <c r="AN334" s="155"/>
      <c r="AO334" s="155"/>
      <c r="AP334" s="156"/>
      <c r="AQ334" s="156"/>
      <c r="AR334" s="155"/>
      <c r="AS334" s="155"/>
      <c r="AT334" s="155"/>
      <c r="AU334" s="156"/>
      <c r="AV334" s="156"/>
      <c r="AW334" s="155"/>
      <c r="AX334" s="155"/>
      <c r="AY334" s="155"/>
      <c r="AZ334" s="156"/>
      <c r="BA334" s="156"/>
      <c r="BB334" s="155"/>
      <c r="BC334" s="155"/>
      <c r="BD334" s="155"/>
      <c r="BE334" s="155"/>
      <c r="BF334" s="155"/>
      <c r="BG334" s="158"/>
      <c r="BH334" s="158"/>
      <c r="BI334" s="155"/>
      <c r="BJ334" s="155"/>
      <c r="BK334" s="159"/>
      <c r="BL334" s="156"/>
      <c r="BM334" s="156"/>
      <c r="BN334" s="156"/>
      <c r="BO334" s="156"/>
      <c r="BP334" s="160"/>
      <c r="BQ334" s="160"/>
      <c r="BR334" s="160"/>
      <c r="BS334" s="160"/>
    </row>
    <row r="335" spans="1:71" x14ac:dyDescent="0.25">
      <c r="A335" s="154"/>
      <c r="B335" s="155"/>
      <c r="C335" s="155"/>
      <c r="D335" s="155"/>
      <c r="E335" s="156"/>
      <c r="F335" s="156"/>
      <c r="G335" s="155"/>
      <c r="H335" s="155"/>
      <c r="I335" s="155"/>
      <c r="J335" s="157"/>
      <c r="K335" s="157"/>
      <c r="L335" s="155"/>
      <c r="M335" s="155"/>
      <c r="N335" s="155"/>
      <c r="O335" s="156"/>
      <c r="P335" s="156"/>
      <c r="Q335" s="155"/>
      <c r="R335" s="155"/>
      <c r="S335" s="155"/>
      <c r="T335" s="156"/>
      <c r="U335" s="156"/>
      <c r="V335" s="155"/>
      <c r="W335" s="155"/>
      <c r="X335" s="155"/>
      <c r="Y335" s="155"/>
      <c r="Z335" s="155"/>
      <c r="AA335" s="156"/>
      <c r="AB335" s="156"/>
      <c r="AC335" s="155"/>
      <c r="AD335" s="155"/>
      <c r="AE335" s="155"/>
      <c r="AF335" s="156"/>
      <c r="AG335" s="156"/>
      <c r="AH335" s="155"/>
      <c r="AI335" s="155"/>
      <c r="AJ335" s="155"/>
      <c r="AK335" s="156"/>
      <c r="AL335" s="156"/>
      <c r="AM335" s="155"/>
      <c r="AN335" s="155"/>
      <c r="AO335" s="155"/>
      <c r="AP335" s="156"/>
      <c r="AQ335" s="156"/>
      <c r="AR335" s="155"/>
      <c r="AS335" s="155"/>
      <c r="AT335" s="155"/>
      <c r="AU335" s="156"/>
      <c r="AV335" s="156"/>
      <c r="AW335" s="155"/>
      <c r="AX335" s="155"/>
      <c r="AY335" s="155"/>
      <c r="AZ335" s="156"/>
      <c r="BA335" s="156"/>
      <c r="BB335" s="155"/>
      <c r="BC335" s="155"/>
      <c r="BD335" s="155"/>
      <c r="BE335" s="155"/>
      <c r="BF335" s="155"/>
      <c r="BG335" s="158"/>
      <c r="BH335" s="158"/>
      <c r="BI335" s="155"/>
      <c r="BJ335" s="155"/>
      <c r="BK335" s="159"/>
      <c r="BL335" s="156"/>
      <c r="BM335" s="156"/>
      <c r="BN335" s="156"/>
      <c r="BO335" s="156"/>
      <c r="BP335" s="160"/>
      <c r="BQ335" s="160"/>
      <c r="BR335" s="160"/>
      <c r="BS335" s="160"/>
    </row>
    <row r="336" spans="1:71" x14ac:dyDescent="0.25">
      <c r="A336" s="154"/>
      <c r="B336" s="155"/>
      <c r="C336" s="155"/>
      <c r="D336" s="155"/>
      <c r="E336" s="156"/>
      <c r="F336" s="156"/>
      <c r="G336" s="155"/>
      <c r="H336" s="155"/>
      <c r="I336" s="155"/>
      <c r="J336" s="157"/>
      <c r="K336" s="157"/>
      <c r="L336" s="155"/>
      <c r="M336" s="155"/>
      <c r="N336" s="155"/>
      <c r="O336" s="156"/>
      <c r="P336" s="156"/>
      <c r="Q336" s="155"/>
      <c r="R336" s="155"/>
      <c r="S336" s="155"/>
      <c r="T336" s="156"/>
      <c r="U336" s="156"/>
      <c r="V336" s="155"/>
      <c r="W336" s="155"/>
      <c r="X336" s="155"/>
      <c r="Y336" s="155"/>
      <c r="Z336" s="155"/>
      <c r="AA336" s="156"/>
      <c r="AB336" s="156"/>
      <c r="AC336" s="155"/>
      <c r="AD336" s="155"/>
      <c r="AE336" s="155"/>
      <c r="AF336" s="156"/>
      <c r="AG336" s="156"/>
      <c r="AH336" s="155"/>
      <c r="AI336" s="155"/>
      <c r="AJ336" s="155"/>
      <c r="AK336" s="156"/>
      <c r="AL336" s="156"/>
      <c r="AM336" s="155"/>
      <c r="AN336" s="155"/>
      <c r="AO336" s="155"/>
      <c r="AP336" s="156"/>
      <c r="AQ336" s="156"/>
      <c r="AR336" s="155"/>
      <c r="AS336" s="155"/>
      <c r="AT336" s="155"/>
      <c r="AU336" s="156"/>
      <c r="AV336" s="156"/>
      <c r="AW336" s="155"/>
      <c r="AX336" s="155"/>
      <c r="AY336" s="155"/>
      <c r="AZ336" s="156"/>
      <c r="BA336" s="156"/>
      <c r="BB336" s="155"/>
      <c r="BC336" s="155"/>
      <c r="BD336" s="155"/>
      <c r="BE336" s="155"/>
      <c r="BF336" s="155"/>
      <c r="BG336" s="158"/>
      <c r="BH336" s="158"/>
      <c r="BI336" s="155"/>
      <c r="BJ336" s="155"/>
      <c r="BK336" s="159"/>
      <c r="BL336" s="156"/>
      <c r="BM336" s="156"/>
      <c r="BN336" s="156"/>
      <c r="BO336" s="156"/>
      <c r="BP336" s="160"/>
      <c r="BQ336" s="160"/>
      <c r="BR336" s="160"/>
      <c r="BS336" s="160"/>
    </row>
    <row r="337" spans="1:71" x14ac:dyDescent="0.25">
      <c r="A337" s="154"/>
      <c r="B337" s="155"/>
      <c r="C337" s="155"/>
      <c r="D337" s="155"/>
      <c r="E337" s="156"/>
      <c r="F337" s="156"/>
      <c r="G337" s="155"/>
      <c r="H337" s="155"/>
      <c r="I337" s="155"/>
      <c r="J337" s="157"/>
      <c r="K337" s="157"/>
      <c r="L337" s="155"/>
      <c r="M337" s="155"/>
      <c r="N337" s="155"/>
      <c r="O337" s="156"/>
      <c r="P337" s="156"/>
      <c r="Q337" s="155"/>
      <c r="R337" s="155"/>
      <c r="S337" s="155"/>
      <c r="T337" s="156"/>
      <c r="U337" s="156"/>
      <c r="V337" s="155"/>
      <c r="W337" s="155"/>
      <c r="X337" s="155"/>
      <c r="Y337" s="155"/>
      <c r="Z337" s="155"/>
      <c r="AA337" s="156"/>
      <c r="AB337" s="156"/>
      <c r="AC337" s="155"/>
      <c r="AD337" s="155"/>
      <c r="AE337" s="155"/>
      <c r="AF337" s="156"/>
      <c r="AG337" s="156"/>
      <c r="AH337" s="155"/>
      <c r="AI337" s="155"/>
      <c r="AJ337" s="155"/>
      <c r="AK337" s="156"/>
      <c r="AL337" s="156"/>
      <c r="AM337" s="155"/>
      <c r="AN337" s="155"/>
      <c r="AO337" s="155"/>
      <c r="AP337" s="156"/>
      <c r="AQ337" s="156"/>
      <c r="AR337" s="155"/>
      <c r="AS337" s="155"/>
      <c r="AT337" s="155"/>
      <c r="AU337" s="156"/>
      <c r="AV337" s="156"/>
      <c r="AW337" s="155"/>
      <c r="AX337" s="155"/>
      <c r="AY337" s="155"/>
      <c r="AZ337" s="156"/>
      <c r="BA337" s="156"/>
      <c r="BB337" s="155"/>
      <c r="BC337" s="155"/>
      <c r="BD337" s="155"/>
      <c r="BE337" s="155"/>
      <c r="BF337" s="155"/>
      <c r="BG337" s="158"/>
      <c r="BH337" s="158"/>
      <c r="BI337" s="155"/>
      <c r="BJ337" s="155"/>
      <c r="BK337" s="159"/>
      <c r="BL337" s="156"/>
      <c r="BM337" s="156"/>
      <c r="BN337" s="156"/>
      <c r="BO337" s="156"/>
      <c r="BP337" s="160"/>
      <c r="BQ337" s="160"/>
      <c r="BR337" s="160"/>
      <c r="BS337" s="160"/>
    </row>
    <row r="338" spans="1:71" x14ac:dyDescent="0.25">
      <c r="A338" s="154"/>
      <c r="B338" s="155"/>
      <c r="C338" s="155"/>
      <c r="D338" s="155"/>
      <c r="E338" s="156"/>
      <c r="F338" s="156"/>
      <c r="G338" s="155"/>
      <c r="H338" s="155"/>
      <c r="I338" s="155"/>
      <c r="J338" s="157"/>
      <c r="K338" s="157"/>
      <c r="L338" s="155"/>
      <c r="M338" s="155"/>
      <c r="N338" s="155"/>
      <c r="O338" s="156"/>
      <c r="P338" s="156"/>
      <c r="Q338" s="155"/>
      <c r="R338" s="155"/>
      <c r="S338" s="155"/>
      <c r="T338" s="156"/>
      <c r="U338" s="156"/>
      <c r="V338" s="155"/>
      <c r="W338" s="155"/>
      <c r="X338" s="155"/>
      <c r="Y338" s="155"/>
      <c r="Z338" s="155"/>
      <c r="AA338" s="156"/>
      <c r="AB338" s="156"/>
      <c r="AC338" s="155"/>
      <c r="AD338" s="155"/>
      <c r="AE338" s="155"/>
      <c r="AF338" s="156"/>
      <c r="AG338" s="156"/>
      <c r="AH338" s="155"/>
      <c r="AI338" s="155"/>
      <c r="AJ338" s="155"/>
      <c r="AK338" s="156"/>
      <c r="AL338" s="156"/>
      <c r="AM338" s="155"/>
      <c r="AN338" s="155"/>
      <c r="AO338" s="155"/>
      <c r="AP338" s="156"/>
      <c r="AQ338" s="156"/>
      <c r="AR338" s="155"/>
      <c r="AS338" s="155"/>
      <c r="AT338" s="155"/>
      <c r="AU338" s="156"/>
      <c r="AV338" s="156"/>
      <c r="AW338" s="155"/>
      <c r="AX338" s="155"/>
      <c r="AY338" s="155"/>
      <c r="AZ338" s="156"/>
      <c r="BA338" s="156"/>
      <c r="BB338" s="155"/>
      <c r="BC338" s="155"/>
      <c r="BD338" s="155"/>
      <c r="BE338" s="155"/>
      <c r="BF338" s="155"/>
      <c r="BG338" s="158"/>
      <c r="BH338" s="158"/>
      <c r="BI338" s="155"/>
      <c r="BJ338" s="155"/>
      <c r="BK338" s="159"/>
      <c r="BL338" s="156"/>
      <c r="BM338" s="156"/>
      <c r="BN338" s="156"/>
      <c r="BO338" s="156"/>
      <c r="BP338" s="160"/>
      <c r="BQ338" s="160"/>
      <c r="BR338" s="160"/>
      <c r="BS338" s="160"/>
    </row>
    <row r="339" spans="1:71" x14ac:dyDescent="0.25">
      <c r="A339" s="154"/>
      <c r="B339" s="155"/>
      <c r="C339" s="155"/>
      <c r="D339" s="155"/>
      <c r="E339" s="156"/>
      <c r="F339" s="156"/>
      <c r="G339" s="155"/>
      <c r="H339" s="155"/>
      <c r="I339" s="155"/>
      <c r="J339" s="157"/>
      <c r="K339" s="157"/>
      <c r="L339" s="155"/>
      <c r="M339" s="155"/>
      <c r="N339" s="155"/>
      <c r="O339" s="156"/>
      <c r="P339" s="156"/>
      <c r="Q339" s="155"/>
      <c r="R339" s="155"/>
      <c r="S339" s="155"/>
      <c r="T339" s="156"/>
      <c r="U339" s="156"/>
      <c r="V339" s="155"/>
      <c r="W339" s="155"/>
      <c r="X339" s="155"/>
      <c r="Y339" s="155"/>
      <c r="Z339" s="155"/>
      <c r="AA339" s="156"/>
      <c r="AB339" s="156"/>
      <c r="AC339" s="155"/>
      <c r="AD339" s="155"/>
      <c r="AE339" s="155"/>
      <c r="AF339" s="156"/>
      <c r="AG339" s="156"/>
      <c r="AH339" s="155"/>
      <c r="AI339" s="155"/>
      <c r="AJ339" s="155"/>
      <c r="AK339" s="156"/>
      <c r="AL339" s="156"/>
      <c r="AM339" s="155"/>
      <c r="AN339" s="155"/>
      <c r="AO339" s="155"/>
      <c r="AP339" s="156"/>
      <c r="AQ339" s="156"/>
      <c r="AR339" s="155"/>
      <c r="AS339" s="155"/>
      <c r="AT339" s="155"/>
      <c r="AU339" s="156"/>
      <c r="AV339" s="156"/>
      <c r="AW339" s="155"/>
      <c r="AX339" s="155"/>
      <c r="AY339" s="155"/>
      <c r="AZ339" s="156"/>
      <c r="BA339" s="156"/>
      <c r="BB339" s="155"/>
      <c r="BC339" s="155"/>
      <c r="BD339" s="155"/>
      <c r="BE339" s="155"/>
      <c r="BF339" s="155"/>
      <c r="BG339" s="158"/>
      <c r="BH339" s="158"/>
      <c r="BI339" s="155"/>
      <c r="BJ339" s="155"/>
      <c r="BK339" s="159"/>
      <c r="BL339" s="156"/>
      <c r="BM339" s="156"/>
      <c r="BN339" s="156"/>
      <c r="BO339" s="156"/>
      <c r="BP339" s="160"/>
      <c r="BQ339" s="160"/>
      <c r="BR339" s="160"/>
      <c r="BS339" s="160"/>
    </row>
    <row r="340" spans="1:71" x14ac:dyDescent="0.25">
      <c r="A340" s="154"/>
      <c r="B340" s="155"/>
      <c r="C340" s="155"/>
      <c r="D340" s="155"/>
      <c r="E340" s="156"/>
      <c r="F340" s="156"/>
      <c r="G340" s="155"/>
      <c r="H340" s="155"/>
      <c r="I340" s="155"/>
      <c r="J340" s="157"/>
      <c r="K340" s="157"/>
      <c r="L340" s="155"/>
      <c r="M340" s="155"/>
      <c r="N340" s="155"/>
      <c r="O340" s="156"/>
      <c r="P340" s="156"/>
      <c r="Q340" s="155"/>
      <c r="R340" s="155"/>
      <c r="S340" s="155"/>
      <c r="T340" s="156"/>
      <c r="U340" s="156"/>
      <c r="V340" s="155"/>
      <c r="W340" s="155"/>
      <c r="X340" s="155"/>
      <c r="Y340" s="155"/>
      <c r="Z340" s="155"/>
      <c r="AA340" s="156"/>
      <c r="AB340" s="156"/>
      <c r="AC340" s="155"/>
      <c r="AD340" s="155"/>
      <c r="AE340" s="155"/>
      <c r="AF340" s="156"/>
      <c r="AG340" s="156"/>
      <c r="AH340" s="155"/>
      <c r="AI340" s="155"/>
      <c r="AJ340" s="155"/>
      <c r="AK340" s="156"/>
      <c r="AL340" s="156"/>
      <c r="AM340" s="155"/>
      <c r="AN340" s="155"/>
      <c r="AO340" s="155"/>
      <c r="AP340" s="156"/>
      <c r="AQ340" s="156"/>
      <c r="AR340" s="155"/>
      <c r="AS340" s="155"/>
      <c r="AT340" s="155"/>
      <c r="AU340" s="156"/>
      <c r="AV340" s="156"/>
      <c r="AW340" s="155"/>
      <c r="AX340" s="155"/>
      <c r="AY340" s="155"/>
      <c r="AZ340" s="156"/>
      <c r="BA340" s="156"/>
      <c r="BB340" s="155"/>
      <c r="BC340" s="155"/>
      <c r="BD340" s="155"/>
      <c r="BE340" s="155"/>
      <c r="BF340" s="155"/>
      <c r="BG340" s="158"/>
      <c r="BH340" s="158"/>
      <c r="BI340" s="155"/>
      <c r="BJ340" s="155"/>
      <c r="BK340" s="159"/>
      <c r="BL340" s="156"/>
      <c r="BM340" s="156"/>
      <c r="BN340" s="156"/>
      <c r="BO340" s="156"/>
      <c r="BP340" s="160"/>
      <c r="BQ340" s="160"/>
      <c r="BR340" s="160"/>
      <c r="BS340" s="160"/>
    </row>
    <row r="341" spans="1:71" x14ac:dyDescent="0.25">
      <c r="A341" s="154"/>
      <c r="B341" s="155"/>
      <c r="C341" s="155"/>
      <c r="D341" s="155"/>
      <c r="E341" s="156"/>
      <c r="F341" s="156"/>
      <c r="G341" s="155"/>
      <c r="H341" s="155"/>
      <c r="I341" s="155"/>
      <c r="J341" s="157"/>
      <c r="K341" s="157"/>
      <c r="L341" s="155"/>
      <c r="M341" s="155"/>
      <c r="N341" s="155"/>
      <c r="O341" s="156"/>
      <c r="P341" s="156"/>
      <c r="Q341" s="155"/>
      <c r="R341" s="155"/>
      <c r="S341" s="155"/>
      <c r="T341" s="156"/>
      <c r="U341" s="156"/>
      <c r="V341" s="155"/>
      <c r="W341" s="155"/>
      <c r="X341" s="155"/>
      <c r="Y341" s="155"/>
      <c r="Z341" s="155"/>
      <c r="AA341" s="156"/>
      <c r="AB341" s="156"/>
      <c r="AC341" s="155"/>
      <c r="AD341" s="155"/>
      <c r="AE341" s="155"/>
      <c r="AF341" s="156"/>
      <c r="AG341" s="156"/>
      <c r="AH341" s="155"/>
      <c r="AI341" s="155"/>
      <c r="AJ341" s="155"/>
      <c r="AK341" s="156"/>
      <c r="AL341" s="156"/>
      <c r="AM341" s="155"/>
      <c r="AN341" s="155"/>
      <c r="AO341" s="155"/>
      <c r="AP341" s="156"/>
      <c r="AQ341" s="156"/>
      <c r="AR341" s="155"/>
      <c r="AS341" s="155"/>
      <c r="AT341" s="155"/>
      <c r="AU341" s="156"/>
      <c r="AV341" s="156"/>
      <c r="AW341" s="155"/>
      <c r="AX341" s="155"/>
      <c r="AY341" s="155"/>
      <c r="AZ341" s="156"/>
      <c r="BA341" s="156"/>
      <c r="BB341" s="155"/>
      <c r="BC341" s="155"/>
      <c r="BD341" s="155"/>
      <c r="BE341" s="155"/>
      <c r="BF341" s="155"/>
      <c r="BG341" s="158"/>
      <c r="BH341" s="158"/>
      <c r="BI341" s="155"/>
      <c r="BJ341" s="155"/>
      <c r="BK341" s="159"/>
      <c r="BL341" s="156"/>
      <c r="BM341" s="156"/>
      <c r="BN341" s="156"/>
      <c r="BO341" s="156"/>
      <c r="BP341" s="160"/>
      <c r="BQ341" s="160"/>
      <c r="BR341" s="160"/>
      <c r="BS341" s="160"/>
    </row>
    <row r="342" spans="1:71" x14ac:dyDescent="0.25">
      <c r="A342" s="154"/>
      <c r="B342" s="155"/>
      <c r="C342" s="155"/>
      <c r="D342" s="155"/>
      <c r="E342" s="156"/>
      <c r="F342" s="156"/>
      <c r="G342" s="155"/>
      <c r="H342" s="155"/>
      <c r="I342" s="155"/>
      <c r="J342" s="157"/>
      <c r="K342" s="157"/>
      <c r="L342" s="155"/>
      <c r="M342" s="155"/>
      <c r="N342" s="155"/>
      <c r="O342" s="156"/>
      <c r="P342" s="156"/>
      <c r="Q342" s="155"/>
      <c r="R342" s="155"/>
      <c r="S342" s="155"/>
      <c r="T342" s="156"/>
      <c r="U342" s="156"/>
      <c r="V342" s="155"/>
      <c r="W342" s="155"/>
      <c r="X342" s="155"/>
      <c r="Y342" s="155"/>
      <c r="Z342" s="155"/>
      <c r="AA342" s="156"/>
      <c r="AB342" s="156"/>
      <c r="AC342" s="155"/>
      <c r="AD342" s="155"/>
      <c r="AE342" s="155"/>
      <c r="AF342" s="156"/>
      <c r="AG342" s="156"/>
      <c r="AH342" s="155"/>
      <c r="AI342" s="155"/>
      <c r="AJ342" s="155"/>
      <c r="AK342" s="156"/>
      <c r="AL342" s="156"/>
      <c r="AM342" s="155"/>
      <c r="AN342" s="155"/>
      <c r="AO342" s="155"/>
      <c r="AP342" s="156"/>
      <c r="AQ342" s="156"/>
      <c r="AR342" s="155"/>
      <c r="AS342" s="155"/>
      <c r="AT342" s="155"/>
      <c r="AU342" s="156"/>
      <c r="AV342" s="156"/>
      <c r="AW342" s="155"/>
      <c r="AX342" s="155"/>
      <c r="AY342" s="155"/>
      <c r="AZ342" s="156"/>
      <c r="BA342" s="156"/>
      <c r="BB342" s="155"/>
      <c r="BC342" s="155"/>
      <c r="BD342" s="155"/>
      <c r="BE342" s="155"/>
      <c r="BF342" s="155"/>
      <c r="BG342" s="158"/>
      <c r="BH342" s="158"/>
      <c r="BI342" s="155"/>
      <c r="BJ342" s="155"/>
      <c r="BK342" s="159"/>
      <c r="BL342" s="156"/>
      <c r="BM342" s="156"/>
      <c r="BN342" s="156"/>
      <c r="BO342" s="156"/>
      <c r="BP342" s="160"/>
      <c r="BQ342" s="160"/>
      <c r="BR342" s="160"/>
      <c r="BS342" s="160"/>
    </row>
    <row r="343" spans="1:71" x14ac:dyDescent="0.25">
      <c r="A343" s="154"/>
      <c r="B343" s="155"/>
      <c r="C343" s="155"/>
      <c r="D343" s="155"/>
      <c r="E343" s="156"/>
      <c r="F343" s="156"/>
      <c r="G343" s="155"/>
      <c r="H343" s="155"/>
      <c r="I343" s="155"/>
      <c r="J343" s="157"/>
      <c r="K343" s="157"/>
      <c r="L343" s="155"/>
      <c r="M343" s="155"/>
      <c r="N343" s="155"/>
      <c r="O343" s="156"/>
      <c r="P343" s="156"/>
      <c r="Q343" s="155"/>
      <c r="R343" s="155"/>
      <c r="S343" s="155"/>
      <c r="T343" s="156"/>
      <c r="U343" s="156"/>
      <c r="V343" s="155"/>
      <c r="W343" s="155"/>
      <c r="X343" s="155"/>
      <c r="Y343" s="155"/>
      <c r="Z343" s="155"/>
      <c r="AA343" s="156"/>
      <c r="AB343" s="156"/>
      <c r="AC343" s="155"/>
      <c r="AD343" s="155"/>
      <c r="AE343" s="155"/>
      <c r="AF343" s="156"/>
      <c r="AG343" s="156"/>
      <c r="AH343" s="155"/>
      <c r="AI343" s="155"/>
      <c r="AJ343" s="155"/>
      <c r="AK343" s="156"/>
      <c r="AL343" s="156"/>
      <c r="AM343" s="155"/>
      <c r="AN343" s="155"/>
      <c r="AO343" s="155"/>
      <c r="AP343" s="156"/>
      <c r="AQ343" s="156"/>
      <c r="AR343" s="155"/>
      <c r="AS343" s="155"/>
      <c r="AT343" s="155"/>
      <c r="AU343" s="156"/>
      <c r="AV343" s="156"/>
      <c r="AW343" s="155"/>
      <c r="AX343" s="155"/>
      <c r="AY343" s="155"/>
      <c r="AZ343" s="156"/>
      <c r="BA343" s="156"/>
      <c r="BB343" s="155"/>
      <c r="BC343" s="155"/>
      <c r="BD343" s="155"/>
      <c r="BE343" s="155"/>
      <c r="BF343" s="155"/>
      <c r="BG343" s="158"/>
      <c r="BH343" s="158"/>
      <c r="BI343" s="155"/>
      <c r="BJ343" s="155"/>
      <c r="BK343" s="159"/>
      <c r="BL343" s="156"/>
      <c r="BM343" s="156"/>
      <c r="BN343" s="156"/>
      <c r="BO343" s="156"/>
      <c r="BP343" s="160"/>
      <c r="BQ343" s="160"/>
      <c r="BR343" s="160"/>
      <c r="BS343" s="160"/>
    </row>
    <row r="344" spans="1:71" x14ac:dyDescent="0.25">
      <c r="A344" s="154"/>
      <c r="B344" s="155"/>
      <c r="C344" s="155"/>
      <c r="D344" s="155"/>
      <c r="E344" s="156"/>
      <c r="F344" s="156"/>
      <c r="G344" s="155"/>
      <c r="H344" s="155"/>
      <c r="I344" s="155"/>
      <c r="J344" s="157"/>
      <c r="K344" s="157"/>
      <c r="L344" s="155"/>
      <c r="M344" s="155"/>
      <c r="N344" s="155"/>
      <c r="O344" s="156"/>
      <c r="P344" s="156"/>
      <c r="Q344" s="155"/>
      <c r="R344" s="155"/>
      <c r="S344" s="155"/>
      <c r="T344" s="156"/>
      <c r="U344" s="156"/>
      <c r="V344" s="155"/>
      <c r="W344" s="155"/>
      <c r="X344" s="155"/>
      <c r="Y344" s="155"/>
      <c r="Z344" s="155"/>
      <c r="AA344" s="156"/>
      <c r="AB344" s="156"/>
      <c r="AC344" s="155"/>
      <c r="AD344" s="155"/>
      <c r="AE344" s="155"/>
      <c r="AF344" s="156"/>
      <c r="AG344" s="156"/>
      <c r="AH344" s="155"/>
      <c r="AI344" s="155"/>
      <c r="AJ344" s="155"/>
      <c r="AK344" s="156"/>
      <c r="AL344" s="156"/>
      <c r="AM344" s="155"/>
      <c r="AN344" s="155"/>
      <c r="AO344" s="155"/>
      <c r="AP344" s="156"/>
      <c r="AQ344" s="156"/>
      <c r="AR344" s="155"/>
      <c r="AS344" s="155"/>
      <c r="AT344" s="155"/>
      <c r="AU344" s="156"/>
      <c r="AV344" s="156"/>
      <c r="AW344" s="155"/>
      <c r="AX344" s="155"/>
      <c r="AY344" s="155"/>
      <c r="AZ344" s="156"/>
      <c r="BA344" s="156"/>
      <c r="BB344" s="155"/>
      <c r="BC344" s="155"/>
      <c r="BD344" s="155"/>
      <c r="BE344" s="155"/>
      <c r="BF344" s="155"/>
      <c r="BG344" s="158"/>
      <c r="BH344" s="158"/>
      <c r="BI344" s="155"/>
      <c r="BJ344" s="155"/>
      <c r="BK344" s="159"/>
      <c r="BL344" s="156"/>
      <c r="BM344" s="156"/>
      <c r="BN344" s="156"/>
      <c r="BO344" s="156"/>
      <c r="BP344" s="160"/>
      <c r="BQ344" s="160"/>
      <c r="BR344" s="160"/>
      <c r="BS344" s="160"/>
    </row>
    <row r="345" spans="1:71" x14ac:dyDescent="0.25">
      <c r="A345" s="154"/>
      <c r="B345" s="155"/>
      <c r="C345" s="155"/>
      <c r="D345" s="155"/>
      <c r="E345" s="156"/>
      <c r="F345" s="156"/>
      <c r="G345" s="155"/>
      <c r="H345" s="155"/>
      <c r="I345" s="155"/>
      <c r="J345" s="157"/>
      <c r="K345" s="157"/>
      <c r="L345" s="155"/>
      <c r="M345" s="155"/>
      <c r="N345" s="155"/>
      <c r="O345" s="156"/>
      <c r="P345" s="156"/>
      <c r="Q345" s="155"/>
      <c r="R345" s="155"/>
      <c r="S345" s="155"/>
      <c r="T345" s="156"/>
      <c r="U345" s="156"/>
      <c r="V345" s="155"/>
      <c r="W345" s="155"/>
      <c r="X345" s="155"/>
      <c r="Y345" s="155"/>
      <c r="Z345" s="155"/>
      <c r="AA345" s="156"/>
      <c r="AB345" s="156"/>
      <c r="AC345" s="155"/>
      <c r="AD345" s="155"/>
      <c r="AE345" s="155"/>
      <c r="AF345" s="156"/>
      <c r="AG345" s="156"/>
      <c r="AH345" s="155"/>
      <c r="AI345" s="155"/>
      <c r="AJ345" s="155"/>
      <c r="AK345" s="156"/>
      <c r="AL345" s="156"/>
      <c r="AM345" s="155"/>
      <c r="AN345" s="155"/>
      <c r="AO345" s="155"/>
      <c r="AP345" s="156"/>
      <c r="AQ345" s="156"/>
      <c r="AR345" s="155"/>
      <c r="AS345" s="155"/>
      <c r="AT345" s="155"/>
      <c r="AU345" s="156"/>
      <c r="AV345" s="156"/>
      <c r="AW345" s="155"/>
      <c r="AX345" s="155"/>
      <c r="AY345" s="155"/>
      <c r="AZ345" s="156"/>
      <c r="BA345" s="156"/>
      <c r="BB345" s="155"/>
      <c r="BC345" s="155"/>
      <c r="BD345" s="155"/>
      <c r="BE345" s="155"/>
      <c r="BF345" s="155"/>
      <c r="BG345" s="158"/>
      <c r="BH345" s="158"/>
      <c r="BI345" s="155"/>
      <c r="BJ345" s="155"/>
      <c r="BK345" s="159"/>
      <c r="BL345" s="156"/>
      <c r="BM345" s="156"/>
      <c r="BN345" s="156"/>
      <c r="BO345" s="156"/>
      <c r="BP345" s="160"/>
      <c r="BQ345" s="160"/>
      <c r="BR345" s="160"/>
      <c r="BS345" s="160"/>
    </row>
    <row r="346" spans="1:71" x14ac:dyDescent="0.25">
      <c r="A346" s="154"/>
      <c r="B346" s="155"/>
      <c r="C346" s="155"/>
      <c r="D346" s="155"/>
      <c r="E346" s="156"/>
      <c r="F346" s="156"/>
      <c r="G346" s="155"/>
      <c r="H346" s="155"/>
      <c r="I346" s="155"/>
      <c r="J346" s="157"/>
      <c r="K346" s="157"/>
      <c r="L346" s="155"/>
      <c r="M346" s="155"/>
      <c r="N346" s="155"/>
      <c r="O346" s="156"/>
      <c r="P346" s="156"/>
      <c r="Q346" s="155"/>
      <c r="R346" s="155"/>
      <c r="S346" s="155"/>
      <c r="T346" s="156"/>
      <c r="U346" s="156"/>
      <c r="V346" s="155"/>
      <c r="W346" s="155"/>
      <c r="X346" s="155"/>
      <c r="Y346" s="155"/>
      <c r="Z346" s="155"/>
      <c r="AA346" s="156"/>
      <c r="AB346" s="156"/>
      <c r="AC346" s="155"/>
      <c r="AD346" s="155"/>
      <c r="AE346" s="155"/>
      <c r="AF346" s="156"/>
      <c r="AG346" s="156"/>
      <c r="AH346" s="155"/>
      <c r="AI346" s="155"/>
      <c r="AJ346" s="155"/>
      <c r="AK346" s="156"/>
      <c r="AL346" s="156"/>
      <c r="AM346" s="155"/>
      <c r="AN346" s="155"/>
      <c r="AO346" s="155"/>
      <c r="AP346" s="156"/>
      <c r="AQ346" s="156"/>
      <c r="AR346" s="155"/>
      <c r="AS346" s="155"/>
      <c r="AT346" s="155"/>
      <c r="AU346" s="156"/>
      <c r="AV346" s="156"/>
      <c r="AW346" s="155"/>
      <c r="AX346" s="155"/>
      <c r="AY346" s="155"/>
      <c r="AZ346" s="156"/>
      <c r="BA346" s="156"/>
      <c r="BB346" s="155"/>
      <c r="BC346" s="155"/>
      <c r="BD346" s="155"/>
      <c r="BE346" s="155"/>
      <c r="BF346" s="155"/>
      <c r="BG346" s="158"/>
      <c r="BH346" s="158"/>
      <c r="BI346" s="155"/>
      <c r="BJ346" s="155"/>
      <c r="BK346" s="159"/>
      <c r="BL346" s="156"/>
      <c r="BM346" s="156"/>
      <c r="BN346" s="156"/>
      <c r="BO346" s="156"/>
      <c r="BP346" s="160"/>
      <c r="BQ346" s="160"/>
      <c r="BR346" s="160"/>
      <c r="BS346" s="160"/>
    </row>
    <row r="347" spans="1:71" x14ac:dyDescent="0.25">
      <c r="A347" s="154"/>
      <c r="B347" s="155"/>
      <c r="C347" s="155"/>
      <c r="D347" s="155"/>
      <c r="E347" s="156"/>
      <c r="F347" s="156"/>
      <c r="G347" s="155"/>
      <c r="H347" s="155"/>
      <c r="I347" s="155"/>
      <c r="J347" s="157"/>
      <c r="K347" s="157"/>
      <c r="L347" s="155"/>
      <c r="M347" s="155"/>
      <c r="N347" s="155"/>
      <c r="O347" s="156"/>
      <c r="P347" s="156"/>
      <c r="Q347" s="155"/>
      <c r="R347" s="155"/>
      <c r="S347" s="155"/>
      <c r="T347" s="156"/>
      <c r="U347" s="156"/>
      <c r="V347" s="155"/>
      <c r="W347" s="155"/>
      <c r="X347" s="155"/>
      <c r="Y347" s="155"/>
      <c r="Z347" s="155"/>
      <c r="AA347" s="156"/>
      <c r="AB347" s="156"/>
      <c r="AC347" s="155"/>
      <c r="AD347" s="155"/>
      <c r="AE347" s="155"/>
      <c r="AF347" s="156"/>
      <c r="AG347" s="156"/>
      <c r="AH347" s="155"/>
      <c r="AI347" s="155"/>
      <c r="AJ347" s="155"/>
      <c r="AK347" s="156"/>
      <c r="AL347" s="156"/>
      <c r="AM347" s="155"/>
      <c r="AN347" s="155"/>
      <c r="AO347" s="155"/>
      <c r="AP347" s="156"/>
      <c r="AQ347" s="156"/>
      <c r="AR347" s="155"/>
      <c r="AS347" s="155"/>
      <c r="AT347" s="155"/>
      <c r="AU347" s="156"/>
      <c r="AV347" s="156"/>
      <c r="AW347" s="155"/>
      <c r="AX347" s="155"/>
      <c r="AY347" s="155"/>
      <c r="AZ347" s="156"/>
      <c r="BA347" s="156"/>
      <c r="BB347" s="155"/>
      <c r="BC347" s="155"/>
      <c r="BD347" s="155"/>
      <c r="BE347" s="155"/>
      <c r="BF347" s="155"/>
      <c r="BG347" s="158"/>
      <c r="BH347" s="158"/>
      <c r="BI347" s="155"/>
      <c r="BJ347" s="155"/>
      <c r="BK347" s="159"/>
      <c r="BL347" s="156"/>
      <c r="BM347" s="156"/>
      <c r="BN347" s="156"/>
      <c r="BO347" s="156"/>
      <c r="BP347" s="160"/>
      <c r="BQ347" s="160"/>
      <c r="BR347" s="160"/>
      <c r="BS347" s="160"/>
    </row>
    <row r="348" spans="1:71" x14ac:dyDescent="0.25">
      <c r="A348" s="154"/>
      <c r="B348" s="155"/>
      <c r="C348" s="155"/>
      <c r="D348" s="155"/>
      <c r="E348" s="156"/>
      <c r="F348" s="156"/>
      <c r="G348" s="155"/>
      <c r="H348" s="155"/>
      <c r="I348" s="155"/>
      <c r="J348" s="157"/>
      <c r="K348" s="157"/>
      <c r="L348" s="155"/>
      <c r="M348" s="155"/>
      <c r="N348" s="155"/>
      <c r="O348" s="156"/>
      <c r="P348" s="156"/>
      <c r="Q348" s="155"/>
      <c r="R348" s="155"/>
      <c r="S348" s="155"/>
      <c r="T348" s="156"/>
      <c r="U348" s="156"/>
      <c r="V348" s="155"/>
      <c r="W348" s="155"/>
      <c r="X348" s="155"/>
      <c r="Y348" s="155"/>
      <c r="Z348" s="155"/>
      <c r="AA348" s="156"/>
      <c r="AB348" s="156"/>
      <c r="AC348" s="155"/>
      <c r="AD348" s="155"/>
      <c r="AE348" s="155"/>
      <c r="AF348" s="156"/>
      <c r="AG348" s="156"/>
      <c r="AH348" s="155"/>
      <c r="AI348" s="155"/>
      <c r="AJ348" s="155"/>
      <c r="AK348" s="156"/>
      <c r="AL348" s="156"/>
      <c r="AM348" s="155"/>
      <c r="AN348" s="155"/>
      <c r="AO348" s="155"/>
      <c r="AP348" s="156"/>
      <c r="AQ348" s="156"/>
      <c r="AR348" s="155"/>
      <c r="AS348" s="155"/>
      <c r="AT348" s="155"/>
      <c r="AU348" s="156"/>
      <c r="AV348" s="156"/>
      <c r="AW348" s="155"/>
      <c r="AX348" s="155"/>
      <c r="AY348" s="155"/>
      <c r="AZ348" s="156"/>
      <c r="BA348" s="156"/>
      <c r="BB348" s="155"/>
      <c r="BC348" s="155"/>
      <c r="BD348" s="155"/>
      <c r="BE348" s="155"/>
      <c r="BF348" s="155"/>
      <c r="BG348" s="158"/>
      <c r="BH348" s="158"/>
      <c r="BI348" s="155"/>
      <c r="BJ348" s="155"/>
      <c r="BK348" s="159"/>
      <c r="BL348" s="156"/>
      <c r="BM348" s="156"/>
      <c r="BN348" s="156"/>
      <c r="BO348" s="156"/>
      <c r="BP348" s="160"/>
      <c r="BQ348" s="160"/>
      <c r="BR348" s="160"/>
      <c r="BS348" s="160"/>
    </row>
    <row r="349" spans="1:71" x14ac:dyDescent="0.25">
      <c r="A349" s="154"/>
      <c r="B349" s="155"/>
      <c r="C349" s="155"/>
      <c r="D349" s="155"/>
      <c r="E349" s="156"/>
      <c r="F349" s="156"/>
      <c r="G349" s="155"/>
      <c r="H349" s="155"/>
      <c r="I349" s="155"/>
      <c r="J349" s="157"/>
      <c r="K349" s="157"/>
      <c r="L349" s="155"/>
      <c r="M349" s="155"/>
      <c r="N349" s="155"/>
      <c r="O349" s="156"/>
      <c r="P349" s="156"/>
      <c r="Q349" s="155"/>
      <c r="R349" s="155"/>
      <c r="S349" s="155"/>
      <c r="T349" s="156"/>
      <c r="U349" s="156"/>
      <c r="V349" s="155"/>
      <c r="W349" s="155"/>
      <c r="X349" s="155"/>
      <c r="Y349" s="155"/>
      <c r="Z349" s="155"/>
      <c r="AA349" s="156"/>
      <c r="AB349" s="156"/>
      <c r="AC349" s="155"/>
      <c r="AD349" s="155"/>
      <c r="AE349" s="155"/>
      <c r="AF349" s="156"/>
      <c r="AG349" s="156"/>
      <c r="AH349" s="155"/>
      <c r="AI349" s="155"/>
      <c r="AJ349" s="155"/>
      <c r="AK349" s="156"/>
      <c r="AL349" s="156"/>
      <c r="AM349" s="155"/>
      <c r="AN349" s="155"/>
      <c r="AO349" s="155"/>
      <c r="AP349" s="156"/>
      <c r="AQ349" s="156"/>
      <c r="AR349" s="155"/>
      <c r="AS349" s="155"/>
      <c r="AT349" s="155"/>
      <c r="AU349" s="156"/>
      <c r="AV349" s="156"/>
      <c r="AW349" s="155"/>
      <c r="AX349" s="155"/>
      <c r="AY349" s="155"/>
      <c r="AZ349" s="156"/>
      <c r="BA349" s="156"/>
      <c r="BB349" s="155"/>
      <c r="BC349" s="155"/>
      <c r="BD349" s="155"/>
      <c r="BE349" s="155"/>
      <c r="BF349" s="155"/>
      <c r="BG349" s="158"/>
      <c r="BH349" s="158"/>
      <c r="BI349" s="155"/>
      <c r="BJ349" s="155"/>
      <c r="BK349" s="159"/>
      <c r="BL349" s="156"/>
      <c r="BM349" s="156"/>
      <c r="BN349" s="156"/>
      <c r="BO349" s="156"/>
      <c r="BP349" s="160"/>
      <c r="BQ349" s="160"/>
      <c r="BR349" s="160"/>
      <c r="BS349" s="160"/>
    </row>
    <row r="350" spans="1:71" x14ac:dyDescent="0.25">
      <c r="A350" s="154"/>
      <c r="B350" s="155"/>
      <c r="C350" s="155"/>
      <c r="D350" s="155"/>
      <c r="E350" s="156"/>
      <c r="F350" s="156"/>
      <c r="G350" s="155"/>
      <c r="H350" s="155"/>
      <c r="I350" s="155"/>
      <c r="J350" s="157"/>
      <c r="K350" s="157"/>
      <c r="L350" s="155"/>
      <c r="M350" s="155"/>
      <c r="N350" s="155"/>
      <c r="O350" s="156"/>
      <c r="P350" s="156"/>
      <c r="Q350" s="155"/>
      <c r="R350" s="155"/>
      <c r="S350" s="155"/>
      <c r="T350" s="156"/>
      <c r="U350" s="156"/>
      <c r="V350" s="155"/>
      <c r="W350" s="155"/>
      <c r="X350" s="155"/>
      <c r="Y350" s="155"/>
      <c r="Z350" s="155"/>
      <c r="AA350" s="156"/>
      <c r="AB350" s="156"/>
      <c r="AC350" s="155"/>
      <c r="AD350" s="155"/>
      <c r="AE350" s="155"/>
      <c r="AF350" s="156"/>
      <c r="AG350" s="156"/>
      <c r="AH350" s="155"/>
      <c r="AI350" s="155"/>
      <c r="AJ350" s="155"/>
      <c r="AK350" s="156"/>
      <c r="AL350" s="156"/>
      <c r="AM350" s="155"/>
      <c r="AN350" s="155"/>
      <c r="AO350" s="155"/>
      <c r="AP350" s="156"/>
      <c r="AQ350" s="156"/>
      <c r="AR350" s="155"/>
      <c r="AS350" s="155"/>
      <c r="AT350" s="155"/>
      <c r="AU350" s="156"/>
      <c r="AV350" s="156"/>
      <c r="AW350" s="155"/>
      <c r="AX350" s="155"/>
      <c r="AY350" s="155"/>
      <c r="AZ350" s="156"/>
      <c r="BA350" s="156"/>
      <c r="BB350" s="155"/>
      <c r="BC350" s="155"/>
      <c r="BD350" s="155"/>
      <c r="BE350" s="155"/>
      <c r="BF350" s="155"/>
      <c r="BG350" s="158"/>
      <c r="BH350" s="158"/>
      <c r="BI350" s="155"/>
      <c r="BJ350" s="155"/>
      <c r="BK350" s="159"/>
      <c r="BL350" s="156"/>
      <c r="BM350" s="156"/>
      <c r="BN350" s="156"/>
      <c r="BO350" s="156"/>
      <c r="BP350" s="160"/>
      <c r="BQ350" s="160"/>
      <c r="BR350" s="160"/>
      <c r="BS350" s="160"/>
    </row>
    <row r="351" spans="1:71" x14ac:dyDescent="0.25">
      <c r="A351" s="154"/>
      <c r="B351" s="155"/>
      <c r="C351" s="155"/>
      <c r="D351" s="155"/>
      <c r="E351" s="156"/>
      <c r="F351" s="156"/>
      <c r="G351" s="155"/>
      <c r="H351" s="155"/>
      <c r="I351" s="155"/>
      <c r="J351" s="157"/>
      <c r="K351" s="157"/>
      <c r="L351" s="155"/>
      <c r="M351" s="155"/>
      <c r="N351" s="155"/>
      <c r="O351" s="156"/>
      <c r="P351" s="156"/>
      <c r="Q351" s="155"/>
      <c r="R351" s="155"/>
      <c r="S351" s="155"/>
      <c r="T351" s="156"/>
      <c r="U351" s="156"/>
      <c r="V351" s="155"/>
      <c r="W351" s="155"/>
      <c r="X351" s="155"/>
      <c r="Y351" s="155"/>
      <c r="Z351" s="155"/>
      <c r="AA351" s="156"/>
      <c r="AB351" s="156"/>
      <c r="AC351" s="155"/>
      <c r="AD351" s="155"/>
      <c r="AE351" s="155"/>
      <c r="AF351" s="156"/>
      <c r="AG351" s="156"/>
      <c r="AH351" s="155"/>
      <c r="AI351" s="155"/>
      <c r="AJ351" s="155"/>
      <c r="AK351" s="156"/>
      <c r="AL351" s="156"/>
      <c r="AM351" s="155"/>
      <c r="AN351" s="155"/>
      <c r="AO351" s="155"/>
      <c r="AP351" s="156"/>
      <c r="AQ351" s="156"/>
      <c r="AR351" s="155"/>
      <c r="AS351" s="155"/>
      <c r="AT351" s="155"/>
      <c r="AU351" s="156"/>
      <c r="AV351" s="156"/>
      <c r="AW351" s="155"/>
      <c r="AX351" s="155"/>
      <c r="AY351" s="155"/>
      <c r="AZ351" s="156"/>
      <c r="BA351" s="156"/>
      <c r="BB351" s="155"/>
      <c r="BC351" s="155"/>
      <c r="BD351" s="155"/>
      <c r="BE351" s="155"/>
      <c r="BF351" s="155"/>
      <c r="BG351" s="158"/>
      <c r="BH351" s="158"/>
      <c r="BI351" s="155"/>
      <c r="BJ351" s="155"/>
      <c r="BK351" s="159"/>
      <c r="BL351" s="156"/>
      <c r="BM351" s="156"/>
      <c r="BN351" s="156"/>
      <c r="BO351" s="156"/>
      <c r="BP351" s="160"/>
      <c r="BQ351" s="160"/>
      <c r="BR351" s="160"/>
      <c r="BS351" s="160"/>
    </row>
    <row r="352" spans="1:71" x14ac:dyDescent="0.25">
      <c r="A352" s="154"/>
      <c r="B352" s="155"/>
      <c r="C352" s="155"/>
      <c r="D352" s="155"/>
      <c r="E352" s="156"/>
      <c r="F352" s="156"/>
      <c r="G352" s="155"/>
      <c r="H352" s="155"/>
      <c r="I352" s="155"/>
      <c r="J352" s="157"/>
      <c r="K352" s="157"/>
      <c r="L352" s="155"/>
      <c r="M352" s="155"/>
      <c r="N352" s="155"/>
      <c r="O352" s="156"/>
      <c r="P352" s="156"/>
      <c r="Q352" s="155"/>
      <c r="R352" s="155"/>
      <c r="S352" s="155"/>
      <c r="T352" s="156"/>
      <c r="U352" s="156"/>
      <c r="V352" s="155"/>
      <c r="W352" s="155"/>
      <c r="X352" s="155"/>
      <c r="Y352" s="155"/>
      <c r="Z352" s="155"/>
      <c r="AA352" s="156"/>
      <c r="AB352" s="156"/>
      <c r="AC352" s="155"/>
      <c r="AD352" s="155"/>
      <c r="AE352" s="155"/>
      <c r="AF352" s="156"/>
      <c r="AG352" s="156"/>
      <c r="AH352" s="155"/>
      <c r="AI352" s="155"/>
      <c r="AJ352" s="155"/>
      <c r="AK352" s="156"/>
      <c r="AL352" s="156"/>
      <c r="AM352" s="155"/>
      <c r="AN352" s="155"/>
      <c r="AO352" s="155"/>
      <c r="AP352" s="156"/>
      <c r="AQ352" s="156"/>
      <c r="AR352" s="155"/>
      <c r="AS352" s="155"/>
      <c r="AT352" s="155"/>
      <c r="AU352" s="156"/>
      <c r="AV352" s="156"/>
      <c r="AW352" s="155"/>
      <c r="AX352" s="155"/>
      <c r="AY352" s="155"/>
      <c r="AZ352" s="156"/>
      <c r="BA352" s="156"/>
      <c r="BB352" s="155"/>
      <c r="BC352" s="155"/>
      <c r="BD352" s="155"/>
      <c r="BE352" s="155"/>
      <c r="BF352" s="155"/>
      <c r="BG352" s="158"/>
      <c r="BH352" s="158"/>
      <c r="BI352" s="155"/>
      <c r="BJ352" s="155"/>
      <c r="BK352" s="159"/>
      <c r="BL352" s="156"/>
      <c r="BM352" s="156"/>
      <c r="BN352" s="156"/>
      <c r="BO352" s="156"/>
      <c r="BP352" s="160"/>
      <c r="BQ352" s="160"/>
      <c r="BR352" s="160"/>
      <c r="BS352" s="160"/>
    </row>
    <row r="353" spans="1:71" x14ac:dyDescent="0.25">
      <c r="A353" s="154"/>
      <c r="B353" s="155"/>
      <c r="C353" s="155"/>
      <c r="D353" s="155"/>
      <c r="E353" s="156"/>
      <c r="F353" s="156"/>
      <c r="G353" s="155"/>
      <c r="H353" s="155"/>
      <c r="I353" s="155"/>
      <c r="J353" s="157"/>
      <c r="K353" s="157"/>
      <c r="L353" s="155"/>
      <c r="M353" s="155"/>
      <c r="N353" s="155"/>
      <c r="O353" s="156"/>
      <c r="P353" s="156"/>
      <c r="Q353" s="155"/>
      <c r="R353" s="155"/>
      <c r="S353" s="155"/>
      <c r="T353" s="156"/>
      <c r="U353" s="156"/>
      <c r="V353" s="155"/>
      <c r="W353" s="155"/>
      <c r="X353" s="155"/>
      <c r="Y353" s="155"/>
      <c r="Z353" s="155"/>
      <c r="AA353" s="156"/>
      <c r="AB353" s="156"/>
      <c r="AC353" s="155"/>
      <c r="AD353" s="155"/>
      <c r="AE353" s="155"/>
      <c r="AF353" s="156"/>
      <c r="AG353" s="156"/>
      <c r="AH353" s="155"/>
      <c r="AI353" s="155"/>
      <c r="AJ353" s="155"/>
      <c r="AK353" s="156"/>
      <c r="AL353" s="156"/>
      <c r="AM353" s="155"/>
      <c r="AN353" s="155"/>
      <c r="AO353" s="155"/>
      <c r="AP353" s="156"/>
      <c r="AQ353" s="156"/>
      <c r="AR353" s="155"/>
      <c r="AS353" s="155"/>
      <c r="AT353" s="155"/>
      <c r="AU353" s="156"/>
      <c r="AV353" s="156"/>
      <c r="AW353" s="155"/>
      <c r="AX353" s="155"/>
      <c r="AY353" s="155"/>
      <c r="AZ353" s="156"/>
      <c r="BA353" s="156"/>
      <c r="BB353" s="155"/>
      <c r="BC353" s="155"/>
      <c r="BD353" s="155"/>
      <c r="BE353" s="155"/>
      <c r="BF353" s="155"/>
      <c r="BG353" s="158"/>
      <c r="BH353" s="158"/>
      <c r="BI353" s="155"/>
      <c r="BJ353" s="155"/>
      <c r="BK353" s="159"/>
      <c r="BL353" s="156"/>
      <c r="BM353" s="156"/>
      <c r="BN353" s="156"/>
      <c r="BO353" s="156"/>
      <c r="BP353" s="160"/>
      <c r="BQ353" s="160"/>
      <c r="BR353" s="160"/>
      <c r="BS353" s="160"/>
    </row>
    <row r="354" spans="1:71" x14ac:dyDescent="0.25">
      <c r="A354" s="154"/>
      <c r="B354" s="155"/>
      <c r="C354" s="155"/>
      <c r="D354" s="155"/>
      <c r="E354" s="156"/>
      <c r="F354" s="156"/>
      <c r="G354" s="155"/>
      <c r="H354" s="155"/>
      <c r="I354" s="155"/>
      <c r="J354" s="157"/>
      <c r="K354" s="157"/>
      <c r="L354" s="155"/>
      <c r="M354" s="155"/>
      <c r="N354" s="155"/>
      <c r="O354" s="156"/>
      <c r="P354" s="156"/>
      <c r="Q354" s="155"/>
      <c r="R354" s="155"/>
      <c r="S354" s="155"/>
      <c r="T354" s="156"/>
      <c r="U354" s="156"/>
      <c r="V354" s="155"/>
      <c r="W354" s="155"/>
      <c r="X354" s="155"/>
      <c r="Y354" s="155"/>
      <c r="Z354" s="155"/>
      <c r="AA354" s="156"/>
      <c r="AB354" s="156"/>
      <c r="AC354" s="155"/>
      <c r="AD354" s="155"/>
      <c r="AE354" s="155"/>
      <c r="AF354" s="156"/>
      <c r="AG354" s="156"/>
      <c r="AH354" s="155"/>
      <c r="AI354" s="155"/>
      <c r="AJ354" s="155"/>
      <c r="AK354" s="156"/>
      <c r="AL354" s="156"/>
      <c r="AM354" s="155"/>
      <c r="AN354" s="155"/>
      <c r="AO354" s="155"/>
      <c r="AP354" s="156"/>
      <c r="AQ354" s="156"/>
      <c r="AR354" s="155"/>
      <c r="AS354" s="155"/>
      <c r="AT354" s="155"/>
      <c r="AU354" s="156"/>
      <c r="AV354" s="156"/>
      <c r="AW354" s="155"/>
      <c r="AX354" s="155"/>
      <c r="AY354" s="155"/>
      <c r="AZ354" s="156"/>
      <c r="BA354" s="156"/>
      <c r="BB354" s="155"/>
      <c r="BC354" s="155"/>
      <c r="BD354" s="155"/>
      <c r="BE354" s="155"/>
      <c r="BF354" s="155"/>
      <c r="BG354" s="158"/>
      <c r="BH354" s="158"/>
      <c r="BI354" s="155"/>
      <c r="BJ354" s="155"/>
      <c r="BK354" s="159"/>
      <c r="BL354" s="156"/>
      <c r="BM354" s="156"/>
      <c r="BN354" s="156"/>
      <c r="BO354" s="156"/>
      <c r="BP354" s="160"/>
      <c r="BQ354" s="160"/>
      <c r="BR354" s="160"/>
      <c r="BS354" s="160"/>
    </row>
    <row r="355" spans="1:71" x14ac:dyDescent="0.25">
      <c r="A355" s="154"/>
      <c r="B355" s="155"/>
      <c r="C355" s="155"/>
      <c r="D355" s="155"/>
      <c r="E355" s="156"/>
      <c r="F355" s="156"/>
      <c r="G355" s="155"/>
      <c r="H355" s="155"/>
      <c r="I355" s="155"/>
      <c r="J355" s="157"/>
      <c r="K355" s="157"/>
      <c r="L355" s="155"/>
      <c r="M355" s="155"/>
      <c r="N355" s="155"/>
      <c r="O355" s="156"/>
      <c r="P355" s="156"/>
      <c r="Q355" s="155"/>
      <c r="R355" s="155"/>
      <c r="S355" s="155"/>
      <c r="T355" s="156"/>
      <c r="U355" s="156"/>
      <c r="V355" s="155"/>
      <c r="W355" s="155"/>
      <c r="X355" s="155"/>
      <c r="Y355" s="155"/>
      <c r="Z355" s="155"/>
      <c r="AA355" s="156"/>
      <c r="AB355" s="156"/>
      <c r="AC355" s="155"/>
      <c r="AD355" s="155"/>
      <c r="AE355" s="155"/>
      <c r="AF355" s="156"/>
      <c r="AG355" s="156"/>
      <c r="AH355" s="155"/>
      <c r="AI355" s="155"/>
      <c r="AJ355" s="155"/>
      <c r="AK355" s="156"/>
      <c r="AL355" s="156"/>
      <c r="AM355" s="155"/>
      <c r="AN355" s="155"/>
      <c r="AO355" s="155"/>
      <c r="AP355" s="156"/>
      <c r="AQ355" s="156"/>
      <c r="AR355" s="155"/>
      <c r="AS355" s="155"/>
      <c r="AT355" s="155"/>
      <c r="AU355" s="156"/>
      <c r="AV355" s="156"/>
      <c r="AW355" s="155"/>
      <c r="AX355" s="155"/>
      <c r="AY355" s="155"/>
      <c r="AZ355" s="156"/>
      <c r="BA355" s="156"/>
      <c r="BB355" s="155"/>
      <c r="BC355" s="155"/>
      <c r="BD355" s="155"/>
      <c r="BE355" s="155"/>
      <c r="BF355" s="155"/>
      <c r="BG355" s="158"/>
      <c r="BH355" s="158"/>
      <c r="BI355" s="155"/>
      <c r="BJ355" s="155"/>
      <c r="BK355" s="159"/>
      <c r="BL355" s="156"/>
      <c r="BM355" s="156"/>
      <c r="BN355" s="156"/>
      <c r="BO355" s="156"/>
      <c r="BP355" s="160"/>
      <c r="BQ355" s="160"/>
      <c r="BR355" s="160"/>
      <c r="BS355" s="160"/>
    </row>
    <row r="356" spans="1:71" x14ac:dyDescent="0.25">
      <c r="A356" s="154"/>
      <c r="B356" s="155"/>
      <c r="C356" s="155"/>
      <c r="D356" s="155"/>
      <c r="E356" s="156"/>
      <c r="F356" s="156"/>
      <c r="G356" s="155"/>
      <c r="H356" s="155"/>
      <c r="I356" s="155"/>
      <c r="J356" s="157"/>
      <c r="K356" s="157"/>
      <c r="L356" s="155"/>
      <c r="M356" s="155"/>
      <c r="N356" s="155"/>
      <c r="O356" s="156"/>
      <c r="P356" s="156"/>
      <c r="Q356" s="155"/>
      <c r="R356" s="155"/>
      <c r="S356" s="155"/>
      <c r="T356" s="156"/>
      <c r="U356" s="156"/>
      <c r="V356" s="155"/>
      <c r="W356" s="155"/>
      <c r="X356" s="155"/>
      <c r="Y356" s="155"/>
      <c r="Z356" s="155"/>
      <c r="AA356" s="156"/>
      <c r="AB356" s="156"/>
      <c r="AC356" s="155"/>
      <c r="AD356" s="155"/>
      <c r="AE356" s="155"/>
      <c r="AF356" s="156"/>
      <c r="AG356" s="156"/>
      <c r="AH356" s="155"/>
      <c r="AI356" s="155"/>
      <c r="AJ356" s="155"/>
      <c r="AK356" s="156"/>
      <c r="AL356" s="156"/>
      <c r="AM356" s="155"/>
      <c r="AN356" s="155"/>
      <c r="AO356" s="155"/>
      <c r="AP356" s="156"/>
      <c r="AQ356" s="156"/>
      <c r="AR356" s="155"/>
      <c r="AS356" s="155"/>
      <c r="AT356" s="155"/>
      <c r="AU356" s="156"/>
      <c r="AV356" s="156"/>
      <c r="AW356" s="155"/>
      <c r="AX356" s="155"/>
      <c r="AY356" s="155"/>
      <c r="AZ356" s="156"/>
      <c r="BA356" s="156"/>
      <c r="BB356" s="155"/>
      <c r="BC356" s="155"/>
      <c r="BD356" s="155"/>
      <c r="BE356" s="155"/>
      <c r="BF356" s="155"/>
      <c r="BG356" s="158"/>
      <c r="BH356" s="158"/>
      <c r="BI356" s="155"/>
      <c r="BJ356" s="155"/>
      <c r="BK356" s="159"/>
      <c r="BL356" s="156"/>
      <c r="BM356" s="156"/>
      <c r="BN356" s="156"/>
      <c r="BO356" s="156"/>
      <c r="BP356" s="160"/>
      <c r="BQ356" s="160"/>
      <c r="BR356" s="160"/>
      <c r="BS356" s="160"/>
    </row>
    <row r="357" spans="1:71" x14ac:dyDescent="0.25">
      <c r="A357" s="154"/>
      <c r="B357" s="155"/>
      <c r="C357" s="155"/>
      <c r="D357" s="155"/>
      <c r="E357" s="156"/>
      <c r="F357" s="156"/>
      <c r="G357" s="155"/>
      <c r="H357" s="155"/>
      <c r="I357" s="155"/>
      <c r="J357" s="157"/>
      <c r="K357" s="157"/>
      <c r="L357" s="155"/>
      <c r="M357" s="155"/>
      <c r="N357" s="155"/>
      <c r="O357" s="156"/>
      <c r="P357" s="156"/>
      <c r="Q357" s="155"/>
      <c r="R357" s="155"/>
      <c r="S357" s="155"/>
      <c r="T357" s="156"/>
      <c r="U357" s="156"/>
      <c r="V357" s="155"/>
      <c r="W357" s="155"/>
      <c r="X357" s="155"/>
      <c r="Y357" s="155"/>
      <c r="Z357" s="155"/>
      <c r="AA357" s="156"/>
      <c r="AB357" s="156"/>
      <c r="AC357" s="155"/>
      <c r="AD357" s="155"/>
      <c r="AE357" s="155"/>
      <c r="AF357" s="156"/>
      <c r="AG357" s="156"/>
      <c r="AH357" s="155"/>
      <c r="AI357" s="155"/>
      <c r="AJ357" s="155"/>
      <c r="AK357" s="156"/>
      <c r="AL357" s="156"/>
      <c r="AM357" s="155"/>
      <c r="AN357" s="155"/>
      <c r="AO357" s="155"/>
      <c r="AP357" s="156"/>
      <c r="AQ357" s="156"/>
      <c r="AR357" s="155"/>
      <c r="AS357" s="155"/>
      <c r="AT357" s="155"/>
      <c r="AU357" s="156"/>
      <c r="AV357" s="156"/>
      <c r="AW357" s="155"/>
      <c r="AX357" s="155"/>
      <c r="AY357" s="155"/>
      <c r="AZ357" s="156"/>
      <c r="BA357" s="156"/>
      <c r="BB357" s="155"/>
      <c r="BC357" s="155"/>
      <c r="BD357" s="155"/>
      <c r="BE357" s="155"/>
      <c r="BF357" s="155"/>
      <c r="BG357" s="158"/>
      <c r="BH357" s="158"/>
      <c r="BI357" s="155"/>
      <c r="BJ357" s="155"/>
      <c r="BK357" s="159"/>
      <c r="BL357" s="156"/>
      <c r="BM357" s="156"/>
      <c r="BN357" s="156"/>
      <c r="BO357" s="156"/>
      <c r="BP357" s="160"/>
      <c r="BQ357" s="160"/>
      <c r="BR357" s="160"/>
      <c r="BS357" s="160"/>
    </row>
    <row r="358" spans="1:71" x14ac:dyDescent="0.25">
      <c r="A358" s="154"/>
      <c r="B358" s="155"/>
      <c r="C358" s="155"/>
      <c r="D358" s="155"/>
      <c r="E358" s="156"/>
      <c r="F358" s="156"/>
      <c r="G358" s="155"/>
      <c r="H358" s="155"/>
      <c r="I358" s="155"/>
      <c r="J358" s="157"/>
      <c r="K358" s="157"/>
      <c r="L358" s="155"/>
      <c r="M358" s="155"/>
      <c r="N358" s="155"/>
      <c r="O358" s="156"/>
      <c r="P358" s="156"/>
      <c r="Q358" s="155"/>
      <c r="R358" s="155"/>
      <c r="S358" s="155"/>
      <c r="T358" s="156"/>
      <c r="U358" s="156"/>
      <c r="V358" s="155"/>
      <c r="W358" s="155"/>
      <c r="X358" s="155"/>
      <c r="Y358" s="155"/>
      <c r="Z358" s="155"/>
      <c r="AA358" s="156"/>
      <c r="AB358" s="156"/>
      <c r="AC358" s="155"/>
      <c r="AD358" s="155"/>
      <c r="AE358" s="155"/>
      <c r="AF358" s="156"/>
      <c r="AG358" s="156"/>
      <c r="AH358" s="155"/>
      <c r="AI358" s="155"/>
      <c r="AJ358" s="155"/>
      <c r="AK358" s="156"/>
      <c r="AL358" s="156"/>
      <c r="AM358" s="155"/>
      <c r="AN358" s="155"/>
      <c r="AO358" s="155"/>
      <c r="AP358" s="156"/>
      <c r="AQ358" s="156"/>
      <c r="AR358" s="155"/>
      <c r="AS358" s="155"/>
      <c r="AT358" s="155"/>
      <c r="AU358" s="156"/>
      <c r="AV358" s="156"/>
      <c r="AW358" s="155"/>
      <c r="AX358" s="155"/>
      <c r="AY358" s="155"/>
      <c r="AZ358" s="156"/>
      <c r="BA358" s="156"/>
      <c r="BB358" s="155"/>
      <c r="BC358" s="155"/>
      <c r="BD358" s="155"/>
      <c r="BE358" s="155"/>
      <c r="BF358" s="155"/>
      <c r="BG358" s="158"/>
      <c r="BH358" s="158"/>
      <c r="BI358" s="155"/>
      <c r="BJ358" s="155"/>
      <c r="BK358" s="159"/>
      <c r="BL358" s="156"/>
      <c r="BM358" s="156"/>
      <c r="BN358" s="156"/>
      <c r="BO358" s="156"/>
      <c r="BP358" s="160"/>
      <c r="BQ358" s="160"/>
      <c r="BR358" s="160"/>
      <c r="BS358" s="160"/>
    </row>
    <row r="359" spans="1:71" x14ac:dyDescent="0.25">
      <c r="A359" s="154"/>
      <c r="B359" s="155"/>
      <c r="C359" s="155"/>
      <c r="D359" s="155"/>
      <c r="E359" s="156"/>
      <c r="F359" s="156"/>
      <c r="G359" s="155"/>
      <c r="H359" s="155"/>
      <c r="I359" s="155"/>
      <c r="J359" s="157"/>
      <c r="K359" s="157"/>
      <c r="L359" s="155"/>
      <c r="M359" s="155"/>
      <c r="N359" s="155"/>
      <c r="O359" s="156"/>
      <c r="P359" s="156"/>
      <c r="Q359" s="155"/>
      <c r="R359" s="155"/>
      <c r="S359" s="155"/>
      <c r="T359" s="156"/>
      <c r="U359" s="156"/>
      <c r="V359" s="155"/>
      <c r="W359" s="155"/>
      <c r="X359" s="155"/>
      <c r="Y359" s="155"/>
      <c r="Z359" s="155"/>
      <c r="AA359" s="156"/>
      <c r="AB359" s="156"/>
      <c r="AC359" s="155"/>
      <c r="AD359" s="155"/>
      <c r="AE359" s="155"/>
      <c r="AF359" s="156"/>
      <c r="AG359" s="156"/>
      <c r="AH359" s="155"/>
      <c r="AI359" s="155"/>
      <c r="AJ359" s="155"/>
      <c r="AK359" s="156"/>
      <c r="AL359" s="156"/>
      <c r="AM359" s="155"/>
      <c r="AN359" s="155"/>
      <c r="AO359" s="155"/>
      <c r="AP359" s="156"/>
      <c r="AQ359" s="156"/>
      <c r="AR359" s="155"/>
      <c r="AS359" s="155"/>
      <c r="AT359" s="155"/>
      <c r="AU359" s="156"/>
      <c r="AV359" s="156"/>
      <c r="AW359" s="155"/>
      <c r="AX359" s="155"/>
      <c r="AY359" s="155"/>
      <c r="AZ359" s="156"/>
      <c r="BA359" s="156"/>
      <c r="BB359" s="155"/>
      <c r="BC359" s="155"/>
      <c r="BD359" s="155"/>
      <c r="BE359" s="155"/>
      <c r="BF359" s="155"/>
      <c r="BG359" s="158"/>
      <c r="BH359" s="158"/>
      <c r="BI359" s="155"/>
      <c r="BJ359" s="155"/>
      <c r="BK359" s="159"/>
      <c r="BL359" s="156"/>
      <c r="BM359" s="156"/>
      <c r="BN359" s="156"/>
      <c r="BO359" s="156"/>
      <c r="BP359" s="160"/>
      <c r="BQ359" s="160"/>
      <c r="BR359" s="160"/>
      <c r="BS359" s="160"/>
    </row>
    <row r="360" spans="1:71" x14ac:dyDescent="0.25">
      <c r="A360" s="154"/>
      <c r="B360" s="155"/>
      <c r="C360" s="155"/>
      <c r="D360" s="155"/>
      <c r="E360" s="156"/>
      <c r="F360" s="156"/>
      <c r="G360" s="155"/>
      <c r="H360" s="155"/>
      <c r="I360" s="155"/>
      <c r="J360" s="157"/>
      <c r="K360" s="157"/>
      <c r="L360" s="155"/>
      <c r="M360" s="155"/>
      <c r="N360" s="155"/>
      <c r="O360" s="156"/>
      <c r="P360" s="156"/>
      <c r="Q360" s="155"/>
      <c r="R360" s="155"/>
      <c r="S360" s="155"/>
      <c r="T360" s="156"/>
      <c r="U360" s="156"/>
      <c r="V360" s="155"/>
      <c r="W360" s="155"/>
      <c r="X360" s="155"/>
      <c r="Y360" s="155"/>
      <c r="Z360" s="155"/>
      <c r="AA360" s="156"/>
      <c r="AB360" s="156"/>
      <c r="AC360" s="155"/>
      <c r="AD360" s="155"/>
      <c r="AE360" s="155"/>
      <c r="AF360" s="156"/>
      <c r="AG360" s="156"/>
      <c r="AH360" s="155"/>
      <c r="AI360" s="155"/>
      <c r="AJ360" s="155"/>
      <c r="AK360" s="156"/>
      <c r="AL360" s="156"/>
      <c r="AM360" s="155"/>
      <c r="AN360" s="155"/>
      <c r="AO360" s="155"/>
      <c r="AP360" s="156"/>
      <c r="AQ360" s="156"/>
      <c r="AR360" s="155"/>
      <c r="AS360" s="155"/>
      <c r="AT360" s="155"/>
      <c r="AU360" s="156"/>
      <c r="AV360" s="156"/>
      <c r="AW360" s="155"/>
      <c r="AX360" s="155"/>
      <c r="AY360" s="155"/>
      <c r="AZ360" s="156"/>
      <c r="BA360" s="156"/>
      <c r="BB360" s="155"/>
      <c r="BC360" s="155"/>
      <c r="BD360" s="155"/>
      <c r="BE360" s="155"/>
      <c r="BF360" s="155"/>
      <c r="BG360" s="158"/>
      <c r="BH360" s="158"/>
      <c r="BI360" s="155"/>
      <c r="BJ360" s="155"/>
      <c r="BK360" s="159"/>
      <c r="BL360" s="156"/>
      <c r="BM360" s="156"/>
      <c r="BN360" s="156"/>
      <c r="BO360" s="156"/>
      <c r="BP360" s="160"/>
      <c r="BQ360" s="160"/>
      <c r="BR360" s="160"/>
      <c r="BS360" s="160"/>
    </row>
    <row r="361" spans="1:71" x14ac:dyDescent="0.25">
      <c r="A361" s="154"/>
      <c r="B361" s="155"/>
      <c r="C361" s="155"/>
      <c r="D361" s="155"/>
      <c r="E361" s="156"/>
      <c r="F361" s="156"/>
      <c r="G361" s="155"/>
      <c r="H361" s="155"/>
      <c r="I361" s="155"/>
      <c r="J361" s="157"/>
      <c r="K361" s="157"/>
      <c r="L361" s="155"/>
      <c r="M361" s="155"/>
      <c r="N361" s="155"/>
      <c r="O361" s="156"/>
      <c r="P361" s="156"/>
      <c r="Q361" s="155"/>
      <c r="R361" s="155"/>
      <c r="S361" s="155"/>
      <c r="T361" s="156"/>
      <c r="U361" s="156"/>
      <c r="V361" s="155"/>
      <c r="W361" s="155"/>
      <c r="X361" s="155"/>
      <c r="Y361" s="155"/>
      <c r="Z361" s="155"/>
      <c r="AA361" s="156"/>
      <c r="AB361" s="156"/>
      <c r="AC361" s="155"/>
      <c r="AD361" s="155"/>
      <c r="AE361" s="155"/>
      <c r="AF361" s="156"/>
      <c r="AG361" s="156"/>
      <c r="AH361" s="155"/>
      <c r="AI361" s="155"/>
      <c r="AJ361" s="155"/>
      <c r="AK361" s="156"/>
      <c r="AL361" s="156"/>
      <c r="AM361" s="155"/>
      <c r="AN361" s="155"/>
      <c r="AO361" s="155"/>
      <c r="AP361" s="156"/>
      <c r="AQ361" s="156"/>
      <c r="AR361" s="155"/>
      <c r="AS361" s="155"/>
      <c r="AT361" s="155"/>
      <c r="AU361" s="156"/>
      <c r="AV361" s="156"/>
      <c r="AW361" s="155"/>
      <c r="AX361" s="155"/>
      <c r="AY361" s="155"/>
      <c r="AZ361" s="156"/>
      <c r="BA361" s="156"/>
      <c r="BB361" s="155"/>
      <c r="BC361" s="155"/>
      <c r="BD361" s="155"/>
      <c r="BE361" s="155"/>
      <c r="BF361" s="155"/>
      <c r="BG361" s="158"/>
      <c r="BH361" s="158"/>
      <c r="BI361" s="155"/>
      <c r="BJ361" s="155"/>
      <c r="BK361" s="159"/>
      <c r="BL361" s="156"/>
      <c r="BM361" s="156"/>
      <c r="BN361" s="156"/>
      <c r="BO361" s="156"/>
      <c r="BP361" s="160"/>
      <c r="BQ361" s="160"/>
      <c r="BR361" s="160"/>
      <c r="BS361" s="160"/>
    </row>
    <row r="362" spans="1:71" x14ac:dyDescent="0.25">
      <c r="A362" s="154"/>
      <c r="B362" s="155"/>
      <c r="C362" s="155"/>
      <c r="D362" s="155"/>
      <c r="E362" s="156"/>
      <c r="F362" s="156"/>
      <c r="G362" s="155"/>
      <c r="H362" s="155"/>
      <c r="I362" s="155"/>
      <c r="J362" s="157"/>
      <c r="K362" s="157"/>
      <c r="L362" s="155"/>
      <c r="M362" s="155"/>
      <c r="N362" s="155"/>
      <c r="O362" s="156"/>
      <c r="P362" s="156"/>
      <c r="Q362" s="155"/>
      <c r="R362" s="155"/>
      <c r="S362" s="155"/>
      <c r="T362" s="156"/>
      <c r="U362" s="156"/>
      <c r="V362" s="155"/>
      <c r="W362" s="155"/>
      <c r="X362" s="155"/>
      <c r="Y362" s="155"/>
      <c r="Z362" s="155"/>
      <c r="AA362" s="156"/>
      <c r="AB362" s="156"/>
      <c r="AC362" s="155"/>
      <c r="AD362" s="155"/>
      <c r="AE362" s="155"/>
      <c r="AF362" s="156"/>
      <c r="AG362" s="156"/>
      <c r="AH362" s="155"/>
      <c r="AI362" s="155"/>
      <c r="AJ362" s="155"/>
      <c r="AK362" s="156"/>
      <c r="AL362" s="156"/>
      <c r="AM362" s="155"/>
      <c r="AN362" s="155"/>
      <c r="AO362" s="155"/>
      <c r="AP362" s="156"/>
      <c r="AQ362" s="156"/>
      <c r="AR362" s="155"/>
      <c r="AS362" s="155"/>
      <c r="AT362" s="155"/>
      <c r="AU362" s="156"/>
      <c r="AV362" s="156"/>
      <c r="AW362" s="155"/>
      <c r="AX362" s="155"/>
      <c r="AY362" s="155"/>
      <c r="AZ362" s="156"/>
      <c r="BA362" s="156"/>
      <c r="BB362" s="155"/>
      <c r="BC362" s="155"/>
      <c r="BD362" s="155"/>
      <c r="BE362" s="155"/>
      <c r="BF362" s="155"/>
      <c r="BG362" s="158"/>
      <c r="BH362" s="158"/>
      <c r="BI362" s="155"/>
      <c r="BJ362" s="155"/>
      <c r="BK362" s="159"/>
      <c r="BL362" s="156"/>
      <c r="BM362" s="156"/>
      <c r="BN362" s="156"/>
      <c r="BO362" s="156"/>
      <c r="BP362" s="160"/>
      <c r="BQ362" s="160"/>
      <c r="BR362" s="160"/>
      <c r="BS362" s="160"/>
    </row>
    <row r="363" spans="1:71" x14ac:dyDescent="0.25">
      <c r="A363" s="154"/>
      <c r="B363" s="155"/>
      <c r="C363" s="155"/>
      <c r="D363" s="155"/>
      <c r="E363" s="156"/>
      <c r="F363" s="156"/>
      <c r="G363" s="155"/>
      <c r="H363" s="155"/>
      <c r="I363" s="155"/>
      <c r="J363" s="157"/>
      <c r="K363" s="157"/>
      <c r="L363" s="155"/>
      <c r="M363" s="155"/>
      <c r="N363" s="155"/>
      <c r="O363" s="156"/>
      <c r="P363" s="156"/>
      <c r="Q363" s="155"/>
      <c r="R363" s="155"/>
      <c r="S363" s="155"/>
      <c r="T363" s="156"/>
      <c r="U363" s="156"/>
      <c r="V363" s="155"/>
      <c r="W363" s="155"/>
      <c r="X363" s="155"/>
      <c r="Y363" s="155"/>
      <c r="Z363" s="155"/>
      <c r="AA363" s="156"/>
      <c r="AB363" s="156"/>
      <c r="AC363" s="155"/>
      <c r="AD363" s="155"/>
      <c r="AE363" s="155"/>
      <c r="AF363" s="156"/>
      <c r="AG363" s="156"/>
      <c r="AH363" s="155"/>
      <c r="AI363" s="155"/>
      <c r="AJ363" s="155"/>
      <c r="AK363" s="156"/>
      <c r="AL363" s="156"/>
      <c r="AM363" s="155"/>
      <c r="AN363" s="155"/>
      <c r="AO363" s="155"/>
      <c r="AP363" s="156"/>
      <c r="AQ363" s="156"/>
      <c r="AR363" s="155"/>
      <c r="AS363" s="155"/>
      <c r="AT363" s="155"/>
      <c r="AU363" s="156"/>
      <c r="AV363" s="156"/>
      <c r="AW363" s="155"/>
      <c r="AX363" s="155"/>
      <c r="AY363" s="155"/>
      <c r="AZ363" s="156"/>
      <c r="BA363" s="156"/>
      <c r="BB363" s="155"/>
      <c r="BC363" s="155"/>
      <c r="BD363" s="155"/>
      <c r="BE363" s="155"/>
      <c r="BF363" s="155"/>
      <c r="BG363" s="158"/>
      <c r="BH363" s="158"/>
      <c r="BI363" s="155"/>
      <c r="BJ363" s="155"/>
      <c r="BK363" s="159"/>
      <c r="BL363" s="156"/>
      <c r="BM363" s="156"/>
      <c r="BN363" s="156"/>
      <c r="BO363" s="156"/>
      <c r="BP363" s="160"/>
      <c r="BQ363" s="160"/>
      <c r="BR363" s="160"/>
      <c r="BS363" s="160"/>
    </row>
    <row r="364" spans="1:71" x14ac:dyDescent="0.25">
      <c r="A364" s="154"/>
      <c r="B364" s="155"/>
      <c r="C364" s="155"/>
      <c r="D364" s="155"/>
      <c r="E364" s="156"/>
      <c r="F364" s="156"/>
      <c r="G364" s="155"/>
      <c r="H364" s="155"/>
      <c r="I364" s="155"/>
      <c r="J364" s="157"/>
      <c r="K364" s="157"/>
      <c r="L364" s="155"/>
      <c r="M364" s="155"/>
      <c r="N364" s="155"/>
      <c r="O364" s="156"/>
      <c r="P364" s="156"/>
      <c r="Q364" s="155"/>
      <c r="R364" s="155"/>
      <c r="S364" s="155"/>
      <c r="T364" s="156"/>
      <c r="U364" s="156"/>
      <c r="V364" s="155"/>
      <c r="W364" s="155"/>
      <c r="X364" s="155"/>
      <c r="Y364" s="155"/>
      <c r="Z364" s="155"/>
      <c r="AA364" s="156"/>
      <c r="AB364" s="156"/>
      <c r="AC364" s="155"/>
      <c r="AD364" s="155"/>
      <c r="AE364" s="155"/>
      <c r="AF364" s="156"/>
      <c r="AG364" s="156"/>
      <c r="AH364" s="155"/>
      <c r="AI364" s="155"/>
      <c r="AJ364" s="155"/>
      <c r="AK364" s="156"/>
      <c r="AL364" s="156"/>
      <c r="AM364" s="155"/>
      <c r="AN364" s="155"/>
      <c r="AO364" s="155"/>
      <c r="AP364" s="156"/>
      <c r="AQ364" s="156"/>
      <c r="AR364" s="155"/>
      <c r="AS364" s="155"/>
      <c r="AT364" s="155"/>
      <c r="AU364" s="156"/>
      <c r="AV364" s="156"/>
      <c r="AW364" s="155"/>
      <c r="AX364" s="155"/>
      <c r="AY364" s="155"/>
      <c r="AZ364" s="156"/>
      <c r="BA364" s="156"/>
      <c r="BB364" s="155"/>
      <c r="BC364" s="155"/>
      <c r="BD364" s="155"/>
      <c r="BE364" s="155"/>
      <c r="BF364" s="155"/>
      <c r="BG364" s="158"/>
      <c r="BH364" s="158"/>
      <c r="BI364" s="155"/>
      <c r="BJ364" s="155"/>
      <c r="BK364" s="159"/>
      <c r="BL364" s="156"/>
      <c r="BM364" s="156"/>
      <c r="BN364" s="156"/>
      <c r="BO364" s="156"/>
      <c r="BP364" s="160"/>
      <c r="BQ364" s="160"/>
      <c r="BR364" s="160"/>
      <c r="BS364" s="160"/>
    </row>
    <row r="365" spans="1:71" x14ac:dyDescent="0.25">
      <c r="A365" s="154"/>
      <c r="B365" s="155"/>
      <c r="C365" s="155"/>
      <c r="D365" s="155"/>
      <c r="E365" s="156"/>
      <c r="F365" s="156"/>
      <c r="G365" s="155"/>
      <c r="H365" s="155"/>
      <c r="I365" s="155"/>
      <c r="J365" s="157"/>
      <c r="K365" s="157"/>
      <c r="L365" s="155"/>
      <c r="M365" s="155"/>
      <c r="N365" s="155"/>
      <c r="O365" s="156"/>
      <c r="P365" s="156"/>
      <c r="Q365" s="155"/>
      <c r="R365" s="155"/>
      <c r="S365" s="155"/>
      <c r="T365" s="156"/>
      <c r="U365" s="156"/>
      <c r="V365" s="155"/>
      <c r="W365" s="155"/>
      <c r="X365" s="155"/>
      <c r="Y365" s="155"/>
      <c r="Z365" s="155"/>
      <c r="AA365" s="156"/>
      <c r="AB365" s="156"/>
      <c r="AC365" s="155"/>
      <c r="AD365" s="155"/>
      <c r="AE365" s="155"/>
      <c r="AF365" s="156"/>
      <c r="AG365" s="156"/>
      <c r="AH365" s="155"/>
      <c r="AI365" s="155"/>
      <c r="AJ365" s="155"/>
      <c r="AK365" s="156"/>
      <c r="AL365" s="156"/>
      <c r="AM365" s="155"/>
      <c r="AN365" s="155"/>
      <c r="AO365" s="155"/>
      <c r="AP365" s="156"/>
      <c r="AQ365" s="156"/>
      <c r="AR365" s="155"/>
      <c r="AS365" s="155"/>
      <c r="AT365" s="155"/>
      <c r="AU365" s="156"/>
      <c r="AV365" s="156"/>
      <c r="AW365" s="155"/>
      <c r="AX365" s="155"/>
      <c r="AY365" s="155"/>
      <c r="AZ365" s="156"/>
      <c r="BA365" s="156"/>
      <c r="BB365" s="155"/>
      <c r="BC365" s="155"/>
      <c r="BD365" s="155"/>
      <c r="BE365" s="155"/>
      <c r="BF365" s="155"/>
      <c r="BG365" s="158"/>
      <c r="BH365" s="158"/>
      <c r="BI365" s="155"/>
      <c r="BJ365" s="155"/>
      <c r="BK365" s="159"/>
      <c r="BL365" s="156"/>
      <c r="BM365" s="156"/>
      <c r="BN365" s="156"/>
      <c r="BO365" s="156"/>
      <c r="BP365" s="160"/>
      <c r="BQ365" s="160"/>
      <c r="BR365" s="160"/>
      <c r="BS365" s="160"/>
    </row>
    <row r="366" spans="1:71" x14ac:dyDescent="0.25">
      <c r="A366" s="154"/>
      <c r="B366" s="155"/>
      <c r="C366" s="155"/>
      <c r="D366" s="155"/>
      <c r="E366" s="156"/>
      <c r="F366" s="156"/>
      <c r="G366" s="155"/>
      <c r="H366" s="155"/>
      <c r="I366" s="155"/>
      <c r="J366" s="157"/>
      <c r="K366" s="157"/>
      <c r="L366" s="155"/>
      <c r="M366" s="155"/>
      <c r="N366" s="155"/>
      <c r="O366" s="156"/>
      <c r="P366" s="156"/>
      <c r="Q366" s="155"/>
      <c r="R366" s="155"/>
      <c r="S366" s="155"/>
      <c r="T366" s="156"/>
      <c r="U366" s="156"/>
      <c r="V366" s="155"/>
      <c r="W366" s="155"/>
      <c r="X366" s="155"/>
      <c r="Y366" s="155"/>
      <c r="Z366" s="155"/>
      <c r="AA366" s="156"/>
      <c r="AB366" s="156"/>
      <c r="AC366" s="155"/>
      <c r="AD366" s="155"/>
      <c r="AE366" s="155"/>
      <c r="AF366" s="156"/>
      <c r="AG366" s="156"/>
      <c r="AH366" s="155"/>
      <c r="AI366" s="155"/>
      <c r="AJ366" s="155"/>
      <c r="AK366" s="156"/>
      <c r="AL366" s="156"/>
      <c r="AM366" s="155"/>
      <c r="AN366" s="155"/>
      <c r="AO366" s="155"/>
      <c r="AP366" s="156"/>
      <c r="AQ366" s="156"/>
      <c r="AR366" s="155"/>
      <c r="AS366" s="155"/>
      <c r="AT366" s="155"/>
      <c r="AU366" s="156"/>
      <c r="AV366" s="156"/>
      <c r="AW366" s="155"/>
      <c r="AX366" s="155"/>
      <c r="AY366" s="155"/>
      <c r="AZ366" s="156"/>
      <c r="BA366" s="156"/>
      <c r="BB366" s="155"/>
      <c r="BC366" s="155"/>
      <c r="BD366" s="155"/>
      <c r="BE366" s="155"/>
      <c r="BF366" s="155"/>
      <c r="BG366" s="158"/>
      <c r="BH366" s="158"/>
      <c r="BI366" s="155"/>
      <c r="BJ366" s="155"/>
      <c r="BK366" s="159"/>
      <c r="BL366" s="156"/>
      <c r="BM366" s="156"/>
      <c r="BN366" s="156"/>
      <c r="BO366" s="156"/>
      <c r="BP366" s="160"/>
      <c r="BQ366" s="160"/>
      <c r="BR366" s="160"/>
      <c r="BS366" s="160"/>
    </row>
    <row r="367" spans="1:71" x14ac:dyDescent="0.25">
      <c r="A367" s="154"/>
      <c r="B367" s="155"/>
      <c r="C367" s="155"/>
      <c r="D367" s="155"/>
      <c r="E367" s="156"/>
      <c r="F367" s="156"/>
      <c r="G367" s="155"/>
      <c r="H367" s="155"/>
      <c r="I367" s="155"/>
      <c r="J367" s="157"/>
      <c r="K367" s="157"/>
      <c r="L367" s="155"/>
      <c r="M367" s="155"/>
      <c r="N367" s="155"/>
      <c r="O367" s="156"/>
      <c r="P367" s="156"/>
      <c r="Q367" s="155"/>
      <c r="R367" s="155"/>
      <c r="S367" s="155"/>
      <c r="T367" s="156"/>
      <c r="U367" s="156"/>
      <c r="V367" s="155"/>
      <c r="W367" s="155"/>
      <c r="X367" s="155"/>
      <c r="Y367" s="155"/>
      <c r="Z367" s="155"/>
      <c r="AA367" s="156"/>
      <c r="AB367" s="156"/>
      <c r="AC367" s="155"/>
      <c r="AD367" s="155"/>
      <c r="AE367" s="155"/>
      <c r="AF367" s="156"/>
      <c r="AG367" s="156"/>
      <c r="AH367" s="155"/>
      <c r="AI367" s="155"/>
      <c r="AJ367" s="155"/>
      <c r="AK367" s="156"/>
      <c r="AL367" s="156"/>
      <c r="AM367" s="155"/>
      <c r="AN367" s="155"/>
      <c r="AO367" s="155"/>
      <c r="AP367" s="156"/>
      <c r="AQ367" s="156"/>
      <c r="AR367" s="155"/>
      <c r="AS367" s="155"/>
      <c r="AT367" s="155"/>
      <c r="AU367" s="156"/>
      <c r="AV367" s="156"/>
      <c r="AW367" s="155"/>
      <c r="AX367" s="155"/>
      <c r="AY367" s="155"/>
      <c r="AZ367" s="156"/>
      <c r="BA367" s="156"/>
      <c r="BB367" s="155"/>
      <c r="BC367" s="155"/>
      <c r="BD367" s="155"/>
      <c r="BE367" s="155"/>
      <c r="BF367" s="155"/>
      <c r="BG367" s="158"/>
      <c r="BH367" s="158"/>
      <c r="BI367" s="155"/>
      <c r="BJ367" s="155"/>
      <c r="BK367" s="159"/>
      <c r="BL367" s="156"/>
      <c r="BM367" s="156"/>
      <c r="BN367" s="156"/>
      <c r="BO367" s="156"/>
      <c r="BP367" s="160"/>
      <c r="BQ367" s="160"/>
      <c r="BR367" s="160"/>
      <c r="BS367" s="160"/>
    </row>
    <row r="368" spans="1:71" x14ac:dyDescent="0.25">
      <c r="A368" s="154"/>
      <c r="B368" s="155"/>
      <c r="C368" s="155"/>
      <c r="D368" s="155"/>
      <c r="E368" s="156"/>
      <c r="F368" s="156"/>
      <c r="G368" s="155"/>
      <c r="H368" s="155"/>
      <c r="I368" s="155"/>
      <c r="J368" s="157"/>
      <c r="K368" s="157"/>
      <c r="L368" s="155"/>
      <c r="M368" s="155"/>
      <c r="N368" s="155"/>
      <c r="O368" s="156"/>
      <c r="P368" s="156"/>
      <c r="Q368" s="155"/>
      <c r="R368" s="155"/>
      <c r="S368" s="155"/>
      <c r="T368" s="156"/>
      <c r="U368" s="156"/>
      <c r="V368" s="155"/>
      <c r="W368" s="155"/>
      <c r="X368" s="155"/>
      <c r="Y368" s="155"/>
      <c r="Z368" s="155"/>
      <c r="AA368" s="156"/>
      <c r="AB368" s="156"/>
      <c r="AC368" s="155"/>
      <c r="AD368" s="155"/>
      <c r="AE368" s="155"/>
      <c r="AF368" s="156"/>
      <c r="AG368" s="156"/>
      <c r="AH368" s="155"/>
      <c r="AI368" s="155"/>
      <c r="AJ368" s="155"/>
      <c r="AK368" s="156"/>
      <c r="AL368" s="156"/>
      <c r="AM368" s="155"/>
      <c r="AN368" s="155"/>
      <c r="AO368" s="155"/>
      <c r="AP368" s="156"/>
      <c r="AQ368" s="156"/>
      <c r="AR368" s="155"/>
      <c r="AS368" s="155"/>
      <c r="AT368" s="155"/>
      <c r="AU368" s="156"/>
      <c r="AV368" s="156"/>
      <c r="AW368" s="155"/>
      <c r="AX368" s="155"/>
      <c r="AY368" s="155"/>
      <c r="AZ368" s="156"/>
      <c r="BA368" s="156"/>
      <c r="BB368" s="155"/>
      <c r="BC368" s="155"/>
      <c r="BD368" s="155"/>
      <c r="BE368" s="155"/>
      <c r="BF368" s="155"/>
      <c r="BG368" s="158"/>
      <c r="BH368" s="158"/>
      <c r="BI368" s="155"/>
      <c r="BJ368" s="155"/>
      <c r="BK368" s="159"/>
      <c r="BL368" s="156"/>
      <c r="BM368" s="156"/>
      <c r="BN368" s="156"/>
      <c r="BO368" s="156"/>
      <c r="BP368" s="160"/>
      <c r="BQ368" s="160"/>
      <c r="BR368" s="160"/>
      <c r="BS368" s="160"/>
    </row>
    <row r="369" spans="1:71" x14ac:dyDescent="0.25">
      <c r="A369" s="154"/>
      <c r="B369" s="155"/>
      <c r="C369" s="155"/>
      <c r="D369" s="155"/>
      <c r="E369" s="156"/>
      <c r="F369" s="156"/>
      <c r="G369" s="155"/>
      <c r="H369" s="155"/>
      <c r="I369" s="155"/>
      <c r="J369" s="157"/>
      <c r="K369" s="157"/>
      <c r="L369" s="155"/>
      <c r="M369" s="155"/>
      <c r="N369" s="155"/>
      <c r="O369" s="156"/>
      <c r="P369" s="156"/>
      <c r="Q369" s="155"/>
      <c r="R369" s="155"/>
      <c r="S369" s="155"/>
      <c r="T369" s="156"/>
      <c r="U369" s="156"/>
      <c r="V369" s="155"/>
      <c r="W369" s="155"/>
      <c r="X369" s="155"/>
      <c r="Y369" s="155"/>
      <c r="Z369" s="155"/>
      <c r="AA369" s="156"/>
      <c r="AB369" s="156"/>
      <c r="AC369" s="155"/>
      <c r="AD369" s="155"/>
      <c r="AE369" s="155"/>
      <c r="AF369" s="156"/>
      <c r="AG369" s="156"/>
      <c r="AH369" s="155"/>
      <c r="AI369" s="155"/>
      <c r="AJ369" s="155"/>
      <c r="AK369" s="156"/>
      <c r="AL369" s="156"/>
      <c r="AM369" s="155"/>
      <c r="AN369" s="155"/>
      <c r="AO369" s="155"/>
      <c r="AP369" s="156"/>
      <c r="AQ369" s="156"/>
      <c r="AR369" s="155"/>
      <c r="AS369" s="155"/>
      <c r="AT369" s="155"/>
      <c r="AU369" s="156"/>
      <c r="AV369" s="156"/>
      <c r="AW369" s="155"/>
      <c r="AX369" s="155"/>
      <c r="AY369" s="155"/>
      <c r="AZ369" s="156"/>
      <c r="BA369" s="156"/>
      <c r="BB369" s="155"/>
      <c r="BC369" s="155"/>
      <c r="BD369" s="155"/>
      <c r="BE369" s="155"/>
      <c r="BF369" s="155"/>
      <c r="BG369" s="158"/>
      <c r="BH369" s="158"/>
      <c r="BI369" s="155"/>
      <c r="BJ369" s="155"/>
      <c r="BK369" s="159"/>
      <c r="BL369" s="156"/>
      <c r="BM369" s="156"/>
      <c r="BN369" s="156"/>
      <c r="BO369" s="156"/>
      <c r="BP369" s="160"/>
      <c r="BQ369" s="160"/>
      <c r="BR369" s="160"/>
      <c r="BS369" s="160"/>
    </row>
    <row r="370" spans="1:71" x14ac:dyDescent="0.25">
      <c r="A370" s="154"/>
      <c r="B370" s="155"/>
      <c r="C370" s="155"/>
      <c r="D370" s="155"/>
      <c r="E370" s="156"/>
      <c r="F370" s="156"/>
      <c r="G370" s="155"/>
      <c r="H370" s="155"/>
      <c r="I370" s="155"/>
      <c r="J370" s="157"/>
      <c r="K370" s="157"/>
      <c r="L370" s="155"/>
      <c r="M370" s="155"/>
      <c r="N370" s="155"/>
      <c r="O370" s="156"/>
      <c r="P370" s="156"/>
      <c r="Q370" s="155"/>
      <c r="R370" s="155"/>
      <c r="S370" s="155"/>
      <c r="T370" s="156"/>
      <c r="U370" s="156"/>
      <c r="V370" s="155"/>
      <c r="W370" s="155"/>
      <c r="X370" s="155"/>
      <c r="Y370" s="155"/>
      <c r="Z370" s="155"/>
      <c r="AA370" s="156"/>
      <c r="AB370" s="156"/>
      <c r="AC370" s="155"/>
      <c r="AD370" s="155"/>
      <c r="AE370" s="155"/>
      <c r="AF370" s="156"/>
      <c r="AG370" s="156"/>
      <c r="AH370" s="155"/>
      <c r="AI370" s="155"/>
      <c r="AJ370" s="155"/>
      <c r="AK370" s="156"/>
      <c r="AL370" s="156"/>
      <c r="AM370" s="155"/>
      <c r="AN370" s="155"/>
      <c r="AO370" s="155"/>
      <c r="AP370" s="156"/>
      <c r="AQ370" s="156"/>
      <c r="AR370" s="155"/>
      <c r="AS370" s="155"/>
      <c r="AT370" s="155"/>
      <c r="AU370" s="156"/>
      <c r="AV370" s="156"/>
      <c r="AW370" s="155"/>
      <c r="AX370" s="155"/>
      <c r="AY370" s="155"/>
      <c r="AZ370" s="156"/>
      <c r="BA370" s="156"/>
      <c r="BB370" s="155"/>
      <c r="BC370" s="155"/>
      <c r="BD370" s="155"/>
      <c r="BE370" s="155"/>
      <c r="BF370" s="155"/>
      <c r="BG370" s="158"/>
      <c r="BH370" s="158"/>
      <c r="BI370" s="155"/>
      <c r="BJ370" s="155"/>
      <c r="BK370" s="159"/>
      <c r="BL370" s="156"/>
      <c r="BM370" s="156"/>
      <c r="BN370" s="156"/>
      <c r="BO370" s="156"/>
      <c r="BP370" s="160"/>
      <c r="BQ370" s="160"/>
      <c r="BR370" s="160"/>
      <c r="BS370" s="160"/>
    </row>
    <row r="371" spans="1:71" x14ac:dyDescent="0.25">
      <c r="A371" s="154"/>
      <c r="B371" s="155"/>
      <c r="C371" s="155"/>
      <c r="D371" s="155"/>
      <c r="E371" s="156"/>
      <c r="F371" s="156"/>
      <c r="G371" s="155"/>
      <c r="H371" s="155"/>
      <c r="I371" s="155"/>
      <c r="J371" s="157"/>
      <c r="K371" s="157"/>
      <c r="L371" s="155"/>
      <c r="M371" s="155"/>
      <c r="N371" s="155"/>
      <c r="O371" s="156"/>
      <c r="P371" s="156"/>
      <c r="Q371" s="155"/>
      <c r="R371" s="155"/>
      <c r="S371" s="155"/>
      <c r="T371" s="156"/>
      <c r="U371" s="156"/>
      <c r="V371" s="155"/>
      <c r="W371" s="155"/>
      <c r="X371" s="155"/>
      <c r="Y371" s="155"/>
      <c r="Z371" s="155"/>
      <c r="AA371" s="156"/>
      <c r="AB371" s="156"/>
      <c r="AC371" s="155"/>
      <c r="AD371" s="155"/>
      <c r="AE371" s="155"/>
      <c r="AF371" s="156"/>
      <c r="AG371" s="156"/>
      <c r="AH371" s="155"/>
      <c r="AI371" s="155"/>
      <c r="AJ371" s="155"/>
      <c r="AK371" s="156"/>
      <c r="AL371" s="156"/>
      <c r="AM371" s="155"/>
      <c r="AN371" s="155"/>
      <c r="AO371" s="155"/>
      <c r="AP371" s="156"/>
      <c r="AQ371" s="156"/>
      <c r="AR371" s="155"/>
      <c r="AS371" s="155"/>
      <c r="AT371" s="155"/>
      <c r="AU371" s="156"/>
      <c r="AV371" s="156"/>
      <c r="AW371" s="155"/>
      <c r="AX371" s="155"/>
      <c r="AY371" s="155"/>
      <c r="AZ371" s="156"/>
      <c r="BA371" s="156"/>
      <c r="BB371" s="155"/>
      <c r="BC371" s="155"/>
      <c r="BD371" s="155"/>
      <c r="BE371" s="155"/>
      <c r="BF371" s="155"/>
      <c r="BG371" s="158"/>
      <c r="BH371" s="158"/>
      <c r="BI371" s="155"/>
      <c r="BJ371" s="155"/>
      <c r="BK371" s="159"/>
      <c r="BL371" s="156"/>
      <c r="BM371" s="156"/>
      <c r="BN371" s="156"/>
      <c r="BO371" s="156"/>
      <c r="BP371" s="160"/>
      <c r="BQ371" s="160"/>
      <c r="BR371" s="160"/>
      <c r="BS371" s="160"/>
    </row>
    <row r="372" spans="1:71" x14ac:dyDescent="0.25">
      <c r="A372" s="154"/>
      <c r="B372" s="155"/>
      <c r="C372" s="155"/>
      <c r="D372" s="155"/>
      <c r="E372" s="156"/>
      <c r="F372" s="156"/>
      <c r="G372" s="155"/>
      <c r="H372" s="155"/>
      <c r="I372" s="155"/>
      <c r="J372" s="157"/>
      <c r="K372" s="157"/>
      <c r="L372" s="155"/>
      <c r="M372" s="155"/>
      <c r="N372" s="155"/>
      <c r="O372" s="156"/>
      <c r="P372" s="156"/>
      <c r="Q372" s="155"/>
      <c r="R372" s="155"/>
      <c r="S372" s="155"/>
      <c r="T372" s="156"/>
      <c r="U372" s="156"/>
      <c r="V372" s="155"/>
      <c r="W372" s="155"/>
      <c r="X372" s="155"/>
      <c r="Y372" s="155"/>
      <c r="Z372" s="155"/>
      <c r="AA372" s="156"/>
      <c r="AB372" s="156"/>
      <c r="AC372" s="155"/>
      <c r="AD372" s="155"/>
      <c r="AE372" s="155"/>
      <c r="AF372" s="156"/>
      <c r="AG372" s="156"/>
      <c r="AH372" s="155"/>
      <c r="AI372" s="155"/>
      <c r="AJ372" s="155"/>
      <c r="AK372" s="156"/>
      <c r="AL372" s="156"/>
      <c r="AM372" s="155"/>
      <c r="AN372" s="155"/>
      <c r="AO372" s="155"/>
      <c r="AP372" s="156"/>
      <c r="AQ372" s="156"/>
      <c r="AR372" s="155"/>
      <c r="AS372" s="155"/>
      <c r="AT372" s="155"/>
      <c r="AU372" s="156"/>
      <c r="AV372" s="156"/>
      <c r="AW372" s="155"/>
      <c r="AX372" s="155"/>
      <c r="AY372" s="155"/>
      <c r="AZ372" s="156"/>
      <c r="BA372" s="156"/>
      <c r="BB372" s="155"/>
      <c r="BC372" s="155"/>
      <c r="BD372" s="155"/>
      <c r="BE372" s="155"/>
      <c r="BF372" s="155"/>
      <c r="BG372" s="158"/>
      <c r="BH372" s="158"/>
      <c r="BI372" s="155"/>
      <c r="BJ372" s="155"/>
      <c r="BK372" s="159"/>
      <c r="BL372" s="156"/>
      <c r="BM372" s="156"/>
      <c r="BN372" s="156"/>
      <c r="BO372" s="156"/>
      <c r="BP372" s="160"/>
      <c r="BQ372" s="160"/>
      <c r="BR372" s="160"/>
      <c r="BS372" s="160"/>
    </row>
    <row r="373" spans="1:71" x14ac:dyDescent="0.25">
      <c r="A373" s="154"/>
      <c r="B373" s="155"/>
      <c r="C373" s="155"/>
      <c r="D373" s="155"/>
      <c r="E373" s="156"/>
      <c r="F373" s="156"/>
      <c r="G373" s="155"/>
      <c r="H373" s="155"/>
      <c r="I373" s="155"/>
      <c r="J373" s="157"/>
      <c r="K373" s="157"/>
      <c r="L373" s="155"/>
      <c r="M373" s="155"/>
      <c r="N373" s="155"/>
      <c r="O373" s="156"/>
      <c r="P373" s="156"/>
      <c r="Q373" s="155"/>
      <c r="R373" s="155"/>
      <c r="S373" s="155"/>
      <c r="T373" s="156"/>
      <c r="U373" s="156"/>
      <c r="V373" s="155"/>
      <c r="W373" s="155"/>
      <c r="X373" s="155"/>
      <c r="Y373" s="155"/>
      <c r="Z373" s="155"/>
      <c r="AA373" s="156"/>
      <c r="AB373" s="156"/>
      <c r="AC373" s="155"/>
      <c r="AD373" s="155"/>
      <c r="AE373" s="155"/>
      <c r="AF373" s="156"/>
      <c r="AG373" s="156"/>
      <c r="AH373" s="155"/>
      <c r="AI373" s="155"/>
      <c r="AJ373" s="155"/>
      <c r="AK373" s="156"/>
      <c r="AL373" s="156"/>
      <c r="AM373" s="155"/>
      <c r="AN373" s="155"/>
      <c r="AO373" s="155"/>
      <c r="AP373" s="156"/>
      <c r="AQ373" s="156"/>
      <c r="AR373" s="155"/>
      <c r="AS373" s="155"/>
      <c r="AT373" s="155"/>
      <c r="AU373" s="156"/>
      <c r="AV373" s="156"/>
      <c r="AW373" s="155"/>
      <c r="AX373" s="155"/>
      <c r="AY373" s="155"/>
      <c r="AZ373" s="156"/>
      <c r="BA373" s="156"/>
      <c r="BB373" s="155"/>
      <c r="BC373" s="155"/>
      <c r="BD373" s="155"/>
      <c r="BE373" s="155"/>
      <c r="BF373" s="155"/>
      <c r="BG373" s="158"/>
      <c r="BH373" s="158"/>
      <c r="BI373" s="155"/>
      <c r="BJ373" s="155"/>
      <c r="BK373" s="159"/>
      <c r="BL373" s="156"/>
      <c r="BM373" s="156"/>
      <c r="BN373" s="156"/>
      <c r="BO373" s="156"/>
      <c r="BP373" s="160"/>
      <c r="BQ373" s="160"/>
      <c r="BR373" s="160"/>
      <c r="BS373" s="160"/>
    </row>
    <row r="374" spans="1:71" x14ac:dyDescent="0.25">
      <c r="A374" s="154"/>
      <c r="B374" s="155"/>
      <c r="C374" s="155"/>
      <c r="D374" s="155"/>
      <c r="E374" s="156"/>
      <c r="F374" s="156"/>
      <c r="G374" s="155"/>
      <c r="H374" s="155"/>
      <c r="I374" s="155"/>
      <c r="J374" s="157"/>
      <c r="K374" s="157"/>
      <c r="L374" s="155"/>
      <c r="M374" s="155"/>
      <c r="N374" s="155"/>
      <c r="O374" s="156"/>
      <c r="P374" s="156"/>
      <c r="Q374" s="155"/>
      <c r="R374" s="155"/>
      <c r="S374" s="155"/>
      <c r="T374" s="156"/>
      <c r="U374" s="156"/>
      <c r="V374" s="155"/>
      <c r="W374" s="155"/>
      <c r="X374" s="155"/>
      <c r="Y374" s="155"/>
      <c r="Z374" s="155"/>
      <c r="AA374" s="156"/>
      <c r="AB374" s="156"/>
      <c r="AC374" s="155"/>
      <c r="AD374" s="155"/>
      <c r="AE374" s="155"/>
      <c r="AF374" s="156"/>
      <c r="AG374" s="156"/>
      <c r="AH374" s="155"/>
      <c r="AI374" s="155"/>
      <c r="AJ374" s="155"/>
      <c r="AK374" s="156"/>
      <c r="AL374" s="156"/>
      <c r="AM374" s="155"/>
      <c r="AN374" s="155"/>
      <c r="AO374" s="155"/>
      <c r="AP374" s="156"/>
      <c r="AQ374" s="156"/>
      <c r="AR374" s="155"/>
      <c r="AS374" s="155"/>
      <c r="AT374" s="155"/>
      <c r="AU374" s="156"/>
      <c r="AV374" s="156"/>
      <c r="AW374" s="155"/>
      <c r="AX374" s="155"/>
      <c r="AY374" s="155"/>
      <c r="AZ374" s="156"/>
      <c r="BA374" s="156"/>
      <c r="BB374" s="155"/>
      <c r="BC374" s="155"/>
      <c r="BD374" s="155"/>
      <c r="BE374" s="155"/>
      <c r="BF374" s="155"/>
      <c r="BG374" s="158"/>
      <c r="BH374" s="158"/>
      <c r="BI374" s="155"/>
      <c r="BJ374" s="155"/>
      <c r="BK374" s="159"/>
      <c r="BL374" s="156"/>
      <c r="BM374" s="156"/>
      <c r="BN374" s="156"/>
      <c r="BO374" s="156"/>
      <c r="BP374" s="160"/>
      <c r="BQ374" s="160"/>
      <c r="BR374" s="160"/>
      <c r="BS374" s="160"/>
    </row>
    <row r="375" spans="1:71" x14ac:dyDescent="0.25">
      <c r="A375" s="154"/>
      <c r="B375" s="155"/>
      <c r="C375" s="155"/>
      <c r="D375" s="155"/>
      <c r="E375" s="156"/>
      <c r="F375" s="156"/>
      <c r="G375" s="155"/>
      <c r="H375" s="155"/>
      <c r="I375" s="155"/>
      <c r="J375" s="157"/>
      <c r="K375" s="157"/>
      <c r="L375" s="155"/>
      <c r="M375" s="155"/>
      <c r="N375" s="155"/>
      <c r="O375" s="156"/>
      <c r="P375" s="156"/>
      <c r="Q375" s="155"/>
      <c r="R375" s="155"/>
      <c r="S375" s="155"/>
      <c r="T375" s="156"/>
      <c r="U375" s="156"/>
      <c r="V375" s="155"/>
      <c r="W375" s="155"/>
      <c r="X375" s="155"/>
      <c r="Y375" s="155"/>
      <c r="Z375" s="155"/>
      <c r="AA375" s="156"/>
      <c r="AB375" s="156"/>
      <c r="AC375" s="155"/>
      <c r="AD375" s="155"/>
      <c r="AE375" s="155"/>
      <c r="AF375" s="156"/>
      <c r="AG375" s="156"/>
      <c r="AH375" s="155"/>
      <c r="AI375" s="155"/>
      <c r="AJ375" s="155"/>
      <c r="AK375" s="156"/>
      <c r="AL375" s="156"/>
      <c r="AM375" s="155"/>
      <c r="AN375" s="155"/>
      <c r="AO375" s="155"/>
      <c r="AP375" s="156"/>
      <c r="AQ375" s="156"/>
      <c r="AR375" s="155"/>
      <c r="AS375" s="155"/>
      <c r="AT375" s="155"/>
      <c r="AU375" s="156"/>
      <c r="AV375" s="156"/>
      <c r="AW375" s="155"/>
      <c r="AX375" s="155"/>
      <c r="AY375" s="155"/>
      <c r="AZ375" s="156"/>
      <c r="BA375" s="156"/>
      <c r="BB375" s="155"/>
      <c r="BC375" s="155"/>
      <c r="BD375" s="155"/>
      <c r="BE375" s="155"/>
      <c r="BF375" s="155"/>
      <c r="BG375" s="158"/>
      <c r="BH375" s="158"/>
      <c r="BI375" s="155"/>
      <c r="BJ375" s="155"/>
      <c r="BK375" s="159"/>
      <c r="BL375" s="156"/>
      <c r="BM375" s="156"/>
      <c r="BN375" s="156"/>
      <c r="BO375" s="156"/>
      <c r="BP375" s="160"/>
      <c r="BQ375" s="160"/>
      <c r="BR375" s="160"/>
      <c r="BS375" s="160"/>
    </row>
    <row r="376" spans="1:71" x14ac:dyDescent="0.25">
      <c r="A376" s="154"/>
      <c r="B376" s="155"/>
      <c r="C376" s="155"/>
      <c r="D376" s="155"/>
      <c r="E376" s="156"/>
      <c r="F376" s="156"/>
      <c r="G376" s="155"/>
      <c r="H376" s="155"/>
      <c r="I376" s="155"/>
      <c r="J376" s="157"/>
      <c r="K376" s="157"/>
      <c r="L376" s="155"/>
      <c r="M376" s="155"/>
      <c r="N376" s="155"/>
      <c r="O376" s="156"/>
      <c r="P376" s="156"/>
      <c r="Q376" s="155"/>
      <c r="R376" s="155"/>
      <c r="S376" s="155"/>
      <c r="T376" s="156"/>
      <c r="U376" s="156"/>
      <c r="V376" s="155"/>
      <c r="W376" s="155"/>
      <c r="X376" s="155"/>
      <c r="Y376" s="155"/>
      <c r="Z376" s="155"/>
      <c r="AA376" s="156"/>
      <c r="AB376" s="156"/>
      <c r="AC376" s="155"/>
      <c r="AD376" s="155"/>
      <c r="AE376" s="155"/>
      <c r="AF376" s="156"/>
      <c r="AG376" s="156"/>
      <c r="AH376" s="155"/>
      <c r="AI376" s="155"/>
      <c r="AJ376" s="155"/>
      <c r="AK376" s="156"/>
      <c r="AL376" s="156"/>
      <c r="AM376" s="155"/>
      <c r="AN376" s="155"/>
      <c r="AO376" s="155"/>
      <c r="AP376" s="156"/>
      <c r="AQ376" s="156"/>
      <c r="AR376" s="155"/>
      <c r="AS376" s="155"/>
      <c r="AT376" s="155"/>
      <c r="AU376" s="156"/>
      <c r="AV376" s="156"/>
      <c r="AW376" s="155"/>
      <c r="AX376" s="155"/>
      <c r="AY376" s="155"/>
      <c r="AZ376" s="156"/>
      <c r="BA376" s="156"/>
      <c r="BB376" s="155"/>
      <c r="BC376" s="155"/>
      <c r="BD376" s="155"/>
      <c r="BE376" s="155"/>
      <c r="BF376" s="155"/>
      <c r="BG376" s="158"/>
      <c r="BH376" s="158"/>
      <c r="BI376" s="155"/>
      <c r="BJ376" s="155"/>
      <c r="BK376" s="159"/>
      <c r="BL376" s="156"/>
      <c r="BM376" s="156"/>
      <c r="BN376" s="156"/>
      <c r="BO376" s="156"/>
      <c r="BP376" s="160"/>
      <c r="BQ376" s="160"/>
      <c r="BR376" s="160"/>
      <c r="BS376" s="160"/>
    </row>
    <row r="377" spans="1:71" x14ac:dyDescent="0.25">
      <c r="A377" s="154"/>
      <c r="B377" s="155"/>
      <c r="C377" s="155"/>
      <c r="D377" s="155"/>
      <c r="E377" s="156"/>
      <c r="F377" s="156"/>
      <c r="G377" s="155"/>
      <c r="H377" s="155"/>
      <c r="I377" s="155"/>
      <c r="J377" s="157"/>
      <c r="K377" s="157"/>
      <c r="L377" s="155"/>
      <c r="M377" s="155"/>
      <c r="N377" s="155"/>
      <c r="O377" s="156"/>
      <c r="P377" s="156"/>
      <c r="Q377" s="155"/>
      <c r="R377" s="155"/>
      <c r="S377" s="155"/>
      <c r="T377" s="156"/>
      <c r="U377" s="156"/>
      <c r="V377" s="155"/>
      <c r="W377" s="155"/>
      <c r="X377" s="155"/>
      <c r="Y377" s="155"/>
      <c r="Z377" s="155"/>
      <c r="AA377" s="156"/>
      <c r="AB377" s="156"/>
      <c r="AC377" s="155"/>
      <c r="AD377" s="155"/>
      <c r="AE377" s="155"/>
      <c r="AF377" s="156"/>
      <c r="AG377" s="156"/>
      <c r="AH377" s="155"/>
      <c r="AI377" s="155"/>
      <c r="AJ377" s="155"/>
      <c r="AK377" s="156"/>
      <c r="AL377" s="156"/>
      <c r="AM377" s="155"/>
      <c r="AN377" s="155"/>
      <c r="AO377" s="155"/>
      <c r="AP377" s="156"/>
      <c r="AQ377" s="156"/>
      <c r="AR377" s="155"/>
      <c r="AS377" s="155"/>
      <c r="AT377" s="155"/>
      <c r="AU377" s="156"/>
      <c r="AV377" s="156"/>
      <c r="AW377" s="155"/>
      <c r="AX377" s="155"/>
      <c r="AY377" s="155"/>
      <c r="AZ377" s="156"/>
      <c r="BA377" s="156"/>
      <c r="BB377" s="155"/>
      <c r="BC377" s="155"/>
      <c r="BD377" s="155"/>
      <c r="BE377" s="155"/>
      <c r="BF377" s="155"/>
      <c r="BG377" s="158"/>
      <c r="BH377" s="158"/>
      <c r="BI377" s="155"/>
      <c r="BJ377" s="155"/>
      <c r="BK377" s="159"/>
      <c r="BL377" s="156"/>
      <c r="BM377" s="156"/>
      <c r="BN377" s="156"/>
      <c r="BO377" s="156"/>
      <c r="BP377" s="160"/>
      <c r="BQ377" s="160"/>
      <c r="BR377" s="160"/>
      <c r="BS377" s="160"/>
    </row>
    <row r="378" spans="1:71" x14ac:dyDescent="0.25">
      <c r="A378" s="154"/>
      <c r="B378" s="155"/>
      <c r="C378" s="155"/>
      <c r="D378" s="155"/>
      <c r="E378" s="156"/>
      <c r="F378" s="156"/>
      <c r="G378" s="155"/>
      <c r="H378" s="155"/>
      <c r="I378" s="155"/>
      <c r="J378" s="157"/>
      <c r="K378" s="157"/>
      <c r="L378" s="155"/>
      <c r="M378" s="155"/>
      <c r="N378" s="155"/>
      <c r="O378" s="156"/>
      <c r="P378" s="156"/>
      <c r="Q378" s="155"/>
      <c r="R378" s="155"/>
      <c r="S378" s="155"/>
      <c r="T378" s="156"/>
      <c r="U378" s="156"/>
      <c r="V378" s="155"/>
      <c r="W378" s="155"/>
      <c r="X378" s="155"/>
      <c r="Y378" s="155"/>
      <c r="Z378" s="155"/>
      <c r="AA378" s="156"/>
      <c r="AB378" s="156"/>
      <c r="AC378" s="155"/>
      <c r="AD378" s="155"/>
      <c r="AE378" s="155"/>
      <c r="AF378" s="156"/>
      <c r="AG378" s="156"/>
      <c r="AH378" s="155"/>
      <c r="AI378" s="155"/>
      <c r="AJ378" s="155"/>
      <c r="AK378" s="156"/>
      <c r="AL378" s="156"/>
      <c r="AM378" s="155"/>
      <c r="AN378" s="155"/>
      <c r="AO378" s="155"/>
      <c r="AP378" s="156"/>
      <c r="AQ378" s="156"/>
      <c r="AR378" s="155"/>
      <c r="AS378" s="155"/>
      <c r="AT378" s="155"/>
      <c r="AU378" s="156"/>
      <c r="AV378" s="156"/>
      <c r="AW378" s="155"/>
      <c r="AX378" s="155"/>
      <c r="AY378" s="155"/>
      <c r="AZ378" s="156"/>
      <c r="BA378" s="156"/>
      <c r="BB378" s="155"/>
      <c r="BC378" s="155"/>
      <c r="BD378" s="155"/>
      <c r="BE378" s="155"/>
      <c r="BF378" s="155"/>
      <c r="BG378" s="158"/>
      <c r="BH378" s="158"/>
      <c r="BI378" s="155"/>
      <c r="BJ378" s="155"/>
      <c r="BK378" s="159"/>
      <c r="BL378" s="156"/>
      <c r="BM378" s="156"/>
      <c r="BN378" s="156"/>
      <c r="BO378" s="156"/>
      <c r="BP378" s="160"/>
      <c r="BQ378" s="160"/>
      <c r="BR378" s="160"/>
      <c r="BS378" s="160"/>
    </row>
    <row r="379" spans="1:71" x14ac:dyDescent="0.25">
      <c r="A379" s="154"/>
      <c r="B379" s="155"/>
      <c r="C379" s="155"/>
      <c r="D379" s="155"/>
      <c r="E379" s="156"/>
      <c r="F379" s="156"/>
      <c r="G379" s="155"/>
      <c r="H379" s="155"/>
      <c r="I379" s="155"/>
      <c r="J379" s="157"/>
      <c r="K379" s="157"/>
      <c r="L379" s="155"/>
      <c r="M379" s="155"/>
      <c r="N379" s="155"/>
      <c r="O379" s="156"/>
      <c r="P379" s="156"/>
      <c r="Q379" s="155"/>
      <c r="R379" s="155"/>
      <c r="S379" s="155"/>
      <c r="T379" s="156"/>
      <c r="U379" s="156"/>
      <c r="V379" s="155"/>
      <c r="W379" s="155"/>
      <c r="X379" s="155"/>
      <c r="Y379" s="155"/>
      <c r="Z379" s="155"/>
      <c r="AA379" s="156"/>
      <c r="AB379" s="156"/>
      <c r="AC379" s="155"/>
      <c r="AD379" s="155"/>
      <c r="AE379" s="155"/>
      <c r="AF379" s="156"/>
      <c r="AG379" s="156"/>
      <c r="AH379" s="155"/>
      <c r="AI379" s="155"/>
      <c r="AJ379" s="155"/>
      <c r="AK379" s="156"/>
      <c r="AL379" s="156"/>
      <c r="AM379" s="155"/>
      <c r="AN379" s="155"/>
      <c r="AO379" s="155"/>
      <c r="AP379" s="156"/>
      <c r="AQ379" s="156"/>
      <c r="AR379" s="155"/>
      <c r="AS379" s="155"/>
      <c r="AT379" s="155"/>
      <c r="AU379" s="156"/>
      <c r="AV379" s="156"/>
      <c r="AW379" s="155"/>
      <c r="AX379" s="155"/>
      <c r="AY379" s="155"/>
      <c r="AZ379" s="156"/>
      <c r="BA379" s="156"/>
      <c r="BB379" s="155"/>
      <c r="BC379" s="155"/>
      <c r="BD379" s="155"/>
      <c r="BE379" s="155"/>
      <c r="BF379" s="155"/>
      <c r="BG379" s="158"/>
      <c r="BH379" s="158"/>
      <c r="BI379" s="155"/>
      <c r="BJ379" s="155"/>
      <c r="BK379" s="159"/>
      <c r="BL379" s="156"/>
      <c r="BM379" s="156"/>
      <c r="BN379" s="156"/>
      <c r="BO379" s="156"/>
      <c r="BP379" s="160"/>
      <c r="BQ379" s="160"/>
      <c r="BR379" s="160"/>
      <c r="BS379" s="160"/>
    </row>
    <row r="380" spans="1:71" x14ac:dyDescent="0.25">
      <c r="A380" s="154"/>
      <c r="B380" s="155"/>
      <c r="C380" s="155"/>
      <c r="D380" s="155"/>
      <c r="E380" s="156"/>
      <c r="F380" s="156"/>
      <c r="G380" s="155"/>
      <c r="H380" s="155"/>
      <c r="I380" s="155"/>
      <c r="J380" s="157"/>
      <c r="K380" s="157"/>
      <c r="L380" s="155"/>
      <c r="M380" s="155"/>
      <c r="N380" s="155"/>
      <c r="O380" s="156"/>
      <c r="P380" s="156"/>
      <c r="Q380" s="155"/>
      <c r="R380" s="155"/>
      <c r="S380" s="155"/>
      <c r="T380" s="156"/>
      <c r="U380" s="156"/>
      <c r="V380" s="155"/>
      <c r="W380" s="155"/>
      <c r="X380" s="155"/>
      <c r="Y380" s="155"/>
      <c r="Z380" s="155"/>
      <c r="AA380" s="156"/>
      <c r="AB380" s="156"/>
      <c r="AC380" s="155"/>
      <c r="AD380" s="155"/>
      <c r="AE380" s="155"/>
      <c r="AF380" s="156"/>
      <c r="AG380" s="156"/>
      <c r="AH380" s="155"/>
      <c r="AI380" s="155"/>
      <c r="AJ380" s="155"/>
      <c r="AK380" s="156"/>
      <c r="AL380" s="156"/>
      <c r="AM380" s="155"/>
      <c r="AN380" s="155"/>
      <c r="AO380" s="155"/>
      <c r="AP380" s="156"/>
      <c r="AQ380" s="156"/>
      <c r="AR380" s="155"/>
      <c r="AS380" s="155"/>
      <c r="AT380" s="155"/>
      <c r="AU380" s="156"/>
      <c r="AV380" s="156"/>
      <c r="AW380" s="155"/>
      <c r="AX380" s="155"/>
      <c r="AY380" s="155"/>
      <c r="AZ380" s="156"/>
      <c r="BA380" s="156"/>
      <c r="BB380" s="155"/>
      <c r="BC380" s="155"/>
      <c r="BD380" s="155"/>
      <c r="BE380" s="155"/>
      <c r="BF380" s="155"/>
      <c r="BG380" s="158"/>
      <c r="BH380" s="158"/>
      <c r="BI380" s="155"/>
      <c r="BJ380" s="155"/>
      <c r="BK380" s="159"/>
      <c r="BL380" s="156"/>
      <c r="BM380" s="156"/>
      <c r="BN380" s="156"/>
      <c r="BO380" s="156"/>
      <c r="BP380" s="160"/>
      <c r="BQ380" s="160"/>
      <c r="BR380" s="160"/>
      <c r="BS380" s="160"/>
    </row>
    <row r="381" spans="1:71" x14ac:dyDescent="0.25">
      <c r="A381" s="154"/>
      <c r="B381" s="155"/>
      <c r="C381" s="155"/>
      <c r="D381" s="155"/>
      <c r="E381" s="156"/>
      <c r="F381" s="156"/>
      <c r="G381" s="155"/>
      <c r="H381" s="155"/>
      <c r="I381" s="155"/>
      <c r="J381" s="157"/>
      <c r="K381" s="157"/>
      <c r="L381" s="155"/>
      <c r="M381" s="155"/>
      <c r="N381" s="155"/>
      <c r="O381" s="156"/>
      <c r="P381" s="156"/>
      <c r="Q381" s="155"/>
      <c r="R381" s="155"/>
      <c r="S381" s="155"/>
      <c r="T381" s="156"/>
      <c r="U381" s="156"/>
      <c r="V381" s="155"/>
      <c r="W381" s="155"/>
      <c r="X381" s="155"/>
      <c r="Y381" s="155"/>
      <c r="Z381" s="155"/>
      <c r="AA381" s="156"/>
      <c r="AB381" s="156"/>
      <c r="AC381" s="155"/>
      <c r="AD381" s="155"/>
      <c r="AE381" s="155"/>
      <c r="AF381" s="156"/>
      <c r="AG381" s="156"/>
      <c r="AH381" s="155"/>
      <c r="AI381" s="155"/>
      <c r="AJ381" s="155"/>
      <c r="AK381" s="156"/>
      <c r="AL381" s="156"/>
      <c r="AM381" s="155"/>
      <c r="AN381" s="155"/>
      <c r="AO381" s="155"/>
      <c r="AP381" s="156"/>
      <c r="AQ381" s="156"/>
      <c r="AR381" s="155"/>
      <c r="AS381" s="155"/>
      <c r="AT381" s="155"/>
      <c r="AU381" s="156"/>
      <c r="AV381" s="156"/>
      <c r="AW381" s="155"/>
      <c r="AX381" s="155"/>
      <c r="AY381" s="155"/>
      <c r="AZ381" s="156"/>
      <c r="BA381" s="156"/>
      <c r="BB381" s="155"/>
      <c r="BC381" s="155"/>
      <c r="BD381" s="155"/>
      <c r="BE381" s="155"/>
      <c r="BF381" s="155"/>
      <c r="BG381" s="158"/>
      <c r="BH381" s="158"/>
      <c r="BI381" s="155"/>
      <c r="BJ381" s="155"/>
      <c r="BK381" s="159"/>
      <c r="BL381" s="156"/>
      <c r="BM381" s="156"/>
      <c r="BN381" s="156"/>
      <c r="BO381" s="156"/>
      <c r="BP381" s="160"/>
      <c r="BQ381" s="160"/>
      <c r="BR381" s="160"/>
      <c r="BS381" s="160"/>
    </row>
    <row r="382" spans="1:71" x14ac:dyDescent="0.25">
      <c r="A382" s="154"/>
      <c r="B382" s="155"/>
      <c r="C382" s="155"/>
      <c r="D382" s="155"/>
      <c r="E382" s="156"/>
      <c r="F382" s="156"/>
      <c r="G382" s="155"/>
      <c r="H382" s="155"/>
      <c r="I382" s="155"/>
      <c r="J382" s="157"/>
      <c r="K382" s="157"/>
      <c r="L382" s="155"/>
      <c r="M382" s="155"/>
      <c r="N382" s="155"/>
      <c r="O382" s="156"/>
      <c r="P382" s="156"/>
      <c r="Q382" s="155"/>
      <c r="R382" s="155"/>
      <c r="S382" s="155"/>
      <c r="T382" s="156"/>
      <c r="U382" s="156"/>
      <c r="V382" s="155"/>
      <c r="W382" s="155"/>
      <c r="X382" s="155"/>
      <c r="Y382" s="155"/>
      <c r="Z382" s="155"/>
      <c r="AA382" s="156"/>
      <c r="AB382" s="156"/>
      <c r="AC382" s="155"/>
      <c r="AD382" s="155"/>
      <c r="AE382" s="155"/>
      <c r="AF382" s="156"/>
      <c r="AG382" s="156"/>
      <c r="AH382" s="155"/>
      <c r="AI382" s="155"/>
      <c r="AJ382" s="155"/>
      <c r="AK382" s="156"/>
      <c r="AL382" s="156"/>
      <c r="AM382" s="155"/>
      <c r="AN382" s="155"/>
      <c r="AO382" s="155"/>
      <c r="AP382" s="156"/>
      <c r="AQ382" s="156"/>
      <c r="AR382" s="155"/>
      <c r="AS382" s="155"/>
      <c r="AT382" s="155"/>
      <c r="AU382" s="156"/>
      <c r="AV382" s="156"/>
      <c r="AW382" s="155"/>
      <c r="AX382" s="155"/>
      <c r="AY382" s="155"/>
      <c r="AZ382" s="156"/>
      <c r="BA382" s="156"/>
      <c r="BB382" s="155"/>
      <c r="BC382" s="155"/>
      <c r="BD382" s="155"/>
      <c r="BE382" s="155"/>
      <c r="BF382" s="155"/>
      <c r="BG382" s="158"/>
      <c r="BH382" s="158"/>
      <c r="BI382" s="155"/>
      <c r="BJ382" s="155"/>
      <c r="BK382" s="159"/>
      <c r="BL382" s="156"/>
      <c r="BM382" s="156"/>
      <c r="BN382" s="156"/>
      <c r="BO382" s="156"/>
      <c r="BP382" s="160"/>
      <c r="BQ382" s="160"/>
      <c r="BR382" s="160"/>
      <c r="BS382" s="160"/>
    </row>
    <row r="383" spans="1:71" x14ac:dyDescent="0.25">
      <c r="A383" s="154"/>
      <c r="B383" s="155"/>
      <c r="C383" s="155"/>
      <c r="D383" s="155"/>
      <c r="E383" s="156"/>
      <c r="F383" s="156"/>
      <c r="G383" s="155"/>
      <c r="H383" s="155"/>
      <c r="I383" s="155"/>
      <c r="J383" s="157"/>
      <c r="K383" s="157"/>
      <c r="L383" s="155"/>
      <c r="M383" s="155"/>
      <c r="N383" s="155"/>
      <c r="O383" s="156"/>
      <c r="P383" s="156"/>
      <c r="Q383" s="155"/>
      <c r="R383" s="155"/>
      <c r="S383" s="155"/>
      <c r="T383" s="156"/>
      <c r="U383" s="156"/>
      <c r="V383" s="155"/>
      <c r="W383" s="155"/>
      <c r="X383" s="155"/>
      <c r="Y383" s="155"/>
      <c r="Z383" s="155"/>
      <c r="AA383" s="156"/>
      <c r="AB383" s="156"/>
      <c r="AC383" s="155"/>
      <c r="AD383" s="155"/>
      <c r="AE383" s="155"/>
      <c r="AF383" s="156"/>
      <c r="AG383" s="156"/>
      <c r="AH383" s="155"/>
      <c r="AI383" s="155"/>
      <c r="AJ383" s="155"/>
      <c r="AK383" s="156"/>
      <c r="AL383" s="156"/>
      <c r="AM383" s="155"/>
      <c r="AN383" s="155"/>
      <c r="AO383" s="155"/>
      <c r="AP383" s="156"/>
      <c r="AQ383" s="156"/>
      <c r="AR383" s="155"/>
      <c r="AS383" s="155"/>
      <c r="AT383" s="155"/>
      <c r="AU383" s="156"/>
      <c r="AV383" s="156"/>
      <c r="AW383" s="155"/>
      <c r="AX383" s="155"/>
      <c r="AY383" s="155"/>
      <c r="AZ383" s="156"/>
      <c r="BA383" s="156"/>
      <c r="BB383" s="155"/>
      <c r="BC383" s="155"/>
      <c r="BD383" s="155"/>
      <c r="BE383" s="155"/>
      <c r="BF383" s="155"/>
      <c r="BG383" s="158"/>
      <c r="BH383" s="158"/>
      <c r="BI383" s="155"/>
      <c r="BJ383" s="155"/>
      <c r="BK383" s="159"/>
      <c r="BL383" s="156"/>
      <c r="BM383" s="156"/>
      <c r="BN383" s="156"/>
      <c r="BO383" s="156"/>
      <c r="BP383" s="160"/>
      <c r="BQ383" s="160"/>
      <c r="BR383" s="160"/>
      <c r="BS383" s="160"/>
    </row>
    <row r="384" spans="1:71" x14ac:dyDescent="0.25">
      <c r="A384" s="154"/>
      <c r="B384" s="155"/>
      <c r="C384" s="155"/>
      <c r="D384" s="155"/>
      <c r="E384" s="156"/>
      <c r="F384" s="156"/>
      <c r="G384" s="155"/>
      <c r="H384" s="155"/>
      <c r="I384" s="155"/>
      <c r="J384" s="157"/>
      <c r="K384" s="157"/>
      <c r="L384" s="155"/>
      <c r="M384" s="155"/>
      <c r="N384" s="155"/>
      <c r="O384" s="156"/>
      <c r="P384" s="156"/>
      <c r="Q384" s="155"/>
      <c r="R384" s="155"/>
      <c r="S384" s="155"/>
      <c r="T384" s="156"/>
      <c r="U384" s="156"/>
      <c r="V384" s="155"/>
      <c r="W384" s="155"/>
      <c r="X384" s="155"/>
      <c r="Y384" s="155"/>
      <c r="Z384" s="155"/>
      <c r="AA384" s="156"/>
      <c r="AB384" s="156"/>
      <c r="AC384" s="155"/>
      <c r="AD384" s="155"/>
      <c r="AE384" s="155"/>
      <c r="AF384" s="156"/>
      <c r="AG384" s="156"/>
      <c r="AH384" s="155"/>
      <c r="AI384" s="155"/>
      <c r="AJ384" s="155"/>
      <c r="AK384" s="156"/>
      <c r="AL384" s="156"/>
      <c r="AM384" s="155"/>
      <c r="AN384" s="155"/>
      <c r="AO384" s="155"/>
      <c r="AP384" s="156"/>
      <c r="AQ384" s="156"/>
      <c r="AR384" s="155"/>
      <c r="AS384" s="155"/>
      <c r="AT384" s="155"/>
      <c r="AU384" s="156"/>
      <c r="AV384" s="156"/>
      <c r="AW384" s="155"/>
      <c r="AX384" s="155"/>
      <c r="AY384" s="155"/>
      <c r="AZ384" s="156"/>
      <c r="BA384" s="156"/>
      <c r="BB384" s="155"/>
      <c r="BC384" s="155"/>
      <c r="BD384" s="155"/>
      <c r="BE384" s="155"/>
      <c r="BF384" s="155"/>
      <c r="BG384" s="158"/>
      <c r="BH384" s="158"/>
      <c r="BI384" s="155"/>
      <c r="BJ384" s="155"/>
      <c r="BK384" s="159"/>
      <c r="BL384" s="156"/>
      <c r="BM384" s="156"/>
      <c r="BN384" s="156"/>
      <c r="BO384" s="156"/>
      <c r="BP384" s="160"/>
      <c r="BQ384" s="160"/>
      <c r="BR384" s="160"/>
      <c r="BS384" s="160"/>
    </row>
    <row r="385" spans="1:71" x14ac:dyDescent="0.25">
      <c r="A385" s="154"/>
      <c r="B385" s="155"/>
      <c r="C385" s="155"/>
      <c r="D385" s="155"/>
      <c r="E385" s="156"/>
      <c r="F385" s="156"/>
      <c r="G385" s="155"/>
      <c r="H385" s="155"/>
      <c r="I385" s="155"/>
      <c r="J385" s="157"/>
      <c r="K385" s="157"/>
      <c r="L385" s="155"/>
      <c r="M385" s="155"/>
      <c r="N385" s="155"/>
      <c r="O385" s="156"/>
      <c r="P385" s="156"/>
      <c r="Q385" s="155"/>
      <c r="R385" s="155"/>
      <c r="S385" s="155"/>
      <c r="T385" s="156"/>
      <c r="U385" s="156"/>
      <c r="V385" s="155"/>
      <c r="W385" s="155"/>
      <c r="X385" s="155"/>
      <c r="Y385" s="155"/>
      <c r="Z385" s="155"/>
      <c r="AA385" s="156"/>
      <c r="AB385" s="156"/>
      <c r="AC385" s="155"/>
      <c r="AD385" s="155"/>
      <c r="AE385" s="155"/>
      <c r="AF385" s="156"/>
      <c r="AG385" s="156"/>
      <c r="AH385" s="155"/>
      <c r="AI385" s="155"/>
      <c r="AJ385" s="155"/>
      <c r="AK385" s="156"/>
      <c r="AL385" s="156"/>
      <c r="AM385" s="155"/>
      <c r="AN385" s="155"/>
      <c r="AO385" s="155"/>
      <c r="AP385" s="156"/>
      <c r="AQ385" s="156"/>
      <c r="AR385" s="155"/>
      <c r="AS385" s="155"/>
      <c r="AT385" s="155"/>
      <c r="AU385" s="156"/>
      <c r="AV385" s="156"/>
      <c r="AW385" s="155"/>
      <c r="AX385" s="155"/>
      <c r="AY385" s="155"/>
      <c r="AZ385" s="156"/>
      <c r="BA385" s="156"/>
      <c r="BB385" s="155"/>
      <c r="BC385" s="155"/>
      <c r="BD385" s="155"/>
      <c r="BE385" s="155"/>
      <c r="BF385" s="155"/>
      <c r="BG385" s="158"/>
      <c r="BH385" s="158"/>
      <c r="BI385" s="155"/>
      <c r="BJ385" s="155"/>
      <c r="BK385" s="159"/>
      <c r="BL385" s="156"/>
      <c r="BM385" s="156"/>
      <c r="BN385" s="156"/>
      <c r="BO385" s="156"/>
      <c r="BP385" s="160"/>
      <c r="BQ385" s="160"/>
      <c r="BR385" s="160"/>
      <c r="BS385" s="160"/>
    </row>
    <row r="386" spans="1:71" x14ac:dyDescent="0.25">
      <c r="A386" s="154"/>
      <c r="B386" s="155"/>
      <c r="C386" s="155"/>
      <c r="D386" s="155"/>
      <c r="E386" s="156"/>
      <c r="F386" s="156"/>
      <c r="G386" s="155"/>
      <c r="H386" s="155"/>
      <c r="I386" s="155"/>
      <c r="J386" s="157"/>
      <c r="K386" s="157"/>
      <c r="L386" s="155"/>
      <c r="M386" s="155"/>
      <c r="N386" s="155"/>
      <c r="O386" s="156"/>
      <c r="P386" s="156"/>
      <c r="Q386" s="155"/>
      <c r="R386" s="155"/>
      <c r="S386" s="155"/>
      <c r="T386" s="156"/>
      <c r="U386" s="156"/>
      <c r="V386" s="155"/>
      <c r="W386" s="155"/>
      <c r="X386" s="155"/>
      <c r="Y386" s="155"/>
      <c r="Z386" s="155"/>
      <c r="AA386" s="156"/>
      <c r="AB386" s="156"/>
      <c r="AC386" s="155"/>
      <c r="AD386" s="155"/>
      <c r="AE386" s="155"/>
      <c r="AF386" s="156"/>
      <c r="AG386" s="156"/>
      <c r="AH386" s="155"/>
      <c r="AI386" s="155"/>
      <c r="AJ386" s="155"/>
      <c r="AK386" s="156"/>
      <c r="AL386" s="156"/>
      <c r="AM386" s="155"/>
      <c r="AN386" s="155"/>
      <c r="AO386" s="155"/>
      <c r="AP386" s="156"/>
      <c r="AQ386" s="156"/>
      <c r="AR386" s="155"/>
      <c r="AS386" s="155"/>
      <c r="AT386" s="155"/>
      <c r="AU386" s="156"/>
      <c r="AV386" s="156"/>
      <c r="AW386" s="155"/>
      <c r="AX386" s="155"/>
      <c r="AY386" s="155"/>
      <c r="AZ386" s="156"/>
      <c r="BA386" s="156"/>
      <c r="BB386" s="155"/>
      <c r="BC386" s="155"/>
      <c r="BD386" s="155"/>
      <c r="BE386" s="155"/>
      <c r="BF386" s="155"/>
      <c r="BG386" s="158"/>
      <c r="BH386" s="158"/>
      <c r="BI386" s="155"/>
      <c r="BJ386" s="155"/>
      <c r="BK386" s="159"/>
      <c r="BL386" s="156"/>
      <c r="BM386" s="156"/>
      <c r="BN386" s="156"/>
      <c r="BO386" s="156"/>
      <c r="BP386" s="160"/>
      <c r="BQ386" s="160"/>
      <c r="BR386" s="160"/>
      <c r="BS386" s="160"/>
    </row>
    <row r="387" spans="1:71" x14ac:dyDescent="0.25">
      <c r="A387" s="154"/>
      <c r="B387" s="155"/>
      <c r="C387" s="155"/>
      <c r="D387" s="155"/>
      <c r="E387" s="156"/>
      <c r="F387" s="156"/>
      <c r="G387" s="155"/>
      <c r="H387" s="155"/>
      <c r="I387" s="155"/>
      <c r="J387" s="157"/>
      <c r="K387" s="157"/>
      <c r="L387" s="155"/>
      <c r="M387" s="155"/>
      <c r="N387" s="155"/>
      <c r="O387" s="156"/>
      <c r="P387" s="156"/>
      <c r="Q387" s="155"/>
      <c r="R387" s="155"/>
      <c r="S387" s="155"/>
      <c r="T387" s="156"/>
      <c r="U387" s="156"/>
      <c r="V387" s="155"/>
      <c r="W387" s="155"/>
      <c r="X387" s="155"/>
      <c r="Y387" s="155"/>
      <c r="Z387" s="155"/>
      <c r="AA387" s="156"/>
      <c r="AB387" s="156"/>
      <c r="AC387" s="155"/>
      <c r="AD387" s="155"/>
      <c r="AE387" s="155"/>
      <c r="AF387" s="156"/>
      <c r="AG387" s="156"/>
      <c r="AH387" s="155"/>
      <c r="AI387" s="155"/>
      <c r="AJ387" s="155"/>
      <c r="AK387" s="156"/>
      <c r="AL387" s="156"/>
      <c r="AM387" s="155"/>
      <c r="AN387" s="155"/>
      <c r="AO387" s="155"/>
      <c r="AP387" s="156"/>
      <c r="AQ387" s="156"/>
      <c r="AR387" s="155"/>
      <c r="AS387" s="155"/>
      <c r="AT387" s="155"/>
      <c r="AU387" s="156"/>
      <c r="AV387" s="156"/>
      <c r="AW387" s="155"/>
      <c r="AX387" s="155"/>
      <c r="AY387" s="155"/>
      <c r="AZ387" s="156"/>
      <c r="BA387" s="156"/>
      <c r="BB387" s="155"/>
      <c r="BC387" s="155"/>
      <c r="BD387" s="155"/>
      <c r="BE387" s="155"/>
      <c r="BF387" s="155"/>
      <c r="BG387" s="158"/>
      <c r="BH387" s="158"/>
      <c r="BI387" s="155"/>
      <c r="BJ387" s="155"/>
      <c r="BK387" s="159"/>
      <c r="BL387" s="156"/>
      <c r="BM387" s="156"/>
      <c r="BN387" s="156"/>
      <c r="BO387" s="156"/>
      <c r="BP387" s="160"/>
      <c r="BQ387" s="160"/>
      <c r="BR387" s="160"/>
      <c r="BS387" s="160"/>
    </row>
    <row r="388" spans="1:71" x14ac:dyDescent="0.25">
      <c r="A388" s="154"/>
      <c r="B388" s="155"/>
      <c r="C388" s="155"/>
      <c r="D388" s="155"/>
      <c r="E388" s="156"/>
      <c r="F388" s="156"/>
      <c r="G388" s="155"/>
      <c r="H388" s="155"/>
      <c r="I388" s="155"/>
      <c r="J388" s="157"/>
      <c r="K388" s="157"/>
      <c r="L388" s="155"/>
      <c r="M388" s="155"/>
      <c r="N388" s="155"/>
      <c r="O388" s="156"/>
      <c r="P388" s="156"/>
      <c r="Q388" s="155"/>
      <c r="R388" s="155"/>
      <c r="S388" s="155"/>
      <c r="T388" s="156"/>
      <c r="U388" s="156"/>
      <c r="V388" s="155"/>
      <c r="W388" s="155"/>
      <c r="X388" s="155"/>
      <c r="Y388" s="155"/>
      <c r="Z388" s="155"/>
      <c r="AA388" s="156"/>
      <c r="AB388" s="156"/>
      <c r="AC388" s="155"/>
      <c r="AD388" s="155"/>
      <c r="AE388" s="155"/>
      <c r="AF388" s="156"/>
      <c r="AG388" s="156"/>
      <c r="AH388" s="155"/>
      <c r="AI388" s="155"/>
      <c r="AJ388" s="155"/>
      <c r="AK388" s="156"/>
      <c r="AL388" s="156"/>
      <c r="AM388" s="155"/>
      <c r="AN388" s="155"/>
      <c r="AO388" s="155"/>
      <c r="AP388" s="156"/>
      <c r="AQ388" s="156"/>
      <c r="AR388" s="155"/>
      <c r="AS388" s="155"/>
      <c r="AT388" s="155"/>
      <c r="AU388" s="156"/>
      <c r="AV388" s="156"/>
      <c r="AW388" s="155"/>
      <c r="AX388" s="155"/>
      <c r="AY388" s="155"/>
      <c r="AZ388" s="156"/>
      <c r="BA388" s="156"/>
      <c r="BB388" s="155"/>
      <c r="BC388" s="155"/>
      <c r="BD388" s="155"/>
      <c r="BE388" s="155"/>
      <c r="BF388" s="155"/>
      <c r="BG388" s="158"/>
      <c r="BH388" s="158"/>
      <c r="BI388" s="155"/>
      <c r="BJ388" s="155"/>
      <c r="BK388" s="159"/>
      <c r="BL388" s="156"/>
      <c r="BM388" s="156"/>
      <c r="BN388" s="156"/>
      <c r="BO388" s="156"/>
      <c r="BP388" s="160"/>
      <c r="BQ388" s="160"/>
      <c r="BR388" s="160"/>
      <c r="BS388" s="160"/>
    </row>
    <row r="389" spans="1:71" x14ac:dyDescent="0.25">
      <c r="A389" s="154"/>
      <c r="B389" s="155"/>
      <c r="C389" s="155"/>
      <c r="D389" s="155"/>
      <c r="E389" s="156"/>
      <c r="F389" s="156"/>
      <c r="G389" s="155"/>
      <c r="H389" s="155"/>
      <c r="I389" s="155"/>
      <c r="J389" s="157"/>
      <c r="K389" s="157"/>
      <c r="L389" s="155"/>
      <c r="M389" s="155"/>
      <c r="N389" s="155"/>
      <c r="O389" s="156"/>
      <c r="P389" s="156"/>
      <c r="Q389" s="155"/>
      <c r="R389" s="155"/>
      <c r="S389" s="155"/>
      <c r="T389" s="156"/>
      <c r="U389" s="156"/>
      <c r="V389" s="155"/>
      <c r="W389" s="155"/>
      <c r="X389" s="155"/>
      <c r="Y389" s="155"/>
      <c r="Z389" s="155"/>
      <c r="AA389" s="156"/>
      <c r="AB389" s="156"/>
      <c r="AC389" s="155"/>
      <c r="AD389" s="155"/>
      <c r="AE389" s="155"/>
      <c r="AF389" s="156"/>
      <c r="AG389" s="156"/>
      <c r="AH389" s="155"/>
      <c r="AI389" s="155"/>
      <c r="AJ389" s="155"/>
      <c r="AK389" s="156"/>
      <c r="AL389" s="156"/>
      <c r="AM389" s="155"/>
      <c r="AN389" s="155"/>
      <c r="AO389" s="155"/>
      <c r="AP389" s="156"/>
      <c r="AQ389" s="156"/>
      <c r="AR389" s="155"/>
      <c r="AS389" s="155"/>
      <c r="AT389" s="155"/>
      <c r="AU389" s="156"/>
      <c r="AV389" s="156"/>
      <c r="AW389" s="155"/>
      <c r="AX389" s="155"/>
      <c r="AY389" s="155"/>
      <c r="AZ389" s="156"/>
      <c r="BA389" s="156"/>
      <c r="BB389" s="155"/>
      <c r="BC389" s="155"/>
      <c r="BD389" s="155"/>
      <c r="BE389" s="155"/>
      <c r="BF389" s="155"/>
      <c r="BG389" s="158"/>
      <c r="BH389" s="158"/>
      <c r="BI389" s="155"/>
      <c r="BJ389" s="155"/>
      <c r="BK389" s="159"/>
      <c r="BL389" s="156"/>
      <c r="BM389" s="156"/>
      <c r="BN389" s="156"/>
      <c r="BO389" s="156"/>
      <c r="BP389" s="160"/>
      <c r="BQ389" s="160"/>
      <c r="BR389" s="160"/>
      <c r="BS389" s="160"/>
    </row>
    <row r="390" spans="1:71" x14ac:dyDescent="0.25">
      <c r="A390" s="154"/>
      <c r="B390" s="155"/>
      <c r="C390" s="155"/>
      <c r="D390" s="155"/>
      <c r="E390" s="156"/>
      <c r="F390" s="156"/>
      <c r="G390" s="155"/>
      <c r="H390" s="155"/>
      <c r="I390" s="155"/>
      <c r="J390" s="157"/>
      <c r="K390" s="157"/>
      <c r="L390" s="155"/>
      <c r="M390" s="155"/>
      <c r="N390" s="155"/>
      <c r="O390" s="156"/>
      <c r="P390" s="156"/>
      <c r="Q390" s="155"/>
      <c r="R390" s="155"/>
      <c r="S390" s="155"/>
      <c r="T390" s="156"/>
      <c r="U390" s="156"/>
      <c r="V390" s="155"/>
      <c r="W390" s="155"/>
      <c r="X390" s="155"/>
      <c r="Y390" s="155"/>
      <c r="Z390" s="155"/>
      <c r="AA390" s="156"/>
      <c r="AB390" s="156"/>
      <c r="AC390" s="155"/>
      <c r="AD390" s="155"/>
      <c r="AE390" s="155"/>
      <c r="AF390" s="156"/>
      <c r="AG390" s="156"/>
      <c r="AH390" s="155"/>
      <c r="AI390" s="155"/>
      <c r="AJ390" s="155"/>
      <c r="AK390" s="156"/>
      <c r="AL390" s="156"/>
      <c r="AM390" s="155"/>
      <c r="AN390" s="155"/>
      <c r="AO390" s="155"/>
      <c r="AP390" s="156"/>
      <c r="AQ390" s="156"/>
      <c r="AR390" s="155"/>
      <c r="AS390" s="155"/>
      <c r="AT390" s="155"/>
      <c r="AU390" s="156"/>
      <c r="AV390" s="156"/>
      <c r="AW390" s="155"/>
      <c r="AX390" s="155"/>
      <c r="AY390" s="155"/>
      <c r="AZ390" s="156"/>
      <c r="BA390" s="156"/>
      <c r="BB390" s="155"/>
      <c r="BC390" s="155"/>
      <c r="BD390" s="155"/>
      <c r="BE390" s="155"/>
      <c r="BF390" s="155"/>
      <c r="BG390" s="158"/>
      <c r="BH390" s="158"/>
      <c r="BI390" s="155"/>
      <c r="BJ390" s="155"/>
      <c r="BK390" s="159"/>
      <c r="BL390" s="156"/>
      <c r="BM390" s="156"/>
      <c r="BN390" s="156"/>
      <c r="BO390" s="156"/>
      <c r="BP390" s="160"/>
      <c r="BQ390" s="160"/>
      <c r="BR390" s="160"/>
      <c r="BS390" s="160"/>
    </row>
    <row r="391" spans="1:71" x14ac:dyDescent="0.25">
      <c r="A391" s="154"/>
      <c r="B391" s="155"/>
      <c r="C391" s="155"/>
      <c r="D391" s="155"/>
      <c r="E391" s="156"/>
      <c r="F391" s="156"/>
      <c r="G391" s="155"/>
      <c r="H391" s="155"/>
      <c r="I391" s="155"/>
      <c r="J391" s="157"/>
      <c r="K391" s="157"/>
      <c r="L391" s="155"/>
      <c r="M391" s="155"/>
      <c r="N391" s="155"/>
      <c r="O391" s="156"/>
      <c r="P391" s="156"/>
      <c r="Q391" s="155"/>
      <c r="R391" s="155"/>
      <c r="S391" s="155"/>
      <c r="T391" s="156"/>
      <c r="U391" s="156"/>
      <c r="V391" s="155"/>
      <c r="W391" s="155"/>
      <c r="X391" s="155"/>
      <c r="Y391" s="155"/>
      <c r="Z391" s="155"/>
      <c r="AA391" s="156"/>
      <c r="AB391" s="156"/>
      <c r="AC391" s="155"/>
      <c r="AD391" s="155"/>
      <c r="AE391" s="155"/>
      <c r="AF391" s="156"/>
      <c r="AG391" s="156"/>
      <c r="AH391" s="155"/>
      <c r="AI391" s="155"/>
      <c r="AJ391" s="155"/>
      <c r="AK391" s="156"/>
      <c r="AL391" s="156"/>
      <c r="AM391" s="155"/>
      <c r="AN391" s="155"/>
      <c r="AO391" s="155"/>
      <c r="AP391" s="156"/>
      <c r="AQ391" s="156"/>
      <c r="AR391" s="155"/>
      <c r="AS391" s="155"/>
      <c r="AT391" s="155"/>
      <c r="AU391" s="156"/>
      <c r="AV391" s="156"/>
      <c r="AW391" s="155"/>
      <c r="AX391" s="155"/>
      <c r="AY391" s="155"/>
      <c r="AZ391" s="156"/>
      <c r="BA391" s="156"/>
      <c r="BB391" s="155"/>
      <c r="BC391" s="155"/>
      <c r="BD391" s="155"/>
      <c r="BE391" s="155"/>
      <c r="BF391" s="155"/>
      <c r="BG391" s="158"/>
      <c r="BH391" s="158"/>
      <c r="BI391" s="155"/>
      <c r="BJ391" s="155"/>
      <c r="BK391" s="159"/>
      <c r="BL391" s="156"/>
      <c r="BM391" s="156"/>
      <c r="BN391" s="156"/>
      <c r="BO391" s="156"/>
      <c r="BP391" s="160"/>
      <c r="BQ391" s="160"/>
      <c r="BR391" s="160"/>
      <c r="BS391" s="160"/>
    </row>
    <row r="392" spans="1:71" x14ac:dyDescent="0.25">
      <c r="A392" s="154"/>
      <c r="B392" s="155"/>
      <c r="C392" s="155"/>
      <c r="D392" s="155"/>
      <c r="E392" s="156"/>
      <c r="F392" s="156"/>
      <c r="G392" s="155"/>
      <c r="H392" s="155"/>
      <c r="I392" s="155"/>
      <c r="J392" s="157"/>
      <c r="K392" s="157"/>
      <c r="L392" s="155"/>
      <c r="M392" s="155"/>
      <c r="N392" s="155"/>
      <c r="O392" s="156"/>
      <c r="P392" s="156"/>
      <c r="Q392" s="155"/>
      <c r="R392" s="155"/>
      <c r="S392" s="155"/>
      <c r="T392" s="156"/>
      <c r="U392" s="156"/>
      <c r="V392" s="155"/>
      <c r="W392" s="155"/>
      <c r="X392" s="155"/>
      <c r="Y392" s="155"/>
      <c r="Z392" s="155"/>
      <c r="AA392" s="156"/>
      <c r="AB392" s="156"/>
      <c r="AC392" s="155"/>
      <c r="AD392" s="155"/>
      <c r="AE392" s="155"/>
      <c r="AF392" s="156"/>
      <c r="AG392" s="156"/>
      <c r="AH392" s="155"/>
      <c r="AI392" s="155"/>
      <c r="AJ392" s="155"/>
      <c r="AK392" s="156"/>
      <c r="AL392" s="156"/>
      <c r="AM392" s="155"/>
      <c r="AN392" s="155"/>
      <c r="AO392" s="155"/>
      <c r="AP392" s="156"/>
      <c r="AQ392" s="156"/>
      <c r="AR392" s="155"/>
      <c r="AS392" s="155"/>
      <c r="AT392" s="155"/>
      <c r="AU392" s="156"/>
      <c r="AV392" s="156"/>
      <c r="AW392" s="155"/>
      <c r="AX392" s="155"/>
      <c r="AY392" s="155"/>
      <c r="AZ392" s="156"/>
      <c r="BA392" s="156"/>
      <c r="BB392" s="155"/>
      <c r="BC392" s="155"/>
      <c r="BD392" s="155"/>
      <c r="BE392" s="155"/>
      <c r="BF392" s="155"/>
      <c r="BG392" s="158"/>
      <c r="BH392" s="158"/>
      <c r="BI392" s="155"/>
      <c r="BJ392" s="155"/>
      <c r="BK392" s="159"/>
      <c r="BL392" s="156"/>
      <c r="BM392" s="156"/>
      <c r="BN392" s="156"/>
      <c r="BO392" s="156"/>
      <c r="BP392" s="160"/>
      <c r="BQ392" s="160"/>
      <c r="BR392" s="160"/>
      <c r="BS392" s="160"/>
    </row>
    <row r="393" spans="1:71" x14ac:dyDescent="0.25">
      <c r="A393" s="154"/>
      <c r="B393" s="155"/>
      <c r="C393" s="155"/>
      <c r="D393" s="155"/>
      <c r="E393" s="156"/>
      <c r="F393" s="156"/>
      <c r="G393" s="155"/>
      <c r="H393" s="155"/>
      <c r="I393" s="155"/>
      <c r="J393" s="157"/>
      <c r="K393" s="157"/>
      <c r="L393" s="155"/>
      <c r="M393" s="155"/>
      <c r="N393" s="155"/>
      <c r="O393" s="156"/>
      <c r="P393" s="156"/>
      <c r="Q393" s="155"/>
      <c r="R393" s="155"/>
      <c r="S393" s="155"/>
      <c r="T393" s="156"/>
      <c r="U393" s="156"/>
      <c r="V393" s="155"/>
      <c r="W393" s="155"/>
      <c r="X393" s="155"/>
      <c r="Y393" s="155"/>
      <c r="Z393" s="155"/>
      <c r="AA393" s="156"/>
      <c r="AB393" s="156"/>
      <c r="AC393" s="155"/>
      <c r="AD393" s="155"/>
      <c r="AE393" s="155"/>
      <c r="AF393" s="156"/>
      <c r="AG393" s="156"/>
      <c r="AH393" s="155"/>
      <c r="AI393" s="155"/>
      <c r="AJ393" s="155"/>
      <c r="AK393" s="156"/>
      <c r="AL393" s="156"/>
      <c r="AM393" s="155"/>
      <c r="AN393" s="155"/>
      <c r="AO393" s="155"/>
      <c r="AP393" s="156"/>
      <c r="AQ393" s="156"/>
      <c r="AR393" s="155"/>
      <c r="AS393" s="155"/>
      <c r="AT393" s="155"/>
      <c r="AU393" s="156"/>
      <c r="AV393" s="156"/>
      <c r="AW393" s="155"/>
      <c r="AX393" s="155"/>
      <c r="AY393" s="155"/>
      <c r="AZ393" s="156"/>
      <c r="BA393" s="156"/>
      <c r="BB393" s="155"/>
      <c r="BC393" s="155"/>
      <c r="BD393" s="155"/>
      <c r="BE393" s="155"/>
      <c r="BF393" s="155"/>
      <c r="BG393" s="158"/>
      <c r="BH393" s="158"/>
      <c r="BI393" s="155"/>
      <c r="BJ393" s="155"/>
      <c r="BK393" s="159"/>
      <c r="BL393" s="156"/>
      <c r="BM393" s="156"/>
      <c r="BN393" s="156"/>
      <c r="BO393" s="156"/>
      <c r="BP393" s="160"/>
      <c r="BQ393" s="160"/>
      <c r="BR393" s="160"/>
      <c r="BS393" s="160"/>
    </row>
    <row r="394" spans="1:71" x14ac:dyDescent="0.25">
      <c r="A394" s="154"/>
      <c r="B394" s="155"/>
      <c r="C394" s="155"/>
      <c r="D394" s="155"/>
      <c r="E394" s="156"/>
      <c r="F394" s="156"/>
      <c r="G394" s="155"/>
      <c r="H394" s="155"/>
      <c r="I394" s="155"/>
      <c r="J394" s="157"/>
      <c r="K394" s="157"/>
      <c r="L394" s="155"/>
      <c r="M394" s="155"/>
      <c r="N394" s="155"/>
      <c r="O394" s="156"/>
      <c r="P394" s="156"/>
      <c r="Q394" s="155"/>
      <c r="R394" s="155"/>
      <c r="S394" s="155"/>
      <c r="T394" s="156"/>
      <c r="U394" s="156"/>
      <c r="V394" s="155"/>
      <c r="W394" s="155"/>
      <c r="X394" s="155"/>
      <c r="Y394" s="155"/>
      <c r="Z394" s="155"/>
      <c r="AA394" s="156"/>
      <c r="AB394" s="156"/>
      <c r="AC394" s="155"/>
      <c r="AD394" s="155"/>
      <c r="AE394" s="155"/>
      <c r="AF394" s="156"/>
      <c r="AG394" s="156"/>
      <c r="AH394" s="155"/>
      <c r="AI394" s="155"/>
      <c r="AJ394" s="155"/>
      <c r="AK394" s="156"/>
      <c r="AL394" s="156"/>
      <c r="AM394" s="155"/>
      <c r="AN394" s="155"/>
      <c r="AO394" s="155"/>
      <c r="AP394" s="156"/>
      <c r="AQ394" s="156"/>
      <c r="AR394" s="155"/>
      <c r="AS394" s="155"/>
      <c r="AT394" s="155"/>
      <c r="AU394" s="156"/>
      <c r="AV394" s="156"/>
      <c r="AW394" s="155"/>
      <c r="AX394" s="155"/>
      <c r="AY394" s="155"/>
      <c r="AZ394" s="156"/>
      <c r="BA394" s="156"/>
      <c r="BB394" s="155"/>
      <c r="BC394" s="155"/>
      <c r="BD394" s="155"/>
      <c r="BE394" s="155"/>
      <c r="BF394" s="155"/>
      <c r="BG394" s="158"/>
      <c r="BH394" s="158"/>
      <c r="BI394" s="155"/>
      <c r="BJ394" s="155"/>
      <c r="BK394" s="159"/>
      <c r="BL394" s="156"/>
      <c r="BM394" s="156"/>
      <c r="BN394" s="156"/>
      <c r="BO394" s="156"/>
      <c r="BP394" s="160"/>
      <c r="BQ394" s="160"/>
      <c r="BR394" s="160"/>
      <c r="BS394" s="160"/>
    </row>
    <row r="395" spans="1:71" x14ac:dyDescent="0.25">
      <c r="A395" s="154"/>
      <c r="B395" s="155"/>
      <c r="C395" s="155"/>
      <c r="D395" s="155"/>
      <c r="E395" s="156"/>
      <c r="F395" s="156"/>
      <c r="G395" s="155"/>
      <c r="H395" s="155"/>
      <c r="I395" s="155"/>
      <c r="J395" s="157"/>
      <c r="K395" s="157"/>
      <c r="L395" s="155"/>
      <c r="M395" s="155"/>
      <c r="N395" s="155"/>
      <c r="O395" s="156"/>
      <c r="P395" s="156"/>
      <c r="Q395" s="155"/>
      <c r="R395" s="155"/>
      <c r="S395" s="155"/>
      <c r="T395" s="156"/>
      <c r="U395" s="156"/>
      <c r="V395" s="155"/>
      <c r="W395" s="155"/>
      <c r="X395" s="155"/>
      <c r="Y395" s="155"/>
      <c r="Z395" s="155"/>
      <c r="AA395" s="156"/>
      <c r="AB395" s="156"/>
      <c r="AC395" s="155"/>
      <c r="AD395" s="155"/>
      <c r="AE395" s="155"/>
      <c r="AF395" s="156"/>
      <c r="AG395" s="156"/>
      <c r="AH395" s="155"/>
      <c r="AI395" s="155"/>
      <c r="AJ395" s="155"/>
      <c r="AK395" s="156"/>
      <c r="AL395" s="156"/>
      <c r="AM395" s="155"/>
      <c r="AN395" s="155"/>
      <c r="AO395" s="155"/>
      <c r="AP395" s="156"/>
      <c r="AQ395" s="156"/>
      <c r="AR395" s="155"/>
      <c r="AS395" s="155"/>
      <c r="AT395" s="155"/>
      <c r="AU395" s="156"/>
      <c r="AV395" s="156"/>
      <c r="AW395" s="155"/>
      <c r="AX395" s="155"/>
      <c r="AY395" s="155"/>
      <c r="AZ395" s="156"/>
      <c r="BA395" s="156"/>
      <c r="BB395" s="155"/>
      <c r="BC395" s="155"/>
      <c r="BD395" s="155"/>
      <c r="BE395" s="155"/>
      <c r="BF395" s="155"/>
      <c r="BG395" s="158"/>
      <c r="BH395" s="158"/>
      <c r="BI395" s="155"/>
      <c r="BJ395" s="155"/>
      <c r="BK395" s="159"/>
      <c r="BL395" s="156"/>
      <c r="BM395" s="156"/>
      <c r="BN395" s="156"/>
      <c r="BO395" s="156"/>
      <c r="BP395" s="160"/>
      <c r="BQ395" s="160"/>
      <c r="BR395" s="160"/>
      <c r="BS395" s="160"/>
    </row>
    <row r="396" spans="1:71" x14ac:dyDescent="0.25">
      <c r="A396" s="154"/>
      <c r="B396" s="155"/>
      <c r="C396" s="155"/>
      <c r="D396" s="155"/>
      <c r="E396" s="156"/>
      <c r="F396" s="156"/>
      <c r="G396" s="155"/>
      <c r="H396" s="155"/>
      <c r="I396" s="155"/>
      <c r="J396" s="157"/>
      <c r="K396" s="157"/>
      <c r="L396" s="155"/>
      <c r="M396" s="155"/>
      <c r="N396" s="155"/>
      <c r="O396" s="156"/>
      <c r="P396" s="156"/>
      <c r="Q396" s="155"/>
      <c r="R396" s="155"/>
      <c r="S396" s="155"/>
      <c r="T396" s="156"/>
      <c r="U396" s="156"/>
      <c r="V396" s="155"/>
      <c r="W396" s="155"/>
      <c r="X396" s="155"/>
      <c r="Y396" s="155"/>
      <c r="Z396" s="155"/>
      <c r="AA396" s="156"/>
      <c r="AB396" s="156"/>
      <c r="AC396" s="155"/>
      <c r="AD396" s="155"/>
      <c r="AE396" s="155"/>
      <c r="AF396" s="156"/>
      <c r="AG396" s="156"/>
      <c r="AH396" s="155"/>
      <c r="AI396" s="155"/>
      <c r="AJ396" s="155"/>
      <c r="AK396" s="156"/>
      <c r="AL396" s="156"/>
      <c r="AM396" s="155"/>
      <c r="AN396" s="155"/>
      <c r="AO396" s="155"/>
      <c r="AP396" s="156"/>
      <c r="AQ396" s="156"/>
      <c r="AR396" s="155"/>
      <c r="AS396" s="155"/>
      <c r="AT396" s="155"/>
      <c r="AU396" s="156"/>
      <c r="AV396" s="156"/>
      <c r="AW396" s="155"/>
      <c r="AX396" s="155"/>
      <c r="AY396" s="155"/>
      <c r="AZ396" s="156"/>
      <c r="BA396" s="156"/>
      <c r="BB396" s="155"/>
      <c r="BC396" s="155"/>
      <c r="BD396" s="155"/>
      <c r="BE396" s="155"/>
      <c r="BF396" s="155"/>
      <c r="BG396" s="158"/>
      <c r="BH396" s="158"/>
      <c r="BI396" s="155"/>
      <c r="BJ396" s="155"/>
      <c r="BK396" s="159"/>
      <c r="BL396" s="156"/>
      <c r="BM396" s="156"/>
      <c r="BN396" s="156"/>
      <c r="BO396" s="156"/>
      <c r="BP396" s="160"/>
      <c r="BQ396" s="160"/>
      <c r="BR396" s="160"/>
      <c r="BS396" s="160"/>
    </row>
    <row r="397" spans="1:71" x14ac:dyDescent="0.25">
      <c r="A397" s="154"/>
      <c r="B397" s="155"/>
      <c r="C397" s="155"/>
      <c r="D397" s="155"/>
      <c r="E397" s="156"/>
      <c r="F397" s="156"/>
      <c r="G397" s="155"/>
      <c r="H397" s="155"/>
      <c r="I397" s="155"/>
      <c r="J397" s="157"/>
      <c r="K397" s="157"/>
      <c r="L397" s="155"/>
      <c r="M397" s="155"/>
      <c r="N397" s="155"/>
      <c r="O397" s="156"/>
      <c r="P397" s="156"/>
      <c r="Q397" s="155"/>
      <c r="R397" s="155"/>
      <c r="S397" s="155"/>
      <c r="T397" s="156"/>
      <c r="U397" s="156"/>
      <c r="V397" s="155"/>
      <c r="W397" s="155"/>
      <c r="X397" s="155"/>
      <c r="Y397" s="155"/>
      <c r="Z397" s="155"/>
      <c r="AA397" s="156"/>
      <c r="AB397" s="156"/>
      <c r="AC397" s="155"/>
      <c r="AD397" s="155"/>
      <c r="AE397" s="155"/>
      <c r="AF397" s="156"/>
      <c r="AG397" s="156"/>
      <c r="AH397" s="155"/>
      <c r="AI397" s="155"/>
      <c r="AJ397" s="155"/>
      <c r="AK397" s="156"/>
      <c r="AL397" s="156"/>
      <c r="AM397" s="155"/>
      <c r="AN397" s="155"/>
      <c r="AO397" s="155"/>
      <c r="AP397" s="156"/>
      <c r="AQ397" s="156"/>
      <c r="AR397" s="155"/>
      <c r="AS397" s="155"/>
      <c r="AT397" s="155"/>
      <c r="AU397" s="156"/>
      <c r="AV397" s="156"/>
      <c r="AW397" s="155"/>
      <c r="AX397" s="155"/>
      <c r="AY397" s="155"/>
      <c r="AZ397" s="156"/>
      <c r="BA397" s="156"/>
      <c r="BB397" s="155"/>
      <c r="BC397" s="155"/>
      <c r="BD397" s="155"/>
      <c r="BE397" s="155"/>
      <c r="BF397" s="155"/>
      <c r="BG397" s="158"/>
      <c r="BH397" s="158"/>
      <c r="BI397" s="155"/>
      <c r="BJ397" s="155"/>
      <c r="BK397" s="159"/>
      <c r="BL397" s="156"/>
      <c r="BM397" s="156"/>
      <c r="BN397" s="156"/>
      <c r="BO397" s="156"/>
      <c r="BP397" s="160"/>
      <c r="BQ397" s="160"/>
      <c r="BR397" s="160"/>
      <c r="BS397" s="160"/>
    </row>
    <row r="398" spans="1:71" x14ac:dyDescent="0.25">
      <c r="A398" s="154"/>
      <c r="B398" s="155"/>
      <c r="C398" s="155"/>
      <c r="D398" s="155"/>
      <c r="E398" s="156"/>
      <c r="F398" s="156"/>
      <c r="G398" s="155"/>
      <c r="H398" s="155"/>
      <c r="I398" s="155"/>
      <c r="J398" s="157"/>
      <c r="K398" s="157"/>
      <c r="L398" s="155"/>
      <c r="M398" s="155"/>
      <c r="N398" s="155"/>
      <c r="O398" s="156"/>
      <c r="P398" s="156"/>
      <c r="Q398" s="155"/>
      <c r="R398" s="155"/>
      <c r="S398" s="155"/>
      <c r="T398" s="156"/>
      <c r="U398" s="156"/>
      <c r="V398" s="155"/>
      <c r="W398" s="155"/>
      <c r="X398" s="155"/>
      <c r="Y398" s="155"/>
      <c r="Z398" s="155"/>
      <c r="AA398" s="156"/>
      <c r="AB398" s="156"/>
      <c r="AC398" s="155"/>
      <c r="AD398" s="155"/>
      <c r="AE398" s="155"/>
      <c r="AF398" s="156"/>
      <c r="AG398" s="156"/>
      <c r="AH398" s="155"/>
      <c r="AI398" s="155"/>
      <c r="AJ398" s="155"/>
      <c r="AK398" s="156"/>
      <c r="AL398" s="156"/>
      <c r="AM398" s="155"/>
      <c r="AN398" s="155"/>
      <c r="AO398" s="155"/>
      <c r="AP398" s="156"/>
      <c r="AQ398" s="156"/>
      <c r="AR398" s="155"/>
      <c r="AS398" s="155"/>
      <c r="AT398" s="155"/>
      <c r="AU398" s="156"/>
      <c r="AV398" s="156"/>
      <c r="AW398" s="155"/>
      <c r="AX398" s="155"/>
      <c r="AY398" s="155"/>
      <c r="AZ398" s="156"/>
      <c r="BA398" s="156"/>
      <c r="BB398" s="155"/>
      <c r="BC398" s="155"/>
      <c r="BD398" s="155"/>
      <c r="BE398" s="155"/>
      <c r="BF398" s="155"/>
      <c r="BG398" s="158"/>
      <c r="BH398" s="158"/>
      <c r="BI398" s="155"/>
      <c r="BJ398" s="155"/>
      <c r="BK398" s="159"/>
      <c r="BL398" s="156"/>
      <c r="BM398" s="156"/>
      <c r="BN398" s="156"/>
      <c r="BO398" s="156"/>
      <c r="BP398" s="160"/>
      <c r="BQ398" s="160"/>
      <c r="BR398" s="160"/>
      <c r="BS398" s="160"/>
    </row>
    <row r="399" spans="1:71" x14ac:dyDescent="0.25">
      <c r="A399" s="154"/>
      <c r="B399" s="155"/>
      <c r="C399" s="155"/>
      <c r="D399" s="155"/>
      <c r="E399" s="156"/>
      <c r="F399" s="156"/>
      <c r="G399" s="155"/>
      <c r="H399" s="155"/>
      <c r="I399" s="155"/>
      <c r="J399" s="157"/>
      <c r="K399" s="157"/>
      <c r="L399" s="155"/>
      <c r="M399" s="155"/>
      <c r="N399" s="155"/>
      <c r="O399" s="156"/>
      <c r="P399" s="156"/>
      <c r="Q399" s="155"/>
      <c r="R399" s="155"/>
      <c r="S399" s="155"/>
      <c r="T399" s="156"/>
      <c r="U399" s="156"/>
      <c r="V399" s="155"/>
      <c r="W399" s="155"/>
      <c r="X399" s="155"/>
      <c r="Y399" s="155"/>
      <c r="Z399" s="155"/>
      <c r="AA399" s="156"/>
      <c r="AB399" s="156"/>
      <c r="AC399" s="155"/>
      <c r="AD399" s="155"/>
      <c r="AE399" s="155"/>
      <c r="AF399" s="156"/>
      <c r="AG399" s="156"/>
      <c r="AH399" s="155"/>
      <c r="AI399" s="155"/>
      <c r="AJ399" s="155"/>
      <c r="AK399" s="156"/>
      <c r="AL399" s="156"/>
      <c r="AM399" s="155"/>
      <c r="AN399" s="155"/>
      <c r="AO399" s="155"/>
      <c r="AP399" s="156"/>
      <c r="AQ399" s="156"/>
      <c r="AR399" s="155"/>
      <c r="AS399" s="155"/>
      <c r="AT399" s="155"/>
      <c r="AU399" s="156"/>
      <c r="AV399" s="156"/>
      <c r="AW399" s="155"/>
      <c r="AX399" s="155"/>
      <c r="AY399" s="155"/>
      <c r="AZ399" s="156"/>
      <c r="BA399" s="156"/>
      <c r="BB399" s="155"/>
      <c r="BC399" s="155"/>
      <c r="BD399" s="155"/>
      <c r="BE399" s="155"/>
      <c r="BF399" s="155"/>
      <c r="BG399" s="158"/>
      <c r="BH399" s="158"/>
      <c r="BI399" s="155"/>
      <c r="BJ399" s="155"/>
      <c r="BK399" s="159"/>
      <c r="BL399" s="156"/>
      <c r="BM399" s="156"/>
      <c r="BN399" s="156"/>
      <c r="BO399" s="156"/>
      <c r="BP399" s="160"/>
      <c r="BQ399" s="160"/>
      <c r="BR399" s="160"/>
      <c r="BS399" s="160"/>
    </row>
    <row r="400" spans="1:71" x14ac:dyDescent="0.25">
      <c r="A400" s="154"/>
      <c r="B400" s="155"/>
      <c r="C400" s="155"/>
      <c r="D400" s="155"/>
      <c r="E400" s="156"/>
      <c r="F400" s="156"/>
      <c r="G400" s="155"/>
      <c r="H400" s="155"/>
      <c r="I400" s="155"/>
      <c r="J400" s="157"/>
      <c r="K400" s="157"/>
      <c r="L400" s="155"/>
      <c r="M400" s="155"/>
      <c r="N400" s="155"/>
      <c r="O400" s="156"/>
      <c r="P400" s="156"/>
      <c r="Q400" s="155"/>
      <c r="R400" s="155"/>
      <c r="S400" s="155"/>
      <c r="T400" s="156"/>
      <c r="U400" s="156"/>
      <c r="V400" s="155"/>
      <c r="W400" s="155"/>
      <c r="X400" s="155"/>
      <c r="Y400" s="155"/>
      <c r="Z400" s="155"/>
      <c r="AA400" s="156"/>
      <c r="AB400" s="156"/>
      <c r="AC400" s="155"/>
      <c r="AD400" s="155"/>
      <c r="AE400" s="155"/>
      <c r="AF400" s="156"/>
      <c r="AG400" s="156"/>
      <c r="AH400" s="155"/>
      <c r="AI400" s="155"/>
      <c r="AJ400" s="155"/>
      <c r="AK400" s="156"/>
      <c r="AL400" s="156"/>
      <c r="AM400" s="155"/>
      <c r="AN400" s="155"/>
      <c r="AO400" s="155"/>
      <c r="AP400" s="156"/>
      <c r="AQ400" s="156"/>
      <c r="AR400" s="155"/>
      <c r="AS400" s="155"/>
      <c r="AT400" s="155"/>
      <c r="AU400" s="156"/>
      <c r="AV400" s="156"/>
      <c r="AW400" s="155"/>
      <c r="AX400" s="155"/>
      <c r="AY400" s="155"/>
      <c r="AZ400" s="156"/>
      <c r="BA400" s="156"/>
      <c r="BB400" s="155"/>
      <c r="BC400" s="155"/>
      <c r="BD400" s="155"/>
      <c r="BE400" s="155"/>
      <c r="BF400" s="155"/>
      <c r="BG400" s="158"/>
      <c r="BH400" s="158"/>
      <c r="BI400" s="155"/>
      <c r="BJ400" s="155"/>
      <c r="BK400" s="159"/>
      <c r="BL400" s="156"/>
      <c r="BM400" s="156"/>
      <c r="BN400" s="156"/>
      <c r="BO400" s="156"/>
      <c r="BP400" s="160"/>
      <c r="BQ400" s="160"/>
      <c r="BR400" s="160"/>
      <c r="BS400" s="160"/>
    </row>
    <row r="401" spans="1:71" x14ac:dyDescent="0.25">
      <c r="A401" s="154"/>
      <c r="B401" s="155"/>
      <c r="C401" s="155"/>
      <c r="D401" s="155"/>
      <c r="E401" s="156"/>
      <c r="F401" s="156"/>
      <c r="G401" s="155"/>
      <c r="H401" s="155"/>
      <c r="I401" s="155"/>
      <c r="J401" s="157"/>
      <c r="K401" s="157"/>
      <c r="L401" s="155"/>
      <c r="M401" s="155"/>
      <c r="N401" s="155"/>
      <c r="O401" s="156"/>
      <c r="P401" s="156"/>
      <c r="Q401" s="155"/>
      <c r="R401" s="155"/>
      <c r="S401" s="155"/>
      <c r="T401" s="156"/>
      <c r="U401" s="156"/>
      <c r="V401" s="155"/>
      <c r="W401" s="155"/>
      <c r="X401" s="155"/>
      <c r="Y401" s="155"/>
      <c r="Z401" s="155"/>
      <c r="AA401" s="156"/>
      <c r="AB401" s="156"/>
      <c r="AC401" s="155"/>
      <c r="AD401" s="155"/>
      <c r="AE401" s="155"/>
      <c r="AF401" s="156"/>
      <c r="AG401" s="156"/>
      <c r="AH401" s="155"/>
      <c r="AI401" s="155"/>
      <c r="AJ401" s="155"/>
      <c r="AK401" s="156"/>
      <c r="AL401" s="156"/>
      <c r="AM401" s="155"/>
      <c r="AN401" s="155"/>
      <c r="AO401" s="155"/>
      <c r="AP401" s="156"/>
      <c r="AQ401" s="156"/>
      <c r="AR401" s="155"/>
      <c r="AS401" s="155"/>
      <c r="AT401" s="155"/>
      <c r="AU401" s="156"/>
      <c r="AV401" s="156"/>
      <c r="AW401" s="155"/>
      <c r="AX401" s="155"/>
      <c r="AY401" s="155"/>
      <c r="AZ401" s="156"/>
      <c r="BA401" s="156"/>
      <c r="BB401" s="155"/>
      <c r="BC401" s="155"/>
      <c r="BD401" s="155"/>
      <c r="BE401" s="155"/>
      <c r="BF401" s="155"/>
      <c r="BG401" s="158"/>
      <c r="BH401" s="158"/>
      <c r="BI401" s="155"/>
      <c r="BJ401" s="155"/>
      <c r="BK401" s="159"/>
      <c r="BL401" s="156"/>
      <c r="BM401" s="156"/>
      <c r="BN401" s="156"/>
      <c r="BO401" s="156"/>
      <c r="BP401" s="160"/>
      <c r="BQ401" s="160"/>
      <c r="BR401" s="160"/>
      <c r="BS401" s="160"/>
    </row>
    <row r="402" spans="1:71" x14ac:dyDescent="0.25">
      <c r="A402" s="154"/>
      <c r="B402" s="155"/>
      <c r="C402" s="155"/>
      <c r="D402" s="155"/>
      <c r="E402" s="156"/>
      <c r="F402" s="156"/>
      <c r="G402" s="155"/>
      <c r="H402" s="155"/>
      <c r="I402" s="155"/>
      <c r="J402" s="157"/>
      <c r="K402" s="157"/>
      <c r="L402" s="155"/>
      <c r="M402" s="155"/>
      <c r="N402" s="155"/>
      <c r="O402" s="156"/>
      <c r="P402" s="156"/>
      <c r="Q402" s="155"/>
      <c r="R402" s="155"/>
      <c r="S402" s="155"/>
      <c r="T402" s="156"/>
      <c r="U402" s="156"/>
      <c r="V402" s="155"/>
      <c r="W402" s="155"/>
      <c r="X402" s="155"/>
      <c r="Y402" s="155"/>
      <c r="Z402" s="155"/>
      <c r="AA402" s="156"/>
      <c r="AB402" s="156"/>
      <c r="AC402" s="155"/>
      <c r="AD402" s="155"/>
      <c r="AE402" s="155"/>
      <c r="AF402" s="156"/>
      <c r="AG402" s="156"/>
      <c r="AH402" s="155"/>
      <c r="AI402" s="155"/>
      <c r="AJ402" s="155"/>
      <c r="AK402" s="156"/>
      <c r="AL402" s="156"/>
      <c r="AM402" s="155"/>
      <c r="AN402" s="155"/>
      <c r="AO402" s="155"/>
      <c r="AP402" s="156"/>
      <c r="AQ402" s="156"/>
      <c r="AR402" s="155"/>
      <c r="AS402" s="155"/>
      <c r="AT402" s="155"/>
      <c r="AU402" s="156"/>
      <c r="AV402" s="156"/>
      <c r="AW402" s="155"/>
      <c r="AX402" s="155"/>
      <c r="AY402" s="155"/>
      <c r="AZ402" s="156"/>
      <c r="BA402" s="156"/>
      <c r="BB402" s="155"/>
      <c r="BC402" s="155"/>
      <c r="BD402" s="155"/>
      <c r="BE402" s="155"/>
      <c r="BF402" s="155"/>
      <c r="BG402" s="158"/>
      <c r="BH402" s="158"/>
      <c r="BI402" s="155"/>
      <c r="BJ402" s="155"/>
      <c r="BK402" s="159"/>
      <c r="BL402" s="156"/>
      <c r="BM402" s="156"/>
      <c r="BN402" s="156"/>
      <c r="BO402" s="156"/>
      <c r="BP402" s="160"/>
      <c r="BQ402" s="160"/>
      <c r="BR402" s="160"/>
      <c r="BS402" s="160"/>
    </row>
    <row r="403" spans="1:71" x14ac:dyDescent="0.25">
      <c r="A403" s="154"/>
      <c r="B403" s="155"/>
      <c r="C403" s="155"/>
      <c r="D403" s="155"/>
      <c r="E403" s="156"/>
      <c r="F403" s="156"/>
      <c r="G403" s="155"/>
      <c r="H403" s="155"/>
      <c r="I403" s="155"/>
      <c r="J403" s="157"/>
      <c r="K403" s="157"/>
      <c r="L403" s="155"/>
      <c r="M403" s="155"/>
      <c r="N403" s="155"/>
      <c r="O403" s="156"/>
      <c r="P403" s="156"/>
      <c r="Q403" s="155"/>
      <c r="R403" s="155"/>
      <c r="S403" s="155"/>
      <c r="T403" s="156"/>
      <c r="U403" s="156"/>
      <c r="V403" s="155"/>
      <c r="W403" s="155"/>
      <c r="X403" s="155"/>
      <c r="Y403" s="155"/>
      <c r="Z403" s="155"/>
      <c r="AA403" s="156"/>
      <c r="AB403" s="156"/>
      <c r="AC403" s="155"/>
      <c r="AD403" s="155"/>
      <c r="AE403" s="155"/>
      <c r="AF403" s="156"/>
      <c r="AG403" s="156"/>
      <c r="AH403" s="155"/>
      <c r="AI403" s="155"/>
      <c r="AJ403" s="155"/>
      <c r="AK403" s="156"/>
      <c r="AL403" s="156"/>
      <c r="AM403" s="155"/>
      <c r="AN403" s="155"/>
      <c r="AO403" s="155"/>
      <c r="AP403" s="156"/>
      <c r="AQ403" s="156"/>
      <c r="AR403" s="155"/>
      <c r="AS403" s="155"/>
      <c r="AT403" s="155"/>
      <c r="AU403" s="156"/>
      <c r="AV403" s="156"/>
      <c r="AW403" s="155"/>
      <c r="AX403" s="155"/>
      <c r="AY403" s="155"/>
      <c r="AZ403" s="156"/>
      <c r="BA403" s="156"/>
      <c r="BB403" s="155"/>
      <c r="BC403" s="155"/>
      <c r="BD403" s="155"/>
      <c r="BE403" s="155"/>
      <c r="BF403" s="155"/>
      <c r="BG403" s="158"/>
      <c r="BH403" s="158"/>
      <c r="BI403" s="155"/>
      <c r="BJ403" s="155"/>
      <c r="BK403" s="159"/>
      <c r="BL403" s="156"/>
      <c r="BM403" s="156"/>
      <c r="BN403" s="156"/>
      <c r="BO403" s="156"/>
      <c r="BP403" s="160"/>
      <c r="BQ403" s="160"/>
      <c r="BR403" s="160"/>
      <c r="BS403" s="160"/>
    </row>
    <row r="404" spans="1:71" x14ac:dyDescent="0.25">
      <c r="A404" s="154"/>
      <c r="B404" s="155"/>
      <c r="C404" s="155"/>
      <c r="D404" s="155"/>
      <c r="E404" s="156"/>
      <c r="F404" s="156"/>
      <c r="G404" s="155"/>
      <c r="H404" s="155"/>
      <c r="I404" s="155"/>
      <c r="J404" s="157"/>
      <c r="K404" s="157"/>
      <c r="L404" s="155"/>
      <c r="M404" s="155"/>
      <c r="N404" s="155"/>
      <c r="O404" s="156"/>
      <c r="P404" s="156"/>
      <c r="Q404" s="155"/>
      <c r="R404" s="155"/>
      <c r="S404" s="155"/>
      <c r="T404" s="156"/>
      <c r="U404" s="156"/>
      <c r="V404" s="155"/>
      <c r="W404" s="155"/>
      <c r="X404" s="155"/>
      <c r="Y404" s="155"/>
      <c r="Z404" s="155"/>
      <c r="AA404" s="156"/>
      <c r="AB404" s="156"/>
      <c r="AC404" s="155"/>
      <c r="AD404" s="155"/>
      <c r="AE404" s="155"/>
      <c r="AF404" s="156"/>
      <c r="AG404" s="156"/>
      <c r="AH404" s="155"/>
      <c r="AI404" s="155"/>
      <c r="AJ404" s="155"/>
      <c r="AK404" s="156"/>
      <c r="AL404" s="156"/>
      <c r="AM404" s="155"/>
      <c r="AN404" s="155"/>
      <c r="AO404" s="155"/>
      <c r="AP404" s="156"/>
      <c r="AQ404" s="156"/>
      <c r="AR404" s="155"/>
      <c r="AS404" s="155"/>
      <c r="AT404" s="155"/>
      <c r="AU404" s="156"/>
      <c r="AV404" s="156"/>
      <c r="AW404" s="155"/>
      <c r="AX404" s="155"/>
      <c r="AY404" s="155"/>
      <c r="AZ404" s="156"/>
      <c r="BA404" s="156"/>
      <c r="BB404" s="155"/>
      <c r="BC404" s="155"/>
      <c r="BD404" s="155"/>
      <c r="BE404" s="155"/>
      <c r="BF404" s="155"/>
      <c r="BG404" s="158"/>
      <c r="BH404" s="158"/>
      <c r="BI404" s="155"/>
      <c r="BJ404" s="155"/>
      <c r="BK404" s="159"/>
      <c r="BL404" s="156"/>
      <c r="BM404" s="156"/>
      <c r="BN404" s="156"/>
      <c r="BO404" s="156"/>
      <c r="BP404" s="160"/>
      <c r="BQ404" s="160"/>
      <c r="BR404" s="160"/>
      <c r="BS404" s="160"/>
    </row>
    <row r="405" spans="1:71" x14ac:dyDescent="0.25">
      <c r="A405" s="154"/>
      <c r="B405" s="155"/>
      <c r="C405" s="155"/>
      <c r="D405" s="155"/>
      <c r="E405" s="156"/>
      <c r="F405" s="156"/>
      <c r="G405" s="155"/>
      <c r="H405" s="155"/>
      <c r="I405" s="155"/>
      <c r="J405" s="157"/>
      <c r="K405" s="157"/>
      <c r="L405" s="155"/>
      <c r="M405" s="155"/>
      <c r="N405" s="155"/>
      <c r="O405" s="156"/>
      <c r="P405" s="156"/>
      <c r="Q405" s="155"/>
      <c r="R405" s="155"/>
      <c r="S405" s="155"/>
      <c r="T405" s="156"/>
      <c r="U405" s="156"/>
      <c r="V405" s="155"/>
      <c r="W405" s="155"/>
      <c r="X405" s="155"/>
      <c r="Y405" s="155"/>
      <c r="Z405" s="155"/>
      <c r="AA405" s="156"/>
      <c r="AB405" s="156"/>
      <c r="AC405" s="155"/>
      <c r="AD405" s="155"/>
      <c r="AE405" s="155"/>
      <c r="AF405" s="156"/>
      <c r="AG405" s="156"/>
      <c r="AH405" s="155"/>
      <c r="AI405" s="155"/>
      <c r="AJ405" s="155"/>
      <c r="AK405" s="156"/>
      <c r="AL405" s="156"/>
      <c r="AM405" s="155"/>
      <c r="AN405" s="155"/>
      <c r="AO405" s="155"/>
      <c r="AP405" s="156"/>
      <c r="AQ405" s="156"/>
      <c r="AR405" s="155"/>
      <c r="AS405" s="155"/>
      <c r="AT405" s="155"/>
      <c r="AU405" s="156"/>
      <c r="AV405" s="156"/>
      <c r="AW405" s="155"/>
      <c r="AX405" s="155"/>
      <c r="AY405" s="155"/>
      <c r="AZ405" s="156"/>
      <c r="BA405" s="156"/>
      <c r="BB405" s="155"/>
      <c r="BC405" s="155"/>
      <c r="BD405" s="155"/>
      <c r="BE405" s="155"/>
      <c r="BF405" s="155"/>
      <c r="BG405" s="158"/>
      <c r="BH405" s="158"/>
      <c r="BI405" s="155"/>
      <c r="BJ405" s="155"/>
      <c r="BK405" s="159"/>
      <c r="BL405" s="156"/>
      <c r="BM405" s="156"/>
      <c r="BN405" s="156"/>
      <c r="BO405" s="156"/>
      <c r="BP405" s="160"/>
      <c r="BQ405" s="160"/>
      <c r="BR405" s="160"/>
      <c r="BS405" s="160"/>
    </row>
    <row r="406" spans="1:71" x14ac:dyDescent="0.25">
      <c r="A406" s="154"/>
      <c r="B406" s="155"/>
      <c r="C406" s="155"/>
      <c r="D406" s="155"/>
      <c r="E406" s="156"/>
      <c r="F406" s="156"/>
      <c r="G406" s="155"/>
      <c r="H406" s="155"/>
      <c r="I406" s="155"/>
      <c r="J406" s="157"/>
      <c r="K406" s="157"/>
      <c r="L406" s="155"/>
      <c r="M406" s="155"/>
      <c r="N406" s="155"/>
      <c r="O406" s="156"/>
      <c r="P406" s="156"/>
      <c r="Q406" s="155"/>
      <c r="R406" s="155"/>
      <c r="S406" s="155"/>
      <c r="T406" s="156"/>
      <c r="U406" s="156"/>
      <c r="V406" s="155"/>
      <c r="W406" s="155"/>
      <c r="X406" s="155"/>
      <c r="Y406" s="155"/>
      <c r="Z406" s="155"/>
      <c r="AA406" s="156"/>
      <c r="AB406" s="156"/>
      <c r="AC406" s="155"/>
      <c r="AD406" s="155"/>
      <c r="AE406" s="155"/>
      <c r="AF406" s="156"/>
      <c r="AG406" s="156"/>
      <c r="AH406" s="155"/>
      <c r="AI406" s="155"/>
      <c r="AJ406" s="155"/>
      <c r="AK406" s="156"/>
      <c r="AL406" s="156"/>
      <c r="AM406" s="155"/>
      <c r="AN406" s="155"/>
      <c r="AO406" s="155"/>
      <c r="AP406" s="156"/>
      <c r="AQ406" s="156"/>
      <c r="AR406" s="155"/>
      <c r="AS406" s="155"/>
      <c r="AT406" s="155"/>
      <c r="AU406" s="156"/>
      <c r="AV406" s="156"/>
      <c r="AW406" s="155"/>
      <c r="AX406" s="155"/>
      <c r="AY406" s="155"/>
      <c r="AZ406" s="156"/>
      <c r="BA406" s="156"/>
      <c r="BB406" s="155"/>
      <c r="BC406" s="155"/>
      <c r="BD406" s="155"/>
      <c r="BE406" s="155"/>
      <c r="BF406" s="155"/>
      <c r="BG406" s="158"/>
      <c r="BH406" s="158"/>
      <c r="BI406" s="155"/>
      <c r="BJ406" s="155"/>
      <c r="BK406" s="159"/>
      <c r="BL406" s="156"/>
      <c r="BM406" s="156"/>
      <c r="BN406" s="156"/>
      <c r="BO406" s="156"/>
      <c r="BP406" s="160"/>
      <c r="BQ406" s="160"/>
      <c r="BR406" s="160"/>
      <c r="BS406" s="160"/>
    </row>
    <row r="407" spans="1:71" x14ac:dyDescent="0.25">
      <c r="A407" s="154"/>
      <c r="B407" s="155"/>
      <c r="C407" s="155"/>
      <c r="D407" s="155"/>
      <c r="E407" s="156"/>
      <c r="F407" s="156"/>
      <c r="G407" s="155"/>
      <c r="H407" s="155"/>
      <c r="I407" s="155"/>
      <c r="J407" s="157"/>
      <c r="K407" s="157"/>
      <c r="L407" s="155"/>
      <c r="M407" s="155"/>
      <c r="N407" s="155"/>
      <c r="O407" s="156"/>
      <c r="P407" s="156"/>
      <c r="Q407" s="155"/>
      <c r="R407" s="155"/>
      <c r="S407" s="155"/>
      <c r="T407" s="156"/>
      <c r="U407" s="156"/>
      <c r="V407" s="155"/>
      <c r="W407" s="155"/>
      <c r="X407" s="155"/>
      <c r="Y407" s="155"/>
      <c r="Z407" s="155"/>
      <c r="AA407" s="156"/>
      <c r="AB407" s="156"/>
      <c r="AC407" s="155"/>
      <c r="AD407" s="155"/>
      <c r="AE407" s="155"/>
      <c r="AF407" s="156"/>
      <c r="AG407" s="156"/>
      <c r="AH407" s="155"/>
      <c r="AI407" s="155"/>
      <c r="AJ407" s="155"/>
      <c r="AK407" s="156"/>
      <c r="AL407" s="156"/>
      <c r="AM407" s="155"/>
      <c r="AN407" s="155"/>
      <c r="AO407" s="155"/>
      <c r="AP407" s="156"/>
      <c r="AQ407" s="156"/>
      <c r="AR407" s="155"/>
      <c r="AS407" s="155"/>
      <c r="AT407" s="155"/>
      <c r="AU407" s="156"/>
      <c r="AV407" s="156"/>
      <c r="AW407" s="155"/>
      <c r="AX407" s="155"/>
      <c r="AY407" s="155"/>
      <c r="AZ407" s="156"/>
      <c r="BA407" s="156"/>
      <c r="BB407" s="155"/>
      <c r="BC407" s="155"/>
      <c r="BD407" s="155"/>
      <c r="BE407" s="155"/>
      <c r="BF407" s="155"/>
      <c r="BG407" s="158"/>
      <c r="BH407" s="158"/>
      <c r="BI407" s="155"/>
      <c r="BJ407" s="155"/>
      <c r="BK407" s="159"/>
      <c r="BL407" s="156"/>
      <c r="BM407" s="156"/>
      <c r="BN407" s="156"/>
      <c r="BO407" s="156"/>
      <c r="BP407" s="160"/>
      <c r="BQ407" s="160"/>
      <c r="BR407" s="160"/>
      <c r="BS407" s="160"/>
    </row>
    <row r="408" spans="1:71" x14ac:dyDescent="0.25">
      <c r="A408" s="154"/>
      <c r="B408" s="155"/>
      <c r="C408" s="155"/>
      <c r="D408" s="155"/>
      <c r="E408" s="156"/>
      <c r="F408" s="156"/>
      <c r="G408" s="155"/>
      <c r="H408" s="155"/>
      <c r="I408" s="155"/>
      <c r="J408" s="157"/>
      <c r="K408" s="157"/>
      <c r="L408" s="155"/>
      <c r="M408" s="155"/>
      <c r="N408" s="155"/>
      <c r="O408" s="156"/>
      <c r="P408" s="156"/>
      <c r="Q408" s="155"/>
      <c r="R408" s="155"/>
      <c r="S408" s="155"/>
      <c r="T408" s="156"/>
      <c r="U408" s="156"/>
      <c r="V408" s="155"/>
      <c r="W408" s="155"/>
      <c r="X408" s="155"/>
      <c r="Y408" s="155"/>
      <c r="Z408" s="155"/>
      <c r="AA408" s="156"/>
      <c r="AB408" s="156"/>
      <c r="AC408" s="155"/>
      <c r="AD408" s="155"/>
      <c r="AE408" s="155"/>
      <c r="AF408" s="156"/>
      <c r="AG408" s="156"/>
      <c r="AH408" s="155"/>
      <c r="AI408" s="155"/>
      <c r="AJ408" s="155"/>
      <c r="AK408" s="156"/>
      <c r="AL408" s="156"/>
      <c r="AM408" s="155"/>
      <c r="AN408" s="155"/>
      <c r="AO408" s="155"/>
      <c r="AP408" s="156"/>
      <c r="AQ408" s="156"/>
      <c r="AR408" s="155"/>
      <c r="AS408" s="155"/>
      <c r="AT408" s="155"/>
      <c r="AU408" s="156"/>
      <c r="AV408" s="156"/>
      <c r="AW408" s="155"/>
      <c r="AX408" s="155"/>
      <c r="AY408" s="155"/>
      <c r="AZ408" s="156"/>
      <c r="BA408" s="156"/>
      <c r="BB408" s="155"/>
      <c r="BC408" s="155"/>
      <c r="BD408" s="155"/>
      <c r="BE408" s="155"/>
      <c r="BF408" s="155"/>
      <c r="BG408" s="158"/>
      <c r="BH408" s="158"/>
      <c r="BI408" s="155"/>
      <c r="BJ408" s="155"/>
      <c r="BK408" s="159"/>
      <c r="BL408" s="156"/>
      <c r="BM408" s="156"/>
      <c r="BN408" s="156"/>
      <c r="BO408" s="156"/>
      <c r="BP408" s="160"/>
      <c r="BQ408" s="160"/>
      <c r="BR408" s="160"/>
      <c r="BS408" s="160"/>
    </row>
    <row r="409" spans="1:71" x14ac:dyDescent="0.25">
      <c r="A409" s="154"/>
      <c r="B409" s="155"/>
      <c r="C409" s="155"/>
      <c r="D409" s="155"/>
      <c r="E409" s="156"/>
      <c r="F409" s="156"/>
      <c r="G409" s="155"/>
      <c r="H409" s="155"/>
      <c r="I409" s="155"/>
      <c r="J409" s="157"/>
      <c r="K409" s="157"/>
      <c r="L409" s="155"/>
      <c r="M409" s="155"/>
      <c r="N409" s="155"/>
      <c r="O409" s="156"/>
      <c r="P409" s="156"/>
      <c r="Q409" s="155"/>
      <c r="R409" s="155"/>
      <c r="S409" s="155"/>
      <c r="T409" s="156"/>
      <c r="U409" s="156"/>
      <c r="V409" s="155"/>
      <c r="W409" s="155"/>
      <c r="X409" s="155"/>
      <c r="Y409" s="155"/>
      <c r="Z409" s="155"/>
      <c r="AA409" s="156"/>
      <c r="AB409" s="156"/>
      <c r="AC409" s="155"/>
      <c r="AD409" s="155"/>
      <c r="AE409" s="155"/>
      <c r="AF409" s="156"/>
      <c r="AG409" s="156"/>
      <c r="AH409" s="155"/>
      <c r="AI409" s="155"/>
      <c r="AJ409" s="155"/>
      <c r="AK409" s="156"/>
      <c r="AL409" s="156"/>
      <c r="AM409" s="155"/>
      <c r="AN409" s="155"/>
      <c r="AO409" s="155"/>
      <c r="AP409" s="156"/>
      <c r="AQ409" s="156"/>
      <c r="AR409" s="155"/>
      <c r="AS409" s="155"/>
      <c r="AT409" s="155"/>
      <c r="AU409" s="156"/>
      <c r="AV409" s="156"/>
      <c r="AW409" s="155"/>
      <c r="AX409" s="155"/>
      <c r="AY409" s="155"/>
      <c r="AZ409" s="156"/>
      <c r="BA409" s="156"/>
      <c r="BB409" s="155"/>
      <c r="BC409" s="155"/>
      <c r="BD409" s="155"/>
      <c r="BE409" s="155"/>
      <c r="BF409" s="155"/>
      <c r="BG409" s="158"/>
      <c r="BH409" s="158"/>
      <c r="BI409" s="155"/>
      <c r="BJ409" s="155"/>
      <c r="BK409" s="159"/>
      <c r="BL409" s="156"/>
      <c r="BM409" s="156"/>
      <c r="BN409" s="156"/>
      <c r="BO409" s="156"/>
      <c r="BP409" s="160"/>
      <c r="BQ409" s="160"/>
      <c r="BR409" s="160"/>
      <c r="BS409" s="160"/>
    </row>
    <row r="410" spans="1:71" x14ac:dyDescent="0.25">
      <c r="A410" s="154"/>
      <c r="B410" s="155"/>
      <c r="C410" s="155"/>
      <c r="D410" s="155"/>
      <c r="E410" s="156"/>
      <c r="F410" s="156"/>
      <c r="G410" s="155"/>
      <c r="H410" s="155"/>
      <c r="I410" s="155"/>
      <c r="J410" s="157"/>
      <c r="K410" s="157"/>
      <c r="L410" s="155"/>
      <c r="M410" s="155"/>
      <c r="N410" s="155"/>
      <c r="O410" s="156"/>
      <c r="P410" s="156"/>
      <c r="Q410" s="155"/>
      <c r="R410" s="155"/>
      <c r="S410" s="155"/>
      <c r="T410" s="156"/>
      <c r="U410" s="156"/>
      <c r="V410" s="155"/>
      <c r="W410" s="155"/>
      <c r="X410" s="155"/>
      <c r="Y410" s="155"/>
      <c r="Z410" s="155"/>
      <c r="AA410" s="156"/>
      <c r="AB410" s="156"/>
      <c r="AC410" s="155"/>
      <c r="AD410" s="155"/>
      <c r="AE410" s="155"/>
      <c r="AF410" s="156"/>
      <c r="AG410" s="156"/>
      <c r="AH410" s="155"/>
      <c r="AI410" s="155"/>
      <c r="AJ410" s="155"/>
      <c r="AK410" s="156"/>
      <c r="AL410" s="156"/>
      <c r="AM410" s="155"/>
      <c r="AN410" s="155"/>
      <c r="AO410" s="155"/>
      <c r="AP410" s="156"/>
      <c r="AQ410" s="156"/>
      <c r="AR410" s="155"/>
      <c r="AS410" s="155"/>
      <c r="AT410" s="155"/>
      <c r="AU410" s="156"/>
      <c r="AV410" s="156"/>
      <c r="AW410" s="155"/>
      <c r="AX410" s="155"/>
      <c r="AY410" s="155"/>
      <c r="AZ410" s="156"/>
      <c r="BA410" s="156"/>
      <c r="BB410" s="155"/>
      <c r="BC410" s="155"/>
      <c r="BD410" s="155"/>
      <c r="BE410" s="155"/>
      <c r="BF410" s="155"/>
      <c r="BG410" s="158"/>
      <c r="BH410" s="158"/>
      <c r="BI410" s="155"/>
      <c r="BJ410" s="155"/>
      <c r="BK410" s="159"/>
      <c r="BL410" s="156"/>
      <c r="BM410" s="156"/>
      <c r="BN410" s="156"/>
      <c r="BO410" s="156"/>
      <c r="BP410" s="160"/>
      <c r="BQ410" s="160"/>
      <c r="BR410" s="160"/>
      <c r="BS410" s="160"/>
    </row>
    <row r="411" spans="1:71" x14ac:dyDescent="0.25">
      <c r="A411" s="154"/>
      <c r="B411" s="155"/>
      <c r="C411" s="155"/>
      <c r="D411" s="155"/>
      <c r="E411" s="156"/>
      <c r="F411" s="156"/>
      <c r="G411" s="155"/>
      <c r="H411" s="155"/>
      <c r="I411" s="155"/>
      <c r="J411" s="157"/>
      <c r="K411" s="157"/>
      <c r="L411" s="155"/>
      <c r="M411" s="155"/>
      <c r="N411" s="155"/>
      <c r="O411" s="156"/>
      <c r="P411" s="156"/>
      <c r="Q411" s="155"/>
      <c r="R411" s="155"/>
      <c r="S411" s="155"/>
      <c r="T411" s="156"/>
      <c r="U411" s="156"/>
      <c r="V411" s="155"/>
      <c r="W411" s="155"/>
      <c r="X411" s="155"/>
      <c r="Y411" s="155"/>
      <c r="Z411" s="155"/>
      <c r="AA411" s="156"/>
      <c r="AB411" s="156"/>
      <c r="AC411" s="155"/>
      <c r="AD411" s="155"/>
      <c r="AE411" s="155"/>
      <c r="AF411" s="156"/>
      <c r="AG411" s="156"/>
      <c r="AH411" s="155"/>
      <c r="AI411" s="155"/>
      <c r="AJ411" s="155"/>
      <c r="AK411" s="156"/>
      <c r="AL411" s="156"/>
      <c r="AM411" s="155"/>
      <c r="AN411" s="155"/>
      <c r="AO411" s="155"/>
      <c r="AP411" s="156"/>
      <c r="AQ411" s="156"/>
      <c r="AR411" s="155"/>
      <c r="AS411" s="155"/>
      <c r="AT411" s="155"/>
      <c r="AU411" s="156"/>
      <c r="AV411" s="156"/>
      <c r="AW411" s="155"/>
      <c r="AX411" s="155"/>
      <c r="AY411" s="155"/>
      <c r="AZ411" s="156"/>
      <c r="BA411" s="156"/>
      <c r="BB411" s="155"/>
      <c r="BC411" s="155"/>
      <c r="BD411" s="155"/>
      <c r="BE411" s="155"/>
      <c r="BF411" s="155"/>
      <c r="BG411" s="158"/>
      <c r="BH411" s="158"/>
      <c r="BI411" s="155"/>
      <c r="BJ411" s="155"/>
      <c r="BK411" s="159"/>
      <c r="BL411" s="156"/>
      <c r="BM411" s="156"/>
      <c r="BN411" s="156"/>
      <c r="BO411" s="156"/>
      <c r="BP411" s="160"/>
      <c r="BQ411" s="160"/>
      <c r="BR411" s="160"/>
      <c r="BS411" s="160"/>
    </row>
    <row r="412" spans="1:71" x14ac:dyDescent="0.25">
      <c r="A412" s="154"/>
      <c r="B412" s="155"/>
      <c r="C412" s="155"/>
      <c r="D412" s="155"/>
      <c r="E412" s="156"/>
      <c r="F412" s="156"/>
      <c r="G412" s="155"/>
      <c r="H412" s="155"/>
      <c r="I412" s="155"/>
      <c r="J412" s="157"/>
      <c r="K412" s="157"/>
      <c r="L412" s="155"/>
      <c r="M412" s="155"/>
      <c r="N412" s="155"/>
      <c r="O412" s="156"/>
      <c r="P412" s="156"/>
      <c r="Q412" s="155"/>
      <c r="R412" s="155"/>
      <c r="S412" s="155"/>
      <c r="T412" s="156"/>
      <c r="U412" s="156"/>
      <c r="V412" s="155"/>
      <c r="W412" s="155"/>
      <c r="X412" s="155"/>
      <c r="Y412" s="155"/>
      <c r="Z412" s="155"/>
      <c r="AA412" s="156"/>
      <c r="AB412" s="156"/>
      <c r="AC412" s="155"/>
      <c r="AD412" s="155"/>
      <c r="AE412" s="155"/>
      <c r="AF412" s="156"/>
      <c r="AG412" s="156"/>
      <c r="AH412" s="155"/>
      <c r="AI412" s="155"/>
      <c r="AJ412" s="155"/>
      <c r="AK412" s="156"/>
      <c r="AL412" s="156"/>
      <c r="AM412" s="155"/>
      <c r="AN412" s="155"/>
      <c r="AO412" s="155"/>
      <c r="AP412" s="156"/>
      <c r="AQ412" s="156"/>
      <c r="AR412" s="155"/>
      <c r="AS412" s="155"/>
      <c r="AT412" s="155"/>
      <c r="AU412" s="156"/>
      <c r="AV412" s="156"/>
      <c r="AW412" s="155"/>
      <c r="AX412" s="155"/>
      <c r="AY412" s="155"/>
      <c r="AZ412" s="156"/>
      <c r="BA412" s="156"/>
      <c r="BB412" s="155"/>
      <c r="BC412" s="155"/>
      <c r="BD412" s="155"/>
      <c r="BE412" s="155"/>
      <c r="BF412" s="155"/>
      <c r="BG412" s="158"/>
      <c r="BH412" s="158"/>
      <c r="BI412" s="155"/>
      <c r="BJ412" s="155"/>
      <c r="BK412" s="159"/>
      <c r="BL412" s="156"/>
      <c r="BM412" s="156"/>
      <c r="BN412" s="156"/>
      <c r="BO412" s="156"/>
      <c r="BP412" s="160"/>
      <c r="BQ412" s="160"/>
      <c r="BR412" s="160"/>
      <c r="BS412" s="160"/>
    </row>
    <row r="413" spans="1:71" x14ac:dyDescent="0.25">
      <c r="A413" s="154"/>
      <c r="B413" s="155"/>
      <c r="C413" s="155"/>
      <c r="D413" s="155"/>
      <c r="E413" s="156"/>
      <c r="F413" s="156"/>
      <c r="G413" s="155"/>
      <c r="H413" s="155"/>
      <c r="I413" s="155"/>
      <c r="J413" s="157"/>
      <c r="K413" s="157"/>
      <c r="L413" s="155"/>
      <c r="M413" s="155"/>
      <c r="N413" s="155"/>
      <c r="O413" s="156"/>
      <c r="P413" s="156"/>
      <c r="Q413" s="155"/>
      <c r="R413" s="155"/>
      <c r="S413" s="155"/>
      <c r="T413" s="156"/>
      <c r="U413" s="156"/>
      <c r="V413" s="155"/>
      <c r="W413" s="155"/>
      <c r="X413" s="155"/>
      <c r="Y413" s="155"/>
      <c r="Z413" s="155"/>
      <c r="AA413" s="156"/>
      <c r="AB413" s="156"/>
      <c r="AC413" s="155"/>
      <c r="AD413" s="155"/>
      <c r="AE413" s="155"/>
      <c r="AF413" s="156"/>
      <c r="AG413" s="156"/>
      <c r="AH413" s="155"/>
      <c r="AI413" s="155"/>
      <c r="AJ413" s="155"/>
      <c r="AK413" s="156"/>
      <c r="AL413" s="156"/>
      <c r="AM413" s="155"/>
      <c r="AN413" s="155"/>
      <c r="AO413" s="155"/>
      <c r="AP413" s="156"/>
      <c r="AQ413" s="156"/>
      <c r="AR413" s="155"/>
      <c r="AS413" s="155"/>
      <c r="AT413" s="155"/>
      <c r="AU413" s="156"/>
      <c r="AV413" s="156"/>
      <c r="AW413" s="155"/>
      <c r="AX413" s="155"/>
      <c r="AY413" s="155"/>
      <c r="AZ413" s="156"/>
      <c r="BA413" s="156"/>
      <c r="BB413" s="155"/>
      <c r="BC413" s="155"/>
      <c r="BD413" s="155"/>
      <c r="BE413" s="155"/>
      <c r="BF413" s="155"/>
      <c r="BG413" s="158"/>
      <c r="BH413" s="158"/>
      <c r="BI413" s="155"/>
      <c r="BJ413" s="155"/>
      <c r="BK413" s="159"/>
      <c r="BL413" s="156"/>
      <c r="BM413" s="156"/>
      <c r="BN413" s="156"/>
      <c r="BO413" s="156"/>
      <c r="BP413" s="160"/>
      <c r="BQ413" s="160"/>
      <c r="BR413" s="160"/>
      <c r="BS413" s="160"/>
    </row>
    <row r="414" spans="1:71" x14ac:dyDescent="0.25">
      <c r="A414" s="154"/>
      <c r="B414" s="155"/>
      <c r="C414" s="155"/>
      <c r="D414" s="155"/>
      <c r="E414" s="156"/>
      <c r="F414" s="156"/>
      <c r="G414" s="155"/>
      <c r="H414" s="155"/>
      <c r="I414" s="155"/>
      <c r="J414" s="157"/>
      <c r="K414" s="157"/>
      <c r="L414" s="155"/>
      <c r="M414" s="155"/>
      <c r="N414" s="155"/>
      <c r="O414" s="156"/>
      <c r="P414" s="156"/>
      <c r="Q414" s="155"/>
      <c r="R414" s="155"/>
      <c r="S414" s="155"/>
      <c r="T414" s="156"/>
      <c r="U414" s="156"/>
      <c r="V414" s="155"/>
      <c r="W414" s="155"/>
      <c r="X414" s="155"/>
      <c r="Y414" s="155"/>
      <c r="Z414" s="155"/>
      <c r="AA414" s="156"/>
      <c r="AB414" s="156"/>
      <c r="AC414" s="155"/>
      <c r="AD414" s="155"/>
      <c r="AE414" s="155"/>
      <c r="AF414" s="156"/>
      <c r="AG414" s="156"/>
      <c r="AH414" s="155"/>
      <c r="AI414" s="155"/>
      <c r="AJ414" s="155"/>
      <c r="AK414" s="156"/>
      <c r="AL414" s="156"/>
      <c r="AM414" s="155"/>
      <c r="AN414" s="155"/>
      <c r="AO414" s="155"/>
      <c r="AP414" s="156"/>
      <c r="AQ414" s="156"/>
      <c r="AR414" s="155"/>
      <c r="AS414" s="155"/>
      <c r="AT414" s="155"/>
      <c r="AU414" s="156"/>
      <c r="AV414" s="156"/>
      <c r="AW414" s="155"/>
      <c r="AX414" s="155"/>
      <c r="AY414" s="155"/>
      <c r="AZ414" s="156"/>
      <c r="BA414" s="156"/>
      <c r="BB414" s="155"/>
      <c r="BC414" s="155"/>
      <c r="BD414" s="155"/>
      <c r="BE414" s="155"/>
      <c r="BF414" s="155"/>
      <c r="BG414" s="158"/>
      <c r="BH414" s="158"/>
      <c r="BI414" s="155"/>
      <c r="BJ414" s="155"/>
      <c r="BK414" s="159"/>
      <c r="BL414" s="156"/>
      <c r="BM414" s="156"/>
      <c r="BN414" s="156"/>
      <c r="BO414" s="156"/>
      <c r="BP414" s="160"/>
      <c r="BQ414" s="160"/>
      <c r="BR414" s="160"/>
      <c r="BS414" s="160"/>
    </row>
    <row r="415" spans="1:71" x14ac:dyDescent="0.25">
      <c r="A415" s="154"/>
      <c r="B415" s="155"/>
      <c r="C415" s="155"/>
      <c r="D415" s="155"/>
      <c r="E415" s="156"/>
      <c r="F415" s="156"/>
      <c r="G415" s="155"/>
      <c r="H415" s="155"/>
      <c r="I415" s="155"/>
      <c r="J415" s="157"/>
      <c r="K415" s="157"/>
      <c r="L415" s="155"/>
      <c r="M415" s="155"/>
      <c r="N415" s="155"/>
      <c r="O415" s="156"/>
      <c r="P415" s="156"/>
      <c r="Q415" s="155"/>
      <c r="R415" s="155"/>
      <c r="S415" s="155"/>
      <c r="T415" s="156"/>
      <c r="U415" s="156"/>
      <c r="V415" s="155"/>
      <c r="W415" s="155"/>
      <c r="X415" s="155"/>
      <c r="Y415" s="155"/>
      <c r="Z415" s="155"/>
      <c r="AA415" s="156"/>
      <c r="AB415" s="156"/>
      <c r="AC415" s="155"/>
      <c r="AD415" s="155"/>
      <c r="AE415" s="155"/>
      <c r="AF415" s="156"/>
      <c r="AG415" s="156"/>
      <c r="AH415" s="155"/>
      <c r="AI415" s="155"/>
      <c r="AJ415" s="155"/>
      <c r="AK415" s="156"/>
      <c r="AL415" s="156"/>
      <c r="AM415" s="155"/>
      <c r="AN415" s="155"/>
      <c r="AO415" s="155"/>
      <c r="AP415" s="156"/>
      <c r="AQ415" s="156"/>
      <c r="AR415" s="155"/>
      <c r="AS415" s="155"/>
      <c r="AT415" s="155"/>
      <c r="AU415" s="156"/>
      <c r="AV415" s="156"/>
      <c r="AW415" s="155"/>
      <c r="AX415" s="155"/>
      <c r="AY415" s="155"/>
      <c r="AZ415" s="156"/>
      <c r="BA415" s="156"/>
      <c r="BB415" s="155"/>
      <c r="BC415" s="155"/>
      <c r="BD415" s="155"/>
      <c r="BE415" s="155"/>
      <c r="BF415" s="155"/>
      <c r="BG415" s="158"/>
      <c r="BH415" s="158"/>
      <c r="BI415" s="155"/>
      <c r="BJ415" s="155"/>
      <c r="BK415" s="159"/>
      <c r="BL415" s="156"/>
      <c r="BM415" s="156"/>
      <c r="BN415" s="156"/>
      <c r="BO415" s="156"/>
      <c r="BP415" s="160"/>
      <c r="BQ415" s="160"/>
      <c r="BR415" s="160"/>
      <c r="BS415" s="160"/>
    </row>
    <row r="416" spans="1:71" x14ac:dyDescent="0.25">
      <c r="A416" s="154"/>
      <c r="B416" s="155"/>
      <c r="C416" s="155"/>
      <c r="D416" s="155"/>
      <c r="E416" s="156"/>
      <c r="F416" s="156"/>
      <c r="G416" s="155"/>
      <c r="H416" s="155"/>
      <c r="I416" s="155"/>
      <c r="J416" s="157"/>
      <c r="K416" s="157"/>
      <c r="L416" s="155"/>
      <c r="M416" s="155"/>
      <c r="N416" s="155"/>
      <c r="O416" s="156"/>
      <c r="P416" s="156"/>
      <c r="Q416" s="155"/>
      <c r="R416" s="155"/>
      <c r="S416" s="155"/>
      <c r="T416" s="156"/>
      <c r="U416" s="156"/>
      <c r="V416" s="155"/>
      <c r="W416" s="155"/>
      <c r="X416" s="155"/>
      <c r="Y416" s="155"/>
      <c r="Z416" s="155"/>
      <c r="AA416" s="156"/>
      <c r="AB416" s="156"/>
      <c r="AC416" s="155"/>
      <c r="AD416" s="155"/>
      <c r="AE416" s="155"/>
      <c r="AF416" s="156"/>
      <c r="AG416" s="156"/>
      <c r="AH416" s="155"/>
      <c r="AI416" s="155"/>
      <c r="AJ416" s="155"/>
      <c r="AK416" s="156"/>
      <c r="AL416" s="156"/>
      <c r="AM416" s="155"/>
      <c r="AN416" s="155"/>
      <c r="AO416" s="155"/>
      <c r="AP416" s="156"/>
      <c r="AQ416" s="156"/>
      <c r="AR416" s="155"/>
      <c r="AS416" s="155"/>
      <c r="AT416" s="155"/>
      <c r="AU416" s="156"/>
      <c r="AV416" s="156"/>
      <c r="AW416" s="155"/>
      <c r="AX416" s="155"/>
      <c r="AY416" s="155"/>
      <c r="AZ416" s="156"/>
      <c r="BA416" s="156"/>
      <c r="BB416" s="155"/>
      <c r="BC416" s="155"/>
      <c r="BD416" s="155"/>
      <c r="BE416" s="155"/>
      <c r="BF416" s="155"/>
      <c r="BG416" s="158"/>
      <c r="BH416" s="158"/>
      <c r="BI416" s="155"/>
      <c r="BJ416" s="155"/>
      <c r="BK416" s="159"/>
      <c r="BL416" s="156"/>
      <c r="BM416" s="156"/>
      <c r="BN416" s="156"/>
      <c r="BO416" s="156"/>
      <c r="BP416" s="160"/>
      <c r="BQ416" s="160"/>
      <c r="BR416" s="160"/>
      <c r="BS416" s="160"/>
    </row>
    <row r="417" spans="1:71" x14ac:dyDescent="0.25">
      <c r="A417" s="154"/>
      <c r="B417" s="155"/>
      <c r="C417" s="155"/>
      <c r="D417" s="155"/>
      <c r="E417" s="156"/>
      <c r="F417" s="156"/>
      <c r="G417" s="155"/>
      <c r="H417" s="155"/>
      <c r="I417" s="155"/>
      <c r="J417" s="157"/>
      <c r="K417" s="157"/>
      <c r="L417" s="155"/>
      <c r="M417" s="155"/>
      <c r="N417" s="155"/>
      <c r="O417" s="156"/>
      <c r="P417" s="156"/>
      <c r="Q417" s="155"/>
      <c r="R417" s="155"/>
      <c r="S417" s="155"/>
      <c r="T417" s="156"/>
      <c r="U417" s="156"/>
      <c r="V417" s="155"/>
      <c r="W417" s="155"/>
      <c r="X417" s="155"/>
      <c r="Y417" s="155"/>
      <c r="Z417" s="155"/>
      <c r="AA417" s="156"/>
      <c r="AB417" s="156"/>
      <c r="AC417" s="155"/>
      <c r="AD417" s="155"/>
      <c r="AE417" s="155"/>
      <c r="AF417" s="156"/>
      <c r="AG417" s="156"/>
      <c r="AH417" s="155"/>
      <c r="AI417" s="155"/>
      <c r="AJ417" s="155"/>
      <c r="AK417" s="156"/>
      <c r="AL417" s="156"/>
      <c r="AM417" s="155"/>
      <c r="AN417" s="155"/>
      <c r="AO417" s="155"/>
      <c r="AP417" s="156"/>
      <c r="AQ417" s="156"/>
      <c r="AR417" s="155"/>
      <c r="AS417" s="155"/>
      <c r="AT417" s="155"/>
      <c r="AU417" s="156"/>
      <c r="AV417" s="156"/>
      <c r="AW417" s="155"/>
      <c r="AX417" s="155"/>
      <c r="AY417" s="155"/>
      <c r="AZ417" s="156"/>
      <c r="BA417" s="156"/>
      <c r="BB417" s="155"/>
      <c r="BC417" s="155"/>
      <c r="BD417" s="155"/>
      <c r="BE417" s="155"/>
      <c r="BF417" s="155"/>
      <c r="BG417" s="158"/>
      <c r="BH417" s="158"/>
      <c r="BI417" s="155"/>
      <c r="BJ417" s="155"/>
      <c r="BK417" s="159"/>
      <c r="BL417" s="156"/>
      <c r="BM417" s="156"/>
      <c r="BN417" s="156"/>
      <c r="BO417" s="156"/>
      <c r="BP417" s="160"/>
      <c r="BQ417" s="160"/>
      <c r="BR417" s="160"/>
      <c r="BS417" s="160"/>
    </row>
    <row r="418" spans="1:71" x14ac:dyDescent="0.25">
      <c r="A418" s="154"/>
      <c r="B418" s="155"/>
      <c r="C418" s="155"/>
      <c r="D418" s="155"/>
      <c r="E418" s="156"/>
      <c r="F418" s="156"/>
      <c r="G418" s="155"/>
      <c r="H418" s="155"/>
      <c r="I418" s="155"/>
      <c r="J418" s="157"/>
      <c r="K418" s="157"/>
      <c r="L418" s="155"/>
      <c r="M418" s="155"/>
      <c r="N418" s="155"/>
      <c r="O418" s="156"/>
      <c r="P418" s="156"/>
      <c r="Q418" s="155"/>
      <c r="R418" s="155"/>
      <c r="S418" s="155"/>
      <c r="T418" s="156"/>
      <c r="U418" s="156"/>
      <c r="V418" s="155"/>
      <c r="W418" s="155"/>
      <c r="X418" s="155"/>
      <c r="Y418" s="155"/>
      <c r="Z418" s="155"/>
      <c r="AA418" s="156"/>
      <c r="AB418" s="156"/>
      <c r="AC418" s="155"/>
      <c r="AD418" s="155"/>
      <c r="AE418" s="155"/>
      <c r="AF418" s="156"/>
      <c r="AG418" s="156"/>
      <c r="AH418" s="155"/>
      <c r="AI418" s="155"/>
      <c r="AJ418" s="155"/>
      <c r="AK418" s="156"/>
      <c r="AL418" s="156"/>
      <c r="AM418" s="155"/>
      <c r="AN418" s="155"/>
      <c r="AO418" s="155"/>
      <c r="AP418" s="156"/>
      <c r="AQ418" s="156"/>
      <c r="AR418" s="155"/>
      <c r="AS418" s="155"/>
      <c r="AT418" s="155"/>
      <c r="AU418" s="156"/>
      <c r="AV418" s="156"/>
      <c r="AW418" s="155"/>
      <c r="AX418" s="155"/>
      <c r="AY418" s="155"/>
      <c r="AZ418" s="156"/>
      <c r="BA418" s="156"/>
      <c r="BB418" s="155"/>
      <c r="BC418" s="155"/>
      <c r="BD418" s="155"/>
      <c r="BE418" s="155"/>
      <c r="BF418" s="155"/>
      <c r="BG418" s="158"/>
      <c r="BH418" s="158"/>
      <c r="BI418" s="155"/>
      <c r="BJ418" s="155"/>
      <c r="BK418" s="159"/>
      <c r="BL418" s="156"/>
      <c r="BM418" s="156"/>
      <c r="BN418" s="156"/>
      <c r="BO418" s="156"/>
      <c r="BP418" s="160"/>
      <c r="BQ418" s="160"/>
      <c r="BR418" s="160"/>
      <c r="BS418" s="160"/>
    </row>
    <row r="419" spans="1:71" x14ac:dyDescent="0.25">
      <c r="A419" s="154"/>
      <c r="B419" s="155"/>
      <c r="C419" s="155"/>
      <c r="D419" s="155"/>
      <c r="E419" s="156"/>
      <c r="F419" s="156"/>
      <c r="G419" s="155"/>
      <c r="H419" s="155"/>
      <c r="I419" s="155"/>
      <c r="J419" s="157"/>
      <c r="K419" s="157"/>
      <c r="L419" s="155"/>
      <c r="M419" s="155"/>
      <c r="N419" s="155"/>
      <c r="O419" s="156"/>
      <c r="P419" s="156"/>
      <c r="Q419" s="155"/>
      <c r="R419" s="155"/>
      <c r="S419" s="155"/>
      <c r="T419" s="156"/>
      <c r="U419" s="156"/>
      <c r="V419" s="155"/>
      <c r="W419" s="155"/>
      <c r="X419" s="155"/>
      <c r="Y419" s="155"/>
      <c r="Z419" s="155"/>
      <c r="AA419" s="156"/>
      <c r="AB419" s="156"/>
      <c r="AC419" s="155"/>
      <c r="AD419" s="155"/>
      <c r="AE419" s="155"/>
      <c r="AF419" s="156"/>
      <c r="AG419" s="156"/>
      <c r="AH419" s="155"/>
      <c r="AI419" s="155"/>
      <c r="AJ419" s="155"/>
      <c r="AK419" s="156"/>
      <c r="AL419" s="156"/>
      <c r="AM419" s="155"/>
      <c r="AN419" s="155"/>
      <c r="AO419" s="155"/>
      <c r="AP419" s="156"/>
      <c r="AQ419" s="156"/>
      <c r="AR419" s="155"/>
      <c r="AS419" s="155"/>
      <c r="AT419" s="155"/>
      <c r="AU419" s="156"/>
      <c r="AV419" s="156"/>
      <c r="AW419" s="155"/>
      <c r="AX419" s="155"/>
      <c r="AY419" s="155"/>
      <c r="AZ419" s="156"/>
      <c r="BA419" s="156"/>
      <c r="BB419" s="155"/>
      <c r="BC419" s="155"/>
      <c r="BD419" s="155"/>
      <c r="BE419" s="155"/>
      <c r="BF419" s="155"/>
      <c r="BG419" s="158"/>
      <c r="BH419" s="158"/>
      <c r="BI419" s="155"/>
      <c r="BJ419" s="155"/>
      <c r="BK419" s="159"/>
      <c r="BL419" s="156"/>
      <c r="BM419" s="156"/>
      <c r="BN419" s="156"/>
      <c r="BO419" s="156"/>
      <c r="BP419" s="160"/>
      <c r="BQ419" s="160"/>
      <c r="BR419" s="160"/>
      <c r="BS419" s="160"/>
    </row>
    <row r="420" spans="1:71" x14ac:dyDescent="0.25">
      <c r="A420" s="154"/>
      <c r="B420" s="155"/>
      <c r="C420" s="155"/>
      <c r="D420" s="155"/>
      <c r="E420" s="156"/>
      <c r="F420" s="156"/>
      <c r="G420" s="155"/>
      <c r="H420" s="155"/>
      <c r="I420" s="155"/>
      <c r="J420" s="157"/>
      <c r="K420" s="157"/>
      <c r="L420" s="155"/>
      <c r="M420" s="155"/>
      <c r="N420" s="155"/>
      <c r="O420" s="156"/>
      <c r="P420" s="156"/>
      <c r="Q420" s="155"/>
      <c r="R420" s="155"/>
      <c r="S420" s="155"/>
      <c r="T420" s="156"/>
      <c r="U420" s="156"/>
      <c r="V420" s="155"/>
      <c r="W420" s="155"/>
      <c r="X420" s="155"/>
      <c r="Y420" s="155"/>
      <c r="Z420" s="155"/>
      <c r="AA420" s="156"/>
      <c r="AB420" s="156"/>
      <c r="AC420" s="155"/>
      <c r="AD420" s="155"/>
      <c r="AE420" s="155"/>
      <c r="AF420" s="156"/>
      <c r="AG420" s="156"/>
      <c r="AH420" s="155"/>
      <c r="AI420" s="155"/>
      <c r="AJ420" s="155"/>
      <c r="AK420" s="156"/>
      <c r="AL420" s="156"/>
      <c r="AM420" s="155"/>
      <c r="AN420" s="155"/>
      <c r="AO420" s="155"/>
      <c r="AP420" s="156"/>
      <c r="AQ420" s="156"/>
      <c r="AR420" s="155"/>
      <c r="AS420" s="155"/>
      <c r="AT420" s="155"/>
      <c r="AU420" s="156"/>
      <c r="AV420" s="156"/>
      <c r="AW420" s="155"/>
      <c r="AX420" s="155"/>
      <c r="AY420" s="155"/>
      <c r="AZ420" s="156"/>
      <c r="BA420" s="156"/>
      <c r="BB420" s="155"/>
      <c r="BC420" s="155"/>
      <c r="BD420" s="155"/>
      <c r="BE420" s="155"/>
      <c r="BF420" s="155"/>
      <c r="BG420" s="158"/>
      <c r="BH420" s="158"/>
      <c r="BI420" s="155"/>
      <c r="BJ420" s="155"/>
      <c r="BK420" s="159"/>
      <c r="BL420" s="156"/>
      <c r="BM420" s="156"/>
      <c r="BN420" s="156"/>
      <c r="BO420" s="156"/>
      <c r="BP420" s="160"/>
      <c r="BQ420" s="160"/>
      <c r="BR420" s="160"/>
      <c r="BS420" s="160"/>
    </row>
    <row r="421" spans="1:71" x14ac:dyDescent="0.25">
      <c r="A421" s="154"/>
      <c r="B421" s="155"/>
      <c r="C421" s="155"/>
      <c r="D421" s="155"/>
      <c r="E421" s="156"/>
      <c r="F421" s="156"/>
      <c r="G421" s="155"/>
      <c r="H421" s="155"/>
      <c r="I421" s="155"/>
      <c r="J421" s="157"/>
      <c r="K421" s="157"/>
      <c r="L421" s="155"/>
      <c r="M421" s="155"/>
      <c r="N421" s="155"/>
      <c r="O421" s="156"/>
      <c r="P421" s="156"/>
      <c r="Q421" s="155"/>
      <c r="R421" s="155"/>
      <c r="S421" s="155"/>
      <c r="T421" s="156"/>
      <c r="U421" s="156"/>
      <c r="V421" s="155"/>
      <c r="W421" s="155"/>
      <c r="X421" s="155"/>
      <c r="Y421" s="155"/>
      <c r="Z421" s="155"/>
      <c r="AA421" s="156"/>
      <c r="AB421" s="156"/>
      <c r="AC421" s="155"/>
      <c r="AD421" s="155"/>
      <c r="AE421" s="155"/>
      <c r="AF421" s="156"/>
      <c r="AG421" s="156"/>
      <c r="AH421" s="155"/>
      <c r="AI421" s="155"/>
      <c r="AJ421" s="155"/>
      <c r="AK421" s="156"/>
      <c r="AL421" s="156"/>
      <c r="AM421" s="155"/>
      <c r="AN421" s="155"/>
      <c r="AO421" s="155"/>
      <c r="AP421" s="156"/>
      <c r="AQ421" s="156"/>
      <c r="AR421" s="155"/>
      <c r="AS421" s="155"/>
      <c r="AT421" s="155"/>
      <c r="AU421" s="156"/>
      <c r="AV421" s="156"/>
      <c r="AW421" s="155"/>
      <c r="AX421" s="155"/>
      <c r="AY421" s="155"/>
      <c r="AZ421" s="156"/>
      <c r="BA421" s="156"/>
      <c r="BB421" s="155"/>
      <c r="BC421" s="155"/>
      <c r="BD421" s="155"/>
      <c r="BE421" s="155"/>
      <c r="BF421" s="155"/>
      <c r="BG421" s="158"/>
      <c r="BH421" s="158"/>
      <c r="BI421" s="155"/>
      <c r="BJ421" s="155"/>
      <c r="BK421" s="159"/>
      <c r="BL421" s="156"/>
      <c r="BM421" s="156"/>
      <c r="BN421" s="156"/>
      <c r="BO421" s="156"/>
      <c r="BP421" s="160"/>
      <c r="BQ421" s="160"/>
      <c r="BR421" s="160"/>
      <c r="BS421" s="160"/>
    </row>
    <row r="422" spans="1:71" x14ac:dyDescent="0.25">
      <c r="A422" s="154"/>
      <c r="B422" s="155"/>
      <c r="C422" s="155"/>
      <c r="D422" s="155"/>
      <c r="E422" s="156"/>
      <c r="F422" s="156"/>
      <c r="G422" s="155"/>
      <c r="H422" s="155"/>
      <c r="I422" s="155"/>
      <c r="J422" s="157"/>
      <c r="K422" s="157"/>
      <c r="L422" s="155"/>
      <c r="M422" s="155"/>
      <c r="N422" s="155"/>
      <c r="O422" s="156"/>
      <c r="P422" s="156"/>
      <c r="Q422" s="155"/>
      <c r="R422" s="155"/>
      <c r="S422" s="155"/>
      <c r="T422" s="156"/>
      <c r="U422" s="156"/>
      <c r="V422" s="155"/>
      <c r="W422" s="155"/>
      <c r="X422" s="155"/>
      <c r="Y422" s="155"/>
      <c r="Z422" s="155"/>
      <c r="AA422" s="156"/>
      <c r="AB422" s="156"/>
      <c r="AC422" s="155"/>
      <c r="AD422" s="155"/>
      <c r="AE422" s="155"/>
      <c r="AF422" s="156"/>
      <c r="AG422" s="156"/>
      <c r="AH422" s="155"/>
      <c r="AI422" s="155"/>
      <c r="AJ422" s="155"/>
      <c r="AK422" s="156"/>
      <c r="AL422" s="156"/>
      <c r="AM422" s="155"/>
      <c r="AN422" s="155"/>
      <c r="AO422" s="155"/>
      <c r="AP422" s="156"/>
      <c r="AQ422" s="156"/>
      <c r="AR422" s="155"/>
      <c r="AS422" s="155"/>
      <c r="AT422" s="155"/>
      <c r="AU422" s="156"/>
      <c r="AV422" s="156"/>
      <c r="AW422" s="155"/>
      <c r="AX422" s="155"/>
      <c r="AY422" s="155"/>
      <c r="AZ422" s="156"/>
      <c r="BA422" s="156"/>
      <c r="BB422" s="155"/>
      <c r="BC422" s="155"/>
      <c r="BD422" s="155"/>
      <c r="BE422" s="155"/>
      <c r="BF422" s="155"/>
      <c r="BG422" s="158"/>
      <c r="BH422" s="158"/>
      <c r="BI422" s="155"/>
      <c r="BJ422" s="155"/>
      <c r="BK422" s="159"/>
      <c r="BL422" s="156"/>
      <c r="BM422" s="156"/>
      <c r="BN422" s="156"/>
      <c r="BO422" s="156"/>
      <c r="BP422" s="160"/>
      <c r="BQ422" s="160"/>
      <c r="BR422" s="160"/>
      <c r="BS422" s="160"/>
    </row>
    <row r="423" spans="1:71" x14ac:dyDescent="0.25">
      <c r="A423" s="154"/>
      <c r="B423" s="155"/>
      <c r="C423" s="155"/>
      <c r="D423" s="155"/>
      <c r="E423" s="156"/>
      <c r="F423" s="156"/>
      <c r="G423" s="155"/>
      <c r="H423" s="155"/>
      <c r="I423" s="155"/>
      <c r="J423" s="157"/>
      <c r="K423" s="157"/>
      <c r="L423" s="155"/>
      <c r="M423" s="155"/>
      <c r="N423" s="155"/>
      <c r="O423" s="156"/>
      <c r="P423" s="156"/>
      <c r="Q423" s="155"/>
      <c r="R423" s="155"/>
      <c r="S423" s="155"/>
      <c r="T423" s="156"/>
      <c r="U423" s="156"/>
      <c r="V423" s="155"/>
      <c r="W423" s="155"/>
      <c r="X423" s="155"/>
      <c r="Y423" s="155"/>
      <c r="Z423" s="155"/>
      <c r="AA423" s="156"/>
      <c r="AB423" s="156"/>
      <c r="AC423" s="155"/>
      <c r="AD423" s="155"/>
      <c r="AE423" s="155"/>
      <c r="AF423" s="156"/>
      <c r="AG423" s="156"/>
      <c r="AH423" s="155"/>
      <c r="AI423" s="155"/>
      <c r="AJ423" s="155"/>
      <c r="AK423" s="156"/>
      <c r="AL423" s="156"/>
      <c r="AM423" s="155"/>
      <c r="AN423" s="155"/>
      <c r="AO423" s="155"/>
      <c r="AP423" s="156"/>
      <c r="AQ423" s="156"/>
      <c r="AR423" s="155"/>
      <c r="AS423" s="155"/>
      <c r="AT423" s="155"/>
      <c r="AU423" s="156"/>
      <c r="AV423" s="156"/>
      <c r="AW423" s="155"/>
      <c r="AX423" s="155"/>
      <c r="AY423" s="155"/>
      <c r="AZ423" s="156"/>
      <c r="BA423" s="156"/>
      <c r="BB423" s="155"/>
      <c r="BC423" s="155"/>
      <c r="BD423" s="155"/>
      <c r="BE423" s="155"/>
      <c r="BF423" s="155"/>
      <c r="BG423" s="158"/>
      <c r="BH423" s="158"/>
      <c r="BI423" s="155"/>
      <c r="BJ423" s="155"/>
      <c r="BK423" s="159"/>
      <c r="BL423" s="156"/>
      <c r="BM423" s="156"/>
      <c r="BN423" s="156"/>
      <c r="BO423" s="156"/>
      <c r="BP423" s="160"/>
      <c r="BQ423" s="160"/>
      <c r="BR423" s="160"/>
      <c r="BS423" s="160"/>
    </row>
    <row r="424" spans="1:71" x14ac:dyDescent="0.25">
      <c r="A424" s="154"/>
      <c r="B424" s="155"/>
      <c r="C424" s="155"/>
      <c r="D424" s="155"/>
      <c r="E424" s="156"/>
      <c r="F424" s="156"/>
      <c r="G424" s="155"/>
      <c r="H424" s="155"/>
      <c r="I424" s="155"/>
      <c r="J424" s="157"/>
      <c r="K424" s="157"/>
      <c r="L424" s="155"/>
      <c r="M424" s="155"/>
      <c r="N424" s="155"/>
      <c r="O424" s="156"/>
      <c r="P424" s="156"/>
      <c r="Q424" s="155"/>
      <c r="R424" s="155"/>
      <c r="S424" s="155"/>
      <c r="T424" s="156"/>
      <c r="U424" s="156"/>
      <c r="V424" s="155"/>
      <c r="W424" s="155"/>
      <c r="X424" s="155"/>
      <c r="Y424" s="155"/>
      <c r="Z424" s="155"/>
      <c r="AA424" s="156"/>
      <c r="AB424" s="156"/>
      <c r="AC424" s="155"/>
      <c r="AD424" s="155"/>
      <c r="AE424" s="155"/>
      <c r="AF424" s="156"/>
      <c r="AG424" s="156"/>
      <c r="AH424" s="155"/>
      <c r="AI424" s="155"/>
      <c r="AJ424" s="155"/>
      <c r="AK424" s="156"/>
      <c r="AL424" s="156"/>
      <c r="AM424" s="155"/>
      <c r="AN424" s="155"/>
      <c r="AO424" s="155"/>
      <c r="AP424" s="156"/>
      <c r="AQ424" s="156"/>
      <c r="AR424" s="155"/>
      <c r="AS424" s="155"/>
      <c r="AT424" s="155"/>
      <c r="AU424" s="156"/>
      <c r="AV424" s="156"/>
      <c r="AW424" s="155"/>
      <c r="AX424" s="155"/>
      <c r="AY424" s="155"/>
      <c r="AZ424" s="156"/>
      <c r="BA424" s="156"/>
      <c r="BB424" s="155"/>
      <c r="BC424" s="155"/>
      <c r="BD424" s="155"/>
      <c r="BE424" s="155"/>
      <c r="BF424" s="155"/>
      <c r="BG424" s="158"/>
      <c r="BH424" s="158"/>
      <c r="BI424" s="155"/>
      <c r="BJ424" s="155"/>
      <c r="BK424" s="159"/>
      <c r="BL424" s="156"/>
      <c r="BM424" s="156"/>
      <c r="BN424" s="156"/>
      <c r="BO424" s="156"/>
      <c r="BP424" s="160"/>
      <c r="BQ424" s="160"/>
      <c r="BR424" s="160"/>
      <c r="BS424" s="160"/>
    </row>
    <row r="425" spans="1:71" x14ac:dyDescent="0.25">
      <c r="A425" s="154"/>
      <c r="B425" s="155"/>
      <c r="C425" s="155"/>
      <c r="D425" s="155"/>
      <c r="E425" s="156"/>
      <c r="F425" s="156"/>
      <c r="G425" s="155"/>
      <c r="H425" s="155"/>
      <c r="I425" s="155"/>
      <c r="J425" s="157"/>
      <c r="K425" s="157"/>
      <c r="L425" s="155"/>
      <c r="M425" s="155"/>
      <c r="N425" s="155"/>
      <c r="O425" s="156"/>
      <c r="P425" s="156"/>
      <c r="Q425" s="155"/>
      <c r="R425" s="155"/>
      <c r="S425" s="155"/>
      <c r="T425" s="156"/>
      <c r="U425" s="156"/>
      <c r="V425" s="155"/>
      <c r="W425" s="155"/>
      <c r="X425" s="155"/>
      <c r="Y425" s="155"/>
      <c r="Z425" s="155"/>
      <c r="AA425" s="156"/>
      <c r="AB425" s="156"/>
      <c r="AC425" s="155"/>
      <c r="AD425" s="155"/>
      <c r="AE425" s="155"/>
      <c r="AF425" s="156"/>
      <c r="AG425" s="156"/>
      <c r="AH425" s="155"/>
      <c r="AI425" s="155"/>
      <c r="AJ425" s="155"/>
      <c r="AK425" s="156"/>
      <c r="AL425" s="156"/>
      <c r="AM425" s="155"/>
      <c r="AN425" s="155"/>
      <c r="AO425" s="155"/>
      <c r="AP425" s="156"/>
      <c r="AQ425" s="156"/>
      <c r="AR425" s="155"/>
      <c r="AS425" s="155"/>
      <c r="AT425" s="155"/>
      <c r="AU425" s="156"/>
      <c r="AV425" s="156"/>
      <c r="AW425" s="155"/>
      <c r="AX425" s="155"/>
      <c r="AY425" s="155"/>
      <c r="AZ425" s="156"/>
      <c r="BA425" s="156"/>
      <c r="BB425" s="155"/>
      <c r="BC425" s="155"/>
      <c r="BD425" s="155"/>
      <c r="BE425" s="155"/>
      <c r="BF425" s="155"/>
      <c r="BG425" s="158"/>
      <c r="BH425" s="158"/>
      <c r="BI425" s="155"/>
      <c r="BJ425" s="155"/>
      <c r="BK425" s="159"/>
      <c r="BL425" s="156"/>
      <c r="BM425" s="156"/>
      <c r="BN425" s="156"/>
      <c r="BO425" s="156"/>
      <c r="BP425" s="160"/>
      <c r="BQ425" s="160"/>
      <c r="BR425" s="160"/>
      <c r="BS425" s="160"/>
    </row>
    <row r="426" spans="1:71" x14ac:dyDescent="0.25">
      <c r="A426" s="154"/>
      <c r="B426" s="155"/>
      <c r="C426" s="155"/>
      <c r="D426" s="155"/>
      <c r="E426" s="156"/>
      <c r="F426" s="156"/>
      <c r="G426" s="155"/>
      <c r="H426" s="155"/>
      <c r="I426" s="155"/>
      <c r="J426" s="157"/>
      <c r="K426" s="157"/>
      <c r="L426" s="155"/>
      <c r="M426" s="155"/>
      <c r="N426" s="155"/>
      <c r="O426" s="156"/>
      <c r="P426" s="156"/>
      <c r="Q426" s="155"/>
      <c r="R426" s="155"/>
      <c r="S426" s="155"/>
      <c r="T426" s="156"/>
      <c r="U426" s="156"/>
      <c r="V426" s="155"/>
      <c r="W426" s="155"/>
      <c r="X426" s="155"/>
      <c r="Y426" s="155"/>
      <c r="Z426" s="155"/>
      <c r="AA426" s="156"/>
      <c r="AB426" s="156"/>
      <c r="AC426" s="155"/>
      <c r="AD426" s="155"/>
      <c r="AE426" s="155"/>
      <c r="AF426" s="156"/>
      <c r="AG426" s="156"/>
      <c r="AH426" s="155"/>
      <c r="AI426" s="155"/>
      <c r="AJ426" s="155"/>
      <c r="AK426" s="156"/>
      <c r="AL426" s="156"/>
      <c r="AM426" s="155"/>
      <c r="AN426" s="155"/>
      <c r="AO426" s="155"/>
      <c r="AP426" s="156"/>
      <c r="AQ426" s="156"/>
      <c r="AR426" s="155"/>
      <c r="AS426" s="155"/>
      <c r="AT426" s="155"/>
      <c r="AU426" s="156"/>
      <c r="AV426" s="156"/>
      <c r="AW426" s="155"/>
      <c r="AX426" s="155"/>
      <c r="AY426" s="155"/>
      <c r="AZ426" s="156"/>
      <c r="BA426" s="156"/>
      <c r="BB426" s="155"/>
      <c r="BC426" s="155"/>
      <c r="BD426" s="155"/>
      <c r="BE426" s="155"/>
      <c r="BF426" s="155"/>
      <c r="BG426" s="158"/>
      <c r="BH426" s="158"/>
      <c r="BI426" s="155"/>
      <c r="BJ426" s="155"/>
      <c r="BK426" s="159"/>
      <c r="BL426" s="156"/>
      <c r="BM426" s="156"/>
      <c r="BN426" s="156"/>
      <c r="BO426" s="156"/>
      <c r="BP426" s="160"/>
      <c r="BQ426" s="160"/>
      <c r="BR426" s="160"/>
      <c r="BS426" s="160"/>
    </row>
    <row r="427" spans="1:71" x14ac:dyDescent="0.25">
      <c r="A427" s="154"/>
      <c r="B427" s="155"/>
      <c r="C427" s="155"/>
      <c r="D427" s="155"/>
      <c r="E427" s="156"/>
      <c r="F427" s="156"/>
      <c r="G427" s="155"/>
      <c r="H427" s="155"/>
      <c r="I427" s="155"/>
      <c r="J427" s="157"/>
      <c r="K427" s="157"/>
      <c r="L427" s="155"/>
      <c r="M427" s="155"/>
      <c r="N427" s="155"/>
      <c r="O427" s="156"/>
      <c r="P427" s="156"/>
      <c r="Q427" s="155"/>
      <c r="R427" s="155"/>
      <c r="S427" s="155"/>
      <c r="T427" s="156"/>
      <c r="U427" s="156"/>
      <c r="V427" s="155"/>
      <c r="W427" s="155"/>
      <c r="X427" s="155"/>
      <c r="Y427" s="155"/>
      <c r="Z427" s="155"/>
      <c r="AA427" s="156"/>
      <c r="AB427" s="156"/>
      <c r="AC427" s="155"/>
      <c r="AD427" s="155"/>
      <c r="AE427" s="155"/>
      <c r="AF427" s="156"/>
      <c r="AG427" s="156"/>
      <c r="AH427" s="155"/>
      <c r="AI427" s="155"/>
      <c r="AJ427" s="155"/>
      <c r="AK427" s="156"/>
      <c r="AL427" s="156"/>
      <c r="AM427" s="155"/>
      <c r="AN427" s="155"/>
      <c r="AO427" s="155"/>
      <c r="AP427" s="156"/>
      <c r="AQ427" s="156"/>
      <c r="AR427" s="155"/>
      <c r="AS427" s="155"/>
      <c r="AT427" s="155"/>
      <c r="AU427" s="156"/>
      <c r="AV427" s="156"/>
      <c r="AW427" s="155"/>
      <c r="AX427" s="155"/>
      <c r="AY427" s="155"/>
      <c r="AZ427" s="156"/>
      <c r="BA427" s="156"/>
      <c r="BB427" s="155"/>
      <c r="BC427" s="155"/>
      <c r="BD427" s="155"/>
      <c r="BE427" s="155"/>
      <c r="BF427" s="155"/>
      <c r="BG427" s="158"/>
      <c r="BH427" s="158"/>
      <c r="BI427" s="155"/>
      <c r="BJ427" s="155"/>
      <c r="BK427" s="159"/>
      <c r="BL427" s="156"/>
      <c r="BM427" s="156"/>
      <c r="BN427" s="156"/>
      <c r="BO427" s="156"/>
      <c r="BP427" s="160"/>
      <c r="BQ427" s="160"/>
      <c r="BR427" s="160"/>
      <c r="BS427" s="160"/>
    </row>
    <row r="428" spans="1:71" x14ac:dyDescent="0.25">
      <c r="A428" s="154"/>
      <c r="B428" s="155"/>
      <c r="C428" s="155"/>
      <c r="D428" s="155"/>
      <c r="E428" s="156"/>
      <c r="F428" s="156"/>
      <c r="G428" s="155"/>
      <c r="H428" s="155"/>
      <c r="I428" s="155"/>
      <c r="J428" s="157"/>
      <c r="K428" s="157"/>
      <c r="L428" s="155"/>
      <c r="M428" s="155"/>
      <c r="N428" s="155"/>
      <c r="O428" s="156"/>
      <c r="P428" s="156"/>
      <c r="Q428" s="155"/>
      <c r="R428" s="155"/>
      <c r="S428" s="155"/>
      <c r="T428" s="156"/>
      <c r="U428" s="156"/>
      <c r="V428" s="155"/>
      <c r="W428" s="155"/>
      <c r="X428" s="155"/>
      <c r="Y428" s="155"/>
      <c r="Z428" s="155"/>
      <c r="AA428" s="156"/>
      <c r="AB428" s="156"/>
      <c r="AC428" s="155"/>
      <c r="AD428" s="155"/>
      <c r="AE428" s="155"/>
      <c r="AF428" s="156"/>
      <c r="AG428" s="156"/>
      <c r="AH428" s="155"/>
      <c r="AI428" s="155"/>
      <c r="AJ428" s="155"/>
      <c r="AK428" s="156"/>
      <c r="AL428" s="156"/>
      <c r="AM428" s="155"/>
      <c r="AN428" s="155"/>
      <c r="AO428" s="155"/>
      <c r="AP428" s="156"/>
      <c r="AQ428" s="156"/>
      <c r="AR428" s="155"/>
      <c r="AS428" s="155"/>
      <c r="AT428" s="155"/>
      <c r="AU428" s="156"/>
      <c r="AV428" s="156"/>
      <c r="AW428" s="155"/>
      <c r="AX428" s="155"/>
      <c r="AY428" s="155"/>
      <c r="AZ428" s="156"/>
      <c r="BA428" s="156"/>
      <c r="BB428" s="155"/>
      <c r="BC428" s="155"/>
      <c r="BD428" s="155"/>
      <c r="BE428" s="155"/>
      <c r="BF428" s="155"/>
      <c r="BG428" s="158"/>
      <c r="BH428" s="158"/>
      <c r="BI428" s="155"/>
      <c r="BJ428" s="155"/>
      <c r="BK428" s="159"/>
      <c r="BL428" s="156"/>
      <c r="BM428" s="156"/>
      <c r="BN428" s="156"/>
      <c r="BO428" s="156"/>
      <c r="BP428" s="160"/>
      <c r="BQ428" s="160"/>
      <c r="BR428" s="160"/>
      <c r="BS428" s="160"/>
    </row>
    <row r="429" spans="1:71" x14ac:dyDescent="0.25">
      <c r="A429" s="154"/>
      <c r="B429" s="155"/>
      <c r="C429" s="155"/>
      <c r="D429" s="155"/>
      <c r="E429" s="156"/>
      <c r="F429" s="156"/>
      <c r="G429" s="155"/>
      <c r="H429" s="155"/>
      <c r="I429" s="155"/>
      <c r="J429" s="157"/>
      <c r="K429" s="157"/>
      <c r="L429" s="155"/>
      <c r="M429" s="155"/>
      <c r="N429" s="155"/>
      <c r="O429" s="156"/>
      <c r="P429" s="156"/>
      <c r="Q429" s="155"/>
      <c r="R429" s="155"/>
      <c r="S429" s="155"/>
      <c r="T429" s="156"/>
      <c r="U429" s="156"/>
      <c r="V429" s="155"/>
      <c r="W429" s="155"/>
      <c r="X429" s="155"/>
      <c r="Y429" s="155"/>
      <c r="Z429" s="155"/>
      <c r="AA429" s="156"/>
      <c r="AB429" s="156"/>
      <c r="AC429" s="155"/>
      <c r="AD429" s="155"/>
      <c r="AE429" s="155"/>
      <c r="AF429" s="156"/>
      <c r="AG429" s="156"/>
      <c r="AH429" s="155"/>
      <c r="AI429" s="155"/>
      <c r="AJ429" s="155"/>
      <c r="AK429" s="156"/>
      <c r="AL429" s="156"/>
      <c r="AM429" s="155"/>
      <c r="AN429" s="155"/>
      <c r="AO429" s="155"/>
      <c r="AP429" s="156"/>
      <c r="AQ429" s="156"/>
      <c r="AR429" s="155"/>
      <c r="AS429" s="155"/>
      <c r="AT429" s="155"/>
      <c r="AU429" s="156"/>
      <c r="AV429" s="156"/>
      <c r="AW429" s="155"/>
      <c r="AX429" s="155"/>
      <c r="AY429" s="155"/>
      <c r="AZ429" s="156"/>
      <c r="BA429" s="156"/>
      <c r="BB429" s="155"/>
      <c r="BC429" s="155"/>
      <c r="BD429" s="155"/>
      <c r="BE429" s="155"/>
      <c r="BF429" s="155"/>
      <c r="BG429" s="158"/>
      <c r="BH429" s="158"/>
      <c r="BI429" s="155"/>
      <c r="BJ429" s="155"/>
      <c r="BK429" s="159"/>
      <c r="BL429" s="156"/>
      <c r="BM429" s="156"/>
      <c r="BN429" s="156"/>
      <c r="BO429" s="156"/>
      <c r="BP429" s="160"/>
      <c r="BQ429" s="160"/>
      <c r="BR429" s="160"/>
      <c r="BS429" s="160"/>
    </row>
    <row r="430" spans="1:71" x14ac:dyDescent="0.25">
      <c r="A430" s="154"/>
      <c r="B430" s="155"/>
      <c r="C430" s="155"/>
      <c r="D430" s="155"/>
      <c r="E430" s="156"/>
      <c r="F430" s="156"/>
      <c r="G430" s="155"/>
      <c r="H430" s="155"/>
      <c r="I430" s="155"/>
      <c r="J430" s="157"/>
      <c r="K430" s="157"/>
      <c r="L430" s="155"/>
      <c r="M430" s="155"/>
      <c r="N430" s="155"/>
      <c r="O430" s="156"/>
      <c r="P430" s="156"/>
      <c r="Q430" s="155"/>
      <c r="R430" s="155"/>
      <c r="S430" s="155"/>
      <c r="T430" s="156"/>
      <c r="U430" s="156"/>
      <c r="V430" s="155"/>
      <c r="W430" s="155"/>
      <c r="X430" s="155"/>
      <c r="Y430" s="155"/>
      <c r="Z430" s="155"/>
      <c r="AA430" s="156"/>
      <c r="AB430" s="156"/>
      <c r="AC430" s="155"/>
      <c r="AD430" s="155"/>
      <c r="AE430" s="155"/>
      <c r="AF430" s="156"/>
      <c r="AG430" s="156"/>
      <c r="AH430" s="155"/>
      <c r="AI430" s="155"/>
      <c r="AJ430" s="155"/>
      <c r="AK430" s="156"/>
      <c r="AL430" s="156"/>
      <c r="AM430" s="155"/>
      <c r="AN430" s="155"/>
      <c r="AO430" s="155"/>
      <c r="AP430" s="156"/>
      <c r="AQ430" s="156"/>
      <c r="AR430" s="155"/>
      <c r="AS430" s="155"/>
      <c r="AT430" s="155"/>
      <c r="AU430" s="156"/>
      <c r="AV430" s="156"/>
      <c r="AW430" s="155"/>
      <c r="AX430" s="155"/>
      <c r="AY430" s="155"/>
      <c r="AZ430" s="156"/>
      <c r="BA430" s="156"/>
      <c r="BB430" s="155"/>
      <c r="BC430" s="155"/>
      <c r="BD430" s="155"/>
      <c r="BE430" s="155"/>
      <c r="BF430" s="155"/>
      <c r="BG430" s="158"/>
      <c r="BH430" s="158"/>
      <c r="BI430" s="155"/>
      <c r="BJ430" s="155"/>
      <c r="BK430" s="159"/>
      <c r="BL430" s="156"/>
      <c r="BM430" s="156"/>
      <c r="BN430" s="156"/>
      <c r="BO430" s="156"/>
      <c r="BP430" s="160"/>
      <c r="BQ430" s="160"/>
      <c r="BR430" s="160"/>
      <c r="BS430" s="160"/>
    </row>
    <row r="431" spans="1:71" x14ac:dyDescent="0.25">
      <c r="A431" s="154"/>
      <c r="B431" s="155"/>
      <c r="C431" s="155"/>
      <c r="D431" s="155"/>
      <c r="E431" s="156"/>
      <c r="F431" s="156"/>
      <c r="G431" s="155"/>
      <c r="H431" s="155"/>
      <c r="I431" s="155"/>
      <c r="J431" s="157"/>
      <c r="K431" s="157"/>
      <c r="L431" s="155"/>
      <c r="M431" s="155"/>
      <c r="N431" s="155"/>
      <c r="O431" s="156"/>
      <c r="P431" s="156"/>
      <c r="Q431" s="155"/>
      <c r="R431" s="155"/>
      <c r="S431" s="155"/>
      <c r="T431" s="156"/>
      <c r="U431" s="156"/>
      <c r="V431" s="155"/>
      <c r="W431" s="155"/>
      <c r="X431" s="155"/>
      <c r="Y431" s="155"/>
      <c r="Z431" s="155"/>
      <c r="AA431" s="156"/>
      <c r="AB431" s="156"/>
      <c r="AC431" s="155"/>
      <c r="AD431" s="155"/>
      <c r="AE431" s="155"/>
      <c r="AF431" s="156"/>
      <c r="AG431" s="156"/>
      <c r="AH431" s="155"/>
      <c r="AI431" s="155"/>
      <c r="AJ431" s="155"/>
      <c r="AK431" s="156"/>
      <c r="AL431" s="156"/>
      <c r="AM431" s="155"/>
      <c r="AN431" s="155"/>
      <c r="AO431" s="155"/>
      <c r="AP431" s="156"/>
      <c r="AQ431" s="156"/>
      <c r="AR431" s="155"/>
      <c r="AS431" s="155"/>
      <c r="AT431" s="155"/>
      <c r="AU431" s="156"/>
      <c r="AV431" s="156"/>
      <c r="AW431" s="155"/>
      <c r="AX431" s="155"/>
      <c r="AY431" s="155"/>
      <c r="AZ431" s="156"/>
      <c r="BA431" s="156"/>
      <c r="BB431" s="155"/>
      <c r="BC431" s="155"/>
      <c r="BD431" s="155"/>
      <c r="BE431" s="155"/>
      <c r="BF431" s="155"/>
      <c r="BG431" s="158"/>
      <c r="BH431" s="158"/>
      <c r="BI431" s="155"/>
      <c r="BJ431" s="155"/>
      <c r="BK431" s="159"/>
      <c r="BL431" s="156"/>
      <c r="BM431" s="156"/>
      <c r="BN431" s="156"/>
      <c r="BO431" s="156"/>
      <c r="BP431" s="160"/>
      <c r="BQ431" s="160"/>
      <c r="BR431" s="160"/>
      <c r="BS431" s="160"/>
    </row>
    <row r="432" spans="1:71" x14ac:dyDescent="0.25">
      <c r="A432" s="154"/>
      <c r="B432" s="155"/>
      <c r="C432" s="155"/>
      <c r="D432" s="155"/>
      <c r="E432" s="156"/>
      <c r="F432" s="156"/>
      <c r="G432" s="155"/>
      <c r="H432" s="155"/>
      <c r="I432" s="155"/>
      <c r="J432" s="157"/>
      <c r="K432" s="157"/>
      <c r="L432" s="155"/>
      <c r="M432" s="155"/>
      <c r="N432" s="155"/>
      <c r="O432" s="156"/>
      <c r="P432" s="156"/>
      <c r="Q432" s="155"/>
      <c r="R432" s="155"/>
      <c r="S432" s="155"/>
      <c r="T432" s="156"/>
      <c r="U432" s="156"/>
      <c r="V432" s="155"/>
      <c r="W432" s="155"/>
      <c r="X432" s="155"/>
      <c r="Y432" s="155"/>
      <c r="Z432" s="155"/>
      <c r="AA432" s="156"/>
      <c r="AB432" s="156"/>
      <c r="AC432" s="155"/>
      <c r="AD432" s="155"/>
      <c r="AE432" s="155"/>
      <c r="AF432" s="156"/>
      <c r="AG432" s="156"/>
      <c r="AH432" s="155"/>
      <c r="AI432" s="155"/>
      <c r="AJ432" s="155"/>
      <c r="AK432" s="156"/>
      <c r="AL432" s="156"/>
      <c r="AM432" s="155"/>
      <c r="AN432" s="155"/>
      <c r="AO432" s="155"/>
      <c r="AP432" s="156"/>
      <c r="AQ432" s="156"/>
      <c r="AR432" s="155"/>
      <c r="AS432" s="155"/>
      <c r="AT432" s="155"/>
      <c r="AU432" s="156"/>
      <c r="AV432" s="156"/>
      <c r="AW432" s="155"/>
      <c r="AX432" s="155"/>
      <c r="AY432" s="155"/>
      <c r="AZ432" s="156"/>
      <c r="BA432" s="156"/>
      <c r="BB432" s="155"/>
      <c r="BC432" s="155"/>
      <c r="BD432" s="155"/>
      <c r="BE432" s="155"/>
      <c r="BF432" s="155"/>
      <c r="BG432" s="158"/>
      <c r="BH432" s="158"/>
      <c r="BI432" s="155"/>
      <c r="BJ432" s="155"/>
      <c r="BK432" s="159"/>
      <c r="BL432" s="156"/>
      <c r="BM432" s="156"/>
      <c r="BN432" s="156"/>
      <c r="BO432" s="156"/>
      <c r="BP432" s="160"/>
      <c r="BQ432" s="160"/>
      <c r="BR432" s="160"/>
      <c r="BS432" s="160"/>
    </row>
    <row r="433" spans="1:71" x14ac:dyDescent="0.25">
      <c r="A433" s="154"/>
      <c r="B433" s="155"/>
      <c r="C433" s="155"/>
      <c r="D433" s="155"/>
      <c r="E433" s="156"/>
      <c r="F433" s="156"/>
      <c r="G433" s="155"/>
      <c r="H433" s="155"/>
      <c r="I433" s="155"/>
      <c r="J433" s="157"/>
      <c r="K433" s="157"/>
      <c r="L433" s="155"/>
      <c r="M433" s="155"/>
      <c r="N433" s="155"/>
      <c r="O433" s="156"/>
      <c r="P433" s="156"/>
      <c r="Q433" s="155"/>
      <c r="R433" s="155"/>
      <c r="S433" s="155"/>
      <c r="T433" s="156"/>
      <c r="U433" s="156"/>
      <c r="V433" s="155"/>
      <c r="W433" s="155"/>
      <c r="X433" s="155"/>
      <c r="Y433" s="155"/>
      <c r="Z433" s="155"/>
      <c r="AA433" s="156"/>
      <c r="AB433" s="156"/>
      <c r="AC433" s="155"/>
      <c r="AD433" s="155"/>
      <c r="AE433" s="155"/>
      <c r="AF433" s="156"/>
      <c r="AG433" s="156"/>
      <c r="AH433" s="155"/>
      <c r="AI433" s="155"/>
      <c r="AJ433" s="155"/>
      <c r="AK433" s="156"/>
      <c r="AL433" s="156"/>
      <c r="AM433" s="155"/>
      <c r="AN433" s="155"/>
      <c r="AO433" s="155"/>
      <c r="AP433" s="156"/>
      <c r="AQ433" s="156"/>
      <c r="AR433" s="155"/>
      <c r="AS433" s="155"/>
      <c r="AT433" s="155"/>
      <c r="AU433" s="156"/>
      <c r="AV433" s="156"/>
      <c r="AW433" s="155"/>
      <c r="AX433" s="155"/>
      <c r="AY433" s="155"/>
      <c r="AZ433" s="156"/>
      <c r="BA433" s="156"/>
      <c r="BB433" s="155"/>
      <c r="BC433" s="155"/>
      <c r="BD433" s="155"/>
      <c r="BE433" s="155"/>
      <c r="BF433" s="155"/>
      <c r="BG433" s="158"/>
      <c r="BH433" s="158"/>
      <c r="BI433" s="155"/>
      <c r="BJ433" s="155"/>
      <c r="BK433" s="159"/>
      <c r="BL433" s="156"/>
      <c r="BM433" s="156"/>
      <c r="BN433" s="156"/>
      <c r="BO433" s="156"/>
      <c r="BP433" s="160"/>
      <c r="BQ433" s="160"/>
      <c r="BR433" s="160"/>
      <c r="BS433" s="160"/>
    </row>
    <row r="434" spans="1:71" x14ac:dyDescent="0.25">
      <c r="A434" s="154"/>
      <c r="B434" s="155"/>
      <c r="C434" s="155"/>
      <c r="D434" s="155"/>
      <c r="E434" s="156"/>
      <c r="F434" s="156"/>
      <c r="G434" s="155"/>
      <c r="H434" s="155"/>
      <c r="I434" s="155"/>
      <c r="J434" s="157"/>
      <c r="K434" s="157"/>
      <c r="L434" s="155"/>
      <c r="M434" s="155"/>
      <c r="N434" s="155"/>
      <c r="O434" s="156"/>
      <c r="P434" s="156"/>
      <c r="Q434" s="155"/>
      <c r="R434" s="155"/>
      <c r="S434" s="155"/>
      <c r="T434" s="156"/>
      <c r="U434" s="156"/>
      <c r="V434" s="155"/>
      <c r="W434" s="155"/>
      <c r="X434" s="155"/>
      <c r="Y434" s="155"/>
      <c r="Z434" s="155"/>
      <c r="AA434" s="156"/>
      <c r="AB434" s="156"/>
      <c r="AC434" s="155"/>
      <c r="AD434" s="155"/>
      <c r="AE434" s="155"/>
      <c r="AF434" s="156"/>
      <c r="AG434" s="156"/>
      <c r="AH434" s="155"/>
      <c r="AI434" s="155"/>
      <c r="AJ434" s="155"/>
      <c r="AK434" s="156"/>
      <c r="AL434" s="156"/>
      <c r="AM434" s="155"/>
      <c r="AN434" s="155"/>
      <c r="AO434" s="155"/>
      <c r="AP434" s="156"/>
      <c r="AQ434" s="156"/>
      <c r="AR434" s="155"/>
      <c r="AS434" s="155"/>
      <c r="AT434" s="155"/>
      <c r="AU434" s="156"/>
      <c r="AV434" s="156"/>
      <c r="AW434" s="155"/>
      <c r="AX434" s="155"/>
      <c r="AY434" s="155"/>
      <c r="AZ434" s="156"/>
      <c r="BA434" s="156"/>
      <c r="BB434" s="155"/>
      <c r="BC434" s="155"/>
      <c r="BD434" s="155"/>
      <c r="BE434" s="155"/>
      <c r="BF434" s="155"/>
      <c r="BG434" s="158"/>
      <c r="BH434" s="158"/>
      <c r="BI434" s="155"/>
      <c r="BJ434" s="155"/>
      <c r="BK434" s="159"/>
      <c r="BL434" s="156"/>
      <c r="BM434" s="156"/>
      <c r="BN434" s="156"/>
      <c r="BO434" s="156"/>
      <c r="BP434" s="160"/>
      <c r="BQ434" s="160"/>
      <c r="BR434" s="160"/>
      <c r="BS434" s="160"/>
    </row>
    <row r="435" spans="1:71" x14ac:dyDescent="0.25">
      <c r="A435" s="154"/>
      <c r="B435" s="155"/>
      <c r="C435" s="155"/>
      <c r="D435" s="155"/>
      <c r="E435" s="156"/>
      <c r="F435" s="156"/>
      <c r="G435" s="155"/>
      <c r="H435" s="155"/>
      <c r="I435" s="155"/>
      <c r="J435" s="157"/>
      <c r="K435" s="157"/>
      <c r="L435" s="155"/>
      <c r="M435" s="155"/>
      <c r="N435" s="155"/>
      <c r="O435" s="156"/>
      <c r="P435" s="156"/>
      <c r="Q435" s="155"/>
      <c r="R435" s="155"/>
      <c r="S435" s="155"/>
      <c r="T435" s="156"/>
      <c r="U435" s="156"/>
      <c r="V435" s="155"/>
      <c r="W435" s="155"/>
      <c r="X435" s="155"/>
      <c r="Y435" s="155"/>
      <c r="Z435" s="155"/>
      <c r="AA435" s="156"/>
      <c r="AB435" s="156"/>
      <c r="AC435" s="155"/>
      <c r="AD435" s="155"/>
      <c r="AE435" s="155"/>
      <c r="AF435" s="156"/>
      <c r="AG435" s="156"/>
      <c r="AH435" s="155"/>
      <c r="AI435" s="155"/>
      <c r="AJ435" s="155"/>
      <c r="AK435" s="156"/>
      <c r="AL435" s="156"/>
      <c r="AM435" s="155"/>
      <c r="AN435" s="155"/>
      <c r="AO435" s="155"/>
      <c r="AP435" s="156"/>
      <c r="AQ435" s="156"/>
      <c r="AR435" s="155"/>
      <c r="AS435" s="155"/>
      <c r="AT435" s="155"/>
      <c r="AU435" s="156"/>
      <c r="AV435" s="156"/>
      <c r="AW435" s="155"/>
      <c r="AX435" s="155"/>
      <c r="AY435" s="155"/>
      <c r="AZ435" s="156"/>
      <c r="BA435" s="156"/>
      <c r="BB435" s="155"/>
      <c r="BC435" s="155"/>
      <c r="BD435" s="155"/>
      <c r="BE435" s="155"/>
      <c r="BF435" s="155"/>
      <c r="BG435" s="158"/>
      <c r="BH435" s="158"/>
      <c r="BI435" s="155"/>
      <c r="BJ435" s="155"/>
      <c r="BK435" s="159"/>
      <c r="BL435" s="156"/>
      <c r="BM435" s="156"/>
      <c r="BN435" s="156"/>
      <c r="BO435" s="156"/>
      <c r="BP435" s="160"/>
      <c r="BQ435" s="160"/>
      <c r="BR435" s="160"/>
      <c r="BS435" s="160"/>
    </row>
    <row r="436" spans="1:71" x14ac:dyDescent="0.25">
      <c r="A436" s="154"/>
      <c r="B436" s="155"/>
      <c r="C436" s="155"/>
      <c r="D436" s="155"/>
      <c r="E436" s="156"/>
      <c r="F436" s="156"/>
      <c r="G436" s="155"/>
      <c r="H436" s="155"/>
      <c r="I436" s="155"/>
      <c r="J436" s="157"/>
      <c r="K436" s="157"/>
      <c r="L436" s="155"/>
      <c r="M436" s="155"/>
      <c r="N436" s="155"/>
      <c r="O436" s="156"/>
      <c r="P436" s="156"/>
      <c r="Q436" s="155"/>
      <c r="R436" s="155"/>
      <c r="S436" s="155"/>
      <c r="T436" s="156"/>
      <c r="U436" s="156"/>
      <c r="V436" s="155"/>
      <c r="W436" s="155"/>
      <c r="X436" s="155"/>
      <c r="Y436" s="155"/>
      <c r="Z436" s="155"/>
      <c r="AA436" s="156"/>
      <c r="AB436" s="156"/>
      <c r="AC436" s="155"/>
      <c r="AD436" s="155"/>
      <c r="AE436" s="155"/>
      <c r="AF436" s="156"/>
      <c r="AG436" s="156"/>
      <c r="AH436" s="155"/>
      <c r="AI436" s="155"/>
      <c r="AJ436" s="155"/>
      <c r="AK436" s="156"/>
      <c r="AL436" s="156"/>
      <c r="AM436" s="155"/>
      <c r="AN436" s="155"/>
      <c r="AO436" s="155"/>
      <c r="AP436" s="156"/>
      <c r="AQ436" s="156"/>
      <c r="AR436" s="155"/>
      <c r="AS436" s="155"/>
      <c r="AT436" s="155"/>
      <c r="AU436" s="156"/>
      <c r="AV436" s="156"/>
      <c r="AW436" s="155"/>
      <c r="AX436" s="155"/>
      <c r="AY436" s="155"/>
      <c r="AZ436" s="156"/>
      <c r="BA436" s="156"/>
      <c r="BB436" s="155"/>
      <c r="BC436" s="155"/>
      <c r="BD436" s="155"/>
      <c r="BE436" s="155"/>
      <c r="BF436" s="155"/>
      <c r="BG436" s="158"/>
      <c r="BH436" s="158"/>
      <c r="BI436" s="155"/>
      <c r="BJ436" s="155"/>
      <c r="BK436" s="159"/>
      <c r="BL436" s="156"/>
      <c r="BM436" s="156"/>
      <c r="BN436" s="156"/>
      <c r="BO436" s="156"/>
      <c r="BP436" s="160"/>
      <c r="BQ436" s="160"/>
      <c r="BR436" s="160"/>
      <c r="BS436" s="160"/>
    </row>
    <row r="437" spans="1:71" x14ac:dyDescent="0.25">
      <c r="A437" s="154"/>
      <c r="B437" s="155"/>
      <c r="C437" s="155"/>
      <c r="D437" s="155"/>
      <c r="E437" s="156"/>
      <c r="F437" s="156"/>
      <c r="G437" s="155"/>
      <c r="H437" s="155"/>
      <c r="I437" s="155"/>
      <c r="J437" s="157"/>
      <c r="K437" s="157"/>
      <c r="L437" s="155"/>
      <c r="M437" s="155"/>
      <c r="N437" s="155"/>
      <c r="O437" s="156"/>
      <c r="P437" s="156"/>
      <c r="Q437" s="155"/>
      <c r="R437" s="155"/>
      <c r="S437" s="155"/>
      <c r="T437" s="156"/>
      <c r="U437" s="156"/>
      <c r="V437" s="155"/>
      <c r="W437" s="155"/>
      <c r="X437" s="155"/>
      <c r="Y437" s="155"/>
      <c r="Z437" s="155"/>
      <c r="AA437" s="156"/>
      <c r="AB437" s="156"/>
      <c r="AC437" s="155"/>
      <c r="AD437" s="155"/>
      <c r="AE437" s="155"/>
      <c r="AF437" s="156"/>
      <c r="AG437" s="156"/>
      <c r="AH437" s="155"/>
      <c r="AI437" s="155"/>
      <c r="AJ437" s="155"/>
      <c r="AK437" s="156"/>
      <c r="AL437" s="156"/>
      <c r="AM437" s="155"/>
      <c r="AN437" s="155"/>
      <c r="AO437" s="155"/>
      <c r="AP437" s="156"/>
      <c r="AQ437" s="156"/>
      <c r="AR437" s="155"/>
      <c r="AS437" s="155"/>
      <c r="AT437" s="155"/>
      <c r="AU437" s="156"/>
      <c r="AV437" s="156"/>
      <c r="AW437" s="155"/>
      <c r="AX437" s="155"/>
      <c r="AY437" s="155"/>
      <c r="AZ437" s="156"/>
      <c r="BA437" s="156"/>
      <c r="BB437" s="155"/>
      <c r="BC437" s="155"/>
      <c r="BD437" s="155"/>
      <c r="BE437" s="155"/>
      <c r="BF437" s="155"/>
      <c r="BG437" s="158"/>
      <c r="BH437" s="158"/>
      <c r="BI437" s="155"/>
      <c r="BJ437" s="155"/>
      <c r="BK437" s="159"/>
      <c r="BL437" s="156"/>
      <c r="BM437" s="156"/>
      <c r="BN437" s="156"/>
      <c r="BO437" s="156"/>
      <c r="BP437" s="160"/>
      <c r="BQ437" s="160"/>
      <c r="BR437" s="160"/>
      <c r="BS437" s="160"/>
    </row>
    <row r="438" spans="1:71" x14ac:dyDescent="0.25">
      <c r="A438" s="154"/>
      <c r="B438" s="155"/>
      <c r="C438" s="155"/>
      <c r="D438" s="155"/>
      <c r="E438" s="156"/>
      <c r="F438" s="156"/>
      <c r="G438" s="155"/>
      <c r="H438" s="155"/>
      <c r="I438" s="155"/>
      <c r="J438" s="157"/>
      <c r="K438" s="157"/>
      <c r="L438" s="155"/>
      <c r="M438" s="155"/>
      <c r="N438" s="155"/>
      <c r="O438" s="156"/>
      <c r="P438" s="156"/>
      <c r="Q438" s="155"/>
      <c r="R438" s="155"/>
      <c r="S438" s="155"/>
      <c r="T438" s="156"/>
      <c r="U438" s="156"/>
      <c r="V438" s="155"/>
      <c r="W438" s="155"/>
      <c r="X438" s="155"/>
      <c r="Y438" s="155"/>
      <c r="Z438" s="155"/>
      <c r="AA438" s="156"/>
      <c r="AB438" s="156"/>
      <c r="AC438" s="155"/>
      <c r="AD438" s="155"/>
      <c r="AE438" s="155"/>
      <c r="AF438" s="156"/>
      <c r="AG438" s="156"/>
      <c r="AH438" s="155"/>
      <c r="AI438" s="155"/>
      <c r="AJ438" s="155"/>
      <c r="AK438" s="156"/>
      <c r="AL438" s="156"/>
      <c r="AM438" s="155"/>
      <c r="AN438" s="155"/>
      <c r="AO438" s="155"/>
      <c r="AP438" s="156"/>
      <c r="AQ438" s="156"/>
      <c r="AR438" s="155"/>
      <c r="AS438" s="155"/>
      <c r="AT438" s="155"/>
      <c r="AU438" s="156"/>
      <c r="AV438" s="156"/>
      <c r="AW438" s="155"/>
      <c r="AX438" s="155"/>
      <c r="AY438" s="155"/>
      <c r="AZ438" s="156"/>
      <c r="BA438" s="156"/>
      <c r="BB438" s="155"/>
      <c r="BC438" s="155"/>
      <c r="BD438" s="155"/>
      <c r="BE438" s="155"/>
      <c r="BF438" s="155"/>
      <c r="BG438" s="158"/>
      <c r="BH438" s="158"/>
      <c r="BI438" s="155"/>
      <c r="BJ438" s="155"/>
      <c r="BK438" s="159"/>
      <c r="BL438" s="156"/>
      <c r="BM438" s="156"/>
      <c r="BN438" s="156"/>
      <c r="BO438" s="156"/>
      <c r="BP438" s="160"/>
      <c r="BQ438" s="160"/>
      <c r="BR438" s="160"/>
      <c r="BS438" s="160"/>
    </row>
    <row r="439" spans="1:71" x14ac:dyDescent="0.25">
      <c r="A439" s="154"/>
      <c r="B439" s="155"/>
      <c r="C439" s="155"/>
      <c r="D439" s="155"/>
      <c r="E439" s="156"/>
      <c r="F439" s="156"/>
      <c r="G439" s="155"/>
      <c r="H439" s="155"/>
      <c r="I439" s="155"/>
      <c r="J439" s="157"/>
      <c r="K439" s="157"/>
      <c r="L439" s="155"/>
      <c r="M439" s="155"/>
      <c r="N439" s="155"/>
      <c r="O439" s="156"/>
      <c r="P439" s="156"/>
      <c r="Q439" s="155"/>
      <c r="R439" s="155"/>
      <c r="S439" s="155"/>
      <c r="T439" s="156"/>
      <c r="U439" s="156"/>
      <c r="V439" s="155"/>
      <c r="W439" s="155"/>
      <c r="X439" s="155"/>
      <c r="Y439" s="155"/>
      <c r="Z439" s="155"/>
      <c r="AA439" s="156"/>
      <c r="AB439" s="156"/>
      <c r="AC439" s="155"/>
      <c r="AD439" s="155"/>
      <c r="AE439" s="155"/>
      <c r="AF439" s="156"/>
      <c r="AG439" s="156"/>
      <c r="AH439" s="155"/>
      <c r="AI439" s="155"/>
      <c r="AJ439" s="155"/>
      <c r="AK439" s="156"/>
      <c r="AL439" s="156"/>
      <c r="AM439" s="155"/>
      <c r="AN439" s="155"/>
      <c r="AO439" s="155"/>
      <c r="AP439" s="156"/>
      <c r="AQ439" s="156"/>
      <c r="AR439" s="155"/>
      <c r="AS439" s="155"/>
      <c r="AT439" s="155"/>
      <c r="AU439" s="156"/>
      <c r="AV439" s="156"/>
      <c r="AW439" s="155"/>
      <c r="AX439" s="155"/>
      <c r="AY439" s="155"/>
      <c r="AZ439" s="156"/>
      <c r="BA439" s="156"/>
      <c r="BB439" s="155"/>
      <c r="BC439" s="155"/>
      <c r="BD439" s="155"/>
      <c r="BE439" s="155"/>
      <c r="BF439" s="155"/>
      <c r="BG439" s="158"/>
      <c r="BH439" s="158"/>
      <c r="BI439" s="155"/>
      <c r="BJ439" s="155"/>
      <c r="BK439" s="159"/>
      <c r="BL439" s="156"/>
      <c r="BM439" s="156"/>
      <c r="BN439" s="156"/>
      <c r="BO439" s="156"/>
      <c r="BP439" s="160"/>
      <c r="BQ439" s="160"/>
      <c r="BR439" s="160"/>
      <c r="BS439" s="160"/>
    </row>
    <row r="440" spans="1:71" x14ac:dyDescent="0.25">
      <c r="A440" s="154"/>
      <c r="B440" s="155"/>
      <c r="C440" s="155"/>
      <c r="D440" s="155"/>
      <c r="E440" s="156"/>
      <c r="F440" s="156"/>
      <c r="G440" s="155"/>
      <c r="H440" s="155"/>
      <c r="I440" s="155"/>
      <c r="J440" s="157"/>
      <c r="K440" s="157"/>
      <c r="L440" s="155"/>
      <c r="M440" s="155"/>
      <c r="N440" s="155"/>
      <c r="O440" s="156"/>
      <c r="P440" s="156"/>
      <c r="Q440" s="155"/>
      <c r="R440" s="155"/>
      <c r="S440" s="155"/>
      <c r="T440" s="156"/>
      <c r="U440" s="156"/>
      <c r="V440" s="155"/>
      <c r="W440" s="155"/>
      <c r="X440" s="155"/>
      <c r="Y440" s="155"/>
      <c r="Z440" s="155"/>
      <c r="AA440" s="156"/>
      <c r="AB440" s="156"/>
      <c r="AC440" s="155"/>
      <c r="AD440" s="155"/>
      <c r="AE440" s="155"/>
      <c r="AF440" s="156"/>
      <c r="AG440" s="156"/>
      <c r="AH440" s="155"/>
      <c r="AI440" s="155"/>
      <c r="AJ440" s="155"/>
      <c r="AK440" s="156"/>
      <c r="AL440" s="156"/>
      <c r="AM440" s="155"/>
      <c r="AN440" s="155"/>
      <c r="AO440" s="155"/>
      <c r="AP440" s="156"/>
      <c r="AQ440" s="156"/>
      <c r="AR440" s="155"/>
      <c r="AS440" s="155"/>
      <c r="AT440" s="155"/>
      <c r="AU440" s="156"/>
      <c r="AV440" s="156"/>
      <c r="AW440" s="155"/>
      <c r="AX440" s="155"/>
      <c r="AY440" s="155"/>
      <c r="AZ440" s="156"/>
      <c r="BA440" s="156"/>
      <c r="BB440" s="155"/>
      <c r="BC440" s="155"/>
      <c r="BD440" s="155"/>
      <c r="BE440" s="155"/>
      <c r="BF440" s="155"/>
      <c r="BG440" s="158"/>
      <c r="BH440" s="158"/>
      <c r="BI440" s="155"/>
      <c r="BJ440" s="155"/>
      <c r="BK440" s="159"/>
      <c r="BL440" s="156"/>
      <c r="BM440" s="156"/>
      <c r="BN440" s="156"/>
      <c r="BO440" s="156"/>
      <c r="BP440" s="160"/>
      <c r="BQ440" s="160"/>
      <c r="BR440" s="160"/>
      <c r="BS440" s="160"/>
    </row>
    <row r="441" spans="1:71" x14ac:dyDescent="0.25">
      <c r="A441" s="154"/>
      <c r="B441" s="155"/>
      <c r="C441" s="155"/>
      <c r="D441" s="155"/>
      <c r="E441" s="156"/>
      <c r="F441" s="156"/>
      <c r="G441" s="155"/>
      <c r="H441" s="155"/>
      <c r="I441" s="155"/>
      <c r="J441" s="157"/>
      <c r="K441" s="157"/>
      <c r="L441" s="155"/>
      <c r="M441" s="155"/>
      <c r="N441" s="155"/>
      <c r="O441" s="156"/>
      <c r="P441" s="156"/>
      <c r="Q441" s="155"/>
      <c r="R441" s="155"/>
      <c r="S441" s="155"/>
      <c r="T441" s="156"/>
      <c r="U441" s="156"/>
      <c r="V441" s="155"/>
      <c r="W441" s="155"/>
      <c r="X441" s="155"/>
      <c r="Y441" s="155"/>
      <c r="Z441" s="155"/>
      <c r="AA441" s="156"/>
      <c r="AB441" s="156"/>
      <c r="AC441" s="155"/>
      <c r="AD441" s="155"/>
      <c r="AE441" s="155"/>
      <c r="AF441" s="156"/>
      <c r="AG441" s="156"/>
      <c r="AH441" s="155"/>
      <c r="AI441" s="155"/>
      <c r="AJ441" s="155"/>
      <c r="AK441" s="156"/>
      <c r="AL441" s="156"/>
      <c r="AM441" s="155"/>
      <c r="AN441" s="155"/>
      <c r="AO441" s="155"/>
      <c r="AP441" s="156"/>
      <c r="AQ441" s="156"/>
      <c r="AR441" s="155"/>
      <c r="AS441" s="155"/>
      <c r="AT441" s="155"/>
      <c r="AU441" s="156"/>
      <c r="AV441" s="156"/>
      <c r="AW441" s="155"/>
      <c r="AX441" s="155"/>
      <c r="AY441" s="155"/>
      <c r="AZ441" s="156"/>
      <c r="BA441" s="156"/>
      <c r="BB441" s="155"/>
      <c r="BC441" s="155"/>
      <c r="BD441" s="155"/>
      <c r="BE441" s="155"/>
      <c r="BF441" s="155"/>
      <c r="BG441" s="158"/>
      <c r="BH441" s="158"/>
      <c r="BI441" s="155"/>
      <c r="BJ441" s="155"/>
      <c r="BK441" s="159"/>
      <c r="BL441" s="156"/>
      <c r="BM441" s="156"/>
      <c r="BN441" s="156"/>
      <c r="BO441" s="156"/>
      <c r="BP441" s="160"/>
      <c r="BQ441" s="160"/>
      <c r="BR441" s="160"/>
      <c r="BS441" s="160"/>
    </row>
    <row r="442" spans="1:71" x14ac:dyDescent="0.25">
      <c r="A442" s="154"/>
      <c r="B442" s="155"/>
      <c r="C442" s="155"/>
      <c r="D442" s="155"/>
      <c r="E442" s="156"/>
      <c r="F442" s="156"/>
      <c r="G442" s="155"/>
      <c r="H442" s="155"/>
      <c r="I442" s="155"/>
      <c r="J442" s="157"/>
      <c r="K442" s="157"/>
      <c r="L442" s="155"/>
      <c r="M442" s="155"/>
      <c r="N442" s="155"/>
      <c r="O442" s="156"/>
      <c r="P442" s="156"/>
      <c r="Q442" s="155"/>
      <c r="R442" s="155"/>
      <c r="S442" s="155"/>
      <c r="T442" s="156"/>
      <c r="U442" s="156"/>
      <c r="V442" s="155"/>
      <c r="W442" s="155"/>
      <c r="X442" s="155"/>
      <c r="Y442" s="155"/>
      <c r="Z442" s="155"/>
      <c r="AA442" s="156"/>
      <c r="AB442" s="156"/>
      <c r="AC442" s="155"/>
      <c r="AD442" s="155"/>
      <c r="AE442" s="155"/>
      <c r="AF442" s="156"/>
      <c r="AG442" s="156"/>
      <c r="AH442" s="155"/>
      <c r="AI442" s="155"/>
      <c r="AJ442" s="155"/>
      <c r="AK442" s="156"/>
      <c r="AL442" s="156"/>
      <c r="AM442" s="155"/>
      <c r="AN442" s="155"/>
      <c r="AO442" s="155"/>
      <c r="AP442" s="156"/>
      <c r="AQ442" s="156"/>
      <c r="AR442" s="155"/>
      <c r="AS442" s="155"/>
      <c r="AT442" s="155"/>
      <c r="AU442" s="156"/>
      <c r="AV442" s="156"/>
      <c r="AW442" s="155"/>
      <c r="AX442" s="155"/>
      <c r="AY442" s="155"/>
      <c r="AZ442" s="156"/>
      <c r="BA442" s="156"/>
      <c r="BB442" s="155"/>
      <c r="BC442" s="155"/>
      <c r="BD442" s="155"/>
      <c r="BE442" s="155"/>
      <c r="BF442" s="155"/>
      <c r="BG442" s="158"/>
      <c r="BH442" s="158"/>
      <c r="BI442" s="155"/>
      <c r="BJ442" s="155"/>
      <c r="BK442" s="159"/>
      <c r="BL442" s="156"/>
      <c r="BM442" s="156"/>
      <c r="BN442" s="156"/>
      <c r="BO442" s="156"/>
      <c r="BP442" s="160"/>
      <c r="BQ442" s="160"/>
      <c r="BR442" s="160"/>
      <c r="BS442" s="160"/>
    </row>
    <row r="443" spans="1:71" x14ac:dyDescent="0.25">
      <c r="A443" s="154"/>
      <c r="B443" s="155"/>
      <c r="C443" s="155"/>
      <c r="D443" s="155"/>
      <c r="E443" s="156"/>
      <c r="F443" s="156"/>
      <c r="G443" s="155"/>
      <c r="H443" s="155"/>
      <c r="I443" s="155"/>
      <c r="J443" s="157"/>
      <c r="K443" s="157"/>
      <c r="L443" s="155"/>
      <c r="M443" s="155"/>
      <c r="N443" s="155"/>
      <c r="O443" s="156"/>
      <c r="P443" s="156"/>
      <c r="Q443" s="155"/>
      <c r="R443" s="155"/>
      <c r="S443" s="155"/>
      <c r="T443" s="156"/>
      <c r="U443" s="156"/>
      <c r="V443" s="155"/>
      <c r="W443" s="155"/>
      <c r="X443" s="155"/>
      <c r="Y443" s="155"/>
      <c r="Z443" s="155"/>
      <c r="AA443" s="156"/>
      <c r="AB443" s="156"/>
      <c r="AC443" s="155"/>
      <c r="AD443" s="155"/>
      <c r="AE443" s="155"/>
      <c r="AF443" s="156"/>
      <c r="AG443" s="156"/>
      <c r="AH443" s="155"/>
      <c r="AI443" s="155"/>
      <c r="AJ443" s="155"/>
      <c r="AK443" s="156"/>
      <c r="AL443" s="156"/>
      <c r="AM443" s="155"/>
      <c r="AN443" s="155"/>
      <c r="AO443" s="155"/>
      <c r="AP443" s="156"/>
      <c r="AQ443" s="156"/>
      <c r="AR443" s="155"/>
      <c r="AS443" s="155"/>
      <c r="AT443" s="155"/>
      <c r="AU443" s="156"/>
      <c r="AV443" s="156"/>
      <c r="AW443" s="155"/>
      <c r="AX443" s="155"/>
      <c r="AY443" s="155"/>
      <c r="AZ443" s="156"/>
      <c r="BA443" s="156"/>
      <c r="BB443" s="155"/>
      <c r="BC443" s="155"/>
      <c r="BD443" s="155"/>
      <c r="BE443" s="155"/>
      <c r="BF443" s="155"/>
      <c r="BG443" s="158"/>
      <c r="BH443" s="158"/>
      <c r="BI443" s="155"/>
      <c r="BJ443" s="155"/>
      <c r="BK443" s="159"/>
      <c r="BL443" s="156"/>
      <c r="BM443" s="156"/>
      <c r="BN443" s="156"/>
      <c r="BO443" s="156"/>
      <c r="BP443" s="160"/>
      <c r="BQ443" s="160"/>
      <c r="BR443" s="160"/>
      <c r="BS443" s="160"/>
    </row>
    <row r="444" spans="1:71" x14ac:dyDescent="0.25">
      <c r="A444" s="154"/>
      <c r="B444" s="155"/>
      <c r="C444" s="155"/>
      <c r="D444" s="155"/>
      <c r="E444" s="156"/>
      <c r="F444" s="156"/>
      <c r="G444" s="155"/>
      <c r="H444" s="155"/>
      <c r="I444" s="155"/>
      <c r="J444" s="157"/>
      <c r="K444" s="157"/>
      <c r="L444" s="155"/>
      <c r="M444" s="155"/>
      <c r="N444" s="155"/>
      <c r="O444" s="156"/>
      <c r="P444" s="156"/>
      <c r="Q444" s="155"/>
      <c r="R444" s="155"/>
      <c r="S444" s="155"/>
      <c r="T444" s="156"/>
      <c r="U444" s="156"/>
      <c r="V444" s="155"/>
      <c r="W444" s="155"/>
      <c r="X444" s="155"/>
      <c r="Y444" s="155"/>
      <c r="Z444" s="155"/>
      <c r="AA444" s="156"/>
      <c r="AB444" s="156"/>
      <c r="AC444" s="155"/>
      <c r="AD444" s="155"/>
      <c r="AE444" s="155"/>
      <c r="AF444" s="156"/>
      <c r="AG444" s="156"/>
      <c r="AH444" s="155"/>
      <c r="AI444" s="155"/>
      <c r="AJ444" s="155"/>
      <c r="AK444" s="156"/>
      <c r="AL444" s="156"/>
      <c r="AM444" s="155"/>
      <c r="AN444" s="155"/>
      <c r="AO444" s="155"/>
      <c r="AP444" s="156"/>
      <c r="AQ444" s="156"/>
      <c r="AR444" s="155"/>
      <c r="AS444" s="155"/>
      <c r="AT444" s="155"/>
      <c r="AU444" s="156"/>
      <c r="AV444" s="156"/>
      <c r="AW444" s="155"/>
      <c r="AX444" s="155"/>
      <c r="AY444" s="155"/>
      <c r="AZ444" s="156"/>
      <c r="BA444" s="156"/>
      <c r="BB444" s="155"/>
      <c r="BC444" s="155"/>
      <c r="BD444" s="155"/>
      <c r="BE444" s="155"/>
      <c r="BF444" s="155"/>
      <c r="BG444" s="158"/>
      <c r="BH444" s="158"/>
      <c r="BI444" s="155"/>
      <c r="BJ444" s="155"/>
      <c r="BK444" s="159"/>
      <c r="BL444" s="156"/>
      <c r="BM444" s="156"/>
      <c r="BN444" s="156"/>
      <c r="BO444" s="156"/>
      <c r="BP444" s="160"/>
      <c r="BQ444" s="160"/>
      <c r="BR444" s="160"/>
      <c r="BS444" s="160"/>
    </row>
    <row r="445" spans="1:71" x14ac:dyDescent="0.25">
      <c r="A445" s="154"/>
      <c r="B445" s="155"/>
      <c r="C445" s="155"/>
      <c r="D445" s="155"/>
      <c r="E445" s="156"/>
      <c r="F445" s="156"/>
      <c r="G445" s="155"/>
      <c r="H445" s="155"/>
      <c r="I445" s="155"/>
      <c r="J445" s="157"/>
      <c r="K445" s="157"/>
      <c r="L445" s="155"/>
      <c r="M445" s="155"/>
      <c r="N445" s="155"/>
      <c r="O445" s="156"/>
      <c r="P445" s="156"/>
      <c r="Q445" s="155"/>
      <c r="R445" s="155"/>
      <c r="S445" s="155"/>
      <c r="T445" s="156"/>
      <c r="U445" s="156"/>
      <c r="V445" s="155"/>
      <c r="W445" s="155"/>
      <c r="X445" s="155"/>
      <c r="Y445" s="155"/>
      <c r="Z445" s="155"/>
      <c r="AA445" s="156"/>
      <c r="AB445" s="156"/>
      <c r="AC445" s="155"/>
      <c r="AD445" s="155"/>
      <c r="AE445" s="155"/>
      <c r="AF445" s="156"/>
      <c r="AG445" s="156"/>
      <c r="AH445" s="155"/>
      <c r="AI445" s="155"/>
      <c r="AJ445" s="155"/>
      <c r="AK445" s="156"/>
      <c r="AL445" s="156"/>
      <c r="AM445" s="155"/>
      <c r="AN445" s="155"/>
      <c r="AO445" s="155"/>
      <c r="AP445" s="156"/>
      <c r="AQ445" s="156"/>
      <c r="AR445" s="155"/>
      <c r="AS445" s="155"/>
      <c r="AT445" s="155"/>
      <c r="AU445" s="156"/>
      <c r="AV445" s="156"/>
      <c r="AW445" s="155"/>
      <c r="AX445" s="155"/>
      <c r="AY445" s="155"/>
      <c r="AZ445" s="156"/>
      <c r="BA445" s="156"/>
      <c r="BB445" s="155"/>
      <c r="BC445" s="155"/>
      <c r="BD445" s="155"/>
      <c r="BE445" s="155"/>
      <c r="BF445" s="155"/>
      <c r="BG445" s="158"/>
      <c r="BH445" s="158"/>
      <c r="BI445" s="155"/>
      <c r="BJ445" s="155"/>
      <c r="BK445" s="159"/>
      <c r="BL445" s="156"/>
      <c r="BM445" s="156"/>
      <c r="BN445" s="156"/>
      <c r="BO445" s="156"/>
      <c r="BP445" s="160"/>
      <c r="BQ445" s="160"/>
      <c r="BR445" s="160"/>
      <c r="BS445" s="160"/>
    </row>
    <row r="446" spans="1:71" x14ac:dyDescent="0.25">
      <c r="A446" s="154"/>
      <c r="B446" s="155"/>
      <c r="C446" s="155"/>
      <c r="D446" s="155"/>
      <c r="E446" s="156"/>
      <c r="F446" s="156"/>
      <c r="G446" s="155"/>
      <c r="H446" s="155"/>
      <c r="I446" s="155"/>
      <c r="J446" s="157"/>
      <c r="K446" s="157"/>
      <c r="L446" s="155"/>
      <c r="M446" s="155"/>
      <c r="N446" s="155"/>
      <c r="O446" s="156"/>
      <c r="P446" s="156"/>
      <c r="Q446" s="155"/>
      <c r="R446" s="155"/>
      <c r="S446" s="155"/>
      <c r="T446" s="156"/>
      <c r="U446" s="156"/>
      <c r="V446" s="155"/>
      <c r="W446" s="155"/>
      <c r="X446" s="155"/>
      <c r="Y446" s="155"/>
      <c r="Z446" s="155"/>
      <c r="AA446" s="156"/>
      <c r="AB446" s="156"/>
      <c r="AC446" s="155"/>
      <c r="AD446" s="155"/>
      <c r="AE446" s="155"/>
      <c r="AF446" s="156"/>
      <c r="AG446" s="156"/>
      <c r="AH446" s="155"/>
      <c r="AI446" s="155"/>
      <c r="AJ446" s="155"/>
      <c r="AK446" s="156"/>
      <c r="AL446" s="156"/>
      <c r="AM446" s="155"/>
      <c r="AN446" s="155"/>
      <c r="AO446" s="155"/>
      <c r="AP446" s="156"/>
      <c r="AQ446" s="156"/>
      <c r="AR446" s="155"/>
      <c r="AS446" s="155"/>
      <c r="AT446" s="155"/>
      <c r="AU446" s="156"/>
      <c r="AV446" s="156"/>
      <c r="AW446" s="155"/>
      <c r="AX446" s="155"/>
      <c r="AY446" s="155"/>
      <c r="AZ446" s="156"/>
      <c r="BA446" s="156"/>
      <c r="BB446" s="155"/>
      <c r="BC446" s="155"/>
      <c r="BD446" s="155"/>
      <c r="BE446" s="155"/>
      <c r="BF446" s="155"/>
      <c r="BG446" s="158"/>
      <c r="BH446" s="158"/>
      <c r="BI446" s="155"/>
      <c r="BJ446" s="155"/>
      <c r="BK446" s="159"/>
      <c r="BL446" s="156"/>
      <c r="BM446" s="156"/>
      <c r="BN446" s="156"/>
      <c r="BO446" s="156"/>
      <c r="BP446" s="160"/>
      <c r="BQ446" s="160"/>
      <c r="BR446" s="160"/>
      <c r="BS446" s="160"/>
    </row>
    <row r="447" spans="1:71" x14ac:dyDescent="0.25">
      <c r="A447" s="154"/>
      <c r="B447" s="155"/>
      <c r="C447" s="155"/>
      <c r="D447" s="155"/>
      <c r="E447" s="156"/>
      <c r="F447" s="156"/>
      <c r="G447" s="155"/>
      <c r="H447" s="155"/>
      <c r="I447" s="155"/>
      <c r="J447" s="157"/>
      <c r="K447" s="157"/>
      <c r="L447" s="155"/>
      <c r="M447" s="155"/>
      <c r="N447" s="155"/>
      <c r="O447" s="156"/>
      <c r="P447" s="156"/>
      <c r="Q447" s="155"/>
      <c r="R447" s="155"/>
      <c r="S447" s="155"/>
      <c r="T447" s="156"/>
      <c r="U447" s="156"/>
      <c r="V447" s="155"/>
      <c r="W447" s="155"/>
      <c r="X447" s="155"/>
      <c r="Y447" s="155"/>
      <c r="Z447" s="155"/>
      <c r="AA447" s="156"/>
      <c r="AB447" s="156"/>
      <c r="AC447" s="155"/>
      <c r="AD447" s="155"/>
      <c r="AE447" s="155"/>
      <c r="AF447" s="156"/>
      <c r="AG447" s="156"/>
      <c r="AH447" s="155"/>
      <c r="AI447" s="155"/>
      <c r="AJ447" s="155"/>
      <c r="AK447" s="156"/>
      <c r="AL447" s="156"/>
      <c r="AM447" s="155"/>
      <c r="AN447" s="155"/>
      <c r="AO447" s="155"/>
      <c r="AP447" s="156"/>
      <c r="AQ447" s="156"/>
      <c r="AR447" s="155"/>
      <c r="AS447" s="155"/>
      <c r="AT447" s="155"/>
      <c r="AU447" s="156"/>
      <c r="AV447" s="156"/>
      <c r="AW447" s="155"/>
      <c r="AX447" s="155"/>
      <c r="AY447" s="155"/>
      <c r="AZ447" s="156"/>
      <c r="BA447" s="156"/>
      <c r="BB447" s="155"/>
      <c r="BC447" s="155"/>
      <c r="BD447" s="155"/>
      <c r="BE447" s="155"/>
      <c r="BF447" s="155"/>
      <c r="BG447" s="158"/>
      <c r="BH447" s="158"/>
      <c r="BI447" s="155"/>
      <c r="BJ447" s="155"/>
      <c r="BK447" s="159"/>
      <c r="BL447" s="156"/>
      <c r="BM447" s="156"/>
      <c r="BN447" s="156"/>
      <c r="BO447" s="156"/>
      <c r="BP447" s="160"/>
      <c r="BQ447" s="160"/>
      <c r="BR447" s="160"/>
      <c r="BS447" s="160"/>
    </row>
    <row r="448" spans="1:71" x14ac:dyDescent="0.25">
      <c r="A448" s="154"/>
      <c r="B448" s="155"/>
      <c r="C448" s="155"/>
      <c r="D448" s="155"/>
      <c r="E448" s="156"/>
      <c r="F448" s="156"/>
      <c r="G448" s="155"/>
      <c r="H448" s="155"/>
      <c r="I448" s="155"/>
      <c r="J448" s="157"/>
      <c r="K448" s="157"/>
      <c r="L448" s="155"/>
      <c r="M448" s="155"/>
      <c r="N448" s="155"/>
      <c r="O448" s="156"/>
      <c r="P448" s="156"/>
      <c r="Q448" s="155"/>
      <c r="R448" s="155"/>
      <c r="S448" s="155"/>
      <c r="T448" s="156"/>
      <c r="U448" s="156"/>
      <c r="V448" s="155"/>
      <c r="W448" s="155"/>
      <c r="X448" s="155"/>
      <c r="Y448" s="155"/>
      <c r="Z448" s="155"/>
      <c r="AA448" s="156"/>
      <c r="AB448" s="156"/>
      <c r="AC448" s="155"/>
      <c r="AD448" s="155"/>
      <c r="AE448" s="155"/>
      <c r="AF448" s="156"/>
      <c r="AG448" s="156"/>
      <c r="AH448" s="155"/>
      <c r="AI448" s="155"/>
      <c r="AJ448" s="155"/>
      <c r="AK448" s="156"/>
      <c r="AL448" s="156"/>
      <c r="AM448" s="155"/>
      <c r="AN448" s="155"/>
      <c r="AO448" s="155"/>
      <c r="AP448" s="156"/>
      <c r="AQ448" s="156"/>
      <c r="AR448" s="155"/>
      <c r="AS448" s="155"/>
      <c r="AT448" s="155"/>
      <c r="AU448" s="156"/>
      <c r="AV448" s="156"/>
      <c r="AW448" s="155"/>
      <c r="AX448" s="155"/>
      <c r="AY448" s="155"/>
      <c r="AZ448" s="156"/>
      <c r="BA448" s="156"/>
      <c r="BB448" s="155"/>
      <c r="BC448" s="155"/>
      <c r="BD448" s="155"/>
      <c r="BE448" s="155"/>
      <c r="BF448" s="155"/>
      <c r="BG448" s="158"/>
      <c r="BH448" s="158"/>
      <c r="BI448" s="155"/>
      <c r="BJ448" s="155"/>
      <c r="BK448" s="159"/>
      <c r="BL448" s="156"/>
      <c r="BM448" s="156"/>
      <c r="BN448" s="156"/>
      <c r="BO448" s="156"/>
      <c r="BP448" s="160"/>
      <c r="BQ448" s="160"/>
      <c r="BR448" s="160"/>
      <c r="BS448" s="160"/>
    </row>
    <row r="449" spans="1:71" x14ac:dyDescent="0.25">
      <c r="A449" s="154"/>
      <c r="B449" s="155"/>
      <c r="C449" s="155"/>
      <c r="D449" s="155"/>
      <c r="E449" s="156"/>
      <c r="F449" s="156"/>
      <c r="G449" s="155"/>
      <c r="H449" s="155"/>
      <c r="I449" s="155"/>
      <c r="J449" s="157"/>
      <c r="K449" s="157"/>
      <c r="L449" s="155"/>
      <c r="M449" s="155"/>
      <c r="N449" s="155"/>
      <c r="O449" s="156"/>
      <c r="P449" s="156"/>
      <c r="Q449" s="155"/>
      <c r="R449" s="155"/>
      <c r="S449" s="155"/>
      <c r="T449" s="156"/>
      <c r="U449" s="156"/>
      <c r="V449" s="155"/>
      <c r="W449" s="155"/>
      <c r="X449" s="155"/>
      <c r="Y449" s="155"/>
      <c r="Z449" s="155"/>
      <c r="AA449" s="156"/>
      <c r="AB449" s="156"/>
      <c r="AC449" s="155"/>
      <c r="AD449" s="155"/>
      <c r="AE449" s="155"/>
      <c r="AF449" s="156"/>
      <c r="AG449" s="156"/>
      <c r="AH449" s="155"/>
      <c r="AI449" s="155"/>
      <c r="AJ449" s="155"/>
      <c r="AK449" s="156"/>
      <c r="AL449" s="156"/>
      <c r="AM449" s="155"/>
      <c r="AN449" s="155"/>
      <c r="AO449" s="155"/>
      <c r="AP449" s="156"/>
      <c r="AQ449" s="156"/>
      <c r="AR449" s="155"/>
      <c r="AS449" s="155"/>
      <c r="AT449" s="155"/>
      <c r="AU449" s="156"/>
      <c r="AV449" s="156"/>
      <c r="AW449" s="155"/>
      <c r="AX449" s="155"/>
      <c r="AY449" s="155"/>
      <c r="AZ449" s="156"/>
      <c r="BA449" s="156"/>
      <c r="BB449" s="155"/>
      <c r="BC449" s="155"/>
      <c r="BD449" s="155"/>
      <c r="BE449" s="155"/>
      <c r="BF449" s="155"/>
      <c r="BG449" s="158"/>
      <c r="BH449" s="158"/>
      <c r="BI449" s="155"/>
      <c r="BJ449" s="155"/>
      <c r="BK449" s="159"/>
      <c r="BL449" s="156"/>
      <c r="BM449" s="156"/>
      <c r="BN449" s="156"/>
      <c r="BO449" s="156"/>
      <c r="BP449" s="160"/>
      <c r="BQ449" s="160"/>
      <c r="BR449" s="160"/>
      <c r="BS449" s="160"/>
    </row>
    <row r="450" spans="1:71" x14ac:dyDescent="0.25">
      <c r="A450" s="154"/>
      <c r="B450" s="155"/>
      <c r="C450" s="155"/>
      <c r="D450" s="155"/>
      <c r="E450" s="156"/>
      <c r="F450" s="156"/>
      <c r="G450" s="155"/>
      <c r="H450" s="155"/>
      <c r="I450" s="155"/>
      <c r="J450" s="157"/>
      <c r="K450" s="157"/>
      <c r="L450" s="155"/>
      <c r="M450" s="155"/>
      <c r="N450" s="155"/>
      <c r="O450" s="156"/>
      <c r="P450" s="156"/>
      <c r="Q450" s="155"/>
      <c r="R450" s="155"/>
      <c r="S450" s="155"/>
      <c r="T450" s="156"/>
      <c r="U450" s="156"/>
      <c r="V450" s="155"/>
      <c r="W450" s="155"/>
      <c r="X450" s="155"/>
      <c r="Y450" s="155"/>
      <c r="Z450" s="155"/>
      <c r="AA450" s="156"/>
      <c r="AB450" s="156"/>
      <c r="AC450" s="155"/>
      <c r="AD450" s="155"/>
      <c r="AE450" s="155"/>
      <c r="AF450" s="156"/>
      <c r="AG450" s="156"/>
      <c r="AH450" s="155"/>
      <c r="AI450" s="155"/>
      <c r="AJ450" s="155"/>
      <c r="AK450" s="156"/>
      <c r="AL450" s="156"/>
      <c r="AM450" s="155"/>
      <c r="AN450" s="155"/>
      <c r="AO450" s="155"/>
      <c r="AP450" s="156"/>
      <c r="AQ450" s="156"/>
      <c r="AR450" s="155"/>
      <c r="AS450" s="155"/>
      <c r="AT450" s="155"/>
      <c r="AU450" s="156"/>
      <c r="AV450" s="156"/>
      <c r="AW450" s="155"/>
      <c r="AX450" s="155"/>
      <c r="AY450" s="155"/>
      <c r="AZ450" s="156"/>
      <c r="BA450" s="156"/>
      <c r="BB450" s="155"/>
      <c r="BC450" s="155"/>
      <c r="BD450" s="155"/>
      <c r="BE450" s="155"/>
      <c r="BF450" s="155"/>
      <c r="BG450" s="158"/>
      <c r="BH450" s="158"/>
      <c r="BI450" s="155"/>
      <c r="BJ450" s="155"/>
      <c r="BK450" s="159"/>
      <c r="BL450" s="156"/>
      <c r="BM450" s="156"/>
      <c r="BN450" s="156"/>
      <c r="BO450" s="156"/>
      <c r="BP450" s="160"/>
      <c r="BQ450" s="160"/>
      <c r="BR450" s="160"/>
      <c r="BS450" s="160"/>
    </row>
    <row r="451" spans="1:71" x14ac:dyDescent="0.25">
      <c r="A451" s="154"/>
      <c r="B451" s="155"/>
      <c r="C451" s="155"/>
      <c r="D451" s="155"/>
      <c r="E451" s="156"/>
      <c r="F451" s="156"/>
      <c r="G451" s="155"/>
      <c r="H451" s="155"/>
      <c r="I451" s="155"/>
      <c r="J451" s="157"/>
      <c r="K451" s="157"/>
      <c r="L451" s="155"/>
      <c r="M451" s="155"/>
      <c r="N451" s="155"/>
      <c r="O451" s="156"/>
      <c r="P451" s="156"/>
      <c r="Q451" s="155"/>
      <c r="R451" s="155"/>
      <c r="S451" s="155"/>
      <c r="T451" s="156"/>
      <c r="U451" s="156"/>
      <c r="V451" s="155"/>
      <c r="W451" s="155"/>
      <c r="X451" s="155"/>
      <c r="Y451" s="155"/>
      <c r="Z451" s="155"/>
      <c r="AA451" s="156"/>
      <c r="AB451" s="156"/>
      <c r="AC451" s="155"/>
      <c r="AD451" s="155"/>
      <c r="AE451" s="155"/>
      <c r="AF451" s="156"/>
      <c r="AG451" s="156"/>
      <c r="AH451" s="155"/>
      <c r="AI451" s="155"/>
      <c r="AJ451" s="155"/>
      <c r="AK451" s="156"/>
      <c r="AL451" s="156"/>
      <c r="AM451" s="155"/>
      <c r="AN451" s="155"/>
      <c r="AO451" s="155"/>
      <c r="AP451" s="156"/>
      <c r="AQ451" s="156"/>
      <c r="AR451" s="155"/>
      <c r="AS451" s="155"/>
      <c r="AT451" s="155"/>
      <c r="AU451" s="156"/>
      <c r="AV451" s="156"/>
      <c r="AW451" s="155"/>
      <c r="AX451" s="155"/>
      <c r="AY451" s="155"/>
      <c r="AZ451" s="156"/>
      <c r="BA451" s="156"/>
      <c r="BB451" s="155"/>
      <c r="BC451" s="155"/>
      <c r="BD451" s="155"/>
      <c r="BE451" s="155"/>
      <c r="BF451" s="155"/>
      <c r="BG451" s="158"/>
      <c r="BH451" s="158"/>
      <c r="BI451" s="155"/>
      <c r="BJ451" s="155"/>
      <c r="BK451" s="159"/>
      <c r="BL451" s="156"/>
      <c r="BM451" s="156"/>
      <c r="BN451" s="156"/>
      <c r="BO451" s="156"/>
      <c r="BP451" s="160"/>
      <c r="BQ451" s="160"/>
      <c r="BR451" s="160"/>
      <c r="BS451" s="160"/>
    </row>
    <row r="452" spans="1:71" x14ac:dyDescent="0.25">
      <c r="A452" s="154"/>
      <c r="B452" s="155"/>
      <c r="C452" s="155"/>
      <c r="D452" s="155"/>
      <c r="E452" s="156"/>
      <c r="F452" s="156"/>
      <c r="G452" s="155"/>
      <c r="H452" s="155"/>
      <c r="I452" s="155"/>
      <c r="J452" s="157"/>
      <c r="K452" s="157"/>
      <c r="L452" s="155"/>
      <c r="M452" s="155"/>
      <c r="N452" s="155"/>
      <c r="O452" s="156"/>
      <c r="P452" s="156"/>
      <c r="Q452" s="155"/>
      <c r="R452" s="155"/>
      <c r="S452" s="155"/>
      <c r="T452" s="156"/>
      <c r="U452" s="156"/>
      <c r="V452" s="155"/>
      <c r="W452" s="155"/>
      <c r="X452" s="155"/>
      <c r="Y452" s="155"/>
      <c r="Z452" s="155"/>
      <c r="AA452" s="156"/>
      <c r="AB452" s="156"/>
      <c r="AC452" s="155"/>
      <c r="AD452" s="155"/>
      <c r="AE452" s="155"/>
      <c r="AF452" s="156"/>
      <c r="AG452" s="156"/>
      <c r="AH452" s="155"/>
      <c r="AI452" s="155"/>
      <c r="AJ452" s="155"/>
      <c r="AK452" s="156"/>
      <c r="AL452" s="156"/>
      <c r="AM452" s="155"/>
      <c r="AN452" s="155"/>
      <c r="AO452" s="155"/>
      <c r="AP452" s="156"/>
      <c r="AQ452" s="156"/>
      <c r="AR452" s="155"/>
      <c r="AS452" s="155"/>
      <c r="AT452" s="155"/>
      <c r="AU452" s="156"/>
      <c r="AV452" s="156"/>
      <c r="AW452" s="155"/>
      <c r="AX452" s="155"/>
      <c r="AY452" s="155"/>
      <c r="AZ452" s="156"/>
      <c r="BA452" s="156"/>
      <c r="BB452" s="155"/>
      <c r="BC452" s="155"/>
      <c r="BD452" s="155"/>
      <c r="BE452" s="155"/>
      <c r="BF452" s="155"/>
      <c r="BG452" s="158"/>
      <c r="BH452" s="158"/>
      <c r="BI452" s="155"/>
      <c r="BJ452" s="155"/>
      <c r="BK452" s="159"/>
      <c r="BL452" s="156"/>
      <c r="BM452" s="156"/>
      <c r="BN452" s="156"/>
      <c r="BO452" s="156"/>
      <c r="BP452" s="160"/>
      <c r="BQ452" s="160"/>
      <c r="BR452" s="160"/>
      <c r="BS452" s="160"/>
    </row>
    <row r="453" spans="1:71" x14ac:dyDescent="0.25">
      <c r="A453" s="154"/>
      <c r="B453" s="155"/>
      <c r="C453" s="155"/>
      <c r="D453" s="155"/>
      <c r="E453" s="156"/>
      <c r="F453" s="156"/>
      <c r="G453" s="155"/>
      <c r="H453" s="155"/>
      <c r="I453" s="155"/>
      <c r="J453" s="157"/>
      <c r="K453" s="157"/>
      <c r="L453" s="155"/>
      <c r="M453" s="155"/>
      <c r="N453" s="155"/>
      <c r="O453" s="156"/>
      <c r="P453" s="156"/>
      <c r="Q453" s="155"/>
      <c r="R453" s="155"/>
      <c r="S453" s="155"/>
      <c r="T453" s="156"/>
      <c r="U453" s="156"/>
      <c r="V453" s="155"/>
      <c r="W453" s="155"/>
      <c r="X453" s="155"/>
      <c r="Y453" s="155"/>
      <c r="Z453" s="155"/>
      <c r="AA453" s="156"/>
      <c r="AB453" s="156"/>
      <c r="AC453" s="155"/>
      <c r="AD453" s="155"/>
      <c r="AE453" s="155"/>
      <c r="AF453" s="156"/>
      <c r="AG453" s="156"/>
      <c r="AH453" s="155"/>
      <c r="AI453" s="155"/>
      <c r="AJ453" s="155"/>
      <c r="AK453" s="156"/>
      <c r="AL453" s="156"/>
      <c r="AM453" s="155"/>
      <c r="AN453" s="155"/>
      <c r="AO453" s="155"/>
      <c r="AP453" s="156"/>
      <c r="AQ453" s="156"/>
      <c r="AR453" s="155"/>
      <c r="AS453" s="155"/>
      <c r="AT453" s="155"/>
      <c r="AU453" s="156"/>
      <c r="AV453" s="156"/>
      <c r="AW453" s="155"/>
      <c r="AX453" s="155"/>
      <c r="AY453" s="155"/>
      <c r="AZ453" s="156"/>
      <c r="BA453" s="156"/>
      <c r="BB453" s="155"/>
      <c r="BC453" s="155"/>
      <c r="BD453" s="155"/>
      <c r="BE453" s="155"/>
      <c r="BF453" s="155"/>
      <c r="BG453" s="158"/>
      <c r="BH453" s="158"/>
      <c r="BI453" s="155"/>
      <c r="BJ453" s="155"/>
      <c r="BK453" s="159"/>
      <c r="BL453" s="156"/>
      <c r="BM453" s="156"/>
      <c r="BN453" s="156"/>
      <c r="BO453" s="156"/>
      <c r="BP453" s="160"/>
      <c r="BQ453" s="160"/>
      <c r="BR453" s="160"/>
      <c r="BS453" s="160"/>
    </row>
    <row r="454" spans="1:71" x14ac:dyDescent="0.25">
      <c r="A454" s="154"/>
      <c r="B454" s="155"/>
      <c r="C454" s="155"/>
      <c r="D454" s="155"/>
      <c r="E454" s="156"/>
      <c r="F454" s="156"/>
      <c r="G454" s="155"/>
      <c r="H454" s="155"/>
      <c r="I454" s="155"/>
      <c r="J454" s="157"/>
      <c r="K454" s="157"/>
      <c r="L454" s="155"/>
      <c r="M454" s="155"/>
      <c r="N454" s="155"/>
      <c r="O454" s="156"/>
      <c r="P454" s="156"/>
      <c r="Q454" s="155"/>
      <c r="R454" s="155"/>
      <c r="S454" s="155"/>
      <c r="T454" s="156"/>
      <c r="U454" s="156"/>
      <c r="V454" s="155"/>
      <c r="W454" s="155"/>
      <c r="X454" s="155"/>
      <c r="Y454" s="155"/>
      <c r="Z454" s="155"/>
      <c r="AA454" s="156"/>
      <c r="AB454" s="156"/>
      <c r="AC454" s="155"/>
      <c r="AD454" s="155"/>
      <c r="AE454" s="155"/>
      <c r="AF454" s="156"/>
      <c r="AG454" s="156"/>
      <c r="AH454" s="155"/>
      <c r="AI454" s="155"/>
      <c r="AJ454" s="155"/>
      <c r="AK454" s="156"/>
      <c r="AL454" s="156"/>
      <c r="AM454" s="155"/>
      <c r="AN454" s="155"/>
      <c r="AO454" s="155"/>
      <c r="AP454" s="156"/>
      <c r="AQ454" s="156"/>
      <c r="AR454" s="155"/>
      <c r="AS454" s="155"/>
      <c r="AT454" s="155"/>
      <c r="AU454" s="156"/>
      <c r="AV454" s="156"/>
      <c r="AW454" s="155"/>
      <c r="AX454" s="155"/>
      <c r="AY454" s="155"/>
      <c r="AZ454" s="156"/>
      <c r="BA454" s="156"/>
      <c r="BB454" s="155"/>
      <c r="BC454" s="155"/>
      <c r="BD454" s="155"/>
      <c r="BE454" s="155"/>
      <c r="BF454" s="155"/>
      <c r="BG454" s="158"/>
      <c r="BH454" s="158"/>
      <c r="BI454" s="155"/>
      <c r="BJ454" s="155"/>
      <c r="BK454" s="159"/>
      <c r="BL454" s="156"/>
      <c r="BM454" s="156"/>
      <c r="BN454" s="156"/>
      <c r="BO454" s="156"/>
      <c r="BP454" s="160"/>
      <c r="BQ454" s="160"/>
      <c r="BR454" s="160"/>
      <c r="BS454" s="160"/>
    </row>
    <row r="455" spans="1:71" x14ac:dyDescent="0.25">
      <c r="A455" s="154"/>
      <c r="B455" s="155"/>
      <c r="C455" s="155"/>
      <c r="D455" s="155"/>
      <c r="E455" s="156"/>
      <c r="F455" s="156"/>
      <c r="G455" s="155"/>
      <c r="H455" s="155"/>
      <c r="I455" s="155"/>
      <c r="J455" s="157"/>
      <c r="K455" s="157"/>
      <c r="L455" s="155"/>
      <c r="M455" s="155"/>
      <c r="N455" s="155"/>
      <c r="O455" s="156"/>
      <c r="P455" s="156"/>
      <c r="Q455" s="155"/>
      <c r="R455" s="155"/>
      <c r="S455" s="155"/>
      <c r="T455" s="156"/>
      <c r="U455" s="156"/>
      <c r="V455" s="155"/>
      <c r="W455" s="155"/>
      <c r="X455" s="155"/>
      <c r="Y455" s="155"/>
      <c r="Z455" s="155"/>
      <c r="AA455" s="156"/>
      <c r="AB455" s="156"/>
      <c r="AC455" s="155"/>
      <c r="AD455" s="155"/>
      <c r="AE455" s="155"/>
      <c r="AF455" s="156"/>
      <c r="AG455" s="156"/>
      <c r="AH455" s="155"/>
      <c r="AI455" s="155"/>
      <c r="AJ455" s="155"/>
      <c r="AK455" s="156"/>
      <c r="AL455" s="156"/>
      <c r="AM455" s="155"/>
      <c r="AN455" s="155"/>
      <c r="AO455" s="155"/>
      <c r="AP455" s="156"/>
      <c r="AQ455" s="156"/>
      <c r="AR455" s="155"/>
      <c r="AS455" s="155"/>
      <c r="AT455" s="155"/>
      <c r="AU455" s="156"/>
      <c r="AV455" s="156"/>
      <c r="AW455" s="155"/>
      <c r="AX455" s="155"/>
      <c r="AY455" s="155"/>
      <c r="AZ455" s="156"/>
      <c r="BA455" s="156"/>
      <c r="BB455" s="155"/>
      <c r="BC455" s="155"/>
      <c r="BD455" s="155"/>
      <c r="BE455" s="155"/>
      <c r="BF455" s="155"/>
      <c r="BG455" s="158"/>
      <c r="BH455" s="158"/>
      <c r="BI455" s="155"/>
      <c r="BJ455" s="155"/>
      <c r="BK455" s="159"/>
      <c r="BL455" s="156"/>
      <c r="BM455" s="156"/>
      <c r="BN455" s="156"/>
      <c r="BO455" s="156"/>
      <c r="BP455" s="160"/>
      <c r="BQ455" s="160"/>
      <c r="BR455" s="160"/>
      <c r="BS455" s="160"/>
    </row>
    <row r="456" spans="1:71" x14ac:dyDescent="0.25">
      <c r="A456" s="154"/>
      <c r="B456" s="155"/>
      <c r="C456" s="155"/>
      <c r="D456" s="155"/>
      <c r="E456" s="156"/>
      <c r="F456" s="156"/>
      <c r="G456" s="155"/>
      <c r="H456" s="155"/>
      <c r="I456" s="155"/>
      <c r="J456" s="157"/>
      <c r="K456" s="157"/>
      <c r="L456" s="155"/>
      <c r="M456" s="155"/>
      <c r="N456" s="155"/>
      <c r="O456" s="156"/>
      <c r="P456" s="156"/>
      <c r="Q456" s="155"/>
      <c r="R456" s="155"/>
      <c r="S456" s="155"/>
      <c r="T456" s="156"/>
      <c r="U456" s="156"/>
      <c r="V456" s="155"/>
      <c r="W456" s="155"/>
      <c r="X456" s="155"/>
      <c r="Y456" s="155"/>
      <c r="Z456" s="155"/>
      <c r="AA456" s="156"/>
      <c r="AB456" s="156"/>
      <c r="AC456" s="155"/>
      <c r="AD456" s="155"/>
      <c r="AE456" s="155"/>
      <c r="AF456" s="156"/>
      <c r="AG456" s="156"/>
      <c r="AH456" s="155"/>
      <c r="AI456" s="155"/>
      <c r="AJ456" s="155"/>
      <c r="AK456" s="156"/>
      <c r="AL456" s="156"/>
      <c r="AM456" s="155"/>
      <c r="AN456" s="155"/>
      <c r="AO456" s="155"/>
      <c r="AP456" s="156"/>
      <c r="AQ456" s="156"/>
      <c r="AR456" s="155"/>
      <c r="AS456" s="155"/>
      <c r="AT456" s="155"/>
      <c r="AU456" s="156"/>
      <c r="AV456" s="156"/>
      <c r="AW456" s="155"/>
      <c r="AX456" s="155"/>
      <c r="AY456" s="155"/>
      <c r="AZ456" s="156"/>
      <c r="BA456" s="156"/>
      <c r="BB456" s="155"/>
      <c r="BC456" s="155"/>
      <c r="BD456" s="155"/>
      <c r="BE456" s="155"/>
      <c r="BF456" s="155"/>
      <c r="BG456" s="158"/>
      <c r="BH456" s="158"/>
      <c r="BI456" s="155"/>
      <c r="BJ456" s="155"/>
      <c r="BK456" s="159"/>
      <c r="BL456" s="156"/>
      <c r="BM456" s="156"/>
      <c r="BN456" s="156"/>
      <c r="BO456" s="156"/>
      <c r="BP456" s="160"/>
      <c r="BQ456" s="160"/>
      <c r="BR456" s="160"/>
      <c r="BS456" s="160"/>
    </row>
    <row r="457" spans="1:71" x14ac:dyDescent="0.25">
      <c r="A457" s="154"/>
      <c r="B457" s="155"/>
      <c r="C457" s="155"/>
      <c r="D457" s="155"/>
      <c r="E457" s="156"/>
      <c r="F457" s="156"/>
      <c r="G457" s="155"/>
      <c r="H457" s="155"/>
      <c r="I457" s="155"/>
      <c r="J457" s="157"/>
      <c r="K457" s="157"/>
      <c r="L457" s="155"/>
      <c r="M457" s="155"/>
      <c r="N457" s="155"/>
      <c r="O457" s="156"/>
      <c r="P457" s="156"/>
      <c r="Q457" s="155"/>
      <c r="R457" s="155"/>
      <c r="S457" s="155"/>
      <c r="T457" s="156"/>
      <c r="U457" s="156"/>
      <c r="V457" s="155"/>
      <c r="W457" s="155"/>
      <c r="X457" s="155"/>
      <c r="Y457" s="155"/>
      <c r="Z457" s="155"/>
      <c r="AA457" s="156"/>
      <c r="AB457" s="156"/>
      <c r="AC457" s="155"/>
      <c r="AD457" s="155"/>
      <c r="AE457" s="155"/>
      <c r="AF457" s="156"/>
      <c r="AG457" s="156"/>
      <c r="AH457" s="155"/>
      <c r="AI457" s="155"/>
      <c r="AJ457" s="155"/>
      <c r="AK457" s="156"/>
      <c r="AL457" s="156"/>
      <c r="AM457" s="155"/>
      <c r="AN457" s="155"/>
      <c r="AO457" s="155"/>
      <c r="AP457" s="156"/>
      <c r="AQ457" s="156"/>
      <c r="AR457" s="155"/>
      <c r="AS457" s="155"/>
      <c r="AT457" s="155"/>
      <c r="AU457" s="156"/>
      <c r="AV457" s="156"/>
      <c r="AW457" s="155"/>
      <c r="AX457" s="155"/>
      <c r="AY457" s="155"/>
      <c r="AZ457" s="156"/>
      <c r="BA457" s="156"/>
      <c r="BB457" s="155"/>
      <c r="BC457" s="155"/>
      <c r="BD457" s="155"/>
      <c r="BE457" s="155"/>
      <c r="BF457" s="155"/>
      <c r="BG457" s="158"/>
      <c r="BH457" s="158"/>
      <c r="BI457" s="155"/>
      <c r="BJ457" s="155"/>
      <c r="BK457" s="159"/>
      <c r="BL457" s="156"/>
      <c r="BM457" s="156"/>
      <c r="BN457" s="156"/>
      <c r="BO457" s="156"/>
      <c r="BP457" s="160"/>
      <c r="BQ457" s="160"/>
      <c r="BR457" s="160"/>
      <c r="BS457" s="160"/>
    </row>
    <row r="458" spans="1:71" x14ac:dyDescent="0.25">
      <c r="A458" s="154"/>
      <c r="B458" s="155"/>
      <c r="C458" s="155"/>
      <c r="D458" s="155"/>
      <c r="E458" s="156"/>
      <c r="F458" s="156"/>
      <c r="G458" s="155"/>
      <c r="H458" s="155"/>
      <c r="I458" s="155"/>
      <c r="J458" s="157"/>
      <c r="K458" s="157"/>
      <c r="L458" s="155"/>
      <c r="M458" s="155"/>
      <c r="N458" s="155"/>
      <c r="O458" s="156"/>
      <c r="P458" s="156"/>
      <c r="Q458" s="155"/>
      <c r="R458" s="155"/>
      <c r="S458" s="155"/>
      <c r="T458" s="156"/>
      <c r="U458" s="156"/>
      <c r="V458" s="155"/>
      <c r="W458" s="155"/>
      <c r="X458" s="155"/>
      <c r="Y458" s="155"/>
      <c r="Z458" s="155"/>
      <c r="AA458" s="156"/>
      <c r="AB458" s="156"/>
      <c r="AC458" s="155"/>
      <c r="AD458" s="155"/>
      <c r="AE458" s="155"/>
      <c r="AF458" s="156"/>
      <c r="AG458" s="156"/>
      <c r="AH458" s="155"/>
      <c r="AI458" s="155"/>
      <c r="AJ458" s="155"/>
      <c r="AK458" s="156"/>
      <c r="AL458" s="156"/>
      <c r="AM458" s="155"/>
      <c r="AN458" s="155"/>
      <c r="AO458" s="155"/>
      <c r="AP458" s="156"/>
      <c r="AQ458" s="156"/>
      <c r="AR458" s="155"/>
      <c r="AS458" s="155"/>
      <c r="AT458" s="155"/>
      <c r="AU458" s="156"/>
      <c r="AV458" s="156"/>
      <c r="AW458" s="155"/>
      <c r="AX458" s="155"/>
      <c r="AY458" s="155"/>
      <c r="AZ458" s="156"/>
      <c r="BA458" s="156"/>
      <c r="BB458" s="155"/>
      <c r="BC458" s="155"/>
      <c r="BD458" s="155"/>
      <c r="BE458" s="155"/>
      <c r="BF458" s="155"/>
      <c r="BG458" s="158"/>
      <c r="BH458" s="158"/>
      <c r="BI458" s="155"/>
      <c r="BJ458" s="155"/>
      <c r="BK458" s="159"/>
      <c r="BL458" s="156"/>
      <c r="BM458" s="156"/>
      <c r="BN458" s="156"/>
      <c r="BO458" s="156"/>
      <c r="BP458" s="160"/>
      <c r="BQ458" s="160"/>
      <c r="BR458" s="160"/>
      <c r="BS458" s="160"/>
    </row>
    <row r="459" spans="1:71" x14ac:dyDescent="0.25">
      <c r="A459" s="154"/>
      <c r="B459" s="155"/>
      <c r="C459" s="155"/>
      <c r="D459" s="155"/>
      <c r="E459" s="156"/>
      <c r="F459" s="156"/>
      <c r="G459" s="155"/>
      <c r="H459" s="155"/>
      <c r="I459" s="155"/>
      <c r="J459" s="157"/>
      <c r="K459" s="157"/>
      <c r="L459" s="155"/>
      <c r="M459" s="155"/>
      <c r="N459" s="155"/>
      <c r="O459" s="156"/>
      <c r="P459" s="156"/>
      <c r="Q459" s="155"/>
      <c r="R459" s="155"/>
      <c r="S459" s="155"/>
      <c r="T459" s="156"/>
      <c r="U459" s="156"/>
      <c r="V459" s="155"/>
      <c r="W459" s="155"/>
      <c r="X459" s="155"/>
      <c r="Y459" s="155"/>
      <c r="Z459" s="155"/>
      <c r="AA459" s="156"/>
      <c r="AB459" s="156"/>
      <c r="AC459" s="155"/>
      <c r="AD459" s="155"/>
      <c r="AE459" s="155"/>
      <c r="AF459" s="156"/>
      <c r="AG459" s="156"/>
      <c r="AH459" s="155"/>
      <c r="AI459" s="155"/>
      <c r="AJ459" s="155"/>
      <c r="AK459" s="156"/>
      <c r="AL459" s="156"/>
      <c r="AM459" s="155"/>
      <c r="AN459" s="155"/>
      <c r="AO459" s="155"/>
      <c r="AP459" s="156"/>
      <c r="AQ459" s="156"/>
      <c r="AR459" s="155"/>
      <c r="AS459" s="155"/>
      <c r="AT459" s="155"/>
      <c r="AU459" s="156"/>
      <c r="AV459" s="156"/>
      <c r="AW459" s="155"/>
      <c r="AX459" s="155"/>
      <c r="AY459" s="155"/>
      <c r="AZ459" s="156"/>
      <c r="BA459" s="156"/>
      <c r="BB459" s="155"/>
      <c r="BC459" s="155"/>
      <c r="BD459" s="155"/>
      <c r="BE459" s="155"/>
      <c r="BF459" s="155"/>
      <c r="BG459" s="158"/>
      <c r="BH459" s="158"/>
      <c r="BI459" s="155"/>
      <c r="BJ459" s="155"/>
      <c r="BK459" s="159"/>
      <c r="BL459" s="156"/>
      <c r="BM459" s="156"/>
      <c r="BN459" s="156"/>
      <c r="BO459" s="156"/>
      <c r="BP459" s="160"/>
      <c r="BQ459" s="160"/>
      <c r="BR459" s="160"/>
      <c r="BS459" s="160"/>
    </row>
    <row r="460" spans="1:71" x14ac:dyDescent="0.25">
      <c r="A460" s="154"/>
      <c r="B460" s="155"/>
      <c r="C460" s="155"/>
      <c r="D460" s="155"/>
      <c r="E460" s="156"/>
      <c r="F460" s="156"/>
      <c r="G460" s="155"/>
      <c r="H460" s="155"/>
      <c r="I460" s="155"/>
      <c r="J460" s="157"/>
      <c r="K460" s="157"/>
      <c r="L460" s="155"/>
      <c r="M460" s="155"/>
      <c r="N460" s="155"/>
      <c r="O460" s="156"/>
      <c r="P460" s="156"/>
      <c r="Q460" s="155"/>
      <c r="R460" s="155"/>
      <c r="S460" s="155"/>
      <c r="T460" s="156"/>
      <c r="U460" s="156"/>
      <c r="V460" s="155"/>
      <c r="W460" s="155"/>
      <c r="X460" s="155"/>
      <c r="Y460" s="155"/>
      <c r="Z460" s="155"/>
      <c r="AA460" s="156"/>
      <c r="AB460" s="156"/>
      <c r="AC460" s="155"/>
      <c r="AD460" s="155"/>
      <c r="AE460" s="155"/>
      <c r="AF460" s="156"/>
      <c r="AG460" s="156"/>
      <c r="AH460" s="155"/>
      <c r="AI460" s="155"/>
      <c r="AJ460" s="155"/>
      <c r="AK460" s="156"/>
      <c r="AL460" s="156"/>
      <c r="AM460" s="155"/>
      <c r="AN460" s="155"/>
      <c r="AO460" s="155"/>
      <c r="AP460" s="156"/>
      <c r="AQ460" s="156"/>
      <c r="AR460" s="155"/>
      <c r="AS460" s="155"/>
      <c r="AT460" s="155"/>
      <c r="AU460" s="156"/>
      <c r="AV460" s="156"/>
      <c r="AW460" s="155"/>
      <c r="AX460" s="155"/>
      <c r="AY460" s="155"/>
      <c r="AZ460" s="156"/>
      <c r="BA460" s="156"/>
      <c r="BB460" s="155"/>
      <c r="BC460" s="155"/>
      <c r="BD460" s="155"/>
      <c r="BE460" s="155"/>
      <c r="BF460" s="155"/>
      <c r="BG460" s="158"/>
      <c r="BH460" s="158"/>
      <c r="BI460" s="155"/>
      <c r="BJ460" s="155"/>
      <c r="BK460" s="159"/>
      <c r="BL460" s="156"/>
      <c r="BM460" s="156"/>
      <c r="BN460" s="156"/>
      <c r="BO460" s="156"/>
      <c r="BP460" s="160"/>
      <c r="BQ460" s="160"/>
      <c r="BR460" s="160"/>
      <c r="BS460" s="160"/>
    </row>
    <row r="461" spans="1:71" x14ac:dyDescent="0.25">
      <c r="A461" s="154"/>
      <c r="B461" s="155"/>
      <c r="C461" s="155"/>
      <c r="D461" s="155"/>
      <c r="E461" s="156"/>
      <c r="F461" s="156"/>
      <c r="G461" s="155"/>
      <c r="H461" s="155"/>
      <c r="I461" s="155"/>
      <c r="J461" s="157"/>
      <c r="K461" s="157"/>
      <c r="L461" s="155"/>
      <c r="M461" s="155"/>
      <c r="N461" s="155"/>
      <c r="O461" s="156"/>
      <c r="P461" s="156"/>
      <c r="Q461" s="155"/>
      <c r="R461" s="155"/>
      <c r="S461" s="155"/>
      <c r="T461" s="156"/>
      <c r="U461" s="156"/>
      <c r="V461" s="155"/>
      <c r="W461" s="155"/>
      <c r="X461" s="155"/>
      <c r="Y461" s="155"/>
      <c r="Z461" s="155"/>
      <c r="AA461" s="156"/>
      <c r="AB461" s="156"/>
      <c r="AC461" s="155"/>
      <c r="AD461" s="155"/>
      <c r="AE461" s="155"/>
      <c r="AF461" s="156"/>
      <c r="AG461" s="156"/>
      <c r="AH461" s="155"/>
      <c r="AI461" s="155"/>
      <c r="AJ461" s="155"/>
      <c r="AK461" s="156"/>
      <c r="AL461" s="156"/>
      <c r="AM461" s="155"/>
      <c r="AN461" s="155"/>
      <c r="AO461" s="155"/>
      <c r="AP461" s="156"/>
      <c r="AQ461" s="156"/>
      <c r="AR461" s="155"/>
      <c r="AS461" s="155"/>
      <c r="AT461" s="155"/>
      <c r="AU461" s="156"/>
      <c r="AV461" s="156"/>
      <c r="AW461" s="155"/>
      <c r="AX461" s="155"/>
      <c r="AY461" s="155"/>
      <c r="AZ461" s="156"/>
      <c r="BA461" s="156"/>
      <c r="BB461" s="155"/>
      <c r="BC461" s="155"/>
      <c r="BD461" s="155"/>
      <c r="BE461" s="155"/>
      <c r="BF461" s="155"/>
      <c r="BG461" s="158"/>
      <c r="BH461" s="158"/>
      <c r="BI461" s="155"/>
      <c r="BJ461" s="155"/>
      <c r="BK461" s="159"/>
      <c r="BL461" s="156"/>
      <c r="BM461" s="156"/>
      <c r="BN461" s="156"/>
      <c r="BO461" s="156"/>
      <c r="BP461" s="160"/>
      <c r="BQ461" s="160"/>
      <c r="BR461" s="160"/>
      <c r="BS461" s="160"/>
    </row>
    <row r="462" spans="1:71" x14ac:dyDescent="0.25">
      <c r="A462" s="154"/>
      <c r="B462" s="155"/>
      <c r="C462" s="155"/>
      <c r="D462" s="155"/>
      <c r="E462" s="156"/>
      <c r="F462" s="156"/>
      <c r="G462" s="155"/>
      <c r="H462" s="155"/>
      <c r="I462" s="155"/>
      <c r="J462" s="157"/>
      <c r="K462" s="157"/>
      <c r="L462" s="155"/>
      <c r="M462" s="155"/>
      <c r="N462" s="155"/>
      <c r="O462" s="156"/>
      <c r="P462" s="156"/>
      <c r="Q462" s="155"/>
      <c r="R462" s="155"/>
      <c r="S462" s="155"/>
      <c r="T462" s="156"/>
      <c r="U462" s="156"/>
      <c r="V462" s="155"/>
      <c r="W462" s="155"/>
      <c r="X462" s="155"/>
      <c r="Y462" s="155"/>
      <c r="Z462" s="155"/>
      <c r="AA462" s="156"/>
      <c r="AB462" s="156"/>
      <c r="AC462" s="155"/>
      <c r="AD462" s="155"/>
      <c r="AE462" s="155"/>
      <c r="AF462" s="156"/>
      <c r="AG462" s="156"/>
      <c r="AH462" s="155"/>
      <c r="AI462" s="155"/>
      <c r="AJ462" s="155"/>
      <c r="AK462" s="156"/>
      <c r="AL462" s="156"/>
      <c r="AM462" s="155"/>
      <c r="AN462" s="155"/>
      <c r="AO462" s="155"/>
      <c r="AP462" s="156"/>
      <c r="AQ462" s="156"/>
      <c r="AR462" s="155"/>
      <c r="AS462" s="155"/>
      <c r="AT462" s="155"/>
      <c r="AU462" s="156"/>
      <c r="AV462" s="156"/>
      <c r="AW462" s="155"/>
      <c r="AX462" s="155"/>
      <c r="AY462" s="155"/>
      <c r="AZ462" s="156"/>
      <c r="BA462" s="156"/>
      <c r="BB462" s="155"/>
      <c r="BC462" s="155"/>
      <c r="BD462" s="155"/>
      <c r="BE462" s="155"/>
      <c r="BF462" s="155"/>
      <c r="BG462" s="158"/>
      <c r="BH462" s="158"/>
      <c r="BI462" s="155"/>
      <c r="BJ462" s="155"/>
      <c r="BK462" s="159"/>
      <c r="BL462" s="156"/>
      <c r="BM462" s="156"/>
      <c r="BN462" s="156"/>
      <c r="BO462" s="156"/>
      <c r="BP462" s="160"/>
      <c r="BQ462" s="160"/>
      <c r="BR462" s="160"/>
      <c r="BS462" s="160"/>
    </row>
    <row r="463" spans="1:71" x14ac:dyDescent="0.25">
      <c r="A463" s="154"/>
      <c r="B463" s="155"/>
      <c r="C463" s="155"/>
      <c r="D463" s="155"/>
      <c r="E463" s="156"/>
      <c r="F463" s="156"/>
      <c r="G463" s="155"/>
      <c r="H463" s="155"/>
      <c r="I463" s="155"/>
      <c r="J463" s="157"/>
      <c r="K463" s="157"/>
      <c r="L463" s="155"/>
      <c r="M463" s="155"/>
      <c r="N463" s="155"/>
      <c r="O463" s="156"/>
      <c r="P463" s="156"/>
      <c r="Q463" s="155"/>
      <c r="R463" s="155"/>
      <c r="S463" s="155"/>
      <c r="T463" s="156"/>
      <c r="U463" s="156"/>
      <c r="V463" s="155"/>
      <c r="W463" s="155"/>
      <c r="X463" s="155"/>
      <c r="Y463" s="155"/>
      <c r="Z463" s="155"/>
      <c r="AA463" s="156"/>
      <c r="AB463" s="156"/>
      <c r="AC463" s="155"/>
      <c r="AD463" s="155"/>
      <c r="AE463" s="155"/>
      <c r="AF463" s="156"/>
      <c r="AG463" s="156"/>
      <c r="AH463" s="155"/>
      <c r="AI463" s="155"/>
      <c r="AJ463" s="155"/>
      <c r="AK463" s="156"/>
      <c r="AL463" s="156"/>
      <c r="AM463" s="155"/>
      <c r="AN463" s="155"/>
      <c r="AO463" s="155"/>
      <c r="AP463" s="156"/>
      <c r="AQ463" s="156"/>
      <c r="AR463" s="155"/>
      <c r="AS463" s="155"/>
      <c r="AT463" s="155"/>
      <c r="AU463" s="156"/>
      <c r="AV463" s="156"/>
      <c r="AW463" s="155"/>
      <c r="AX463" s="155"/>
      <c r="AY463" s="155"/>
      <c r="AZ463" s="156"/>
      <c r="BA463" s="156"/>
      <c r="BB463" s="155"/>
      <c r="BC463" s="155"/>
      <c r="BD463" s="155"/>
      <c r="BE463" s="155"/>
      <c r="BF463" s="155"/>
      <c r="BG463" s="158"/>
      <c r="BH463" s="158"/>
      <c r="BI463" s="155"/>
      <c r="BJ463" s="155"/>
      <c r="BK463" s="159"/>
      <c r="BL463" s="156"/>
      <c r="BM463" s="156"/>
      <c r="BN463" s="156"/>
      <c r="BO463" s="156"/>
      <c r="BP463" s="160"/>
      <c r="BQ463" s="160"/>
      <c r="BR463" s="160"/>
      <c r="BS463" s="160"/>
    </row>
    <row r="464" spans="1:71" x14ac:dyDescent="0.25">
      <c r="A464" s="154"/>
      <c r="B464" s="155"/>
      <c r="C464" s="155"/>
      <c r="D464" s="155"/>
      <c r="E464" s="156"/>
      <c r="F464" s="156"/>
      <c r="G464" s="155"/>
      <c r="H464" s="155"/>
      <c r="I464" s="155"/>
      <c r="J464" s="157"/>
      <c r="K464" s="157"/>
      <c r="L464" s="155"/>
      <c r="M464" s="155"/>
      <c r="N464" s="155"/>
      <c r="O464" s="156"/>
      <c r="P464" s="156"/>
      <c r="Q464" s="155"/>
      <c r="R464" s="155"/>
      <c r="S464" s="155"/>
      <c r="T464" s="156"/>
      <c r="U464" s="156"/>
      <c r="V464" s="155"/>
      <c r="W464" s="155"/>
      <c r="X464" s="155"/>
      <c r="Y464" s="155"/>
      <c r="Z464" s="155"/>
      <c r="AA464" s="156"/>
      <c r="AB464" s="156"/>
      <c r="AC464" s="155"/>
      <c r="AD464" s="155"/>
      <c r="AE464" s="155"/>
      <c r="AF464" s="156"/>
      <c r="AG464" s="156"/>
      <c r="AH464" s="155"/>
      <c r="AI464" s="155"/>
      <c r="AJ464" s="155"/>
      <c r="AK464" s="156"/>
      <c r="AL464" s="156"/>
      <c r="AM464" s="155"/>
      <c r="AN464" s="155"/>
      <c r="AO464" s="155"/>
      <c r="AP464" s="156"/>
      <c r="AQ464" s="156"/>
      <c r="AR464" s="155"/>
      <c r="AS464" s="155"/>
      <c r="AT464" s="155"/>
      <c r="AU464" s="156"/>
      <c r="AV464" s="156"/>
      <c r="AW464" s="155"/>
      <c r="AX464" s="155"/>
      <c r="AY464" s="155"/>
      <c r="AZ464" s="156"/>
      <c r="BA464" s="156"/>
      <c r="BB464" s="155"/>
      <c r="BC464" s="155"/>
      <c r="BD464" s="155"/>
      <c r="BE464" s="155"/>
      <c r="BF464" s="155"/>
      <c r="BG464" s="158"/>
      <c r="BH464" s="158"/>
      <c r="BI464" s="155"/>
      <c r="BJ464" s="155"/>
      <c r="BK464" s="159"/>
      <c r="BL464" s="156"/>
      <c r="BM464" s="156"/>
      <c r="BN464" s="156"/>
      <c r="BO464" s="156"/>
      <c r="BP464" s="160"/>
      <c r="BQ464" s="160"/>
      <c r="BR464" s="160"/>
      <c r="BS464" s="160"/>
    </row>
    <row r="465" spans="1:71" x14ac:dyDescent="0.25">
      <c r="A465" s="154"/>
      <c r="B465" s="155"/>
      <c r="C465" s="155"/>
      <c r="D465" s="155"/>
      <c r="E465" s="156"/>
      <c r="F465" s="156"/>
      <c r="G465" s="155"/>
      <c r="H465" s="155"/>
      <c r="I465" s="155"/>
      <c r="J465" s="157"/>
      <c r="K465" s="157"/>
      <c r="L465" s="155"/>
      <c r="M465" s="155"/>
      <c r="N465" s="155"/>
      <c r="O465" s="156"/>
      <c r="P465" s="156"/>
      <c r="Q465" s="155"/>
      <c r="R465" s="155"/>
      <c r="S465" s="155"/>
      <c r="T465" s="156"/>
      <c r="U465" s="156"/>
      <c r="V465" s="155"/>
      <c r="W465" s="155"/>
      <c r="X465" s="155"/>
      <c r="Y465" s="155"/>
      <c r="Z465" s="155"/>
      <c r="AA465" s="156"/>
      <c r="AB465" s="156"/>
      <c r="AC465" s="155"/>
      <c r="AD465" s="155"/>
      <c r="AE465" s="155"/>
      <c r="AF465" s="156"/>
      <c r="AG465" s="156"/>
      <c r="AH465" s="155"/>
      <c r="AI465" s="155"/>
      <c r="AJ465" s="155"/>
      <c r="AK465" s="156"/>
      <c r="AL465" s="156"/>
      <c r="AM465" s="155"/>
      <c r="AN465" s="155"/>
      <c r="AO465" s="155"/>
      <c r="AP465" s="156"/>
      <c r="AQ465" s="156"/>
      <c r="AR465" s="155"/>
      <c r="AS465" s="155"/>
      <c r="AT465" s="155"/>
      <c r="AU465" s="156"/>
      <c r="AV465" s="156"/>
      <c r="AW465" s="155"/>
      <c r="AX465" s="155"/>
      <c r="AY465" s="155"/>
      <c r="AZ465" s="156"/>
      <c r="BA465" s="156"/>
      <c r="BB465" s="155"/>
      <c r="BC465" s="155"/>
      <c r="BD465" s="155"/>
      <c r="BE465" s="155"/>
      <c r="BF465" s="155"/>
      <c r="BG465" s="158"/>
      <c r="BH465" s="158"/>
      <c r="BI465" s="155"/>
      <c r="BJ465" s="155"/>
      <c r="BK465" s="159"/>
      <c r="BL465" s="156"/>
      <c r="BM465" s="156"/>
      <c r="BN465" s="156"/>
      <c r="BO465" s="156"/>
      <c r="BP465" s="160"/>
      <c r="BQ465" s="160"/>
      <c r="BR465" s="160"/>
      <c r="BS465" s="160"/>
    </row>
    <row r="466" spans="1:71" x14ac:dyDescent="0.25">
      <c r="A466" s="154"/>
      <c r="B466" s="155"/>
      <c r="C466" s="155"/>
      <c r="D466" s="155"/>
      <c r="E466" s="156"/>
      <c r="F466" s="156"/>
      <c r="G466" s="155"/>
      <c r="H466" s="155"/>
      <c r="I466" s="155"/>
      <c r="J466" s="157"/>
      <c r="K466" s="157"/>
      <c r="L466" s="155"/>
      <c r="M466" s="155"/>
      <c r="N466" s="155"/>
      <c r="O466" s="156"/>
      <c r="P466" s="156"/>
      <c r="Q466" s="155"/>
      <c r="R466" s="155"/>
      <c r="S466" s="155"/>
      <c r="T466" s="156"/>
      <c r="U466" s="156"/>
      <c r="V466" s="155"/>
      <c r="W466" s="155"/>
      <c r="X466" s="155"/>
      <c r="Y466" s="155"/>
      <c r="Z466" s="155"/>
      <c r="AA466" s="156"/>
      <c r="AB466" s="156"/>
      <c r="AC466" s="155"/>
      <c r="AD466" s="155"/>
      <c r="AE466" s="155"/>
      <c r="AF466" s="156"/>
      <c r="AG466" s="156"/>
      <c r="AH466" s="155"/>
      <c r="AI466" s="155"/>
      <c r="AJ466" s="155"/>
      <c r="AK466" s="156"/>
      <c r="AL466" s="156"/>
      <c r="AM466" s="155"/>
      <c r="AN466" s="155"/>
      <c r="AO466" s="155"/>
      <c r="AP466" s="156"/>
      <c r="AQ466" s="156"/>
      <c r="AR466" s="155"/>
      <c r="AS466" s="155"/>
      <c r="AT466" s="155"/>
      <c r="AU466" s="156"/>
      <c r="AV466" s="156"/>
      <c r="AW466" s="155"/>
      <c r="AX466" s="155"/>
      <c r="AY466" s="155"/>
      <c r="AZ466" s="156"/>
      <c r="BA466" s="156"/>
      <c r="BB466" s="155"/>
      <c r="BC466" s="155"/>
      <c r="BD466" s="155"/>
      <c r="BE466" s="155"/>
      <c r="BF466" s="155"/>
      <c r="BG466" s="158"/>
      <c r="BH466" s="158"/>
      <c r="BI466" s="155"/>
      <c r="BJ466" s="155"/>
      <c r="BK466" s="159"/>
      <c r="BL466" s="156"/>
      <c r="BM466" s="156"/>
      <c r="BN466" s="156"/>
      <c r="BO466" s="156"/>
      <c r="BP466" s="160"/>
      <c r="BQ466" s="160"/>
      <c r="BR466" s="160"/>
      <c r="BS466" s="160"/>
    </row>
    <row r="467" spans="1:71" x14ac:dyDescent="0.25">
      <c r="A467" s="154"/>
      <c r="B467" s="155"/>
      <c r="C467" s="155"/>
      <c r="D467" s="155"/>
      <c r="E467" s="156"/>
      <c r="F467" s="156"/>
      <c r="G467" s="155"/>
      <c r="H467" s="155"/>
      <c r="I467" s="155"/>
      <c r="J467" s="157"/>
      <c r="K467" s="157"/>
      <c r="L467" s="155"/>
      <c r="M467" s="155"/>
      <c r="N467" s="155"/>
      <c r="O467" s="156"/>
      <c r="P467" s="156"/>
      <c r="Q467" s="155"/>
      <c r="R467" s="155"/>
      <c r="S467" s="155"/>
      <c r="T467" s="156"/>
      <c r="U467" s="156"/>
      <c r="V467" s="155"/>
      <c r="W467" s="155"/>
      <c r="X467" s="155"/>
      <c r="Y467" s="155"/>
      <c r="Z467" s="155"/>
      <c r="AA467" s="156"/>
      <c r="AB467" s="156"/>
      <c r="AC467" s="155"/>
      <c r="AD467" s="155"/>
      <c r="AE467" s="155"/>
      <c r="AF467" s="156"/>
      <c r="AG467" s="156"/>
      <c r="AH467" s="155"/>
      <c r="AI467" s="155"/>
      <c r="AJ467" s="155"/>
      <c r="AK467" s="156"/>
      <c r="AL467" s="156"/>
      <c r="AM467" s="155"/>
      <c r="AN467" s="155"/>
      <c r="AO467" s="155"/>
      <c r="AP467" s="156"/>
      <c r="AQ467" s="156"/>
      <c r="AR467" s="155"/>
      <c r="AS467" s="155"/>
      <c r="AT467" s="155"/>
      <c r="AU467" s="156"/>
      <c r="AV467" s="156"/>
      <c r="AW467" s="155"/>
      <c r="AX467" s="155"/>
      <c r="AY467" s="155"/>
      <c r="AZ467" s="156"/>
      <c r="BA467" s="156"/>
      <c r="BB467" s="155"/>
      <c r="BC467" s="155"/>
      <c r="BD467" s="155"/>
      <c r="BE467" s="155"/>
      <c r="BF467" s="155"/>
      <c r="BG467" s="158"/>
      <c r="BH467" s="158"/>
      <c r="BI467" s="155"/>
      <c r="BJ467" s="155"/>
      <c r="BK467" s="159"/>
      <c r="BL467" s="156"/>
      <c r="BM467" s="156"/>
      <c r="BN467" s="156"/>
      <c r="BO467" s="156"/>
      <c r="BP467" s="160"/>
      <c r="BQ467" s="160"/>
      <c r="BR467" s="160"/>
      <c r="BS467" s="160"/>
    </row>
    <row r="468" spans="1:71" x14ac:dyDescent="0.25">
      <c r="A468" s="154"/>
      <c r="B468" s="155"/>
      <c r="C468" s="155"/>
      <c r="D468" s="155"/>
      <c r="E468" s="156"/>
      <c r="F468" s="156"/>
      <c r="G468" s="155"/>
      <c r="H468" s="155"/>
      <c r="I468" s="155"/>
      <c r="J468" s="157"/>
      <c r="K468" s="157"/>
      <c r="L468" s="155"/>
      <c r="M468" s="155"/>
      <c r="N468" s="155"/>
      <c r="O468" s="156"/>
      <c r="P468" s="156"/>
      <c r="Q468" s="155"/>
      <c r="R468" s="155"/>
      <c r="S468" s="155"/>
      <c r="T468" s="156"/>
      <c r="U468" s="156"/>
      <c r="V468" s="155"/>
      <c r="W468" s="155"/>
      <c r="X468" s="155"/>
      <c r="Y468" s="155"/>
      <c r="Z468" s="155"/>
      <c r="AA468" s="156"/>
      <c r="AB468" s="156"/>
      <c r="AC468" s="155"/>
      <c r="AD468" s="155"/>
      <c r="AE468" s="155"/>
      <c r="AF468" s="156"/>
      <c r="AG468" s="156"/>
      <c r="AH468" s="155"/>
      <c r="AI468" s="155"/>
      <c r="AJ468" s="155"/>
      <c r="AK468" s="156"/>
      <c r="AL468" s="156"/>
      <c r="AM468" s="155"/>
      <c r="AN468" s="155"/>
      <c r="AO468" s="155"/>
      <c r="AP468" s="156"/>
      <c r="AQ468" s="156"/>
      <c r="AR468" s="155"/>
      <c r="AS468" s="155"/>
      <c r="AT468" s="155"/>
      <c r="AU468" s="156"/>
      <c r="AV468" s="156"/>
      <c r="AW468" s="155"/>
      <c r="AX468" s="155"/>
      <c r="AY468" s="155"/>
      <c r="AZ468" s="156"/>
      <c r="BA468" s="156"/>
      <c r="BB468" s="155"/>
      <c r="BC468" s="155"/>
      <c r="BD468" s="155"/>
      <c r="BE468" s="155"/>
      <c r="BF468" s="155"/>
      <c r="BG468" s="158"/>
      <c r="BH468" s="158"/>
      <c r="BI468" s="155"/>
      <c r="BJ468" s="155"/>
      <c r="BK468" s="159"/>
      <c r="BL468" s="156"/>
      <c r="BM468" s="156"/>
      <c r="BN468" s="156"/>
      <c r="BO468" s="156"/>
      <c r="BP468" s="160"/>
      <c r="BQ468" s="160"/>
      <c r="BR468" s="160"/>
      <c r="BS468" s="160"/>
    </row>
    <row r="469" spans="1:71" x14ac:dyDescent="0.25">
      <c r="A469" s="154"/>
      <c r="B469" s="155"/>
      <c r="C469" s="155"/>
      <c r="D469" s="155"/>
      <c r="E469" s="156"/>
      <c r="F469" s="156"/>
      <c r="G469" s="155"/>
      <c r="H469" s="155"/>
      <c r="I469" s="155"/>
      <c r="J469" s="157"/>
      <c r="K469" s="157"/>
      <c r="L469" s="155"/>
      <c r="M469" s="155"/>
      <c r="N469" s="155"/>
      <c r="O469" s="156"/>
      <c r="P469" s="156"/>
      <c r="Q469" s="155"/>
      <c r="R469" s="155"/>
      <c r="S469" s="155"/>
      <c r="T469" s="156"/>
      <c r="U469" s="156"/>
      <c r="V469" s="155"/>
      <c r="W469" s="155"/>
      <c r="X469" s="155"/>
      <c r="Y469" s="155"/>
      <c r="Z469" s="155"/>
      <c r="AA469" s="156"/>
      <c r="AB469" s="156"/>
      <c r="AC469" s="155"/>
      <c r="AD469" s="155"/>
      <c r="AE469" s="155"/>
      <c r="AF469" s="156"/>
      <c r="AG469" s="156"/>
      <c r="AH469" s="155"/>
      <c r="AI469" s="155"/>
      <c r="AJ469" s="155"/>
      <c r="AK469" s="156"/>
      <c r="AL469" s="156"/>
      <c r="AM469" s="155"/>
      <c r="AN469" s="155"/>
      <c r="AO469" s="155"/>
      <c r="AP469" s="156"/>
      <c r="AQ469" s="156"/>
      <c r="AR469" s="155"/>
      <c r="AS469" s="155"/>
      <c r="AT469" s="155"/>
      <c r="AU469" s="156"/>
      <c r="AV469" s="156"/>
      <c r="AW469" s="155"/>
      <c r="AX469" s="155"/>
      <c r="AY469" s="155"/>
      <c r="AZ469" s="156"/>
      <c r="BA469" s="156"/>
      <c r="BB469" s="155"/>
      <c r="BC469" s="155"/>
      <c r="BD469" s="155"/>
      <c r="BE469" s="155"/>
      <c r="BF469" s="155"/>
      <c r="BG469" s="158"/>
      <c r="BH469" s="158"/>
      <c r="BI469" s="155"/>
      <c r="BJ469" s="155"/>
      <c r="BK469" s="159"/>
      <c r="BL469" s="156"/>
      <c r="BM469" s="156"/>
      <c r="BN469" s="156"/>
      <c r="BO469" s="156"/>
      <c r="BP469" s="160"/>
      <c r="BQ469" s="160"/>
      <c r="BR469" s="160"/>
      <c r="BS469" s="160"/>
    </row>
    <row r="470" spans="1:71" x14ac:dyDescent="0.25">
      <c r="A470" s="154"/>
      <c r="B470" s="155"/>
      <c r="C470" s="155"/>
      <c r="D470" s="155"/>
      <c r="E470" s="156"/>
      <c r="F470" s="156"/>
      <c r="G470" s="155"/>
      <c r="H470" s="155"/>
      <c r="I470" s="155"/>
      <c r="J470" s="157"/>
      <c r="K470" s="157"/>
      <c r="L470" s="155"/>
      <c r="M470" s="155"/>
      <c r="N470" s="155"/>
      <c r="O470" s="156"/>
      <c r="P470" s="156"/>
      <c r="Q470" s="155"/>
      <c r="R470" s="155"/>
      <c r="S470" s="155"/>
      <c r="T470" s="156"/>
      <c r="U470" s="156"/>
      <c r="V470" s="155"/>
      <c r="W470" s="155"/>
      <c r="X470" s="155"/>
      <c r="Y470" s="155"/>
      <c r="Z470" s="155"/>
      <c r="AA470" s="156"/>
      <c r="AB470" s="156"/>
      <c r="AC470" s="155"/>
      <c r="AD470" s="155"/>
      <c r="AE470" s="155"/>
      <c r="AF470" s="156"/>
      <c r="AG470" s="156"/>
      <c r="AH470" s="155"/>
      <c r="AI470" s="155"/>
      <c r="AJ470" s="155"/>
      <c r="AK470" s="156"/>
      <c r="AL470" s="156"/>
      <c r="AM470" s="155"/>
      <c r="AN470" s="155"/>
      <c r="AO470" s="155"/>
      <c r="AP470" s="156"/>
      <c r="AQ470" s="156"/>
      <c r="AR470" s="155"/>
      <c r="AS470" s="155"/>
      <c r="AT470" s="155"/>
      <c r="AU470" s="156"/>
      <c r="AV470" s="156"/>
      <c r="AW470" s="155"/>
      <c r="AX470" s="155"/>
      <c r="AY470" s="155"/>
      <c r="AZ470" s="156"/>
      <c r="BA470" s="156"/>
      <c r="BB470" s="155"/>
      <c r="BC470" s="155"/>
      <c r="BD470" s="155"/>
      <c r="BE470" s="155"/>
      <c r="BF470" s="155"/>
      <c r="BG470" s="158"/>
      <c r="BH470" s="158"/>
      <c r="BI470" s="155"/>
      <c r="BJ470" s="155"/>
      <c r="BK470" s="159"/>
      <c r="BL470" s="156"/>
      <c r="BM470" s="156"/>
      <c r="BN470" s="156"/>
      <c r="BO470" s="156"/>
      <c r="BP470" s="160"/>
      <c r="BQ470" s="160"/>
      <c r="BR470" s="160"/>
      <c r="BS470" s="160"/>
    </row>
    <row r="471" spans="1:71" x14ac:dyDescent="0.25">
      <c r="A471" s="154"/>
      <c r="B471" s="155"/>
      <c r="C471" s="155"/>
      <c r="D471" s="155"/>
      <c r="E471" s="156"/>
      <c r="F471" s="156"/>
      <c r="G471" s="155"/>
      <c r="H471" s="155"/>
      <c r="I471" s="155"/>
      <c r="J471" s="157"/>
      <c r="K471" s="157"/>
      <c r="L471" s="155"/>
      <c r="M471" s="155"/>
      <c r="N471" s="155"/>
      <c r="O471" s="156"/>
      <c r="P471" s="156"/>
      <c r="Q471" s="155"/>
      <c r="R471" s="155"/>
      <c r="S471" s="155"/>
      <c r="T471" s="156"/>
      <c r="U471" s="156"/>
      <c r="V471" s="155"/>
      <c r="W471" s="155"/>
      <c r="X471" s="155"/>
      <c r="Y471" s="155"/>
      <c r="Z471" s="155"/>
      <c r="AA471" s="156"/>
      <c r="AB471" s="156"/>
      <c r="AC471" s="155"/>
      <c r="AD471" s="155"/>
      <c r="AE471" s="155"/>
      <c r="AF471" s="156"/>
      <c r="AG471" s="156"/>
      <c r="AH471" s="155"/>
      <c r="AI471" s="155"/>
      <c r="AJ471" s="155"/>
      <c r="AK471" s="156"/>
      <c r="AL471" s="156"/>
      <c r="AM471" s="155"/>
      <c r="AN471" s="155"/>
      <c r="AO471" s="155"/>
      <c r="AP471" s="156"/>
      <c r="AQ471" s="156"/>
      <c r="AR471" s="155"/>
      <c r="AS471" s="155"/>
      <c r="AT471" s="155"/>
      <c r="AU471" s="156"/>
      <c r="AV471" s="156"/>
      <c r="AW471" s="155"/>
      <c r="AX471" s="155"/>
      <c r="AY471" s="155"/>
      <c r="AZ471" s="156"/>
      <c r="BA471" s="156"/>
      <c r="BB471" s="155"/>
      <c r="BC471" s="155"/>
      <c r="BD471" s="155"/>
      <c r="BE471" s="155"/>
      <c r="BF471" s="155"/>
      <c r="BG471" s="158"/>
      <c r="BH471" s="158"/>
      <c r="BI471" s="155"/>
      <c r="BJ471" s="155"/>
      <c r="BK471" s="159"/>
      <c r="BL471" s="156"/>
      <c r="BM471" s="156"/>
      <c r="BN471" s="156"/>
      <c r="BO471" s="156"/>
      <c r="BP471" s="160"/>
      <c r="BQ471" s="160"/>
      <c r="BR471" s="160"/>
      <c r="BS471" s="160"/>
    </row>
    <row r="472" spans="1:71" x14ac:dyDescent="0.25">
      <c r="A472" s="154"/>
      <c r="B472" s="155"/>
      <c r="C472" s="155"/>
      <c r="D472" s="155"/>
      <c r="E472" s="156"/>
      <c r="F472" s="156"/>
      <c r="G472" s="155"/>
      <c r="H472" s="155"/>
      <c r="I472" s="155"/>
      <c r="J472" s="157"/>
      <c r="K472" s="157"/>
      <c r="L472" s="155"/>
      <c r="M472" s="155"/>
      <c r="N472" s="155"/>
      <c r="O472" s="156"/>
      <c r="P472" s="156"/>
      <c r="Q472" s="155"/>
      <c r="R472" s="155"/>
      <c r="S472" s="155"/>
      <c r="T472" s="156"/>
      <c r="U472" s="156"/>
      <c r="V472" s="155"/>
      <c r="W472" s="155"/>
      <c r="X472" s="155"/>
      <c r="Y472" s="155"/>
      <c r="Z472" s="155"/>
      <c r="AA472" s="156"/>
      <c r="AB472" s="156"/>
      <c r="AC472" s="155"/>
      <c r="AD472" s="155"/>
      <c r="AE472" s="155"/>
      <c r="AF472" s="156"/>
      <c r="AG472" s="156"/>
      <c r="AH472" s="155"/>
      <c r="AI472" s="155"/>
      <c r="AJ472" s="155"/>
      <c r="AK472" s="156"/>
      <c r="AL472" s="156"/>
      <c r="AM472" s="155"/>
      <c r="AN472" s="155"/>
      <c r="AO472" s="155"/>
      <c r="AP472" s="156"/>
      <c r="AQ472" s="156"/>
      <c r="AR472" s="155"/>
      <c r="AS472" s="155"/>
      <c r="AT472" s="155"/>
      <c r="AU472" s="156"/>
      <c r="AV472" s="156"/>
      <c r="AW472" s="155"/>
      <c r="AX472" s="155"/>
      <c r="AY472" s="155"/>
      <c r="AZ472" s="156"/>
      <c r="BA472" s="156"/>
      <c r="BB472" s="155"/>
      <c r="BC472" s="155"/>
      <c r="BD472" s="155"/>
      <c r="BE472" s="155"/>
      <c r="BF472" s="155"/>
      <c r="BG472" s="158"/>
      <c r="BH472" s="158"/>
      <c r="BI472" s="155"/>
      <c r="BJ472" s="155"/>
      <c r="BK472" s="159"/>
      <c r="BL472" s="156"/>
      <c r="BM472" s="156"/>
      <c r="BN472" s="156"/>
      <c r="BO472" s="156"/>
      <c r="BP472" s="160"/>
      <c r="BQ472" s="160"/>
      <c r="BR472" s="160"/>
      <c r="BS472" s="160"/>
    </row>
    <row r="473" spans="1:71" x14ac:dyDescent="0.25">
      <c r="A473" s="154"/>
      <c r="B473" s="155"/>
      <c r="C473" s="155"/>
      <c r="D473" s="155"/>
      <c r="E473" s="156"/>
      <c r="F473" s="156"/>
      <c r="G473" s="155"/>
      <c r="H473" s="155"/>
      <c r="I473" s="155"/>
      <c r="J473" s="157"/>
      <c r="K473" s="157"/>
      <c r="L473" s="155"/>
      <c r="M473" s="155"/>
      <c r="N473" s="155"/>
      <c r="O473" s="156"/>
      <c r="P473" s="156"/>
      <c r="Q473" s="155"/>
      <c r="R473" s="155"/>
      <c r="S473" s="155"/>
      <c r="T473" s="156"/>
      <c r="U473" s="156"/>
      <c r="V473" s="155"/>
      <c r="W473" s="155"/>
      <c r="X473" s="155"/>
      <c r="Y473" s="155"/>
      <c r="Z473" s="155"/>
      <c r="AA473" s="156"/>
      <c r="AB473" s="156"/>
      <c r="AC473" s="155"/>
      <c r="AD473" s="155"/>
      <c r="AE473" s="155"/>
      <c r="AF473" s="156"/>
      <c r="AG473" s="156"/>
      <c r="AH473" s="155"/>
      <c r="AI473" s="155"/>
      <c r="AJ473" s="155"/>
      <c r="AK473" s="156"/>
      <c r="AL473" s="156"/>
      <c r="AM473" s="155"/>
      <c r="AN473" s="155"/>
      <c r="AO473" s="155"/>
      <c r="AP473" s="156"/>
      <c r="AQ473" s="156"/>
      <c r="AR473" s="155"/>
      <c r="AS473" s="155"/>
      <c r="AT473" s="155"/>
      <c r="AU473" s="156"/>
      <c r="AV473" s="156"/>
      <c r="AW473" s="155"/>
      <c r="AX473" s="155"/>
      <c r="AY473" s="155"/>
      <c r="AZ473" s="156"/>
      <c r="BA473" s="156"/>
      <c r="BB473" s="155"/>
      <c r="BC473" s="155"/>
      <c r="BD473" s="155"/>
      <c r="BE473" s="155"/>
      <c r="BF473" s="155"/>
      <c r="BG473" s="158"/>
      <c r="BH473" s="158"/>
      <c r="BI473" s="155"/>
      <c r="BJ473" s="155"/>
      <c r="BK473" s="159"/>
      <c r="BL473" s="156"/>
      <c r="BM473" s="156"/>
      <c r="BN473" s="156"/>
      <c r="BO473" s="156"/>
      <c r="BP473" s="160"/>
      <c r="BQ473" s="160"/>
      <c r="BR473" s="160"/>
      <c r="BS473" s="160"/>
    </row>
    <row r="474" spans="1:71" x14ac:dyDescent="0.25">
      <c r="A474" s="154"/>
      <c r="B474" s="155"/>
      <c r="C474" s="155"/>
      <c r="D474" s="155"/>
      <c r="E474" s="156"/>
      <c r="F474" s="156"/>
      <c r="G474" s="155"/>
      <c r="H474" s="155"/>
      <c r="I474" s="155"/>
      <c r="J474" s="157"/>
      <c r="K474" s="157"/>
      <c r="L474" s="155"/>
      <c r="M474" s="155"/>
      <c r="N474" s="155"/>
      <c r="O474" s="156"/>
      <c r="P474" s="156"/>
      <c r="Q474" s="155"/>
      <c r="R474" s="155"/>
      <c r="S474" s="155"/>
      <c r="T474" s="156"/>
      <c r="U474" s="156"/>
      <c r="V474" s="155"/>
      <c r="W474" s="155"/>
      <c r="X474" s="155"/>
      <c r="Y474" s="155"/>
      <c r="Z474" s="155"/>
      <c r="AA474" s="156"/>
      <c r="AB474" s="156"/>
      <c r="AC474" s="155"/>
      <c r="AD474" s="155"/>
      <c r="AE474" s="155"/>
      <c r="AF474" s="156"/>
      <c r="AG474" s="156"/>
      <c r="AH474" s="155"/>
      <c r="AI474" s="155"/>
      <c r="AJ474" s="155"/>
      <c r="AK474" s="156"/>
      <c r="AL474" s="156"/>
      <c r="AM474" s="155"/>
      <c r="AN474" s="155"/>
      <c r="AO474" s="155"/>
      <c r="AP474" s="156"/>
      <c r="AQ474" s="156"/>
      <c r="AR474" s="155"/>
      <c r="AS474" s="155"/>
      <c r="AT474" s="155"/>
      <c r="AU474" s="156"/>
      <c r="AV474" s="156"/>
      <c r="AW474" s="155"/>
      <c r="AX474" s="155"/>
      <c r="AY474" s="155"/>
      <c r="AZ474" s="156"/>
      <c r="BA474" s="156"/>
      <c r="BB474" s="155"/>
      <c r="BC474" s="155"/>
      <c r="BD474" s="155"/>
      <c r="BE474" s="155"/>
      <c r="BF474" s="155"/>
      <c r="BG474" s="158"/>
      <c r="BH474" s="158"/>
      <c r="BI474" s="155"/>
      <c r="BJ474" s="155"/>
      <c r="BK474" s="159"/>
      <c r="BL474" s="156"/>
      <c r="BM474" s="156"/>
      <c r="BN474" s="156"/>
      <c r="BO474" s="156"/>
      <c r="BP474" s="160"/>
      <c r="BQ474" s="160"/>
      <c r="BR474" s="160"/>
      <c r="BS474" s="160"/>
    </row>
    <row r="475" spans="1:71" x14ac:dyDescent="0.25">
      <c r="A475" s="154"/>
      <c r="B475" s="155"/>
      <c r="C475" s="155"/>
      <c r="D475" s="155"/>
      <c r="E475" s="156"/>
      <c r="F475" s="156"/>
      <c r="G475" s="155"/>
      <c r="H475" s="155"/>
      <c r="I475" s="155"/>
      <c r="J475" s="157"/>
      <c r="K475" s="157"/>
      <c r="L475" s="155"/>
      <c r="M475" s="155"/>
      <c r="N475" s="155"/>
      <c r="O475" s="156"/>
      <c r="P475" s="156"/>
      <c r="Q475" s="155"/>
      <c r="R475" s="155"/>
      <c r="S475" s="155"/>
      <c r="T475" s="156"/>
      <c r="U475" s="156"/>
      <c r="V475" s="155"/>
      <c r="W475" s="155"/>
      <c r="X475" s="155"/>
      <c r="Y475" s="155"/>
      <c r="Z475" s="155"/>
      <c r="AA475" s="156"/>
      <c r="AB475" s="156"/>
      <c r="AC475" s="155"/>
      <c r="AD475" s="155"/>
      <c r="AE475" s="155"/>
      <c r="AF475" s="156"/>
      <c r="AG475" s="156"/>
      <c r="AH475" s="155"/>
      <c r="AI475" s="155"/>
      <c r="AJ475" s="155"/>
      <c r="AK475" s="156"/>
      <c r="AL475" s="156"/>
      <c r="AM475" s="155"/>
      <c r="AN475" s="155"/>
      <c r="AO475" s="155"/>
      <c r="AP475" s="156"/>
      <c r="AQ475" s="156"/>
      <c r="AR475" s="155"/>
      <c r="AS475" s="155"/>
      <c r="AT475" s="155"/>
      <c r="AU475" s="156"/>
      <c r="AV475" s="156"/>
      <c r="AW475" s="155"/>
      <c r="AX475" s="155"/>
      <c r="AY475" s="155"/>
      <c r="AZ475" s="156"/>
      <c r="BA475" s="156"/>
      <c r="BB475" s="155"/>
      <c r="BC475" s="155"/>
      <c r="BD475" s="155"/>
      <c r="BE475" s="155"/>
      <c r="BF475" s="155"/>
      <c r="BG475" s="158"/>
      <c r="BH475" s="158"/>
      <c r="BI475" s="155"/>
      <c r="BJ475" s="155"/>
      <c r="BK475" s="159"/>
      <c r="BL475" s="156"/>
      <c r="BM475" s="156"/>
      <c r="BN475" s="156"/>
      <c r="BO475" s="156"/>
      <c r="BP475" s="160"/>
      <c r="BQ475" s="160"/>
      <c r="BR475" s="160"/>
      <c r="BS475" s="160"/>
    </row>
    <row r="476" spans="1:71" x14ac:dyDescent="0.25">
      <c r="A476" s="154"/>
      <c r="B476" s="155"/>
      <c r="C476" s="155"/>
      <c r="D476" s="155"/>
      <c r="E476" s="156"/>
      <c r="F476" s="156"/>
      <c r="G476" s="155"/>
      <c r="H476" s="155"/>
      <c r="I476" s="155"/>
      <c r="J476" s="157"/>
      <c r="K476" s="157"/>
      <c r="L476" s="155"/>
      <c r="M476" s="155"/>
      <c r="N476" s="155"/>
      <c r="O476" s="156"/>
      <c r="P476" s="156"/>
      <c r="Q476" s="155"/>
      <c r="R476" s="155"/>
      <c r="S476" s="155"/>
      <c r="T476" s="156"/>
      <c r="U476" s="156"/>
      <c r="V476" s="155"/>
      <c r="W476" s="155"/>
      <c r="X476" s="155"/>
      <c r="Y476" s="155"/>
      <c r="Z476" s="155"/>
      <c r="AA476" s="156"/>
      <c r="AB476" s="156"/>
      <c r="AC476" s="155"/>
      <c r="AD476" s="155"/>
      <c r="AE476" s="155"/>
      <c r="AF476" s="156"/>
      <c r="AG476" s="156"/>
      <c r="AH476" s="155"/>
      <c r="AI476" s="155"/>
      <c r="AJ476" s="155"/>
      <c r="AK476" s="156"/>
      <c r="AL476" s="156"/>
      <c r="AM476" s="155"/>
      <c r="AN476" s="155"/>
      <c r="AO476" s="155"/>
      <c r="AP476" s="156"/>
      <c r="AQ476" s="156"/>
      <c r="AR476" s="155"/>
      <c r="AS476" s="155"/>
      <c r="AT476" s="155"/>
      <c r="AU476" s="156"/>
      <c r="AV476" s="156"/>
      <c r="AW476" s="155"/>
      <c r="AX476" s="155"/>
      <c r="AY476" s="155"/>
      <c r="AZ476" s="156"/>
      <c r="BA476" s="156"/>
      <c r="BB476" s="155"/>
      <c r="BC476" s="155"/>
      <c r="BD476" s="155"/>
      <c r="BE476" s="155"/>
      <c r="BF476" s="155"/>
      <c r="BG476" s="158"/>
      <c r="BH476" s="158"/>
      <c r="BI476" s="155"/>
      <c r="BJ476" s="155"/>
      <c r="BK476" s="159"/>
      <c r="BL476" s="156"/>
      <c r="BM476" s="156"/>
      <c r="BN476" s="156"/>
      <c r="BO476" s="156"/>
      <c r="BP476" s="160"/>
      <c r="BQ476" s="160"/>
      <c r="BR476" s="160"/>
      <c r="BS476" s="160"/>
    </row>
    <row r="477" spans="1:71" x14ac:dyDescent="0.25">
      <c r="A477" s="154"/>
      <c r="B477" s="155"/>
      <c r="C477" s="155"/>
      <c r="D477" s="155"/>
      <c r="E477" s="156"/>
      <c r="F477" s="156"/>
      <c r="G477" s="155"/>
      <c r="H477" s="155"/>
      <c r="I477" s="155"/>
      <c r="J477" s="157"/>
      <c r="K477" s="157"/>
      <c r="L477" s="155"/>
      <c r="M477" s="155"/>
      <c r="N477" s="155"/>
      <c r="O477" s="156"/>
      <c r="P477" s="156"/>
      <c r="Q477" s="155"/>
      <c r="R477" s="155"/>
      <c r="S477" s="155"/>
      <c r="T477" s="156"/>
      <c r="U477" s="156"/>
      <c r="V477" s="155"/>
      <c r="W477" s="155"/>
      <c r="X477" s="155"/>
      <c r="Y477" s="155"/>
      <c r="Z477" s="155"/>
      <c r="AA477" s="156"/>
      <c r="AB477" s="156"/>
      <c r="AC477" s="155"/>
      <c r="AD477" s="155"/>
      <c r="AE477" s="155"/>
      <c r="AF477" s="156"/>
      <c r="AG477" s="156"/>
      <c r="AH477" s="155"/>
      <c r="AI477" s="155"/>
      <c r="AJ477" s="155"/>
      <c r="AK477" s="156"/>
      <c r="AL477" s="156"/>
      <c r="AM477" s="155"/>
      <c r="AN477" s="155"/>
      <c r="AO477" s="155"/>
      <c r="AP477" s="156"/>
      <c r="AQ477" s="156"/>
      <c r="AR477" s="155"/>
      <c r="AS477" s="155"/>
      <c r="AT477" s="155"/>
      <c r="AU477" s="156"/>
      <c r="AV477" s="156"/>
      <c r="AW477" s="155"/>
      <c r="AX477" s="155"/>
      <c r="AY477" s="155"/>
      <c r="AZ477" s="156"/>
      <c r="BA477" s="156"/>
      <c r="BB477" s="155"/>
      <c r="BC477" s="155"/>
      <c r="BD477" s="155"/>
      <c r="BE477" s="155"/>
      <c r="BF477" s="155"/>
      <c r="BG477" s="158"/>
      <c r="BH477" s="158"/>
      <c r="BI477" s="155"/>
      <c r="BJ477" s="155"/>
      <c r="BK477" s="159"/>
      <c r="BL477" s="156"/>
      <c r="BM477" s="156"/>
      <c r="BN477" s="156"/>
      <c r="BO477" s="156"/>
      <c r="BP477" s="160"/>
      <c r="BQ477" s="160"/>
      <c r="BR477" s="160"/>
      <c r="BS477" s="160"/>
    </row>
    <row r="478" spans="1:71" x14ac:dyDescent="0.25">
      <c r="A478" s="154"/>
      <c r="B478" s="155"/>
      <c r="C478" s="155"/>
      <c r="D478" s="155"/>
      <c r="E478" s="156"/>
      <c r="F478" s="156"/>
      <c r="G478" s="155"/>
      <c r="H478" s="155"/>
      <c r="I478" s="155"/>
      <c r="J478" s="157"/>
      <c r="K478" s="157"/>
      <c r="L478" s="155"/>
      <c r="M478" s="155"/>
      <c r="N478" s="155"/>
      <c r="O478" s="156"/>
      <c r="P478" s="156"/>
      <c r="Q478" s="155"/>
      <c r="R478" s="155"/>
      <c r="S478" s="155"/>
      <c r="T478" s="156"/>
      <c r="U478" s="156"/>
      <c r="V478" s="155"/>
      <c r="W478" s="155"/>
      <c r="X478" s="155"/>
      <c r="Y478" s="155"/>
      <c r="Z478" s="155"/>
      <c r="AA478" s="156"/>
      <c r="AB478" s="156"/>
      <c r="AC478" s="155"/>
      <c r="AD478" s="155"/>
      <c r="AE478" s="155"/>
      <c r="AF478" s="156"/>
      <c r="AG478" s="156"/>
      <c r="AH478" s="155"/>
      <c r="AI478" s="155"/>
      <c r="AJ478" s="155"/>
      <c r="AK478" s="156"/>
      <c r="AL478" s="156"/>
      <c r="AM478" s="155"/>
      <c r="AN478" s="155"/>
      <c r="AO478" s="155"/>
      <c r="AP478" s="156"/>
      <c r="AQ478" s="156"/>
      <c r="AR478" s="155"/>
      <c r="AS478" s="155"/>
      <c r="AT478" s="155"/>
      <c r="AU478" s="156"/>
      <c r="AV478" s="156"/>
      <c r="AW478" s="155"/>
      <c r="AX478" s="155"/>
      <c r="AY478" s="155"/>
      <c r="AZ478" s="156"/>
      <c r="BA478" s="156"/>
      <c r="BB478" s="155"/>
      <c r="BC478" s="155"/>
      <c r="BD478" s="155"/>
      <c r="BE478" s="155"/>
      <c r="BF478" s="155"/>
      <c r="BG478" s="158"/>
      <c r="BH478" s="158"/>
      <c r="BI478" s="155"/>
      <c r="BJ478" s="155"/>
      <c r="BK478" s="159"/>
      <c r="BL478" s="156"/>
      <c r="BM478" s="156"/>
      <c r="BN478" s="156"/>
      <c r="BO478" s="156"/>
      <c r="BP478" s="160"/>
      <c r="BQ478" s="160"/>
      <c r="BR478" s="160"/>
      <c r="BS478" s="160"/>
    </row>
    <row r="479" spans="1:71" x14ac:dyDescent="0.25">
      <c r="A479" s="154"/>
      <c r="B479" s="155"/>
      <c r="C479" s="155"/>
      <c r="D479" s="155"/>
      <c r="E479" s="156"/>
      <c r="F479" s="156"/>
      <c r="G479" s="155"/>
      <c r="H479" s="155"/>
      <c r="I479" s="155"/>
      <c r="J479" s="157"/>
      <c r="K479" s="157"/>
      <c r="L479" s="155"/>
      <c r="M479" s="155"/>
      <c r="N479" s="155"/>
      <c r="O479" s="156"/>
      <c r="P479" s="156"/>
      <c r="Q479" s="155"/>
      <c r="R479" s="155"/>
      <c r="S479" s="155"/>
      <c r="T479" s="156"/>
      <c r="U479" s="156"/>
      <c r="V479" s="155"/>
      <c r="W479" s="155"/>
      <c r="X479" s="155"/>
      <c r="Y479" s="155"/>
      <c r="Z479" s="155"/>
      <c r="AA479" s="156"/>
      <c r="AB479" s="156"/>
      <c r="AC479" s="155"/>
      <c r="AD479" s="155"/>
      <c r="AE479" s="155"/>
      <c r="AF479" s="156"/>
      <c r="AG479" s="156"/>
      <c r="AH479" s="155"/>
      <c r="AI479" s="155"/>
      <c r="AJ479" s="155"/>
      <c r="AK479" s="156"/>
      <c r="AL479" s="156"/>
      <c r="AM479" s="155"/>
      <c r="AN479" s="155"/>
      <c r="AO479" s="155"/>
      <c r="AP479" s="156"/>
      <c r="AQ479" s="156"/>
      <c r="AR479" s="155"/>
      <c r="AS479" s="155"/>
      <c r="AT479" s="155"/>
      <c r="AU479" s="156"/>
      <c r="AV479" s="156"/>
      <c r="AW479" s="155"/>
      <c r="AX479" s="155"/>
      <c r="AY479" s="155"/>
      <c r="AZ479" s="156"/>
      <c r="BA479" s="156"/>
      <c r="BB479" s="155"/>
      <c r="BC479" s="155"/>
      <c r="BD479" s="155"/>
      <c r="BE479" s="155"/>
      <c r="BF479" s="155"/>
      <c r="BG479" s="158"/>
      <c r="BH479" s="158"/>
      <c r="BI479" s="155"/>
      <c r="BJ479" s="155"/>
      <c r="BK479" s="159"/>
      <c r="BL479" s="156"/>
      <c r="BM479" s="156"/>
      <c r="BN479" s="156"/>
      <c r="BO479" s="156"/>
      <c r="BP479" s="160"/>
      <c r="BQ479" s="160"/>
      <c r="BR479" s="160"/>
      <c r="BS479" s="160"/>
    </row>
    <row r="480" spans="1:71" x14ac:dyDescent="0.25">
      <c r="A480" s="154"/>
      <c r="B480" s="155"/>
      <c r="C480" s="155"/>
      <c r="D480" s="155"/>
      <c r="E480" s="156"/>
      <c r="F480" s="156"/>
      <c r="G480" s="155"/>
      <c r="H480" s="155"/>
      <c r="I480" s="155"/>
      <c r="J480" s="157"/>
      <c r="K480" s="157"/>
      <c r="L480" s="155"/>
      <c r="M480" s="155"/>
      <c r="N480" s="155"/>
      <c r="O480" s="156"/>
      <c r="P480" s="156"/>
      <c r="Q480" s="155"/>
      <c r="R480" s="155"/>
      <c r="S480" s="155"/>
      <c r="T480" s="156"/>
      <c r="U480" s="156"/>
      <c r="V480" s="155"/>
      <c r="W480" s="155"/>
      <c r="X480" s="155"/>
      <c r="Y480" s="155"/>
      <c r="Z480" s="155"/>
      <c r="AA480" s="156"/>
      <c r="AB480" s="156"/>
      <c r="AC480" s="155"/>
      <c r="AD480" s="155"/>
      <c r="AE480" s="155"/>
      <c r="AF480" s="156"/>
      <c r="AG480" s="156"/>
      <c r="AH480" s="155"/>
      <c r="AI480" s="155"/>
      <c r="AJ480" s="155"/>
      <c r="AK480" s="156"/>
      <c r="AL480" s="156"/>
      <c r="AM480" s="155"/>
      <c r="AN480" s="155"/>
      <c r="AO480" s="155"/>
      <c r="AP480" s="156"/>
      <c r="AQ480" s="156"/>
      <c r="AR480" s="155"/>
      <c r="AS480" s="155"/>
      <c r="AT480" s="155"/>
      <c r="AU480" s="156"/>
      <c r="AV480" s="156"/>
      <c r="AW480" s="155"/>
      <c r="AX480" s="155"/>
      <c r="AY480" s="155"/>
      <c r="AZ480" s="156"/>
      <c r="BA480" s="156"/>
      <c r="BB480" s="155"/>
      <c r="BC480" s="155"/>
      <c r="BD480" s="155"/>
      <c r="BE480" s="155"/>
      <c r="BF480" s="155"/>
      <c r="BG480" s="158"/>
      <c r="BH480" s="158"/>
      <c r="BI480" s="155"/>
      <c r="BJ480" s="155"/>
      <c r="BK480" s="159"/>
      <c r="BL480" s="156"/>
      <c r="BM480" s="156"/>
      <c r="BN480" s="156"/>
      <c r="BO480" s="156"/>
      <c r="BP480" s="160"/>
      <c r="BQ480" s="160"/>
      <c r="BR480" s="160"/>
      <c r="BS480" s="160"/>
    </row>
    <row r="481" spans="1:71" x14ac:dyDescent="0.25">
      <c r="A481" s="154"/>
      <c r="B481" s="155"/>
      <c r="C481" s="155"/>
      <c r="D481" s="155"/>
      <c r="E481" s="156"/>
      <c r="F481" s="156"/>
      <c r="G481" s="155"/>
      <c r="H481" s="155"/>
      <c r="I481" s="155"/>
      <c r="J481" s="157"/>
      <c r="K481" s="157"/>
      <c r="L481" s="155"/>
      <c r="M481" s="155"/>
      <c r="N481" s="155"/>
      <c r="O481" s="156"/>
      <c r="P481" s="156"/>
      <c r="Q481" s="155"/>
      <c r="R481" s="155"/>
      <c r="S481" s="155"/>
      <c r="T481" s="156"/>
      <c r="U481" s="156"/>
      <c r="V481" s="155"/>
      <c r="W481" s="155"/>
      <c r="X481" s="155"/>
      <c r="Y481" s="155"/>
      <c r="Z481" s="155"/>
      <c r="AA481" s="156"/>
      <c r="AB481" s="156"/>
      <c r="AC481" s="155"/>
      <c r="AD481" s="155"/>
      <c r="AE481" s="155"/>
      <c r="AF481" s="156"/>
      <c r="AG481" s="156"/>
      <c r="AH481" s="155"/>
      <c r="AI481" s="155"/>
      <c r="AJ481" s="155"/>
      <c r="AK481" s="156"/>
      <c r="AL481" s="156"/>
      <c r="AM481" s="155"/>
      <c r="AN481" s="155"/>
      <c r="AO481" s="155"/>
      <c r="AP481" s="156"/>
      <c r="AQ481" s="156"/>
      <c r="AR481" s="155"/>
      <c r="AS481" s="155"/>
      <c r="AT481" s="155"/>
      <c r="AU481" s="156"/>
      <c r="AV481" s="156"/>
      <c r="AW481" s="155"/>
      <c r="AX481" s="155"/>
      <c r="AY481" s="155"/>
      <c r="AZ481" s="156"/>
      <c r="BA481" s="156"/>
      <c r="BB481" s="155"/>
      <c r="BC481" s="155"/>
      <c r="BD481" s="155"/>
      <c r="BE481" s="155"/>
      <c r="BF481" s="155"/>
      <c r="BG481" s="158"/>
      <c r="BH481" s="158"/>
      <c r="BI481" s="155"/>
      <c r="BJ481" s="155"/>
      <c r="BK481" s="159"/>
      <c r="BL481" s="156"/>
      <c r="BM481" s="156"/>
      <c r="BN481" s="156"/>
      <c r="BO481" s="156"/>
      <c r="BP481" s="160"/>
      <c r="BQ481" s="160"/>
      <c r="BR481" s="160"/>
      <c r="BS481" s="160"/>
    </row>
    <row r="482" spans="1:71" x14ac:dyDescent="0.25">
      <c r="A482" s="154"/>
      <c r="B482" s="155"/>
      <c r="C482" s="155"/>
      <c r="D482" s="155"/>
      <c r="E482" s="156"/>
      <c r="F482" s="156"/>
      <c r="G482" s="155"/>
      <c r="H482" s="155"/>
      <c r="I482" s="155"/>
      <c r="J482" s="157"/>
      <c r="K482" s="157"/>
      <c r="L482" s="155"/>
      <c r="M482" s="155"/>
      <c r="N482" s="155"/>
      <c r="O482" s="156"/>
      <c r="P482" s="156"/>
      <c r="Q482" s="155"/>
      <c r="R482" s="155"/>
      <c r="S482" s="155"/>
      <c r="T482" s="156"/>
      <c r="U482" s="156"/>
      <c r="V482" s="155"/>
      <c r="W482" s="155"/>
      <c r="X482" s="155"/>
      <c r="Y482" s="155"/>
      <c r="Z482" s="155"/>
      <c r="AA482" s="156"/>
      <c r="AB482" s="156"/>
      <c r="AC482" s="155"/>
      <c r="AD482" s="155"/>
      <c r="AE482" s="155"/>
      <c r="AF482" s="156"/>
      <c r="AG482" s="156"/>
      <c r="AH482" s="155"/>
      <c r="AI482" s="155"/>
      <c r="AJ482" s="155"/>
      <c r="AK482" s="156"/>
      <c r="AL482" s="156"/>
      <c r="AM482" s="155"/>
      <c r="AN482" s="155"/>
      <c r="AO482" s="155"/>
      <c r="AP482" s="156"/>
      <c r="AQ482" s="156"/>
      <c r="AR482" s="155"/>
      <c r="AS482" s="155"/>
      <c r="AT482" s="155"/>
      <c r="AU482" s="156"/>
      <c r="AV482" s="156"/>
      <c r="AW482" s="155"/>
      <c r="AX482" s="155"/>
      <c r="AY482" s="155"/>
      <c r="AZ482" s="156"/>
      <c r="BA482" s="156"/>
      <c r="BB482" s="155"/>
      <c r="BC482" s="155"/>
      <c r="BD482" s="155"/>
      <c r="BE482" s="155"/>
      <c r="BF482" s="155"/>
      <c r="BG482" s="158"/>
      <c r="BH482" s="158"/>
      <c r="BI482" s="155"/>
      <c r="BJ482" s="155"/>
      <c r="BK482" s="159"/>
      <c r="BL482" s="156"/>
      <c r="BM482" s="156"/>
      <c r="BN482" s="156"/>
      <c r="BO482" s="156"/>
      <c r="BP482" s="160"/>
      <c r="BQ482" s="160"/>
      <c r="BR482" s="160"/>
      <c r="BS482" s="160"/>
    </row>
    <row r="483" spans="1:71" x14ac:dyDescent="0.25">
      <c r="A483" s="154"/>
      <c r="B483" s="155"/>
      <c r="C483" s="155"/>
      <c r="D483" s="155"/>
      <c r="E483" s="156"/>
      <c r="F483" s="156"/>
      <c r="G483" s="155"/>
      <c r="H483" s="155"/>
      <c r="I483" s="155"/>
      <c r="J483" s="157"/>
      <c r="K483" s="157"/>
      <c r="L483" s="155"/>
      <c r="M483" s="155"/>
      <c r="N483" s="155"/>
      <c r="O483" s="156"/>
      <c r="P483" s="156"/>
      <c r="Q483" s="155"/>
      <c r="R483" s="155"/>
      <c r="S483" s="155"/>
      <c r="T483" s="156"/>
      <c r="U483" s="156"/>
      <c r="V483" s="155"/>
      <c r="W483" s="155"/>
      <c r="X483" s="155"/>
      <c r="Y483" s="155"/>
      <c r="Z483" s="155"/>
      <c r="AA483" s="156"/>
      <c r="AB483" s="156"/>
      <c r="AC483" s="155"/>
      <c r="AD483" s="155"/>
      <c r="AE483" s="155"/>
      <c r="AF483" s="156"/>
      <c r="AG483" s="156"/>
      <c r="AH483" s="155"/>
      <c r="AI483" s="155"/>
      <c r="AJ483" s="155"/>
      <c r="AK483" s="156"/>
      <c r="AL483" s="156"/>
      <c r="AM483" s="155"/>
      <c r="AN483" s="155"/>
      <c r="AO483" s="155"/>
      <c r="AP483" s="156"/>
      <c r="AQ483" s="156"/>
      <c r="AR483" s="155"/>
      <c r="AS483" s="155"/>
      <c r="AT483" s="155"/>
      <c r="AU483" s="156"/>
      <c r="AV483" s="156"/>
      <c r="AW483" s="155"/>
      <c r="AX483" s="155"/>
      <c r="AY483" s="155"/>
      <c r="AZ483" s="156"/>
      <c r="BA483" s="156"/>
      <c r="BB483" s="155"/>
      <c r="BC483" s="155"/>
      <c r="BD483" s="155"/>
      <c r="BE483" s="155"/>
      <c r="BF483" s="155"/>
      <c r="BG483" s="158"/>
      <c r="BH483" s="158"/>
      <c r="BI483" s="155"/>
      <c r="BJ483" s="155"/>
      <c r="BK483" s="159"/>
      <c r="BL483" s="156"/>
      <c r="BM483" s="156"/>
      <c r="BN483" s="156"/>
      <c r="BO483" s="156"/>
      <c r="BP483" s="160"/>
      <c r="BQ483" s="160"/>
      <c r="BR483" s="160"/>
      <c r="BS483" s="160"/>
    </row>
    <row r="484" spans="1:71" x14ac:dyDescent="0.25">
      <c r="A484" s="154"/>
      <c r="B484" s="155"/>
      <c r="C484" s="155"/>
      <c r="D484" s="155"/>
      <c r="E484" s="156"/>
      <c r="F484" s="156"/>
      <c r="G484" s="155"/>
      <c r="H484" s="155"/>
      <c r="I484" s="155"/>
      <c r="J484" s="157"/>
      <c r="K484" s="157"/>
      <c r="L484" s="155"/>
      <c r="M484" s="155"/>
      <c r="N484" s="155"/>
      <c r="O484" s="156"/>
      <c r="P484" s="156"/>
      <c r="Q484" s="155"/>
      <c r="R484" s="155"/>
      <c r="S484" s="155"/>
      <c r="T484" s="156"/>
      <c r="U484" s="156"/>
      <c r="V484" s="155"/>
      <c r="W484" s="155"/>
      <c r="X484" s="155"/>
      <c r="Y484" s="155"/>
      <c r="Z484" s="155"/>
      <c r="AA484" s="156"/>
      <c r="AB484" s="156"/>
      <c r="AC484" s="155"/>
      <c r="AD484" s="155"/>
      <c r="AE484" s="155"/>
      <c r="AF484" s="156"/>
      <c r="AG484" s="156"/>
      <c r="AH484" s="155"/>
      <c r="AI484" s="155"/>
      <c r="AJ484" s="155"/>
      <c r="AK484" s="156"/>
      <c r="AL484" s="156"/>
      <c r="AM484" s="155"/>
      <c r="AN484" s="155"/>
      <c r="AO484" s="155"/>
      <c r="AP484" s="156"/>
      <c r="AQ484" s="156"/>
      <c r="AR484" s="155"/>
      <c r="AS484" s="155"/>
      <c r="AT484" s="155"/>
      <c r="AU484" s="156"/>
      <c r="AV484" s="156"/>
      <c r="AW484" s="155"/>
      <c r="AX484" s="155"/>
      <c r="AY484" s="155"/>
      <c r="AZ484" s="156"/>
      <c r="BA484" s="156"/>
      <c r="BB484" s="155"/>
      <c r="BC484" s="155"/>
      <c r="BD484" s="155"/>
      <c r="BE484" s="155"/>
      <c r="BF484" s="155"/>
      <c r="BG484" s="158"/>
      <c r="BH484" s="158"/>
      <c r="BI484" s="155"/>
      <c r="BJ484" s="155"/>
      <c r="BK484" s="159"/>
      <c r="BL484" s="156"/>
      <c r="BM484" s="156"/>
      <c r="BN484" s="156"/>
      <c r="BO484" s="156"/>
      <c r="BP484" s="160"/>
      <c r="BQ484" s="160"/>
      <c r="BR484" s="160"/>
      <c r="BS484" s="160"/>
    </row>
    <row r="485" spans="1:71" x14ac:dyDescent="0.25">
      <c r="A485" s="154"/>
      <c r="B485" s="155"/>
      <c r="C485" s="155"/>
      <c r="D485" s="155"/>
      <c r="E485" s="156"/>
      <c r="F485" s="156"/>
      <c r="G485" s="155"/>
      <c r="H485" s="155"/>
      <c r="I485" s="155"/>
      <c r="J485" s="157"/>
      <c r="K485" s="157"/>
      <c r="L485" s="155"/>
      <c r="M485" s="155"/>
      <c r="N485" s="155"/>
      <c r="O485" s="156"/>
      <c r="P485" s="156"/>
      <c r="Q485" s="155"/>
      <c r="R485" s="155"/>
      <c r="S485" s="155"/>
      <c r="T485" s="156"/>
      <c r="U485" s="156"/>
      <c r="V485" s="155"/>
      <c r="W485" s="155"/>
      <c r="X485" s="155"/>
      <c r="Y485" s="155"/>
      <c r="Z485" s="155"/>
      <c r="AA485" s="156"/>
      <c r="AB485" s="156"/>
      <c r="AC485" s="155"/>
      <c r="AD485" s="155"/>
      <c r="AE485" s="155"/>
      <c r="AF485" s="156"/>
      <c r="AG485" s="156"/>
      <c r="AH485" s="155"/>
      <c r="AI485" s="155"/>
      <c r="AJ485" s="155"/>
      <c r="AK485" s="156"/>
      <c r="AL485" s="156"/>
      <c r="AM485" s="155"/>
      <c r="AN485" s="155"/>
      <c r="AO485" s="155"/>
      <c r="AP485" s="156"/>
      <c r="AQ485" s="156"/>
      <c r="AR485" s="155"/>
      <c r="AS485" s="155"/>
      <c r="AT485" s="155"/>
      <c r="AU485" s="156"/>
      <c r="AV485" s="156"/>
      <c r="AW485" s="155"/>
      <c r="AX485" s="155"/>
      <c r="AY485" s="155"/>
      <c r="AZ485" s="156"/>
      <c r="BA485" s="156"/>
      <c r="BB485" s="155"/>
      <c r="BC485" s="155"/>
      <c r="BD485" s="155"/>
      <c r="BE485" s="155"/>
      <c r="BF485" s="155"/>
      <c r="BG485" s="158"/>
      <c r="BH485" s="158"/>
      <c r="BI485" s="155"/>
      <c r="BJ485" s="155"/>
      <c r="BK485" s="159"/>
      <c r="BL485" s="156"/>
      <c r="BM485" s="156"/>
      <c r="BN485" s="156"/>
      <c r="BO485" s="156"/>
      <c r="BP485" s="160"/>
      <c r="BQ485" s="160"/>
      <c r="BR485" s="160"/>
      <c r="BS485" s="160"/>
    </row>
    <row r="486" spans="1:71" x14ac:dyDescent="0.25">
      <c r="A486" s="154"/>
      <c r="B486" s="155"/>
      <c r="C486" s="155"/>
      <c r="D486" s="155"/>
      <c r="E486" s="156"/>
      <c r="F486" s="156"/>
      <c r="G486" s="155"/>
      <c r="H486" s="155"/>
      <c r="I486" s="155"/>
      <c r="J486" s="157"/>
      <c r="K486" s="157"/>
      <c r="L486" s="155"/>
      <c r="M486" s="155"/>
      <c r="N486" s="155"/>
      <c r="O486" s="156"/>
      <c r="P486" s="156"/>
      <c r="Q486" s="155"/>
      <c r="R486" s="155"/>
      <c r="S486" s="155"/>
      <c r="T486" s="156"/>
      <c r="U486" s="156"/>
      <c r="V486" s="155"/>
      <c r="W486" s="155"/>
      <c r="X486" s="155"/>
      <c r="Y486" s="155"/>
      <c r="Z486" s="155"/>
      <c r="AA486" s="156"/>
      <c r="AB486" s="156"/>
      <c r="AC486" s="155"/>
      <c r="AD486" s="155"/>
      <c r="AE486" s="155"/>
      <c r="AF486" s="156"/>
      <c r="AG486" s="156"/>
      <c r="AH486" s="155"/>
      <c r="AI486" s="155"/>
      <c r="AJ486" s="155"/>
      <c r="AK486" s="156"/>
      <c r="AL486" s="156"/>
      <c r="AM486" s="155"/>
      <c r="AN486" s="155"/>
      <c r="AO486" s="155"/>
      <c r="AP486" s="156"/>
      <c r="AQ486" s="156"/>
      <c r="AR486" s="155"/>
      <c r="AS486" s="155"/>
      <c r="AT486" s="155"/>
      <c r="AU486" s="156"/>
      <c r="AV486" s="156"/>
      <c r="AW486" s="155"/>
      <c r="AX486" s="155"/>
      <c r="AY486" s="155"/>
      <c r="AZ486" s="156"/>
      <c r="BA486" s="156"/>
      <c r="BB486" s="155"/>
      <c r="BC486" s="155"/>
      <c r="BD486" s="155"/>
      <c r="BE486" s="155"/>
      <c r="BF486" s="155"/>
      <c r="BG486" s="158"/>
      <c r="BH486" s="158"/>
      <c r="BI486" s="155"/>
      <c r="BJ486" s="155"/>
      <c r="BK486" s="159"/>
      <c r="BL486" s="156"/>
      <c r="BM486" s="156"/>
      <c r="BN486" s="156"/>
      <c r="BO486" s="156"/>
      <c r="BP486" s="160"/>
      <c r="BQ486" s="160"/>
      <c r="BR486" s="160"/>
      <c r="BS486" s="160"/>
    </row>
    <row r="487" spans="1:71" x14ac:dyDescent="0.25">
      <c r="A487" s="154"/>
      <c r="B487" s="155"/>
      <c r="C487" s="155"/>
      <c r="D487" s="155"/>
      <c r="E487" s="156"/>
      <c r="F487" s="156"/>
      <c r="G487" s="155"/>
      <c r="H487" s="155"/>
      <c r="I487" s="155"/>
      <c r="J487" s="157"/>
      <c r="K487" s="157"/>
      <c r="L487" s="155"/>
      <c r="M487" s="155"/>
      <c r="N487" s="155"/>
      <c r="O487" s="156"/>
      <c r="P487" s="156"/>
      <c r="Q487" s="155"/>
      <c r="R487" s="155"/>
      <c r="S487" s="155"/>
      <c r="T487" s="156"/>
      <c r="U487" s="156"/>
      <c r="V487" s="155"/>
      <c r="W487" s="155"/>
      <c r="X487" s="155"/>
      <c r="Y487" s="155"/>
      <c r="Z487" s="155"/>
      <c r="AA487" s="156"/>
      <c r="AB487" s="156"/>
      <c r="AC487" s="155"/>
      <c r="AD487" s="155"/>
      <c r="AE487" s="155"/>
      <c r="AF487" s="156"/>
      <c r="AG487" s="156"/>
      <c r="AH487" s="155"/>
      <c r="AI487" s="155"/>
      <c r="AJ487" s="155"/>
      <c r="AK487" s="156"/>
      <c r="AL487" s="156"/>
      <c r="AM487" s="155"/>
      <c r="AN487" s="155"/>
      <c r="AO487" s="155"/>
      <c r="AP487" s="156"/>
      <c r="AQ487" s="156"/>
      <c r="AR487" s="155"/>
      <c r="AS487" s="155"/>
      <c r="AT487" s="155"/>
      <c r="AU487" s="156"/>
      <c r="AV487" s="156"/>
      <c r="AW487" s="155"/>
      <c r="AX487" s="155"/>
      <c r="AY487" s="155"/>
      <c r="AZ487" s="156"/>
      <c r="BA487" s="156"/>
      <c r="BB487" s="155"/>
      <c r="BC487" s="155"/>
      <c r="BD487" s="155"/>
      <c r="BE487" s="155"/>
      <c r="BF487" s="155"/>
      <c r="BG487" s="158"/>
      <c r="BH487" s="158"/>
      <c r="BI487" s="155"/>
      <c r="BJ487" s="155"/>
      <c r="BK487" s="159"/>
      <c r="BL487" s="156"/>
      <c r="BM487" s="156"/>
      <c r="BN487" s="156"/>
      <c r="BO487" s="156"/>
      <c r="BP487" s="160"/>
      <c r="BQ487" s="160"/>
      <c r="BR487" s="160"/>
      <c r="BS487" s="160"/>
    </row>
    <row r="488" spans="1:71" x14ac:dyDescent="0.25">
      <c r="A488" s="154"/>
      <c r="B488" s="155"/>
      <c r="C488" s="155"/>
      <c r="D488" s="155"/>
      <c r="E488" s="156"/>
      <c r="F488" s="156"/>
      <c r="G488" s="155"/>
      <c r="H488" s="155"/>
      <c r="I488" s="155"/>
      <c r="J488" s="157"/>
      <c r="K488" s="157"/>
      <c r="L488" s="155"/>
      <c r="M488" s="155"/>
      <c r="N488" s="155"/>
      <c r="O488" s="156"/>
      <c r="P488" s="156"/>
      <c r="Q488" s="155"/>
      <c r="R488" s="155"/>
      <c r="S488" s="155"/>
      <c r="T488" s="156"/>
      <c r="U488" s="156"/>
      <c r="V488" s="155"/>
      <c r="W488" s="155"/>
      <c r="X488" s="155"/>
      <c r="Y488" s="155"/>
      <c r="Z488" s="155"/>
      <c r="AA488" s="156"/>
      <c r="AB488" s="156"/>
      <c r="AC488" s="155"/>
      <c r="AD488" s="155"/>
      <c r="AE488" s="155"/>
      <c r="AF488" s="156"/>
      <c r="AG488" s="156"/>
      <c r="AH488" s="155"/>
      <c r="AI488" s="155"/>
      <c r="AJ488" s="155"/>
      <c r="AK488" s="156"/>
      <c r="AL488" s="156"/>
      <c r="AM488" s="155"/>
      <c r="AN488" s="155"/>
      <c r="AO488" s="155"/>
      <c r="AP488" s="156"/>
      <c r="AQ488" s="156"/>
      <c r="AR488" s="155"/>
      <c r="AS488" s="155"/>
      <c r="AT488" s="155"/>
      <c r="AU488" s="156"/>
      <c r="AV488" s="156"/>
      <c r="AW488" s="155"/>
      <c r="AX488" s="155"/>
      <c r="AY488" s="155"/>
      <c r="AZ488" s="156"/>
      <c r="BA488" s="156"/>
      <c r="BB488" s="155"/>
      <c r="BC488" s="155"/>
      <c r="BD488" s="155"/>
      <c r="BE488" s="155"/>
      <c r="BF488" s="155"/>
      <c r="BG488" s="158"/>
      <c r="BH488" s="158"/>
      <c r="BI488" s="155"/>
      <c r="BJ488" s="155"/>
      <c r="BK488" s="159"/>
      <c r="BL488" s="156"/>
      <c r="BM488" s="156"/>
      <c r="BN488" s="156"/>
      <c r="BO488" s="156"/>
      <c r="BP488" s="160"/>
      <c r="BQ488" s="160"/>
      <c r="BR488" s="160"/>
      <c r="BS488" s="160"/>
    </row>
    <row r="489" spans="1:71" x14ac:dyDescent="0.25">
      <c r="A489" s="154"/>
      <c r="B489" s="155"/>
      <c r="C489" s="155"/>
      <c r="D489" s="155"/>
      <c r="E489" s="156"/>
      <c r="F489" s="156"/>
      <c r="G489" s="155"/>
      <c r="H489" s="155"/>
      <c r="I489" s="155"/>
      <c r="J489" s="157"/>
      <c r="K489" s="157"/>
      <c r="L489" s="155"/>
      <c r="M489" s="155"/>
      <c r="N489" s="155"/>
      <c r="O489" s="156"/>
      <c r="P489" s="156"/>
      <c r="Q489" s="155"/>
      <c r="R489" s="155"/>
      <c r="S489" s="155"/>
      <c r="T489" s="156"/>
      <c r="U489" s="156"/>
      <c r="V489" s="155"/>
      <c r="W489" s="155"/>
      <c r="X489" s="155"/>
      <c r="Y489" s="155"/>
      <c r="Z489" s="155"/>
      <c r="AA489" s="156"/>
      <c r="AB489" s="156"/>
      <c r="AC489" s="155"/>
      <c r="AD489" s="155"/>
      <c r="AE489" s="155"/>
      <c r="AF489" s="156"/>
      <c r="AG489" s="156"/>
      <c r="AH489" s="155"/>
      <c r="AI489" s="155"/>
      <c r="AJ489" s="155"/>
      <c r="AK489" s="156"/>
      <c r="AL489" s="156"/>
      <c r="AM489" s="155"/>
      <c r="AN489" s="155"/>
      <c r="AO489" s="155"/>
      <c r="AP489" s="156"/>
      <c r="AQ489" s="156"/>
      <c r="AR489" s="155"/>
      <c r="AS489" s="155"/>
      <c r="AT489" s="155"/>
      <c r="AU489" s="156"/>
      <c r="AV489" s="156"/>
      <c r="AW489" s="155"/>
      <c r="AX489" s="155"/>
      <c r="AY489" s="155"/>
      <c r="AZ489" s="156"/>
      <c r="BA489" s="156"/>
      <c r="BB489" s="155"/>
      <c r="BC489" s="155"/>
      <c r="BD489" s="155"/>
      <c r="BE489" s="155"/>
      <c r="BF489" s="155"/>
      <c r="BG489" s="158"/>
      <c r="BH489" s="158"/>
      <c r="BI489" s="155"/>
      <c r="BJ489" s="155"/>
      <c r="BK489" s="159"/>
      <c r="BL489" s="156"/>
      <c r="BM489" s="156"/>
      <c r="BN489" s="156"/>
      <c r="BO489" s="156"/>
      <c r="BP489" s="160"/>
      <c r="BQ489" s="160"/>
      <c r="BR489" s="160"/>
      <c r="BS489" s="160"/>
    </row>
    <row r="490" spans="1:71" x14ac:dyDescent="0.25">
      <c r="A490" s="154"/>
      <c r="B490" s="155"/>
      <c r="C490" s="155"/>
      <c r="D490" s="155"/>
      <c r="E490" s="156"/>
      <c r="F490" s="156"/>
      <c r="G490" s="155"/>
      <c r="H490" s="155"/>
      <c r="I490" s="155"/>
      <c r="J490" s="157"/>
      <c r="K490" s="157"/>
      <c r="L490" s="155"/>
      <c r="M490" s="155"/>
      <c r="N490" s="155"/>
      <c r="O490" s="156"/>
      <c r="P490" s="156"/>
      <c r="Q490" s="155"/>
      <c r="R490" s="155"/>
      <c r="S490" s="155"/>
      <c r="T490" s="156"/>
      <c r="U490" s="156"/>
      <c r="V490" s="155"/>
      <c r="W490" s="155"/>
      <c r="X490" s="155"/>
      <c r="Y490" s="155"/>
      <c r="Z490" s="155"/>
      <c r="AA490" s="156"/>
      <c r="AB490" s="156"/>
      <c r="AC490" s="155"/>
      <c r="AD490" s="155"/>
      <c r="AE490" s="155"/>
      <c r="AF490" s="156"/>
      <c r="AG490" s="156"/>
      <c r="AH490" s="155"/>
      <c r="AI490" s="155"/>
      <c r="AJ490" s="155"/>
      <c r="AK490" s="156"/>
      <c r="AL490" s="156"/>
      <c r="AM490" s="155"/>
      <c r="AN490" s="155"/>
      <c r="AO490" s="155"/>
      <c r="AP490" s="156"/>
      <c r="AQ490" s="156"/>
      <c r="AR490" s="155"/>
      <c r="AS490" s="155"/>
      <c r="AT490" s="155"/>
      <c r="AU490" s="156"/>
      <c r="AV490" s="156"/>
      <c r="AW490" s="155"/>
      <c r="AX490" s="155"/>
      <c r="AY490" s="155"/>
      <c r="AZ490" s="156"/>
      <c r="BA490" s="156"/>
      <c r="BB490" s="155"/>
      <c r="BC490" s="155"/>
      <c r="BD490" s="155"/>
      <c r="BE490" s="155"/>
      <c r="BF490" s="155"/>
      <c r="BG490" s="158"/>
      <c r="BH490" s="158"/>
      <c r="BI490" s="155"/>
      <c r="BJ490" s="155"/>
      <c r="BK490" s="159"/>
      <c r="BL490" s="156"/>
      <c r="BM490" s="156"/>
      <c r="BN490" s="156"/>
      <c r="BO490" s="156"/>
      <c r="BP490" s="160"/>
      <c r="BQ490" s="160"/>
      <c r="BR490" s="160"/>
      <c r="BS490" s="160"/>
    </row>
    <row r="491" spans="1:71" x14ac:dyDescent="0.25">
      <c r="A491" s="154"/>
      <c r="B491" s="155"/>
      <c r="C491" s="155"/>
      <c r="D491" s="155"/>
      <c r="E491" s="156"/>
      <c r="F491" s="156"/>
      <c r="G491" s="155"/>
      <c r="H491" s="155"/>
      <c r="I491" s="155"/>
      <c r="J491" s="157"/>
      <c r="K491" s="157"/>
      <c r="L491" s="155"/>
      <c r="M491" s="155"/>
      <c r="N491" s="155"/>
      <c r="O491" s="156"/>
      <c r="P491" s="156"/>
      <c r="Q491" s="155"/>
      <c r="R491" s="155"/>
      <c r="S491" s="155"/>
      <c r="T491" s="156"/>
      <c r="U491" s="156"/>
      <c r="V491" s="155"/>
      <c r="W491" s="155"/>
      <c r="X491" s="155"/>
      <c r="Y491" s="155"/>
      <c r="Z491" s="155"/>
      <c r="AA491" s="156"/>
      <c r="AB491" s="156"/>
      <c r="AC491" s="155"/>
      <c r="AD491" s="155"/>
      <c r="AE491" s="155"/>
      <c r="AF491" s="156"/>
      <c r="AG491" s="156"/>
      <c r="AH491" s="155"/>
      <c r="AI491" s="155"/>
      <c r="AJ491" s="155"/>
      <c r="AK491" s="156"/>
      <c r="AL491" s="156"/>
      <c r="AM491" s="155"/>
      <c r="AN491" s="155"/>
      <c r="AO491" s="155"/>
      <c r="AP491" s="156"/>
      <c r="AQ491" s="156"/>
      <c r="AR491" s="155"/>
      <c r="AS491" s="155"/>
      <c r="AT491" s="155"/>
      <c r="AU491" s="156"/>
      <c r="AV491" s="156"/>
      <c r="AW491" s="155"/>
      <c r="AX491" s="155"/>
      <c r="AY491" s="155"/>
      <c r="AZ491" s="156"/>
      <c r="BA491" s="156"/>
      <c r="BB491" s="155"/>
      <c r="BC491" s="155"/>
      <c r="BD491" s="155"/>
      <c r="BE491" s="155"/>
      <c r="BF491" s="155"/>
      <c r="BG491" s="158"/>
      <c r="BH491" s="158"/>
      <c r="BI491" s="155"/>
      <c r="BJ491" s="155"/>
      <c r="BK491" s="159"/>
      <c r="BL491" s="156"/>
      <c r="BM491" s="156"/>
      <c r="BN491" s="156"/>
      <c r="BO491" s="156"/>
      <c r="BP491" s="160"/>
      <c r="BQ491" s="160"/>
      <c r="BR491" s="160"/>
      <c r="BS491" s="160"/>
    </row>
    <row r="492" spans="1:71" x14ac:dyDescent="0.25">
      <c r="A492" s="154"/>
      <c r="B492" s="155"/>
      <c r="C492" s="155"/>
      <c r="D492" s="155"/>
      <c r="E492" s="156"/>
      <c r="F492" s="156"/>
      <c r="G492" s="155"/>
      <c r="H492" s="155"/>
      <c r="I492" s="155"/>
      <c r="J492" s="157"/>
      <c r="K492" s="157"/>
      <c r="L492" s="155"/>
      <c r="M492" s="155"/>
      <c r="N492" s="155"/>
      <c r="O492" s="156"/>
      <c r="P492" s="156"/>
      <c r="Q492" s="155"/>
      <c r="R492" s="155"/>
      <c r="S492" s="155"/>
      <c r="T492" s="156"/>
      <c r="U492" s="156"/>
      <c r="V492" s="155"/>
      <c r="W492" s="155"/>
      <c r="X492" s="155"/>
      <c r="Y492" s="155"/>
      <c r="Z492" s="155"/>
      <c r="AA492" s="156"/>
      <c r="AB492" s="156"/>
      <c r="AC492" s="155"/>
      <c r="AD492" s="155"/>
      <c r="AE492" s="155"/>
      <c r="AF492" s="156"/>
      <c r="AG492" s="156"/>
      <c r="AH492" s="155"/>
      <c r="AI492" s="155"/>
      <c r="AJ492" s="155"/>
      <c r="AK492" s="156"/>
      <c r="AL492" s="156"/>
      <c r="AM492" s="155"/>
      <c r="AN492" s="155"/>
      <c r="AO492" s="155"/>
      <c r="AP492" s="156"/>
      <c r="AQ492" s="156"/>
      <c r="AR492" s="155"/>
      <c r="AS492" s="155"/>
      <c r="AT492" s="155"/>
      <c r="AU492" s="156"/>
      <c r="AV492" s="156"/>
      <c r="AW492" s="155"/>
      <c r="AX492" s="155"/>
      <c r="AY492" s="155"/>
      <c r="AZ492" s="156"/>
      <c r="BA492" s="156"/>
      <c r="BB492" s="155"/>
      <c r="BC492" s="155"/>
      <c r="BD492" s="155"/>
      <c r="BE492" s="155"/>
      <c r="BF492" s="155"/>
      <c r="BG492" s="158"/>
      <c r="BH492" s="158"/>
      <c r="BI492" s="155"/>
      <c r="BJ492" s="155"/>
      <c r="BK492" s="159"/>
      <c r="BL492" s="156"/>
      <c r="BM492" s="156"/>
      <c r="BN492" s="156"/>
      <c r="BO492" s="156"/>
      <c r="BP492" s="160"/>
      <c r="BQ492" s="160"/>
      <c r="BR492" s="160"/>
      <c r="BS492" s="160"/>
    </row>
    <row r="493" spans="1:71" x14ac:dyDescent="0.25">
      <c r="A493" s="154"/>
      <c r="B493" s="155"/>
      <c r="C493" s="155"/>
      <c r="D493" s="155"/>
      <c r="E493" s="156"/>
      <c r="F493" s="156"/>
      <c r="G493" s="155"/>
      <c r="H493" s="155"/>
      <c r="I493" s="155"/>
      <c r="J493" s="157"/>
      <c r="K493" s="157"/>
      <c r="L493" s="155"/>
      <c r="M493" s="155"/>
      <c r="N493" s="155"/>
      <c r="O493" s="156"/>
      <c r="P493" s="156"/>
      <c r="Q493" s="155"/>
      <c r="R493" s="155"/>
      <c r="S493" s="155"/>
      <c r="T493" s="156"/>
      <c r="U493" s="156"/>
      <c r="V493" s="155"/>
      <c r="W493" s="155"/>
      <c r="X493" s="155"/>
      <c r="Y493" s="155"/>
      <c r="Z493" s="155"/>
      <c r="AA493" s="156"/>
      <c r="AB493" s="156"/>
      <c r="AC493" s="155"/>
      <c r="AD493" s="155"/>
      <c r="AE493" s="155"/>
      <c r="AF493" s="156"/>
      <c r="AG493" s="156"/>
      <c r="AH493" s="155"/>
      <c r="AI493" s="155"/>
      <c r="AJ493" s="155"/>
      <c r="AK493" s="156"/>
      <c r="AL493" s="156"/>
      <c r="AM493" s="155"/>
      <c r="AN493" s="155"/>
      <c r="AO493" s="155"/>
      <c r="AP493" s="156"/>
      <c r="AQ493" s="156"/>
      <c r="AR493" s="155"/>
      <c r="AS493" s="155"/>
      <c r="AT493" s="155"/>
      <c r="AU493" s="156"/>
      <c r="AV493" s="156"/>
      <c r="AW493" s="155"/>
      <c r="AX493" s="155"/>
      <c r="AY493" s="155"/>
      <c r="AZ493" s="156"/>
      <c r="BA493" s="156"/>
      <c r="BB493" s="155"/>
      <c r="BC493" s="155"/>
      <c r="BD493" s="155"/>
      <c r="BE493" s="155"/>
      <c r="BF493" s="155"/>
      <c r="BG493" s="158"/>
      <c r="BH493" s="158"/>
      <c r="BI493" s="155"/>
      <c r="BJ493" s="155"/>
      <c r="BK493" s="159"/>
      <c r="BL493" s="156"/>
      <c r="BM493" s="156"/>
      <c r="BN493" s="156"/>
      <c r="BO493" s="156"/>
      <c r="BP493" s="160"/>
      <c r="BQ493" s="160"/>
      <c r="BR493" s="160"/>
      <c r="BS493" s="160"/>
    </row>
    <row r="494" spans="1:71" x14ac:dyDescent="0.25">
      <c r="A494" s="154"/>
      <c r="B494" s="155"/>
      <c r="C494" s="155"/>
      <c r="D494" s="155"/>
      <c r="E494" s="156"/>
      <c r="F494" s="156"/>
      <c r="G494" s="155"/>
      <c r="H494" s="155"/>
      <c r="I494" s="155"/>
      <c r="J494" s="157"/>
      <c r="K494" s="157"/>
      <c r="L494" s="155"/>
      <c r="M494" s="155"/>
      <c r="N494" s="155"/>
      <c r="O494" s="156"/>
      <c r="P494" s="156"/>
      <c r="Q494" s="155"/>
      <c r="R494" s="155"/>
      <c r="S494" s="155"/>
      <c r="T494" s="156"/>
      <c r="U494" s="156"/>
      <c r="V494" s="155"/>
      <c r="W494" s="155"/>
      <c r="X494" s="155"/>
      <c r="Y494" s="155"/>
      <c r="Z494" s="155"/>
      <c r="AA494" s="156"/>
      <c r="AB494" s="156"/>
      <c r="AC494" s="155"/>
      <c r="AD494" s="155"/>
      <c r="AE494" s="155"/>
      <c r="AF494" s="156"/>
      <c r="AG494" s="156"/>
      <c r="AH494" s="155"/>
      <c r="AI494" s="155"/>
      <c r="AJ494" s="155"/>
      <c r="AK494" s="156"/>
      <c r="AL494" s="156"/>
      <c r="AM494" s="155"/>
      <c r="AN494" s="155"/>
      <c r="AO494" s="155"/>
      <c r="AP494" s="156"/>
      <c r="AQ494" s="156"/>
      <c r="AR494" s="155"/>
      <c r="AS494" s="155"/>
      <c r="AT494" s="155"/>
      <c r="AU494" s="156"/>
      <c r="AV494" s="156"/>
      <c r="AW494" s="155"/>
      <c r="AX494" s="155"/>
      <c r="AY494" s="155"/>
      <c r="AZ494" s="156"/>
      <c r="BA494" s="156"/>
      <c r="BB494" s="155"/>
      <c r="BC494" s="155"/>
      <c r="BD494" s="155"/>
      <c r="BE494" s="155"/>
      <c r="BF494" s="155"/>
      <c r="BG494" s="158"/>
      <c r="BH494" s="158"/>
      <c r="BI494" s="155"/>
      <c r="BJ494" s="155"/>
      <c r="BK494" s="159"/>
      <c r="BL494" s="156"/>
      <c r="BM494" s="156"/>
      <c r="BN494" s="156"/>
      <c r="BO494" s="156"/>
      <c r="BP494" s="160"/>
      <c r="BQ494" s="160"/>
      <c r="BR494" s="160"/>
      <c r="BS494" s="160"/>
    </row>
    <row r="495" spans="1:71" x14ac:dyDescent="0.25">
      <c r="A495" s="154"/>
      <c r="B495" s="155"/>
      <c r="C495" s="155"/>
      <c r="D495" s="155"/>
      <c r="E495" s="156"/>
      <c r="F495" s="156"/>
      <c r="G495" s="155"/>
      <c r="H495" s="155"/>
      <c r="I495" s="155"/>
      <c r="J495" s="157"/>
      <c r="K495" s="157"/>
      <c r="L495" s="155"/>
      <c r="M495" s="155"/>
      <c r="N495" s="155"/>
      <c r="O495" s="156"/>
      <c r="P495" s="156"/>
      <c r="Q495" s="155"/>
      <c r="R495" s="155"/>
      <c r="S495" s="155"/>
      <c r="T495" s="156"/>
      <c r="U495" s="156"/>
      <c r="V495" s="155"/>
      <c r="W495" s="155"/>
      <c r="X495" s="155"/>
      <c r="Y495" s="155"/>
      <c r="Z495" s="155"/>
      <c r="AA495" s="156"/>
      <c r="AB495" s="156"/>
      <c r="AC495" s="155"/>
      <c r="AD495" s="155"/>
      <c r="AE495" s="155"/>
      <c r="AF495" s="156"/>
      <c r="AG495" s="156"/>
      <c r="AH495" s="155"/>
      <c r="AI495" s="155"/>
      <c r="AJ495" s="155"/>
      <c r="AK495" s="156"/>
      <c r="AL495" s="156"/>
      <c r="AM495" s="155"/>
      <c r="AN495" s="155"/>
      <c r="AO495" s="155"/>
      <c r="AP495" s="156"/>
      <c r="AQ495" s="156"/>
      <c r="AR495" s="155"/>
      <c r="AS495" s="155"/>
      <c r="AT495" s="155"/>
      <c r="AU495" s="156"/>
      <c r="AV495" s="156"/>
      <c r="AW495" s="155"/>
      <c r="AX495" s="155"/>
      <c r="AY495" s="155"/>
      <c r="AZ495" s="156"/>
      <c r="BA495" s="156"/>
      <c r="BB495" s="155"/>
      <c r="BC495" s="155"/>
      <c r="BD495" s="155"/>
      <c r="BE495" s="155"/>
      <c r="BF495" s="155"/>
      <c r="BG495" s="158"/>
      <c r="BH495" s="158"/>
      <c r="BI495" s="155"/>
      <c r="BJ495" s="155"/>
      <c r="BK495" s="159"/>
      <c r="BL495" s="156"/>
      <c r="BM495" s="156"/>
      <c r="BN495" s="156"/>
      <c r="BO495" s="156"/>
      <c r="BP495" s="160"/>
      <c r="BQ495" s="160"/>
      <c r="BR495" s="160"/>
      <c r="BS495" s="160"/>
    </row>
    <row r="496" spans="1:71" x14ac:dyDescent="0.25">
      <c r="A496" s="154"/>
      <c r="B496" s="155"/>
      <c r="C496" s="155"/>
      <c r="D496" s="155"/>
      <c r="E496" s="156"/>
      <c r="F496" s="156"/>
      <c r="G496" s="155"/>
      <c r="H496" s="155"/>
      <c r="I496" s="155"/>
      <c r="J496" s="157"/>
      <c r="K496" s="157"/>
      <c r="L496" s="155"/>
      <c r="M496" s="155"/>
      <c r="N496" s="155"/>
      <c r="O496" s="156"/>
      <c r="P496" s="156"/>
      <c r="Q496" s="155"/>
      <c r="R496" s="155"/>
      <c r="S496" s="155"/>
      <c r="T496" s="156"/>
      <c r="U496" s="156"/>
      <c r="V496" s="155"/>
      <c r="W496" s="155"/>
      <c r="X496" s="155"/>
      <c r="Y496" s="155"/>
      <c r="Z496" s="155"/>
      <c r="AA496" s="156"/>
      <c r="AB496" s="156"/>
      <c r="AC496" s="155"/>
      <c r="AD496" s="155"/>
      <c r="AE496" s="155"/>
      <c r="AF496" s="156"/>
      <c r="AG496" s="156"/>
      <c r="AH496" s="155"/>
      <c r="AI496" s="155"/>
      <c r="AJ496" s="155"/>
      <c r="AK496" s="156"/>
      <c r="AL496" s="156"/>
      <c r="AM496" s="155"/>
      <c r="AN496" s="155"/>
      <c r="AO496" s="155"/>
      <c r="AP496" s="156"/>
      <c r="AQ496" s="156"/>
      <c r="AR496" s="155"/>
      <c r="AS496" s="155"/>
      <c r="AT496" s="155"/>
      <c r="AU496" s="156"/>
      <c r="AV496" s="156"/>
      <c r="AW496" s="155"/>
      <c r="AX496" s="155"/>
      <c r="AY496" s="155"/>
      <c r="AZ496" s="156"/>
      <c r="BA496" s="156"/>
      <c r="BB496" s="155"/>
      <c r="BC496" s="155"/>
      <c r="BD496" s="155"/>
      <c r="BE496" s="155"/>
      <c r="BF496" s="155"/>
      <c r="BG496" s="158"/>
      <c r="BH496" s="158"/>
      <c r="BI496" s="155"/>
      <c r="BJ496" s="155"/>
      <c r="BK496" s="159"/>
      <c r="BL496" s="156"/>
      <c r="BM496" s="156"/>
      <c r="BN496" s="156"/>
      <c r="BO496" s="156"/>
      <c r="BP496" s="160"/>
      <c r="BQ496" s="160"/>
      <c r="BR496" s="160"/>
      <c r="BS496" s="160"/>
    </row>
    <row r="497" spans="1:71" x14ac:dyDescent="0.25">
      <c r="A497" s="154"/>
      <c r="B497" s="155"/>
      <c r="C497" s="155"/>
      <c r="D497" s="155"/>
      <c r="E497" s="156"/>
      <c r="F497" s="156"/>
      <c r="G497" s="155"/>
      <c r="H497" s="155"/>
      <c r="I497" s="155"/>
      <c r="J497" s="157"/>
      <c r="K497" s="157"/>
      <c r="L497" s="155"/>
      <c r="M497" s="155"/>
      <c r="N497" s="155"/>
      <c r="O497" s="156"/>
      <c r="P497" s="156"/>
      <c r="Q497" s="155"/>
      <c r="R497" s="155"/>
      <c r="S497" s="155"/>
      <c r="T497" s="156"/>
      <c r="U497" s="156"/>
      <c r="V497" s="155"/>
      <c r="W497" s="155"/>
      <c r="X497" s="155"/>
      <c r="Y497" s="155"/>
      <c r="Z497" s="155"/>
      <c r="AA497" s="156"/>
      <c r="AB497" s="156"/>
      <c r="AC497" s="155"/>
      <c r="AD497" s="155"/>
      <c r="AE497" s="155"/>
      <c r="AF497" s="156"/>
      <c r="AG497" s="156"/>
      <c r="AH497" s="155"/>
      <c r="AI497" s="155"/>
      <c r="AJ497" s="155"/>
      <c r="AK497" s="156"/>
      <c r="AL497" s="156"/>
      <c r="AM497" s="155"/>
      <c r="AN497" s="155"/>
      <c r="AO497" s="155"/>
      <c r="AP497" s="156"/>
      <c r="AQ497" s="156"/>
      <c r="AR497" s="155"/>
      <c r="AS497" s="155"/>
      <c r="AT497" s="155"/>
      <c r="AU497" s="156"/>
      <c r="AV497" s="156"/>
      <c r="AW497" s="155"/>
      <c r="AX497" s="155"/>
      <c r="AY497" s="155"/>
      <c r="AZ497" s="156"/>
      <c r="BA497" s="156"/>
      <c r="BB497" s="155"/>
      <c r="BC497" s="155"/>
      <c r="BD497" s="155"/>
      <c r="BE497" s="155"/>
      <c r="BF497" s="155"/>
      <c r="BG497" s="158"/>
      <c r="BH497" s="158"/>
      <c r="BI497" s="155"/>
      <c r="BJ497" s="155"/>
      <c r="BK497" s="159"/>
      <c r="BL497" s="156"/>
      <c r="BM497" s="156"/>
      <c r="BN497" s="156"/>
      <c r="BO497" s="156"/>
      <c r="BP497" s="160"/>
      <c r="BQ497" s="160"/>
      <c r="BR497" s="160"/>
      <c r="BS497" s="160"/>
    </row>
    <row r="498" spans="1:71" x14ac:dyDescent="0.25">
      <c r="A498" s="154"/>
      <c r="B498" s="155"/>
      <c r="C498" s="155"/>
      <c r="D498" s="155"/>
      <c r="E498" s="156"/>
      <c r="F498" s="156"/>
      <c r="G498" s="155"/>
      <c r="H498" s="155"/>
      <c r="I498" s="155"/>
      <c r="J498" s="157"/>
      <c r="K498" s="157"/>
      <c r="L498" s="155"/>
      <c r="M498" s="155"/>
      <c r="N498" s="155"/>
      <c r="O498" s="156"/>
      <c r="P498" s="156"/>
      <c r="Q498" s="155"/>
      <c r="R498" s="155"/>
      <c r="S498" s="155"/>
      <c r="T498" s="156"/>
      <c r="U498" s="156"/>
      <c r="V498" s="155"/>
      <c r="W498" s="155"/>
      <c r="X498" s="155"/>
      <c r="Y498" s="155"/>
      <c r="Z498" s="155"/>
      <c r="AA498" s="156"/>
      <c r="AB498" s="156"/>
      <c r="AC498" s="155"/>
      <c r="AD498" s="155"/>
      <c r="AE498" s="155"/>
      <c r="AF498" s="156"/>
      <c r="AG498" s="156"/>
      <c r="AH498" s="155"/>
      <c r="AI498" s="155"/>
      <c r="AJ498" s="155"/>
      <c r="AK498" s="156"/>
      <c r="AL498" s="156"/>
      <c r="AM498" s="155"/>
      <c r="AN498" s="155"/>
      <c r="AO498" s="155"/>
      <c r="AP498" s="156"/>
      <c r="AQ498" s="156"/>
      <c r="AR498" s="155"/>
      <c r="AS498" s="155"/>
      <c r="AT498" s="155"/>
      <c r="AU498" s="156"/>
      <c r="AV498" s="156"/>
      <c r="AW498" s="155"/>
      <c r="AX498" s="155"/>
      <c r="AY498" s="155"/>
      <c r="AZ498" s="156"/>
      <c r="BA498" s="156"/>
      <c r="BB498" s="155"/>
      <c r="BC498" s="155"/>
      <c r="BD498" s="155"/>
      <c r="BE498" s="155"/>
      <c r="BF498" s="155"/>
      <c r="BG498" s="158"/>
      <c r="BH498" s="158"/>
      <c r="BI498" s="155"/>
      <c r="BJ498" s="155"/>
      <c r="BK498" s="159"/>
      <c r="BL498" s="156"/>
      <c r="BM498" s="156"/>
      <c r="BN498" s="156"/>
      <c r="BO498" s="156"/>
      <c r="BP498" s="160"/>
      <c r="BQ498" s="160"/>
      <c r="BR498" s="160"/>
      <c r="BS498" s="160"/>
    </row>
    <row r="499" spans="1:71" x14ac:dyDescent="0.25">
      <c r="A499" s="154"/>
      <c r="B499" s="155"/>
      <c r="C499" s="155"/>
      <c r="D499" s="155"/>
      <c r="E499" s="156"/>
      <c r="F499" s="156"/>
      <c r="G499" s="155"/>
      <c r="H499" s="155"/>
      <c r="I499" s="155"/>
      <c r="J499" s="157"/>
      <c r="K499" s="157"/>
      <c r="L499" s="155"/>
      <c r="M499" s="155"/>
      <c r="N499" s="155"/>
      <c r="O499" s="156"/>
      <c r="P499" s="156"/>
      <c r="Q499" s="155"/>
      <c r="R499" s="155"/>
      <c r="S499" s="155"/>
      <c r="T499" s="156"/>
      <c r="U499" s="156"/>
      <c r="V499" s="155"/>
      <c r="W499" s="155"/>
      <c r="X499" s="155"/>
      <c r="Y499" s="155"/>
      <c r="Z499" s="155"/>
      <c r="AA499" s="156"/>
      <c r="AB499" s="156"/>
      <c r="AC499" s="155"/>
      <c r="AD499" s="155"/>
      <c r="AE499" s="155"/>
      <c r="AF499" s="156"/>
      <c r="AG499" s="156"/>
      <c r="AH499" s="155"/>
      <c r="AI499" s="155"/>
      <c r="AJ499" s="155"/>
      <c r="AK499" s="156"/>
      <c r="AL499" s="156"/>
      <c r="AM499" s="155"/>
      <c r="AN499" s="155"/>
      <c r="AO499" s="155"/>
      <c r="AP499" s="156"/>
      <c r="AQ499" s="156"/>
      <c r="AR499" s="155"/>
      <c r="AS499" s="155"/>
      <c r="AT499" s="155"/>
      <c r="AU499" s="156"/>
      <c r="AV499" s="156"/>
      <c r="AW499" s="155"/>
      <c r="AX499" s="155"/>
      <c r="AY499" s="155"/>
      <c r="AZ499" s="156"/>
      <c r="BA499" s="156"/>
      <c r="BB499" s="155"/>
      <c r="BC499" s="155"/>
      <c r="BD499" s="155"/>
      <c r="BE499" s="155"/>
      <c r="BF499" s="155"/>
      <c r="BG499" s="158"/>
      <c r="BH499" s="158"/>
      <c r="BI499" s="155"/>
      <c r="BJ499" s="155"/>
      <c r="BK499" s="159"/>
      <c r="BL499" s="156"/>
      <c r="BM499" s="156"/>
      <c r="BN499" s="156"/>
      <c r="BO499" s="156"/>
      <c r="BP499" s="160"/>
      <c r="BQ499" s="160"/>
      <c r="BR499" s="160"/>
      <c r="BS499" s="160"/>
    </row>
    <row r="500" spans="1:71" x14ac:dyDescent="0.25">
      <c r="A500" s="154"/>
      <c r="B500" s="155"/>
      <c r="C500" s="155"/>
      <c r="D500" s="155"/>
      <c r="E500" s="156"/>
      <c r="F500" s="156"/>
      <c r="G500" s="155"/>
      <c r="H500" s="155"/>
      <c r="I500" s="155"/>
      <c r="J500" s="157"/>
      <c r="K500" s="157"/>
      <c r="L500" s="155"/>
      <c r="M500" s="155"/>
      <c r="N500" s="155"/>
      <c r="O500" s="156"/>
      <c r="P500" s="156"/>
      <c r="Q500" s="155"/>
      <c r="R500" s="155"/>
      <c r="S500" s="155"/>
      <c r="T500" s="156"/>
      <c r="U500" s="156"/>
      <c r="V500" s="155"/>
      <c r="W500" s="155"/>
      <c r="X500" s="155"/>
      <c r="Y500" s="155"/>
      <c r="Z500" s="155"/>
      <c r="AA500" s="156"/>
      <c r="AB500" s="156"/>
      <c r="AC500" s="155"/>
      <c r="AD500" s="155"/>
      <c r="AE500" s="155"/>
      <c r="AF500" s="156"/>
      <c r="AG500" s="156"/>
      <c r="AH500" s="155"/>
      <c r="AI500" s="155"/>
      <c r="AJ500" s="155"/>
      <c r="AK500" s="156"/>
      <c r="AL500" s="156"/>
      <c r="AM500" s="155"/>
      <c r="AN500" s="155"/>
      <c r="AO500" s="155"/>
      <c r="AP500" s="156"/>
      <c r="AQ500" s="156"/>
      <c r="AR500" s="155"/>
      <c r="AS500" s="155"/>
      <c r="AT500" s="155"/>
      <c r="AU500" s="156"/>
      <c r="AV500" s="156"/>
      <c r="AW500" s="155"/>
      <c r="AX500" s="155"/>
      <c r="AY500" s="155"/>
      <c r="AZ500" s="156"/>
      <c r="BA500" s="156"/>
      <c r="BB500" s="155"/>
      <c r="BC500" s="155"/>
      <c r="BD500" s="155"/>
      <c r="BE500" s="155"/>
      <c r="BF500" s="155"/>
      <c r="BG500" s="158"/>
      <c r="BH500" s="158"/>
      <c r="BI500" s="155"/>
      <c r="BJ500" s="155"/>
      <c r="BK500" s="159"/>
      <c r="BL500" s="156"/>
      <c r="BM500" s="156"/>
      <c r="BN500" s="156"/>
      <c r="BO500" s="156"/>
      <c r="BP500" s="160"/>
      <c r="BQ500" s="160"/>
      <c r="BR500" s="160"/>
      <c r="BS500" s="160"/>
    </row>
    <row r="501" spans="1:71" x14ac:dyDescent="0.25">
      <c r="A501" s="154"/>
      <c r="B501" s="155"/>
      <c r="C501" s="155"/>
      <c r="D501" s="155"/>
      <c r="E501" s="156"/>
      <c r="F501" s="156"/>
      <c r="G501" s="155"/>
      <c r="H501" s="155"/>
      <c r="I501" s="155"/>
      <c r="J501" s="157"/>
      <c r="K501" s="157"/>
      <c r="L501" s="155"/>
      <c r="M501" s="155"/>
      <c r="N501" s="155"/>
      <c r="O501" s="156"/>
      <c r="P501" s="156"/>
      <c r="Q501" s="155"/>
      <c r="R501" s="155"/>
      <c r="S501" s="155"/>
      <c r="T501" s="156"/>
      <c r="U501" s="156"/>
      <c r="V501" s="155"/>
      <c r="W501" s="155"/>
      <c r="X501" s="155"/>
      <c r="Y501" s="155"/>
      <c r="Z501" s="155"/>
      <c r="AA501" s="156"/>
      <c r="AB501" s="156"/>
      <c r="AC501" s="155"/>
      <c r="AD501" s="155"/>
      <c r="AE501" s="155"/>
      <c r="AF501" s="156"/>
      <c r="AG501" s="156"/>
      <c r="AH501" s="155"/>
      <c r="AI501" s="155"/>
      <c r="AJ501" s="155"/>
      <c r="AK501" s="156"/>
      <c r="AL501" s="156"/>
      <c r="AM501" s="155"/>
      <c r="AN501" s="155"/>
      <c r="AO501" s="155"/>
      <c r="AP501" s="156"/>
      <c r="AQ501" s="156"/>
      <c r="AR501" s="155"/>
      <c r="AS501" s="155"/>
      <c r="AT501" s="155"/>
      <c r="AU501" s="156"/>
      <c r="AV501" s="156"/>
      <c r="AW501" s="155"/>
      <c r="AX501" s="155"/>
      <c r="AY501" s="155"/>
      <c r="AZ501" s="156"/>
      <c r="BA501" s="156"/>
      <c r="BB501" s="155"/>
      <c r="BC501" s="155"/>
      <c r="BD501" s="155"/>
      <c r="BE501" s="155"/>
      <c r="BF501" s="155"/>
      <c r="BG501" s="158"/>
      <c r="BH501" s="158"/>
      <c r="BI501" s="155"/>
      <c r="BJ501" s="155"/>
      <c r="BK501" s="159"/>
      <c r="BL501" s="156"/>
      <c r="BM501" s="156"/>
      <c r="BN501" s="156"/>
      <c r="BO501" s="156"/>
      <c r="BP501" s="160"/>
      <c r="BQ501" s="160"/>
      <c r="BR501" s="160"/>
      <c r="BS501" s="160"/>
    </row>
    <row r="502" spans="1:71" x14ac:dyDescent="0.25">
      <c r="A502" s="154"/>
      <c r="B502" s="155"/>
      <c r="C502" s="155"/>
      <c r="D502" s="155"/>
      <c r="E502" s="156"/>
      <c r="F502" s="156"/>
      <c r="G502" s="155"/>
      <c r="H502" s="155"/>
      <c r="I502" s="155"/>
      <c r="J502" s="157"/>
      <c r="K502" s="157"/>
      <c r="L502" s="155"/>
      <c r="M502" s="155"/>
      <c r="N502" s="155"/>
      <c r="O502" s="156"/>
      <c r="P502" s="156"/>
      <c r="Q502" s="155"/>
      <c r="R502" s="155"/>
      <c r="S502" s="155"/>
      <c r="T502" s="156"/>
      <c r="U502" s="156"/>
      <c r="V502" s="155"/>
      <c r="W502" s="155"/>
      <c r="X502" s="155"/>
      <c r="Y502" s="155"/>
      <c r="Z502" s="155"/>
      <c r="AA502" s="156"/>
      <c r="AB502" s="156"/>
      <c r="AC502" s="155"/>
      <c r="AD502" s="155"/>
      <c r="AE502" s="155"/>
      <c r="AF502" s="156"/>
      <c r="AG502" s="156"/>
      <c r="AH502" s="155"/>
      <c r="AI502" s="155"/>
      <c r="AJ502" s="155"/>
      <c r="AK502" s="156"/>
      <c r="AL502" s="156"/>
      <c r="AM502" s="155"/>
      <c r="AN502" s="155"/>
      <c r="AO502" s="155"/>
      <c r="AP502" s="156"/>
      <c r="AQ502" s="156"/>
      <c r="AR502" s="155"/>
      <c r="AS502" s="155"/>
      <c r="AT502" s="155"/>
      <c r="AU502" s="156"/>
      <c r="AV502" s="156"/>
      <c r="AW502" s="155"/>
      <c r="AX502" s="155"/>
      <c r="AY502" s="155"/>
      <c r="AZ502" s="156"/>
      <c r="BA502" s="156"/>
      <c r="BB502" s="155"/>
      <c r="BC502" s="155"/>
      <c r="BD502" s="155"/>
      <c r="BE502" s="155"/>
      <c r="BF502" s="155"/>
      <c r="BG502" s="158"/>
      <c r="BH502" s="158"/>
      <c r="BI502" s="155"/>
      <c r="BJ502" s="155"/>
      <c r="BK502" s="159"/>
      <c r="BL502" s="156"/>
      <c r="BM502" s="156"/>
      <c r="BN502" s="156"/>
      <c r="BO502" s="156"/>
      <c r="BP502" s="160"/>
      <c r="BQ502" s="160"/>
      <c r="BR502" s="160"/>
      <c r="BS502" s="160"/>
    </row>
    <row r="503" spans="1:71" x14ac:dyDescent="0.25">
      <c r="A503" s="154"/>
      <c r="B503" s="155"/>
      <c r="C503" s="155"/>
      <c r="D503" s="155"/>
      <c r="E503" s="156"/>
      <c r="F503" s="156"/>
      <c r="G503" s="155"/>
      <c r="H503" s="155"/>
      <c r="I503" s="155"/>
      <c r="J503" s="157"/>
      <c r="K503" s="157"/>
      <c r="L503" s="155"/>
      <c r="M503" s="155"/>
      <c r="N503" s="155"/>
      <c r="O503" s="156"/>
      <c r="P503" s="156"/>
      <c r="Q503" s="155"/>
      <c r="R503" s="155"/>
      <c r="S503" s="155"/>
      <c r="T503" s="156"/>
      <c r="U503" s="156"/>
      <c r="V503" s="155"/>
      <c r="W503" s="155"/>
      <c r="X503" s="155"/>
      <c r="Y503" s="155"/>
      <c r="Z503" s="155"/>
      <c r="AA503" s="156"/>
      <c r="AB503" s="156"/>
      <c r="AC503" s="155"/>
      <c r="AD503" s="155"/>
      <c r="AE503" s="155"/>
      <c r="AF503" s="156"/>
      <c r="AG503" s="156"/>
      <c r="AH503" s="155"/>
      <c r="AI503" s="155"/>
      <c r="AJ503" s="155"/>
      <c r="AK503" s="156"/>
      <c r="AL503" s="156"/>
      <c r="AM503" s="155"/>
      <c r="AN503" s="155"/>
      <c r="AO503" s="155"/>
      <c r="AP503" s="156"/>
      <c r="AQ503" s="156"/>
      <c r="AR503" s="155"/>
      <c r="AS503" s="155"/>
      <c r="AT503" s="155"/>
      <c r="AU503" s="156"/>
      <c r="AV503" s="156"/>
      <c r="AW503" s="155"/>
      <c r="AX503" s="155"/>
      <c r="AY503" s="155"/>
      <c r="AZ503" s="156"/>
      <c r="BA503" s="156"/>
      <c r="BB503" s="155"/>
      <c r="BC503" s="155"/>
      <c r="BD503" s="155"/>
      <c r="BE503" s="155"/>
      <c r="BF503" s="155"/>
      <c r="BG503" s="158"/>
      <c r="BH503" s="158"/>
      <c r="BI503" s="155"/>
      <c r="BJ503" s="155"/>
      <c r="BK503" s="159"/>
      <c r="BL503" s="156"/>
      <c r="BM503" s="156"/>
      <c r="BN503" s="156"/>
      <c r="BO503" s="156"/>
      <c r="BP503" s="160"/>
      <c r="BQ503" s="160"/>
      <c r="BR503" s="160"/>
      <c r="BS503" s="160"/>
    </row>
    <row r="504" spans="1:71" x14ac:dyDescent="0.25">
      <c r="A504" s="154"/>
      <c r="B504" s="155"/>
      <c r="C504" s="155"/>
      <c r="D504" s="155"/>
      <c r="E504" s="156"/>
      <c r="F504" s="156"/>
      <c r="G504" s="155"/>
      <c r="H504" s="155"/>
      <c r="I504" s="155"/>
      <c r="J504" s="157"/>
      <c r="K504" s="157"/>
      <c r="L504" s="155"/>
      <c r="M504" s="155"/>
      <c r="N504" s="155"/>
      <c r="O504" s="156"/>
      <c r="P504" s="156"/>
      <c r="Q504" s="155"/>
      <c r="R504" s="155"/>
      <c r="S504" s="155"/>
      <c r="T504" s="156"/>
      <c r="U504" s="156"/>
      <c r="V504" s="155"/>
      <c r="W504" s="155"/>
      <c r="X504" s="155"/>
      <c r="Y504" s="155"/>
      <c r="Z504" s="155"/>
      <c r="AA504" s="156"/>
      <c r="AB504" s="156"/>
      <c r="AC504" s="155"/>
      <c r="AD504" s="155"/>
      <c r="AE504" s="155"/>
      <c r="AF504" s="156"/>
      <c r="AG504" s="156"/>
      <c r="AH504" s="155"/>
      <c r="AI504" s="155"/>
      <c r="AJ504" s="155"/>
      <c r="AK504" s="156"/>
      <c r="AL504" s="156"/>
      <c r="AM504" s="155"/>
      <c r="AN504" s="155"/>
      <c r="AO504" s="155"/>
      <c r="AP504" s="156"/>
      <c r="AQ504" s="156"/>
      <c r="AR504" s="155"/>
      <c r="AS504" s="155"/>
      <c r="AT504" s="155"/>
      <c r="AU504" s="156"/>
      <c r="AV504" s="156"/>
      <c r="AW504" s="155"/>
      <c r="AX504" s="155"/>
      <c r="AY504" s="155"/>
      <c r="AZ504" s="156"/>
      <c r="BA504" s="156"/>
      <c r="BB504" s="155"/>
      <c r="BC504" s="155"/>
      <c r="BD504" s="155"/>
      <c r="BE504" s="155"/>
      <c r="BF504" s="155"/>
      <c r="BG504" s="158"/>
      <c r="BH504" s="158"/>
      <c r="BI504" s="155"/>
      <c r="BJ504" s="155"/>
      <c r="BK504" s="159"/>
      <c r="BL504" s="156"/>
      <c r="BM504" s="156"/>
      <c r="BN504" s="156"/>
      <c r="BO504" s="156"/>
      <c r="BP504" s="160"/>
      <c r="BQ504" s="160"/>
      <c r="BR504" s="160"/>
      <c r="BS504" s="160"/>
    </row>
    <row r="505" spans="1:71" x14ac:dyDescent="0.25">
      <c r="A505" s="154"/>
      <c r="B505" s="155"/>
      <c r="C505" s="155"/>
      <c r="D505" s="155"/>
      <c r="E505" s="156"/>
      <c r="F505" s="156"/>
      <c r="G505" s="155"/>
      <c r="H505" s="155"/>
      <c r="I505" s="155"/>
      <c r="J505" s="157"/>
      <c r="K505" s="157"/>
      <c r="L505" s="155"/>
      <c r="M505" s="155"/>
      <c r="N505" s="155"/>
      <c r="O505" s="156"/>
      <c r="P505" s="156"/>
      <c r="Q505" s="155"/>
      <c r="R505" s="155"/>
      <c r="S505" s="155"/>
      <c r="T505" s="156"/>
      <c r="U505" s="156"/>
      <c r="V505" s="155"/>
      <c r="W505" s="155"/>
      <c r="X505" s="155"/>
      <c r="Y505" s="155"/>
      <c r="Z505" s="155"/>
      <c r="AA505" s="156"/>
      <c r="AB505" s="156"/>
      <c r="AC505" s="155"/>
      <c r="AD505" s="155"/>
      <c r="AE505" s="155"/>
      <c r="AF505" s="156"/>
      <c r="AG505" s="156"/>
      <c r="AH505" s="155"/>
      <c r="AI505" s="155"/>
      <c r="AJ505" s="155"/>
      <c r="AK505" s="156"/>
      <c r="AL505" s="156"/>
      <c r="AM505" s="155"/>
      <c r="AN505" s="155"/>
      <c r="AO505" s="155"/>
      <c r="AP505" s="156"/>
      <c r="AQ505" s="156"/>
      <c r="AR505" s="155"/>
      <c r="AS505" s="155"/>
      <c r="AT505" s="155"/>
      <c r="AU505" s="156"/>
      <c r="AV505" s="156"/>
      <c r="AW505" s="155"/>
      <c r="AX505" s="155"/>
      <c r="AY505" s="155"/>
      <c r="AZ505" s="156"/>
      <c r="BA505" s="156"/>
      <c r="BB505" s="155"/>
      <c r="BC505" s="155"/>
      <c r="BD505" s="155"/>
      <c r="BE505" s="155"/>
      <c r="BF505" s="155"/>
      <c r="BG505" s="158"/>
      <c r="BH505" s="158"/>
      <c r="BI505" s="155"/>
      <c r="BJ505" s="155"/>
      <c r="BK505" s="159"/>
      <c r="BL505" s="156"/>
      <c r="BM505" s="156"/>
      <c r="BN505" s="156"/>
      <c r="BO505" s="156"/>
      <c r="BP505" s="160"/>
      <c r="BQ505" s="160"/>
      <c r="BR505" s="160"/>
      <c r="BS505" s="160"/>
    </row>
    <row r="506" spans="1:71" x14ac:dyDescent="0.25">
      <c r="A506" s="154"/>
      <c r="B506" s="155"/>
      <c r="C506" s="155"/>
      <c r="D506" s="155"/>
      <c r="E506" s="156"/>
      <c r="F506" s="156"/>
      <c r="G506" s="155"/>
      <c r="H506" s="155"/>
      <c r="I506" s="155"/>
      <c r="J506" s="157"/>
      <c r="K506" s="157"/>
      <c r="L506" s="155"/>
      <c r="M506" s="155"/>
      <c r="N506" s="155"/>
      <c r="O506" s="156"/>
      <c r="P506" s="156"/>
      <c r="Q506" s="155"/>
      <c r="R506" s="155"/>
      <c r="S506" s="155"/>
      <c r="T506" s="156"/>
      <c r="U506" s="156"/>
      <c r="V506" s="155"/>
      <c r="W506" s="155"/>
      <c r="X506" s="155"/>
      <c r="Y506" s="155"/>
      <c r="Z506" s="155"/>
      <c r="AA506" s="156"/>
      <c r="AB506" s="156"/>
      <c r="AC506" s="155"/>
      <c r="AD506" s="155"/>
      <c r="AE506" s="155"/>
      <c r="AF506" s="156"/>
      <c r="AG506" s="156"/>
      <c r="AH506" s="155"/>
      <c r="AI506" s="155"/>
      <c r="AJ506" s="155"/>
      <c r="AK506" s="156"/>
      <c r="AL506" s="156"/>
      <c r="AM506" s="155"/>
      <c r="AN506" s="155"/>
      <c r="AO506" s="155"/>
      <c r="AP506" s="156"/>
      <c r="AQ506" s="156"/>
      <c r="AR506" s="155"/>
      <c r="AS506" s="155"/>
      <c r="AT506" s="155"/>
      <c r="AU506" s="156"/>
      <c r="AV506" s="156"/>
      <c r="AW506" s="155"/>
      <c r="AX506" s="155"/>
      <c r="AY506" s="155"/>
      <c r="AZ506" s="156"/>
      <c r="BA506" s="156"/>
      <c r="BB506" s="155"/>
      <c r="BC506" s="155"/>
      <c r="BD506" s="155"/>
      <c r="BE506" s="155"/>
      <c r="BF506" s="155"/>
      <c r="BG506" s="158"/>
      <c r="BH506" s="158"/>
      <c r="BI506" s="155"/>
      <c r="BJ506" s="155"/>
      <c r="BK506" s="159"/>
      <c r="BL506" s="156"/>
      <c r="BM506" s="156"/>
      <c r="BN506" s="156"/>
      <c r="BO506" s="156"/>
      <c r="BP506" s="160"/>
      <c r="BQ506" s="160"/>
      <c r="BR506" s="160"/>
      <c r="BS506" s="160"/>
    </row>
    <row r="507" spans="1:71" x14ac:dyDescent="0.25">
      <c r="A507" s="154"/>
      <c r="B507" s="155"/>
      <c r="C507" s="155"/>
      <c r="D507" s="155"/>
      <c r="E507" s="156"/>
      <c r="F507" s="156"/>
      <c r="G507" s="155"/>
      <c r="H507" s="155"/>
      <c r="I507" s="155"/>
      <c r="J507" s="157"/>
      <c r="K507" s="157"/>
      <c r="L507" s="155"/>
      <c r="M507" s="155"/>
      <c r="N507" s="155"/>
      <c r="O507" s="156"/>
      <c r="P507" s="156"/>
      <c r="Q507" s="155"/>
      <c r="R507" s="155"/>
      <c r="S507" s="155"/>
      <c r="T507" s="156"/>
      <c r="U507" s="156"/>
      <c r="V507" s="155"/>
      <c r="W507" s="155"/>
      <c r="X507" s="155"/>
      <c r="Y507" s="155"/>
      <c r="Z507" s="155"/>
      <c r="AA507" s="156"/>
      <c r="AB507" s="156"/>
      <c r="AC507" s="155"/>
      <c r="AD507" s="155"/>
      <c r="AE507" s="155"/>
      <c r="AF507" s="156"/>
      <c r="AG507" s="156"/>
      <c r="AH507" s="155"/>
      <c r="AI507" s="155"/>
      <c r="AJ507" s="155"/>
      <c r="AK507" s="156"/>
      <c r="AL507" s="156"/>
      <c r="AM507" s="155"/>
      <c r="AN507" s="155"/>
      <c r="AO507" s="155"/>
      <c r="AP507" s="156"/>
      <c r="AQ507" s="156"/>
      <c r="AR507" s="155"/>
      <c r="AS507" s="155"/>
      <c r="AT507" s="155"/>
      <c r="AU507" s="156"/>
      <c r="AV507" s="156"/>
      <c r="AW507" s="155"/>
      <c r="AX507" s="155"/>
      <c r="AY507" s="155"/>
      <c r="AZ507" s="156"/>
      <c r="BA507" s="156"/>
      <c r="BB507" s="155"/>
      <c r="BC507" s="155"/>
      <c r="BD507" s="155"/>
      <c r="BE507" s="155"/>
      <c r="BF507" s="155"/>
      <c r="BG507" s="158"/>
      <c r="BH507" s="158"/>
      <c r="BI507" s="155"/>
      <c r="BJ507" s="155"/>
      <c r="BK507" s="159"/>
      <c r="BL507" s="156"/>
      <c r="BM507" s="156"/>
      <c r="BN507" s="156"/>
      <c r="BO507" s="156"/>
      <c r="BP507" s="160"/>
      <c r="BQ507" s="160"/>
      <c r="BR507" s="160"/>
      <c r="BS507" s="160"/>
    </row>
    <row r="508" spans="1:71" x14ac:dyDescent="0.25">
      <c r="A508" s="154"/>
      <c r="B508" s="155"/>
      <c r="C508" s="155"/>
      <c r="D508" s="155"/>
      <c r="E508" s="156"/>
      <c r="F508" s="156"/>
      <c r="G508" s="155"/>
      <c r="H508" s="155"/>
      <c r="I508" s="155"/>
      <c r="J508" s="157"/>
      <c r="K508" s="157"/>
      <c r="L508" s="155"/>
      <c r="M508" s="155"/>
      <c r="N508" s="155"/>
      <c r="O508" s="156"/>
      <c r="P508" s="156"/>
      <c r="Q508" s="155"/>
      <c r="R508" s="155"/>
      <c r="S508" s="155"/>
      <c r="T508" s="156"/>
      <c r="U508" s="156"/>
      <c r="V508" s="155"/>
      <c r="W508" s="155"/>
      <c r="X508" s="155"/>
      <c r="Y508" s="155"/>
      <c r="Z508" s="155"/>
      <c r="AA508" s="156"/>
      <c r="AB508" s="156"/>
      <c r="AC508" s="155"/>
      <c r="AD508" s="155"/>
      <c r="AE508" s="155"/>
      <c r="AF508" s="156"/>
      <c r="AG508" s="156"/>
      <c r="AH508" s="155"/>
      <c r="AI508" s="155"/>
      <c r="AJ508" s="155"/>
      <c r="AK508" s="156"/>
      <c r="AL508" s="156"/>
      <c r="AM508" s="155"/>
      <c r="AN508" s="155"/>
      <c r="AO508" s="155"/>
      <c r="AP508" s="156"/>
      <c r="AQ508" s="156"/>
      <c r="AR508" s="155"/>
      <c r="AS508" s="155"/>
      <c r="AT508" s="155"/>
      <c r="AU508" s="156"/>
      <c r="AV508" s="156"/>
      <c r="AW508" s="155"/>
      <c r="AX508" s="155"/>
      <c r="AY508" s="155"/>
      <c r="AZ508" s="156"/>
      <c r="BA508" s="156"/>
      <c r="BB508" s="155"/>
      <c r="BC508" s="155"/>
      <c r="BD508" s="155"/>
      <c r="BE508" s="155"/>
      <c r="BF508" s="155"/>
      <c r="BG508" s="158"/>
      <c r="BH508" s="158"/>
      <c r="BI508" s="155"/>
      <c r="BJ508" s="155"/>
      <c r="BK508" s="159"/>
      <c r="BL508" s="156"/>
      <c r="BM508" s="156"/>
      <c r="BN508" s="156"/>
      <c r="BO508" s="156"/>
      <c r="BP508" s="160"/>
      <c r="BQ508" s="160"/>
      <c r="BR508" s="160"/>
      <c r="BS508" s="160"/>
    </row>
    <row r="509" spans="1:71" x14ac:dyDescent="0.25">
      <c r="A509" s="154"/>
      <c r="B509" s="155"/>
      <c r="C509" s="155"/>
      <c r="D509" s="155"/>
      <c r="E509" s="156"/>
      <c r="F509" s="156"/>
      <c r="G509" s="155"/>
      <c r="H509" s="155"/>
      <c r="I509" s="155"/>
      <c r="J509" s="157"/>
      <c r="K509" s="157"/>
      <c r="L509" s="155"/>
      <c r="M509" s="155"/>
      <c r="N509" s="155"/>
      <c r="O509" s="156"/>
      <c r="P509" s="156"/>
      <c r="Q509" s="155"/>
      <c r="R509" s="155"/>
      <c r="S509" s="155"/>
      <c r="T509" s="156"/>
      <c r="U509" s="156"/>
      <c r="V509" s="155"/>
      <c r="W509" s="155"/>
      <c r="X509" s="155"/>
      <c r="Y509" s="155"/>
      <c r="Z509" s="155"/>
      <c r="AA509" s="156"/>
      <c r="AB509" s="156"/>
      <c r="AC509" s="155"/>
      <c r="AD509" s="155"/>
      <c r="AE509" s="155"/>
      <c r="AF509" s="156"/>
      <c r="AG509" s="156"/>
      <c r="AH509" s="155"/>
      <c r="AI509" s="155"/>
      <c r="AJ509" s="155"/>
      <c r="AK509" s="156"/>
      <c r="AL509" s="156"/>
      <c r="AM509" s="155"/>
      <c r="AN509" s="155"/>
      <c r="AO509" s="155"/>
      <c r="AP509" s="156"/>
      <c r="AQ509" s="156"/>
      <c r="AR509" s="155"/>
      <c r="AS509" s="155"/>
      <c r="AT509" s="155"/>
      <c r="AU509" s="156"/>
      <c r="AV509" s="156"/>
      <c r="AW509" s="155"/>
      <c r="AX509" s="155"/>
      <c r="AY509" s="155"/>
      <c r="AZ509" s="156"/>
      <c r="BA509" s="156"/>
      <c r="BB509" s="155"/>
      <c r="BC509" s="155"/>
      <c r="BD509" s="155"/>
      <c r="BE509" s="155"/>
      <c r="BF509" s="155"/>
      <c r="BG509" s="158"/>
      <c r="BH509" s="158"/>
      <c r="BI509" s="155"/>
      <c r="BJ509" s="155"/>
      <c r="BK509" s="159"/>
      <c r="BL509" s="156"/>
      <c r="BM509" s="156"/>
      <c r="BN509" s="156"/>
      <c r="BO509" s="156"/>
      <c r="BP509" s="160"/>
      <c r="BQ509" s="160"/>
      <c r="BR509" s="160"/>
      <c r="BS509" s="160"/>
    </row>
    <row r="510" spans="1:71" x14ac:dyDescent="0.25">
      <c r="A510" s="154"/>
      <c r="B510" s="155"/>
      <c r="C510" s="155"/>
      <c r="D510" s="155"/>
      <c r="E510" s="156"/>
      <c r="F510" s="156"/>
      <c r="G510" s="155"/>
      <c r="H510" s="155"/>
      <c r="I510" s="155"/>
      <c r="J510" s="157"/>
      <c r="K510" s="157"/>
      <c r="L510" s="155"/>
      <c r="M510" s="155"/>
      <c r="N510" s="155"/>
      <c r="O510" s="156"/>
      <c r="P510" s="156"/>
      <c r="Q510" s="155"/>
      <c r="R510" s="155"/>
      <c r="S510" s="155"/>
      <c r="T510" s="156"/>
      <c r="U510" s="156"/>
      <c r="V510" s="155"/>
      <c r="W510" s="155"/>
      <c r="X510" s="155"/>
      <c r="Y510" s="155"/>
      <c r="Z510" s="155"/>
      <c r="AA510" s="156"/>
      <c r="AB510" s="156"/>
      <c r="AC510" s="155"/>
      <c r="AD510" s="155"/>
      <c r="AE510" s="155"/>
      <c r="AF510" s="156"/>
      <c r="AG510" s="156"/>
      <c r="AH510" s="155"/>
      <c r="AI510" s="155"/>
      <c r="AJ510" s="155"/>
      <c r="AK510" s="156"/>
      <c r="AL510" s="156"/>
      <c r="AM510" s="155"/>
      <c r="AN510" s="155"/>
      <c r="AO510" s="155"/>
      <c r="AP510" s="156"/>
      <c r="AQ510" s="156"/>
      <c r="AR510" s="155"/>
      <c r="AS510" s="155"/>
      <c r="AT510" s="155"/>
      <c r="AU510" s="156"/>
      <c r="AV510" s="156"/>
      <c r="AW510" s="155"/>
      <c r="AX510" s="155"/>
      <c r="AY510" s="155"/>
      <c r="AZ510" s="156"/>
      <c r="BA510" s="156"/>
      <c r="BB510" s="155"/>
      <c r="BC510" s="155"/>
      <c r="BD510" s="155"/>
      <c r="BE510" s="155"/>
      <c r="BF510" s="155"/>
      <c r="BG510" s="158"/>
      <c r="BH510" s="158"/>
      <c r="BI510" s="155"/>
      <c r="BJ510" s="155"/>
      <c r="BK510" s="159"/>
      <c r="BL510" s="156"/>
      <c r="BM510" s="156"/>
      <c r="BN510" s="156"/>
      <c r="BO510" s="156"/>
      <c r="BP510" s="160"/>
      <c r="BQ510" s="160"/>
      <c r="BR510" s="160"/>
      <c r="BS510" s="160"/>
    </row>
    <row r="511" spans="1:71" x14ac:dyDescent="0.25">
      <c r="A511" s="154"/>
      <c r="B511" s="155"/>
      <c r="C511" s="155"/>
      <c r="D511" s="155"/>
      <c r="E511" s="156"/>
      <c r="F511" s="156"/>
      <c r="G511" s="155"/>
      <c r="H511" s="155"/>
      <c r="I511" s="155"/>
      <c r="J511" s="157"/>
      <c r="K511" s="157"/>
      <c r="L511" s="155"/>
      <c r="M511" s="155"/>
      <c r="N511" s="155"/>
      <c r="O511" s="156"/>
      <c r="P511" s="156"/>
      <c r="Q511" s="155"/>
      <c r="R511" s="155"/>
      <c r="S511" s="155"/>
      <c r="T511" s="156"/>
      <c r="U511" s="156"/>
      <c r="V511" s="155"/>
      <c r="W511" s="155"/>
      <c r="X511" s="155"/>
      <c r="Y511" s="155"/>
      <c r="Z511" s="155"/>
      <c r="AA511" s="156"/>
      <c r="AB511" s="156"/>
      <c r="AC511" s="155"/>
      <c r="AD511" s="155"/>
      <c r="AE511" s="155"/>
      <c r="AF511" s="156"/>
      <c r="AG511" s="156"/>
      <c r="AH511" s="155"/>
      <c r="AI511" s="155"/>
      <c r="AJ511" s="155"/>
      <c r="AK511" s="156"/>
      <c r="AL511" s="156"/>
      <c r="AM511" s="155"/>
      <c r="AN511" s="155"/>
      <c r="AO511" s="155"/>
      <c r="AP511" s="156"/>
      <c r="AQ511" s="156"/>
      <c r="AR511" s="155"/>
      <c r="AS511" s="155"/>
      <c r="AT511" s="155"/>
      <c r="AU511" s="156"/>
      <c r="AV511" s="156"/>
      <c r="AW511" s="155"/>
      <c r="AX511" s="155"/>
      <c r="AY511" s="155"/>
      <c r="AZ511" s="156"/>
      <c r="BA511" s="156"/>
      <c r="BB511" s="155"/>
      <c r="BC511" s="155"/>
      <c r="BD511" s="155"/>
      <c r="BE511" s="155"/>
      <c r="BF511" s="155"/>
      <c r="BG511" s="158"/>
      <c r="BH511" s="158"/>
      <c r="BI511" s="155"/>
      <c r="BJ511" s="155"/>
      <c r="BK511" s="159"/>
      <c r="BL511" s="156"/>
      <c r="BM511" s="156"/>
      <c r="BN511" s="156"/>
      <c r="BO511" s="156"/>
      <c r="BP511" s="160"/>
      <c r="BQ511" s="160"/>
      <c r="BR511" s="160"/>
      <c r="BS511" s="160"/>
    </row>
    <row r="512" spans="1:71" x14ac:dyDescent="0.25">
      <c r="A512" s="154"/>
      <c r="B512" s="155"/>
      <c r="C512" s="155"/>
      <c r="D512" s="155"/>
      <c r="E512" s="156"/>
      <c r="F512" s="156"/>
      <c r="G512" s="155"/>
      <c r="H512" s="155"/>
      <c r="I512" s="155"/>
      <c r="J512" s="157"/>
      <c r="K512" s="157"/>
      <c r="L512" s="155"/>
      <c r="M512" s="155"/>
      <c r="N512" s="155"/>
      <c r="O512" s="156"/>
      <c r="P512" s="156"/>
      <c r="Q512" s="155"/>
      <c r="R512" s="155"/>
      <c r="S512" s="155"/>
      <c r="T512" s="156"/>
      <c r="U512" s="156"/>
      <c r="V512" s="155"/>
      <c r="W512" s="155"/>
      <c r="X512" s="155"/>
      <c r="Y512" s="155"/>
      <c r="Z512" s="155"/>
      <c r="AA512" s="156"/>
      <c r="AB512" s="156"/>
      <c r="AC512" s="155"/>
      <c r="AD512" s="155"/>
      <c r="AE512" s="155"/>
      <c r="AF512" s="156"/>
      <c r="AG512" s="156"/>
      <c r="AH512" s="155"/>
      <c r="AI512" s="155"/>
      <c r="AJ512" s="155"/>
      <c r="AK512" s="156"/>
      <c r="AL512" s="156"/>
      <c r="AM512" s="155"/>
      <c r="AN512" s="155"/>
      <c r="AO512" s="155"/>
      <c r="AP512" s="156"/>
      <c r="AQ512" s="156"/>
      <c r="AR512" s="155"/>
      <c r="AS512" s="155"/>
      <c r="AT512" s="155"/>
      <c r="AU512" s="156"/>
      <c r="AV512" s="156"/>
      <c r="AW512" s="155"/>
      <c r="AX512" s="155"/>
      <c r="AY512" s="155"/>
      <c r="AZ512" s="156"/>
      <c r="BA512" s="156"/>
      <c r="BB512" s="155"/>
      <c r="BC512" s="155"/>
      <c r="BD512" s="155"/>
      <c r="BE512" s="155"/>
      <c r="BF512" s="155"/>
      <c r="BG512" s="158"/>
      <c r="BH512" s="158"/>
      <c r="BI512" s="155"/>
      <c r="BJ512" s="155"/>
      <c r="BK512" s="159"/>
      <c r="BL512" s="156"/>
      <c r="BM512" s="156"/>
      <c r="BN512" s="156"/>
      <c r="BO512" s="156"/>
      <c r="BP512" s="160"/>
      <c r="BQ512" s="160"/>
      <c r="BR512" s="160"/>
      <c r="BS512" s="160"/>
    </row>
    <row r="513" spans="1:71" x14ac:dyDescent="0.25">
      <c r="A513" s="154"/>
      <c r="B513" s="155"/>
      <c r="C513" s="155"/>
      <c r="D513" s="155"/>
      <c r="E513" s="156"/>
      <c r="F513" s="156"/>
      <c r="G513" s="155"/>
      <c r="H513" s="155"/>
      <c r="I513" s="155"/>
      <c r="J513" s="157"/>
      <c r="K513" s="157"/>
      <c r="L513" s="155"/>
      <c r="M513" s="155"/>
      <c r="N513" s="155"/>
      <c r="O513" s="156"/>
      <c r="P513" s="156"/>
      <c r="Q513" s="155"/>
      <c r="R513" s="155"/>
      <c r="S513" s="155"/>
      <c r="T513" s="156"/>
      <c r="U513" s="156"/>
      <c r="V513" s="155"/>
      <c r="W513" s="155"/>
      <c r="X513" s="155"/>
      <c r="Y513" s="155"/>
      <c r="Z513" s="155"/>
      <c r="AA513" s="156"/>
      <c r="AB513" s="156"/>
      <c r="AC513" s="155"/>
      <c r="AD513" s="155"/>
      <c r="AE513" s="155"/>
      <c r="AF513" s="156"/>
      <c r="AG513" s="156"/>
      <c r="AH513" s="155"/>
      <c r="AI513" s="155"/>
      <c r="AJ513" s="155"/>
      <c r="AK513" s="156"/>
      <c r="AL513" s="156"/>
      <c r="AM513" s="155"/>
      <c r="AN513" s="155"/>
      <c r="AO513" s="155"/>
      <c r="AP513" s="156"/>
      <c r="AQ513" s="156"/>
      <c r="AR513" s="155"/>
      <c r="AS513" s="155"/>
      <c r="AT513" s="155"/>
      <c r="AU513" s="156"/>
      <c r="AV513" s="156"/>
      <c r="AW513" s="155"/>
      <c r="AX513" s="155"/>
      <c r="AY513" s="155"/>
      <c r="AZ513" s="156"/>
      <c r="BA513" s="156"/>
      <c r="BB513" s="155"/>
      <c r="BC513" s="155"/>
      <c r="BD513" s="155"/>
      <c r="BE513" s="155"/>
      <c r="BF513" s="155"/>
      <c r="BG513" s="158"/>
      <c r="BH513" s="158"/>
      <c r="BI513" s="155"/>
      <c r="BJ513" s="155"/>
      <c r="BK513" s="159"/>
      <c r="BL513" s="156"/>
      <c r="BM513" s="156"/>
      <c r="BN513" s="156"/>
      <c r="BO513" s="156"/>
      <c r="BP513" s="160"/>
      <c r="BQ513" s="160"/>
      <c r="BR513" s="160"/>
      <c r="BS513" s="160"/>
    </row>
    <row r="514" spans="1:71" x14ac:dyDescent="0.25">
      <c r="A514" s="154"/>
      <c r="B514" s="155"/>
      <c r="C514" s="155"/>
      <c r="D514" s="155"/>
      <c r="E514" s="156"/>
      <c r="F514" s="156"/>
      <c r="G514" s="155"/>
      <c r="H514" s="155"/>
      <c r="I514" s="155"/>
      <c r="J514" s="157"/>
      <c r="K514" s="157"/>
      <c r="L514" s="155"/>
      <c r="M514" s="155"/>
      <c r="N514" s="155"/>
      <c r="O514" s="156"/>
      <c r="P514" s="156"/>
      <c r="Q514" s="155"/>
      <c r="R514" s="155"/>
      <c r="S514" s="155"/>
      <c r="T514" s="156"/>
      <c r="U514" s="156"/>
      <c r="V514" s="155"/>
      <c r="W514" s="155"/>
      <c r="X514" s="155"/>
      <c r="Y514" s="155"/>
      <c r="Z514" s="155"/>
      <c r="AA514" s="156"/>
      <c r="AB514" s="156"/>
      <c r="AC514" s="155"/>
      <c r="AD514" s="155"/>
      <c r="AE514" s="155"/>
      <c r="AF514" s="156"/>
      <c r="AG514" s="156"/>
      <c r="AH514" s="155"/>
      <c r="AI514" s="155"/>
      <c r="AJ514" s="155"/>
      <c r="AK514" s="156"/>
      <c r="AL514" s="156"/>
      <c r="AM514" s="155"/>
      <c r="AN514" s="155"/>
      <c r="AO514" s="155"/>
      <c r="AP514" s="156"/>
      <c r="AQ514" s="156"/>
      <c r="AR514" s="155"/>
      <c r="AS514" s="155"/>
      <c r="AT514" s="155"/>
      <c r="AU514" s="156"/>
      <c r="AV514" s="156"/>
      <c r="AW514" s="155"/>
      <c r="AX514" s="155"/>
      <c r="AY514" s="155"/>
      <c r="AZ514" s="156"/>
      <c r="BA514" s="156"/>
      <c r="BB514" s="155"/>
      <c r="BC514" s="155"/>
      <c r="BD514" s="155"/>
      <c r="BE514" s="155"/>
      <c r="BF514" s="155"/>
      <c r="BG514" s="158"/>
      <c r="BH514" s="158"/>
      <c r="BI514" s="155"/>
      <c r="BJ514" s="155"/>
      <c r="BK514" s="159"/>
      <c r="BL514" s="156"/>
      <c r="BM514" s="156"/>
      <c r="BN514" s="156"/>
      <c r="BO514" s="156"/>
      <c r="BP514" s="160"/>
      <c r="BQ514" s="160"/>
      <c r="BR514" s="160"/>
      <c r="BS514" s="160"/>
    </row>
    <row r="515" spans="1:71" x14ac:dyDescent="0.25">
      <c r="A515" s="154"/>
      <c r="B515" s="155"/>
      <c r="C515" s="155"/>
      <c r="D515" s="155"/>
      <c r="E515" s="156"/>
      <c r="F515" s="156"/>
      <c r="G515" s="155"/>
      <c r="H515" s="155"/>
      <c r="I515" s="155"/>
      <c r="J515" s="157"/>
      <c r="K515" s="157"/>
      <c r="L515" s="155"/>
      <c r="M515" s="155"/>
      <c r="N515" s="155"/>
      <c r="O515" s="156"/>
      <c r="P515" s="156"/>
      <c r="Q515" s="155"/>
      <c r="R515" s="155"/>
      <c r="S515" s="155"/>
      <c r="T515" s="156"/>
      <c r="U515" s="156"/>
      <c r="V515" s="155"/>
      <c r="W515" s="155"/>
      <c r="X515" s="155"/>
      <c r="Y515" s="155"/>
      <c r="Z515" s="155"/>
      <c r="AA515" s="156"/>
      <c r="AB515" s="156"/>
      <c r="AC515" s="155"/>
      <c r="AD515" s="155"/>
      <c r="AE515" s="155"/>
      <c r="AF515" s="156"/>
      <c r="AG515" s="156"/>
      <c r="AH515" s="155"/>
      <c r="AI515" s="155"/>
      <c r="AJ515" s="155"/>
      <c r="AK515" s="156"/>
      <c r="AL515" s="156"/>
      <c r="AM515" s="155"/>
      <c r="AN515" s="155"/>
      <c r="AO515" s="155"/>
      <c r="AP515" s="156"/>
      <c r="AQ515" s="156"/>
      <c r="AR515" s="155"/>
      <c r="AS515" s="155"/>
      <c r="AT515" s="155"/>
      <c r="AU515" s="156"/>
      <c r="AV515" s="156"/>
      <c r="AW515" s="155"/>
      <c r="AX515" s="155"/>
      <c r="AY515" s="155"/>
      <c r="AZ515" s="156"/>
      <c r="BA515" s="156"/>
      <c r="BB515" s="155"/>
      <c r="BC515" s="155"/>
      <c r="BD515" s="155"/>
      <c r="BE515" s="155"/>
      <c r="BF515" s="155"/>
      <c r="BG515" s="158"/>
      <c r="BH515" s="158"/>
      <c r="BI515" s="155"/>
      <c r="BJ515" s="155"/>
      <c r="BK515" s="159"/>
      <c r="BL515" s="156"/>
      <c r="BM515" s="156"/>
      <c r="BN515" s="156"/>
      <c r="BO515" s="156"/>
      <c r="BP515" s="160"/>
      <c r="BQ515" s="160"/>
      <c r="BR515" s="160"/>
      <c r="BS515" s="160"/>
    </row>
    <row r="516" spans="1:71" x14ac:dyDescent="0.25">
      <c r="A516" s="154"/>
      <c r="B516" s="155"/>
      <c r="C516" s="155"/>
      <c r="D516" s="155"/>
      <c r="E516" s="156"/>
      <c r="F516" s="156"/>
      <c r="G516" s="155"/>
      <c r="H516" s="155"/>
      <c r="I516" s="155"/>
      <c r="J516" s="157"/>
      <c r="K516" s="157"/>
      <c r="L516" s="155"/>
      <c r="M516" s="155"/>
      <c r="N516" s="155"/>
      <c r="O516" s="156"/>
      <c r="P516" s="156"/>
      <c r="Q516" s="155"/>
      <c r="R516" s="155"/>
      <c r="S516" s="155"/>
      <c r="T516" s="156"/>
      <c r="U516" s="156"/>
      <c r="V516" s="155"/>
      <c r="W516" s="155"/>
      <c r="X516" s="155"/>
      <c r="Y516" s="155"/>
      <c r="Z516" s="155"/>
      <c r="AA516" s="156"/>
      <c r="AB516" s="156"/>
      <c r="AC516" s="155"/>
      <c r="AD516" s="155"/>
      <c r="AE516" s="155"/>
      <c r="AF516" s="156"/>
      <c r="AG516" s="156"/>
      <c r="AH516" s="155"/>
      <c r="AI516" s="155"/>
      <c r="AJ516" s="155"/>
      <c r="AK516" s="156"/>
      <c r="AL516" s="156"/>
      <c r="AM516" s="155"/>
      <c r="AN516" s="155"/>
      <c r="AO516" s="155"/>
      <c r="AP516" s="156"/>
      <c r="AQ516" s="156"/>
      <c r="AR516" s="155"/>
      <c r="AS516" s="155"/>
      <c r="AT516" s="155"/>
      <c r="AU516" s="156"/>
      <c r="AV516" s="156"/>
      <c r="AW516" s="155"/>
      <c r="AX516" s="155"/>
      <c r="AY516" s="155"/>
      <c r="AZ516" s="156"/>
      <c r="BA516" s="156"/>
      <c r="BB516" s="155"/>
      <c r="BC516" s="155"/>
      <c r="BD516" s="155"/>
      <c r="BE516" s="155"/>
      <c r="BF516" s="155"/>
      <c r="BG516" s="158"/>
      <c r="BH516" s="158"/>
      <c r="BI516" s="155"/>
      <c r="BJ516" s="155"/>
      <c r="BK516" s="159"/>
      <c r="BL516" s="156"/>
      <c r="BM516" s="156"/>
      <c r="BN516" s="156"/>
      <c r="BO516" s="156"/>
      <c r="BP516" s="160"/>
      <c r="BQ516" s="160"/>
      <c r="BR516" s="160"/>
      <c r="BS516" s="160"/>
    </row>
    <row r="517" spans="1:71" x14ac:dyDescent="0.25">
      <c r="A517" s="154"/>
      <c r="B517" s="155"/>
      <c r="C517" s="155"/>
      <c r="D517" s="155"/>
      <c r="E517" s="156"/>
      <c r="F517" s="156"/>
      <c r="G517" s="155"/>
      <c r="H517" s="155"/>
      <c r="I517" s="155"/>
      <c r="J517" s="157"/>
      <c r="K517" s="157"/>
      <c r="L517" s="155"/>
      <c r="M517" s="155"/>
      <c r="N517" s="155"/>
      <c r="O517" s="156"/>
      <c r="P517" s="156"/>
      <c r="Q517" s="155"/>
      <c r="R517" s="155"/>
      <c r="S517" s="155"/>
      <c r="T517" s="156"/>
      <c r="U517" s="156"/>
      <c r="V517" s="155"/>
      <c r="W517" s="155"/>
      <c r="X517" s="155"/>
      <c r="Y517" s="155"/>
      <c r="Z517" s="155"/>
      <c r="AA517" s="156"/>
      <c r="AB517" s="156"/>
      <c r="AC517" s="155"/>
      <c r="AD517" s="155"/>
      <c r="AE517" s="155"/>
      <c r="AF517" s="156"/>
      <c r="AG517" s="156"/>
      <c r="AH517" s="155"/>
      <c r="AI517" s="155"/>
      <c r="AJ517" s="155"/>
      <c r="AK517" s="156"/>
      <c r="AL517" s="156"/>
      <c r="AM517" s="155"/>
      <c r="AN517" s="155"/>
      <c r="AO517" s="155"/>
      <c r="AP517" s="156"/>
      <c r="AQ517" s="156"/>
      <c r="AR517" s="155"/>
      <c r="AS517" s="155"/>
      <c r="AT517" s="155"/>
      <c r="AU517" s="156"/>
      <c r="AV517" s="156"/>
      <c r="AW517" s="155"/>
      <c r="AX517" s="155"/>
      <c r="AY517" s="155"/>
      <c r="AZ517" s="156"/>
      <c r="BA517" s="156"/>
      <c r="BB517" s="155"/>
      <c r="BC517" s="155"/>
      <c r="BD517" s="155"/>
      <c r="BE517" s="155"/>
      <c r="BF517" s="155"/>
      <c r="BG517" s="158"/>
      <c r="BH517" s="158"/>
      <c r="BI517" s="155"/>
      <c r="BJ517" s="155"/>
      <c r="BK517" s="159"/>
      <c r="BL517" s="156"/>
      <c r="BM517" s="156"/>
      <c r="BN517" s="156"/>
      <c r="BO517" s="156"/>
      <c r="BP517" s="160"/>
      <c r="BQ517" s="160"/>
      <c r="BR517" s="160"/>
      <c r="BS517" s="160"/>
    </row>
    <row r="518" spans="1:71" x14ac:dyDescent="0.25">
      <c r="A518" s="154"/>
      <c r="B518" s="155"/>
      <c r="C518" s="155"/>
      <c r="D518" s="155"/>
      <c r="E518" s="156"/>
      <c r="F518" s="156"/>
      <c r="G518" s="155"/>
      <c r="H518" s="155"/>
      <c r="I518" s="155"/>
      <c r="J518" s="157"/>
      <c r="K518" s="157"/>
      <c r="L518" s="155"/>
      <c r="M518" s="155"/>
      <c r="N518" s="155"/>
      <c r="O518" s="156"/>
      <c r="P518" s="156"/>
      <c r="Q518" s="155"/>
      <c r="R518" s="155"/>
      <c r="S518" s="155"/>
      <c r="T518" s="156"/>
      <c r="U518" s="156"/>
      <c r="V518" s="155"/>
      <c r="W518" s="155"/>
      <c r="X518" s="155"/>
      <c r="Y518" s="155"/>
      <c r="Z518" s="155"/>
      <c r="AA518" s="156"/>
      <c r="AB518" s="156"/>
      <c r="AC518" s="155"/>
      <c r="AD518" s="155"/>
      <c r="AE518" s="155"/>
      <c r="AF518" s="156"/>
      <c r="AG518" s="156"/>
      <c r="AH518" s="155"/>
      <c r="AI518" s="155"/>
      <c r="AJ518" s="155"/>
      <c r="AK518" s="156"/>
      <c r="AL518" s="156"/>
      <c r="AM518" s="155"/>
      <c r="AN518" s="155"/>
      <c r="AO518" s="155"/>
      <c r="AP518" s="156"/>
      <c r="AQ518" s="156"/>
      <c r="AR518" s="155"/>
      <c r="AS518" s="155"/>
      <c r="AT518" s="155"/>
      <c r="AU518" s="156"/>
      <c r="AV518" s="156"/>
      <c r="AW518" s="155"/>
      <c r="AX518" s="155"/>
      <c r="AY518" s="155"/>
      <c r="AZ518" s="156"/>
      <c r="BA518" s="156"/>
      <c r="BB518" s="155"/>
      <c r="BC518" s="155"/>
      <c r="BD518" s="155"/>
      <c r="BE518" s="155"/>
      <c r="BF518" s="155"/>
      <c r="BG518" s="158"/>
      <c r="BH518" s="158"/>
      <c r="BI518" s="155"/>
      <c r="BJ518" s="155"/>
      <c r="BK518" s="159"/>
      <c r="BL518" s="156"/>
      <c r="BM518" s="156"/>
      <c r="BN518" s="156"/>
      <c r="BO518" s="156"/>
      <c r="BP518" s="160"/>
      <c r="BQ518" s="160"/>
      <c r="BR518" s="160"/>
      <c r="BS518" s="160"/>
    </row>
    <row r="519" spans="1:71" x14ac:dyDescent="0.25">
      <c r="A519" s="154"/>
      <c r="B519" s="155"/>
      <c r="C519" s="155"/>
      <c r="D519" s="155"/>
      <c r="E519" s="156"/>
      <c r="F519" s="156"/>
      <c r="G519" s="155"/>
      <c r="H519" s="155"/>
      <c r="I519" s="155"/>
      <c r="J519" s="157"/>
      <c r="K519" s="157"/>
      <c r="L519" s="155"/>
      <c r="M519" s="155"/>
      <c r="N519" s="155"/>
      <c r="O519" s="156"/>
      <c r="P519" s="156"/>
      <c r="Q519" s="155"/>
      <c r="R519" s="155"/>
      <c r="S519" s="155"/>
      <c r="T519" s="156"/>
      <c r="U519" s="156"/>
      <c r="V519" s="155"/>
      <c r="W519" s="155"/>
      <c r="X519" s="155"/>
      <c r="Y519" s="155"/>
      <c r="Z519" s="155"/>
      <c r="AA519" s="156"/>
      <c r="AB519" s="156"/>
      <c r="AC519" s="155"/>
      <c r="AD519" s="155"/>
      <c r="AE519" s="155"/>
      <c r="AF519" s="156"/>
      <c r="AG519" s="156"/>
      <c r="AH519" s="155"/>
      <c r="AI519" s="155"/>
      <c r="AJ519" s="155"/>
      <c r="AK519" s="156"/>
      <c r="AL519" s="156"/>
      <c r="AM519" s="155"/>
      <c r="AN519" s="155"/>
      <c r="AO519" s="155"/>
      <c r="AP519" s="156"/>
      <c r="AQ519" s="156"/>
      <c r="AR519" s="155"/>
      <c r="AS519" s="155"/>
      <c r="AT519" s="155"/>
      <c r="AU519" s="156"/>
      <c r="AV519" s="156"/>
      <c r="AW519" s="155"/>
      <c r="AX519" s="155"/>
      <c r="AY519" s="155"/>
      <c r="AZ519" s="156"/>
      <c r="BA519" s="156"/>
      <c r="BB519" s="155"/>
      <c r="BC519" s="155"/>
      <c r="BD519" s="155"/>
      <c r="BE519" s="155"/>
      <c r="BF519" s="155"/>
      <c r="BG519" s="158"/>
      <c r="BH519" s="158"/>
      <c r="BI519" s="155"/>
      <c r="BJ519" s="155"/>
      <c r="BK519" s="159"/>
      <c r="BL519" s="156"/>
      <c r="BM519" s="156"/>
      <c r="BN519" s="156"/>
      <c r="BO519" s="156"/>
      <c r="BP519" s="160"/>
      <c r="BQ519" s="160"/>
      <c r="BR519" s="160"/>
      <c r="BS519" s="160"/>
    </row>
    <row r="520" spans="1:71" x14ac:dyDescent="0.25">
      <c r="A520" s="154"/>
      <c r="B520" s="155"/>
      <c r="C520" s="155"/>
      <c r="D520" s="155"/>
      <c r="E520" s="156"/>
      <c r="F520" s="156"/>
      <c r="G520" s="155"/>
      <c r="H520" s="155"/>
      <c r="I520" s="155"/>
      <c r="J520" s="157"/>
      <c r="K520" s="157"/>
      <c r="L520" s="155"/>
      <c r="M520" s="155"/>
      <c r="N520" s="155"/>
      <c r="O520" s="156"/>
      <c r="P520" s="156"/>
      <c r="Q520" s="155"/>
      <c r="R520" s="155"/>
      <c r="S520" s="155"/>
      <c r="T520" s="156"/>
      <c r="U520" s="156"/>
      <c r="V520" s="155"/>
      <c r="W520" s="155"/>
      <c r="X520" s="155"/>
      <c r="Y520" s="155"/>
      <c r="Z520" s="155"/>
      <c r="AA520" s="156"/>
      <c r="AB520" s="156"/>
      <c r="AC520" s="155"/>
      <c r="AD520" s="155"/>
      <c r="AE520" s="155"/>
      <c r="AF520" s="156"/>
      <c r="AG520" s="156"/>
      <c r="AH520" s="155"/>
      <c r="AI520" s="155"/>
      <c r="AJ520" s="155"/>
      <c r="AK520" s="156"/>
      <c r="AL520" s="156"/>
      <c r="AM520" s="155"/>
      <c r="AN520" s="155"/>
      <c r="AO520" s="155"/>
      <c r="AP520" s="156"/>
      <c r="AQ520" s="156"/>
      <c r="AR520" s="155"/>
      <c r="AS520" s="155"/>
      <c r="AT520" s="155"/>
      <c r="AU520" s="156"/>
      <c r="AV520" s="156"/>
      <c r="AW520" s="155"/>
      <c r="AX520" s="155"/>
      <c r="AY520" s="155"/>
      <c r="AZ520" s="156"/>
      <c r="BA520" s="156"/>
      <c r="BB520" s="155"/>
      <c r="BC520" s="155"/>
      <c r="BD520" s="155"/>
      <c r="BE520" s="155"/>
      <c r="BF520" s="155"/>
      <c r="BG520" s="158"/>
      <c r="BH520" s="158"/>
      <c r="BI520" s="155"/>
      <c r="BJ520" s="155"/>
      <c r="BK520" s="159"/>
      <c r="BL520" s="156"/>
      <c r="BM520" s="156"/>
      <c r="BN520" s="156"/>
      <c r="BO520" s="156"/>
      <c r="BP520" s="160"/>
      <c r="BQ520" s="160"/>
      <c r="BR520" s="160"/>
      <c r="BS520" s="160"/>
    </row>
    <row r="521" spans="1:71" x14ac:dyDescent="0.25">
      <c r="A521" s="154"/>
      <c r="B521" s="155"/>
      <c r="C521" s="155"/>
      <c r="D521" s="155"/>
      <c r="E521" s="156"/>
      <c r="F521" s="156"/>
      <c r="G521" s="155"/>
      <c r="H521" s="155"/>
      <c r="I521" s="155"/>
      <c r="J521" s="157"/>
      <c r="K521" s="157"/>
      <c r="L521" s="155"/>
      <c r="M521" s="155"/>
      <c r="N521" s="155"/>
      <c r="O521" s="156"/>
      <c r="P521" s="156"/>
      <c r="Q521" s="155"/>
      <c r="R521" s="155"/>
      <c r="S521" s="155"/>
      <c r="T521" s="156"/>
      <c r="U521" s="156"/>
      <c r="V521" s="155"/>
      <c r="W521" s="155"/>
      <c r="X521" s="155"/>
      <c r="Y521" s="155"/>
      <c r="Z521" s="155"/>
      <c r="AA521" s="156"/>
      <c r="AB521" s="156"/>
      <c r="AC521" s="155"/>
      <c r="AD521" s="155"/>
      <c r="AE521" s="155"/>
      <c r="AF521" s="156"/>
      <c r="AG521" s="156"/>
      <c r="AH521" s="155"/>
      <c r="AI521" s="155"/>
      <c r="AJ521" s="155"/>
      <c r="AK521" s="156"/>
      <c r="AL521" s="156"/>
      <c r="AM521" s="155"/>
      <c r="AN521" s="155"/>
      <c r="AO521" s="155"/>
      <c r="AP521" s="156"/>
      <c r="AQ521" s="156"/>
      <c r="AR521" s="155"/>
      <c r="AS521" s="155"/>
      <c r="AT521" s="155"/>
      <c r="AU521" s="156"/>
      <c r="AV521" s="156"/>
      <c r="AW521" s="155"/>
      <c r="AX521" s="155"/>
      <c r="AY521" s="155"/>
      <c r="AZ521" s="156"/>
      <c r="BA521" s="156"/>
      <c r="BB521" s="155"/>
      <c r="BC521" s="155"/>
      <c r="BD521" s="155"/>
      <c r="BE521" s="155"/>
      <c r="BF521" s="155"/>
      <c r="BG521" s="158"/>
      <c r="BH521" s="158"/>
      <c r="BI521" s="155"/>
      <c r="BJ521" s="155"/>
      <c r="BK521" s="159"/>
      <c r="BL521" s="156"/>
      <c r="BM521" s="156"/>
      <c r="BN521" s="156"/>
      <c r="BO521" s="156"/>
      <c r="BP521" s="160"/>
      <c r="BQ521" s="160"/>
      <c r="BR521" s="160"/>
      <c r="BS521" s="160"/>
    </row>
    <row r="522" spans="1:71" x14ac:dyDescent="0.25">
      <c r="A522" s="154"/>
      <c r="B522" s="155"/>
      <c r="C522" s="155"/>
      <c r="D522" s="155"/>
      <c r="E522" s="156"/>
      <c r="F522" s="156"/>
      <c r="G522" s="155"/>
      <c r="H522" s="155"/>
      <c r="I522" s="155"/>
      <c r="J522" s="157"/>
      <c r="K522" s="157"/>
      <c r="L522" s="155"/>
      <c r="M522" s="155"/>
      <c r="N522" s="155"/>
      <c r="O522" s="156"/>
      <c r="P522" s="156"/>
      <c r="Q522" s="155"/>
      <c r="R522" s="155"/>
      <c r="S522" s="155"/>
      <c r="T522" s="156"/>
      <c r="U522" s="156"/>
      <c r="V522" s="155"/>
      <c r="W522" s="155"/>
      <c r="X522" s="155"/>
      <c r="Y522" s="155"/>
      <c r="Z522" s="155"/>
      <c r="AA522" s="156"/>
      <c r="AB522" s="156"/>
      <c r="AC522" s="155"/>
      <c r="AD522" s="155"/>
      <c r="AE522" s="155"/>
      <c r="AF522" s="156"/>
      <c r="AG522" s="156"/>
      <c r="AH522" s="155"/>
      <c r="AI522" s="155"/>
      <c r="AJ522" s="155"/>
      <c r="AK522" s="156"/>
      <c r="AL522" s="156"/>
      <c r="AM522" s="155"/>
      <c r="AN522" s="155"/>
      <c r="AO522" s="155"/>
      <c r="AP522" s="156"/>
      <c r="AQ522" s="156"/>
      <c r="AR522" s="155"/>
      <c r="AS522" s="155"/>
      <c r="AT522" s="155"/>
      <c r="AU522" s="156"/>
      <c r="AV522" s="156"/>
      <c r="AW522" s="155"/>
      <c r="AX522" s="155"/>
      <c r="AY522" s="155"/>
      <c r="AZ522" s="156"/>
      <c r="BA522" s="156"/>
      <c r="BB522" s="155"/>
      <c r="BC522" s="155"/>
      <c r="BD522" s="155"/>
      <c r="BE522" s="155"/>
      <c r="BF522" s="155"/>
      <c r="BG522" s="158"/>
      <c r="BH522" s="158"/>
      <c r="BI522" s="155"/>
      <c r="BJ522" s="155"/>
      <c r="BK522" s="159"/>
      <c r="BL522" s="156"/>
      <c r="BM522" s="156"/>
      <c r="BN522" s="156"/>
      <c r="BO522" s="156"/>
      <c r="BP522" s="160"/>
      <c r="BQ522" s="160"/>
      <c r="BR522" s="160"/>
      <c r="BS522" s="160"/>
    </row>
    <row r="523" spans="1:71" x14ac:dyDescent="0.25">
      <c r="A523" s="154"/>
      <c r="B523" s="155"/>
      <c r="C523" s="155"/>
      <c r="D523" s="155"/>
      <c r="E523" s="156"/>
      <c r="F523" s="156"/>
      <c r="G523" s="155"/>
      <c r="H523" s="155"/>
      <c r="I523" s="155"/>
      <c r="J523" s="157"/>
      <c r="K523" s="157"/>
      <c r="L523" s="155"/>
      <c r="M523" s="155"/>
      <c r="N523" s="155"/>
      <c r="O523" s="156"/>
      <c r="P523" s="156"/>
      <c r="Q523" s="155"/>
      <c r="R523" s="155"/>
      <c r="S523" s="155"/>
      <c r="T523" s="156"/>
      <c r="U523" s="156"/>
      <c r="V523" s="155"/>
      <c r="W523" s="155"/>
      <c r="X523" s="155"/>
      <c r="Y523" s="155"/>
      <c r="Z523" s="155"/>
      <c r="AA523" s="156"/>
      <c r="AB523" s="156"/>
      <c r="AC523" s="155"/>
      <c r="AD523" s="155"/>
      <c r="AE523" s="155"/>
      <c r="AF523" s="156"/>
      <c r="AG523" s="156"/>
      <c r="AH523" s="155"/>
      <c r="AI523" s="155"/>
      <c r="AJ523" s="155"/>
      <c r="AK523" s="156"/>
      <c r="AL523" s="156"/>
      <c r="AM523" s="155"/>
      <c r="AN523" s="155"/>
      <c r="AO523" s="155"/>
      <c r="AP523" s="156"/>
      <c r="AQ523" s="156"/>
      <c r="AR523" s="155"/>
      <c r="AS523" s="155"/>
      <c r="AT523" s="155"/>
      <c r="AU523" s="156"/>
      <c r="AV523" s="156"/>
      <c r="AW523" s="155"/>
      <c r="AX523" s="155"/>
      <c r="AY523" s="155"/>
      <c r="AZ523" s="156"/>
      <c r="BA523" s="156"/>
      <c r="BB523" s="155"/>
      <c r="BC523" s="155"/>
      <c r="BD523" s="155"/>
      <c r="BE523" s="155"/>
      <c r="BF523" s="155"/>
      <c r="BG523" s="158"/>
      <c r="BH523" s="158"/>
      <c r="BI523" s="155"/>
      <c r="BJ523" s="155"/>
      <c r="BK523" s="159"/>
      <c r="BL523" s="156"/>
      <c r="BM523" s="156"/>
      <c r="BN523" s="156"/>
      <c r="BO523" s="156"/>
      <c r="BP523" s="160"/>
      <c r="BQ523" s="160"/>
      <c r="BR523" s="160"/>
      <c r="BS523" s="160"/>
    </row>
    <row r="524" spans="1:71" x14ac:dyDescent="0.25">
      <c r="A524" s="154"/>
      <c r="B524" s="155"/>
      <c r="C524" s="155"/>
      <c r="D524" s="155"/>
      <c r="E524" s="156"/>
      <c r="F524" s="156"/>
      <c r="G524" s="155"/>
      <c r="H524" s="155"/>
      <c r="I524" s="155"/>
      <c r="J524" s="157"/>
      <c r="K524" s="157"/>
      <c r="L524" s="155"/>
      <c r="M524" s="155"/>
      <c r="N524" s="155"/>
      <c r="O524" s="156"/>
      <c r="P524" s="156"/>
      <c r="Q524" s="155"/>
      <c r="R524" s="155"/>
      <c r="S524" s="155"/>
      <c r="T524" s="156"/>
      <c r="U524" s="156"/>
      <c r="V524" s="155"/>
      <c r="W524" s="155"/>
      <c r="X524" s="155"/>
      <c r="Y524" s="155"/>
      <c r="Z524" s="155"/>
      <c r="AA524" s="156"/>
      <c r="AB524" s="156"/>
      <c r="AC524" s="155"/>
      <c r="AD524" s="155"/>
      <c r="AE524" s="155"/>
      <c r="AF524" s="156"/>
      <c r="AG524" s="156"/>
      <c r="AH524" s="155"/>
      <c r="AI524" s="155"/>
      <c r="AJ524" s="155"/>
      <c r="AK524" s="156"/>
      <c r="AL524" s="156"/>
      <c r="AM524" s="155"/>
      <c r="AN524" s="155"/>
      <c r="AO524" s="155"/>
      <c r="AP524" s="156"/>
      <c r="AQ524" s="156"/>
      <c r="AR524" s="155"/>
      <c r="AS524" s="155"/>
      <c r="AT524" s="155"/>
      <c r="AU524" s="156"/>
      <c r="AV524" s="156"/>
      <c r="AW524" s="155"/>
      <c r="AX524" s="155"/>
      <c r="AY524" s="155"/>
      <c r="AZ524" s="156"/>
      <c r="BA524" s="156"/>
      <c r="BB524" s="155"/>
      <c r="BC524" s="155"/>
      <c r="BD524" s="155"/>
      <c r="BE524" s="155"/>
      <c r="BF524" s="155"/>
      <c r="BG524" s="158"/>
      <c r="BH524" s="158"/>
      <c r="BI524" s="155"/>
      <c r="BJ524" s="155"/>
      <c r="BK524" s="159"/>
      <c r="BL524" s="156"/>
      <c r="BM524" s="156"/>
      <c r="BN524" s="156"/>
      <c r="BO524" s="156"/>
      <c r="BP524" s="160"/>
      <c r="BQ524" s="160"/>
      <c r="BR524" s="160"/>
      <c r="BS524" s="160"/>
    </row>
    <row r="525" spans="1:71" x14ac:dyDescent="0.25">
      <c r="A525" s="154"/>
      <c r="B525" s="155"/>
      <c r="C525" s="155"/>
      <c r="D525" s="155"/>
      <c r="E525" s="156"/>
      <c r="F525" s="156"/>
      <c r="G525" s="155"/>
      <c r="H525" s="155"/>
      <c r="I525" s="155"/>
      <c r="J525" s="157"/>
      <c r="K525" s="157"/>
      <c r="L525" s="155"/>
      <c r="M525" s="155"/>
      <c r="N525" s="155"/>
      <c r="O525" s="156"/>
      <c r="P525" s="156"/>
      <c r="Q525" s="155"/>
      <c r="R525" s="155"/>
      <c r="S525" s="155"/>
      <c r="T525" s="156"/>
      <c r="U525" s="156"/>
      <c r="V525" s="155"/>
      <c r="W525" s="155"/>
      <c r="X525" s="155"/>
      <c r="Y525" s="155"/>
      <c r="Z525" s="155"/>
      <c r="AA525" s="156"/>
      <c r="AB525" s="156"/>
      <c r="AC525" s="155"/>
      <c r="AD525" s="155"/>
      <c r="AE525" s="155"/>
      <c r="AF525" s="156"/>
      <c r="AG525" s="156"/>
      <c r="AH525" s="155"/>
      <c r="AI525" s="155"/>
      <c r="AJ525" s="155"/>
      <c r="AK525" s="156"/>
      <c r="AL525" s="156"/>
      <c r="AM525" s="155"/>
      <c r="AN525" s="155"/>
      <c r="AO525" s="155"/>
      <c r="AP525" s="156"/>
      <c r="AQ525" s="156"/>
      <c r="AR525" s="155"/>
      <c r="AS525" s="155"/>
      <c r="AT525" s="155"/>
      <c r="AU525" s="156"/>
      <c r="AV525" s="156"/>
      <c r="AW525" s="155"/>
      <c r="AX525" s="155"/>
      <c r="AY525" s="155"/>
      <c r="AZ525" s="156"/>
      <c r="BA525" s="156"/>
      <c r="BB525" s="155"/>
      <c r="BC525" s="155"/>
      <c r="BD525" s="155"/>
      <c r="BE525" s="155"/>
      <c r="BF525" s="155"/>
      <c r="BG525" s="158"/>
      <c r="BH525" s="158"/>
      <c r="BI525" s="155"/>
      <c r="BJ525" s="155"/>
      <c r="BK525" s="159"/>
      <c r="BL525" s="156"/>
      <c r="BM525" s="156"/>
      <c r="BN525" s="156"/>
      <c r="BO525" s="156"/>
      <c r="BP525" s="160"/>
      <c r="BQ525" s="160"/>
      <c r="BR525" s="160"/>
      <c r="BS525" s="160"/>
    </row>
    <row r="526" spans="1:71" x14ac:dyDescent="0.25">
      <c r="A526" s="154"/>
      <c r="B526" s="155"/>
      <c r="C526" s="155"/>
      <c r="D526" s="155"/>
      <c r="E526" s="156"/>
      <c r="F526" s="156"/>
      <c r="G526" s="155"/>
      <c r="H526" s="155"/>
      <c r="I526" s="155"/>
      <c r="J526" s="157"/>
      <c r="K526" s="157"/>
      <c r="L526" s="155"/>
      <c r="M526" s="155"/>
      <c r="N526" s="155"/>
      <c r="O526" s="156"/>
      <c r="P526" s="156"/>
      <c r="Q526" s="155"/>
      <c r="R526" s="155"/>
      <c r="S526" s="155"/>
      <c r="T526" s="156"/>
      <c r="U526" s="156"/>
      <c r="V526" s="155"/>
      <c r="W526" s="155"/>
      <c r="X526" s="155"/>
      <c r="Y526" s="155"/>
      <c r="Z526" s="155"/>
      <c r="AA526" s="156"/>
      <c r="AB526" s="156"/>
      <c r="AC526" s="155"/>
      <c r="AD526" s="155"/>
      <c r="AE526" s="155"/>
      <c r="AF526" s="156"/>
      <c r="AG526" s="156"/>
      <c r="AH526" s="155"/>
      <c r="AI526" s="155"/>
      <c r="AJ526" s="155"/>
      <c r="AK526" s="156"/>
      <c r="AL526" s="156"/>
      <c r="AM526" s="155"/>
      <c r="AN526" s="155"/>
      <c r="AO526" s="155"/>
      <c r="AP526" s="156"/>
      <c r="AQ526" s="156"/>
      <c r="AR526" s="155"/>
      <c r="AS526" s="155"/>
      <c r="AT526" s="155"/>
      <c r="AU526" s="156"/>
      <c r="AV526" s="156"/>
      <c r="AW526" s="155"/>
      <c r="AX526" s="155"/>
      <c r="AY526" s="155"/>
      <c r="AZ526" s="156"/>
      <c r="BA526" s="156"/>
      <c r="BB526" s="155"/>
      <c r="BC526" s="155"/>
      <c r="BD526" s="155"/>
      <c r="BE526" s="155"/>
      <c r="BF526" s="155"/>
      <c r="BG526" s="158"/>
      <c r="BH526" s="158"/>
      <c r="BI526" s="155"/>
      <c r="BJ526" s="155"/>
      <c r="BK526" s="159"/>
      <c r="BL526" s="156"/>
      <c r="BM526" s="156"/>
      <c r="BN526" s="156"/>
      <c r="BO526" s="156"/>
      <c r="BP526" s="160"/>
      <c r="BQ526" s="160"/>
      <c r="BR526" s="160"/>
      <c r="BS526" s="160"/>
    </row>
    <row r="527" spans="1:71" x14ac:dyDescent="0.25">
      <c r="A527" s="154"/>
      <c r="B527" s="155"/>
      <c r="C527" s="155"/>
      <c r="D527" s="155"/>
      <c r="E527" s="156"/>
      <c r="F527" s="156"/>
      <c r="G527" s="155"/>
      <c r="H527" s="155"/>
      <c r="I527" s="155"/>
      <c r="J527" s="157"/>
      <c r="K527" s="157"/>
      <c r="L527" s="155"/>
      <c r="M527" s="155"/>
      <c r="N527" s="155"/>
      <c r="O527" s="156"/>
      <c r="P527" s="156"/>
      <c r="Q527" s="155"/>
      <c r="R527" s="155"/>
      <c r="S527" s="155"/>
      <c r="T527" s="156"/>
      <c r="U527" s="156"/>
      <c r="V527" s="155"/>
      <c r="W527" s="155"/>
      <c r="X527" s="155"/>
      <c r="Y527" s="155"/>
      <c r="Z527" s="155"/>
      <c r="AA527" s="156"/>
      <c r="AB527" s="156"/>
      <c r="AC527" s="155"/>
      <c r="AD527" s="155"/>
      <c r="AE527" s="155"/>
      <c r="AF527" s="156"/>
      <c r="AG527" s="156"/>
      <c r="AH527" s="155"/>
      <c r="AI527" s="155"/>
      <c r="AJ527" s="155"/>
      <c r="AK527" s="156"/>
      <c r="AL527" s="156"/>
      <c r="AM527" s="155"/>
      <c r="AN527" s="155"/>
      <c r="AO527" s="155"/>
      <c r="AP527" s="156"/>
      <c r="AQ527" s="156"/>
      <c r="AR527" s="155"/>
      <c r="AS527" s="155"/>
      <c r="AT527" s="155"/>
      <c r="AU527" s="156"/>
      <c r="AV527" s="156"/>
      <c r="AW527" s="155"/>
      <c r="AX527" s="155"/>
      <c r="AY527" s="155"/>
      <c r="AZ527" s="156"/>
      <c r="BA527" s="156"/>
      <c r="BB527" s="155"/>
      <c r="BC527" s="155"/>
      <c r="BD527" s="155"/>
      <c r="BE527" s="155"/>
      <c r="BF527" s="155"/>
      <c r="BG527" s="158"/>
      <c r="BH527" s="158"/>
      <c r="BI527" s="155"/>
      <c r="BJ527" s="155"/>
      <c r="BK527" s="159"/>
      <c r="BL527" s="156"/>
      <c r="BM527" s="156"/>
      <c r="BN527" s="156"/>
      <c r="BO527" s="156"/>
      <c r="BP527" s="160"/>
      <c r="BQ527" s="160"/>
      <c r="BR527" s="160"/>
      <c r="BS527" s="160"/>
    </row>
    <row r="528" spans="1:71" x14ac:dyDescent="0.25">
      <c r="A528" s="154"/>
      <c r="B528" s="155"/>
      <c r="C528" s="155"/>
      <c r="D528" s="155"/>
      <c r="E528" s="156"/>
      <c r="F528" s="156"/>
      <c r="G528" s="155"/>
      <c r="H528" s="155"/>
      <c r="I528" s="155"/>
      <c r="J528" s="157"/>
      <c r="K528" s="157"/>
      <c r="L528" s="155"/>
      <c r="M528" s="155"/>
      <c r="N528" s="155"/>
      <c r="O528" s="156"/>
      <c r="P528" s="156"/>
      <c r="Q528" s="155"/>
      <c r="R528" s="155"/>
      <c r="S528" s="155"/>
      <c r="T528" s="156"/>
      <c r="U528" s="156"/>
      <c r="V528" s="155"/>
      <c r="W528" s="155"/>
      <c r="X528" s="155"/>
      <c r="Y528" s="155"/>
      <c r="Z528" s="155"/>
      <c r="AA528" s="156"/>
      <c r="AB528" s="156"/>
      <c r="AC528" s="155"/>
      <c r="AD528" s="155"/>
      <c r="AE528" s="155"/>
      <c r="AF528" s="156"/>
      <c r="AG528" s="156"/>
      <c r="AH528" s="155"/>
      <c r="AI528" s="155"/>
      <c r="AJ528" s="155"/>
      <c r="AK528" s="156"/>
      <c r="AL528" s="156"/>
      <c r="AM528" s="155"/>
      <c r="AN528" s="155"/>
      <c r="AO528" s="155"/>
      <c r="AP528" s="156"/>
      <c r="AQ528" s="156"/>
      <c r="AR528" s="155"/>
      <c r="AS528" s="155"/>
      <c r="AT528" s="155"/>
      <c r="AU528" s="156"/>
      <c r="AV528" s="156"/>
      <c r="AW528" s="155"/>
      <c r="AX528" s="155"/>
      <c r="AY528" s="155"/>
      <c r="AZ528" s="156"/>
      <c r="BA528" s="156"/>
      <c r="BB528" s="155"/>
      <c r="BC528" s="155"/>
      <c r="BD528" s="155"/>
      <c r="BE528" s="155"/>
      <c r="BF528" s="155"/>
      <c r="BG528" s="158"/>
      <c r="BH528" s="158"/>
      <c r="BI528" s="155"/>
      <c r="BJ528" s="155"/>
      <c r="BK528" s="159"/>
      <c r="BL528" s="156"/>
      <c r="BM528" s="156"/>
      <c r="BN528" s="156"/>
      <c r="BO528" s="156"/>
      <c r="BP528" s="160"/>
      <c r="BQ528" s="160"/>
      <c r="BR528" s="160"/>
      <c r="BS528" s="160"/>
    </row>
    <row r="529" spans="1:71" x14ac:dyDescent="0.25">
      <c r="A529" s="154"/>
      <c r="B529" s="155"/>
      <c r="C529" s="155"/>
      <c r="D529" s="155"/>
      <c r="E529" s="156"/>
      <c r="F529" s="156"/>
      <c r="G529" s="155"/>
      <c r="H529" s="155"/>
      <c r="I529" s="155"/>
      <c r="J529" s="157"/>
      <c r="K529" s="157"/>
      <c r="L529" s="155"/>
      <c r="M529" s="155"/>
      <c r="N529" s="155"/>
      <c r="O529" s="156"/>
      <c r="P529" s="156"/>
      <c r="Q529" s="155"/>
      <c r="R529" s="155"/>
      <c r="S529" s="155"/>
      <c r="T529" s="156"/>
      <c r="U529" s="156"/>
      <c r="V529" s="155"/>
      <c r="W529" s="155"/>
      <c r="X529" s="155"/>
      <c r="Y529" s="155"/>
      <c r="Z529" s="155"/>
      <c r="AA529" s="156"/>
      <c r="AB529" s="156"/>
      <c r="AC529" s="155"/>
      <c r="AD529" s="155"/>
      <c r="AE529" s="155"/>
      <c r="AF529" s="156"/>
      <c r="AG529" s="156"/>
      <c r="AH529" s="155"/>
      <c r="AI529" s="155"/>
      <c r="AJ529" s="155"/>
      <c r="AK529" s="156"/>
      <c r="AL529" s="156"/>
      <c r="AM529" s="155"/>
      <c r="AN529" s="155"/>
      <c r="AO529" s="155"/>
      <c r="AP529" s="156"/>
      <c r="AQ529" s="156"/>
      <c r="AR529" s="155"/>
      <c r="AS529" s="155"/>
      <c r="AT529" s="155"/>
      <c r="AU529" s="156"/>
      <c r="AV529" s="156"/>
      <c r="AW529" s="155"/>
      <c r="AX529" s="155"/>
      <c r="AY529" s="155"/>
      <c r="AZ529" s="156"/>
      <c r="BA529" s="156"/>
      <c r="BB529" s="155"/>
      <c r="BC529" s="155"/>
      <c r="BD529" s="155"/>
      <c r="BE529" s="155"/>
      <c r="BF529" s="155"/>
      <c r="BG529" s="158"/>
      <c r="BH529" s="158"/>
      <c r="BI529" s="155"/>
      <c r="BJ529" s="155"/>
      <c r="BK529" s="159"/>
      <c r="BL529" s="156"/>
      <c r="BM529" s="156"/>
      <c r="BN529" s="156"/>
      <c r="BO529" s="156"/>
      <c r="BP529" s="160"/>
      <c r="BQ529" s="160"/>
      <c r="BR529" s="160"/>
      <c r="BS529" s="160"/>
    </row>
    <row r="530" spans="1:71" x14ac:dyDescent="0.25">
      <c r="A530" s="154"/>
      <c r="B530" s="155"/>
      <c r="C530" s="155"/>
      <c r="D530" s="155"/>
      <c r="E530" s="156"/>
      <c r="F530" s="156"/>
      <c r="G530" s="155"/>
      <c r="H530" s="155"/>
      <c r="I530" s="155"/>
      <c r="J530" s="157"/>
      <c r="K530" s="157"/>
      <c r="L530" s="155"/>
      <c r="M530" s="155"/>
      <c r="N530" s="155"/>
      <c r="O530" s="156"/>
      <c r="P530" s="156"/>
      <c r="Q530" s="155"/>
      <c r="R530" s="155"/>
      <c r="S530" s="155"/>
      <c r="T530" s="156"/>
      <c r="U530" s="156"/>
      <c r="V530" s="155"/>
      <c r="W530" s="155"/>
      <c r="X530" s="155"/>
      <c r="Y530" s="155"/>
      <c r="Z530" s="155"/>
      <c r="AA530" s="156"/>
      <c r="AB530" s="156"/>
      <c r="AC530" s="155"/>
      <c r="AD530" s="155"/>
      <c r="AE530" s="155"/>
      <c r="AF530" s="156"/>
      <c r="AG530" s="156"/>
      <c r="AH530" s="155"/>
      <c r="AI530" s="155"/>
      <c r="AJ530" s="155"/>
      <c r="AK530" s="156"/>
      <c r="AL530" s="156"/>
      <c r="AM530" s="155"/>
      <c r="AN530" s="155"/>
      <c r="AO530" s="155"/>
      <c r="AP530" s="156"/>
      <c r="AQ530" s="156"/>
      <c r="AR530" s="155"/>
      <c r="AS530" s="155"/>
      <c r="AT530" s="155"/>
      <c r="AU530" s="156"/>
      <c r="AV530" s="156"/>
      <c r="AW530" s="155"/>
      <c r="AX530" s="155"/>
      <c r="AY530" s="155"/>
      <c r="AZ530" s="156"/>
      <c r="BA530" s="156"/>
      <c r="BB530" s="155"/>
      <c r="BC530" s="155"/>
      <c r="BD530" s="155"/>
      <c r="BE530" s="155"/>
      <c r="BF530" s="155"/>
      <c r="BG530" s="158"/>
      <c r="BH530" s="158"/>
      <c r="BI530" s="155"/>
      <c r="BJ530" s="155"/>
      <c r="BK530" s="159"/>
      <c r="BL530" s="156"/>
      <c r="BM530" s="156"/>
      <c r="BN530" s="156"/>
      <c r="BO530" s="156"/>
      <c r="BP530" s="160"/>
      <c r="BQ530" s="160"/>
      <c r="BR530" s="160"/>
      <c r="BS530" s="160"/>
    </row>
    <row r="531" spans="1:71" x14ac:dyDescent="0.25">
      <c r="A531" s="154"/>
      <c r="B531" s="155"/>
      <c r="C531" s="155"/>
      <c r="D531" s="155"/>
      <c r="E531" s="156"/>
      <c r="F531" s="156"/>
      <c r="G531" s="155"/>
      <c r="H531" s="155"/>
      <c r="I531" s="155"/>
      <c r="J531" s="157"/>
      <c r="K531" s="157"/>
      <c r="L531" s="155"/>
      <c r="M531" s="155"/>
      <c r="N531" s="155"/>
      <c r="O531" s="156"/>
      <c r="P531" s="156"/>
      <c r="Q531" s="155"/>
      <c r="R531" s="155"/>
      <c r="S531" s="155"/>
      <c r="T531" s="156"/>
      <c r="U531" s="156"/>
      <c r="V531" s="155"/>
      <c r="W531" s="155"/>
      <c r="X531" s="155"/>
      <c r="Y531" s="155"/>
      <c r="Z531" s="155"/>
      <c r="AA531" s="156"/>
      <c r="AB531" s="156"/>
      <c r="AC531" s="155"/>
      <c r="AD531" s="155"/>
      <c r="AE531" s="155"/>
      <c r="AF531" s="156"/>
      <c r="AG531" s="156"/>
      <c r="AH531" s="155"/>
      <c r="AI531" s="155"/>
      <c r="AJ531" s="155"/>
      <c r="AK531" s="156"/>
      <c r="AL531" s="156"/>
      <c r="AM531" s="155"/>
      <c r="AN531" s="155"/>
      <c r="AO531" s="155"/>
      <c r="AP531" s="156"/>
      <c r="AQ531" s="156"/>
      <c r="AR531" s="155"/>
      <c r="AS531" s="155"/>
      <c r="AT531" s="155"/>
      <c r="AU531" s="156"/>
      <c r="AV531" s="156"/>
      <c r="AW531" s="155"/>
      <c r="AX531" s="155"/>
      <c r="AY531" s="155"/>
      <c r="AZ531" s="156"/>
      <c r="BA531" s="156"/>
      <c r="BB531" s="155"/>
      <c r="BC531" s="155"/>
      <c r="BD531" s="155"/>
      <c r="BE531" s="155"/>
      <c r="BF531" s="155"/>
      <c r="BG531" s="158"/>
      <c r="BH531" s="158"/>
      <c r="BI531" s="155"/>
      <c r="BJ531" s="155"/>
      <c r="BK531" s="159"/>
      <c r="BL531" s="156"/>
      <c r="BM531" s="156"/>
      <c r="BN531" s="156"/>
      <c r="BO531" s="156"/>
      <c r="BP531" s="160"/>
      <c r="BQ531" s="160"/>
      <c r="BR531" s="160"/>
      <c r="BS531" s="160"/>
    </row>
    <row r="532" spans="1:71" x14ac:dyDescent="0.25">
      <c r="A532" s="154"/>
      <c r="B532" s="155"/>
      <c r="C532" s="155"/>
      <c r="D532" s="155"/>
      <c r="E532" s="156"/>
      <c r="F532" s="156"/>
      <c r="G532" s="155"/>
      <c r="H532" s="155"/>
      <c r="I532" s="155"/>
      <c r="J532" s="157"/>
      <c r="K532" s="157"/>
      <c r="L532" s="155"/>
      <c r="M532" s="155"/>
      <c r="N532" s="155"/>
      <c r="O532" s="156"/>
      <c r="P532" s="156"/>
      <c r="Q532" s="155"/>
      <c r="R532" s="155"/>
      <c r="S532" s="155"/>
      <c r="T532" s="156"/>
      <c r="U532" s="156"/>
      <c r="V532" s="155"/>
      <c r="W532" s="155"/>
      <c r="X532" s="155"/>
      <c r="Y532" s="155"/>
      <c r="Z532" s="155"/>
      <c r="AA532" s="156"/>
      <c r="AB532" s="156"/>
      <c r="AC532" s="155"/>
      <c r="AD532" s="155"/>
      <c r="AE532" s="155"/>
      <c r="AF532" s="156"/>
      <c r="AG532" s="156"/>
      <c r="AH532" s="155"/>
      <c r="AI532" s="155"/>
      <c r="AJ532" s="155"/>
      <c r="AK532" s="156"/>
      <c r="AL532" s="156"/>
      <c r="AM532" s="155"/>
      <c r="AN532" s="155"/>
      <c r="AO532" s="155"/>
      <c r="AP532" s="156"/>
      <c r="AQ532" s="156"/>
      <c r="AR532" s="155"/>
      <c r="AS532" s="155"/>
      <c r="AT532" s="155"/>
      <c r="AU532" s="156"/>
      <c r="AV532" s="156"/>
      <c r="AW532" s="155"/>
      <c r="AX532" s="155"/>
      <c r="AY532" s="155"/>
      <c r="AZ532" s="156"/>
      <c r="BA532" s="156"/>
      <c r="BB532" s="155"/>
      <c r="BC532" s="155"/>
      <c r="BD532" s="155"/>
      <c r="BE532" s="155"/>
      <c r="BF532" s="155"/>
      <c r="BG532" s="158"/>
      <c r="BH532" s="158"/>
      <c r="BI532" s="155"/>
      <c r="BJ532" s="155"/>
      <c r="BK532" s="159"/>
      <c r="BL532" s="156"/>
      <c r="BM532" s="156"/>
      <c r="BN532" s="156"/>
      <c r="BO532" s="156"/>
      <c r="BP532" s="160"/>
      <c r="BQ532" s="160"/>
      <c r="BR532" s="160"/>
      <c r="BS532" s="160"/>
    </row>
    <row r="533" spans="1:71" x14ac:dyDescent="0.25">
      <c r="A533" s="154"/>
      <c r="B533" s="155"/>
      <c r="C533" s="155"/>
      <c r="D533" s="155"/>
      <c r="E533" s="156"/>
      <c r="F533" s="156"/>
      <c r="G533" s="155"/>
      <c r="H533" s="155"/>
      <c r="I533" s="155"/>
      <c r="J533" s="157"/>
      <c r="K533" s="157"/>
      <c r="L533" s="155"/>
      <c r="M533" s="155"/>
      <c r="N533" s="155"/>
      <c r="O533" s="156"/>
      <c r="P533" s="156"/>
      <c r="Q533" s="155"/>
      <c r="R533" s="155"/>
      <c r="S533" s="155"/>
      <c r="T533" s="156"/>
      <c r="U533" s="156"/>
      <c r="V533" s="155"/>
      <c r="W533" s="155"/>
      <c r="X533" s="155"/>
      <c r="Y533" s="155"/>
      <c r="Z533" s="155"/>
      <c r="AA533" s="156"/>
      <c r="AB533" s="156"/>
      <c r="AC533" s="155"/>
      <c r="AD533" s="155"/>
      <c r="AE533" s="155"/>
      <c r="AF533" s="156"/>
      <c r="AG533" s="156"/>
      <c r="AH533" s="155"/>
      <c r="AI533" s="155"/>
      <c r="AJ533" s="155"/>
      <c r="AK533" s="156"/>
      <c r="AL533" s="156"/>
      <c r="AM533" s="155"/>
      <c r="AN533" s="155"/>
      <c r="AO533" s="155"/>
      <c r="AP533" s="156"/>
      <c r="AQ533" s="156"/>
      <c r="AR533" s="155"/>
      <c r="AS533" s="155"/>
      <c r="AT533" s="155"/>
      <c r="AU533" s="156"/>
      <c r="AV533" s="156"/>
      <c r="AW533" s="155"/>
      <c r="AX533" s="155"/>
      <c r="AY533" s="155"/>
      <c r="AZ533" s="156"/>
      <c r="BA533" s="156"/>
      <c r="BB533" s="155"/>
      <c r="BC533" s="155"/>
      <c r="BD533" s="155"/>
      <c r="BE533" s="155"/>
      <c r="BF533" s="155"/>
      <c r="BG533" s="158"/>
      <c r="BH533" s="158"/>
      <c r="BI533" s="155"/>
      <c r="BJ533" s="155"/>
      <c r="BK533" s="159"/>
      <c r="BL533" s="156"/>
      <c r="BM533" s="156"/>
      <c r="BN533" s="156"/>
      <c r="BO533" s="156"/>
      <c r="BP533" s="160"/>
      <c r="BQ533" s="160"/>
      <c r="BR533" s="160"/>
      <c r="BS533" s="160"/>
    </row>
    <row r="534" spans="1:71" x14ac:dyDescent="0.25">
      <c r="A534" s="154"/>
      <c r="B534" s="155"/>
      <c r="C534" s="155"/>
      <c r="D534" s="155"/>
      <c r="E534" s="156"/>
      <c r="F534" s="156"/>
      <c r="G534" s="155"/>
      <c r="H534" s="155"/>
      <c r="I534" s="155"/>
      <c r="J534" s="157"/>
      <c r="K534" s="157"/>
      <c r="L534" s="155"/>
      <c r="M534" s="155"/>
      <c r="N534" s="155"/>
      <c r="O534" s="156"/>
      <c r="P534" s="156"/>
      <c r="Q534" s="155"/>
      <c r="R534" s="155"/>
      <c r="S534" s="155"/>
      <c r="T534" s="156"/>
      <c r="U534" s="156"/>
      <c r="V534" s="155"/>
      <c r="W534" s="155"/>
      <c r="X534" s="155"/>
      <c r="Y534" s="155"/>
      <c r="Z534" s="155"/>
      <c r="AA534" s="156"/>
      <c r="AB534" s="156"/>
      <c r="AC534" s="155"/>
      <c r="AD534" s="155"/>
      <c r="AE534" s="155"/>
      <c r="AF534" s="156"/>
      <c r="AG534" s="156"/>
      <c r="AH534" s="155"/>
      <c r="AI534" s="155"/>
      <c r="AJ534" s="155"/>
      <c r="AK534" s="156"/>
      <c r="AL534" s="156"/>
      <c r="AM534" s="155"/>
      <c r="AN534" s="155"/>
      <c r="AO534" s="155"/>
      <c r="AP534" s="156"/>
      <c r="AQ534" s="156"/>
      <c r="AR534" s="155"/>
      <c r="AS534" s="155"/>
      <c r="AT534" s="155"/>
      <c r="AU534" s="156"/>
      <c r="AV534" s="156"/>
      <c r="AW534" s="155"/>
      <c r="AX534" s="155"/>
      <c r="AY534" s="155"/>
      <c r="AZ534" s="156"/>
      <c r="BA534" s="156"/>
      <c r="BB534" s="155"/>
      <c r="BC534" s="155"/>
      <c r="BD534" s="155"/>
      <c r="BE534" s="155"/>
      <c r="BF534" s="155"/>
      <c r="BG534" s="158"/>
      <c r="BH534" s="158"/>
      <c r="BI534" s="155"/>
      <c r="BJ534" s="155"/>
      <c r="BK534" s="159"/>
      <c r="BL534" s="156"/>
      <c r="BM534" s="156"/>
      <c r="BN534" s="156"/>
      <c r="BO534" s="156"/>
      <c r="BP534" s="160"/>
      <c r="BQ534" s="160"/>
      <c r="BR534" s="160"/>
      <c r="BS534" s="160"/>
    </row>
    <row r="535" spans="1:71" x14ac:dyDescent="0.25">
      <c r="A535" s="154"/>
      <c r="B535" s="155"/>
      <c r="C535" s="155"/>
      <c r="D535" s="155"/>
      <c r="E535" s="156"/>
      <c r="F535" s="156"/>
      <c r="G535" s="155"/>
      <c r="H535" s="155"/>
      <c r="I535" s="155"/>
      <c r="J535" s="157"/>
      <c r="K535" s="157"/>
      <c r="L535" s="155"/>
      <c r="M535" s="155"/>
      <c r="N535" s="155"/>
      <c r="O535" s="156"/>
      <c r="P535" s="156"/>
      <c r="Q535" s="155"/>
      <c r="R535" s="155"/>
      <c r="S535" s="155"/>
      <c r="T535" s="156"/>
      <c r="U535" s="156"/>
      <c r="V535" s="155"/>
      <c r="W535" s="155"/>
      <c r="X535" s="155"/>
      <c r="Y535" s="155"/>
      <c r="Z535" s="155"/>
      <c r="AA535" s="156"/>
      <c r="AB535" s="156"/>
      <c r="AC535" s="155"/>
      <c r="AD535" s="155"/>
      <c r="AE535" s="155"/>
      <c r="AF535" s="156"/>
      <c r="AG535" s="156"/>
      <c r="AH535" s="155"/>
      <c r="AI535" s="155"/>
      <c r="AJ535" s="155"/>
      <c r="AK535" s="156"/>
      <c r="AL535" s="156"/>
      <c r="AM535" s="155"/>
      <c r="AN535" s="155"/>
      <c r="AO535" s="155"/>
      <c r="AP535" s="156"/>
      <c r="AQ535" s="156"/>
      <c r="AR535" s="155"/>
      <c r="AS535" s="155"/>
      <c r="AT535" s="155"/>
      <c r="AU535" s="156"/>
      <c r="AV535" s="156"/>
      <c r="AW535" s="155"/>
      <c r="AX535" s="155"/>
      <c r="AY535" s="155"/>
      <c r="AZ535" s="156"/>
      <c r="BA535" s="156"/>
      <c r="BB535" s="155"/>
      <c r="BC535" s="155"/>
      <c r="BD535" s="155"/>
      <c r="BE535" s="155"/>
      <c r="BF535" s="155"/>
      <c r="BG535" s="158"/>
      <c r="BH535" s="158"/>
      <c r="BI535" s="155"/>
      <c r="BJ535" s="155"/>
      <c r="BK535" s="159"/>
      <c r="BL535" s="156"/>
      <c r="BM535" s="156"/>
      <c r="BN535" s="156"/>
      <c r="BO535" s="156"/>
      <c r="BP535" s="160"/>
      <c r="BQ535" s="160"/>
      <c r="BR535" s="160"/>
      <c r="BS535" s="160"/>
    </row>
    <row r="536" spans="1:71" x14ac:dyDescent="0.25">
      <c r="A536" s="154"/>
      <c r="B536" s="155"/>
      <c r="C536" s="155"/>
      <c r="D536" s="155"/>
      <c r="E536" s="156"/>
      <c r="F536" s="156"/>
      <c r="G536" s="155"/>
      <c r="H536" s="155"/>
      <c r="I536" s="155"/>
      <c r="J536" s="157"/>
      <c r="K536" s="157"/>
      <c r="L536" s="155"/>
      <c r="M536" s="155"/>
      <c r="N536" s="155"/>
      <c r="O536" s="156"/>
      <c r="P536" s="156"/>
      <c r="Q536" s="155"/>
      <c r="R536" s="155"/>
      <c r="S536" s="155"/>
      <c r="T536" s="156"/>
      <c r="U536" s="156"/>
      <c r="V536" s="155"/>
      <c r="W536" s="155"/>
      <c r="X536" s="155"/>
      <c r="Y536" s="155"/>
      <c r="Z536" s="155"/>
      <c r="AA536" s="156"/>
      <c r="AB536" s="156"/>
      <c r="AC536" s="155"/>
      <c r="AD536" s="155"/>
      <c r="AE536" s="155"/>
      <c r="AF536" s="156"/>
      <c r="AG536" s="156"/>
      <c r="AH536" s="155"/>
      <c r="AI536" s="155"/>
      <c r="AJ536" s="155"/>
      <c r="AK536" s="156"/>
      <c r="AL536" s="156"/>
      <c r="AM536" s="155"/>
      <c r="AN536" s="155"/>
      <c r="AO536" s="155"/>
      <c r="AP536" s="156"/>
      <c r="AQ536" s="156"/>
      <c r="AR536" s="155"/>
      <c r="AS536" s="155"/>
      <c r="AT536" s="155"/>
      <c r="AU536" s="156"/>
      <c r="AV536" s="156"/>
      <c r="AW536" s="155"/>
      <c r="AX536" s="155"/>
      <c r="AY536" s="155"/>
      <c r="AZ536" s="156"/>
      <c r="BA536" s="156"/>
      <c r="BB536" s="155"/>
      <c r="BC536" s="155"/>
      <c r="BD536" s="155"/>
      <c r="BE536" s="155"/>
      <c r="BF536" s="155"/>
      <c r="BG536" s="158"/>
      <c r="BH536" s="158"/>
      <c r="BI536" s="155"/>
      <c r="BJ536" s="155"/>
      <c r="BK536" s="159"/>
      <c r="BL536" s="156"/>
      <c r="BM536" s="156"/>
      <c r="BN536" s="156"/>
      <c r="BO536" s="156"/>
      <c r="BP536" s="160"/>
      <c r="BQ536" s="160"/>
      <c r="BR536" s="160"/>
      <c r="BS536" s="160"/>
    </row>
    <row r="537" spans="1:71" x14ac:dyDescent="0.25">
      <c r="A537" s="154"/>
      <c r="B537" s="155"/>
      <c r="C537" s="155"/>
      <c r="D537" s="155"/>
      <c r="E537" s="156"/>
      <c r="F537" s="156"/>
      <c r="G537" s="155"/>
      <c r="H537" s="155"/>
      <c r="I537" s="155"/>
      <c r="J537" s="157"/>
      <c r="K537" s="157"/>
      <c r="L537" s="155"/>
      <c r="M537" s="155"/>
      <c r="N537" s="155"/>
      <c r="O537" s="156"/>
      <c r="P537" s="156"/>
      <c r="Q537" s="155"/>
      <c r="R537" s="155"/>
      <c r="S537" s="155"/>
      <c r="T537" s="156"/>
      <c r="U537" s="156"/>
      <c r="V537" s="155"/>
      <c r="W537" s="155"/>
      <c r="X537" s="155"/>
      <c r="Y537" s="155"/>
      <c r="Z537" s="155"/>
      <c r="AA537" s="156"/>
      <c r="AB537" s="156"/>
      <c r="AC537" s="155"/>
      <c r="AD537" s="155"/>
      <c r="AE537" s="155"/>
      <c r="AF537" s="156"/>
      <c r="AG537" s="156"/>
      <c r="AH537" s="155"/>
      <c r="AI537" s="155"/>
      <c r="AJ537" s="155"/>
      <c r="AK537" s="156"/>
      <c r="AL537" s="156"/>
      <c r="AM537" s="155"/>
      <c r="AN537" s="155"/>
      <c r="AO537" s="155"/>
      <c r="AP537" s="156"/>
      <c r="AQ537" s="156"/>
      <c r="AR537" s="155"/>
      <c r="AS537" s="155"/>
      <c r="AT537" s="155"/>
      <c r="AU537" s="156"/>
      <c r="AV537" s="156"/>
      <c r="AW537" s="155"/>
      <c r="AX537" s="155"/>
      <c r="AY537" s="155"/>
      <c r="AZ537" s="156"/>
      <c r="BA537" s="156"/>
      <c r="BB537" s="155"/>
      <c r="BC537" s="155"/>
      <c r="BD537" s="155"/>
      <c r="BE537" s="155"/>
      <c r="BF537" s="155"/>
      <c r="BG537" s="158"/>
      <c r="BH537" s="158"/>
      <c r="BI537" s="155"/>
      <c r="BJ537" s="155"/>
      <c r="BK537" s="159"/>
      <c r="BL537" s="156"/>
      <c r="BM537" s="156"/>
      <c r="BN537" s="156"/>
      <c r="BO537" s="156"/>
      <c r="BP537" s="160"/>
      <c r="BQ537" s="160"/>
      <c r="BR537" s="160"/>
      <c r="BS537" s="160"/>
    </row>
    <row r="538" spans="1:71" x14ac:dyDescent="0.25">
      <c r="A538" s="154"/>
      <c r="B538" s="155"/>
      <c r="C538" s="155"/>
      <c r="D538" s="155"/>
      <c r="E538" s="156"/>
      <c r="F538" s="156"/>
      <c r="G538" s="155"/>
      <c r="H538" s="155"/>
      <c r="I538" s="155"/>
      <c r="J538" s="157"/>
      <c r="K538" s="157"/>
      <c r="L538" s="155"/>
      <c r="M538" s="155"/>
      <c r="N538" s="155"/>
      <c r="O538" s="156"/>
      <c r="P538" s="156"/>
      <c r="Q538" s="155"/>
      <c r="R538" s="155"/>
      <c r="S538" s="155"/>
      <c r="T538" s="156"/>
      <c r="U538" s="156"/>
      <c r="V538" s="155"/>
      <c r="W538" s="155"/>
      <c r="X538" s="155"/>
      <c r="Y538" s="155"/>
      <c r="Z538" s="155"/>
      <c r="AA538" s="156"/>
      <c r="AB538" s="156"/>
      <c r="AC538" s="155"/>
      <c r="AD538" s="155"/>
      <c r="AE538" s="155"/>
      <c r="AF538" s="156"/>
      <c r="AG538" s="156"/>
      <c r="AH538" s="155"/>
      <c r="AI538" s="155"/>
      <c r="AJ538" s="155"/>
      <c r="AK538" s="156"/>
      <c r="AL538" s="156"/>
      <c r="AM538" s="155"/>
      <c r="AN538" s="155"/>
      <c r="AO538" s="155"/>
      <c r="AP538" s="156"/>
      <c r="AQ538" s="156"/>
      <c r="AR538" s="155"/>
      <c r="AS538" s="155"/>
      <c r="AT538" s="155"/>
      <c r="AU538" s="156"/>
      <c r="AV538" s="156"/>
      <c r="AW538" s="155"/>
      <c r="AX538" s="155"/>
      <c r="AY538" s="155"/>
      <c r="AZ538" s="156"/>
      <c r="BA538" s="156"/>
      <c r="BB538" s="155"/>
      <c r="BC538" s="155"/>
      <c r="BD538" s="155"/>
      <c r="BE538" s="155"/>
      <c r="BF538" s="155"/>
      <c r="BG538" s="158"/>
      <c r="BH538" s="158"/>
      <c r="BI538" s="155"/>
      <c r="BJ538" s="155"/>
      <c r="BK538" s="159"/>
      <c r="BL538" s="156"/>
      <c r="BM538" s="156"/>
      <c r="BN538" s="156"/>
      <c r="BO538" s="156"/>
      <c r="BP538" s="160"/>
      <c r="BQ538" s="160"/>
      <c r="BR538" s="160"/>
      <c r="BS538" s="160"/>
    </row>
    <row r="539" spans="1:71" x14ac:dyDescent="0.25">
      <c r="A539" s="154"/>
      <c r="B539" s="155"/>
      <c r="C539" s="155"/>
      <c r="D539" s="155"/>
      <c r="E539" s="156"/>
      <c r="F539" s="156"/>
      <c r="G539" s="155"/>
      <c r="H539" s="155"/>
      <c r="I539" s="155"/>
      <c r="J539" s="157"/>
      <c r="K539" s="157"/>
      <c r="L539" s="155"/>
      <c r="M539" s="155"/>
      <c r="N539" s="155"/>
      <c r="O539" s="156"/>
      <c r="P539" s="156"/>
      <c r="Q539" s="155"/>
      <c r="R539" s="155"/>
      <c r="S539" s="155"/>
      <c r="T539" s="156"/>
      <c r="U539" s="156"/>
      <c r="V539" s="155"/>
      <c r="W539" s="155"/>
      <c r="X539" s="155"/>
      <c r="Y539" s="155"/>
      <c r="Z539" s="155"/>
      <c r="AA539" s="156"/>
      <c r="AB539" s="156"/>
      <c r="AC539" s="155"/>
      <c r="AD539" s="155"/>
      <c r="AE539" s="155"/>
      <c r="AF539" s="156"/>
      <c r="AG539" s="156"/>
      <c r="AH539" s="155"/>
      <c r="AI539" s="155"/>
      <c r="AJ539" s="155"/>
      <c r="AK539" s="156"/>
      <c r="AL539" s="156"/>
      <c r="AM539" s="155"/>
      <c r="AN539" s="155"/>
      <c r="AO539" s="155"/>
      <c r="AP539" s="156"/>
      <c r="AQ539" s="156"/>
      <c r="AR539" s="155"/>
      <c r="AS539" s="155"/>
      <c r="AT539" s="155"/>
      <c r="AU539" s="156"/>
      <c r="AV539" s="156"/>
      <c r="AW539" s="155"/>
      <c r="AX539" s="155"/>
      <c r="AY539" s="155"/>
      <c r="AZ539" s="156"/>
      <c r="BA539" s="156"/>
      <c r="BB539" s="155"/>
      <c r="BC539" s="155"/>
      <c r="BD539" s="155"/>
      <c r="BE539" s="155"/>
      <c r="BF539" s="155"/>
      <c r="BG539" s="158"/>
      <c r="BH539" s="158"/>
      <c r="BI539" s="155"/>
      <c r="BJ539" s="155"/>
      <c r="BK539" s="159"/>
      <c r="BL539" s="156"/>
      <c r="BM539" s="156"/>
      <c r="BN539" s="156"/>
      <c r="BO539" s="156"/>
      <c r="BP539" s="160"/>
      <c r="BQ539" s="160"/>
      <c r="BR539" s="160"/>
      <c r="BS539" s="160"/>
    </row>
    <row r="540" spans="1:71" x14ac:dyDescent="0.25">
      <c r="A540" s="154"/>
      <c r="B540" s="155"/>
      <c r="C540" s="155"/>
      <c r="D540" s="155"/>
      <c r="E540" s="156"/>
      <c r="F540" s="156"/>
      <c r="G540" s="155"/>
      <c r="H540" s="155"/>
      <c r="I540" s="155"/>
      <c r="J540" s="157"/>
      <c r="K540" s="157"/>
      <c r="L540" s="155"/>
      <c r="M540" s="155"/>
      <c r="N540" s="155"/>
      <c r="O540" s="156"/>
      <c r="P540" s="156"/>
      <c r="Q540" s="155"/>
      <c r="R540" s="155"/>
      <c r="S540" s="155"/>
      <c r="T540" s="156"/>
      <c r="U540" s="156"/>
      <c r="V540" s="155"/>
      <c r="W540" s="155"/>
      <c r="X540" s="155"/>
      <c r="Y540" s="155"/>
      <c r="Z540" s="155"/>
      <c r="AA540" s="156"/>
      <c r="AB540" s="156"/>
      <c r="AC540" s="155"/>
      <c r="AD540" s="155"/>
      <c r="AE540" s="155"/>
      <c r="AF540" s="156"/>
      <c r="AG540" s="156"/>
      <c r="AH540" s="155"/>
      <c r="AI540" s="155"/>
      <c r="AJ540" s="155"/>
      <c r="AK540" s="156"/>
      <c r="AL540" s="156"/>
      <c r="AM540" s="155"/>
      <c r="AN540" s="155"/>
      <c r="AO540" s="155"/>
      <c r="AP540" s="156"/>
      <c r="AQ540" s="156"/>
      <c r="AR540" s="155"/>
      <c r="AS540" s="155"/>
      <c r="AT540" s="155"/>
      <c r="AU540" s="156"/>
      <c r="AV540" s="156"/>
      <c r="AW540" s="155"/>
      <c r="AX540" s="155"/>
      <c r="AY540" s="155"/>
      <c r="AZ540" s="156"/>
      <c r="BA540" s="156"/>
      <c r="BB540" s="155"/>
      <c r="BC540" s="155"/>
      <c r="BD540" s="155"/>
      <c r="BE540" s="155"/>
      <c r="BF540" s="155"/>
      <c r="BG540" s="158"/>
      <c r="BH540" s="158"/>
      <c r="BI540" s="155"/>
      <c r="BJ540" s="155"/>
      <c r="BK540" s="159"/>
      <c r="BL540" s="156"/>
      <c r="BM540" s="156"/>
      <c r="BN540" s="156"/>
      <c r="BO540" s="156"/>
      <c r="BP540" s="160"/>
      <c r="BQ540" s="160"/>
      <c r="BR540" s="160"/>
      <c r="BS540" s="160"/>
    </row>
    <row r="541" spans="1:71" x14ac:dyDescent="0.25">
      <c r="A541" s="154"/>
      <c r="B541" s="155"/>
      <c r="C541" s="155"/>
      <c r="D541" s="155"/>
      <c r="E541" s="156"/>
      <c r="F541" s="156"/>
      <c r="G541" s="155"/>
      <c r="H541" s="155"/>
      <c r="I541" s="155"/>
      <c r="J541" s="157"/>
      <c r="K541" s="157"/>
      <c r="L541" s="155"/>
      <c r="M541" s="155"/>
      <c r="N541" s="155"/>
      <c r="O541" s="156"/>
      <c r="P541" s="156"/>
      <c r="Q541" s="155"/>
      <c r="R541" s="155"/>
      <c r="S541" s="155"/>
      <c r="T541" s="156"/>
      <c r="U541" s="156"/>
      <c r="V541" s="155"/>
      <c r="W541" s="155"/>
      <c r="X541" s="155"/>
      <c r="Y541" s="155"/>
      <c r="Z541" s="155"/>
      <c r="AA541" s="156"/>
      <c r="AB541" s="156"/>
      <c r="AC541" s="155"/>
      <c r="AD541" s="155"/>
      <c r="AE541" s="155"/>
      <c r="AF541" s="156"/>
      <c r="AG541" s="156"/>
      <c r="AH541" s="155"/>
      <c r="AI541" s="155"/>
      <c r="AJ541" s="155"/>
      <c r="AK541" s="156"/>
      <c r="AL541" s="156"/>
      <c r="AM541" s="155"/>
      <c r="AN541" s="155"/>
      <c r="AO541" s="155"/>
      <c r="AP541" s="156"/>
      <c r="AQ541" s="156"/>
      <c r="AR541" s="155"/>
      <c r="AS541" s="155"/>
      <c r="AT541" s="155"/>
      <c r="AU541" s="156"/>
      <c r="AV541" s="156"/>
      <c r="AW541" s="155"/>
      <c r="AX541" s="155"/>
      <c r="AY541" s="155"/>
      <c r="AZ541" s="156"/>
      <c r="BA541" s="156"/>
      <c r="BB541" s="155"/>
      <c r="BC541" s="155"/>
      <c r="BD541" s="155"/>
      <c r="BE541" s="155"/>
      <c r="BF541" s="155"/>
      <c r="BG541" s="158"/>
      <c r="BH541" s="158"/>
      <c r="BI541" s="155"/>
      <c r="BJ541" s="155"/>
      <c r="BK541" s="159"/>
      <c r="BL541" s="156"/>
      <c r="BM541" s="156"/>
      <c r="BN541" s="156"/>
      <c r="BO541" s="156"/>
      <c r="BP541" s="160"/>
      <c r="BQ541" s="160"/>
      <c r="BR541" s="160"/>
      <c r="BS541" s="160"/>
    </row>
    <row r="542" spans="1:71" x14ac:dyDescent="0.25">
      <c r="A542" s="154"/>
      <c r="B542" s="155"/>
      <c r="C542" s="155"/>
      <c r="D542" s="155"/>
      <c r="E542" s="156"/>
      <c r="F542" s="156"/>
      <c r="G542" s="155"/>
      <c r="H542" s="155"/>
      <c r="I542" s="155"/>
      <c r="J542" s="157"/>
      <c r="K542" s="157"/>
      <c r="L542" s="155"/>
      <c r="M542" s="155"/>
      <c r="N542" s="155"/>
      <c r="O542" s="156"/>
      <c r="P542" s="156"/>
      <c r="Q542" s="155"/>
      <c r="R542" s="155"/>
      <c r="S542" s="155"/>
      <c r="T542" s="156"/>
      <c r="U542" s="156"/>
      <c r="V542" s="155"/>
      <c r="W542" s="155"/>
      <c r="X542" s="155"/>
      <c r="Y542" s="155"/>
      <c r="Z542" s="155"/>
      <c r="AA542" s="156"/>
      <c r="AB542" s="156"/>
      <c r="AC542" s="155"/>
      <c r="AD542" s="155"/>
      <c r="AE542" s="155"/>
      <c r="AF542" s="156"/>
      <c r="AG542" s="156"/>
      <c r="AH542" s="155"/>
      <c r="AI542" s="155"/>
      <c r="AJ542" s="155"/>
      <c r="AK542" s="156"/>
      <c r="AL542" s="156"/>
      <c r="AM542" s="155"/>
      <c r="AN542" s="155"/>
      <c r="AO542" s="155"/>
      <c r="AP542" s="156"/>
      <c r="AQ542" s="156"/>
      <c r="AR542" s="155"/>
      <c r="AS542" s="155"/>
      <c r="AT542" s="155"/>
      <c r="AU542" s="156"/>
      <c r="AV542" s="156"/>
      <c r="AW542" s="155"/>
      <c r="AX542" s="155"/>
      <c r="AY542" s="155"/>
      <c r="AZ542" s="156"/>
      <c r="BA542" s="156"/>
      <c r="BB542" s="155"/>
      <c r="BC542" s="155"/>
      <c r="BD542" s="155"/>
      <c r="BE542" s="155"/>
      <c r="BF542" s="155"/>
      <c r="BG542" s="158"/>
      <c r="BH542" s="158"/>
      <c r="BI542" s="155"/>
      <c r="BJ542" s="155"/>
      <c r="BK542" s="159"/>
      <c r="BL542" s="156"/>
      <c r="BM542" s="156"/>
      <c r="BN542" s="156"/>
      <c r="BO542" s="156"/>
      <c r="BP542" s="160"/>
      <c r="BQ542" s="160"/>
      <c r="BR542" s="160"/>
      <c r="BS542" s="160"/>
    </row>
    <row r="543" spans="1:71" x14ac:dyDescent="0.25">
      <c r="A543" s="154"/>
      <c r="B543" s="155"/>
      <c r="C543" s="155"/>
      <c r="D543" s="155"/>
      <c r="E543" s="156"/>
      <c r="F543" s="156"/>
      <c r="G543" s="155"/>
      <c r="H543" s="155"/>
      <c r="I543" s="155"/>
      <c r="J543" s="157"/>
      <c r="K543" s="157"/>
      <c r="L543" s="155"/>
      <c r="M543" s="155"/>
      <c r="N543" s="155"/>
      <c r="O543" s="156"/>
      <c r="P543" s="156"/>
      <c r="Q543" s="155"/>
      <c r="R543" s="155"/>
      <c r="S543" s="155"/>
      <c r="T543" s="156"/>
      <c r="U543" s="156"/>
      <c r="V543" s="155"/>
      <c r="W543" s="155"/>
      <c r="X543" s="155"/>
      <c r="Y543" s="155"/>
      <c r="Z543" s="155"/>
      <c r="AA543" s="156"/>
      <c r="AB543" s="156"/>
      <c r="AC543" s="155"/>
      <c r="AD543" s="155"/>
      <c r="AE543" s="155"/>
      <c r="AF543" s="156"/>
      <c r="AG543" s="156"/>
      <c r="AH543" s="155"/>
      <c r="AI543" s="155"/>
      <c r="AJ543" s="155"/>
      <c r="AK543" s="156"/>
      <c r="AL543" s="156"/>
      <c r="AM543" s="155"/>
      <c r="AN543" s="155"/>
      <c r="AO543" s="155"/>
      <c r="AP543" s="156"/>
      <c r="AQ543" s="156"/>
      <c r="AR543" s="155"/>
      <c r="AS543" s="155"/>
      <c r="AT543" s="155"/>
      <c r="AU543" s="156"/>
      <c r="AV543" s="156"/>
      <c r="AW543" s="155"/>
      <c r="AX543" s="155"/>
      <c r="AY543" s="155"/>
      <c r="AZ543" s="156"/>
      <c r="BA543" s="156"/>
      <c r="BB543" s="155"/>
      <c r="BC543" s="155"/>
      <c r="BD543" s="155"/>
      <c r="BE543" s="155"/>
      <c r="BF543" s="155"/>
      <c r="BG543" s="158"/>
      <c r="BH543" s="158"/>
      <c r="BI543" s="155"/>
      <c r="BJ543" s="155"/>
      <c r="BK543" s="159"/>
      <c r="BL543" s="156"/>
      <c r="BM543" s="156"/>
      <c r="BN543" s="156"/>
      <c r="BO543" s="156"/>
      <c r="BP543" s="160"/>
      <c r="BQ543" s="160"/>
      <c r="BR543" s="160"/>
      <c r="BS543" s="160"/>
    </row>
    <row r="544" spans="1:71" x14ac:dyDescent="0.25">
      <c r="A544" s="154"/>
      <c r="B544" s="155"/>
      <c r="C544" s="155"/>
      <c r="D544" s="155"/>
      <c r="E544" s="156"/>
      <c r="F544" s="156"/>
      <c r="G544" s="155"/>
      <c r="H544" s="155"/>
      <c r="I544" s="155"/>
      <c r="J544" s="157"/>
      <c r="K544" s="157"/>
      <c r="L544" s="155"/>
      <c r="M544" s="155"/>
      <c r="N544" s="155"/>
      <c r="O544" s="156"/>
      <c r="P544" s="156"/>
      <c r="Q544" s="155"/>
      <c r="R544" s="155"/>
      <c r="S544" s="155"/>
      <c r="T544" s="156"/>
      <c r="U544" s="156"/>
      <c r="V544" s="155"/>
      <c r="W544" s="155"/>
      <c r="X544" s="155"/>
      <c r="Y544" s="155"/>
      <c r="Z544" s="155"/>
      <c r="AA544" s="156"/>
      <c r="AB544" s="156"/>
      <c r="AC544" s="155"/>
      <c r="AD544" s="155"/>
      <c r="AE544" s="155"/>
      <c r="AF544" s="156"/>
      <c r="AG544" s="156"/>
      <c r="AH544" s="155"/>
      <c r="AI544" s="155"/>
      <c r="AJ544" s="155"/>
      <c r="AK544" s="156"/>
      <c r="AL544" s="156"/>
      <c r="AM544" s="155"/>
      <c r="AN544" s="155"/>
      <c r="AO544" s="155"/>
      <c r="AP544" s="156"/>
      <c r="AQ544" s="156"/>
      <c r="AR544" s="155"/>
      <c r="AS544" s="155"/>
      <c r="AT544" s="155"/>
      <c r="AU544" s="156"/>
      <c r="AV544" s="156"/>
      <c r="AW544" s="155"/>
      <c r="AX544" s="155"/>
      <c r="AY544" s="155"/>
      <c r="AZ544" s="156"/>
      <c r="BA544" s="156"/>
      <c r="BB544" s="155"/>
      <c r="BC544" s="155"/>
      <c r="BD544" s="155"/>
      <c r="BE544" s="155"/>
      <c r="BF544" s="155"/>
      <c r="BG544" s="158"/>
      <c r="BH544" s="158"/>
      <c r="BI544" s="155"/>
      <c r="BJ544" s="155"/>
      <c r="BK544" s="159"/>
      <c r="BL544" s="156"/>
      <c r="BM544" s="156"/>
      <c r="BN544" s="156"/>
      <c r="BO544" s="156"/>
      <c r="BP544" s="160"/>
      <c r="BQ544" s="160"/>
      <c r="BR544" s="160"/>
      <c r="BS544" s="160"/>
    </row>
    <row r="545" spans="1:71" x14ac:dyDescent="0.25">
      <c r="A545" s="154"/>
      <c r="B545" s="155"/>
      <c r="C545" s="155"/>
      <c r="D545" s="155"/>
      <c r="E545" s="156"/>
      <c r="F545" s="156"/>
      <c r="G545" s="155"/>
      <c r="H545" s="155"/>
      <c r="I545" s="155"/>
      <c r="J545" s="157"/>
      <c r="K545" s="157"/>
      <c r="L545" s="155"/>
      <c r="M545" s="155"/>
      <c r="N545" s="155"/>
      <c r="O545" s="156"/>
      <c r="P545" s="156"/>
      <c r="Q545" s="155"/>
      <c r="R545" s="155"/>
      <c r="S545" s="155"/>
      <c r="T545" s="156"/>
      <c r="U545" s="156"/>
      <c r="V545" s="155"/>
      <c r="W545" s="155"/>
      <c r="X545" s="155"/>
      <c r="Y545" s="155"/>
      <c r="Z545" s="155"/>
      <c r="AA545" s="156"/>
      <c r="AB545" s="156"/>
      <c r="AC545" s="155"/>
      <c r="AD545" s="155"/>
      <c r="AE545" s="155"/>
      <c r="AF545" s="156"/>
      <c r="AG545" s="156"/>
      <c r="AH545" s="155"/>
      <c r="AI545" s="155"/>
      <c r="AJ545" s="155"/>
      <c r="AK545" s="156"/>
      <c r="AL545" s="156"/>
      <c r="AM545" s="155"/>
      <c r="AN545" s="155"/>
      <c r="AO545" s="155"/>
      <c r="AP545" s="156"/>
      <c r="AQ545" s="156"/>
      <c r="AR545" s="155"/>
      <c r="AS545" s="155"/>
      <c r="AT545" s="155"/>
      <c r="AU545" s="156"/>
      <c r="AV545" s="156"/>
      <c r="AW545" s="155"/>
      <c r="AX545" s="155"/>
      <c r="AY545" s="155"/>
      <c r="AZ545" s="156"/>
      <c r="BA545" s="156"/>
      <c r="BB545" s="155"/>
      <c r="BC545" s="155"/>
      <c r="BD545" s="155"/>
      <c r="BE545" s="155"/>
      <c r="BF545" s="155"/>
      <c r="BG545" s="158"/>
      <c r="BH545" s="158"/>
      <c r="BI545" s="155"/>
      <c r="BJ545" s="155"/>
      <c r="BK545" s="159"/>
      <c r="BL545" s="156"/>
      <c r="BM545" s="156"/>
      <c r="BN545" s="156"/>
      <c r="BO545" s="156"/>
      <c r="BP545" s="160"/>
      <c r="BQ545" s="160"/>
      <c r="BR545" s="160"/>
      <c r="BS545" s="160"/>
    </row>
    <row r="546" spans="1:71" x14ac:dyDescent="0.25">
      <c r="A546" s="154"/>
      <c r="B546" s="155"/>
      <c r="C546" s="155"/>
      <c r="D546" s="155"/>
      <c r="E546" s="156"/>
      <c r="F546" s="156"/>
      <c r="G546" s="155"/>
      <c r="H546" s="155"/>
      <c r="I546" s="155"/>
      <c r="J546" s="157"/>
      <c r="K546" s="157"/>
      <c r="L546" s="155"/>
      <c r="M546" s="155"/>
      <c r="N546" s="155"/>
      <c r="O546" s="156"/>
      <c r="P546" s="156"/>
      <c r="Q546" s="155"/>
      <c r="R546" s="155"/>
      <c r="S546" s="155"/>
      <c r="T546" s="156"/>
      <c r="U546" s="156"/>
      <c r="V546" s="155"/>
      <c r="W546" s="155"/>
      <c r="X546" s="155"/>
      <c r="Y546" s="155"/>
      <c r="Z546" s="155"/>
      <c r="AA546" s="156"/>
      <c r="AB546" s="156"/>
      <c r="AC546" s="155"/>
      <c r="AD546" s="155"/>
      <c r="AE546" s="155"/>
      <c r="AF546" s="156"/>
      <c r="AG546" s="156"/>
      <c r="AH546" s="155"/>
      <c r="AI546" s="155"/>
      <c r="AJ546" s="155"/>
      <c r="AK546" s="156"/>
      <c r="AL546" s="156"/>
      <c r="AM546" s="155"/>
      <c r="AN546" s="155"/>
      <c r="AO546" s="155"/>
      <c r="AP546" s="156"/>
      <c r="AQ546" s="156"/>
      <c r="AR546" s="155"/>
      <c r="AS546" s="155"/>
      <c r="AT546" s="155"/>
      <c r="AU546" s="156"/>
      <c r="AV546" s="156"/>
      <c r="AW546" s="155"/>
      <c r="AX546" s="155"/>
      <c r="AY546" s="155"/>
      <c r="AZ546" s="156"/>
      <c r="BA546" s="156"/>
      <c r="BB546" s="155"/>
      <c r="BC546" s="155"/>
      <c r="BD546" s="155"/>
      <c r="BE546" s="155"/>
      <c r="BF546" s="155"/>
      <c r="BG546" s="158"/>
      <c r="BH546" s="158"/>
      <c r="BI546" s="155"/>
      <c r="BJ546" s="155"/>
      <c r="BK546" s="159"/>
      <c r="BL546" s="156"/>
      <c r="BM546" s="156"/>
      <c r="BN546" s="156"/>
      <c r="BO546" s="156"/>
      <c r="BP546" s="160"/>
      <c r="BQ546" s="160"/>
      <c r="BR546" s="160"/>
      <c r="BS546" s="160"/>
    </row>
    <row r="547" spans="1:71" x14ac:dyDescent="0.25">
      <c r="A547" s="154"/>
      <c r="B547" s="155"/>
      <c r="C547" s="155"/>
      <c r="D547" s="155"/>
      <c r="E547" s="156"/>
      <c r="F547" s="156"/>
      <c r="G547" s="155"/>
      <c r="H547" s="155"/>
      <c r="I547" s="155"/>
      <c r="J547" s="157"/>
      <c r="K547" s="157"/>
      <c r="L547" s="155"/>
      <c r="M547" s="155"/>
      <c r="N547" s="155"/>
      <c r="O547" s="156"/>
      <c r="P547" s="156"/>
      <c r="Q547" s="155"/>
      <c r="R547" s="155"/>
      <c r="S547" s="155"/>
      <c r="T547" s="156"/>
      <c r="U547" s="156"/>
      <c r="V547" s="155"/>
      <c r="W547" s="155"/>
      <c r="X547" s="155"/>
      <c r="Y547" s="155"/>
      <c r="Z547" s="155"/>
      <c r="AA547" s="156"/>
      <c r="AB547" s="156"/>
      <c r="AC547" s="155"/>
      <c r="AD547" s="155"/>
      <c r="AE547" s="155"/>
      <c r="AF547" s="156"/>
      <c r="AG547" s="156"/>
      <c r="AH547" s="155"/>
      <c r="AI547" s="155"/>
      <c r="AJ547" s="155"/>
      <c r="AK547" s="156"/>
      <c r="AL547" s="156"/>
      <c r="AM547" s="155"/>
      <c r="AN547" s="155"/>
      <c r="AO547" s="155"/>
      <c r="AP547" s="156"/>
      <c r="AQ547" s="156"/>
      <c r="AR547" s="155"/>
      <c r="AS547" s="155"/>
      <c r="AT547" s="155"/>
      <c r="AU547" s="156"/>
      <c r="AV547" s="156"/>
      <c r="AW547" s="155"/>
      <c r="AX547" s="155"/>
      <c r="AY547" s="155"/>
      <c r="AZ547" s="156"/>
      <c r="BA547" s="156"/>
      <c r="BB547" s="155"/>
      <c r="BC547" s="155"/>
      <c r="BD547" s="155"/>
      <c r="BE547" s="155"/>
      <c r="BF547" s="155"/>
      <c r="BG547" s="158"/>
      <c r="BH547" s="158"/>
      <c r="BI547" s="155"/>
      <c r="BJ547" s="155"/>
      <c r="BK547" s="159"/>
      <c r="BL547" s="156"/>
      <c r="BM547" s="156"/>
      <c r="BN547" s="156"/>
      <c r="BO547" s="156"/>
      <c r="BP547" s="160"/>
      <c r="BQ547" s="160"/>
      <c r="BR547" s="160"/>
      <c r="BS547" s="160"/>
    </row>
    <row r="548" spans="1:71" x14ac:dyDescent="0.25">
      <c r="A548" s="154"/>
      <c r="B548" s="155"/>
      <c r="C548" s="155"/>
      <c r="D548" s="155"/>
      <c r="E548" s="156"/>
      <c r="F548" s="156"/>
      <c r="G548" s="155"/>
      <c r="H548" s="155"/>
      <c r="I548" s="155"/>
      <c r="J548" s="157"/>
      <c r="K548" s="157"/>
      <c r="L548" s="155"/>
      <c r="M548" s="155"/>
      <c r="N548" s="155"/>
      <c r="O548" s="156"/>
      <c r="P548" s="156"/>
      <c r="Q548" s="155"/>
      <c r="R548" s="155"/>
      <c r="S548" s="155"/>
      <c r="T548" s="156"/>
      <c r="U548" s="156"/>
      <c r="V548" s="155"/>
      <c r="W548" s="155"/>
      <c r="X548" s="155"/>
      <c r="Y548" s="155"/>
      <c r="Z548" s="155"/>
      <c r="AA548" s="156"/>
      <c r="AB548" s="156"/>
      <c r="AC548" s="155"/>
      <c r="AD548" s="155"/>
      <c r="AE548" s="155"/>
      <c r="AF548" s="156"/>
      <c r="AG548" s="156"/>
      <c r="AH548" s="155"/>
      <c r="AI548" s="155"/>
      <c r="AJ548" s="155"/>
      <c r="AK548" s="156"/>
      <c r="AL548" s="156"/>
      <c r="AM548" s="155"/>
      <c r="AN548" s="155"/>
      <c r="AO548" s="155"/>
      <c r="AP548" s="156"/>
      <c r="AQ548" s="156"/>
      <c r="AR548" s="155"/>
      <c r="AS548" s="155"/>
      <c r="AT548" s="155"/>
      <c r="AU548" s="156"/>
      <c r="AV548" s="156"/>
      <c r="AW548" s="155"/>
      <c r="AX548" s="155"/>
      <c r="AY548" s="155"/>
      <c r="AZ548" s="156"/>
      <c r="BA548" s="156"/>
      <c r="BB548" s="155"/>
      <c r="BC548" s="155"/>
      <c r="BD548" s="155"/>
      <c r="BE548" s="155"/>
      <c r="BF548" s="155"/>
      <c r="BG548" s="158"/>
      <c r="BH548" s="158"/>
      <c r="BI548" s="155"/>
      <c r="BJ548" s="155"/>
      <c r="BK548" s="159"/>
      <c r="BL548" s="156"/>
      <c r="BM548" s="156"/>
      <c r="BN548" s="156"/>
      <c r="BO548" s="156"/>
      <c r="BP548" s="160"/>
      <c r="BQ548" s="160"/>
      <c r="BR548" s="160"/>
      <c r="BS548" s="160"/>
    </row>
    <row r="549" spans="1:71" x14ac:dyDescent="0.25">
      <c r="A549" s="154"/>
      <c r="B549" s="155"/>
      <c r="C549" s="155"/>
      <c r="D549" s="155"/>
      <c r="E549" s="156"/>
      <c r="F549" s="156"/>
      <c r="G549" s="155"/>
      <c r="H549" s="155"/>
      <c r="I549" s="155"/>
      <c r="J549" s="157"/>
      <c r="K549" s="157"/>
      <c r="L549" s="155"/>
      <c r="M549" s="155"/>
      <c r="N549" s="155"/>
      <c r="O549" s="156"/>
      <c r="P549" s="156"/>
      <c r="Q549" s="155"/>
      <c r="R549" s="155"/>
      <c r="S549" s="155"/>
      <c r="T549" s="156"/>
      <c r="U549" s="156"/>
      <c r="V549" s="155"/>
      <c r="W549" s="155"/>
      <c r="X549" s="155"/>
      <c r="Y549" s="155"/>
      <c r="Z549" s="155"/>
      <c r="AA549" s="156"/>
      <c r="AB549" s="156"/>
      <c r="AC549" s="155"/>
      <c r="AD549" s="155"/>
      <c r="AE549" s="155"/>
      <c r="AF549" s="156"/>
      <c r="AG549" s="156"/>
      <c r="AH549" s="155"/>
      <c r="AI549" s="155"/>
      <c r="AJ549" s="155"/>
      <c r="AK549" s="156"/>
      <c r="AL549" s="156"/>
      <c r="AM549" s="155"/>
      <c r="AN549" s="155"/>
      <c r="AO549" s="155"/>
      <c r="AP549" s="156"/>
      <c r="AQ549" s="156"/>
      <c r="AR549" s="155"/>
      <c r="AS549" s="155"/>
      <c r="AT549" s="155"/>
      <c r="AU549" s="156"/>
      <c r="AV549" s="156"/>
      <c r="AW549" s="155"/>
      <c r="AX549" s="155"/>
      <c r="AY549" s="155"/>
      <c r="AZ549" s="156"/>
      <c r="BA549" s="156"/>
      <c r="BB549" s="155"/>
      <c r="BC549" s="155"/>
      <c r="BD549" s="155"/>
      <c r="BE549" s="155"/>
      <c r="BF549" s="155"/>
      <c r="BG549" s="158"/>
      <c r="BH549" s="158"/>
      <c r="BI549" s="155"/>
      <c r="BJ549" s="155"/>
      <c r="BK549" s="159"/>
      <c r="BL549" s="156"/>
      <c r="BM549" s="156"/>
      <c r="BN549" s="156"/>
      <c r="BO549" s="156"/>
      <c r="BP549" s="160"/>
      <c r="BQ549" s="160"/>
      <c r="BR549" s="160"/>
      <c r="BS549" s="160"/>
    </row>
    <row r="550" spans="1:71" x14ac:dyDescent="0.25">
      <c r="A550" s="154"/>
      <c r="B550" s="155"/>
      <c r="C550" s="155"/>
      <c r="D550" s="155"/>
      <c r="E550" s="156"/>
      <c r="F550" s="156"/>
      <c r="G550" s="155"/>
      <c r="H550" s="155"/>
      <c r="I550" s="155"/>
      <c r="J550" s="157"/>
      <c r="K550" s="157"/>
      <c r="L550" s="155"/>
      <c r="M550" s="155"/>
      <c r="N550" s="155"/>
      <c r="O550" s="156"/>
      <c r="P550" s="156"/>
      <c r="Q550" s="155"/>
      <c r="R550" s="155"/>
      <c r="S550" s="155"/>
      <c r="T550" s="156"/>
      <c r="U550" s="156"/>
      <c r="V550" s="155"/>
      <c r="W550" s="155"/>
      <c r="X550" s="155"/>
      <c r="Y550" s="155"/>
      <c r="Z550" s="155"/>
      <c r="AA550" s="156"/>
      <c r="AB550" s="156"/>
      <c r="AC550" s="155"/>
      <c r="AD550" s="155"/>
      <c r="AE550" s="155"/>
      <c r="AF550" s="156"/>
      <c r="AG550" s="156"/>
      <c r="AH550" s="155"/>
      <c r="AI550" s="155"/>
      <c r="AJ550" s="155"/>
      <c r="AK550" s="156"/>
      <c r="AL550" s="156"/>
      <c r="AM550" s="155"/>
      <c r="AN550" s="155"/>
      <c r="AO550" s="155"/>
      <c r="AP550" s="156"/>
      <c r="AQ550" s="156"/>
      <c r="AR550" s="155"/>
      <c r="AS550" s="155"/>
      <c r="AT550" s="155"/>
      <c r="AU550" s="156"/>
      <c r="AV550" s="156"/>
      <c r="AW550" s="155"/>
      <c r="AX550" s="155"/>
      <c r="AY550" s="155"/>
      <c r="AZ550" s="156"/>
      <c r="BA550" s="156"/>
      <c r="BB550" s="155"/>
      <c r="BC550" s="155"/>
      <c r="BD550" s="155"/>
      <c r="BE550" s="155"/>
      <c r="BF550" s="155"/>
      <c r="BG550" s="158"/>
      <c r="BH550" s="158"/>
      <c r="BI550" s="155"/>
      <c r="BJ550" s="155"/>
      <c r="BK550" s="159"/>
      <c r="BL550" s="156"/>
      <c r="BM550" s="156"/>
      <c r="BN550" s="156"/>
      <c r="BO550" s="156"/>
      <c r="BP550" s="160"/>
      <c r="BQ550" s="160"/>
      <c r="BR550" s="160"/>
      <c r="BS550" s="160"/>
    </row>
    <row r="551" spans="1:71" x14ac:dyDescent="0.25">
      <c r="A551" s="154"/>
      <c r="B551" s="155"/>
      <c r="C551" s="155"/>
      <c r="D551" s="155"/>
      <c r="E551" s="156"/>
      <c r="F551" s="156"/>
      <c r="G551" s="155"/>
      <c r="H551" s="155"/>
      <c r="I551" s="155"/>
      <c r="J551" s="157"/>
      <c r="K551" s="157"/>
      <c r="L551" s="155"/>
      <c r="M551" s="155"/>
      <c r="N551" s="155"/>
      <c r="O551" s="156"/>
      <c r="P551" s="156"/>
      <c r="Q551" s="155"/>
      <c r="R551" s="155"/>
      <c r="S551" s="155"/>
      <c r="T551" s="156"/>
      <c r="U551" s="156"/>
      <c r="V551" s="155"/>
      <c r="W551" s="155"/>
      <c r="X551" s="155"/>
      <c r="Y551" s="155"/>
      <c r="Z551" s="155"/>
      <c r="AA551" s="156"/>
      <c r="AB551" s="156"/>
      <c r="AC551" s="155"/>
      <c r="AD551" s="155"/>
      <c r="AE551" s="155"/>
      <c r="AF551" s="156"/>
      <c r="AG551" s="156"/>
      <c r="AH551" s="155"/>
      <c r="AI551" s="155"/>
      <c r="AJ551" s="155"/>
      <c r="AK551" s="156"/>
      <c r="AL551" s="156"/>
      <c r="AM551" s="155"/>
      <c r="AN551" s="155"/>
      <c r="AO551" s="155"/>
      <c r="AP551" s="156"/>
      <c r="AQ551" s="156"/>
      <c r="AR551" s="155"/>
      <c r="AS551" s="155"/>
      <c r="AT551" s="155"/>
      <c r="AU551" s="156"/>
      <c r="AV551" s="156"/>
      <c r="AW551" s="155"/>
      <c r="AX551" s="155"/>
      <c r="AY551" s="155"/>
      <c r="AZ551" s="156"/>
      <c r="BA551" s="156"/>
      <c r="BB551" s="155"/>
      <c r="BC551" s="155"/>
      <c r="BD551" s="155"/>
      <c r="BE551" s="155"/>
      <c r="BF551" s="155"/>
      <c r="BG551" s="158"/>
      <c r="BH551" s="158"/>
      <c r="BI551" s="155"/>
      <c r="BJ551" s="155"/>
      <c r="BK551" s="159"/>
      <c r="BL551" s="156"/>
      <c r="BM551" s="156"/>
      <c r="BN551" s="156"/>
      <c r="BO551" s="156"/>
      <c r="BP551" s="160"/>
      <c r="BQ551" s="160"/>
      <c r="BR551" s="160"/>
      <c r="BS551" s="160"/>
    </row>
    <row r="552" spans="1:71" x14ac:dyDescent="0.25">
      <c r="A552" s="154"/>
      <c r="B552" s="155"/>
      <c r="C552" s="155"/>
      <c r="D552" s="155"/>
      <c r="E552" s="156"/>
      <c r="F552" s="156"/>
      <c r="G552" s="155"/>
      <c r="H552" s="155"/>
      <c r="I552" s="155"/>
      <c r="J552" s="157"/>
      <c r="K552" s="157"/>
      <c r="L552" s="155"/>
      <c r="M552" s="155"/>
      <c r="N552" s="155"/>
      <c r="O552" s="156"/>
      <c r="P552" s="156"/>
      <c r="Q552" s="155"/>
      <c r="R552" s="155"/>
      <c r="S552" s="155"/>
      <c r="T552" s="156"/>
      <c r="U552" s="156"/>
      <c r="V552" s="155"/>
      <c r="W552" s="155"/>
      <c r="X552" s="155"/>
      <c r="Y552" s="155"/>
      <c r="Z552" s="155"/>
      <c r="AA552" s="156"/>
      <c r="AB552" s="156"/>
      <c r="AC552" s="155"/>
      <c r="AD552" s="155"/>
      <c r="AE552" s="155"/>
      <c r="AF552" s="156"/>
      <c r="AG552" s="156"/>
      <c r="AH552" s="155"/>
      <c r="AI552" s="155"/>
      <c r="AJ552" s="155"/>
      <c r="AK552" s="156"/>
      <c r="AL552" s="156"/>
      <c r="AM552" s="155"/>
      <c r="AN552" s="155"/>
      <c r="AO552" s="155"/>
      <c r="AP552" s="156"/>
      <c r="AQ552" s="156"/>
      <c r="AR552" s="155"/>
      <c r="AS552" s="155"/>
      <c r="AT552" s="155"/>
      <c r="AU552" s="156"/>
      <c r="AV552" s="156"/>
      <c r="AW552" s="155"/>
      <c r="AX552" s="155"/>
      <c r="AY552" s="155"/>
      <c r="AZ552" s="156"/>
      <c r="BA552" s="156"/>
      <c r="BB552" s="155"/>
      <c r="BC552" s="155"/>
      <c r="BD552" s="155"/>
      <c r="BE552" s="155"/>
      <c r="BF552" s="155"/>
      <c r="BG552" s="158"/>
      <c r="BH552" s="158"/>
      <c r="BI552" s="155"/>
      <c r="BJ552" s="155"/>
      <c r="BK552" s="159"/>
      <c r="BL552" s="156"/>
      <c r="BM552" s="156"/>
      <c r="BN552" s="156"/>
      <c r="BO552" s="156"/>
      <c r="BP552" s="160"/>
      <c r="BQ552" s="160"/>
      <c r="BR552" s="160"/>
      <c r="BS552" s="160"/>
    </row>
    <row r="553" spans="1:71" x14ac:dyDescent="0.25">
      <c r="A553" s="154"/>
      <c r="B553" s="155"/>
      <c r="C553" s="155"/>
      <c r="D553" s="155"/>
      <c r="E553" s="156"/>
      <c r="F553" s="156"/>
      <c r="G553" s="155"/>
      <c r="H553" s="155"/>
      <c r="I553" s="155"/>
      <c r="J553" s="157"/>
      <c r="K553" s="157"/>
      <c r="L553" s="155"/>
      <c r="M553" s="155"/>
      <c r="N553" s="155"/>
      <c r="O553" s="156"/>
      <c r="P553" s="156"/>
      <c r="Q553" s="155"/>
      <c r="R553" s="155"/>
      <c r="S553" s="155"/>
      <c r="T553" s="156"/>
      <c r="U553" s="156"/>
      <c r="V553" s="155"/>
      <c r="W553" s="155"/>
      <c r="X553" s="155"/>
      <c r="Y553" s="155"/>
      <c r="Z553" s="155"/>
      <c r="AA553" s="156"/>
      <c r="AB553" s="156"/>
      <c r="AC553" s="155"/>
      <c r="AD553" s="155"/>
      <c r="AE553" s="155"/>
      <c r="AF553" s="156"/>
      <c r="AG553" s="156"/>
      <c r="AH553" s="155"/>
      <c r="AI553" s="155"/>
      <c r="AJ553" s="155"/>
      <c r="AK553" s="156"/>
      <c r="AL553" s="156"/>
      <c r="AM553" s="155"/>
      <c r="AN553" s="155"/>
      <c r="AO553" s="155"/>
      <c r="AP553" s="156"/>
      <c r="AQ553" s="156"/>
      <c r="AR553" s="155"/>
      <c r="AS553" s="155"/>
      <c r="AT553" s="155"/>
      <c r="AU553" s="156"/>
      <c r="AV553" s="156"/>
      <c r="AW553" s="155"/>
      <c r="AX553" s="155"/>
      <c r="AY553" s="155"/>
      <c r="AZ553" s="156"/>
      <c r="BA553" s="156"/>
      <c r="BB553" s="155"/>
      <c r="BC553" s="155"/>
      <c r="BD553" s="155"/>
      <c r="BE553" s="155"/>
      <c r="BF553" s="155"/>
      <c r="BG553" s="158"/>
      <c r="BH553" s="158"/>
      <c r="BI553" s="155"/>
      <c r="BJ553" s="155"/>
      <c r="BK553" s="159"/>
      <c r="BL553" s="156"/>
      <c r="BM553" s="156"/>
      <c r="BN553" s="156"/>
      <c r="BO553" s="156"/>
      <c r="BP553" s="160"/>
      <c r="BQ553" s="160"/>
      <c r="BR553" s="160"/>
      <c r="BS553" s="160"/>
    </row>
    <row r="554" spans="1:71" x14ac:dyDescent="0.25">
      <c r="A554" s="154"/>
      <c r="B554" s="155"/>
      <c r="C554" s="155"/>
      <c r="D554" s="155"/>
      <c r="E554" s="156"/>
      <c r="F554" s="156"/>
      <c r="G554" s="155"/>
      <c r="H554" s="155"/>
      <c r="I554" s="155"/>
      <c r="J554" s="157"/>
      <c r="K554" s="157"/>
      <c r="L554" s="155"/>
      <c r="M554" s="155"/>
      <c r="N554" s="155"/>
      <c r="O554" s="156"/>
      <c r="P554" s="156"/>
      <c r="Q554" s="155"/>
      <c r="R554" s="155"/>
      <c r="S554" s="155"/>
      <c r="T554" s="156"/>
      <c r="U554" s="156"/>
      <c r="V554" s="155"/>
      <c r="W554" s="155"/>
      <c r="X554" s="155"/>
      <c r="Y554" s="155"/>
      <c r="Z554" s="155"/>
      <c r="AA554" s="156"/>
      <c r="AB554" s="156"/>
      <c r="AC554" s="155"/>
      <c r="AD554" s="155"/>
      <c r="AE554" s="155"/>
      <c r="AF554" s="156"/>
      <c r="AG554" s="156"/>
      <c r="AH554" s="155"/>
      <c r="AI554" s="155"/>
      <c r="AJ554" s="155"/>
      <c r="AK554" s="156"/>
      <c r="AL554" s="156"/>
      <c r="AM554" s="155"/>
      <c r="AN554" s="155"/>
      <c r="AO554" s="155"/>
      <c r="AP554" s="156"/>
      <c r="AQ554" s="156"/>
      <c r="AR554" s="155"/>
      <c r="AS554" s="155"/>
      <c r="AT554" s="155"/>
      <c r="AU554" s="156"/>
      <c r="AV554" s="156"/>
      <c r="AW554" s="155"/>
      <c r="AX554" s="155"/>
      <c r="AY554" s="155"/>
      <c r="AZ554" s="156"/>
      <c r="BA554" s="156"/>
      <c r="BB554" s="155"/>
      <c r="BC554" s="155"/>
      <c r="BD554" s="155"/>
      <c r="BE554" s="155"/>
      <c r="BF554" s="155"/>
      <c r="BG554" s="158"/>
      <c r="BH554" s="158"/>
      <c r="BI554" s="155"/>
      <c r="BJ554" s="155"/>
      <c r="BK554" s="159"/>
      <c r="BL554" s="156"/>
      <c r="BM554" s="156"/>
      <c r="BN554" s="156"/>
      <c r="BO554" s="156"/>
      <c r="BP554" s="160"/>
      <c r="BQ554" s="160"/>
      <c r="BR554" s="160"/>
      <c r="BS554" s="160"/>
    </row>
    <row r="555" spans="1:71" x14ac:dyDescent="0.25">
      <c r="A555" s="154"/>
      <c r="B555" s="155"/>
      <c r="C555" s="155"/>
      <c r="D555" s="155"/>
      <c r="E555" s="156"/>
      <c r="F555" s="156"/>
      <c r="G555" s="155"/>
      <c r="H555" s="155"/>
      <c r="I555" s="155"/>
      <c r="J555" s="157"/>
      <c r="K555" s="157"/>
      <c r="L555" s="155"/>
      <c r="M555" s="155"/>
      <c r="N555" s="155"/>
      <c r="O555" s="156"/>
      <c r="P555" s="156"/>
      <c r="Q555" s="155"/>
      <c r="R555" s="155"/>
      <c r="S555" s="155"/>
      <c r="T555" s="156"/>
      <c r="U555" s="156"/>
      <c r="V555" s="155"/>
      <c r="W555" s="155"/>
      <c r="X555" s="155"/>
      <c r="Y555" s="155"/>
      <c r="Z555" s="155"/>
      <c r="AA555" s="156"/>
      <c r="AB555" s="156"/>
      <c r="AC555" s="155"/>
      <c r="AD555" s="155"/>
      <c r="AE555" s="155"/>
      <c r="AF555" s="156"/>
      <c r="AG555" s="156"/>
      <c r="AH555" s="155"/>
      <c r="AI555" s="155"/>
      <c r="AJ555" s="155"/>
      <c r="AK555" s="156"/>
      <c r="AL555" s="156"/>
      <c r="AM555" s="155"/>
      <c r="AN555" s="155"/>
      <c r="AO555" s="155"/>
      <c r="AP555" s="156"/>
      <c r="AQ555" s="156"/>
      <c r="AR555" s="155"/>
      <c r="AS555" s="155"/>
      <c r="AT555" s="155"/>
      <c r="AU555" s="156"/>
      <c r="AV555" s="156"/>
      <c r="AW555" s="155"/>
      <c r="AX555" s="155"/>
      <c r="AY555" s="155"/>
      <c r="AZ555" s="156"/>
      <c r="BA555" s="156"/>
      <c r="BB555" s="155"/>
      <c r="BC555" s="155"/>
      <c r="BD555" s="155"/>
      <c r="BE555" s="155"/>
      <c r="BF555" s="155"/>
      <c r="BG555" s="158"/>
      <c r="BH555" s="158"/>
      <c r="BI555" s="155"/>
      <c r="BJ555" s="155"/>
      <c r="BK555" s="159"/>
      <c r="BL555" s="156"/>
      <c r="BM555" s="156"/>
      <c r="BN555" s="156"/>
      <c r="BO555" s="156"/>
      <c r="BP555" s="160"/>
      <c r="BQ555" s="160"/>
      <c r="BR555" s="160"/>
      <c r="BS555" s="160"/>
    </row>
    <row r="556" spans="1:71" x14ac:dyDescent="0.25">
      <c r="A556" s="154"/>
      <c r="B556" s="155"/>
      <c r="C556" s="155"/>
      <c r="D556" s="155"/>
      <c r="E556" s="156"/>
      <c r="F556" s="156"/>
      <c r="G556" s="155"/>
      <c r="H556" s="155"/>
      <c r="I556" s="155"/>
      <c r="J556" s="157"/>
      <c r="K556" s="157"/>
      <c r="L556" s="155"/>
      <c r="M556" s="155"/>
      <c r="N556" s="155"/>
      <c r="O556" s="156"/>
      <c r="P556" s="156"/>
      <c r="Q556" s="155"/>
      <c r="R556" s="155"/>
      <c r="S556" s="155"/>
      <c r="T556" s="156"/>
      <c r="U556" s="156"/>
      <c r="V556" s="155"/>
      <c r="W556" s="155"/>
      <c r="X556" s="155"/>
      <c r="Y556" s="155"/>
      <c r="Z556" s="155"/>
      <c r="AA556" s="156"/>
      <c r="AB556" s="156"/>
      <c r="AC556" s="155"/>
      <c r="AD556" s="155"/>
      <c r="AE556" s="155"/>
      <c r="AF556" s="156"/>
      <c r="AG556" s="156"/>
      <c r="AH556" s="155"/>
      <c r="AI556" s="155"/>
      <c r="AJ556" s="155"/>
      <c r="AK556" s="156"/>
      <c r="AL556" s="156"/>
      <c r="AM556" s="155"/>
      <c r="AN556" s="155"/>
      <c r="AO556" s="155"/>
      <c r="AP556" s="156"/>
      <c r="AQ556" s="156"/>
      <c r="AR556" s="155"/>
      <c r="AS556" s="155"/>
      <c r="AT556" s="155"/>
      <c r="AU556" s="156"/>
      <c r="AV556" s="156"/>
      <c r="AW556" s="155"/>
      <c r="AX556" s="155"/>
      <c r="AY556" s="155"/>
      <c r="AZ556" s="156"/>
      <c r="BA556" s="156"/>
      <c r="BB556" s="155"/>
      <c r="BC556" s="155"/>
      <c r="BD556" s="155"/>
      <c r="BE556" s="155"/>
      <c r="BF556" s="155"/>
      <c r="BG556" s="158"/>
      <c r="BH556" s="158"/>
      <c r="BI556" s="155"/>
      <c r="BJ556" s="155"/>
      <c r="BK556" s="159"/>
      <c r="BL556" s="156"/>
      <c r="BM556" s="156"/>
      <c r="BN556" s="156"/>
      <c r="BO556" s="156"/>
      <c r="BP556" s="160"/>
      <c r="BQ556" s="160"/>
      <c r="BR556" s="160"/>
      <c r="BS556" s="160"/>
    </row>
    <row r="557" spans="1:71" x14ac:dyDescent="0.25">
      <c r="A557" s="154"/>
      <c r="B557" s="155"/>
      <c r="C557" s="155"/>
      <c r="D557" s="155"/>
      <c r="E557" s="156"/>
      <c r="F557" s="156"/>
      <c r="G557" s="155"/>
      <c r="H557" s="155"/>
      <c r="I557" s="155"/>
      <c r="J557" s="157"/>
      <c r="K557" s="157"/>
      <c r="L557" s="155"/>
      <c r="M557" s="155"/>
      <c r="N557" s="155"/>
      <c r="O557" s="156"/>
      <c r="P557" s="156"/>
      <c r="Q557" s="155"/>
      <c r="R557" s="155"/>
      <c r="S557" s="155"/>
      <c r="T557" s="156"/>
      <c r="U557" s="156"/>
      <c r="V557" s="155"/>
      <c r="W557" s="155"/>
      <c r="X557" s="155"/>
      <c r="Y557" s="155"/>
      <c r="Z557" s="155"/>
      <c r="AA557" s="156"/>
      <c r="AB557" s="156"/>
      <c r="AC557" s="155"/>
      <c r="AD557" s="155"/>
      <c r="AE557" s="155"/>
      <c r="AF557" s="156"/>
      <c r="AG557" s="156"/>
      <c r="AH557" s="155"/>
      <c r="AI557" s="155"/>
      <c r="AJ557" s="155"/>
      <c r="AK557" s="156"/>
      <c r="AL557" s="156"/>
      <c r="AM557" s="155"/>
      <c r="AN557" s="155"/>
      <c r="AO557" s="155"/>
      <c r="AP557" s="156"/>
      <c r="AQ557" s="156"/>
      <c r="AR557" s="155"/>
      <c r="AS557" s="155"/>
      <c r="AT557" s="155"/>
      <c r="AU557" s="156"/>
      <c r="AV557" s="156"/>
      <c r="AW557" s="155"/>
      <c r="AX557" s="155"/>
      <c r="AY557" s="155"/>
      <c r="AZ557" s="156"/>
      <c r="BA557" s="156"/>
      <c r="BB557" s="155"/>
      <c r="BC557" s="155"/>
      <c r="BD557" s="155"/>
      <c r="BE557" s="155"/>
      <c r="BF557" s="155"/>
      <c r="BG557" s="158"/>
      <c r="BH557" s="158"/>
      <c r="BI557" s="155"/>
      <c r="BJ557" s="155"/>
      <c r="BK557" s="159"/>
      <c r="BL557" s="156"/>
      <c r="BM557" s="156"/>
      <c r="BN557" s="156"/>
      <c r="BO557" s="156"/>
      <c r="BP557" s="160"/>
      <c r="BQ557" s="160"/>
      <c r="BR557" s="160"/>
      <c r="BS557" s="160"/>
    </row>
    <row r="558" spans="1:71" x14ac:dyDescent="0.25">
      <c r="A558" s="154"/>
      <c r="B558" s="155"/>
      <c r="C558" s="155"/>
      <c r="D558" s="155"/>
      <c r="E558" s="156"/>
      <c r="F558" s="156"/>
      <c r="G558" s="155"/>
      <c r="H558" s="155"/>
      <c r="I558" s="155"/>
      <c r="J558" s="157"/>
      <c r="K558" s="157"/>
      <c r="L558" s="155"/>
      <c r="M558" s="155"/>
      <c r="N558" s="155"/>
      <c r="O558" s="156"/>
      <c r="P558" s="156"/>
      <c r="Q558" s="155"/>
      <c r="R558" s="155"/>
      <c r="S558" s="155"/>
      <c r="T558" s="156"/>
      <c r="U558" s="156"/>
      <c r="V558" s="155"/>
      <c r="W558" s="155"/>
      <c r="X558" s="155"/>
      <c r="Y558" s="155"/>
      <c r="Z558" s="155"/>
      <c r="AA558" s="156"/>
      <c r="AB558" s="156"/>
      <c r="AC558" s="155"/>
      <c r="AD558" s="155"/>
      <c r="AE558" s="155"/>
      <c r="AF558" s="156"/>
      <c r="AG558" s="156"/>
      <c r="AH558" s="155"/>
      <c r="AI558" s="155"/>
      <c r="AJ558" s="155"/>
      <c r="AK558" s="156"/>
      <c r="AL558" s="156"/>
      <c r="AM558" s="155"/>
      <c r="AN558" s="155"/>
      <c r="AO558" s="155"/>
      <c r="AP558" s="156"/>
      <c r="AQ558" s="156"/>
      <c r="AR558" s="155"/>
      <c r="AS558" s="155"/>
      <c r="AT558" s="155"/>
      <c r="AU558" s="156"/>
      <c r="AV558" s="156"/>
      <c r="AW558" s="155"/>
      <c r="AX558" s="155"/>
      <c r="AY558" s="155"/>
      <c r="AZ558" s="156"/>
      <c r="BA558" s="156"/>
      <c r="BB558" s="155"/>
      <c r="BC558" s="155"/>
      <c r="BD558" s="155"/>
      <c r="BE558" s="155"/>
      <c r="BF558" s="155"/>
      <c r="BG558" s="158"/>
      <c r="BH558" s="158"/>
      <c r="BI558" s="155"/>
      <c r="BJ558" s="155"/>
      <c r="BK558" s="159"/>
      <c r="BL558" s="156"/>
      <c r="BM558" s="156"/>
      <c r="BN558" s="156"/>
      <c r="BO558" s="156"/>
      <c r="BP558" s="160"/>
      <c r="BQ558" s="160"/>
      <c r="BR558" s="160"/>
      <c r="BS558" s="160"/>
    </row>
    <row r="559" spans="1:71" x14ac:dyDescent="0.25">
      <c r="A559" s="154"/>
      <c r="B559" s="155"/>
      <c r="C559" s="155"/>
      <c r="D559" s="155"/>
      <c r="E559" s="156"/>
      <c r="F559" s="156"/>
      <c r="G559" s="155"/>
      <c r="H559" s="155"/>
      <c r="I559" s="155"/>
      <c r="J559" s="157"/>
      <c r="K559" s="157"/>
      <c r="L559" s="155"/>
      <c r="M559" s="155"/>
      <c r="N559" s="155"/>
      <c r="O559" s="156"/>
      <c r="P559" s="156"/>
      <c r="Q559" s="155"/>
      <c r="R559" s="155"/>
      <c r="S559" s="155"/>
      <c r="T559" s="156"/>
      <c r="U559" s="156"/>
      <c r="V559" s="155"/>
      <c r="W559" s="155"/>
      <c r="X559" s="155"/>
      <c r="Y559" s="155"/>
      <c r="Z559" s="155"/>
      <c r="AA559" s="156"/>
      <c r="AB559" s="156"/>
      <c r="AC559" s="155"/>
      <c r="AD559" s="155"/>
      <c r="AE559" s="155"/>
      <c r="AF559" s="156"/>
      <c r="AG559" s="156"/>
      <c r="AH559" s="155"/>
      <c r="AI559" s="155"/>
      <c r="AJ559" s="155"/>
      <c r="AK559" s="156"/>
      <c r="AL559" s="156"/>
      <c r="AM559" s="155"/>
      <c r="AN559" s="155"/>
      <c r="AO559" s="155"/>
      <c r="AP559" s="156"/>
      <c r="AQ559" s="156"/>
      <c r="AR559" s="155"/>
      <c r="AS559" s="155"/>
      <c r="AT559" s="155"/>
      <c r="AU559" s="156"/>
      <c r="AV559" s="156"/>
      <c r="AW559" s="155"/>
      <c r="AX559" s="155"/>
      <c r="AY559" s="155"/>
      <c r="AZ559" s="156"/>
      <c r="BA559" s="156"/>
      <c r="BB559" s="155"/>
      <c r="BC559" s="155"/>
      <c r="BD559" s="155"/>
      <c r="BE559" s="155"/>
      <c r="BF559" s="155"/>
      <c r="BG559" s="158"/>
      <c r="BH559" s="158"/>
      <c r="BI559" s="155"/>
      <c r="BJ559" s="155"/>
      <c r="BK559" s="159"/>
      <c r="BL559" s="156"/>
      <c r="BM559" s="156"/>
      <c r="BN559" s="156"/>
      <c r="BO559" s="156"/>
      <c r="BP559" s="160"/>
      <c r="BQ559" s="160"/>
      <c r="BR559" s="160"/>
      <c r="BS559" s="160"/>
    </row>
    <row r="560" spans="1:71" x14ac:dyDescent="0.25">
      <c r="A560" s="154"/>
      <c r="B560" s="155"/>
      <c r="C560" s="155"/>
      <c r="D560" s="155"/>
      <c r="E560" s="156"/>
      <c r="F560" s="156"/>
      <c r="G560" s="155"/>
      <c r="H560" s="155"/>
      <c r="I560" s="155"/>
      <c r="J560" s="157"/>
      <c r="K560" s="157"/>
      <c r="L560" s="155"/>
      <c r="M560" s="155"/>
      <c r="N560" s="155"/>
      <c r="O560" s="156"/>
      <c r="P560" s="156"/>
      <c r="Q560" s="155"/>
      <c r="R560" s="155"/>
      <c r="S560" s="155"/>
      <c r="T560" s="156"/>
      <c r="U560" s="156"/>
      <c r="V560" s="155"/>
      <c r="W560" s="155"/>
      <c r="X560" s="155"/>
      <c r="Y560" s="155"/>
      <c r="Z560" s="155"/>
      <c r="AA560" s="156"/>
      <c r="AB560" s="156"/>
      <c r="AC560" s="155"/>
      <c r="AD560" s="155"/>
      <c r="AE560" s="155"/>
      <c r="AF560" s="156"/>
      <c r="AG560" s="156"/>
      <c r="AH560" s="155"/>
      <c r="AI560" s="155"/>
      <c r="AJ560" s="155"/>
      <c r="AK560" s="156"/>
      <c r="AL560" s="156"/>
      <c r="AM560" s="155"/>
      <c r="AN560" s="155"/>
      <c r="AO560" s="155"/>
      <c r="AP560" s="156"/>
      <c r="AQ560" s="156"/>
      <c r="AR560" s="155"/>
      <c r="AS560" s="155"/>
      <c r="AT560" s="155"/>
      <c r="AU560" s="156"/>
      <c r="AV560" s="156"/>
      <c r="AW560" s="155"/>
      <c r="AX560" s="155"/>
      <c r="AY560" s="155"/>
      <c r="AZ560" s="156"/>
      <c r="BA560" s="156"/>
      <c r="BB560" s="155"/>
      <c r="BC560" s="155"/>
      <c r="BD560" s="155"/>
      <c r="BE560" s="155"/>
      <c r="BF560" s="155"/>
      <c r="BG560" s="158"/>
      <c r="BH560" s="158"/>
      <c r="BI560" s="155"/>
      <c r="BJ560" s="155"/>
      <c r="BK560" s="159"/>
      <c r="BL560" s="156"/>
      <c r="BM560" s="156"/>
      <c r="BN560" s="156"/>
      <c r="BO560" s="156"/>
      <c r="BP560" s="160"/>
      <c r="BQ560" s="160"/>
      <c r="BR560" s="160"/>
      <c r="BS560" s="160"/>
    </row>
    <row r="561" spans="1:71" x14ac:dyDescent="0.25">
      <c r="A561" s="154"/>
      <c r="B561" s="155"/>
      <c r="C561" s="155"/>
      <c r="D561" s="155"/>
      <c r="E561" s="156"/>
      <c r="F561" s="156"/>
      <c r="G561" s="155"/>
      <c r="H561" s="155"/>
      <c r="I561" s="155"/>
      <c r="J561" s="157"/>
      <c r="K561" s="157"/>
      <c r="L561" s="155"/>
      <c r="M561" s="155"/>
      <c r="N561" s="155"/>
      <c r="O561" s="156"/>
      <c r="P561" s="156"/>
      <c r="Q561" s="155"/>
      <c r="R561" s="155"/>
      <c r="S561" s="155"/>
      <c r="T561" s="156"/>
      <c r="U561" s="156"/>
      <c r="V561" s="155"/>
      <c r="W561" s="155"/>
      <c r="X561" s="155"/>
      <c r="Y561" s="155"/>
      <c r="Z561" s="155"/>
      <c r="AA561" s="156"/>
      <c r="AB561" s="156"/>
      <c r="AC561" s="155"/>
      <c r="AD561" s="155"/>
      <c r="AE561" s="155"/>
      <c r="AF561" s="156"/>
      <c r="AG561" s="156"/>
      <c r="AH561" s="155"/>
      <c r="AI561" s="155"/>
      <c r="AJ561" s="155"/>
      <c r="AK561" s="156"/>
      <c r="AL561" s="156"/>
      <c r="AM561" s="155"/>
      <c r="AN561" s="155"/>
      <c r="AO561" s="155"/>
      <c r="AP561" s="156"/>
      <c r="AQ561" s="156"/>
      <c r="AR561" s="155"/>
      <c r="AS561" s="155"/>
      <c r="AT561" s="155"/>
      <c r="AU561" s="156"/>
      <c r="AV561" s="156"/>
      <c r="AW561" s="155"/>
      <c r="AX561" s="155"/>
      <c r="AY561" s="155"/>
      <c r="AZ561" s="156"/>
      <c r="BA561" s="156"/>
      <c r="BB561" s="155"/>
      <c r="BC561" s="155"/>
      <c r="BD561" s="155"/>
      <c r="BE561" s="155"/>
      <c r="BF561" s="155"/>
      <c r="BG561" s="158"/>
      <c r="BH561" s="158"/>
      <c r="BI561" s="155"/>
      <c r="BJ561" s="155"/>
      <c r="BK561" s="159"/>
      <c r="BL561" s="156"/>
      <c r="BM561" s="156"/>
      <c r="BN561" s="156"/>
      <c r="BO561" s="156"/>
      <c r="BP561" s="160"/>
      <c r="BQ561" s="160"/>
      <c r="BR561" s="160"/>
      <c r="BS561" s="160"/>
    </row>
    <row r="562" spans="1:71" x14ac:dyDescent="0.25">
      <c r="A562" s="154"/>
      <c r="B562" s="155"/>
      <c r="C562" s="155"/>
      <c r="D562" s="155"/>
      <c r="E562" s="156"/>
      <c r="F562" s="156"/>
      <c r="G562" s="155"/>
      <c r="H562" s="155"/>
      <c r="I562" s="155"/>
      <c r="J562" s="157"/>
      <c r="K562" s="157"/>
      <c r="L562" s="155"/>
      <c r="M562" s="155"/>
      <c r="N562" s="155"/>
      <c r="O562" s="156"/>
      <c r="P562" s="156"/>
      <c r="Q562" s="155"/>
      <c r="R562" s="155"/>
      <c r="S562" s="155"/>
      <c r="T562" s="156"/>
      <c r="U562" s="156"/>
      <c r="V562" s="155"/>
      <c r="W562" s="155"/>
      <c r="X562" s="155"/>
      <c r="Y562" s="155"/>
      <c r="Z562" s="155"/>
      <c r="AA562" s="156"/>
      <c r="AB562" s="156"/>
      <c r="AC562" s="155"/>
      <c r="AD562" s="155"/>
      <c r="AE562" s="155"/>
      <c r="AF562" s="156"/>
      <c r="AG562" s="156"/>
      <c r="AH562" s="155"/>
      <c r="AI562" s="155"/>
      <c r="AJ562" s="155"/>
      <c r="AK562" s="156"/>
      <c r="AL562" s="156"/>
      <c r="AM562" s="155"/>
      <c r="AN562" s="155"/>
      <c r="AO562" s="155"/>
      <c r="AP562" s="156"/>
      <c r="AQ562" s="156"/>
      <c r="AR562" s="155"/>
      <c r="AS562" s="155"/>
      <c r="AT562" s="155"/>
      <c r="AU562" s="156"/>
      <c r="AV562" s="156"/>
      <c r="AW562" s="155"/>
      <c r="AX562" s="155"/>
      <c r="AY562" s="155"/>
      <c r="AZ562" s="156"/>
      <c r="BA562" s="156"/>
      <c r="BB562" s="155"/>
      <c r="BC562" s="155"/>
      <c r="BD562" s="155"/>
      <c r="BE562" s="155"/>
      <c r="BF562" s="155"/>
      <c r="BG562" s="158"/>
      <c r="BH562" s="158"/>
      <c r="BI562" s="155"/>
      <c r="BJ562" s="155"/>
      <c r="BK562" s="159"/>
      <c r="BL562" s="156"/>
      <c r="BM562" s="156"/>
      <c r="BN562" s="156"/>
      <c r="BO562" s="156"/>
      <c r="BP562" s="160"/>
      <c r="BQ562" s="160"/>
      <c r="BR562" s="160"/>
      <c r="BS562" s="160"/>
    </row>
    <row r="563" spans="1:71" x14ac:dyDescent="0.25">
      <c r="A563" s="154"/>
      <c r="B563" s="155"/>
      <c r="C563" s="155"/>
      <c r="D563" s="155"/>
      <c r="E563" s="156"/>
      <c r="F563" s="156"/>
      <c r="G563" s="155"/>
      <c r="H563" s="155"/>
      <c r="I563" s="155"/>
      <c r="J563" s="157"/>
      <c r="K563" s="157"/>
      <c r="L563" s="155"/>
      <c r="M563" s="155"/>
      <c r="N563" s="155"/>
      <c r="O563" s="156"/>
      <c r="P563" s="156"/>
      <c r="Q563" s="155"/>
      <c r="R563" s="155"/>
      <c r="S563" s="155"/>
      <c r="T563" s="156"/>
      <c r="U563" s="156"/>
      <c r="V563" s="155"/>
      <c r="W563" s="155"/>
      <c r="X563" s="155"/>
      <c r="Y563" s="155"/>
      <c r="Z563" s="155"/>
      <c r="AA563" s="156"/>
      <c r="AB563" s="156"/>
      <c r="AC563" s="155"/>
      <c r="AD563" s="155"/>
      <c r="AE563" s="155"/>
      <c r="AF563" s="156"/>
      <c r="AG563" s="156"/>
      <c r="AH563" s="155"/>
      <c r="AI563" s="155"/>
      <c r="AJ563" s="155"/>
      <c r="AK563" s="156"/>
      <c r="AL563" s="156"/>
      <c r="AM563" s="155"/>
      <c r="AN563" s="155"/>
      <c r="AO563" s="155"/>
      <c r="AP563" s="156"/>
      <c r="AQ563" s="156"/>
      <c r="AR563" s="155"/>
      <c r="AS563" s="155"/>
      <c r="AT563" s="155"/>
      <c r="AU563" s="156"/>
      <c r="AV563" s="156"/>
      <c r="AW563" s="155"/>
      <c r="AX563" s="155"/>
      <c r="AY563" s="155"/>
      <c r="AZ563" s="156"/>
      <c r="BA563" s="156"/>
      <c r="BB563" s="155"/>
      <c r="BC563" s="155"/>
      <c r="BD563" s="155"/>
      <c r="BE563" s="155"/>
      <c r="BF563" s="155"/>
      <c r="BG563" s="158"/>
      <c r="BH563" s="158"/>
      <c r="BI563" s="155"/>
      <c r="BJ563" s="155"/>
      <c r="BK563" s="159"/>
      <c r="BL563" s="156"/>
      <c r="BM563" s="156"/>
      <c r="BN563" s="156"/>
      <c r="BO563" s="156"/>
      <c r="BP563" s="160"/>
      <c r="BQ563" s="160"/>
      <c r="BR563" s="160"/>
      <c r="BS563" s="160"/>
    </row>
    <row r="564" spans="1:71" x14ac:dyDescent="0.25">
      <c r="A564" s="154"/>
      <c r="B564" s="155"/>
      <c r="C564" s="155"/>
      <c r="D564" s="155"/>
      <c r="E564" s="156"/>
      <c r="F564" s="156"/>
      <c r="G564" s="155"/>
      <c r="H564" s="155"/>
      <c r="I564" s="155"/>
      <c r="J564" s="157"/>
      <c r="K564" s="157"/>
      <c r="L564" s="155"/>
      <c r="M564" s="155"/>
      <c r="N564" s="155"/>
      <c r="O564" s="156"/>
      <c r="P564" s="156"/>
      <c r="Q564" s="155"/>
      <c r="R564" s="155"/>
      <c r="S564" s="155"/>
      <c r="T564" s="156"/>
      <c r="U564" s="156"/>
      <c r="V564" s="155"/>
      <c r="W564" s="155"/>
      <c r="X564" s="155"/>
      <c r="Y564" s="155"/>
      <c r="Z564" s="155"/>
      <c r="AA564" s="156"/>
      <c r="AB564" s="156"/>
      <c r="AC564" s="155"/>
      <c r="AD564" s="155"/>
      <c r="AE564" s="155"/>
      <c r="AF564" s="156"/>
      <c r="AG564" s="156"/>
      <c r="AH564" s="155"/>
      <c r="AI564" s="155"/>
      <c r="AJ564" s="155"/>
      <c r="AK564" s="156"/>
      <c r="AL564" s="156"/>
      <c r="AM564" s="155"/>
      <c r="AN564" s="155"/>
      <c r="AO564" s="155"/>
      <c r="AP564" s="156"/>
      <c r="AQ564" s="156"/>
      <c r="AR564" s="155"/>
      <c r="AS564" s="155"/>
      <c r="AT564" s="155"/>
      <c r="AU564" s="156"/>
      <c r="AV564" s="156"/>
      <c r="AW564" s="155"/>
      <c r="AX564" s="155"/>
      <c r="AY564" s="155"/>
      <c r="AZ564" s="156"/>
      <c r="BA564" s="156"/>
      <c r="BB564" s="155"/>
      <c r="BC564" s="155"/>
      <c r="BD564" s="155"/>
      <c r="BE564" s="155"/>
      <c r="BF564" s="155"/>
      <c r="BG564" s="158"/>
      <c r="BH564" s="158"/>
      <c r="BI564" s="155"/>
      <c r="BJ564" s="155"/>
      <c r="BK564" s="159"/>
      <c r="BL564" s="156"/>
      <c r="BM564" s="156"/>
      <c r="BN564" s="156"/>
      <c r="BO564" s="156"/>
      <c r="BP564" s="160"/>
      <c r="BQ564" s="160"/>
      <c r="BR564" s="160"/>
      <c r="BS564" s="160"/>
    </row>
    <row r="565" spans="1:71" x14ac:dyDescent="0.25">
      <c r="A565" s="154"/>
      <c r="B565" s="155"/>
      <c r="C565" s="155"/>
      <c r="D565" s="155"/>
      <c r="E565" s="156"/>
      <c r="F565" s="156"/>
      <c r="G565" s="155"/>
      <c r="H565" s="155"/>
      <c r="I565" s="155"/>
      <c r="J565" s="157"/>
      <c r="K565" s="157"/>
      <c r="L565" s="155"/>
      <c r="M565" s="155"/>
      <c r="N565" s="155"/>
      <c r="O565" s="156"/>
      <c r="P565" s="156"/>
      <c r="Q565" s="155"/>
      <c r="R565" s="155"/>
      <c r="S565" s="155"/>
      <c r="T565" s="156"/>
      <c r="U565" s="156"/>
      <c r="V565" s="155"/>
      <c r="W565" s="155"/>
      <c r="X565" s="155"/>
      <c r="Y565" s="155"/>
      <c r="Z565" s="155"/>
      <c r="AA565" s="156"/>
      <c r="AB565" s="156"/>
      <c r="AC565" s="155"/>
      <c r="AD565" s="155"/>
      <c r="AE565" s="155"/>
      <c r="AF565" s="156"/>
      <c r="AG565" s="156"/>
      <c r="AH565" s="155"/>
      <c r="AI565" s="155"/>
      <c r="AJ565" s="155"/>
      <c r="AK565" s="156"/>
      <c r="AL565" s="156"/>
      <c r="AM565" s="155"/>
      <c r="AN565" s="155"/>
      <c r="AO565" s="155"/>
      <c r="AP565" s="156"/>
      <c r="AQ565" s="156"/>
      <c r="AR565" s="155"/>
      <c r="AS565" s="155"/>
      <c r="AT565" s="155"/>
      <c r="AU565" s="156"/>
      <c r="AV565" s="156"/>
      <c r="AW565" s="155"/>
      <c r="AX565" s="155"/>
      <c r="AY565" s="155"/>
      <c r="AZ565" s="156"/>
      <c r="BA565" s="156"/>
      <c r="BB565" s="155"/>
      <c r="BC565" s="155"/>
      <c r="BD565" s="155"/>
      <c r="BE565" s="155"/>
      <c r="BF565" s="155"/>
      <c r="BG565" s="158"/>
      <c r="BH565" s="158"/>
      <c r="BI565" s="155"/>
      <c r="BJ565" s="155"/>
      <c r="BK565" s="159"/>
      <c r="BL565" s="156"/>
      <c r="BM565" s="156"/>
      <c r="BN565" s="156"/>
      <c r="BO565" s="156"/>
      <c r="BP565" s="160"/>
      <c r="BQ565" s="160"/>
      <c r="BR565" s="160"/>
      <c r="BS565" s="160"/>
    </row>
    <row r="566" spans="1:71" x14ac:dyDescent="0.25">
      <c r="A566" s="154"/>
      <c r="B566" s="155"/>
      <c r="C566" s="155"/>
      <c r="D566" s="155"/>
      <c r="E566" s="156"/>
      <c r="F566" s="156"/>
      <c r="G566" s="155"/>
      <c r="H566" s="155"/>
      <c r="I566" s="155"/>
      <c r="J566" s="157"/>
      <c r="K566" s="157"/>
      <c r="L566" s="155"/>
      <c r="M566" s="155"/>
      <c r="N566" s="155"/>
      <c r="O566" s="156"/>
      <c r="P566" s="156"/>
      <c r="Q566" s="155"/>
      <c r="R566" s="155"/>
      <c r="S566" s="155"/>
      <c r="T566" s="156"/>
      <c r="U566" s="156"/>
      <c r="V566" s="155"/>
      <c r="W566" s="155"/>
      <c r="X566" s="155"/>
      <c r="Y566" s="155"/>
      <c r="Z566" s="155"/>
      <c r="AA566" s="156"/>
      <c r="AB566" s="156"/>
      <c r="AC566" s="155"/>
      <c r="AD566" s="155"/>
      <c r="AE566" s="155"/>
      <c r="AF566" s="156"/>
      <c r="AG566" s="156"/>
      <c r="AH566" s="155"/>
      <c r="AI566" s="155"/>
      <c r="AJ566" s="155"/>
      <c r="AK566" s="156"/>
      <c r="AL566" s="156"/>
      <c r="AM566" s="155"/>
      <c r="AN566" s="155"/>
      <c r="AO566" s="155"/>
      <c r="AP566" s="156"/>
      <c r="AQ566" s="156"/>
      <c r="AR566" s="155"/>
      <c r="AS566" s="155"/>
      <c r="AT566" s="155"/>
      <c r="AU566" s="156"/>
      <c r="AV566" s="156"/>
      <c r="AW566" s="155"/>
      <c r="AX566" s="155"/>
      <c r="AY566" s="155"/>
      <c r="AZ566" s="156"/>
      <c r="BA566" s="156"/>
      <c r="BB566" s="155"/>
      <c r="BC566" s="155"/>
      <c r="BD566" s="155"/>
      <c r="BE566" s="155"/>
      <c r="BF566" s="155"/>
      <c r="BG566" s="158"/>
      <c r="BH566" s="158"/>
      <c r="BI566" s="155"/>
      <c r="BJ566" s="155"/>
      <c r="BK566" s="159"/>
      <c r="BL566" s="156"/>
      <c r="BM566" s="156"/>
      <c r="BN566" s="156"/>
      <c r="BO566" s="156"/>
      <c r="BP566" s="160"/>
      <c r="BQ566" s="160"/>
      <c r="BR566" s="160"/>
      <c r="BS566" s="160"/>
    </row>
    <row r="567" spans="1:71" x14ac:dyDescent="0.25">
      <c r="A567" s="154"/>
      <c r="B567" s="155"/>
      <c r="C567" s="155"/>
      <c r="D567" s="155"/>
      <c r="E567" s="156"/>
      <c r="F567" s="156"/>
      <c r="G567" s="155"/>
      <c r="H567" s="155"/>
      <c r="I567" s="155"/>
      <c r="J567" s="157"/>
      <c r="K567" s="157"/>
      <c r="L567" s="155"/>
      <c r="M567" s="155"/>
      <c r="N567" s="155"/>
      <c r="O567" s="156"/>
      <c r="P567" s="156"/>
      <c r="Q567" s="155"/>
      <c r="R567" s="155"/>
      <c r="S567" s="155"/>
      <c r="T567" s="156"/>
      <c r="U567" s="156"/>
      <c r="V567" s="155"/>
      <c r="W567" s="155"/>
      <c r="X567" s="155"/>
      <c r="Y567" s="155"/>
      <c r="Z567" s="155"/>
      <c r="AA567" s="156"/>
      <c r="AB567" s="156"/>
      <c r="AC567" s="155"/>
      <c r="AD567" s="155"/>
      <c r="AE567" s="155"/>
      <c r="AF567" s="156"/>
      <c r="AG567" s="156"/>
      <c r="AH567" s="155"/>
      <c r="AI567" s="155"/>
      <c r="AJ567" s="155"/>
      <c r="AK567" s="156"/>
      <c r="AL567" s="156"/>
      <c r="AM567" s="155"/>
      <c r="AN567" s="155"/>
      <c r="AO567" s="155"/>
      <c r="AP567" s="156"/>
      <c r="AQ567" s="156"/>
      <c r="AR567" s="155"/>
      <c r="AS567" s="155"/>
      <c r="AT567" s="155"/>
      <c r="AU567" s="156"/>
      <c r="AV567" s="156"/>
      <c r="AW567" s="155"/>
      <c r="AX567" s="155"/>
      <c r="AY567" s="155"/>
      <c r="AZ567" s="156"/>
      <c r="BA567" s="156"/>
      <c r="BB567" s="155"/>
      <c r="BC567" s="155"/>
      <c r="BD567" s="155"/>
      <c r="BE567" s="155"/>
      <c r="BF567" s="155"/>
      <c r="BG567" s="158"/>
      <c r="BH567" s="158"/>
      <c r="BI567" s="155"/>
      <c r="BJ567" s="155"/>
      <c r="BK567" s="159"/>
      <c r="BL567" s="156"/>
      <c r="BM567" s="156"/>
      <c r="BN567" s="156"/>
      <c r="BO567" s="156"/>
      <c r="BP567" s="160"/>
      <c r="BQ567" s="160"/>
      <c r="BR567" s="160"/>
      <c r="BS567" s="160"/>
    </row>
    <row r="568" spans="1:71" x14ac:dyDescent="0.25">
      <c r="A568" s="154"/>
      <c r="B568" s="155"/>
      <c r="C568" s="155"/>
      <c r="D568" s="155"/>
      <c r="E568" s="156"/>
      <c r="F568" s="156"/>
      <c r="G568" s="155"/>
      <c r="H568" s="155"/>
      <c r="I568" s="155"/>
      <c r="J568" s="157"/>
      <c r="K568" s="157"/>
      <c r="L568" s="155"/>
      <c r="M568" s="155"/>
      <c r="N568" s="155"/>
      <c r="O568" s="156"/>
      <c r="P568" s="156"/>
      <c r="Q568" s="155"/>
      <c r="R568" s="155"/>
      <c r="S568" s="155"/>
      <c r="T568" s="156"/>
      <c r="U568" s="156"/>
      <c r="V568" s="155"/>
      <c r="W568" s="155"/>
      <c r="X568" s="155"/>
      <c r="Y568" s="155"/>
      <c r="Z568" s="155"/>
      <c r="AA568" s="156"/>
      <c r="AB568" s="156"/>
      <c r="AC568" s="155"/>
      <c r="AD568" s="155"/>
      <c r="AE568" s="155"/>
      <c r="AF568" s="156"/>
      <c r="AG568" s="156"/>
      <c r="AH568" s="155"/>
      <c r="AI568" s="155"/>
      <c r="AJ568" s="155"/>
      <c r="AK568" s="156"/>
      <c r="AL568" s="156"/>
      <c r="AM568" s="155"/>
      <c r="AN568" s="155"/>
      <c r="AO568" s="155"/>
      <c r="AP568" s="156"/>
      <c r="AQ568" s="156"/>
      <c r="AR568" s="155"/>
      <c r="AS568" s="155"/>
      <c r="AT568" s="155"/>
      <c r="AU568" s="156"/>
      <c r="AV568" s="156"/>
      <c r="AW568" s="155"/>
      <c r="AX568" s="155"/>
      <c r="AY568" s="155"/>
      <c r="AZ568" s="156"/>
      <c r="BA568" s="156"/>
      <c r="BB568" s="155"/>
      <c r="BC568" s="155"/>
      <c r="BD568" s="155"/>
      <c r="BE568" s="155"/>
      <c r="BF568" s="155"/>
      <c r="BG568" s="158"/>
      <c r="BH568" s="158"/>
      <c r="BI568" s="155"/>
      <c r="BJ568" s="155"/>
      <c r="BK568" s="159"/>
      <c r="BL568" s="156"/>
      <c r="BM568" s="156"/>
      <c r="BN568" s="156"/>
      <c r="BO568" s="156"/>
      <c r="BP568" s="160"/>
      <c r="BQ568" s="160"/>
      <c r="BR568" s="160"/>
      <c r="BS568" s="160"/>
    </row>
    <row r="569" spans="1:71" x14ac:dyDescent="0.25">
      <c r="A569" s="154"/>
      <c r="B569" s="155"/>
      <c r="C569" s="155"/>
      <c r="D569" s="155"/>
      <c r="E569" s="156"/>
      <c r="F569" s="156"/>
      <c r="G569" s="155"/>
      <c r="H569" s="155"/>
      <c r="I569" s="155"/>
      <c r="J569" s="157"/>
      <c r="K569" s="157"/>
      <c r="L569" s="155"/>
      <c r="M569" s="155"/>
      <c r="N569" s="155"/>
      <c r="O569" s="156"/>
      <c r="P569" s="156"/>
      <c r="Q569" s="155"/>
      <c r="R569" s="155"/>
      <c r="S569" s="155"/>
      <c r="T569" s="156"/>
      <c r="U569" s="156"/>
      <c r="V569" s="155"/>
      <c r="W569" s="155"/>
      <c r="X569" s="155"/>
      <c r="Y569" s="155"/>
      <c r="Z569" s="155"/>
      <c r="AA569" s="156"/>
      <c r="AB569" s="156"/>
      <c r="AC569" s="155"/>
      <c r="AD569" s="155"/>
      <c r="AE569" s="155"/>
      <c r="AF569" s="156"/>
      <c r="AG569" s="156"/>
      <c r="AH569" s="155"/>
      <c r="AI569" s="155"/>
      <c r="AJ569" s="155"/>
      <c r="AK569" s="156"/>
      <c r="AL569" s="156"/>
      <c r="AM569" s="155"/>
      <c r="AN569" s="155"/>
      <c r="AO569" s="155"/>
      <c r="AP569" s="156"/>
      <c r="AQ569" s="156"/>
      <c r="AR569" s="155"/>
      <c r="AS569" s="155"/>
      <c r="AT569" s="155"/>
      <c r="AU569" s="156"/>
      <c r="AV569" s="156"/>
      <c r="AW569" s="155"/>
      <c r="AX569" s="155"/>
      <c r="AY569" s="155"/>
      <c r="AZ569" s="156"/>
      <c r="BA569" s="156"/>
      <c r="BB569" s="155"/>
      <c r="BC569" s="155"/>
      <c r="BD569" s="155"/>
      <c r="BE569" s="155"/>
      <c r="BF569" s="155"/>
      <c r="BG569" s="158"/>
      <c r="BH569" s="158"/>
      <c r="BI569" s="155"/>
      <c r="BJ569" s="155"/>
      <c r="BK569" s="159"/>
      <c r="BL569" s="156"/>
      <c r="BM569" s="156"/>
      <c r="BN569" s="156"/>
      <c r="BO569" s="156"/>
      <c r="BP569" s="160"/>
      <c r="BQ569" s="160"/>
      <c r="BR569" s="160"/>
      <c r="BS569" s="160"/>
    </row>
    <row r="570" spans="1:71" x14ac:dyDescent="0.25">
      <c r="A570" s="154"/>
      <c r="B570" s="155"/>
      <c r="C570" s="155"/>
      <c r="D570" s="155"/>
      <c r="E570" s="156"/>
      <c r="F570" s="156"/>
      <c r="G570" s="155"/>
      <c r="H570" s="155"/>
      <c r="I570" s="155"/>
      <c r="J570" s="157"/>
      <c r="K570" s="157"/>
      <c r="L570" s="155"/>
      <c r="M570" s="155"/>
      <c r="N570" s="155"/>
      <c r="O570" s="156"/>
      <c r="P570" s="156"/>
      <c r="Q570" s="155"/>
      <c r="R570" s="155"/>
      <c r="S570" s="155"/>
      <c r="T570" s="156"/>
      <c r="U570" s="156"/>
      <c r="V570" s="155"/>
      <c r="W570" s="155"/>
      <c r="X570" s="155"/>
      <c r="Y570" s="155"/>
      <c r="Z570" s="155"/>
      <c r="AA570" s="156"/>
      <c r="AB570" s="156"/>
      <c r="AC570" s="155"/>
      <c r="AD570" s="155"/>
      <c r="AE570" s="155"/>
      <c r="AF570" s="156"/>
      <c r="AG570" s="156"/>
      <c r="AH570" s="155"/>
      <c r="AI570" s="155"/>
      <c r="AJ570" s="155"/>
      <c r="AK570" s="156"/>
      <c r="AL570" s="156"/>
      <c r="AM570" s="155"/>
      <c r="AN570" s="155"/>
      <c r="AO570" s="155"/>
      <c r="AP570" s="156"/>
      <c r="AQ570" s="156"/>
      <c r="AR570" s="155"/>
      <c r="AS570" s="155"/>
      <c r="AT570" s="155"/>
      <c r="AU570" s="156"/>
      <c r="AV570" s="156"/>
      <c r="AW570" s="155"/>
      <c r="AX570" s="155"/>
      <c r="AY570" s="155"/>
      <c r="AZ570" s="156"/>
      <c r="BA570" s="156"/>
      <c r="BB570" s="155"/>
      <c r="BC570" s="155"/>
      <c r="BD570" s="155"/>
      <c r="BE570" s="155"/>
      <c r="BF570" s="155"/>
      <c r="BG570" s="158"/>
      <c r="BH570" s="158"/>
      <c r="BI570" s="155"/>
      <c r="BJ570" s="155"/>
      <c r="BK570" s="159"/>
      <c r="BL570" s="156"/>
      <c r="BM570" s="156"/>
      <c r="BN570" s="156"/>
      <c r="BO570" s="156"/>
      <c r="BP570" s="160"/>
      <c r="BQ570" s="160"/>
      <c r="BR570" s="160"/>
      <c r="BS570" s="160"/>
    </row>
    <row r="571" spans="1:71" x14ac:dyDescent="0.25">
      <c r="A571" s="154"/>
      <c r="B571" s="155"/>
      <c r="C571" s="155"/>
      <c r="D571" s="155"/>
      <c r="E571" s="156"/>
      <c r="F571" s="156"/>
      <c r="G571" s="155"/>
      <c r="H571" s="155"/>
      <c r="I571" s="155"/>
      <c r="J571" s="157"/>
      <c r="K571" s="157"/>
      <c r="L571" s="155"/>
      <c r="M571" s="155"/>
      <c r="N571" s="155"/>
      <c r="O571" s="156"/>
      <c r="P571" s="156"/>
      <c r="Q571" s="155"/>
      <c r="R571" s="155"/>
      <c r="S571" s="155"/>
      <c r="T571" s="156"/>
      <c r="U571" s="156"/>
      <c r="V571" s="155"/>
      <c r="W571" s="155"/>
      <c r="X571" s="155"/>
      <c r="Y571" s="155"/>
      <c r="Z571" s="155"/>
      <c r="AA571" s="156"/>
      <c r="AB571" s="156"/>
      <c r="AC571" s="155"/>
      <c r="AD571" s="155"/>
      <c r="AE571" s="155"/>
      <c r="AF571" s="156"/>
      <c r="AG571" s="156"/>
      <c r="AH571" s="155"/>
      <c r="AI571" s="155"/>
      <c r="AJ571" s="155"/>
      <c r="AK571" s="156"/>
      <c r="AL571" s="156"/>
      <c r="AM571" s="155"/>
      <c r="AN571" s="155"/>
      <c r="AO571" s="155"/>
      <c r="AP571" s="156"/>
      <c r="AQ571" s="156"/>
      <c r="AR571" s="155"/>
      <c r="AS571" s="155"/>
      <c r="AT571" s="155"/>
      <c r="AU571" s="156"/>
      <c r="AV571" s="156"/>
      <c r="AW571" s="155"/>
      <c r="AX571" s="155"/>
      <c r="AY571" s="155"/>
      <c r="AZ571" s="156"/>
      <c r="BA571" s="156"/>
      <c r="BB571" s="155"/>
      <c r="BC571" s="155"/>
      <c r="BD571" s="155"/>
      <c r="BE571" s="155"/>
      <c r="BF571" s="155"/>
      <c r="BG571" s="158"/>
      <c r="BH571" s="158"/>
      <c r="BI571" s="155"/>
      <c r="BJ571" s="155"/>
      <c r="BK571" s="159"/>
      <c r="BL571" s="156"/>
      <c r="BM571" s="156"/>
      <c r="BN571" s="156"/>
      <c r="BO571" s="156"/>
      <c r="BP571" s="160"/>
      <c r="BQ571" s="160"/>
      <c r="BR571" s="160"/>
      <c r="BS571" s="160"/>
    </row>
    <row r="572" spans="1:71" x14ac:dyDescent="0.25">
      <c r="A572" s="154"/>
      <c r="B572" s="155"/>
      <c r="C572" s="155"/>
      <c r="D572" s="155"/>
      <c r="E572" s="156"/>
      <c r="F572" s="156"/>
      <c r="G572" s="155"/>
      <c r="H572" s="155"/>
      <c r="I572" s="155"/>
      <c r="J572" s="157"/>
      <c r="K572" s="157"/>
      <c r="L572" s="155"/>
      <c r="M572" s="155"/>
      <c r="N572" s="155"/>
      <c r="O572" s="156"/>
      <c r="P572" s="156"/>
      <c r="Q572" s="155"/>
      <c r="R572" s="155"/>
      <c r="S572" s="155"/>
      <c r="T572" s="156"/>
      <c r="U572" s="156"/>
      <c r="V572" s="155"/>
      <c r="W572" s="155"/>
      <c r="X572" s="155"/>
      <c r="Y572" s="155"/>
      <c r="Z572" s="155"/>
      <c r="AA572" s="156"/>
      <c r="AB572" s="156"/>
      <c r="AC572" s="155"/>
      <c r="AD572" s="155"/>
      <c r="AE572" s="155"/>
      <c r="AF572" s="156"/>
      <c r="AG572" s="156"/>
      <c r="AH572" s="155"/>
      <c r="AI572" s="155"/>
      <c r="AJ572" s="155"/>
      <c r="AK572" s="156"/>
      <c r="AL572" s="156"/>
      <c r="AM572" s="155"/>
      <c r="AN572" s="155"/>
      <c r="AO572" s="155"/>
      <c r="AP572" s="156"/>
      <c r="AQ572" s="156"/>
      <c r="AR572" s="155"/>
      <c r="AS572" s="155"/>
      <c r="AT572" s="155"/>
      <c r="AU572" s="156"/>
      <c r="AV572" s="156"/>
      <c r="AW572" s="155"/>
      <c r="AX572" s="155"/>
      <c r="AY572" s="155"/>
      <c r="AZ572" s="156"/>
      <c r="BA572" s="156"/>
      <c r="BB572" s="155"/>
      <c r="BC572" s="155"/>
      <c r="BD572" s="155"/>
      <c r="BE572" s="155"/>
      <c r="BF572" s="155"/>
      <c r="BG572" s="158"/>
      <c r="BH572" s="158"/>
      <c r="BI572" s="155"/>
      <c r="BJ572" s="155"/>
      <c r="BK572" s="159"/>
      <c r="BL572" s="156"/>
      <c r="BM572" s="156"/>
      <c r="BN572" s="156"/>
      <c r="BO572" s="156"/>
      <c r="BP572" s="160"/>
      <c r="BQ572" s="160"/>
      <c r="BR572" s="160"/>
      <c r="BS572" s="160"/>
    </row>
    <row r="573" spans="1:71" x14ac:dyDescent="0.25">
      <c r="A573" s="154"/>
      <c r="B573" s="155"/>
      <c r="C573" s="155"/>
      <c r="D573" s="155"/>
      <c r="E573" s="156"/>
      <c r="F573" s="156"/>
      <c r="G573" s="155"/>
      <c r="H573" s="155"/>
      <c r="I573" s="155"/>
      <c r="J573" s="157"/>
      <c r="K573" s="157"/>
      <c r="L573" s="155"/>
      <c r="M573" s="155"/>
      <c r="N573" s="155"/>
      <c r="O573" s="156"/>
      <c r="P573" s="156"/>
      <c r="Q573" s="155"/>
      <c r="R573" s="155"/>
      <c r="S573" s="155"/>
      <c r="T573" s="156"/>
      <c r="U573" s="156"/>
      <c r="V573" s="155"/>
      <c r="W573" s="155"/>
      <c r="X573" s="155"/>
      <c r="Y573" s="155"/>
      <c r="Z573" s="155"/>
      <c r="AA573" s="156"/>
      <c r="AB573" s="156"/>
      <c r="AC573" s="155"/>
      <c r="AD573" s="155"/>
      <c r="AE573" s="155"/>
      <c r="AF573" s="156"/>
      <c r="AG573" s="156"/>
      <c r="AH573" s="155"/>
      <c r="AI573" s="155"/>
      <c r="AJ573" s="155"/>
      <c r="AK573" s="156"/>
      <c r="AL573" s="156"/>
      <c r="AM573" s="155"/>
      <c r="AN573" s="155"/>
      <c r="AO573" s="155"/>
      <c r="AP573" s="156"/>
      <c r="AQ573" s="156"/>
      <c r="AR573" s="155"/>
      <c r="AS573" s="155"/>
      <c r="AT573" s="155"/>
      <c r="AU573" s="156"/>
      <c r="AV573" s="156"/>
      <c r="AW573" s="155"/>
      <c r="AX573" s="155"/>
      <c r="AY573" s="155"/>
      <c r="AZ573" s="156"/>
      <c r="BA573" s="156"/>
      <c r="BB573" s="155"/>
      <c r="BC573" s="155"/>
      <c r="BD573" s="155"/>
      <c r="BE573" s="155"/>
      <c r="BF573" s="155"/>
      <c r="BG573" s="158"/>
      <c r="BH573" s="158"/>
      <c r="BI573" s="155"/>
      <c r="BJ573" s="155"/>
      <c r="BK573" s="159"/>
      <c r="BL573" s="156"/>
      <c r="BM573" s="156"/>
      <c r="BN573" s="156"/>
      <c r="BO573" s="156"/>
      <c r="BP573" s="160"/>
      <c r="BQ573" s="160"/>
      <c r="BR573" s="160"/>
      <c r="BS573" s="160"/>
    </row>
    <row r="574" spans="1:71" x14ac:dyDescent="0.25">
      <c r="A574" s="154"/>
      <c r="B574" s="155"/>
      <c r="C574" s="155"/>
      <c r="D574" s="155"/>
      <c r="E574" s="156"/>
      <c r="F574" s="156"/>
      <c r="G574" s="155"/>
      <c r="H574" s="155"/>
      <c r="I574" s="155"/>
      <c r="J574" s="157"/>
      <c r="K574" s="157"/>
      <c r="L574" s="155"/>
      <c r="M574" s="155"/>
      <c r="N574" s="155"/>
      <c r="O574" s="156"/>
      <c r="P574" s="156"/>
      <c r="Q574" s="155"/>
      <c r="R574" s="155"/>
      <c r="S574" s="155"/>
      <c r="T574" s="156"/>
      <c r="U574" s="156"/>
      <c r="V574" s="155"/>
      <c r="W574" s="155"/>
      <c r="X574" s="155"/>
      <c r="Y574" s="155"/>
      <c r="Z574" s="155"/>
      <c r="AA574" s="156"/>
      <c r="AB574" s="156"/>
      <c r="AC574" s="155"/>
      <c r="AD574" s="155"/>
      <c r="AE574" s="155"/>
      <c r="AF574" s="156"/>
      <c r="AG574" s="156"/>
      <c r="AH574" s="155"/>
      <c r="AI574" s="155"/>
      <c r="AJ574" s="155"/>
      <c r="AK574" s="156"/>
      <c r="AL574" s="156"/>
      <c r="AM574" s="155"/>
      <c r="AN574" s="155"/>
      <c r="AO574" s="155"/>
      <c r="AP574" s="156"/>
      <c r="AQ574" s="156"/>
      <c r="AR574" s="155"/>
      <c r="AS574" s="155"/>
      <c r="AT574" s="155"/>
      <c r="AU574" s="156"/>
      <c r="AV574" s="156"/>
      <c r="AW574" s="155"/>
      <c r="AX574" s="155"/>
      <c r="AY574" s="155"/>
      <c r="AZ574" s="156"/>
      <c r="BA574" s="156"/>
      <c r="BB574" s="155"/>
      <c r="BC574" s="155"/>
      <c r="BD574" s="155"/>
      <c r="BE574" s="155"/>
      <c r="BF574" s="155"/>
      <c r="BG574" s="158"/>
      <c r="BH574" s="158"/>
      <c r="BI574" s="155"/>
      <c r="BJ574" s="155"/>
      <c r="BK574" s="159"/>
      <c r="BL574" s="156"/>
      <c r="BM574" s="156"/>
      <c r="BN574" s="156"/>
      <c r="BO574" s="156"/>
      <c r="BP574" s="160"/>
      <c r="BQ574" s="160"/>
      <c r="BR574" s="160"/>
      <c r="BS574" s="160"/>
    </row>
    <row r="575" spans="1:71" x14ac:dyDescent="0.25">
      <c r="A575" s="154"/>
      <c r="B575" s="155"/>
      <c r="C575" s="155"/>
      <c r="D575" s="155"/>
      <c r="E575" s="156"/>
      <c r="F575" s="156"/>
      <c r="G575" s="155"/>
      <c r="H575" s="155"/>
      <c r="I575" s="155"/>
      <c r="J575" s="157"/>
      <c r="K575" s="157"/>
      <c r="L575" s="155"/>
      <c r="M575" s="155"/>
      <c r="N575" s="155"/>
      <c r="O575" s="156"/>
      <c r="P575" s="156"/>
      <c r="Q575" s="155"/>
      <c r="R575" s="155"/>
      <c r="S575" s="155"/>
      <c r="T575" s="156"/>
      <c r="U575" s="156"/>
      <c r="V575" s="155"/>
      <c r="W575" s="155"/>
      <c r="X575" s="155"/>
      <c r="Y575" s="155"/>
      <c r="Z575" s="155"/>
      <c r="AA575" s="156"/>
      <c r="AB575" s="156"/>
      <c r="AC575" s="155"/>
      <c r="AD575" s="155"/>
      <c r="AE575" s="155"/>
      <c r="AF575" s="156"/>
      <c r="AG575" s="156"/>
      <c r="AH575" s="155"/>
      <c r="AI575" s="155"/>
      <c r="AJ575" s="155"/>
      <c r="AK575" s="156"/>
      <c r="AL575" s="156"/>
      <c r="AM575" s="155"/>
      <c r="AN575" s="155"/>
      <c r="AO575" s="155"/>
      <c r="AP575" s="156"/>
      <c r="AQ575" s="156"/>
      <c r="AR575" s="155"/>
      <c r="AS575" s="155"/>
      <c r="AT575" s="155"/>
      <c r="AU575" s="156"/>
      <c r="AV575" s="156"/>
      <c r="AW575" s="155"/>
      <c r="AX575" s="155"/>
      <c r="AY575" s="155"/>
      <c r="AZ575" s="156"/>
      <c r="BA575" s="156"/>
      <c r="BB575" s="155"/>
      <c r="BC575" s="155"/>
      <c r="BD575" s="155"/>
      <c r="BE575" s="155"/>
      <c r="BF575" s="155"/>
      <c r="BG575" s="158"/>
      <c r="BH575" s="158"/>
      <c r="BI575" s="155"/>
      <c r="BJ575" s="155"/>
      <c r="BK575" s="159"/>
      <c r="BL575" s="156"/>
      <c r="BM575" s="156"/>
      <c r="BN575" s="156"/>
      <c r="BO575" s="156"/>
      <c r="BP575" s="160"/>
      <c r="BQ575" s="160"/>
      <c r="BR575" s="160"/>
      <c r="BS575" s="160"/>
    </row>
    <row r="576" spans="1:71" x14ac:dyDescent="0.25">
      <c r="A576" s="154"/>
      <c r="B576" s="155"/>
      <c r="C576" s="155"/>
      <c r="D576" s="155"/>
      <c r="E576" s="156"/>
      <c r="F576" s="156"/>
      <c r="G576" s="155"/>
      <c r="H576" s="155"/>
      <c r="I576" s="155"/>
      <c r="J576" s="157"/>
      <c r="K576" s="157"/>
      <c r="L576" s="155"/>
      <c r="M576" s="155"/>
      <c r="N576" s="155"/>
      <c r="O576" s="156"/>
      <c r="P576" s="156"/>
      <c r="Q576" s="155"/>
      <c r="R576" s="155"/>
      <c r="S576" s="155"/>
      <c r="T576" s="156"/>
      <c r="U576" s="156"/>
      <c r="V576" s="155"/>
      <c r="W576" s="155"/>
      <c r="X576" s="155"/>
      <c r="Y576" s="155"/>
      <c r="Z576" s="155"/>
      <c r="AA576" s="156"/>
      <c r="AB576" s="156"/>
      <c r="AC576" s="155"/>
      <c r="AD576" s="155"/>
      <c r="AE576" s="155"/>
      <c r="AF576" s="156"/>
      <c r="AG576" s="156"/>
      <c r="AH576" s="155"/>
      <c r="AI576" s="155"/>
      <c r="AJ576" s="155"/>
      <c r="AK576" s="156"/>
      <c r="AL576" s="156"/>
      <c r="AM576" s="155"/>
      <c r="AN576" s="155"/>
      <c r="AO576" s="155"/>
      <c r="AP576" s="156"/>
      <c r="AQ576" s="156"/>
      <c r="AR576" s="155"/>
      <c r="AS576" s="155"/>
      <c r="AT576" s="155"/>
      <c r="AU576" s="156"/>
      <c r="AV576" s="156"/>
      <c r="AW576" s="155"/>
      <c r="AX576" s="155"/>
      <c r="AY576" s="155"/>
      <c r="AZ576" s="156"/>
      <c r="BA576" s="156"/>
      <c r="BB576" s="155"/>
      <c r="BC576" s="155"/>
      <c r="BD576" s="155"/>
      <c r="BE576" s="155"/>
      <c r="BF576" s="155"/>
      <c r="BG576" s="158"/>
      <c r="BH576" s="158"/>
      <c r="BI576" s="155"/>
      <c r="BJ576" s="155"/>
      <c r="BK576" s="159"/>
      <c r="BL576" s="156"/>
      <c r="BM576" s="156"/>
      <c r="BN576" s="156"/>
      <c r="BO576" s="156"/>
      <c r="BP576" s="160"/>
      <c r="BQ576" s="160"/>
      <c r="BR576" s="160"/>
      <c r="BS576" s="160"/>
    </row>
    <row r="577" spans="1:71" x14ac:dyDescent="0.25">
      <c r="A577" s="154"/>
      <c r="B577" s="155"/>
      <c r="C577" s="155"/>
      <c r="D577" s="155"/>
      <c r="E577" s="156"/>
      <c r="F577" s="156"/>
      <c r="G577" s="155"/>
      <c r="H577" s="155"/>
      <c r="I577" s="155"/>
      <c r="J577" s="157"/>
      <c r="K577" s="157"/>
      <c r="L577" s="155"/>
      <c r="M577" s="155"/>
      <c r="N577" s="155"/>
      <c r="O577" s="156"/>
      <c r="P577" s="156"/>
      <c r="Q577" s="155"/>
      <c r="R577" s="155"/>
      <c r="S577" s="155"/>
      <c r="T577" s="156"/>
      <c r="U577" s="156"/>
      <c r="V577" s="155"/>
      <c r="W577" s="155"/>
      <c r="X577" s="155"/>
      <c r="Y577" s="155"/>
      <c r="Z577" s="155"/>
      <c r="AA577" s="156"/>
      <c r="AB577" s="156"/>
      <c r="AC577" s="155"/>
      <c r="AD577" s="155"/>
      <c r="AE577" s="155"/>
      <c r="AF577" s="156"/>
      <c r="AG577" s="156"/>
      <c r="AH577" s="155"/>
      <c r="AI577" s="155"/>
      <c r="AJ577" s="155"/>
      <c r="AK577" s="156"/>
      <c r="AL577" s="156"/>
      <c r="AM577" s="155"/>
      <c r="AN577" s="155"/>
      <c r="AO577" s="155"/>
      <c r="AP577" s="156"/>
      <c r="AQ577" s="156"/>
      <c r="AR577" s="155"/>
      <c r="AS577" s="155"/>
      <c r="AT577" s="155"/>
      <c r="AU577" s="156"/>
      <c r="AV577" s="156"/>
      <c r="AW577" s="155"/>
      <c r="AX577" s="155"/>
      <c r="AY577" s="155"/>
      <c r="AZ577" s="156"/>
      <c r="BA577" s="156"/>
      <c r="BB577" s="155"/>
      <c r="BC577" s="155"/>
      <c r="BD577" s="155"/>
      <c r="BE577" s="155"/>
      <c r="BF577" s="155"/>
      <c r="BG577" s="158"/>
      <c r="BH577" s="158"/>
      <c r="BI577" s="155"/>
      <c r="BJ577" s="155"/>
      <c r="BK577" s="159"/>
      <c r="BL577" s="156"/>
      <c r="BM577" s="156"/>
      <c r="BN577" s="156"/>
      <c r="BO577" s="156"/>
      <c r="BP577" s="160"/>
      <c r="BQ577" s="160"/>
      <c r="BR577" s="160"/>
      <c r="BS577" s="160"/>
    </row>
    <row r="578" spans="1:71" x14ac:dyDescent="0.25">
      <c r="A578" s="154"/>
      <c r="B578" s="155"/>
      <c r="C578" s="155"/>
      <c r="D578" s="155"/>
      <c r="E578" s="156"/>
      <c r="F578" s="156"/>
      <c r="G578" s="155"/>
      <c r="H578" s="155"/>
      <c r="I578" s="155"/>
      <c r="J578" s="157"/>
      <c r="K578" s="157"/>
      <c r="L578" s="155"/>
      <c r="M578" s="155"/>
      <c r="N578" s="155"/>
      <c r="O578" s="156"/>
      <c r="P578" s="156"/>
      <c r="Q578" s="155"/>
      <c r="R578" s="155"/>
      <c r="S578" s="155"/>
      <c r="T578" s="156"/>
      <c r="U578" s="156"/>
      <c r="V578" s="155"/>
      <c r="W578" s="155"/>
      <c r="X578" s="155"/>
      <c r="Y578" s="155"/>
      <c r="Z578" s="155"/>
      <c r="AA578" s="156"/>
      <c r="AB578" s="156"/>
      <c r="AC578" s="155"/>
      <c r="AD578" s="155"/>
      <c r="AE578" s="155"/>
      <c r="AF578" s="156"/>
      <c r="AG578" s="156"/>
      <c r="AH578" s="155"/>
      <c r="AI578" s="155"/>
      <c r="AJ578" s="155"/>
      <c r="AK578" s="156"/>
      <c r="AL578" s="156"/>
      <c r="AM578" s="155"/>
      <c r="AN578" s="155"/>
      <c r="AO578" s="155"/>
      <c r="AP578" s="156"/>
      <c r="AQ578" s="156"/>
      <c r="AR578" s="155"/>
      <c r="AS578" s="155"/>
      <c r="AT578" s="155"/>
      <c r="AU578" s="156"/>
      <c r="AV578" s="156"/>
      <c r="AW578" s="155"/>
      <c r="AX578" s="155"/>
      <c r="AY578" s="155"/>
      <c r="AZ578" s="156"/>
      <c r="BA578" s="156"/>
      <c r="BB578" s="155"/>
      <c r="BC578" s="155"/>
      <c r="BD578" s="155"/>
      <c r="BE578" s="155"/>
      <c r="BF578" s="155"/>
      <c r="BG578" s="158"/>
      <c r="BH578" s="158"/>
      <c r="BI578" s="155"/>
      <c r="BJ578" s="155"/>
      <c r="BK578" s="159"/>
      <c r="BL578" s="156"/>
      <c r="BM578" s="156"/>
      <c r="BN578" s="156"/>
      <c r="BO578" s="156"/>
      <c r="BP578" s="160"/>
      <c r="BQ578" s="160"/>
      <c r="BR578" s="160"/>
      <c r="BS578" s="160"/>
    </row>
    <row r="579" spans="1:71" x14ac:dyDescent="0.25">
      <c r="A579" s="154"/>
      <c r="B579" s="155"/>
      <c r="C579" s="155"/>
      <c r="D579" s="155"/>
      <c r="E579" s="156"/>
      <c r="F579" s="156"/>
      <c r="G579" s="155"/>
      <c r="H579" s="155"/>
      <c r="I579" s="155"/>
      <c r="J579" s="157"/>
      <c r="K579" s="157"/>
      <c r="L579" s="155"/>
      <c r="M579" s="155"/>
      <c r="N579" s="155"/>
      <c r="O579" s="156"/>
      <c r="P579" s="156"/>
      <c r="Q579" s="155"/>
      <c r="R579" s="155"/>
      <c r="S579" s="155"/>
      <c r="T579" s="156"/>
      <c r="U579" s="156"/>
      <c r="V579" s="155"/>
      <c r="W579" s="155"/>
      <c r="X579" s="155"/>
      <c r="Y579" s="155"/>
      <c r="Z579" s="155"/>
      <c r="AA579" s="156"/>
      <c r="AB579" s="156"/>
      <c r="AC579" s="155"/>
      <c r="AD579" s="155"/>
      <c r="AE579" s="155"/>
      <c r="AF579" s="156"/>
      <c r="AG579" s="156"/>
      <c r="AH579" s="155"/>
      <c r="AI579" s="155"/>
      <c r="AJ579" s="155"/>
      <c r="AK579" s="156"/>
      <c r="AL579" s="156"/>
      <c r="AM579" s="155"/>
      <c r="AN579" s="155"/>
      <c r="AO579" s="155"/>
      <c r="AP579" s="156"/>
      <c r="AQ579" s="156"/>
      <c r="AR579" s="155"/>
      <c r="AS579" s="155"/>
      <c r="AT579" s="155"/>
      <c r="AU579" s="156"/>
      <c r="AV579" s="156"/>
      <c r="AW579" s="155"/>
      <c r="AX579" s="155"/>
      <c r="AY579" s="155"/>
      <c r="AZ579" s="156"/>
      <c r="BA579" s="156"/>
      <c r="BB579" s="155"/>
      <c r="BC579" s="155"/>
      <c r="BD579" s="155"/>
      <c r="BE579" s="155"/>
      <c r="BF579" s="155"/>
      <c r="BG579" s="158"/>
      <c r="BH579" s="158"/>
      <c r="BI579" s="155"/>
      <c r="BJ579" s="155"/>
      <c r="BK579" s="159"/>
      <c r="BL579" s="156"/>
      <c r="BM579" s="156"/>
      <c r="BN579" s="156"/>
      <c r="BO579" s="156"/>
      <c r="BP579" s="160"/>
      <c r="BQ579" s="160"/>
      <c r="BR579" s="160"/>
      <c r="BS579" s="160"/>
    </row>
    <row r="580" spans="1:71" x14ac:dyDescent="0.25">
      <c r="A580" s="154"/>
      <c r="B580" s="155"/>
      <c r="C580" s="155"/>
      <c r="D580" s="155"/>
      <c r="E580" s="156"/>
      <c r="F580" s="156"/>
      <c r="G580" s="155"/>
      <c r="H580" s="155"/>
      <c r="I580" s="155"/>
      <c r="J580" s="157"/>
      <c r="K580" s="157"/>
      <c r="L580" s="155"/>
      <c r="M580" s="155"/>
      <c r="N580" s="155"/>
      <c r="O580" s="156"/>
      <c r="P580" s="156"/>
      <c r="Q580" s="155"/>
      <c r="R580" s="155"/>
      <c r="S580" s="155"/>
      <c r="T580" s="156"/>
      <c r="U580" s="156"/>
      <c r="V580" s="155"/>
      <c r="W580" s="155"/>
      <c r="X580" s="155"/>
      <c r="Y580" s="155"/>
      <c r="Z580" s="155"/>
      <c r="AA580" s="156"/>
      <c r="AB580" s="156"/>
      <c r="AC580" s="155"/>
      <c r="AD580" s="155"/>
      <c r="AE580" s="155"/>
      <c r="AF580" s="156"/>
      <c r="AG580" s="156"/>
      <c r="AH580" s="155"/>
      <c r="AI580" s="155"/>
      <c r="AJ580" s="155"/>
      <c r="AK580" s="156"/>
      <c r="AL580" s="156"/>
      <c r="AM580" s="155"/>
      <c r="AN580" s="155"/>
      <c r="AO580" s="155"/>
      <c r="AP580" s="156"/>
      <c r="AQ580" s="156"/>
      <c r="AR580" s="155"/>
      <c r="AS580" s="155"/>
      <c r="AT580" s="155"/>
      <c r="AU580" s="156"/>
      <c r="AV580" s="156"/>
      <c r="AW580" s="155"/>
      <c r="AX580" s="155"/>
      <c r="AY580" s="155"/>
      <c r="AZ580" s="156"/>
      <c r="BA580" s="156"/>
      <c r="BB580" s="155"/>
      <c r="BC580" s="155"/>
      <c r="BD580" s="155"/>
      <c r="BE580" s="155"/>
      <c r="BF580" s="155"/>
      <c r="BG580" s="158"/>
      <c r="BH580" s="158"/>
      <c r="BI580" s="155"/>
      <c r="BJ580" s="155"/>
      <c r="BK580" s="159"/>
      <c r="BL580" s="156"/>
      <c r="BM580" s="156"/>
      <c r="BN580" s="156"/>
      <c r="BO580" s="156"/>
      <c r="BP580" s="160"/>
      <c r="BQ580" s="160"/>
      <c r="BR580" s="160"/>
      <c r="BS580" s="160"/>
    </row>
    <row r="581" spans="1:71" x14ac:dyDescent="0.25">
      <c r="A581" s="154"/>
      <c r="B581" s="155"/>
      <c r="C581" s="155"/>
      <c r="D581" s="155"/>
      <c r="E581" s="156"/>
      <c r="F581" s="156"/>
      <c r="G581" s="155"/>
      <c r="H581" s="155"/>
      <c r="I581" s="155"/>
      <c r="J581" s="157"/>
      <c r="K581" s="157"/>
      <c r="L581" s="155"/>
      <c r="M581" s="155"/>
      <c r="N581" s="155"/>
      <c r="O581" s="156"/>
      <c r="P581" s="156"/>
      <c r="Q581" s="155"/>
      <c r="R581" s="155"/>
      <c r="S581" s="155"/>
      <c r="T581" s="156"/>
      <c r="U581" s="156"/>
      <c r="V581" s="155"/>
      <c r="W581" s="155"/>
      <c r="X581" s="155"/>
      <c r="Y581" s="155"/>
      <c r="Z581" s="155"/>
      <c r="AA581" s="156"/>
      <c r="AB581" s="156"/>
      <c r="AC581" s="155"/>
      <c r="AD581" s="155"/>
      <c r="AE581" s="155"/>
      <c r="AF581" s="156"/>
      <c r="AG581" s="156"/>
      <c r="AH581" s="155"/>
      <c r="AI581" s="155"/>
      <c r="AJ581" s="155"/>
      <c r="AK581" s="156"/>
      <c r="AL581" s="156"/>
      <c r="AM581" s="155"/>
      <c r="AN581" s="155"/>
      <c r="AO581" s="155"/>
      <c r="AP581" s="156"/>
      <c r="AQ581" s="156"/>
      <c r="AR581" s="155"/>
      <c r="AS581" s="155"/>
      <c r="AT581" s="155"/>
      <c r="AU581" s="156"/>
      <c r="AV581" s="156"/>
      <c r="AW581" s="155"/>
      <c r="AX581" s="155"/>
      <c r="AY581" s="155"/>
      <c r="AZ581" s="156"/>
      <c r="BA581" s="156"/>
      <c r="BB581" s="155"/>
      <c r="BC581" s="155"/>
      <c r="BD581" s="155"/>
      <c r="BE581" s="155"/>
      <c r="BF581" s="155"/>
      <c r="BG581" s="158"/>
      <c r="BH581" s="158"/>
      <c r="BI581" s="155"/>
      <c r="BJ581" s="155"/>
      <c r="BK581" s="159"/>
      <c r="BL581" s="156"/>
      <c r="BM581" s="156"/>
      <c r="BN581" s="156"/>
      <c r="BO581" s="156"/>
      <c r="BP581" s="160"/>
      <c r="BQ581" s="160"/>
      <c r="BR581" s="160"/>
      <c r="BS581" s="160"/>
    </row>
    <row r="582" spans="1:71" x14ac:dyDescent="0.25">
      <c r="A582" s="154"/>
      <c r="B582" s="155"/>
      <c r="C582" s="155"/>
      <c r="D582" s="155"/>
      <c r="E582" s="156"/>
      <c r="F582" s="156"/>
      <c r="G582" s="155"/>
      <c r="H582" s="155"/>
      <c r="I582" s="155"/>
      <c r="J582" s="157"/>
      <c r="K582" s="157"/>
      <c r="L582" s="155"/>
      <c r="M582" s="155"/>
      <c r="N582" s="155"/>
      <c r="O582" s="156"/>
      <c r="P582" s="156"/>
      <c r="Q582" s="155"/>
      <c r="R582" s="155"/>
      <c r="S582" s="155"/>
      <c r="T582" s="156"/>
      <c r="U582" s="156"/>
      <c r="V582" s="155"/>
      <c r="W582" s="155"/>
      <c r="X582" s="155"/>
      <c r="Y582" s="155"/>
      <c r="Z582" s="155"/>
      <c r="AA582" s="156"/>
      <c r="AB582" s="156"/>
      <c r="AC582" s="155"/>
      <c r="AD582" s="155"/>
      <c r="AE582" s="155"/>
      <c r="AF582" s="156"/>
      <c r="AG582" s="156"/>
      <c r="AH582" s="155"/>
      <c r="AI582" s="155"/>
      <c r="AJ582" s="155"/>
      <c r="AK582" s="156"/>
      <c r="AL582" s="156"/>
      <c r="AM582" s="155"/>
      <c r="AN582" s="155"/>
      <c r="AO582" s="155"/>
      <c r="AP582" s="156"/>
      <c r="AQ582" s="156"/>
      <c r="AR582" s="155"/>
      <c r="AS582" s="155"/>
      <c r="AT582" s="155"/>
      <c r="AU582" s="156"/>
      <c r="AV582" s="156"/>
      <c r="AW582" s="155"/>
      <c r="AX582" s="155"/>
      <c r="AY582" s="155"/>
      <c r="AZ582" s="156"/>
      <c r="BA582" s="156"/>
      <c r="BB582" s="155"/>
      <c r="BC582" s="155"/>
      <c r="BD582" s="155"/>
      <c r="BE582" s="155"/>
      <c r="BF582" s="155"/>
      <c r="BG582" s="158"/>
      <c r="BH582" s="158"/>
      <c r="BI582" s="155"/>
      <c r="BJ582" s="155"/>
      <c r="BK582" s="159"/>
      <c r="BL582" s="156"/>
      <c r="BM582" s="156"/>
      <c r="BN582" s="156"/>
      <c r="BO582" s="156"/>
      <c r="BP582" s="160"/>
      <c r="BQ582" s="160"/>
      <c r="BR582" s="160"/>
      <c r="BS582" s="160"/>
    </row>
    <row r="583" spans="1:71" x14ac:dyDescent="0.25">
      <c r="A583" s="154"/>
      <c r="B583" s="155"/>
      <c r="C583" s="155"/>
      <c r="D583" s="155"/>
      <c r="E583" s="156"/>
      <c r="F583" s="156"/>
      <c r="G583" s="155"/>
      <c r="H583" s="155"/>
      <c r="I583" s="155"/>
      <c r="J583" s="157"/>
      <c r="K583" s="157"/>
      <c r="L583" s="155"/>
      <c r="M583" s="155"/>
      <c r="N583" s="155"/>
      <c r="O583" s="156"/>
      <c r="P583" s="156"/>
      <c r="Q583" s="155"/>
      <c r="R583" s="155"/>
      <c r="S583" s="155"/>
      <c r="T583" s="156"/>
      <c r="U583" s="156"/>
      <c r="V583" s="155"/>
      <c r="W583" s="155"/>
      <c r="X583" s="155"/>
      <c r="Y583" s="155"/>
      <c r="Z583" s="155"/>
      <c r="AA583" s="156"/>
      <c r="AB583" s="156"/>
      <c r="AC583" s="155"/>
      <c r="AD583" s="155"/>
      <c r="AE583" s="155"/>
      <c r="AF583" s="156"/>
      <c r="AG583" s="156"/>
      <c r="AH583" s="155"/>
      <c r="AI583" s="155"/>
      <c r="AJ583" s="155"/>
      <c r="AK583" s="156"/>
      <c r="AL583" s="156"/>
      <c r="AM583" s="155"/>
      <c r="AN583" s="155"/>
      <c r="AO583" s="155"/>
      <c r="AP583" s="156"/>
      <c r="AQ583" s="156"/>
      <c r="AR583" s="155"/>
      <c r="AS583" s="155"/>
      <c r="AT583" s="155"/>
      <c r="AU583" s="156"/>
      <c r="AV583" s="156"/>
      <c r="AW583" s="155"/>
      <c r="AX583" s="155"/>
      <c r="AY583" s="155"/>
      <c r="AZ583" s="156"/>
      <c r="BA583" s="156"/>
      <c r="BB583" s="155"/>
      <c r="BC583" s="155"/>
      <c r="BD583" s="155"/>
      <c r="BE583" s="155"/>
      <c r="BF583" s="155"/>
      <c r="BG583" s="158"/>
      <c r="BH583" s="158"/>
      <c r="BI583" s="155"/>
      <c r="BJ583" s="155"/>
      <c r="BK583" s="159"/>
      <c r="BL583" s="156"/>
      <c r="BM583" s="156"/>
      <c r="BN583" s="156"/>
      <c r="BO583" s="156"/>
      <c r="BP583" s="160"/>
      <c r="BQ583" s="160"/>
      <c r="BR583" s="160"/>
      <c r="BS583" s="160"/>
    </row>
    <row r="584" spans="1:71" x14ac:dyDescent="0.25">
      <c r="A584" s="154"/>
      <c r="B584" s="155"/>
      <c r="C584" s="155"/>
      <c r="D584" s="155"/>
      <c r="E584" s="156"/>
      <c r="F584" s="156"/>
      <c r="G584" s="155"/>
      <c r="H584" s="155"/>
      <c r="I584" s="155"/>
      <c r="J584" s="157"/>
      <c r="K584" s="157"/>
      <c r="L584" s="155"/>
      <c r="M584" s="155"/>
      <c r="N584" s="155"/>
      <c r="O584" s="156"/>
      <c r="P584" s="156"/>
      <c r="Q584" s="155"/>
      <c r="R584" s="155"/>
      <c r="S584" s="155"/>
      <c r="T584" s="156"/>
      <c r="U584" s="156"/>
      <c r="V584" s="155"/>
      <c r="W584" s="155"/>
      <c r="X584" s="155"/>
      <c r="Y584" s="155"/>
      <c r="Z584" s="155"/>
      <c r="AA584" s="156"/>
      <c r="AB584" s="156"/>
      <c r="AC584" s="155"/>
      <c r="AD584" s="155"/>
      <c r="AE584" s="155"/>
      <c r="AF584" s="156"/>
      <c r="AG584" s="156"/>
      <c r="AH584" s="155"/>
      <c r="AI584" s="155"/>
      <c r="AJ584" s="155"/>
      <c r="AK584" s="156"/>
      <c r="AL584" s="156"/>
      <c r="AM584" s="155"/>
      <c r="AN584" s="155"/>
      <c r="AO584" s="155"/>
      <c r="AP584" s="156"/>
      <c r="AQ584" s="156"/>
      <c r="AR584" s="155"/>
      <c r="AS584" s="155"/>
      <c r="AT584" s="155"/>
      <c r="AU584" s="156"/>
      <c r="AV584" s="156"/>
      <c r="AW584" s="155"/>
      <c r="AX584" s="155"/>
      <c r="AY584" s="155"/>
      <c r="AZ584" s="156"/>
      <c r="BA584" s="156"/>
      <c r="BB584" s="155"/>
      <c r="BC584" s="155"/>
      <c r="BD584" s="155"/>
      <c r="BE584" s="155"/>
      <c r="BF584" s="155"/>
      <c r="BG584" s="158"/>
      <c r="BH584" s="158"/>
      <c r="BI584" s="155"/>
      <c r="BJ584" s="155"/>
      <c r="BK584" s="159"/>
      <c r="BL584" s="156"/>
      <c r="BM584" s="156"/>
      <c r="BN584" s="156"/>
      <c r="BO584" s="156"/>
      <c r="BP584" s="160"/>
      <c r="BQ584" s="160"/>
      <c r="BR584" s="160"/>
      <c r="BS584" s="160"/>
    </row>
    <row r="585" spans="1:71" x14ac:dyDescent="0.25">
      <c r="A585" s="154"/>
      <c r="B585" s="155"/>
      <c r="C585" s="155"/>
      <c r="D585" s="155"/>
      <c r="E585" s="156"/>
      <c r="F585" s="156"/>
      <c r="G585" s="155"/>
      <c r="H585" s="155"/>
      <c r="I585" s="155"/>
      <c r="J585" s="157"/>
      <c r="K585" s="157"/>
      <c r="L585" s="155"/>
      <c r="M585" s="155"/>
      <c r="N585" s="155"/>
      <c r="O585" s="156"/>
      <c r="P585" s="156"/>
      <c r="Q585" s="155"/>
      <c r="R585" s="155"/>
      <c r="S585" s="155"/>
      <c r="T585" s="156"/>
      <c r="U585" s="156"/>
      <c r="V585" s="155"/>
      <c r="W585" s="155"/>
      <c r="X585" s="155"/>
      <c r="Y585" s="155"/>
      <c r="Z585" s="155"/>
      <c r="AA585" s="156"/>
      <c r="AB585" s="156"/>
      <c r="AC585" s="155"/>
      <c r="AD585" s="155"/>
      <c r="AE585" s="155"/>
      <c r="AF585" s="156"/>
      <c r="AG585" s="156"/>
      <c r="AH585" s="155"/>
      <c r="AI585" s="155"/>
      <c r="AJ585" s="155"/>
      <c r="AK585" s="156"/>
      <c r="AL585" s="156"/>
      <c r="AM585" s="155"/>
      <c r="AN585" s="155"/>
      <c r="AO585" s="155"/>
      <c r="AP585" s="156"/>
      <c r="AQ585" s="156"/>
      <c r="AR585" s="155"/>
      <c r="AS585" s="155"/>
      <c r="AT585" s="155"/>
      <c r="AU585" s="156"/>
      <c r="AV585" s="156"/>
      <c r="AW585" s="155"/>
      <c r="AX585" s="155"/>
      <c r="AY585" s="155"/>
      <c r="AZ585" s="156"/>
      <c r="BA585" s="156"/>
      <c r="BB585" s="155"/>
      <c r="BC585" s="155"/>
      <c r="BD585" s="155"/>
      <c r="BE585" s="155"/>
      <c r="BF585" s="155"/>
      <c r="BG585" s="158"/>
      <c r="BH585" s="158"/>
      <c r="BI585" s="155"/>
      <c r="BJ585" s="155"/>
      <c r="BK585" s="159"/>
      <c r="BL585" s="156"/>
      <c r="BM585" s="156"/>
      <c r="BN585" s="156"/>
      <c r="BO585" s="156"/>
      <c r="BP585" s="160"/>
      <c r="BQ585" s="160"/>
      <c r="BR585" s="160"/>
      <c r="BS585" s="160"/>
    </row>
    <row r="586" spans="1:71" x14ac:dyDescent="0.25">
      <c r="A586" s="154"/>
      <c r="B586" s="155"/>
      <c r="C586" s="155"/>
      <c r="D586" s="155"/>
      <c r="E586" s="156"/>
      <c r="F586" s="156"/>
      <c r="G586" s="155"/>
      <c r="H586" s="155"/>
      <c r="I586" s="155"/>
      <c r="J586" s="157"/>
      <c r="K586" s="157"/>
      <c r="L586" s="155"/>
      <c r="M586" s="155"/>
      <c r="N586" s="155"/>
      <c r="O586" s="156"/>
      <c r="P586" s="156"/>
      <c r="Q586" s="155"/>
      <c r="R586" s="155"/>
      <c r="S586" s="155"/>
      <c r="T586" s="156"/>
      <c r="U586" s="156"/>
      <c r="V586" s="155"/>
      <c r="W586" s="155"/>
      <c r="X586" s="155"/>
      <c r="Y586" s="155"/>
      <c r="Z586" s="155"/>
      <c r="AA586" s="156"/>
      <c r="AB586" s="156"/>
      <c r="AC586" s="155"/>
      <c r="AD586" s="155"/>
      <c r="AE586" s="155"/>
      <c r="AF586" s="156"/>
      <c r="AG586" s="156"/>
      <c r="AH586" s="155"/>
      <c r="AI586" s="155"/>
      <c r="AJ586" s="155"/>
      <c r="AK586" s="156"/>
      <c r="AL586" s="156"/>
      <c r="AM586" s="155"/>
      <c r="AN586" s="155"/>
      <c r="AO586" s="155"/>
      <c r="AP586" s="156"/>
      <c r="AQ586" s="156"/>
      <c r="AR586" s="155"/>
      <c r="AS586" s="155"/>
      <c r="AT586" s="155"/>
      <c r="AU586" s="156"/>
      <c r="AV586" s="156"/>
      <c r="AW586" s="155"/>
      <c r="AX586" s="155"/>
      <c r="AY586" s="155"/>
      <c r="AZ586" s="156"/>
      <c r="BA586" s="156"/>
      <c r="BB586" s="155"/>
      <c r="BC586" s="155"/>
      <c r="BD586" s="155"/>
      <c r="BE586" s="155"/>
      <c r="BF586" s="155"/>
      <c r="BG586" s="158"/>
      <c r="BH586" s="158"/>
      <c r="BI586" s="155"/>
      <c r="BJ586" s="155"/>
      <c r="BK586" s="159"/>
      <c r="BL586" s="156"/>
      <c r="BM586" s="156"/>
      <c r="BN586" s="156"/>
      <c r="BO586" s="156"/>
      <c r="BP586" s="160"/>
      <c r="BQ586" s="160"/>
      <c r="BR586" s="160"/>
      <c r="BS586" s="160"/>
    </row>
    <row r="587" spans="1:71" x14ac:dyDescent="0.25">
      <c r="A587" s="154"/>
      <c r="B587" s="155"/>
      <c r="C587" s="155"/>
      <c r="D587" s="155"/>
      <c r="E587" s="156"/>
      <c r="F587" s="156"/>
      <c r="G587" s="155"/>
      <c r="H587" s="155"/>
      <c r="I587" s="155"/>
      <c r="J587" s="157"/>
      <c r="K587" s="157"/>
      <c r="L587" s="155"/>
      <c r="M587" s="155"/>
      <c r="N587" s="155"/>
      <c r="O587" s="156"/>
      <c r="P587" s="156"/>
      <c r="Q587" s="155"/>
      <c r="R587" s="155"/>
      <c r="S587" s="155"/>
      <c r="T587" s="156"/>
      <c r="U587" s="156"/>
      <c r="V587" s="155"/>
      <c r="W587" s="155"/>
      <c r="X587" s="155"/>
      <c r="Y587" s="155"/>
      <c r="Z587" s="155"/>
      <c r="AA587" s="156"/>
      <c r="AB587" s="156"/>
      <c r="AC587" s="155"/>
      <c r="AD587" s="155"/>
      <c r="AE587" s="155"/>
      <c r="AF587" s="156"/>
      <c r="AG587" s="156"/>
      <c r="AH587" s="155"/>
      <c r="AI587" s="155"/>
      <c r="AJ587" s="155"/>
      <c r="AK587" s="156"/>
      <c r="AL587" s="156"/>
      <c r="AM587" s="155"/>
      <c r="AN587" s="155"/>
      <c r="AO587" s="155"/>
      <c r="AP587" s="156"/>
      <c r="AQ587" s="156"/>
      <c r="AR587" s="155"/>
      <c r="AS587" s="155"/>
      <c r="AT587" s="155"/>
      <c r="AU587" s="156"/>
      <c r="AV587" s="156"/>
      <c r="AW587" s="155"/>
      <c r="AX587" s="155"/>
      <c r="AY587" s="155"/>
      <c r="AZ587" s="156"/>
      <c r="BA587" s="156"/>
      <c r="BB587" s="155"/>
      <c r="BC587" s="155"/>
      <c r="BD587" s="155"/>
      <c r="BE587" s="155"/>
      <c r="BF587" s="155"/>
      <c r="BG587" s="158"/>
      <c r="BH587" s="158"/>
      <c r="BI587" s="155"/>
      <c r="BJ587" s="155"/>
      <c r="BK587" s="159"/>
      <c r="BL587" s="156"/>
      <c r="BM587" s="156"/>
      <c r="BN587" s="156"/>
      <c r="BO587" s="156"/>
      <c r="BP587" s="160"/>
      <c r="BQ587" s="160"/>
      <c r="BR587" s="160"/>
      <c r="BS587" s="160"/>
    </row>
    <row r="588" spans="1:71" x14ac:dyDescent="0.25">
      <c r="A588" s="154"/>
      <c r="B588" s="155"/>
      <c r="C588" s="155"/>
      <c r="D588" s="155"/>
      <c r="E588" s="156"/>
      <c r="F588" s="156"/>
      <c r="G588" s="155"/>
      <c r="H588" s="155"/>
      <c r="I588" s="155"/>
      <c r="J588" s="157"/>
      <c r="K588" s="157"/>
      <c r="L588" s="155"/>
      <c r="M588" s="155"/>
      <c r="N588" s="155"/>
      <c r="O588" s="156"/>
      <c r="P588" s="156"/>
      <c r="Q588" s="155"/>
      <c r="R588" s="155"/>
      <c r="S588" s="155"/>
      <c r="T588" s="156"/>
      <c r="U588" s="156"/>
      <c r="V588" s="155"/>
      <c r="W588" s="155"/>
      <c r="X588" s="155"/>
      <c r="Y588" s="155"/>
      <c r="Z588" s="155"/>
      <c r="AA588" s="156"/>
      <c r="AB588" s="156"/>
      <c r="AC588" s="155"/>
      <c r="AD588" s="155"/>
      <c r="AE588" s="155"/>
      <c r="AF588" s="156"/>
      <c r="AG588" s="156"/>
      <c r="AH588" s="155"/>
      <c r="AI588" s="155"/>
      <c r="AJ588" s="155"/>
      <c r="AK588" s="156"/>
      <c r="AL588" s="156"/>
      <c r="AM588" s="155"/>
      <c r="AN588" s="155"/>
      <c r="AO588" s="155"/>
      <c r="AP588" s="156"/>
      <c r="AQ588" s="156"/>
      <c r="AR588" s="155"/>
      <c r="AS588" s="155"/>
      <c r="AT588" s="155"/>
      <c r="AU588" s="156"/>
      <c r="AV588" s="156"/>
      <c r="AW588" s="155"/>
      <c r="AX588" s="155"/>
      <c r="AY588" s="155"/>
      <c r="AZ588" s="156"/>
      <c r="BA588" s="156"/>
      <c r="BB588" s="155"/>
      <c r="BC588" s="155"/>
      <c r="BD588" s="155"/>
      <c r="BE588" s="155"/>
      <c r="BF588" s="155"/>
      <c r="BG588" s="158"/>
      <c r="BH588" s="158"/>
      <c r="BI588" s="155"/>
      <c r="BJ588" s="155"/>
      <c r="BK588" s="159"/>
      <c r="BL588" s="156"/>
      <c r="BM588" s="156"/>
      <c r="BN588" s="156"/>
      <c r="BO588" s="156"/>
      <c r="BP588" s="160"/>
      <c r="BQ588" s="160"/>
      <c r="BR588" s="160"/>
      <c r="BS588" s="160"/>
    </row>
    <row r="589" spans="1:71" x14ac:dyDescent="0.25">
      <c r="A589" s="154"/>
      <c r="B589" s="155"/>
      <c r="C589" s="155"/>
      <c r="D589" s="155"/>
      <c r="E589" s="156"/>
      <c r="F589" s="156"/>
      <c r="G589" s="155"/>
      <c r="H589" s="155"/>
      <c r="I589" s="155"/>
      <c r="J589" s="157"/>
      <c r="K589" s="157"/>
      <c r="L589" s="155"/>
      <c r="M589" s="155"/>
      <c r="N589" s="155"/>
      <c r="O589" s="156"/>
      <c r="P589" s="156"/>
      <c r="Q589" s="155"/>
      <c r="R589" s="155"/>
      <c r="S589" s="155"/>
      <c r="T589" s="156"/>
      <c r="U589" s="156"/>
      <c r="V589" s="155"/>
      <c r="W589" s="155"/>
      <c r="X589" s="155"/>
      <c r="Y589" s="155"/>
      <c r="Z589" s="155"/>
      <c r="AA589" s="156"/>
      <c r="AB589" s="156"/>
      <c r="AC589" s="155"/>
      <c r="AD589" s="155"/>
      <c r="AE589" s="155"/>
      <c r="AF589" s="156"/>
      <c r="AG589" s="156"/>
      <c r="AH589" s="155"/>
      <c r="AI589" s="155"/>
      <c r="AJ589" s="155"/>
      <c r="AK589" s="156"/>
      <c r="AL589" s="156"/>
      <c r="AM589" s="155"/>
      <c r="AN589" s="155"/>
      <c r="AO589" s="155"/>
      <c r="AP589" s="156"/>
      <c r="AQ589" s="156"/>
      <c r="AR589" s="155"/>
      <c r="AS589" s="155"/>
      <c r="AT589" s="155"/>
      <c r="AU589" s="156"/>
      <c r="AV589" s="156"/>
      <c r="AW589" s="155"/>
      <c r="AX589" s="155"/>
      <c r="AY589" s="155"/>
      <c r="AZ589" s="156"/>
      <c r="BA589" s="156"/>
      <c r="BB589" s="155"/>
      <c r="BC589" s="155"/>
      <c r="BD589" s="155"/>
      <c r="BE589" s="155"/>
      <c r="BF589" s="155"/>
      <c r="BG589" s="158"/>
      <c r="BH589" s="158"/>
      <c r="BI589" s="155"/>
      <c r="BJ589" s="155"/>
      <c r="BK589" s="159"/>
      <c r="BL589" s="156"/>
      <c r="BM589" s="156"/>
      <c r="BN589" s="156"/>
      <c r="BO589" s="156"/>
      <c r="BP589" s="160"/>
      <c r="BQ589" s="160"/>
      <c r="BR589" s="160"/>
      <c r="BS589" s="160"/>
    </row>
    <row r="590" spans="1:71" x14ac:dyDescent="0.25">
      <c r="A590" s="154"/>
      <c r="B590" s="155"/>
      <c r="C590" s="155"/>
      <c r="D590" s="155"/>
      <c r="E590" s="156"/>
      <c r="F590" s="156"/>
      <c r="G590" s="155"/>
      <c r="H590" s="155"/>
      <c r="I590" s="155"/>
      <c r="J590" s="157"/>
      <c r="K590" s="157"/>
      <c r="L590" s="155"/>
      <c r="M590" s="155"/>
      <c r="N590" s="155"/>
      <c r="O590" s="156"/>
      <c r="P590" s="156"/>
      <c r="Q590" s="155"/>
      <c r="R590" s="155"/>
      <c r="S590" s="155"/>
      <c r="T590" s="156"/>
      <c r="U590" s="156"/>
      <c r="V590" s="155"/>
      <c r="W590" s="155"/>
      <c r="X590" s="155"/>
      <c r="Y590" s="155"/>
      <c r="Z590" s="155"/>
      <c r="AA590" s="156"/>
      <c r="AB590" s="156"/>
      <c r="AC590" s="155"/>
      <c r="AD590" s="155"/>
      <c r="AE590" s="155"/>
      <c r="AF590" s="156"/>
      <c r="AG590" s="156"/>
      <c r="AH590" s="155"/>
      <c r="AI590" s="155"/>
      <c r="AJ590" s="155"/>
      <c r="AK590" s="156"/>
      <c r="AL590" s="156"/>
      <c r="AM590" s="155"/>
      <c r="AN590" s="155"/>
      <c r="AO590" s="155"/>
      <c r="AP590" s="156"/>
      <c r="AQ590" s="156"/>
      <c r="AR590" s="155"/>
      <c r="AS590" s="155"/>
      <c r="AT590" s="155"/>
      <c r="AU590" s="156"/>
      <c r="AV590" s="156"/>
      <c r="AW590" s="155"/>
      <c r="AX590" s="155"/>
      <c r="AY590" s="155"/>
      <c r="AZ590" s="156"/>
      <c r="BA590" s="156"/>
      <c r="BB590" s="155"/>
      <c r="BC590" s="155"/>
      <c r="BD590" s="155"/>
      <c r="BE590" s="155"/>
      <c r="BF590" s="155"/>
      <c r="BG590" s="158"/>
      <c r="BH590" s="158"/>
      <c r="BI590" s="155"/>
      <c r="BJ590" s="155"/>
      <c r="BK590" s="159"/>
      <c r="BL590" s="156"/>
      <c r="BM590" s="156"/>
      <c r="BN590" s="156"/>
      <c r="BO590" s="156"/>
      <c r="BP590" s="160"/>
      <c r="BQ590" s="160"/>
      <c r="BR590" s="160"/>
      <c r="BS590" s="160"/>
    </row>
    <row r="591" spans="1:71" x14ac:dyDescent="0.25">
      <c r="A591" s="154"/>
      <c r="B591" s="155"/>
      <c r="C591" s="155"/>
      <c r="D591" s="155"/>
      <c r="E591" s="156"/>
      <c r="F591" s="156"/>
      <c r="G591" s="155"/>
      <c r="H591" s="155"/>
      <c r="I591" s="155"/>
      <c r="J591" s="157"/>
      <c r="K591" s="157"/>
      <c r="L591" s="155"/>
      <c r="M591" s="155"/>
      <c r="N591" s="155"/>
      <c r="O591" s="156"/>
      <c r="P591" s="156"/>
      <c r="Q591" s="155"/>
      <c r="R591" s="155"/>
      <c r="S591" s="155"/>
      <c r="T591" s="156"/>
      <c r="U591" s="156"/>
      <c r="V591" s="155"/>
      <c r="W591" s="155"/>
      <c r="X591" s="155"/>
      <c r="Y591" s="155"/>
      <c r="Z591" s="155"/>
      <c r="AA591" s="156"/>
      <c r="AB591" s="156"/>
      <c r="AC591" s="155"/>
      <c r="AD591" s="155"/>
      <c r="AE591" s="155"/>
      <c r="AF591" s="156"/>
      <c r="AG591" s="156"/>
      <c r="AH591" s="155"/>
      <c r="AI591" s="155"/>
      <c r="AJ591" s="155"/>
      <c r="AK591" s="156"/>
      <c r="AL591" s="156"/>
      <c r="AM591" s="155"/>
      <c r="AN591" s="155"/>
      <c r="AO591" s="155"/>
      <c r="AP591" s="156"/>
      <c r="AQ591" s="156"/>
      <c r="AR591" s="155"/>
      <c r="AS591" s="155"/>
      <c r="AT591" s="155"/>
      <c r="AU591" s="156"/>
      <c r="AV591" s="156"/>
      <c r="AW591" s="155"/>
      <c r="AX591" s="155"/>
      <c r="AY591" s="155"/>
      <c r="AZ591" s="156"/>
      <c r="BA591" s="156"/>
      <c r="BB591" s="155"/>
      <c r="BC591" s="155"/>
      <c r="BD591" s="155"/>
      <c r="BE591" s="155"/>
      <c r="BF591" s="155"/>
      <c r="BG591" s="158"/>
      <c r="BH591" s="158"/>
      <c r="BI591" s="155"/>
      <c r="BJ591" s="155"/>
      <c r="BK591" s="159"/>
      <c r="BL591" s="156"/>
      <c r="BM591" s="156"/>
      <c r="BN591" s="156"/>
      <c r="BO591" s="156"/>
      <c r="BP591" s="160"/>
      <c r="BQ591" s="160"/>
      <c r="BR591" s="160"/>
      <c r="BS591" s="160"/>
    </row>
    <row r="592" spans="1:71" x14ac:dyDescent="0.25">
      <c r="A592" s="154"/>
      <c r="B592" s="155"/>
      <c r="C592" s="155"/>
      <c r="D592" s="155"/>
      <c r="E592" s="156"/>
      <c r="F592" s="156"/>
      <c r="G592" s="155"/>
      <c r="H592" s="155"/>
      <c r="I592" s="155"/>
      <c r="J592" s="157"/>
      <c r="K592" s="157"/>
      <c r="L592" s="155"/>
      <c r="M592" s="155"/>
      <c r="N592" s="155"/>
      <c r="O592" s="156"/>
      <c r="P592" s="156"/>
      <c r="Q592" s="155"/>
      <c r="R592" s="155"/>
      <c r="S592" s="155"/>
      <c r="T592" s="156"/>
      <c r="U592" s="156"/>
      <c r="V592" s="155"/>
      <c r="W592" s="155"/>
      <c r="X592" s="155"/>
      <c r="Y592" s="155"/>
      <c r="Z592" s="155"/>
      <c r="AA592" s="156"/>
      <c r="AB592" s="156"/>
      <c r="AC592" s="155"/>
      <c r="AD592" s="155"/>
      <c r="AE592" s="155"/>
      <c r="AF592" s="156"/>
      <c r="AG592" s="156"/>
      <c r="AH592" s="155"/>
      <c r="AI592" s="155"/>
      <c r="AJ592" s="155"/>
      <c r="AK592" s="156"/>
      <c r="AL592" s="156"/>
      <c r="AM592" s="155"/>
      <c r="AN592" s="155"/>
      <c r="AO592" s="155"/>
      <c r="AP592" s="156"/>
      <c r="AQ592" s="156"/>
      <c r="AR592" s="155"/>
      <c r="AS592" s="155"/>
      <c r="AT592" s="155"/>
      <c r="AU592" s="156"/>
      <c r="AV592" s="156"/>
      <c r="AW592" s="155"/>
      <c r="AX592" s="155"/>
      <c r="AY592" s="155"/>
      <c r="AZ592" s="156"/>
      <c r="BA592" s="156"/>
      <c r="BB592" s="155"/>
      <c r="BC592" s="155"/>
      <c r="BD592" s="155"/>
      <c r="BE592" s="155"/>
      <c r="BF592" s="155"/>
      <c r="BG592" s="158"/>
      <c r="BH592" s="158"/>
      <c r="BI592" s="155"/>
      <c r="BJ592" s="155"/>
      <c r="BK592" s="159"/>
      <c r="BL592" s="156"/>
      <c r="BM592" s="156"/>
      <c r="BN592" s="156"/>
      <c r="BO592" s="156"/>
      <c r="BP592" s="160"/>
      <c r="BQ592" s="160"/>
      <c r="BR592" s="160"/>
      <c r="BS592" s="160"/>
    </row>
    <row r="593" spans="1:71" x14ac:dyDescent="0.25">
      <c r="A593" s="154"/>
      <c r="B593" s="155"/>
      <c r="C593" s="155"/>
      <c r="D593" s="155"/>
      <c r="E593" s="156"/>
      <c r="F593" s="156"/>
      <c r="G593" s="155"/>
      <c r="H593" s="155"/>
      <c r="I593" s="155"/>
      <c r="J593" s="157"/>
      <c r="K593" s="157"/>
      <c r="L593" s="155"/>
      <c r="M593" s="155"/>
      <c r="N593" s="155"/>
      <c r="O593" s="156"/>
      <c r="P593" s="156"/>
      <c r="Q593" s="155"/>
      <c r="R593" s="155"/>
      <c r="S593" s="155"/>
      <c r="T593" s="156"/>
      <c r="U593" s="156"/>
      <c r="V593" s="155"/>
      <c r="W593" s="155"/>
      <c r="X593" s="155"/>
      <c r="Y593" s="155"/>
      <c r="Z593" s="155"/>
      <c r="AA593" s="156"/>
      <c r="AB593" s="156"/>
      <c r="AC593" s="155"/>
      <c r="AD593" s="155"/>
      <c r="AE593" s="155"/>
      <c r="AF593" s="156"/>
      <c r="AG593" s="156"/>
      <c r="AH593" s="155"/>
      <c r="AI593" s="155"/>
      <c r="AJ593" s="155"/>
      <c r="AK593" s="156"/>
      <c r="AL593" s="156"/>
      <c r="AM593" s="155"/>
      <c r="AN593" s="155"/>
      <c r="AO593" s="155"/>
      <c r="AP593" s="156"/>
      <c r="AQ593" s="156"/>
      <c r="AR593" s="155"/>
      <c r="AS593" s="155"/>
      <c r="AT593" s="155"/>
      <c r="AU593" s="156"/>
      <c r="AV593" s="156"/>
      <c r="AW593" s="155"/>
      <c r="AX593" s="155"/>
      <c r="AY593" s="155"/>
      <c r="AZ593" s="156"/>
      <c r="BA593" s="156"/>
      <c r="BB593" s="155"/>
      <c r="BC593" s="155"/>
      <c r="BD593" s="155"/>
      <c r="BE593" s="155"/>
      <c r="BF593" s="155"/>
      <c r="BG593" s="158"/>
      <c r="BH593" s="158"/>
      <c r="BI593" s="155"/>
      <c r="BJ593" s="155"/>
      <c r="BK593" s="159"/>
      <c r="BL593" s="156"/>
      <c r="BM593" s="156"/>
      <c r="BN593" s="156"/>
      <c r="BO593" s="156"/>
      <c r="BP593" s="160"/>
      <c r="BQ593" s="160"/>
      <c r="BR593" s="160"/>
      <c r="BS593" s="160"/>
    </row>
    <row r="594" spans="1:71" x14ac:dyDescent="0.25">
      <c r="A594" s="154"/>
      <c r="B594" s="155"/>
      <c r="C594" s="155"/>
      <c r="D594" s="155"/>
      <c r="E594" s="156"/>
      <c r="F594" s="156"/>
      <c r="G594" s="155"/>
      <c r="H594" s="155"/>
      <c r="I594" s="155"/>
      <c r="J594" s="157"/>
      <c r="K594" s="157"/>
      <c r="L594" s="155"/>
      <c r="M594" s="155"/>
      <c r="N594" s="155"/>
      <c r="O594" s="156"/>
      <c r="P594" s="156"/>
      <c r="Q594" s="155"/>
      <c r="R594" s="155"/>
      <c r="S594" s="155"/>
      <c r="T594" s="156"/>
      <c r="U594" s="156"/>
      <c r="V594" s="155"/>
      <c r="W594" s="155"/>
      <c r="X594" s="155"/>
      <c r="Y594" s="155"/>
      <c r="Z594" s="155"/>
      <c r="AA594" s="156"/>
      <c r="AB594" s="156"/>
      <c r="AC594" s="155"/>
      <c r="AD594" s="155"/>
      <c r="AE594" s="155"/>
      <c r="AF594" s="156"/>
      <c r="AG594" s="156"/>
      <c r="AH594" s="155"/>
      <c r="AI594" s="155"/>
      <c r="AJ594" s="155"/>
      <c r="AK594" s="156"/>
      <c r="AL594" s="156"/>
      <c r="AM594" s="155"/>
      <c r="AN594" s="155"/>
      <c r="AO594" s="155"/>
      <c r="AP594" s="156"/>
      <c r="AQ594" s="156"/>
      <c r="AR594" s="155"/>
      <c r="AS594" s="155"/>
      <c r="AT594" s="155"/>
      <c r="AU594" s="156"/>
      <c r="AV594" s="156"/>
      <c r="AW594" s="155"/>
      <c r="AX594" s="155"/>
      <c r="AY594" s="155"/>
      <c r="AZ594" s="156"/>
      <c r="BA594" s="156"/>
      <c r="BB594" s="155"/>
      <c r="BC594" s="155"/>
      <c r="BD594" s="155"/>
      <c r="BE594" s="155"/>
      <c r="BF594" s="155"/>
      <c r="BG594" s="158"/>
      <c r="BH594" s="158"/>
      <c r="BI594" s="155"/>
      <c r="BJ594" s="155"/>
      <c r="BK594" s="159"/>
      <c r="BL594" s="156"/>
      <c r="BM594" s="156"/>
      <c r="BN594" s="156"/>
      <c r="BO594" s="156"/>
      <c r="BP594" s="160"/>
      <c r="BQ594" s="160"/>
      <c r="BR594" s="160"/>
      <c r="BS594" s="160"/>
    </row>
    <row r="595" spans="1:71" x14ac:dyDescent="0.25">
      <c r="A595" s="154"/>
      <c r="B595" s="155"/>
      <c r="C595" s="155"/>
      <c r="D595" s="155"/>
      <c r="E595" s="156"/>
      <c r="F595" s="156"/>
      <c r="G595" s="155"/>
      <c r="H595" s="155"/>
      <c r="I595" s="155"/>
      <c r="J595" s="157"/>
      <c r="K595" s="157"/>
      <c r="L595" s="155"/>
      <c r="M595" s="155"/>
      <c r="N595" s="155"/>
      <c r="O595" s="156"/>
      <c r="P595" s="156"/>
      <c r="Q595" s="155"/>
      <c r="R595" s="155"/>
      <c r="S595" s="155"/>
      <c r="T595" s="156"/>
      <c r="U595" s="156"/>
      <c r="V595" s="155"/>
      <c r="W595" s="155"/>
      <c r="X595" s="155"/>
      <c r="Y595" s="155"/>
      <c r="Z595" s="155"/>
      <c r="AA595" s="156"/>
      <c r="AB595" s="156"/>
      <c r="AC595" s="155"/>
      <c r="AD595" s="155"/>
      <c r="AE595" s="155"/>
      <c r="AF595" s="156"/>
      <c r="AG595" s="156"/>
      <c r="AH595" s="155"/>
      <c r="AI595" s="155"/>
      <c r="AJ595" s="155"/>
      <c r="AK595" s="156"/>
      <c r="AL595" s="156"/>
      <c r="AM595" s="155"/>
      <c r="AN595" s="155"/>
      <c r="AO595" s="155"/>
      <c r="AP595" s="156"/>
      <c r="AQ595" s="156"/>
      <c r="AR595" s="155"/>
      <c r="AS595" s="155"/>
      <c r="AT595" s="155"/>
      <c r="AU595" s="156"/>
      <c r="AV595" s="156"/>
      <c r="AW595" s="155"/>
      <c r="AX595" s="155"/>
      <c r="AY595" s="155"/>
      <c r="AZ595" s="156"/>
      <c r="BA595" s="156"/>
      <c r="BB595" s="155"/>
      <c r="BC595" s="155"/>
      <c r="BD595" s="155"/>
      <c r="BE595" s="155"/>
      <c r="BF595" s="155"/>
      <c r="BG595" s="158"/>
      <c r="BH595" s="158"/>
      <c r="BI595" s="155"/>
      <c r="BJ595" s="155"/>
      <c r="BK595" s="159"/>
      <c r="BL595" s="156"/>
      <c r="BM595" s="156"/>
      <c r="BN595" s="156"/>
      <c r="BO595" s="156"/>
      <c r="BP595" s="160"/>
      <c r="BQ595" s="160"/>
      <c r="BR595" s="160"/>
      <c r="BS595" s="160"/>
    </row>
    <row r="596" spans="1:71" x14ac:dyDescent="0.25">
      <c r="A596" s="154"/>
      <c r="B596" s="155"/>
      <c r="C596" s="155"/>
      <c r="D596" s="155"/>
      <c r="E596" s="156"/>
      <c r="F596" s="156"/>
      <c r="G596" s="155"/>
      <c r="H596" s="155"/>
      <c r="I596" s="155"/>
      <c r="J596" s="157"/>
      <c r="K596" s="157"/>
      <c r="L596" s="155"/>
      <c r="M596" s="155"/>
      <c r="N596" s="155"/>
      <c r="O596" s="156"/>
      <c r="P596" s="156"/>
      <c r="Q596" s="155"/>
      <c r="R596" s="155"/>
      <c r="S596" s="155"/>
      <c r="T596" s="156"/>
      <c r="U596" s="156"/>
      <c r="V596" s="155"/>
      <c r="W596" s="155"/>
      <c r="X596" s="155"/>
      <c r="Y596" s="155"/>
      <c r="Z596" s="155"/>
      <c r="AA596" s="156"/>
      <c r="AB596" s="156"/>
      <c r="AC596" s="155"/>
      <c r="AD596" s="155"/>
      <c r="AE596" s="155"/>
      <c r="AF596" s="156"/>
      <c r="AG596" s="156"/>
      <c r="AH596" s="155"/>
      <c r="AI596" s="155"/>
      <c r="AJ596" s="155"/>
      <c r="AK596" s="156"/>
      <c r="AL596" s="156"/>
      <c r="AM596" s="155"/>
      <c r="AN596" s="155"/>
      <c r="AO596" s="155"/>
      <c r="AP596" s="156"/>
      <c r="AQ596" s="156"/>
      <c r="AR596" s="155"/>
      <c r="AS596" s="155"/>
      <c r="AT596" s="155"/>
      <c r="AU596" s="156"/>
      <c r="AV596" s="156"/>
      <c r="AW596" s="155"/>
      <c r="AX596" s="155"/>
      <c r="AY596" s="155"/>
      <c r="AZ596" s="156"/>
      <c r="BA596" s="156"/>
      <c r="BB596" s="155"/>
      <c r="BC596" s="155"/>
      <c r="BD596" s="155"/>
      <c r="BE596" s="155"/>
      <c r="BF596" s="155"/>
      <c r="BG596" s="158"/>
      <c r="BH596" s="158"/>
      <c r="BI596" s="155"/>
      <c r="BJ596" s="155"/>
      <c r="BK596" s="159"/>
      <c r="BL596" s="156"/>
      <c r="BM596" s="156"/>
      <c r="BN596" s="156"/>
      <c r="BO596" s="156"/>
      <c r="BP596" s="160"/>
      <c r="BQ596" s="160"/>
      <c r="BR596" s="160"/>
      <c r="BS596" s="160"/>
    </row>
    <row r="597" spans="1:71" x14ac:dyDescent="0.25">
      <c r="A597" s="154"/>
      <c r="B597" s="155"/>
      <c r="C597" s="155"/>
      <c r="D597" s="155"/>
      <c r="E597" s="156"/>
      <c r="F597" s="156"/>
      <c r="G597" s="155"/>
      <c r="H597" s="155"/>
      <c r="I597" s="155"/>
      <c r="J597" s="157"/>
      <c r="K597" s="157"/>
      <c r="L597" s="155"/>
      <c r="M597" s="155"/>
      <c r="N597" s="155"/>
      <c r="O597" s="156"/>
      <c r="P597" s="156"/>
      <c r="Q597" s="155"/>
      <c r="R597" s="155"/>
      <c r="S597" s="155"/>
      <c r="T597" s="156"/>
      <c r="U597" s="156"/>
      <c r="V597" s="155"/>
      <c r="W597" s="155"/>
      <c r="X597" s="155"/>
      <c r="Y597" s="155"/>
      <c r="Z597" s="155"/>
      <c r="AA597" s="156"/>
      <c r="AB597" s="156"/>
      <c r="AC597" s="155"/>
      <c r="AD597" s="155"/>
      <c r="AE597" s="155"/>
      <c r="AF597" s="156"/>
      <c r="AG597" s="156"/>
      <c r="AH597" s="155"/>
      <c r="AI597" s="155"/>
      <c r="AJ597" s="155"/>
      <c r="AK597" s="156"/>
      <c r="AL597" s="156"/>
      <c r="AM597" s="155"/>
      <c r="AN597" s="155"/>
      <c r="AO597" s="155"/>
      <c r="AP597" s="156"/>
      <c r="AQ597" s="156"/>
      <c r="AR597" s="155"/>
      <c r="AS597" s="155"/>
      <c r="AT597" s="155"/>
      <c r="AU597" s="156"/>
      <c r="AV597" s="156"/>
      <c r="AW597" s="155"/>
      <c r="AX597" s="155"/>
      <c r="AY597" s="155"/>
      <c r="AZ597" s="156"/>
      <c r="BA597" s="156"/>
      <c r="BB597" s="155"/>
      <c r="BC597" s="155"/>
      <c r="BD597" s="155"/>
      <c r="BE597" s="155"/>
      <c r="BF597" s="155"/>
      <c r="BG597" s="158"/>
      <c r="BH597" s="158"/>
      <c r="BI597" s="155"/>
      <c r="BJ597" s="155"/>
      <c r="BK597" s="159"/>
      <c r="BL597" s="156"/>
      <c r="BM597" s="156"/>
      <c r="BN597" s="156"/>
      <c r="BO597" s="156"/>
      <c r="BP597" s="160"/>
      <c r="BQ597" s="160"/>
      <c r="BR597" s="160"/>
      <c r="BS597" s="160"/>
    </row>
    <row r="598" spans="1:71" x14ac:dyDescent="0.25">
      <c r="A598" s="154"/>
      <c r="B598" s="155"/>
      <c r="C598" s="155"/>
      <c r="D598" s="155"/>
      <c r="E598" s="156"/>
      <c r="F598" s="156"/>
      <c r="G598" s="155"/>
      <c r="H598" s="155"/>
      <c r="I598" s="155"/>
      <c r="J598" s="157"/>
      <c r="K598" s="157"/>
      <c r="L598" s="155"/>
      <c r="M598" s="155"/>
      <c r="N598" s="155"/>
      <c r="O598" s="156"/>
      <c r="P598" s="156"/>
      <c r="Q598" s="155"/>
      <c r="R598" s="155"/>
      <c r="S598" s="155"/>
      <c r="T598" s="156"/>
      <c r="U598" s="156"/>
      <c r="V598" s="155"/>
      <c r="W598" s="155"/>
      <c r="X598" s="155"/>
      <c r="Y598" s="155"/>
      <c r="Z598" s="155"/>
      <c r="AA598" s="156"/>
      <c r="AB598" s="156"/>
      <c r="AC598" s="155"/>
      <c r="AD598" s="155"/>
      <c r="AE598" s="155"/>
      <c r="AF598" s="156"/>
      <c r="AG598" s="156"/>
      <c r="AH598" s="155"/>
      <c r="AI598" s="155"/>
      <c r="AJ598" s="155"/>
      <c r="AK598" s="156"/>
      <c r="AL598" s="156"/>
      <c r="AM598" s="155"/>
      <c r="AN598" s="155"/>
      <c r="AO598" s="155"/>
      <c r="AP598" s="156"/>
      <c r="AQ598" s="156"/>
      <c r="AR598" s="155"/>
      <c r="AS598" s="155"/>
      <c r="AT598" s="155"/>
      <c r="AU598" s="156"/>
      <c r="AV598" s="156"/>
      <c r="AW598" s="155"/>
      <c r="AX598" s="155"/>
      <c r="AY598" s="155"/>
      <c r="AZ598" s="156"/>
      <c r="BA598" s="156"/>
      <c r="BB598" s="155"/>
      <c r="BC598" s="155"/>
      <c r="BD598" s="155"/>
      <c r="BE598" s="155"/>
      <c r="BF598" s="155"/>
      <c r="BG598" s="158"/>
      <c r="BH598" s="158"/>
      <c r="BI598" s="155"/>
      <c r="BJ598" s="155"/>
      <c r="BK598" s="159"/>
      <c r="BL598" s="156"/>
      <c r="BM598" s="156"/>
      <c r="BN598" s="156"/>
      <c r="BO598" s="156"/>
      <c r="BP598" s="160"/>
      <c r="BQ598" s="160"/>
      <c r="BR598" s="160"/>
      <c r="BS598" s="160"/>
    </row>
    <row r="599" spans="1:71" x14ac:dyDescent="0.25">
      <c r="A599" s="154"/>
      <c r="B599" s="155"/>
      <c r="C599" s="155"/>
      <c r="D599" s="155"/>
      <c r="E599" s="156"/>
      <c r="F599" s="156"/>
      <c r="G599" s="155"/>
      <c r="H599" s="155"/>
      <c r="I599" s="155"/>
      <c r="J599" s="157"/>
      <c r="K599" s="157"/>
      <c r="L599" s="155"/>
      <c r="M599" s="155"/>
      <c r="N599" s="155"/>
      <c r="O599" s="156"/>
      <c r="P599" s="156"/>
      <c r="Q599" s="155"/>
      <c r="R599" s="155"/>
      <c r="S599" s="155"/>
      <c r="T599" s="156"/>
      <c r="U599" s="156"/>
      <c r="V599" s="155"/>
      <c r="W599" s="155"/>
      <c r="X599" s="155"/>
      <c r="Y599" s="155"/>
      <c r="Z599" s="155"/>
      <c r="AA599" s="156"/>
      <c r="AB599" s="156"/>
      <c r="AC599" s="155"/>
      <c r="AD599" s="155"/>
      <c r="AE599" s="155"/>
      <c r="AF599" s="156"/>
      <c r="AG599" s="156"/>
      <c r="AH599" s="155"/>
      <c r="AI599" s="155"/>
      <c r="AJ599" s="155"/>
      <c r="AK599" s="156"/>
      <c r="AL599" s="156"/>
      <c r="AM599" s="155"/>
      <c r="AN599" s="155"/>
      <c r="AO599" s="155"/>
      <c r="AP599" s="156"/>
      <c r="AQ599" s="156"/>
      <c r="AR599" s="155"/>
      <c r="AS599" s="155"/>
      <c r="AT599" s="155"/>
      <c r="AU599" s="156"/>
      <c r="AV599" s="156"/>
      <c r="AW599" s="155"/>
      <c r="AX599" s="155"/>
      <c r="AY599" s="155"/>
      <c r="AZ599" s="156"/>
      <c r="BA599" s="156"/>
      <c r="BB599" s="155"/>
      <c r="BC599" s="155"/>
      <c r="BD599" s="155"/>
      <c r="BE599" s="155"/>
      <c r="BF599" s="155"/>
      <c r="BG599" s="158"/>
      <c r="BH599" s="158"/>
      <c r="BI599" s="155"/>
      <c r="BJ599" s="155"/>
      <c r="BK599" s="159"/>
      <c r="BL599" s="156"/>
      <c r="BM599" s="156"/>
      <c r="BN599" s="156"/>
      <c r="BO599" s="156"/>
      <c r="BP599" s="160"/>
      <c r="BQ599" s="160"/>
      <c r="BR599" s="160"/>
      <c r="BS599" s="160"/>
    </row>
    <row r="600" spans="1:71" x14ac:dyDescent="0.25">
      <c r="A600" s="154"/>
      <c r="B600" s="155"/>
      <c r="C600" s="155"/>
      <c r="D600" s="155"/>
      <c r="E600" s="156"/>
      <c r="F600" s="156"/>
      <c r="G600" s="155"/>
      <c r="H600" s="155"/>
      <c r="I600" s="155"/>
      <c r="J600" s="157"/>
      <c r="K600" s="157"/>
      <c r="L600" s="155"/>
      <c r="M600" s="155"/>
      <c r="N600" s="155"/>
      <c r="O600" s="156"/>
      <c r="P600" s="156"/>
      <c r="Q600" s="155"/>
      <c r="R600" s="155"/>
      <c r="S600" s="155"/>
      <c r="T600" s="156"/>
      <c r="U600" s="156"/>
      <c r="V600" s="155"/>
      <c r="W600" s="155"/>
      <c r="X600" s="155"/>
      <c r="Y600" s="155"/>
      <c r="Z600" s="155"/>
      <c r="AA600" s="156"/>
      <c r="AB600" s="156"/>
      <c r="AC600" s="155"/>
      <c r="AD600" s="155"/>
      <c r="AE600" s="155"/>
      <c r="AF600" s="156"/>
      <c r="AG600" s="156"/>
      <c r="AH600" s="155"/>
      <c r="AI600" s="155"/>
      <c r="AJ600" s="155"/>
      <c r="AK600" s="156"/>
      <c r="AL600" s="156"/>
      <c r="AM600" s="155"/>
      <c r="AN600" s="155"/>
      <c r="AO600" s="155"/>
      <c r="AP600" s="156"/>
      <c r="AQ600" s="156"/>
      <c r="AR600" s="155"/>
      <c r="AS600" s="155"/>
      <c r="AT600" s="155"/>
      <c r="AU600" s="156"/>
      <c r="AV600" s="156"/>
      <c r="AW600" s="155"/>
      <c r="AX600" s="155"/>
      <c r="AY600" s="155"/>
      <c r="AZ600" s="156"/>
      <c r="BA600" s="156"/>
      <c r="BB600" s="155"/>
      <c r="BC600" s="155"/>
      <c r="BD600" s="155"/>
      <c r="BE600" s="155"/>
      <c r="BF600" s="155"/>
      <c r="BG600" s="158"/>
      <c r="BH600" s="158"/>
      <c r="BI600" s="155"/>
      <c r="BJ600" s="155"/>
      <c r="BK600" s="159"/>
      <c r="BL600" s="156"/>
      <c r="BM600" s="156"/>
      <c r="BN600" s="156"/>
      <c r="BO600" s="156"/>
      <c r="BP600" s="160"/>
      <c r="BQ600" s="160"/>
      <c r="BR600" s="160"/>
      <c r="BS600" s="160"/>
    </row>
    <row r="601" spans="1:71" x14ac:dyDescent="0.25">
      <c r="A601" s="154"/>
      <c r="B601" s="155"/>
      <c r="C601" s="155"/>
      <c r="D601" s="155"/>
      <c r="E601" s="156"/>
      <c r="F601" s="156"/>
      <c r="G601" s="155"/>
      <c r="H601" s="155"/>
      <c r="I601" s="155"/>
      <c r="J601" s="157"/>
      <c r="K601" s="157"/>
      <c r="L601" s="155"/>
      <c r="M601" s="155"/>
      <c r="N601" s="155"/>
      <c r="O601" s="156"/>
      <c r="P601" s="156"/>
      <c r="Q601" s="155"/>
      <c r="R601" s="155"/>
      <c r="S601" s="155"/>
      <c r="T601" s="156"/>
      <c r="U601" s="156"/>
      <c r="V601" s="155"/>
      <c r="W601" s="155"/>
      <c r="X601" s="155"/>
      <c r="Y601" s="155"/>
      <c r="Z601" s="155"/>
      <c r="AA601" s="156"/>
      <c r="AB601" s="156"/>
      <c r="AC601" s="155"/>
      <c r="AD601" s="155"/>
      <c r="AE601" s="155"/>
      <c r="AF601" s="156"/>
      <c r="AG601" s="156"/>
      <c r="AH601" s="155"/>
      <c r="AI601" s="155"/>
      <c r="AJ601" s="155"/>
      <c r="AK601" s="156"/>
      <c r="AL601" s="156"/>
      <c r="AM601" s="155"/>
      <c r="AN601" s="155"/>
      <c r="AO601" s="155"/>
      <c r="AP601" s="156"/>
      <c r="AQ601" s="156"/>
      <c r="AR601" s="155"/>
      <c r="AS601" s="155"/>
      <c r="AT601" s="155"/>
      <c r="AU601" s="156"/>
      <c r="AV601" s="156"/>
      <c r="AW601" s="155"/>
      <c r="AX601" s="155"/>
      <c r="AY601" s="155"/>
      <c r="AZ601" s="156"/>
      <c r="BA601" s="156"/>
      <c r="BB601" s="155"/>
      <c r="BC601" s="155"/>
      <c r="BD601" s="155"/>
      <c r="BE601" s="155"/>
      <c r="BF601" s="155"/>
      <c r="BG601" s="158"/>
      <c r="BH601" s="158"/>
      <c r="BI601" s="155"/>
      <c r="BJ601" s="155"/>
      <c r="BK601" s="159"/>
      <c r="BL601" s="156"/>
      <c r="BM601" s="156"/>
      <c r="BN601" s="156"/>
      <c r="BO601" s="156"/>
      <c r="BP601" s="160"/>
      <c r="BQ601" s="160"/>
      <c r="BR601" s="160"/>
      <c r="BS601" s="160"/>
    </row>
    <row r="602" spans="1:71" x14ac:dyDescent="0.25">
      <c r="A602" s="154"/>
      <c r="B602" s="155"/>
      <c r="C602" s="155"/>
      <c r="D602" s="155"/>
      <c r="E602" s="156"/>
      <c r="F602" s="156"/>
      <c r="G602" s="155"/>
      <c r="H602" s="155"/>
      <c r="I602" s="155"/>
      <c r="J602" s="157"/>
      <c r="K602" s="157"/>
      <c r="L602" s="155"/>
      <c r="M602" s="155"/>
      <c r="N602" s="155"/>
      <c r="O602" s="156"/>
      <c r="P602" s="156"/>
      <c r="Q602" s="155"/>
      <c r="R602" s="155"/>
      <c r="S602" s="155"/>
      <c r="T602" s="156"/>
      <c r="U602" s="156"/>
      <c r="V602" s="155"/>
      <c r="W602" s="155"/>
      <c r="X602" s="155"/>
      <c r="Y602" s="155"/>
      <c r="Z602" s="155"/>
      <c r="AA602" s="156"/>
      <c r="AB602" s="156"/>
      <c r="AC602" s="155"/>
      <c r="AD602" s="155"/>
      <c r="AE602" s="155"/>
      <c r="AF602" s="156"/>
      <c r="AG602" s="156"/>
      <c r="AH602" s="155"/>
      <c r="AI602" s="155"/>
      <c r="AJ602" s="155"/>
      <c r="AK602" s="156"/>
      <c r="AL602" s="156"/>
      <c r="AM602" s="155"/>
      <c r="AN602" s="155"/>
      <c r="AO602" s="155"/>
      <c r="AP602" s="156"/>
      <c r="AQ602" s="156"/>
      <c r="AR602" s="155"/>
      <c r="AS602" s="155"/>
      <c r="AT602" s="155"/>
      <c r="AU602" s="156"/>
      <c r="AV602" s="156"/>
      <c r="AW602" s="155"/>
      <c r="AX602" s="155"/>
      <c r="AY602" s="155"/>
      <c r="AZ602" s="156"/>
      <c r="BA602" s="156"/>
      <c r="BB602" s="155"/>
      <c r="BC602" s="155"/>
      <c r="BD602" s="155"/>
      <c r="BE602" s="155"/>
      <c r="BF602" s="155"/>
      <c r="BG602" s="158"/>
      <c r="BH602" s="158"/>
      <c r="BI602" s="155"/>
      <c r="BJ602" s="155"/>
      <c r="BK602" s="159"/>
      <c r="BL602" s="156"/>
      <c r="BM602" s="156"/>
      <c r="BN602" s="156"/>
      <c r="BO602" s="156"/>
      <c r="BP602" s="160"/>
      <c r="BQ602" s="160"/>
      <c r="BR602" s="160"/>
      <c r="BS602" s="160"/>
    </row>
    <row r="603" spans="1:71" x14ac:dyDescent="0.25">
      <c r="A603" s="154"/>
      <c r="B603" s="155"/>
      <c r="C603" s="155"/>
      <c r="D603" s="155"/>
      <c r="E603" s="156"/>
      <c r="F603" s="156"/>
      <c r="G603" s="155"/>
      <c r="H603" s="155"/>
      <c r="I603" s="155"/>
      <c r="J603" s="157"/>
      <c r="K603" s="157"/>
      <c r="L603" s="155"/>
      <c r="M603" s="155"/>
      <c r="N603" s="155"/>
      <c r="O603" s="156"/>
      <c r="P603" s="156"/>
      <c r="Q603" s="155"/>
      <c r="R603" s="155"/>
      <c r="S603" s="155"/>
      <c r="T603" s="156"/>
      <c r="U603" s="156"/>
      <c r="V603" s="155"/>
      <c r="W603" s="155"/>
      <c r="X603" s="155"/>
      <c r="Y603" s="155"/>
      <c r="Z603" s="155"/>
      <c r="AA603" s="156"/>
      <c r="AB603" s="156"/>
      <c r="AC603" s="155"/>
      <c r="AD603" s="155"/>
      <c r="AE603" s="155"/>
      <c r="AF603" s="156"/>
      <c r="AG603" s="156"/>
      <c r="AH603" s="155"/>
      <c r="AI603" s="155"/>
      <c r="AJ603" s="155"/>
      <c r="AK603" s="156"/>
      <c r="AL603" s="156"/>
      <c r="AM603" s="155"/>
      <c r="AN603" s="155"/>
      <c r="AO603" s="155"/>
      <c r="AP603" s="156"/>
      <c r="AQ603" s="156"/>
      <c r="AR603" s="155"/>
      <c r="AS603" s="155"/>
      <c r="AT603" s="155"/>
      <c r="AU603" s="156"/>
      <c r="AV603" s="156"/>
      <c r="AW603" s="155"/>
      <c r="AX603" s="155"/>
      <c r="AY603" s="155"/>
      <c r="AZ603" s="156"/>
      <c r="BA603" s="156"/>
      <c r="BB603" s="155"/>
      <c r="BC603" s="155"/>
      <c r="BD603" s="155"/>
      <c r="BE603" s="155"/>
      <c r="BF603" s="155"/>
      <c r="BG603" s="158"/>
      <c r="BH603" s="158"/>
      <c r="BI603" s="155"/>
      <c r="BJ603" s="155"/>
      <c r="BK603" s="159"/>
      <c r="BL603" s="156"/>
      <c r="BM603" s="156"/>
      <c r="BN603" s="156"/>
      <c r="BO603" s="156"/>
      <c r="BP603" s="160"/>
      <c r="BQ603" s="160"/>
      <c r="BR603" s="160"/>
      <c r="BS603" s="160"/>
    </row>
    <row r="604" spans="1:71" x14ac:dyDescent="0.25">
      <c r="A604" s="154"/>
      <c r="B604" s="155"/>
      <c r="C604" s="155"/>
      <c r="D604" s="155"/>
      <c r="E604" s="156"/>
      <c r="F604" s="156"/>
      <c r="G604" s="155"/>
      <c r="H604" s="155"/>
      <c r="I604" s="155"/>
      <c r="J604" s="157"/>
      <c r="K604" s="157"/>
      <c r="L604" s="155"/>
      <c r="M604" s="155"/>
      <c r="N604" s="155"/>
      <c r="O604" s="156"/>
      <c r="P604" s="156"/>
      <c r="Q604" s="155"/>
      <c r="R604" s="155"/>
      <c r="S604" s="155"/>
      <c r="T604" s="156"/>
      <c r="U604" s="156"/>
      <c r="V604" s="155"/>
      <c r="W604" s="155"/>
      <c r="X604" s="155"/>
      <c r="Y604" s="155"/>
      <c r="Z604" s="155"/>
      <c r="AA604" s="156"/>
      <c r="AB604" s="156"/>
      <c r="AC604" s="155"/>
      <c r="AD604" s="155"/>
      <c r="AE604" s="155"/>
      <c r="AF604" s="156"/>
      <c r="AG604" s="156"/>
      <c r="AH604" s="155"/>
      <c r="AI604" s="155"/>
      <c r="AJ604" s="155"/>
      <c r="AK604" s="156"/>
      <c r="AL604" s="156"/>
      <c r="AM604" s="155"/>
      <c r="AN604" s="155"/>
      <c r="AO604" s="155"/>
      <c r="AP604" s="156"/>
      <c r="AQ604" s="156"/>
      <c r="AR604" s="155"/>
      <c r="AS604" s="155"/>
      <c r="AT604" s="155"/>
      <c r="AU604" s="156"/>
      <c r="AV604" s="156"/>
      <c r="AW604" s="155"/>
      <c r="AX604" s="155"/>
      <c r="AY604" s="155"/>
      <c r="AZ604" s="156"/>
      <c r="BA604" s="156"/>
      <c r="BB604" s="155"/>
      <c r="BC604" s="155"/>
      <c r="BD604" s="155"/>
      <c r="BE604" s="155"/>
      <c r="BF604" s="155"/>
      <c r="BG604" s="158"/>
      <c r="BH604" s="158"/>
      <c r="BI604" s="155"/>
      <c r="BJ604" s="155"/>
      <c r="BK604" s="159"/>
      <c r="BL604" s="156"/>
      <c r="BM604" s="156"/>
      <c r="BN604" s="156"/>
      <c r="BO604" s="156"/>
      <c r="BP604" s="160"/>
      <c r="BQ604" s="160"/>
      <c r="BR604" s="160"/>
      <c r="BS604" s="160"/>
    </row>
    <row r="605" spans="1:71" x14ac:dyDescent="0.25">
      <c r="A605" s="154"/>
      <c r="B605" s="155"/>
      <c r="C605" s="155"/>
      <c r="D605" s="155"/>
      <c r="E605" s="156"/>
      <c r="F605" s="156"/>
      <c r="G605" s="155"/>
      <c r="H605" s="155"/>
      <c r="I605" s="155"/>
      <c r="J605" s="157"/>
      <c r="K605" s="157"/>
      <c r="L605" s="155"/>
      <c r="M605" s="155"/>
      <c r="N605" s="155"/>
      <c r="O605" s="156"/>
      <c r="P605" s="156"/>
      <c r="Q605" s="155"/>
      <c r="R605" s="155"/>
      <c r="S605" s="155"/>
      <c r="T605" s="156"/>
      <c r="U605" s="156"/>
      <c r="V605" s="155"/>
      <c r="W605" s="155"/>
      <c r="X605" s="155"/>
      <c r="Y605" s="155"/>
      <c r="Z605" s="155"/>
      <c r="AA605" s="156"/>
      <c r="AB605" s="156"/>
      <c r="AC605" s="155"/>
      <c r="AD605" s="155"/>
      <c r="AE605" s="155"/>
      <c r="AF605" s="156"/>
      <c r="AG605" s="156"/>
      <c r="AH605" s="155"/>
      <c r="AI605" s="155"/>
      <c r="AJ605" s="155"/>
      <c r="AK605" s="156"/>
      <c r="AL605" s="156"/>
      <c r="AM605" s="155"/>
      <c r="AN605" s="155"/>
      <c r="AO605" s="155"/>
      <c r="AP605" s="156"/>
      <c r="AQ605" s="156"/>
      <c r="AR605" s="155"/>
      <c r="AS605" s="155"/>
      <c r="AT605" s="155"/>
      <c r="AU605" s="156"/>
      <c r="AV605" s="156"/>
      <c r="AW605" s="155"/>
      <c r="AX605" s="155"/>
      <c r="AY605" s="155"/>
      <c r="AZ605" s="156"/>
      <c r="BA605" s="156"/>
      <c r="BB605" s="155"/>
      <c r="BC605" s="155"/>
      <c r="BD605" s="155"/>
      <c r="BE605" s="155"/>
      <c r="BF605" s="155"/>
      <c r="BG605" s="158"/>
      <c r="BH605" s="158"/>
      <c r="BI605" s="155"/>
      <c r="BJ605" s="155"/>
      <c r="BK605" s="159"/>
      <c r="BL605" s="156"/>
      <c r="BM605" s="156"/>
      <c r="BN605" s="156"/>
      <c r="BO605" s="156"/>
      <c r="BP605" s="160"/>
      <c r="BQ605" s="160"/>
      <c r="BR605" s="160"/>
      <c r="BS605" s="160"/>
    </row>
    <row r="606" spans="1:71" x14ac:dyDescent="0.25">
      <c r="A606" s="154"/>
      <c r="B606" s="155"/>
      <c r="C606" s="155"/>
      <c r="D606" s="155"/>
      <c r="E606" s="156"/>
      <c r="F606" s="156"/>
      <c r="G606" s="155"/>
      <c r="H606" s="155"/>
      <c r="I606" s="155"/>
      <c r="J606" s="157"/>
      <c r="K606" s="157"/>
      <c r="L606" s="155"/>
      <c r="M606" s="155"/>
      <c r="N606" s="155"/>
      <c r="O606" s="156"/>
      <c r="P606" s="156"/>
      <c r="Q606" s="155"/>
      <c r="R606" s="155"/>
      <c r="S606" s="155"/>
      <c r="T606" s="156"/>
      <c r="U606" s="156"/>
      <c r="V606" s="155"/>
      <c r="W606" s="155"/>
      <c r="X606" s="155"/>
      <c r="Y606" s="155"/>
      <c r="Z606" s="155"/>
      <c r="AA606" s="156"/>
      <c r="AB606" s="156"/>
      <c r="AC606" s="155"/>
      <c r="AD606" s="155"/>
      <c r="AE606" s="155"/>
      <c r="AF606" s="156"/>
      <c r="AG606" s="156"/>
      <c r="AH606" s="155"/>
      <c r="AI606" s="155"/>
      <c r="AJ606" s="155"/>
      <c r="AK606" s="156"/>
      <c r="AL606" s="156"/>
      <c r="AM606" s="155"/>
      <c r="AN606" s="155"/>
      <c r="AO606" s="155"/>
      <c r="AP606" s="156"/>
      <c r="AQ606" s="156"/>
      <c r="AR606" s="155"/>
      <c r="AS606" s="155"/>
      <c r="AT606" s="155"/>
      <c r="AU606" s="156"/>
      <c r="AV606" s="156"/>
      <c r="AW606" s="155"/>
      <c r="AX606" s="155"/>
      <c r="AY606" s="155"/>
      <c r="AZ606" s="156"/>
      <c r="BA606" s="156"/>
      <c r="BB606" s="155"/>
      <c r="BC606" s="155"/>
      <c r="BD606" s="155"/>
      <c r="BE606" s="155"/>
      <c r="BF606" s="155"/>
      <c r="BG606" s="158"/>
      <c r="BH606" s="158"/>
      <c r="BI606" s="155"/>
      <c r="BJ606" s="155"/>
      <c r="BK606" s="159"/>
      <c r="BL606" s="156"/>
      <c r="BM606" s="156"/>
      <c r="BN606" s="156"/>
      <c r="BO606" s="156"/>
      <c r="BP606" s="160"/>
      <c r="BQ606" s="160"/>
      <c r="BR606" s="160"/>
      <c r="BS606" s="160"/>
    </row>
    <row r="607" spans="1:71" x14ac:dyDescent="0.25">
      <c r="A607" s="154"/>
      <c r="B607" s="155"/>
      <c r="C607" s="155"/>
      <c r="D607" s="155"/>
      <c r="E607" s="156"/>
      <c r="F607" s="156"/>
      <c r="G607" s="155"/>
      <c r="H607" s="155"/>
      <c r="I607" s="155"/>
      <c r="J607" s="157"/>
      <c r="K607" s="157"/>
      <c r="L607" s="155"/>
      <c r="M607" s="155"/>
      <c r="N607" s="155"/>
      <c r="O607" s="156"/>
      <c r="P607" s="156"/>
      <c r="Q607" s="155"/>
      <c r="R607" s="155"/>
      <c r="S607" s="155"/>
      <c r="T607" s="156"/>
      <c r="U607" s="156"/>
      <c r="V607" s="155"/>
      <c r="W607" s="155"/>
      <c r="X607" s="155"/>
      <c r="Y607" s="155"/>
      <c r="Z607" s="155"/>
      <c r="AA607" s="156"/>
      <c r="AB607" s="156"/>
      <c r="AC607" s="155"/>
      <c r="AD607" s="155"/>
      <c r="AE607" s="155"/>
      <c r="AF607" s="156"/>
      <c r="AG607" s="156"/>
      <c r="AH607" s="155"/>
      <c r="AI607" s="155"/>
      <c r="AJ607" s="155"/>
      <c r="AK607" s="156"/>
      <c r="AL607" s="156"/>
      <c r="AM607" s="155"/>
      <c r="AN607" s="155"/>
      <c r="AO607" s="155"/>
      <c r="AP607" s="156"/>
      <c r="AQ607" s="156"/>
      <c r="AR607" s="155"/>
      <c r="AS607" s="155"/>
      <c r="AT607" s="155"/>
      <c r="AU607" s="156"/>
      <c r="AV607" s="156"/>
      <c r="AW607" s="155"/>
      <c r="AX607" s="155"/>
      <c r="AY607" s="155"/>
      <c r="AZ607" s="156"/>
      <c r="BA607" s="156"/>
      <c r="BB607" s="155"/>
      <c r="BC607" s="155"/>
      <c r="BD607" s="155"/>
      <c r="BE607" s="155"/>
      <c r="BF607" s="155"/>
      <c r="BG607" s="158"/>
      <c r="BH607" s="158"/>
      <c r="BI607" s="155"/>
      <c r="BJ607" s="155"/>
      <c r="BK607" s="159"/>
      <c r="BL607" s="156"/>
      <c r="BM607" s="156"/>
      <c r="BN607" s="156"/>
      <c r="BO607" s="156"/>
      <c r="BP607" s="160"/>
      <c r="BQ607" s="160"/>
      <c r="BR607" s="160"/>
      <c r="BS607" s="160"/>
    </row>
    <row r="608" spans="1:71" x14ac:dyDescent="0.25">
      <c r="A608" s="154"/>
      <c r="B608" s="155"/>
      <c r="C608" s="155"/>
      <c r="D608" s="155"/>
      <c r="E608" s="156"/>
      <c r="F608" s="156"/>
      <c r="G608" s="155"/>
      <c r="H608" s="155"/>
      <c r="I608" s="155"/>
      <c r="J608" s="157"/>
      <c r="K608" s="157"/>
      <c r="L608" s="155"/>
      <c r="M608" s="155"/>
      <c r="N608" s="155"/>
      <c r="O608" s="156"/>
      <c r="P608" s="156"/>
      <c r="Q608" s="155"/>
      <c r="R608" s="155"/>
      <c r="S608" s="155"/>
      <c r="T608" s="156"/>
      <c r="U608" s="156"/>
      <c r="V608" s="155"/>
      <c r="W608" s="155"/>
      <c r="X608" s="155"/>
      <c r="Y608" s="155"/>
      <c r="Z608" s="155"/>
      <c r="AA608" s="156"/>
      <c r="AB608" s="156"/>
      <c r="AC608" s="155"/>
      <c r="AD608" s="155"/>
      <c r="AE608" s="155"/>
      <c r="AF608" s="156"/>
      <c r="AG608" s="156"/>
      <c r="AH608" s="155"/>
      <c r="AI608" s="155"/>
      <c r="AJ608" s="155"/>
      <c r="AK608" s="156"/>
      <c r="AL608" s="156"/>
      <c r="AM608" s="155"/>
      <c r="AN608" s="155"/>
      <c r="AO608" s="155"/>
      <c r="AP608" s="156"/>
      <c r="AQ608" s="156"/>
      <c r="AR608" s="155"/>
      <c r="AS608" s="155"/>
      <c r="AT608" s="155"/>
      <c r="AU608" s="156"/>
      <c r="AV608" s="156"/>
      <c r="AW608" s="155"/>
      <c r="AX608" s="155"/>
      <c r="AY608" s="155"/>
      <c r="AZ608" s="156"/>
      <c r="BA608" s="156"/>
      <c r="BB608" s="155"/>
      <c r="BC608" s="155"/>
      <c r="BD608" s="155"/>
      <c r="BE608" s="155"/>
      <c r="BF608" s="155"/>
      <c r="BG608" s="158"/>
      <c r="BH608" s="158"/>
      <c r="BI608" s="155"/>
      <c r="BJ608" s="155"/>
      <c r="BK608" s="159"/>
      <c r="BL608" s="156"/>
      <c r="BM608" s="156"/>
      <c r="BN608" s="156"/>
      <c r="BO608" s="156"/>
      <c r="BP608" s="160"/>
      <c r="BQ608" s="160"/>
      <c r="BR608" s="160"/>
      <c r="BS608" s="160"/>
    </row>
    <row r="609" spans="1:71" x14ac:dyDescent="0.25">
      <c r="A609" s="154"/>
      <c r="B609" s="155"/>
      <c r="C609" s="155"/>
      <c r="D609" s="155"/>
      <c r="E609" s="156"/>
      <c r="F609" s="156"/>
      <c r="G609" s="155"/>
      <c r="H609" s="155"/>
      <c r="I609" s="155"/>
      <c r="J609" s="157"/>
      <c r="K609" s="157"/>
      <c r="L609" s="155"/>
      <c r="M609" s="155"/>
      <c r="N609" s="155"/>
      <c r="O609" s="156"/>
      <c r="P609" s="156"/>
      <c r="Q609" s="155"/>
      <c r="R609" s="155"/>
      <c r="S609" s="155"/>
      <c r="T609" s="156"/>
      <c r="U609" s="156"/>
      <c r="V609" s="155"/>
      <c r="W609" s="155"/>
      <c r="X609" s="155"/>
      <c r="Y609" s="155"/>
      <c r="Z609" s="155"/>
      <c r="AA609" s="156"/>
      <c r="AB609" s="156"/>
      <c r="AC609" s="155"/>
      <c r="AD609" s="155"/>
      <c r="AE609" s="155"/>
      <c r="AF609" s="156"/>
      <c r="AG609" s="156"/>
      <c r="AH609" s="155"/>
      <c r="AI609" s="155"/>
      <c r="AJ609" s="155"/>
      <c r="AK609" s="156"/>
      <c r="AL609" s="156"/>
      <c r="AM609" s="155"/>
      <c r="AN609" s="155"/>
      <c r="AO609" s="155"/>
      <c r="AP609" s="156"/>
      <c r="AQ609" s="156"/>
      <c r="AR609" s="155"/>
      <c r="AS609" s="155"/>
      <c r="AT609" s="155"/>
      <c r="AU609" s="156"/>
      <c r="AV609" s="156"/>
      <c r="AW609" s="155"/>
      <c r="AX609" s="155"/>
      <c r="AY609" s="155"/>
      <c r="AZ609" s="156"/>
      <c r="BA609" s="156"/>
      <c r="BB609" s="155"/>
      <c r="BC609" s="155"/>
      <c r="BD609" s="155"/>
      <c r="BE609" s="155"/>
      <c r="BF609" s="155"/>
      <c r="BG609" s="158"/>
      <c r="BH609" s="158"/>
      <c r="BI609" s="155"/>
      <c r="BJ609" s="155"/>
      <c r="BK609" s="159"/>
      <c r="BL609" s="156"/>
      <c r="BM609" s="156"/>
      <c r="BN609" s="156"/>
      <c r="BO609" s="156"/>
      <c r="BP609" s="160"/>
      <c r="BQ609" s="160"/>
      <c r="BR609" s="160"/>
      <c r="BS609" s="160"/>
    </row>
    <row r="610" spans="1:71" x14ac:dyDescent="0.25">
      <c r="A610" s="154"/>
      <c r="B610" s="155"/>
      <c r="C610" s="155"/>
      <c r="D610" s="155"/>
      <c r="E610" s="156"/>
      <c r="F610" s="156"/>
      <c r="G610" s="155"/>
      <c r="H610" s="155"/>
      <c r="I610" s="155"/>
      <c r="J610" s="157"/>
      <c r="K610" s="157"/>
      <c r="L610" s="155"/>
      <c r="M610" s="155"/>
      <c r="N610" s="155"/>
      <c r="O610" s="156"/>
      <c r="P610" s="156"/>
      <c r="Q610" s="155"/>
      <c r="R610" s="155"/>
      <c r="S610" s="155"/>
      <c r="T610" s="156"/>
      <c r="U610" s="156"/>
      <c r="V610" s="155"/>
      <c r="W610" s="155"/>
      <c r="X610" s="155"/>
      <c r="Y610" s="155"/>
      <c r="Z610" s="155"/>
      <c r="AA610" s="156"/>
      <c r="AB610" s="156"/>
      <c r="AC610" s="155"/>
      <c r="AD610" s="155"/>
      <c r="AE610" s="155"/>
      <c r="AF610" s="156"/>
      <c r="AG610" s="156"/>
      <c r="AH610" s="155"/>
      <c r="AI610" s="155"/>
      <c r="AJ610" s="155"/>
      <c r="AK610" s="156"/>
      <c r="AL610" s="156"/>
      <c r="AM610" s="155"/>
      <c r="AN610" s="155"/>
      <c r="AO610" s="155"/>
      <c r="AP610" s="156"/>
      <c r="AQ610" s="156"/>
      <c r="AR610" s="155"/>
      <c r="AS610" s="155"/>
      <c r="AT610" s="155"/>
      <c r="AU610" s="156"/>
      <c r="AV610" s="156"/>
      <c r="AW610" s="155"/>
      <c r="AX610" s="155"/>
      <c r="AY610" s="155"/>
      <c r="AZ610" s="156"/>
      <c r="BA610" s="156"/>
      <c r="BB610" s="155"/>
      <c r="BC610" s="155"/>
      <c r="BD610" s="155"/>
      <c r="BE610" s="155"/>
      <c r="BF610" s="155"/>
      <c r="BG610" s="158"/>
      <c r="BH610" s="158"/>
      <c r="BI610" s="155"/>
      <c r="BJ610" s="155"/>
      <c r="BK610" s="159"/>
      <c r="BL610" s="156"/>
      <c r="BM610" s="156"/>
      <c r="BN610" s="156"/>
      <c r="BO610" s="156"/>
      <c r="BP610" s="160"/>
      <c r="BQ610" s="160"/>
      <c r="BR610" s="160"/>
      <c r="BS610" s="160"/>
    </row>
    <row r="611" spans="1:71" x14ac:dyDescent="0.25">
      <c r="A611" s="154"/>
      <c r="B611" s="155"/>
      <c r="C611" s="155"/>
      <c r="D611" s="155"/>
      <c r="E611" s="156"/>
      <c r="F611" s="156"/>
      <c r="G611" s="155"/>
      <c r="H611" s="155"/>
      <c r="I611" s="155"/>
      <c r="J611" s="157"/>
      <c r="K611" s="157"/>
      <c r="L611" s="155"/>
      <c r="M611" s="155"/>
      <c r="N611" s="155"/>
      <c r="O611" s="156"/>
      <c r="P611" s="156"/>
      <c r="Q611" s="155"/>
      <c r="R611" s="155"/>
      <c r="S611" s="155"/>
      <c r="T611" s="156"/>
      <c r="U611" s="156"/>
      <c r="V611" s="155"/>
      <c r="W611" s="155"/>
      <c r="X611" s="155"/>
      <c r="Y611" s="155"/>
      <c r="Z611" s="155"/>
      <c r="AA611" s="156"/>
      <c r="AB611" s="156"/>
      <c r="AC611" s="155"/>
      <c r="AD611" s="155"/>
      <c r="AE611" s="155"/>
      <c r="AF611" s="156"/>
      <c r="AG611" s="156"/>
      <c r="AH611" s="155"/>
      <c r="AI611" s="155"/>
      <c r="AJ611" s="155"/>
      <c r="AK611" s="156"/>
      <c r="AL611" s="156"/>
      <c r="AM611" s="155"/>
      <c r="AN611" s="155"/>
      <c r="AO611" s="155"/>
      <c r="AP611" s="156"/>
      <c r="AQ611" s="156"/>
      <c r="AR611" s="155"/>
      <c r="AS611" s="155"/>
      <c r="AT611" s="155"/>
      <c r="AU611" s="156"/>
      <c r="AV611" s="156"/>
      <c r="AW611" s="155"/>
      <c r="AX611" s="155"/>
      <c r="AY611" s="155"/>
      <c r="AZ611" s="156"/>
      <c r="BA611" s="156"/>
      <c r="BB611" s="155"/>
      <c r="BC611" s="155"/>
      <c r="BD611" s="155"/>
      <c r="BE611" s="155"/>
      <c r="BF611" s="155"/>
      <c r="BG611" s="158"/>
      <c r="BH611" s="158"/>
      <c r="BI611" s="155"/>
      <c r="BJ611" s="155"/>
      <c r="BK611" s="159"/>
      <c r="BL611" s="156"/>
      <c r="BM611" s="156"/>
      <c r="BN611" s="156"/>
      <c r="BO611" s="156"/>
      <c r="BP611" s="160"/>
      <c r="BQ611" s="160"/>
      <c r="BR611" s="160"/>
      <c r="BS611" s="160"/>
    </row>
    <row r="612" spans="1:71" x14ac:dyDescent="0.25">
      <c r="A612" s="154"/>
      <c r="B612" s="155"/>
      <c r="C612" s="155"/>
      <c r="D612" s="155"/>
      <c r="E612" s="156"/>
      <c r="F612" s="156"/>
      <c r="G612" s="155"/>
      <c r="H612" s="155"/>
      <c r="I612" s="155"/>
      <c r="J612" s="157"/>
      <c r="K612" s="157"/>
      <c r="L612" s="155"/>
      <c r="M612" s="155"/>
      <c r="N612" s="155"/>
      <c r="O612" s="156"/>
      <c r="P612" s="156"/>
      <c r="Q612" s="155"/>
      <c r="R612" s="155"/>
      <c r="S612" s="155"/>
      <c r="T612" s="156"/>
      <c r="U612" s="156"/>
      <c r="V612" s="155"/>
      <c r="W612" s="155"/>
      <c r="X612" s="155"/>
      <c r="Y612" s="155"/>
      <c r="Z612" s="155"/>
      <c r="AA612" s="156"/>
      <c r="AB612" s="156"/>
      <c r="AC612" s="155"/>
      <c r="AD612" s="155"/>
      <c r="AE612" s="155"/>
      <c r="AF612" s="156"/>
      <c r="AG612" s="156"/>
      <c r="AH612" s="155"/>
      <c r="AI612" s="155"/>
      <c r="AJ612" s="155"/>
      <c r="AK612" s="156"/>
      <c r="AL612" s="156"/>
      <c r="AM612" s="155"/>
      <c r="AN612" s="155"/>
      <c r="AO612" s="155"/>
      <c r="AP612" s="156"/>
      <c r="AQ612" s="156"/>
      <c r="AR612" s="155"/>
      <c r="AS612" s="155"/>
      <c r="AT612" s="155"/>
      <c r="AU612" s="156"/>
      <c r="AV612" s="156"/>
      <c r="AW612" s="155"/>
      <c r="AX612" s="155"/>
      <c r="AY612" s="155"/>
      <c r="AZ612" s="156"/>
      <c r="BA612" s="156"/>
      <c r="BB612" s="155"/>
      <c r="BC612" s="155"/>
      <c r="BD612" s="155"/>
      <c r="BE612" s="155"/>
      <c r="BF612" s="155"/>
      <c r="BG612" s="158"/>
      <c r="BH612" s="158"/>
      <c r="BI612" s="155"/>
      <c r="BJ612" s="155"/>
      <c r="BK612" s="159"/>
      <c r="BL612" s="156"/>
      <c r="BM612" s="156"/>
      <c r="BN612" s="156"/>
      <c r="BO612" s="156"/>
      <c r="BP612" s="160"/>
      <c r="BQ612" s="160"/>
      <c r="BR612" s="160"/>
      <c r="BS612" s="160"/>
    </row>
    <row r="613" spans="1:71" x14ac:dyDescent="0.25">
      <c r="A613" s="154"/>
      <c r="B613" s="155"/>
      <c r="C613" s="155"/>
      <c r="D613" s="155"/>
      <c r="E613" s="156"/>
      <c r="F613" s="156"/>
      <c r="G613" s="155"/>
      <c r="H613" s="155"/>
      <c r="I613" s="155"/>
      <c r="J613" s="157"/>
      <c r="K613" s="157"/>
      <c r="L613" s="155"/>
      <c r="M613" s="155"/>
      <c r="N613" s="155"/>
      <c r="O613" s="156"/>
      <c r="P613" s="156"/>
      <c r="Q613" s="155"/>
      <c r="R613" s="155"/>
      <c r="S613" s="155"/>
      <c r="T613" s="156"/>
      <c r="U613" s="156"/>
      <c r="V613" s="155"/>
      <c r="W613" s="155"/>
      <c r="X613" s="155"/>
      <c r="Y613" s="155"/>
      <c r="Z613" s="155"/>
      <c r="AA613" s="156"/>
      <c r="AB613" s="156"/>
      <c r="AC613" s="155"/>
      <c r="AD613" s="155"/>
      <c r="AE613" s="155"/>
      <c r="AF613" s="156"/>
      <c r="AG613" s="156"/>
      <c r="AH613" s="155"/>
      <c r="AI613" s="155"/>
      <c r="AJ613" s="155"/>
      <c r="AK613" s="156"/>
      <c r="AL613" s="156"/>
      <c r="AM613" s="155"/>
      <c r="AN613" s="155"/>
      <c r="AO613" s="155"/>
      <c r="AP613" s="156"/>
      <c r="AQ613" s="156"/>
      <c r="AR613" s="155"/>
      <c r="AS613" s="155"/>
      <c r="AT613" s="155"/>
      <c r="AU613" s="156"/>
      <c r="AV613" s="156"/>
      <c r="AW613" s="155"/>
      <c r="AX613" s="155"/>
      <c r="AY613" s="155"/>
      <c r="AZ613" s="156"/>
      <c r="BA613" s="156"/>
      <c r="BB613" s="155"/>
      <c r="BC613" s="155"/>
      <c r="BD613" s="155"/>
      <c r="BE613" s="155"/>
      <c r="BF613" s="155"/>
      <c r="BG613" s="158"/>
      <c r="BH613" s="158"/>
      <c r="BI613" s="155"/>
      <c r="BJ613" s="155"/>
      <c r="BK613" s="159"/>
      <c r="BL613" s="156"/>
      <c r="BM613" s="156"/>
      <c r="BN613" s="156"/>
      <c r="BO613" s="156"/>
      <c r="BP613" s="160"/>
      <c r="BQ613" s="160"/>
      <c r="BR613" s="160"/>
      <c r="BS613" s="160"/>
    </row>
    <row r="614" spans="1:71" x14ac:dyDescent="0.25">
      <c r="A614" s="154"/>
      <c r="B614" s="155"/>
      <c r="C614" s="155"/>
      <c r="D614" s="155"/>
      <c r="E614" s="156"/>
      <c r="F614" s="156"/>
      <c r="G614" s="155"/>
      <c r="H614" s="155"/>
      <c r="I614" s="155"/>
      <c r="J614" s="157"/>
      <c r="K614" s="157"/>
      <c r="L614" s="155"/>
      <c r="M614" s="155"/>
      <c r="N614" s="155"/>
      <c r="O614" s="156"/>
      <c r="P614" s="156"/>
      <c r="Q614" s="155"/>
      <c r="R614" s="155"/>
      <c r="S614" s="155"/>
      <c r="T614" s="156"/>
      <c r="U614" s="156"/>
      <c r="V614" s="155"/>
      <c r="W614" s="155"/>
      <c r="X614" s="155"/>
      <c r="Y614" s="155"/>
      <c r="Z614" s="155"/>
      <c r="AA614" s="156"/>
      <c r="AB614" s="156"/>
      <c r="AC614" s="155"/>
      <c r="AD614" s="155"/>
      <c r="AE614" s="155"/>
      <c r="AF614" s="156"/>
      <c r="AG614" s="156"/>
      <c r="AH614" s="155"/>
      <c r="AI614" s="155"/>
      <c r="AJ614" s="155"/>
      <c r="AK614" s="156"/>
      <c r="AL614" s="156"/>
      <c r="AM614" s="155"/>
      <c r="AN614" s="155"/>
      <c r="AO614" s="155"/>
      <c r="AP614" s="156"/>
      <c r="AQ614" s="156"/>
      <c r="AR614" s="155"/>
      <c r="AS614" s="155"/>
      <c r="AT614" s="155"/>
      <c r="AU614" s="156"/>
      <c r="AV614" s="156"/>
      <c r="AW614" s="155"/>
      <c r="AX614" s="155"/>
      <c r="AY614" s="155"/>
      <c r="AZ614" s="156"/>
      <c r="BA614" s="156"/>
      <c r="BB614" s="155"/>
      <c r="BC614" s="155"/>
      <c r="BD614" s="155"/>
      <c r="BE614" s="155"/>
      <c r="BF614" s="155"/>
      <c r="BG614" s="158"/>
      <c r="BH614" s="158"/>
      <c r="BI614" s="155"/>
      <c r="BJ614" s="155"/>
      <c r="BK614" s="159"/>
      <c r="BL614" s="156"/>
      <c r="BM614" s="156"/>
      <c r="BN614" s="156"/>
      <c r="BO614" s="156"/>
      <c r="BP614" s="160"/>
      <c r="BQ614" s="160"/>
      <c r="BR614" s="160"/>
      <c r="BS614" s="160"/>
    </row>
    <row r="615" spans="1:71" x14ac:dyDescent="0.25">
      <c r="A615" s="154"/>
      <c r="B615" s="155"/>
      <c r="C615" s="155"/>
      <c r="D615" s="155"/>
      <c r="E615" s="156"/>
      <c r="F615" s="156"/>
      <c r="G615" s="155"/>
      <c r="H615" s="155"/>
      <c r="I615" s="155"/>
      <c r="J615" s="157"/>
      <c r="K615" s="157"/>
      <c r="L615" s="155"/>
      <c r="M615" s="155"/>
      <c r="N615" s="155"/>
      <c r="O615" s="156"/>
      <c r="P615" s="156"/>
      <c r="Q615" s="155"/>
      <c r="R615" s="155"/>
      <c r="S615" s="155"/>
      <c r="T615" s="156"/>
      <c r="U615" s="156"/>
      <c r="V615" s="155"/>
      <c r="W615" s="155"/>
      <c r="X615" s="155"/>
      <c r="Y615" s="155"/>
      <c r="Z615" s="155"/>
      <c r="AA615" s="156"/>
      <c r="AB615" s="156"/>
      <c r="AC615" s="155"/>
      <c r="AD615" s="155"/>
      <c r="AE615" s="155"/>
      <c r="AF615" s="156"/>
      <c r="AG615" s="156"/>
      <c r="AH615" s="155"/>
      <c r="AI615" s="155"/>
      <c r="AJ615" s="155"/>
      <c r="AK615" s="156"/>
      <c r="AL615" s="156"/>
      <c r="AM615" s="155"/>
      <c r="AN615" s="155"/>
      <c r="AO615" s="155"/>
      <c r="AP615" s="156"/>
      <c r="AQ615" s="156"/>
      <c r="AR615" s="155"/>
      <c r="AS615" s="155"/>
      <c r="AT615" s="155"/>
      <c r="AU615" s="156"/>
      <c r="AV615" s="156"/>
      <c r="AW615" s="155"/>
      <c r="AX615" s="155"/>
      <c r="AY615" s="155"/>
      <c r="AZ615" s="156"/>
      <c r="BA615" s="156"/>
      <c r="BB615" s="155"/>
      <c r="BC615" s="155"/>
      <c r="BD615" s="155"/>
      <c r="BE615" s="155"/>
      <c r="BF615" s="155"/>
      <c r="BG615" s="158"/>
      <c r="BH615" s="158"/>
      <c r="BI615" s="155"/>
      <c r="BJ615" s="155"/>
      <c r="BK615" s="159"/>
      <c r="BL615" s="156"/>
      <c r="BM615" s="156"/>
      <c r="BN615" s="156"/>
      <c r="BO615" s="156"/>
      <c r="BP615" s="160"/>
      <c r="BQ615" s="160"/>
      <c r="BR615" s="160"/>
      <c r="BS615" s="160"/>
    </row>
    <row r="616" spans="1:71" x14ac:dyDescent="0.25">
      <c r="A616" s="154"/>
      <c r="B616" s="155"/>
      <c r="C616" s="155"/>
      <c r="D616" s="155"/>
      <c r="E616" s="156"/>
      <c r="F616" s="156"/>
      <c r="G616" s="155"/>
      <c r="H616" s="155"/>
      <c r="I616" s="155"/>
      <c r="J616" s="157"/>
      <c r="K616" s="157"/>
      <c r="L616" s="155"/>
      <c r="M616" s="155"/>
      <c r="N616" s="155"/>
      <c r="O616" s="156"/>
      <c r="P616" s="156"/>
      <c r="Q616" s="155"/>
      <c r="R616" s="155"/>
      <c r="S616" s="155"/>
      <c r="T616" s="156"/>
      <c r="U616" s="156"/>
      <c r="V616" s="155"/>
      <c r="W616" s="155"/>
      <c r="X616" s="155"/>
      <c r="Y616" s="155"/>
      <c r="Z616" s="155"/>
      <c r="AA616" s="156"/>
      <c r="AB616" s="156"/>
      <c r="AC616" s="155"/>
      <c r="AD616" s="155"/>
      <c r="AE616" s="155"/>
      <c r="AF616" s="156"/>
      <c r="AG616" s="156"/>
      <c r="AH616" s="155"/>
      <c r="AI616" s="155"/>
      <c r="AJ616" s="155"/>
      <c r="AK616" s="156"/>
      <c r="AL616" s="156"/>
      <c r="AM616" s="155"/>
      <c r="AN616" s="155"/>
      <c r="AO616" s="155"/>
      <c r="AP616" s="156"/>
      <c r="AQ616" s="156"/>
      <c r="AR616" s="155"/>
      <c r="AS616" s="155"/>
      <c r="AT616" s="155"/>
      <c r="AU616" s="156"/>
      <c r="AV616" s="156"/>
      <c r="AW616" s="155"/>
      <c r="AX616" s="155"/>
      <c r="AY616" s="155"/>
      <c r="AZ616" s="156"/>
      <c r="BA616" s="156"/>
      <c r="BB616" s="155"/>
      <c r="BC616" s="155"/>
      <c r="BD616" s="155"/>
      <c r="BE616" s="155"/>
      <c r="BF616" s="155"/>
      <c r="BG616" s="158"/>
      <c r="BH616" s="158"/>
      <c r="BI616" s="155"/>
      <c r="BJ616" s="155"/>
      <c r="BK616" s="159"/>
      <c r="BL616" s="156"/>
      <c r="BM616" s="156"/>
      <c r="BN616" s="156"/>
      <c r="BO616" s="156"/>
      <c r="BP616" s="160"/>
      <c r="BQ616" s="160"/>
      <c r="BR616" s="160"/>
      <c r="BS616" s="160"/>
    </row>
    <row r="617" spans="1:71" x14ac:dyDescent="0.25">
      <c r="A617" s="154"/>
      <c r="B617" s="155"/>
      <c r="C617" s="155"/>
      <c r="D617" s="155"/>
      <c r="E617" s="156"/>
      <c r="F617" s="156"/>
      <c r="G617" s="155"/>
      <c r="H617" s="155"/>
      <c r="I617" s="155"/>
      <c r="J617" s="157"/>
      <c r="K617" s="157"/>
      <c r="L617" s="155"/>
      <c r="M617" s="155"/>
      <c r="N617" s="155"/>
      <c r="O617" s="156"/>
      <c r="P617" s="156"/>
      <c r="Q617" s="155"/>
      <c r="R617" s="155"/>
      <c r="S617" s="155"/>
      <c r="T617" s="156"/>
      <c r="U617" s="156"/>
      <c r="V617" s="155"/>
      <c r="W617" s="155"/>
      <c r="X617" s="155"/>
      <c r="Y617" s="155"/>
      <c r="Z617" s="155"/>
      <c r="AA617" s="156"/>
      <c r="AB617" s="156"/>
      <c r="AC617" s="155"/>
      <c r="AD617" s="155"/>
      <c r="AE617" s="155"/>
      <c r="AF617" s="156"/>
      <c r="AG617" s="156"/>
      <c r="AH617" s="155"/>
      <c r="AI617" s="155"/>
      <c r="AJ617" s="155"/>
      <c r="AK617" s="156"/>
      <c r="AL617" s="156"/>
      <c r="AM617" s="155"/>
      <c r="AN617" s="155"/>
      <c r="AO617" s="155"/>
      <c r="AP617" s="156"/>
      <c r="AQ617" s="156"/>
      <c r="AR617" s="155"/>
      <c r="AS617" s="155"/>
      <c r="AT617" s="155"/>
      <c r="AU617" s="156"/>
      <c r="AV617" s="156"/>
      <c r="AW617" s="155"/>
      <c r="AX617" s="155"/>
      <c r="AY617" s="155"/>
      <c r="AZ617" s="156"/>
      <c r="BA617" s="156"/>
      <c r="BB617" s="155"/>
      <c r="BC617" s="155"/>
      <c r="BD617" s="155"/>
      <c r="BE617" s="155"/>
      <c r="BF617" s="155"/>
      <c r="BG617" s="158"/>
      <c r="BH617" s="158"/>
      <c r="BI617" s="155"/>
      <c r="BJ617" s="155"/>
      <c r="BK617" s="159"/>
      <c r="BL617" s="156"/>
      <c r="BM617" s="156"/>
      <c r="BN617" s="156"/>
      <c r="BO617" s="156"/>
      <c r="BP617" s="160"/>
      <c r="BQ617" s="160"/>
      <c r="BR617" s="160"/>
      <c r="BS617" s="160"/>
    </row>
    <row r="618" spans="1:71" x14ac:dyDescent="0.25">
      <c r="A618" s="154"/>
      <c r="B618" s="155"/>
      <c r="C618" s="155"/>
      <c r="D618" s="155"/>
      <c r="E618" s="156"/>
      <c r="F618" s="156"/>
      <c r="G618" s="155"/>
      <c r="H618" s="155"/>
      <c r="I618" s="155"/>
      <c r="J618" s="157"/>
      <c r="K618" s="157"/>
      <c r="L618" s="155"/>
      <c r="M618" s="155"/>
      <c r="N618" s="155"/>
      <c r="O618" s="156"/>
      <c r="P618" s="156"/>
      <c r="Q618" s="155"/>
      <c r="R618" s="155"/>
      <c r="S618" s="155"/>
      <c r="T618" s="156"/>
      <c r="U618" s="156"/>
      <c r="V618" s="155"/>
      <c r="W618" s="155"/>
      <c r="X618" s="155"/>
      <c r="Y618" s="155"/>
      <c r="Z618" s="155"/>
      <c r="AA618" s="156"/>
      <c r="AB618" s="156"/>
      <c r="AC618" s="155"/>
      <c r="AD618" s="155"/>
      <c r="AE618" s="155"/>
      <c r="AF618" s="156"/>
      <c r="AG618" s="156"/>
      <c r="AH618" s="155"/>
      <c r="AI618" s="155"/>
      <c r="AJ618" s="155"/>
      <c r="AK618" s="156"/>
      <c r="AL618" s="156"/>
      <c r="AM618" s="155"/>
      <c r="AN618" s="155"/>
      <c r="AO618" s="155"/>
      <c r="AP618" s="156"/>
      <c r="AQ618" s="156"/>
      <c r="AR618" s="155"/>
      <c r="AS618" s="155"/>
      <c r="AT618" s="155"/>
      <c r="AU618" s="156"/>
      <c r="AV618" s="156"/>
      <c r="AW618" s="155"/>
      <c r="AX618" s="155"/>
      <c r="AY618" s="155"/>
      <c r="AZ618" s="156"/>
      <c r="BA618" s="156"/>
      <c r="BB618" s="155"/>
      <c r="BC618" s="155"/>
      <c r="BD618" s="155"/>
      <c r="BE618" s="155"/>
      <c r="BF618" s="155"/>
      <c r="BG618" s="158"/>
      <c r="BH618" s="158"/>
      <c r="BI618" s="155"/>
      <c r="BJ618" s="155"/>
      <c r="BK618" s="159"/>
      <c r="BL618" s="156"/>
      <c r="BM618" s="156"/>
      <c r="BN618" s="156"/>
      <c r="BO618" s="156"/>
      <c r="BP618" s="160"/>
      <c r="BQ618" s="160"/>
      <c r="BR618" s="160"/>
      <c r="BS618" s="160"/>
    </row>
    <row r="619" spans="1:71" x14ac:dyDescent="0.25">
      <c r="A619" s="154"/>
      <c r="B619" s="155"/>
      <c r="C619" s="155"/>
      <c r="D619" s="155"/>
      <c r="E619" s="156"/>
      <c r="F619" s="156"/>
      <c r="G619" s="155"/>
      <c r="H619" s="155"/>
      <c r="I619" s="155"/>
      <c r="J619" s="157"/>
      <c r="K619" s="157"/>
      <c r="L619" s="155"/>
      <c r="M619" s="155"/>
      <c r="N619" s="155"/>
      <c r="O619" s="156"/>
      <c r="P619" s="156"/>
      <c r="Q619" s="155"/>
      <c r="R619" s="155"/>
      <c r="S619" s="155"/>
      <c r="T619" s="156"/>
      <c r="U619" s="156"/>
      <c r="V619" s="155"/>
      <c r="W619" s="155"/>
      <c r="X619" s="155"/>
      <c r="Y619" s="155"/>
      <c r="Z619" s="155"/>
      <c r="AA619" s="156"/>
      <c r="AB619" s="156"/>
      <c r="AC619" s="155"/>
      <c r="AD619" s="155"/>
      <c r="AE619" s="155"/>
      <c r="AF619" s="156"/>
      <c r="AG619" s="156"/>
      <c r="AH619" s="155"/>
      <c r="AI619" s="155"/>
      <c r="AJ619" s="155"/>
      <c r="AK619" s="156"/>
      <c r="AL619" s="156"/>
      <c r="AM619" s="155"/>
      <c r="AN619" s="155"/>
      <c r="AO619" s="155"/>
      <c r="AP619" s="156"/>
      <c r="AQ619" s="156"/>
      <c r="AR619" s="155"/>
      <c r="AS619" s="155"/>
      <c r="AT619" s="155"/>
      <c r="AU619" s="156"/>
      <c r="AV619" s="156"/>
      <c r="AW619" s="155"/>
      <c r="AX619" s="155"/>
      <c r="AY619" s="155"/>
      <c r="AZ619" s="156"/>
      <c r="BA619" s="156"/>
      <c r="BB619" s="155"/>
      <c r="BC619" s="155"/>
      <c r="BD619" s="155"/>
      <c r="BE619" s="155"/>
      <c r="BF619" s="155"/>
      <c r="BG619" s="158"/>
      <c r="BH619" s="158"/>
      <c r="BI619" s="155"/>
      <c r="BJ619" s="155"/>
      <c r="BK619" s="159"/>
      <c r="BL619" s="156"/>
      <c r="BM619" s="156"/>
      <c r="BN619" s="156"/>
      <c r="BO619" s="156"/>
      <c r="BP619" s="160"/>
      <c r="BQ619" s="160"/>
      <c r="BR619" s="160"/>
      <c r="BS619" s="160"/>
    </row>
    <row r="620" spans="1:71" x14ac:dyDescent="0.25">
      <c r="A620" s="154"/>
      <c r="B620" s="155"/>
      <c r="C620" s="155"/>
      <c r="D620" s="155"/>
      <c r="E620" s="156"/>
      <c r="F620" s="156"/>
      <c r="G620" s="155"/>
      <c r="H620" s="155"/>
      <c r="I620" s="155"/>
      <c r="J620" s="157"/>
      <c r="K620" s="157"/>
      <c r="L620" s="155"/>
      <c r="M620" s="155"/>
      <c r="N620" s="155"/>
      <c r="O620" s="156"/>
      <c r="P620" s="156"/>
      <c r="Q620" s="155"/>
      <c r="R620" s="155"/>
      <c r="S620" s="155"/>
      <c r="T620" s="156"/>
      <c r="U620" s="156"/>
      <c r="V620" s="155"/>
      <c r="W620" s="155"/>
      <c r="X620" s="155"/>
      <c r="Y620" s="155"/>
      <c r="Z620" s="155"/>
      <c r="AA620" s="156"/>
      <c r="AB620" s="156"/>
      <c r="AC620" s="155"/>
      <c r="AD620" s="155"/>
      <c r="AE620" s="155"/>
      <c r="AF620" s="156"/>
      <c r="AG620" s="156"/>
      <c r="AH620" s="155"/>
      <c r="AI620" s="155"/>
      <c r="AJ620" s="155"/>
      <c r="AK620" s="156"/>
      <c r="AL620" s="156"/>
      <c r="AM620" s="155"/>
      <c r="AN620" s="155"/>
      <c r="AO620" s="155"/>
      <c r="AP620" s="156"/>
      <c r="AQ620" s="156"/>
      <c r="AR620" s="155"/>
      <c r="AS620" s="155"/>
      <c r="AT620" s="155"/>
      <c r="AU620" s="156"/>
      <c r="AV620" s="156"/>
      <c r="AW620" s="155"/>
      <c r="AX620" s="155"/>
      <c r="AY620" s="155"/>
      <c r="AZ620" s="156"/>
      <c r="BA620" s="156"/>
      <c r="BB620" s="155"/>
      <c r="BC620" s="155"/>
      <c r="BD620" s="155"/>
      <c r="BE620" s="155"/>
      <c r="BF620" s="155"/>
      <c r="BG620" s="158"/>
      <c r="BH620" s="158"/>
      <c r="BI620" s="155"/>
      <c r="BJ620" s="155"/>
      <c r="BK620" s="159"/>
      <c r="BL620" s="156"/>
      <c r="BM620" s="156"/>
      <c r="BN620" s="156"/>
      <c r="BO620" s="156"/>
      <c r="BP620" s="160"/>
      <c r="BQ620" s="160"/>
      <c r="BR620" s="160"/>
      <c r="BS620" s="160"/>
    </row>
    <row r="621" spans="1:71" x14ac:dyDescent="0.25">
      <c r="A621" s="154"/>
      <c r="B621" s="155"/>
      <c r="C621" s="155"/>
      <c r="D621" s="155"/>
      <c r="E621" s="156"/>
      <c r="F621" s="156"/>
      <c r="G621" s="155"/>
      <c r="H621" s="155"/>
      <c r="I621" s="155"/>
      <c r="J621" s="157"/>
      <c r="K621" s="157"/>
      <c r="L621" s="155"/>
      <c r="M621" s="155"/>
      <c r="N621" s="155"/>
      <c r="O621" s="156"/>
      <c r="P621" s="156"/>
      <c r="Q621" s="155"/>
      <c r="R621" s="155"/>
      <c r="S621" s="155"/>
      <c r="T621" s="156"/>
      <c r="U621" s="156"/>
      <c r="V621" s="155"/>
      <c r="W621" s="155"/>
      <c r="X621" s="155"/>
      <c r="Y621" s="155"/>
      <c r="Z621" s="155"/>
      <c r="AA621" s="156"/>
      <c r="AB621" s="156"/>
      <c r="AC621" s="155"/>
      <c r="AD621" s="155"/>
      <c r="AE621" s="155"/>
      <c r="AF621" s="156"/>
      <c r="AG621" s="156"/>
      <c r="AH621" s="155"/>
      <c r="AI621" s="155"/>
      <c r="AJ621" s="155"/>
      <c r="AK621" s="156"/>
      <c r="AL621" s="156"/>
      <c r="AM621" s="155"/>
      <c r="AN621" s="155"/>
      <c r="AO621" s="155"/>
      <c r="AP621" s="156"/>
      <c r="AQ621" s="156"/>
      <c r="AR621" s="155"/>
      <c r="AS621" s="155"/>
      <c r="AT621" s="155"/>
      <c r="AU621" s="156"/>
      <c r="AV621" s="156"/>
      <c r="AW621" s="155"/>
      <c r="AX621" s="155"/>
      <c r="AY621" s="155"/>
      <c r="AZ621" s="156"/>
      <c r="BA621" s="156"/>
      <c r="BB621" s="155"/>
      <c r="BC621" s="155"/>
      <c r="BD621" s="155"/>
      <c r="BE621" s="155"/>
      <c r="BF621" s="155"/>
      <c r="BG621" s="158"/>
      <c r="BH621" s="158"/>
      <c r="BI621" s="155"/>
      <c r="BJ621" s="155"/>
      <c r="BK621" s="159"/>
      <c r="BL621" s="156"/>
      <c r="BM621" s="156"/>
      <c r="BN621" s="156"/>
      <c r="BO621" s="156"/>
      <c r="BP621" s="160"/>
      <c r="BQ621" s="160"/>
      <c r="BR621" s="160"/>
      <c r="BS621" s="160"/>
    </row>
    <row r="622" spans="1:71" x14ac:dyDescent="0.25">
      <c r="A622" s="154"/>
      <c r="B622" s="155"/>
      <c r="C622" s="155"/>
      <c r="D622" s="155"/>
      <c r="E622" s="156"/>
      <c r="F622" s="156"/>
      <c r="G622" s="155"/>
      <c r="H622" s="155"/>
      <c r="I622" s="155"/>
      <c r="J622" s="157"/>
      <c r="K622" s="157"/>
      <c r="L622" s="155"/>
      <c r="M622" s="155"/>
      <c r="N622" s="155"/>
      <c r="O622" s="156"/>
      <c r="P622" s="156"/>
      <c r="Q622" s="155"/>
      <c r="R622" s="155"/>
      <c r="S622" s="155"/>
      <c r="T622" s="156"/>
      <c r="U622" s="156"/>
      <c r="V622" s="155"/>
      <c r="W622" s="155"/>
      <c r="X622" s="155"/>
      <c r="Y622" s="155"/>
      <c r="Z622" s="155"/>
      <c r="AA622" s="156"/>
      <c r="AB622" s="156"/>
      <c r="AC622" s="155"/>
      <c r="AD622" s="155"/>
      <c r="AE622" s="155"/>
      <c r="AF622" s="156"/>
      <c r="AG622" s="156"/>
      <c r="AH622" s="155"/>
      <c r="AI622" s="155"/>
      <c r="AJ622" s="155"/>
      <c r="AK622" s="156"/>
      <c r="AL622" s="156"/>
      <c r="AM622" s="155"/>
      <c r="AN622" s="155"/>
      <c r="AO622" s="155"/>
      <c r="AP622" s="156"/>
      <c r="AQ622" s="156"/>
      <c r="AR622" s="155"/>
      <c r="AS622" s="155"/>
      <c r="AT622" s="155"/>
      <c r="AU622" s="156"/>
      <c r="AV622" s="156"/>
      <c r="AW622" s="155"/>
      <c r="AX622" s="155"/>
      <c r="AY622" s="155"/>
      <c r="AZ622" s="156"/>
      <c r="BA622" s="156"/>
      <c r="BB622" s="155"/>
      <c r="BC622" s="155"/>
      <c r="BD622" s="155"/>
      <c r="BE622" s="155"/>
      <c r="BF622" s="155"/>
      <c r="BG622" s="158"/>
      <c r="BH622" s="158"/>
      <c r="BI622" s="155"/>
      <c r="BJ622" s="155"/>
      <c r="BK622" s="159"/>
      <c r="BL622" s="156"/>
      <c r="BM622" s="156"/>
      <c r="BN622" s="156"/>
      <c r="BO622" s="156"/>
      <c r="BP622" s="160"/>
      <c r="BQ622" s="160"/>
      <c r="BR622" s="160"/>
      <c r="BS622" s="160"/>
    </row>
    <row r="623" spans="1:71" x14ac:dyDescent="0.25">
      <c r="A623" s="154"/>
      <c r="B623" s="155"/>
      <c r="C623" s="155"/>
      <c r="D623" s="155"/>
      <c r="E623" s="156"/>
      <c r="F623" s="156"/>
      <c r="G623" s="155"/>
      <c r="H623" s="155"/>
      <c r="I623" s="155"/>
      <c r="J623" s="157"/>
      <c r="K623" s="157"/>
      <c r="L623" s="155"/>
      <c r="M623" s="155"/>
      <c r="N623" s="155"/>
      <c r="O623" s="156"/>
      <c r="P623" s="156"/>
      <c r="Q623" s="155"/>
      <c r="R623" s="155"/>
      <c r="S623" s="155"/>
      <c r="T623" s="156"/>
      <c r="U623" s="156"/>
      <c r="V623" s="155"/>
      <c r="W623" s="155"/>
      <c r="X623" s="155"/>
      <c r="Y623" s="155"/>
      <c r="Z623" s="155"/>
      <c r="AA623" s="156"/>
      <c r="AB623" s="156"/>
      <c r="AC623" s="155"/>
      <c r="AD623" s="155"/>
      <c r="AE623" s="155"/>
      <c r="AF623" s="156"/>
      <c r="AG623" s="156"/>
      <c r="AH623" s="155"/>
      <c r="AI623" s="155"/>
      <c r="AJ623" s="155"/>
      <c r="AK623" s="156"/>
      <c r="AL623" s="156"/>
      <c r="AM623" s="155"/>
      <c r="AN623" s="155"/>
      <c r="AO623" s="155"/>
      <c r="AP623" s="156"/>
      <c r="AQ623" s="156"/>
      <c r="AR623" s="155"/>
      <c r="AS623" s="155"/>
      <c r="AT623" s="155"/>
      <c r="AU623" s="156"/>
      <c r="AV623" s="156"/>
      <c r="AW623" s="155"/>
      <c r="AX623" s="155"/>
      <c r="AY623" s="155"/>
      <c r="AZ623" s="156"/>
      <c r="BA623" s="156"/>
      <c r="BB623" s="155"/>
      <c r="BC623" s="155"/>
      <c r="BD623" s="155"/>
      <c r="BE623" s="155"/>
      <c r="BF623" s="155"/>
      <c r="BG623" s="158"/>
      <c r="BH623" s="158"/>
      <c r="BI623" s="155"/>
      <c r="BJ623" s="155"/>
      <c r="BK623" s="159"/>
      <c r="BL623" s="156"/>
      <c r="BM623" s="156"/>
      <c r="BN623" s="156"/>
      <c r="BO623" s="156"/>
      <c r="BP623" s="160"/>
      <c r="BQ623" s="160"/>
      <c r="BR623" s="160"/>
      <c r="BS623" s="160"/>
    </row>
    <row r="624" spans="1:71" x14ac:dyDescent="0.25">
      <c r="A624" s="154"/>
      <c r="B624" s="155"/>
      <c r="C624" s="155"/>
      <c r="D624" s="155"/>
      <c r="E624" s="156"/>
      <c r="F624" s="156"/>
      <c r="G624" s="155"/>
      <c r="H624" s="155"/>
      <c r="I624" s="155"/>
      <c r="J624" s="157"/>
      <c r="K624" s="157"/>
      <c r="L624" s="155"/>
      <c r="M624" s="155"/>
      <c r="N624" s="155"/>
      <c r="O624" s="156"/>
      <c r="P624" s="156"/>
      <c r="Q624" s="155"/>
      <c r="R624" s="155"/>
      <c r="S624" s="155"/>
      <c r="T624" s="156"/>
      <c r="U624" s="156"/>
      <c r="V624" s="155"/>
      <c r="W624" s="155"/>
      <c r="X624" s="155"/>
      <c r="Y624" s="155"/>
      <c r="Z624" s="155"/>
      <c r="AA624" s="156"/>
      <c r="AB624" s="156"/>
      <c r="AC624" s="155"/>
      <c r="AD624" s="155"/>
      <c r="AE624" s="155"/>
      <c r="AF624" s="156"/>
      <c r="AG624" s="156"/>
      <c r="AH624" s="155"/>
      <c r="AI624" s="155"/>
      <c r="AJ624" s="155"/>
      <c r="AK624" s="156"/>
      <c r="AL624" s="156"/>
      <c r="AM624" s="155"/>
      <c r="AN624" s="155"/>
      <c r="AO624" s="155"/>
      <c r="AP624" s="156"/>
      <c r="AQ624" s="156"/>
      <c r="AR624" s="155"/>
      <c r="AS624" s="155"/>
      <c r="AT624" s="155"/>
      <c r="AU624" s="156"/>
      <c r="AV624" s="156"/>
      <c r="AW624" s="155"/>
      <c r="AX624" s="155"/>
      <c r="AY624" s="155"/>
      <c r="AZ624" s="156"/>
      <c r="BA624" s="156"/>
      <c r="BB624" s="155"/>
      <c r="BC624" s="155"/>
      <c r="BD624" s="155"/>
      <c r="BE624" s="155"/>
      <c r="BF624" s="155"/>
      <c r="BG624" s="158"/>
      <c r="BH624" s="158"/>
      <c r="BI624" s="155"/>
      <c r="BJ624" s="155"/>
      <c r="BK624" s="159"/>
      <c r="BL624" s="156"/>
      <c r="BM624" s="156"/>
      <c r="BN624" s="156"/>
      <c r="BO624" s="156"/>
      <c r="BP624" s="160"/>
      <c r="BQ624" s="160"/>
      <c r="BR624" s="160"/>
      <c r="BS624" s="160"/>
    </row>
    <row r="625" spans="1:71" x14ac:dyDescent="0.25">
      <c r="A625" s="154"/>
      <c r="B625" s="155"/>
      <c r="C625" s="155"/>
      <c r="D625" s="155"/>
      <c r="E625" s="156"/>
      <c r="F625" s="156"/>
      <c r="G625" s="155"/>
      <c r="H625" s="155"/>
      <c r="I625" s="155"/>
      <c r="J625" s="157"/>
      <c r="K625" s="157"/>
      <c r="L625" s="155"/>
      <c r="M625" s="155"/>
      <c r="N625" s="155"/>
      <c r="O625" s="156"/>
      <c r="P625" s="156"/>
      <c r="Q625" s="155"/>
      <c r="R625" s="155"/>
      <c r="S625" s="155"/>
      <c r="T625" s="156"/>
      <c r="U625" s="156"/>
      <c r="V625" s="155"/>
      <c r="W625" s="155"/>
      <c r="X625" s="155"/>
      <c r="Y625" s="155"/>
      <c r="Z625" s="155"/>
      <c r="AA625" s="156"/>
      <c r="AB625" s="156"/>
      <c r="AC625" s="155"/>
      <c r="AD625" s="155"/>
      <c r="AE625" s="155"/>
      <c r="AF625" s="156"/>
      <c r="AG625" s="156"/>
      <c r="AH625" s="155"/>
      <c r="AI625" s="155"/>
      <c r="AJ625" s="155"/>
      <c r="AK625" s="156"/>
      <c r="AL625" s="156"/>
      <c r="AM625" s="155"/>
      <c r="AN625" s="155"/>
      <c r="AO625" s="155"/>
      <c r="AP625" s="156"/>
      <c r="AQ625" s="156"/>
      <c r="AR625" s="155"/>
      <c r="AS625" s="155"/>
      <c r="AT625" s="155"/>
      <c r="AU625" s="156"/>
      <c r="AV625" s="156"/>
      <c r="AW625" s="155"/>
      <c r="AX625" s="155"/>
      <c r="AY625" s="155"/>
      <c r="AZ625" s="156"/>
      <c r="BA625" s="156"/>
      <c r="BB625" s="155"/>
      <c r="BC625" s="155"/>
      <c r="BD625" s="155"/>
      <c r="BE625" s="155"/>
      <c r="BF625" s="155"/>
      <c r="BG625" s="158"/>
      <c r="BH625" s="158"/>
      <c r="BI625" s="155"/>
      <c r="BJ625" s="155"/>
      <c r="BK625" s="159"/>
      <c r="BL625" s="156"/>
      <c r="BM625" s="156"/>
      <c r="BN625" s="156"/>
      <c r="BO625" s="156"/>
      <c r="BP625" s="160"/>
      <c r="BQ625" s="160"/>
      <c r="BR625" s="160"/>
      <c r="BS625" s="160"/>
    </row>
    <row r="626" spans="1:71" x14ac:dyDescent="0.25">
      <c r="A626" s="154"/>
      <c r="B626" s="155"/>
      <c r="C626" s="155"/>
      <c r="D626" s="155"/>
      <c r="E626" s="156"/>
      <c r="F626" s="156"/>
      <c r="G626" s="155"/>
      <c r="H626" s="155"/>
      <c r="I626" s="155"/>
      <c r="J626" s="157"/>
      <c r="K626" s="157"/>
      <c r="L626" s="155"/>
      <c r="M626" s="155"/>
      <c r="N626" s="155"/>
      <c r="O626" s="156"/>
      <c r="P626" s="156"/>
      <c r="Q626" s="155"/>
      <c r="R626" s="155"/>
      <c r="S626" s="155"/>
      <c r="T626" s="156"/>
      <c r="U626" s="156"/>
      <c r="V626" s="155"/>
      <c r="W626" s="155"/>
      <c r="X626" s="155"/>
      <c r="Y626" s="155"/>
      <c r="Z626" s="155"/>
      <c r="AA626" s="156"/>
      <c r="AB626" s="156"/>
      <c r="AC626" s="155"/>
      <c r="AD626" s="155"/>
      <c r="AE626" s="155"/>
      <c r="AF626" s="156"/>
      <c r="AG626" s="156"/>
      <c r="AH626" s="155"/>
      <c r="AI626" s="155"/>
      <c r="AJ626" s="155"/>
      <c r="AK626" s="156"/>
      <c r="AL626" s="156"/>
      <c r="AM626" s="155"/>
      <c r="AN626" s="155"/>
      <c r="AO626" s="155"/>
      <c r="AP626" s="156"/>
      <c r="AQ626" s="156"/>
      <c r="AR626" s="155"/>
      <c r="AS626" s="155"/>
      <c r="AT626" s="155"/>
      <c r="AU626" s="156"/>
      <c r="AV626" s="156"/>
      <c r="AW626" s="155"/>
      <c r="AX626" s="155"/>
      <c r="AY626" s="155"/>
      <c r="AZ626" s="156"/>
      <c r="BA626" s="156"/>
      <c r="BB626" s="155"/>
      <c r="BC626" s="155"/>
      <c r="BD626" s="155"/>
      <c r="BE626" s="155"/>
      <c r="BF626" s="155"/>
      <c r="BG626" s="158"/>
      <c r="BH626" s="158"/>
      <c r="BI626" s="155"/>
      <c r="BJ626" s="155"/>
      <c r="BK626" s="159"/>
      <c r="BL626" s="156"/>
      <c r="BM626" s="156"/>
      <c r="BN626" s="156"/>
      <c r="BO626" s="156"/>
      <c r="BP626" s="160"/>
      <c r="BQ626" s="160"/>
      <c r="BR626" s="160"/>
      <c r="BS626" s="160"/>
    </row>
    <row r="627" spans="1:71" x14ac:dyDescent="0.25">
      <c r="A627" s="154"/>
      <c r="B627" s="155"/>
      <c r="C627" s="155"/>
      <c r="D627" s="155"/>
      <c r="E627" s="156"/>
      <c r="F627" s="156"/>
      <c r="G627" s="155"/>
      <c r="H627" s="155"/>
      <c r="I627" s="155"/>
      <c r="J627" s="157"/>
      <c r="K627" s="157"/>
      <c r="L627" s="155"/>
      <c r="M627" s="155"/>
      <c r="N627" s="155"/>
      <c r="O627" s="156"/>
      <c r="P627" s="156"/>
      <c r="Q627" s="155"/>
      <c r="R627" s="155"/>
      <c r="S627" s="155"/>
      <c r="T627" s="156"/>
      <c r="U627" s="156"/>
      <c r="V627" s="155"/>
      <c r="W627" s="155"/>
      <c r="X627" s="155"/>
      <c r="Y627" s="155"/>
      <c r="Z627" s="155"/>
      <c r="AA627" s="156"/>
      <c r="AB627" s="156"/>
      <c r="AC627" s="155"/>
      <c r="AD627" s="155"/>
      <c r="AE627" s="155"/>
      <c r="AF627" s="156"/>
      <c r="AG627" s="156"/>
      <c r="AH627" s="155"/>
      <c r="AI627" s="155"/>
      <c r="AJ627" s="155"/>
      <c r="AK627" s="156"/>
      <c r="AL627" s="156"/>
      <c r="AM627" s="155"/>
      <c r="AN627" s="155"/>
      <c r="AO627" s="155"/>
      <c r="AP627" s="156"/>
      <c r="AQ627" s="156"/>
      <c r="AR627" s="155"/>
      <c r="AS627" s="155"/>
      <c r="AT627" s="155"/>
      <c r="AU627" s="156"/>
      <c r="AV627" s="156"/>
      <c r="AW627" s="155"/>
      <c r="AX627" s="155"/>
      <c r="AY627" s="155"/>
      <c r="AZ627" s="156"/>
      <c r="BA627" s="156"/>
      <c r="BB627" s="155"/>
      <c r="BC627" s="155"/>
      <c r="BD627" s="155"/>
      <c r="BE627" s="155"/>
      <c r="BF627" s="155"/>
      <c r="BG627" s="158"/>
      <c r="BH627" s="158"/>
      <c r="BI627" s="155"/>
      <c r="BJ627" s="155"/>
      <c r="BK627" s="159"/>
      <c r="BL627" s="156"/>
      <c r="BM627" s="156"/>
      <c r="BN627" s="156"/>
      <c r="BO627" s="156"/>
      <c r="BP627" s="160"/>
      <c r="BQ627" s="160"/>
      <c r="BR627" s="160"/>
      <c r="BS627" s="160"/>
    </row>
    <row r="628" spans="1:71" x14ac:dyDescent="0.25">
      <c r="A628" s="154"/>
      <c r="B628" s="155"/>
      <c r="C628" s="155"/>
      <c r="D628" s="155"/>
      <c r="E628" s="156"/>
      <c r="F628" s="156"/>
      <c r="G628" s="155"/>
      <c r="H628" s="155"/>
      <c r="I628" s="155"/>
      <c r="J628" s="157"/>
      <c r="K628" s="157"/>
      <c r="L628" s="155"/>
      <c r="M628" s="155"/>
      <c r="N628" s="155"/>
      <c r="O628" s="156"/>
      <c r="P628" s="156"/>
      <c r="Q628" s="155"/>
      <c r="R628" s="155"/>
      <c r="S628" s="155"/>
      <c r="T628" s="156"/>
      <c r="U628" s="156"/>
      <c r="V628" s="155"/>
      <c r="W628" s="155"/>
      <c r="X628" s="155"/>
      <c r="Y628" s="155"/>
      <c r="Z628" s="155"/>
      <c r="AA628" s="156"/>
      <c r="AB628" s="156"/>
      <c r="AC628" s="155"/>
      <c r="AD628" s="155"/>
      <c r="AE628" s="155"/>
      <c r="AF628" s="156"/>
      <c r="AG628" s="156"/>
      <c r="AH628" s="155"/>
      <c r="AI628" s="155"/>
      <c r="AJ628" s="155"/>
      <c r="AK628" s="156"/>
      <c r="AL628" s="156"/>
      <c r="AM628" s="155"/>
      <c r="AN628" s="155"/>
      <c r="AO628" s="155"/>
      <c r="AP628" s="156"/>
      <c r="AQ628" s="156"/>
      <c r="AR628" s="155"/>
      <c r="AS628" s="155"/>
      <c r="AT628" s="155"/>
      <c r="AU628" s="156"/>
      <c r="AV628" s="156"/>
      <c r="AW628" s="155"/>
      <c r="AX628" s="155"/>
      <c r="AY628" s="155"/>
      <c r="AZ628" s="156"/>
      <c r="BA628" s="156"/>
      <c r="BB628" s="155"/>
      <c r="BC628" s="155"/>
      <c r="BD628" s="155"/>
      <c r="BE628" s="155"/>
      <c r="BF628" s="155"/>
      <c r="BG628" s="158"/>
      <c r="BH628" s="158"/>
      <c r="BI628" s="155"/>
      <c r="BJ628" s="155"/>
      <c r="BK628" s="159"/>
      <c r="BL628" s="156"/>
      <c r="BM628" s="156"/>
      <c r="BN628" s="156"/>
      <c r="BO628" s="156"/>
      <c r="BP628" s="160"/>
      <c r="BQ628" s="160"/>
      <c r="BR628" s="160"/>
      <c r="BS628" s="160"/>
    </row>
    <row r="629" spans="1:71" x14ac:dyDescent="0.25">
      <c r="A629" s="154"/>
      <c r="B629" s="155"/>
      <c r="C629" s="155"/>
      <c r="D629" s="155"/>
      <c r="E629" s="156"/>
      <c r="F629" s="156"/>
      <c r="G629" s="155"/>
      <c r="H629" s="155"/>
      <c r="I629" s="155"/>
      <c r="J629" s="157"/>
      <c r="K629" s="157"/>
      <c r="L629" s="155"/>
      <c r="M629" s="155"/>
      <c r="N629" s="155"/>
      <c r="O629" s="156"/>
      <c r="P629" s="156"/>
      <c r="Q629" s="155"/>
      <c r="R629" s="155"/>
      <c r="S629" s="155"/>
      <c r="T629" s="156"/>
      <c r="U629" s="156"/>
      <c r="V629" s="155"/>
      <c r="W629" s="155"/>
      <c r="X629" s="155"/>
      <c r="Y629" s="155"/>
      <c r="Z629" s="155"/>
      <c r="AA629" s="156"/>
      <c r="AB629" s="156"/>
      <c r="AC629" s="155"/>
      <c r="AD629" s="155"/>
      <c r="AE629" s="155"/>
      <c r="AF629" s="156"/>
      <c r="AG629" s="156"/>
      <c r="AH629" s="155"/>
      <c r="AI629" s="155"/>
      <c r="AJ629" s="155"/>
      <c r="AK629" s="156"/>
      <c r="AL629" s="156"/>
      <c r="AM629" s="155"/>
      <c r="AN629" s="155"/>
      <c r="AO629" s="155"/>
      <c r="AP629" s="156"/>
      <c r="AQ629" s="156"/>
      <c r="AR629" s="155"/>
      <c r="AS629" s="155"/>
      <c r="AT629" s="155"/>
      <c r="AU629" s="156"/>
      <c r="AV629" s="156"/>
      <c r="AW629" s="155"/>
      <c r="AX629" s="155"/>
      <c r="AY629" s="155"/>
      <c r="AZ629" s="156"/>
      <c r="BA629" s="156"/>
      <c r="BB629" s="155"/>
      <c r="BC629" s="155"/>
      <c r="BD629" s="155"/>
      <c r="BE629" s="155"/>
      <c r="BF629" s="155"/>
      <c r="BG629" s="158"/>
      <c r="BH629" s="158"/>
      <c r="BI629" s="155"/>
      <c r="BJ629" s="155"/>
      <c r="BK629" s="159"/>
      <c r="BL629" s="156"/>
      <c r="BM629" s="156"/>
      <c r="BN629" s="156"/>
      <c r="BO629" s="156"/>
      <c r="BP629" s="160"/>
      <c r="BQ629" s="160"/>
      <c r="BR629" s="160"/>
      <c r="BS629" s="160"/>
    </row>
    <row r="630" spans="1:71" x14ac:dyDescent="0.25">
      <c r="A630" s="154"/>
      <c r="B630" s="155"/>
      <c r="C630" s="155"/>
      <c r="D630" s="155"/>
      <c r="E630" s="156"/>
      <c r="F630" s="156"/>
      <c r="G630" s="155"/>
      <c r="H630" s="155"/>
      <c r="I630" s="155"/>
      <c r="J630" s="157"/>
      <c r="K630" s="157"/>
      <c r="L630" s="155"/>
      <c r="M630" s="155"/>
      <c r="N630" s="155"/>
      <c r="O630" s="156"/>
      <c r="P630" s="156"/>
      <c r="Q630" s="155"/>
      <c r="R630" s="155"/>
      <c r="S630" s="155"/>
      <c r="T630" s="156"/>
      <c r="U630" s="156"/>
      <c r="V630" s="155"/>
      <c r="W630" s="155"/>
      <c r="X630" s="155"/>
      <c r="Y630" s="155"/>
      <c r="Z630" s="155"/>
      <c r="AA630" s="156"/>
      <c r="AB630" s="156"/>
      <c r="AC630" s="155"/>
      <c r="AD630" s="155"/>
      <c r="AE630" s="155"/>
      <c r="AF630" s="156"/>
      <c r="AG630" s="156"/>
      <c r="AH630" s="155"/>
      <c r="AI630" s="155"/>
      <c r="AJ630" s="155"/>
      <c r="AK630" s="156"/>
      <c r="AL630" s="156"/>
      <c r="AM630" s="155"/>
      <c r="AN630" s="155"/>
      <c r="AO630" s="155"/>
      <c r="AP630" s="156"/>
      <c r="AQ630" s="156"/>
      <c r="AR630" s="155"/>
      <c r="AS630" s="155"/>
      <c r="AT630" s="155"/>
      <c r="AU630" s="156"/>
      <c r="AV630" s="156"/>
      <c r="AW630" s="155"/>
      <c r="AX630" s="155"/>
      <c r="AY630" s="155"/>
      <c r="AZ630" s="156"/>
      <c r="BA630" s="156"/>
      <c r="BB630" s="155"/>
      <c r="BC630" s="155"/>
      <c r="BD630" s="155"/>
      <c r="BE630" s="155"/>
      <c r="BF630" s="155"/>
      <c r="BG630" s="158"/>
      <c r="BH630" s="158"/>
      <c r="BI630" s="155"/>
      <c r="BJ630" s="155"/>
      <c r="BK630" s="159"/>
      <c r="BL630" s="156"/>
      <c r="BM630" s="156"/>
      <c r="BN630" s="156"/>
      <c r="BO630" s="156"/>
      <c r="BP630" s="160"/>
      <c r="BQ630" s="160"/>
      <c r="BR630" s="160"/>
      <c r="BS630" s="160"/>
    </row>
    <row r="631" spans="1:71" x14ac:dyDescent="0.25">
      <c r="A631" s="154"/>
      <c r="B631" s="155"/>
      <c r="C631" s="155"/>
      <c r="D631" s="155"/>
      <c r="E631" s="156"/>
      <c r="F631" s="156"/>
      <c r="G631" s="155"/>
      <c r="H631" s="155"/>
      <c r="I631" s="155"/>
      <c r="J631" s="157"/>
      <c r="K631" s="157"/>
      <c r="L631" s="155"/>
      <c r="M631" s="155"/>
      <c r="N631" s="155"/>
      <c r="O631" s="156"/>
      <c r="P631" s="156"/>
      <c r="Q631" s="155"/>
      <c r="R631" s="155"/>
      <c r="S631" s="155"/>
      <c r="T631" s="156"/>
      <c r="U631" s="156"/>
      <c r="V631" s="155"/>
      <c r="W631" s="155"/>
      <c r="X631" s="155"/>
      <c r="Y631" s="155"/>
      <c r="Z631" s="155"/>
      <c r="AA631" s="156"/>
      <c r="AB631" s="156"/>
      <c r="AC631" s="155"/>
      <c r="AD631" s="155"/>
      <c r="AE631" s="155"/>
      <c r="AF631" s="156"/>
      <c r="AG631" s="156"/>
      <c r="AH631" s="155"/>
      <c r="AI631" s="155"/>
      <c r="AJ631" s="155"/>
      <c r="AK631" s="156"/>
      <c r="AL631" s="156"/>
      <c r="AM631" s="155"/>
      <c r="AN631" s="155"/>
      <c r="AO631" s="155"/>
      <c r="AP631" s="156"/>
      <c r="AQ631" s="156"/>
      <c r="AR631" s="155"/>
      <c r="AS631" s="155"/>
      <c r="AT631" s="155"/>
      <c r="AU631" s="156"/>
      <c r="AV631" s="156"/>
      <c r="AW631" s="155"/>
      <c r="AX631" s="155"/>
      <c r="AY631" s="155"/>
      <c r="AZ631" s="156"/>
      <c r="BA631" s="156"/>
      <c r="BB631" s="155"/>
      <c r="BC631" s="155"/>
      <c r="BD631" s="155"/>
      <c r="BE631" s="155"/>
      <c r="BF631" s="155"/>
      <c r="BG631" s="158"/>
      <c r="BH631" s="158"/>
      <c r="BI631" s="155"/>
      <c r="BJ631" s="155"/>
      <c r="BK631" s="159"/>
      <c r="BL631" s="156"/>
      <c r="BM631" s="156"/>
      <c r="BN631" s="156"/>
      <c r="BO631" s="156"/>
      <c r="BP631" s="160"/>
      <c r="BQ631" s="160"/>
      <c r="BR631" s="160"/>
      <c r="BS631" s="160"/>
    </row>
    <row r="632" spans="1:71" x14ac:dyDescent="0.25">
      <c r="A632" s="154"/>
      <c r="B632" s="155"/>
      <c r="C632" s="155"/>
      <c r="D632" s="155"/>
      <c r="E632" s="156"/>
      <c r="F632" s="156"/>
      <c r="G632" s="155"/>
      <c r="H632" s="155"/>
      <c r="I632" s="155"/>
      <c r="J632" s="157"/>
      <c r="K632" s="157"/>
      <c r="L632" s="155"/>
      <c r="M632" s="155"/>
      <c r="N632" s="155"/>
      <c r="O632" s="156"/>
      <c r="P632" s="156"/>
      <c r="Q632" s="155"/>
      <c r="R632" s="155"/>
      <c r="S632" s="155"/>
      <c r="T632" s="156"/>
      <c r="U632" s="156"/>
      <c r="V632" s="155"/>
      <c r="W632" s="155"/>
      <c r="X632" s="155"/>
      <c r="Y632" s="155"/>
      <c r="Z632" s="155"/>
      <c r="AA632" s="156"/>
      <c r="AB632" s="156"/>
      <c r="AC632" s="155"/>
      <c r="AD632" s="155"/>
      <c r="AE632" s="155"/>
      <c r="AF632" s="156"/>
      <c r="AG632" s="156"/>
      <c r="AH632" s="155"/>
      <c r="AI632" s="155"/>
      <c r="AJ632" s="155"/>
      <c r="AK632" s="156"/>
      <c r="AL632" s="156"/>
      <c r="AM632" s="155"/>
      <c r="AN632" s="155"/>
      <c r="AO632" s="155"/>
      <c r="AP632" s="156"/>
      <c r="AQ632" s="156"/>
      <c r="AR632" s="155"/>
      <c r="AS632" s="155"/>
      <c r="AT632" s="155"/>
      <c r="AU632" s="156"/>
      <c r="AV632" s="156"/>
      <c r="AW632" s="155"/>
      <c r="AX632" s="155"/>
      <c r="AY632" s="155"/>
      <c r="AZ632" s="156"/>
      <c r="BA632" s="156"/>
      <c r="BB632" s="155"/>
      <c r="BC632" s="155"/>
      <c r="BD632" s="155"/>
      <c r="BE632" s="155"/>
      <c r="BF632" s="155"/>
      <c r="BG632" s="158"/>
      <c r="BH632" s="158"/>
      <c r="BI632" s="155"/>
      <c r="BJ632" s="155"/>
      <c r="BK632" s="159"/>
      <c r="BL632" s="156"/>
      <c r="BM632" s="156"/>
      <c r="BN632" s="156"/>
      <c r="BO632" s="156"/>
      <c r="BP632" s="160"/>
      <c r="BQ632" s="160"/>
      <c r="BR632" s="160"/>
      <c r="BS632" s="160"/>
    </row>
    <row r="633" spans="1:71" x14ac:dyDescent="0.25">
      <c r="A633" s="154"/>
      <c r="B633" s="155"/>
      <c r="C633" s="155"/>
      <c r="D633" s="155"/>
      <c r="E633" s="156"/>
      <c r="F633" s="156"/>
      <c r="G633" s="155"/>
      <c r="H633" s="155"/>
      <c r="I633" s="155"/>
      <c r="J633" s="157"/>
      <c r="K633" s="157"/>
      <c r="L633" s="155"/>
      <c r="M633" s="155"/>
      <c r="N633" s="155"/>
      <c r="O633" s="156"/>
      <c r="P633" s="156"/>
      <c r="Q633" s="155"/>
      <c r="R633" s="155"/>
      <c r="S633" s="155"/>
      <c r="T633" s="156"/>
      <c r="U633" s="156"/>
      <c r="V633" s="155"/>
      <c r="W633" s="155"/>
      <c r="X633" s="155"/>
      <c r="Y633" s="155"/>
      <c r="Z633" s="155"/>
      <c r="AA633" s="156"/>
      <c r="AB633" s="156"/>
      <c r="AC633" s="155"/>
      <c r="AD633" s="155"/>
      <c r="AE633" s="155"/>
      <c r="AF633" s="156"/>
      <c r="AG633" s="156"/>
      <c r="AH633" s="155"/>
      <c r="AI633" s="155"/>
      <c r="AJ633" s="155"/>
      <c r="AK633" s="156"/>
      <c r="AL633" s="156"/>
      <c r="AM633" s="155"/>
      <c r="AN633" s="155"/>
      <c r="AO633" s="155"/>
      <c r="AP633" s="156"/>
      <c r="AQ633" s="156"/>
      <c r="AR633" s="155"/>
      <c r="AS633" s="155"/>
      <c r="AT633" s="155"/>
      <c r="AU633" s="156"/>
      <c r="AV633" s="156"/>
      <c r="AW633" s="155"/>
      <c r="AX633" s="155"/>
      <c r="AY633" s="155"/>
      <c r="AZ633" s="156"/>
      <c r="BA633" s="156"/>
      <c r="BB633" s="155"/>
      <c r="BC633" s="155"/>
      <c r="BD633" s="155"/>
      <c r="BE633" s="155"/>
      <c r="BF633" s="155"/>
      <c r="BG633" s="158"/>
      <c r="BH633" s="158"/>
      <c r="BI633" s="155"/>
      <c r="BJ633" s="155"/>
      <c r="BK633" s="159"/>
      <c r="BL633" s="156"/>
      <c r="BM633" s="156"/>
      <c r="BN633" s="156"/>
      <c r="BO633" s="156"/>
      <c r="BP633" s="160"/>
      <c r="BQ633" s="160"/>
      <c r="BR633" s="160"/>
      <c r="BS633" s="160"/>
    </row>
    <row r="634" spans="1:71" x14ac:dyDescent="0.25">
      <c r="A634" s="154"/>
      <c r="B634" s="155"/>
      <c r="C634" s="155"/>
      <c r="D634" s="155"/>
      <c r="E634" s="156"/>
      <c r="F634" s="156"/>
      <c r="G634" s="155"/>
      <c r="H634" s="155"/>
      <c r="I634" s="155"/>
      <c r="J634" s="157"/>
      <c r="K634" s="157"/>
      <c r="L634" s="155"/>
      <c r="M634" s="155"/>
      <c r="N634" s="155"/>
      <c r="O634" s="156"/>
      <c r="P634" s="156"/>
      <c r="Q634" s="155"/>
      <c r="R634" s="155"/>
      <c r="S634" s="155"/>
      <c r="T634" s="156"/>
      <c r="U634" s="156"/>
      <c r="V634" s="155"/>
      <c r="W634" s="155"/>
      <c r="X634" s="155"/>
      <c r="Y634" s="155"/>
      <c r="Z634" s="155"/>
      <c r="AA634" s="156"/>
      <c r="AB634" s="156"/>
      <c r="AC634" s="155"/>
      <c r="AD634" s="155"/>
      <c r="AE634" s="155"/>
      <c r="AF634" s="156"/>
      <c r="AG634" s="156"/>
      <c r="AH634" s="155"/>
      <c r="AI634" s="155"/>
      <c r="AJ634" s="155"/>
      <c r="AK634" s="156"/>
      <c r="AL634" s="156"/>
      <c r="AM634" s="155"/>
      <c r="AN634" s="155"/>
      <c r="AO634" s="155"/>
      <c r="AP634" s="156"/>
      <c r="AQ634" s="156"/>
      <c r="AR634" s="155"/>
      <c r="AS634" s="155"/>
      <c r="AT634" s="155"/>
      <c r="AU634" s="156"/>
      <c r="AV634" s="156"/>
      <c r="AW634" s="155"/>
      <c r="AX634" s="155"/>
      <c r="AY634" s="155"/>
      <c r="AZ634" s="156"/>
      <c r="BA634" s="156"/>
      <c r="BB634" s="155"/>
      <c r="BC634" s="155"/>
      <c r="BD634" s="155"/>
      <c r="BE634" s="155"/>
      <c r="BF634" s="155"/>
      <c r="BG634" s="158"/>
      <c r="BH634" s="158"/>
      <c r="BI634" s="155"/>
      <c r="BJ634" s="155"/>
      <c r="BK634" s="159"/>
      <c r="BL634" s="156"/>
      <c r="BM634" s="156"/>
      <c r="BN634" s="156"/>
      <c r="BO634" s="156"/>
      <c r="BP634" s="160"/>
      <c r="BQ634" s="160"/>
      <c r="BR634" s="160"/>
      <c r="BS634" s="160"/>
    </row>
    <row r="635" spans="1:71" x14ac:dyDescent="0.25">
      <c r="A635" s="154"/>
      <c r="B635" s="155"/>
      <c r="C635" s="155"/>
      <c r="D635" s="155"/>
      <c r="E635" s="156"/>
      <c r="F635" s="156"/>
      <c r="G635" s="155"/>
      <c r="H635" s="155"/>
      <c r="I635" s="155"/>
      <c r="J635" s="157"/>
      <c r="K635" s="157"/>
      <c r="L635" s="155"/>
      <c r="M635" s="155"/>
      <c r="N635" s="155"/>
      <c r="O635" s="156"/>
      <c r="P635" s="156"/>
      <c r="Q635" s="155"/>
      <c r="R635" s="155"/>
      <c r="S635" s="155"/>
      <c r="T635" s="156"/>
      <c r="U635" s="156"/>
      <c r="V635" s="155"/>
      <c r="W635" s="155"/>
      <c r="X635" s="155"/>
      <c r="Y635" s="155"/>
      <c r="Z635" s="155"/>
      <c r="AA635" s="156"/>
      <c r="AB635" s="156"/>
      <c r="AC635" s="155"/>
      <c r="AD635" s="155"/>
      <c r="AE635" s="155"/>
      <c r="AF635" s="156"/>
      <c r="AG635" s="156"/>
      <c r="AH635" s="155"/>
      <c r="AI635" s="155"/>
      <c r="AJ635" s="155"/>
      <c r="AK635" s="156"/>
      <c r="AL635" s="156"/>
      <c r="AM635" s="155"/>
      <c r="AN635" s="155"/>
      <c r="AO635" s="155"/>
      <c r="AP635" s="156"/>
      <c r="AQ635" s="156"/>
      <c r="AR635" s="155"/>
      <c r="AS635" s="155"/>
      <c r="AT635" s="155"/>
      <c r="AU635" s="156"/>
      <c r="AV635" s="156"/>
      <c r="AW635" s="155"/>
      <c r="AX635" s="155"/>
      <c r="AY635" s="155"/>
      <c r="AZ635" s="156"/>
      <c r="BA635" s="156"/>
      <c r="BB635" s="155"/>
      <c r="BC635" s="155"/>
      <c r="BD635" s="155"/>
      <c r="BE635" s="155"/>
      <c r="BF635" s="155"/>
      <c r="BG635" s="158"/>
      <c r="BH635" s="158"/>
      <c r="BI635" s="155"/>
      <c r="BJ635" s="155"/>
      <c r="BK635" s="159"/>
      <c r="BL635" s="156"/>
      <c r="BM635" s="156"/>
      <c r="BN635" s="156"/>
      <c r="BO635" s="156"/>
      <c r="BP635" s="160"/>
      <c r="BQ635" s="160"/>
      <c r="BR635" s="160"/>
      <c r="BS635" s="160"/>
    </row>
    <row r="636" spans="1:71" x14ac:dyDescent="0.25">
      <c r="A636" s="154"/>
      <c r="B636" s="155"/>
      <c r="C636" s="155"/>
      <c r="D636" s="155"/>
      <c r="E636" s="156"/>
      <c r="F636" s="156"/>
      <c r="G636" s="155"/>
      <c r="H636" s="155"/>
      <c r="I636" s="155"/>
      <c r="J636" s="157"/>
      <c r="K636" s="157"/>
      <c r="L636" s="155"/>
      <c r="M636" s="155"/>
      <c r="N636" s="155"/>
      <c r="O636" s="156"/>
      <c r="P636" s="156"/>
      <c r="Q636" s="155"/>
      <c r="R636" s="155"/>
      <c r="S636" s="155"/>
      <c r="T636" s="156"/>
      <c r="U636" s="156"/>
      <c r="V636" s="155"/>
      <c r="W636" s="155"/>
      <c r="X636" s="155"/>
      <c r="Y636" s="155"/>
      <c r="Z636" s="155"/>
      <c r="AA636" s="156"/>
      <c r="AB636" s="156"/>
      <c r="AC636" s="155"/>
      <c r="AD636" s="155"/>
      <c r="AE636" s="155"/>
      <c r="AF636" s="156"/>
      <c r="AG636" s="156"/>
      <c r="AH636" s="155"/>
      <c r="AI636" s="155"/>
      <c r="AJ636" s="155"/>
      <c r="AK636" s="156"/>
      <c r="AL636" s="156"/>
      <c r="AM636" s="155"/>
      <c r="AN636" s="155"/>
      <c r="AO636" s="155"/>
      <c r="AP636" s="156"/>
      <c r="AQ636" s="156"/>
      <c r="AR636" s="155"/>
      <c r="AS636" s="155"/>
      <c r="AT636" s="155"/>
      <c r="AU636" s="156"/>
      <c r="AV636" s="156"/>
      <c r="AW636" s="155"/>
      <c r="AX636" s="155"/>
      <c r="AY636" s="155"/>
      <c r="AZ636" s="156"/>
      <c r="BA636" s="156"/>
      <c r="BB636" s="155"/>
      <c r="BC636" s="155"/>
      <c r="BD636" s="155"/>
      <c r="BE636" s="155"/>
      <c r="BF636" s="155"/>
      <c r="BG636" s="158"/>
      <c r="BH636" s="158"/>
      <c r="BI636" s="155"/>
      <c r="BJ636" s="155"/>
      <c r="BK636" s="159"/>
      <c r="BL636" s="156"/>
      <c r="BM636" s="156"/>
      <c r="BN636" s="156"/>
      <c r="BO636" s="156"/>
      <c r="BP636" s="160"/>
      <c r="BQ636" s="160"/>
      <c r="BR636" s="160"/>
      <c r="BS636" s="160"/>
    </row>
    <row r="637" spans="1:71" x14ac:dyDescent="0.25">
      <c r="A637" s="154"/>
      <c r="B637" s="155"/>
      <c r="C637" s="155"/>
      <c r="D637" s="155"/>
      <c r="E637" s="156"/>
      <c r="F637" s="156"/>
      <c r="G637" s="155"/>
      <c r="H637" s="155"/>
      <c r="I637" s="155"/>
      <c r="J637" s="157"/>
      <c r="K637" s="157"/>
      <c r="L637" s="155"/>
      <c r="M637" s="155"/>
      <c r="N637" s="155"/>
      <c r="O637" s="156"/>
      <c r="P637" s="156"/>
      <c r="Q637" s="155"/>
      <c r="R637" s="155"/>
      <c r="S637" s="155"/>
      <c r="T637" s="156"/>
      <c r="U637" s="156"/>
      <c r="V637" s="155"/>
      <c r="W637" s="155"/>
      <c r="X637" s="155"/>
      <c r="Y637" s="155"/>
      <c r="Z637" s="155"/>
      <c r="AA637" s="156"/>
      <c r="AB637" s="156"/>
      <c r="AC637" s="155"/>
      <c r="AD637" s="155"/>
      <c r="AE637" s="155"/>
      <c r="AF637" s="156"/>
      <c r="AG637" s="156"/>
      <c r="AH637" s="155"/>
      <c r="AI637" s="155"/>
      <c r="AJ637" s="155"/>
      <c r="AK637" s="156"/>
      <c r="AL637" s="156"/>
      <c r="AM637" s="155"/>
      <c r="AN637" s="155"/>
      <c r="AO637" s="155"/>
      <c r="AP637" s="156"/>
      <c r="AQ637" s="156"/>
      <c r="AR637" s="155"/>
      <c r="AS637" s="155"/>
      <c r="AT637" s="155"/>
      <c r="AU637" s="156"/>
      <c r="AV637" s="156"/>
      <c r="AW637" s="155"/>
      <c r="AX637" s="155"/>
      <c r="AY637" s="155"/>
      <c r="AZ637" s="156"/>
      <c r="BA637" s="156"/>
      <c r="BB637" s="155"/>
      <c r="BC637" s="155"/>
      <c r="BD637" s="155"/>
      <c r="BE637" s="155"/>
      <c r="BF637" s="155"/>
      <c r="BG637" s="158"/>
      <c r="BH637" s="158"/>
      <c r="BI637" s="155"/>
      <c r="BJ637" s="155"/>
      <c r="BK637" s="159"/>
      <c r="BL637" s="156"/>
      <c r="BM637" s="156"/>
      <c r="BN637" s="156"/>
      <c r="BO637" s="156"/>
      <c r="BP637" s="160"/>
      <c r="BQ637" s="160"/>
      <c r="BR637" s="160"/>
      <c r="BS637" s="160"/>
    </row>
    <row r="638" spans="1:71" x14ac:dyDescent="0.25">
      <c r="A638" s="154"/>
      <c r="B638" s="155"/>
      <c r="C638" s="155"/>
      <c r="D638" s="155"/>
      <c r="E638" s="156"/>
      <c r="F638" s="156"/>
      <c r="G638" s="155"/>
      <c r="H638" s="155"/>
      <c r="I638" s="155"/>
      <c r="J638" s="157"/>
      <c r="K638" s="157"/>
      <c r="L638" s="155"/>
      <c r="M638" s="155"/>
      <c r="N638" s="155"/>
      <c r="O638" s="156"/>
      <c r="P638" s="156"/>
      <c r="Q638" s="155"/>
      <c r="R638" s="155"/>
      <c r="S638" s="155"/>
      <c r="T638" s="156"/>
      <c r="U638" s="156"/>
      <c r="V638" s="155"/>
      <c r="W638" s="155"/>
      <c r="X638" s="155"/>
      <c r="Y638" s="155"/>
      <c r="Z638" s="155"/>
      <c r="AA638" s="156"/>
      <c r="AB638" s="156"/>
      <c r="AC638" s="155"/>
      <c r="AD638" s="155"/>
      <c r="AE638" s="155"/>
      <c r="AF638" s="156"/>
      <c r="AG638" s="156"/>
      <c r="AH638" s="155"/>
      <c r="AI638" s="155"/>
      <c r="AJ638" s="155"/>
      <c r="AK638" s="156"/>
      <c r="AL638" s="156"/>
      <c r="AM638" s="155"/>
      <c r="AN638" s="155"/>
      <c r="AO638" s="155"/>
      <c r="AP638" s="156"/>
      <c r="AQ638" s="156"/>
      <c r="AR638" s="155"/>
      <c r="AS638" s="155"/>
      <c r="AT638" s="155"/>
      <c r="AU638" s="156"/>
      <c r="AV638" s="156"/>
      <c r="AW638" s="155"/>
      <c r="AX638" s="155"/>
      <c r="AY638" s="155"/>
      <c r="AZ638" s="156"/>
      <c r="BA638" s="156"/>
      <c r="BB638" s="155"/>
      <c r="BC638" s="155"/>
      <c r="BD638" s="155"/>
      <c r="BE638" s="155"/>
      <c r="BF638" s="155"/>
      <c r="BG638" s="158"/>
      <c r="BH638" s="158"/>
      <c r="BI638" s="155"/>
      <c r="BJ638" s="155"/>
      <c r="BK638" s="159"/>
      <c r="BL638" s="156"/>
      <c r="BM638" s="156"/>
      <c r="BN638" s="156"/>
      <c r="BO638" s="156"/>
      <c r="BP638" s="160"/>
      <c r="BQ638" s="160"/>
      <c r="BR638" s="160"/>
      <c r="BS638" s="160"/>
    </row>
    <row r="639" spans="1:71" x14ac:dyDescent="0.25">
      <c r="A639" s="154"/>
      <c r="B639" s="155"/>
      <c r="C639" s="155"/>
      <c r="D639" s="155"/>
      <c r="E639" s="156"/>
      <c r="F639" s="156"/>
      <c r="G639" s="155"/>
      <c r="H639" s="155"/>
      <c r="I639" s="155"/>
      <c r="J639" s="157"/>
      <c r="K639" s="157"/>
      <c r="L639" s="155"/>
      <c r="M639" s="155"/>
      <c r="N639" s="155"/>
      <c r="O639" s="156"/>
      <c r="P639" s="156"/>
      <c r="Q639" s="155"/>
      <c r="R639" s="155"/>
      <c r="S639" s="155"/>
      <c r="T639" s="156"/>
      <c r="U639" s="156"/>
      <c r="V639" s="155"/>
      <c r="W639" s="155"/>
      <c r="X639" s="155"/>
      <c r="Y639" s="155"/>
      <c r="Z639" s="155"/>
      <c r="AA639" s="156"/>
      <c r="AB639" s="156"/>
      <c r="AC639" s="155"/>
      <c r="AD639" s="155"/>
      <c r="AE639" s="155"/>
      <c r="AF639" s="156"/>
      <c r="AG639" s="156"/>
      <c r="AH639" s="155"/>
      <c r="AI639" s="155"/>
      <c r="AJ639" s="155"/>
      <c r="AK639" s="156"/>
      <c r="AL639" s="156"/>
      <c r="AM639" s="155"/>
      <c r="AN639" s="155"/>
      <c r="AO639" s="155"/>
      <c r="AP639" s="156"/>
      <c r="AQ639" s="156"/>
      <c r="AR639" s="155"/>
      <c r="AS639" s="155"/>
      <c r="AT639" s="155"/>
      <c r="AU639" s="156"/>
      <c r="AV639" s="156"/>
      <c r="AW639" s="155"/>
      <c r="AX639" s="155"/>
      <c r="AY639" s="155"/>
      <c r="AZ639" s="156"/>
      <c r="BA639" s="156"/>
      <c r="BB639" s="155"/>
      <c r="BC639" s="155"/>
      <c r="BD639" s="155"/>
      <c r="BE639" s="155"/>
      <c r="BF639" s="155"/>
      <c r="BG639" s="158"/>
      <c r="BH639" s="158"/>
      <c r="BI639" s="155"/>
      <c r="BJ639" s="155"/>
      <c r="BK639" s="159"/>
      <c r="BL639" s="156"/>
      <c r="BM639" s="156"/>
      <c r="BN639" s="156"/>
      <c r="BO639" s="156"/>
      <c r="BP639" s="160"/>
      <c r="BQ639" s="160"/>
      <c r="BR639" s="160"/>
      <c r="BS639" s="160"/>
    </row>
    <row r="640" spans="1:71" x14ac:dyDescent="0.25">
      <c r="A640" s="154"/>
      <c r="B640" s="155"/>
      <c r="C640" s="155"/>
      <c r="D640" s="155"/>
      <c r="E640" s="156"/>
      <c r="F640" s="156"/>
      <c r="G640" s="155"/>
      <c r="H640" s="155"/>
      <c r="I640" s="155"/>
      <c r="J640" s="157"/>
      <c r="K640" s="157"/>
      <c r="L640" s="155"/>
      <c r="M640" s="155"/>
      <c r="N640" s="155"/>
      <c r="O640" s="156"/>
      <c r="P640" s="156"/>
      <c r="Q640" s="155"/>
      <c r="R640" s="155"/>
      <c r="S640" s="155"/>
      <c r="T640" s="156"/>
      <c r="U640" s="156"/>
      <c r="V640" s="155"/>
      <c r="W640" s="155"/>
      <c r="X640" s="155"/>
      <c r="Y640" s="155"/>
      <c r="Z640" s="155"/>
      <c r="AA640" s="156"/>
      <c r="AB640" s="156"/>
      <c r="AC640" s="155"/>
      <c r="AD640" s="155"/>
      <c r="AE640" s="155"/>
      <c r="AF640" s="156"/>
      <c r="AG640" s="156"/>
      <c r="AH640" s="155"/>
      <c r="AI640" s="155"/>
      <c r="AJ640" s="155"/>
      <c r="AK640" s="156"/>
      <c r="AL640" s="156"/>
      <c r="AM640" s="155"/>
      <c r="AN640" s="155"/>
      <c r="AO640" s="155"/>
      <c r="AP640" s="156"/>
      <c r="AQ640" s="156"/>
      <c r="AR640" s="155"/>
      <c r="AS640" s="155"/>
      <c r="AT640" s="155"/>
      <c r="AU640" s="156"/>
      <c r="AV640" s="156"/>
      <c r="AW640" s="155"/>
      <c r="AX640" s="155"/>
      <c r="AY640" s="155"/>
      <c r="AZ640" s="156"/>
      <c r="BA640" s="156"/>
      <c r="BB640" s="155"/>
      <c r="BC640" s="155"/>
      <c r="BD640" s="155"/>
      <c r="BE640" s="155"/>
      <c r="BF640" s="155"/>
      <c r="BG640" s="158"/>
      <c r="BH640" s="158"/>
      <c r="BI640" s="155"/>
      <c r="BJ640" s="155"/>
      <c r="BK640" s="159"/>
      <c r="BL640" s="156"/>
      <c r="BM640" s="156"/>
      <c r="BN640" s="156"/>
      <c r="BO640" s="156"/>
      <c r="BP640" s="160"/>
      <c r="BQ640" s="160"/>
      <c r="BR640" s="160"/>
      <c r="BS640" s="160"/>
    </row>
    <row r="641" spans="1:71" x14ac:dyDescent="0.25">
      <c r="A641" s="154"/>
      <c r="B641" s="155"/>
      <c r="C641" s="155"/>
      <c r="D641" s="155"/>
      <c r="E641" s="156"/>
      <c r="F641" s="156"/>
      <c r="G641" s="155"/>
      <c r="H641" s="155"/>
      <c r="I641" s="155"/>
      <c r="J641" s="157"/>
      <c r="K641" s="157"/>
      <c r="L641" s="155"/>
      <c r="M641" s="155"/>
      <c r="N641" s="155"/>
      <c r="O641" s="156"/>
      <c r="P641" s="156"/>
      <c r="Q641" s="155"/>
      <c r="R641" s="155"/>
      <c r="S641" s="155"/>
      <c r="T641" s="156"/>
      <c r="U641" s="156"/>
      <c r="V641" s="155"/>
      <c r="W641" s="155"/>
      <c r="X641" s="155"/>
      <c r="Y641" s="155"/>
      <c r="Z641" s="155"/>
      <c r="AA641" s="156"/>
      <c r="AB641" s="156"/>
      <c r="AC641" s="155"/>
      <c r="AD641" s="155"/>
      <c r="AE641" s="155"/>
      <c r="AF641" s="156"/>
      <c r="AG641" s="156"/>
      <c r="AH641" s="155"/>
      <c r="AI641" s="155"/>
      <c r="AJ641" s="155"/>
      <c r="AK641" s="156"/>
      <c r="AL641" s="156"/>
      <c r="AM641" s="155"/>
      <c r="AN641" s="155"/>
      <c r="AO641" s="155"/>
      <c r="AP641" s="156"/>
      <c r="AQ641" s="156"/>
      <c r="AR641" s="155"/>
      <c r="AS641" s="155"/>
      <c r="AT641" s="155"/>
      <c r="AU641" s="156"/>
      <c r="AV641" s="156"/>
      <c r="AW641" s="155"/>
      <c r="AX641" s="155"/>
      <c r="AY641" s="155"/>
      <c r="AZ641" s="156"/>
      <c r="BA641" s="156"/>
      <c r="BB641" s="155"/>
      <c r="BC641" s="155"/>
      <c r="BD641" s="155"/>
      <c r="BE641" s="155"/>
      <c r="BF641" s="155"/>
      <c r="BG641" s="158"/>
      <c r="BH641" s="158"/>
      <c r="BI641" s="155"/>
      <c r="BJ641" s="155"/>
      <c r="BK641" s="159"/>
      <c r="BL641" s="156"/>
      <c r="BM641" s="156"/>
      <c r="BN641" s="156"/>
      <c r="BO641" s="156"/>
      <c r="BP641" s="160"/>
      <c r="BQ641" s="160"/>
      <c r="BR641" s="160"/>
      <c r="BS641" s="160"/>
    </row>
    <row r="642" spans="1:71" x14ac:dyDescent="0.25">
      <c r="A642" s="154"/>
      <c r="B642" s="155"/>
      <c r="C642" s="155"/>
      <c r="D642" s="155"/>
      <c r="E642" s="156"/>
      <c r="F642" s="156"/>
      <c r="G642" s="155"/>
      <c r="H642" s="155"/>
      <c r="I642" s="155"/>
      <c r="J642" s="157"/>
      <c r="K642" s="157"/>
      <c r="L642" s="155"/>
      <c r="M642" s="155"/>
      <c r="N642" s="155"/>
      <c r="O642" s="156"/>
      <c r="P642" s="156"/>
      <c r="Q642" s="155"/>
      <c r="R642" s="155"/>
      <c r="S642" s="155"/>
      <c r="T642" s="156"/>
      <c r="U642" s="156"/>
      <c r="V642" s="155"/>
      <c r="W642" s="155"/>
      <c r="X642" s="155"/>
      <c r="Y642" s="155"/>
      <c r="Z642" s="155"/>
      <c r="AA642" s="156"/>
      <c r="AB642" s="156"/>
      <c r="AC642" s="155"/>
      <c r="AD642" s="155"/>
      <c r="AE642" s="155"/>
      <c r="AF642" s="156"/>
      <c r="AG642" s="156"/>
      <c r="AH642" s="155"/>
      <c r="AI642" s="155"/>
      <c r="AJ642" s="155"/>
      <c r="AK642" s="156"/>
      <c r="AL642" s="156"/>
      <c r="AM642" s="155"/>
      <c r="AN642" s="155"/>
      <c r="AO642" s="155"/>
      <c r="AP642" s="156"/>
      <c r="AQ642" s="156"/>
      <c r="AR642" s="155"/>
      <c r="AS642" s="155"/>
      <c r="AT642" s="155"/>
      <c r="AU642" s="156"/>
      <c r="AV642" s="156"/>
      <c r="AW642" s="155"/>
      <c r="AX642" s="155"/>
      <c r="AY642" s="155"/>
      <c r="AZ642" s="156"/>
      <c r="BA642" s="156"/>
      <c r="BB642" s="155"/>
      <c r="BC642" s="155"/>
      <c r="BD642" s="155"/>
      <c r="BE642" s="155"/>
      <c r="BF642" s="155"/>
      <c r="BG642" s="158"/>
      <c r="BH642" s="158"/>
      <c r="BI642" s="155"/>
      <c r="BJ642" s="155"/>
      <c r="BK642" s="159"/>
      <c r="BL642" s="156"/>
      <c r="BM642" s="156"/>
      <c r="BN642" s="156"/>
      <c r="BO642" s="156"/>
      <c r="BP642" s="160"/>
      <c r="BQ642" s="160"/>
      <c r="BR642" s="160"/>
      <c r="BS642" s="160"/>
    </row>
    <row r="643" spans="1:71" x14ac:dyDescent="0.25">
      <c r="A643" s="154"/>
      <c r="B643" s="155"/>
      <c r="C643" s="155"/>
      <c r="D643" s="155"/>
      <c r="E643" s="156"/>
      <c r="F643" s="156"/>
      <c r="G643" s="155"/>
      <c r="H643" s="155"/>
      <c r="I643" s="155"/>
      <c r="J643" s="157"/>
      <c r="K643" s="157"/>
      <c r="L643" s="155"/>
      <c r="M643" s="155"/>
      <c r="N643" s="155"/>
      <c r="O643" s="156"/>
      <c r="P643" s="156"/>
      <c r="Q643" s="155"/>
      <c r="R643" s="155"/>
      <c r="S643" s="155"/>
      <c r="T643" s="156"/>
      <c r="U643" s="156"/>
      <c r="V643" s="155"/>
      <c r="W643" s="155"/>
      <c r="X643" s="155"/>
      <c r="Y643" s="155"/>
      <c r="Z643" s="155"/>
      <c r="AA643" s="156"/>
      <c r="AB643" s="156"/>
      <c r="AC643" s="155"/>
      <c r="AD643" s="155"/>
      <c r="AE643" s="155"/>
      <c r="AF643" s="156"/>
      <c r="AG643" s="156"/>
      <c r="AH643" s="155"/>
      <c r="AI643" s="155"/>
      <c r="AJ643" s="155"/>
      <c r="AK643" s="156"/>
      <c r="AL643" s="156"/>
      <c r="AM643" s="155"/>
      <c r="AN643" s="155"/>
      <c r="AO643" s="155"/>
      <c r="AP643" s="156"/>
      <c r="AQ643" s="156"/>
      <c r="AR643" s="155"/>
      <c r="AS643" s="155"/>
      <c r="AT643" s="155"/>
      <c r="AU643" s="156"/>
      <c r="AV643" s="156"/>
      <c r="AW643" s="155"/>
      <c r="AX643" s="155"/>
      <c r="AY643" s="155"/>
      <c r="AZ643" s="156"/>
      <c r="BA643" s="156"/>
      <c r="BB643" s="155"/>
      <c r="BC643" s="155"/>
      <c r="BD643" s="155"/>
      <c r="BE643" s="155"/>
      <c r="BF643" s="155"/>
      <c r="BG643" s="158"/>
      <c r="BH643" s="158"/>
      <c r="BI643" s="155"/>
      <c r="BJ643" s="155"/>
      <c r="BK643" s="159"/>
      <c r="BL643" s="156"/>
      <c r="BM643" s="156"/>
      <c r="BN643" s="156"/>
      <c r="BO643" s="156"/>
      <c r="BP643" s="160"/>
      <c r="BQ643" s="160"/>
      <c r="BR643" s="160"/>
      <c r="BS643" s="160"/>
    </row>
    <row r="644" spans="1:71" x14ac:dyDescent="0.25">
      <c r="A644" s="154"/>
      <c r="B644" s="155"/>
      <c r="C644" s="155"/>
      <c r="D644" s="155"/>
      <c r="E644" s="156"/>
      <c r="F644" s="156"/>
      <c r="G644" s="155"/>
      <c r="H644" s="155"/>
      <c r="I644" s="155"/>
      <c r="J644" s="157"/>
      <c r="K644" s="157"/>
      <c r="L644" s="155"/>
      <c r="M644" s="155"/>
      <c r="N644" s="155"/>
      <c r="O644" s="156"/>
      <c r="P644" s="156"/>
      <c r="Q644" s="155"/>
      <c r="R644" s="155"/>
      <c r="S644" s="155"/>
      <c r="T644" s="156"/>
      <c r="U644" s="156"/>
      <c r="V644" s="155"/>
      <c r="W644" s="155"/>
      <c r="X644" s="155"/>
      <c r="Y644" s="155"/>
      <c r="Z644" s="155"/>
      <c r="AA644" s="156"/>
      <c r="AB644" s="156"/>
      <c r="AC644" s="155"/>
      <c r="AD644" s="155"/>
      <c r="AE644" s="155"/>
      <c r="AF644" s="156"/>
      <c r="AG644" s="156"/>
      <c r="AH644" s="155"/>
      <c r="AI644" s="155"/>
      <c r="AJ644" s="155"/>
      <c r="AK644" s="156"/>
      <c r="AL644" s="156"/>
      <c r="AM644" s="155"/>
      <c r="AN644" s="155"/>
      <c r="AO644" s="155"/>
      <c r="AP644" s="156"/>
      <c r="AQ644" s="156"/>
      <c r="AR644" s="155"/>
      <c r="AS644" s="155"/>
      <c r="AT644" s="155"/>
      <c r="AU644" s="156"/>
      <c r="AV644" s="156"/>
      <c r="AW644" s="155"/>
      <c r="AX644" s="155"/>
      <c r="AY644" s="155"/>
      <c r="AZ644" s="156"/>
      <c r="BA644" s="156"/>
      <c r="BB644" s="155"/>
      <c r="BC644" s="155"/>
      <c r="BD644" s="155"/>
      <c r="BE644" s="155"/>
      <c r="BF644" s="155"/>
      <c r="BG644" s="158"/>
      <c r="BH644" s="158"/>
      <c r="BI644" s="155"/>
      <c r="BJ644" s="155"/>
      <c r="BK644" s="159"/>
      <c r="BL644" s="156"/>
      <c r="BM644" s="156"/>
      <c r="BN644" s="156"/>
      <c r="BO644" s="156"/>
      <c r="BP644" s="160"/>
      <c r="BQ644" s="160"/>
      <c r="BR644" s="160"/>
      <c r="BS644" s="160"/>
    </row>
    <row r="645" spans="1:71" x14ac:dyDescent="0.25">
      <c r="A645" s="154"/>
      <c r="B645" s="155"/>
      <c r="C645" s="155"/>
      <c r="D645" s="155"/>
      <c r="E645" s="156"/>
      <c r="F645" s="156"/>
      <c r="G645" s="155"/>
      <c r="H645" s="155"/>
      <c r="I645" s="155"/>
      <c r="J645" s="157"/>
      <c r="K645" s="157"/>
      <c r="L645" s="155"/>
      <c r="M645" s="155"/>
      <c r="N645" s="155"/>
      <c r="O645" s="156"/>
      <c r="P645" s="156"/>
      <c r="Q645" s="155"/>
      <c r="R645" s="155"/>
      <c r="S645" s="155"/>
      <c r="T645" s="156"/>
      <c r="U645" s="156"/>
      <c r="V645" s="155"/>
      <c r="W645" s="155"/>
      <c r="X645" s="155"/>
      <c r="Y645" s="155"/>
      <c r="Z645" s="155"/>
      <c r="AA645" s="156"/>
      <c r="AB645" s="156"/>
      <c r="AC645" s="155"/>
      <c r="AD645" s="155"/>
      <c r="AE645" s="155"/>
      <c r="AF645" s="156"/>
      <c r="AG645" s="156"/>
      <c r="AH645" s="155"/>
      <c r="AI645" s="155"/>
      <c r="AJ645" s="155"/>
      <c r="AK645" s="156"/>
      <c r="AL645" s="156"/>
      <c r="AM645" s="155"/>
      <c r="AN645" s="155"/>
      <c r="AO645" s="155"/>
      <c r="AP645" s="156"/>
      <c r="AQ645" s="156"/>
      <c r="AR645" s="155"/>
      <c r="AS645" s="155"/>
      <c r="AT645" s="155"/>
      <c r="AU645" s="156"/>
      <c r="AV645" s="156"/>
      <c r="AW645" s="155"/>
      <c r="AX645" s="155"/>
      <c r="AY645" s="155"/>
      <c r="AZ645" s="156"/>
      <c r="BA645" s="156"/>
      <c r="BB645" s="155"/>
      <c r="BC645" s="155"/>
      <c r="BD645" s="155"/>
      <c r="BE645" s="155"/>
      <c r="BF645" s="155"/>
      <c r="BG645" s="158"/>
      <c r="BH645" s="158"/>
      <c r="BI645" s="155"/>
      <c r="BJ645" s="155"/>
      <c r="BK645" s="159"/>
      <c r="BL645" s="156"/>
      <c r="BM645" s="156"/>
      <c r="BN645" s="156"/>
      <c r="BO645" s="156"/>
      <c r="BP645" s="160"/>
      <c r="BQ645" s="160"/>
      <c r="BR645" s="160"/>
      <c r="BS645" s="160"/>
    </row>
    <row r="646" spans="1:71" x14ac:dyDescent="0.25">
      <c r="A646" s="154"/>
      <c r="B646" s="155"/>
      <c r="C646" s="155"/>
      <c r="D646" s="155"/>
      <c r="E646" s="156"/>
      <c r="F646" s="156"/>
      <c r="G646" s="155"/>
      <c r="H646" s="155"/>
      <c r="I646" s="155"/>
      <c r="J646" s="157"/>
      <c r="K646" s="157"/>
      <c r="L646" s="155"/>
      <c r="M646" s="155"/>
      <c r="N646" s="155"/>
      <c r="O646" s="156"/>
      <c r="P646" s="156"/>
      <c r="Q646" s="155"/>
      <c r="R646" s="155"/>
      <c r="S646" s="155"/>
      <c r="T646" s="156"/>
      <c r="U646" s="156"/>
      <c r="V646" s="155"/>
      <c r="W646" s="155"/>
      <c r="X646" s="155"/>
      <c r="Y646" s="155"/>
      <c r="Z646" s="155"/>
      <c r="AA646" s="156"/>
      <c r="AB646" s="156"/>
      <c r="AC646" s="155"/>
      <c r="AD646" s="155"/>
      <c r="AE646" s="155"/>
      <c r="AF646" s="156"/>
      <c r="AG646" s="156"/>
      <c r="AH646" s="155"/>
      <c r="AI646" s="155"/>
      <c r="AJ646" s="155"/>
      <c r="AK646" s="156"/>
      <c r="AL646" s="156"/>
      <c r="AM646" s="155"/>
      <c r="AN646" s="155"/>
      <c r="AO646" s="155"/>
      <c r="AP646" s="156"/>
      <c r="AQ646" s="156"/>
      <c r="AR646" s="155"/>
      <c r="AS646" s="155"/>
      <c r="AT646" s="155"/>
      <c r="AU646" s="156"/>
      <c r="AV646" s="156"/>
      <c r="AW646" s="155"/>
      <c r="AX646" s="155"/>
      <c r="AY646" s="155"/>
      <c r="AZ646" s="156"/>
      <c r="BA646" s="156"/>
      <c r="BB646" s="155"/>
      <c r="BC646" s="155"/>
      <c r="BD646" s="155"/>
      <c r="BE646" s="155"/>
      <c r="BF646" s="155"/>
      <c r="BG646" s="158"/>
      <c r="BH646" s="158"/>
      <c r="BI646" s="155"/>
      <c r="BJ646" s="155"/>
      <c r="BK646" s="159"/>
      <c r="BL646" s="156"/>
      <c r="BM646" s="156"/>
      <c r="BN646" s="156"/>
      <c r="BO646" s="156"/>
      <c r="BP646" s="160"/>
      <c r="BQ646" s="160"/>
      <c r="BR646" s="160"/>
      <c r="BS646" s="160"/>
    </row>
    <row r="647" spans="1:71" x14ac:dyDescent="0.25">
      <c r="A647" s="154"/>
      <c r="B647" s="155"/>
      <c r="C647" s="155"/>
      <c r="D647" s="155"/>
      <c r="E647" s="156"/>
      <c r="F647" s="156"/>
      <c r="G647" s="155"/>
      <c r="H647" s="155"/>
      <c r="I647" s="155"/>
      <c r="J647" s="157"/>
      <c r="K647" s="157"/>
      <c r="L647" s="155"/>
      <c r="M647" s="155"/>
      <c r="N647" s="155"/>
      <c r="O647" s="156"/>
      <c r="P647" s="156"/>
      <c r="Q647" s="155"/>
      <c r="R647" s="155"/>
      <c r="S647" s="155"/>
      <c r="T647" s="156"/>
      <c r="U647" s="156"/>
      <c r="V647" s="155"/>
      <c r="W647" s="155"/>
      <c r="X647" s="155"/>
      <c r="Y647" s="155"/>
      <c r="Z647" s="155"/>
      <c r="AA647" s="156"/>
      <c r="AB647" s="156"/>
      <c r="AC647" s="155"/>
      <c r="AD647" s="155"/>
      <c r="AE647" s="155"/>
      <c r="AF647" s="156"/>
      <c r="AG647" s="156"/>
      <c r="AH647" s="155"/>
      <c r="AI647" s="155"/>
      <c r="AJ647" s="155"/>
      <c r="AK647" s="156"/>
      <c r="AL647" s="156"/>
      <c r="AM647" s="155"/>
      <c r="AN647" s="155"/>
      <c r="AO647" s="155"/>
      <c r="AP647" s="156"/>
      <c r="AQ647" s="156"/>
      <c r="AR647" s="155"/>
      <c r="AS647" s="155"/>
      <c r="AT647" s="155"/>
      <c r="AU647" s="156"/>
      <c r="AV647" s="156"/>
      <c r="AW647" s="155"/>
      <c r="AX647" s="155"/>
      <c r="AY647" s="155"/>
      <c r="AZ647" s="156"/>
      <c r="BA647" s="156"/>
      <c r="BB647" s="155"/>
      <c r="BC647" s="155"/>
      <c r="BD647" s="155"/>
      <c r="BE647" s="155"/>
      <c r="BF647" s="155"/>
      <c r="BG647" s="158"/>
      <c r="BH647" s="158"/>
      <c r="BI647" s="155"/>
      <c r="BJ647" s="155"/>
      <c r="BK647" s="159"/>
      <c r="BL647" s="156"/>
      <c r="BM647" s="156"/>
      <c r="BN647" s="156"/>
      <c r="BO647" s="156"/>
      <c r="BP647" s="160"/>
      <c r="BQ647" s="160"/>
      <c r="BR647" s="160"/>
      <c r="BS647" s="160"/>
    </row>
    <row r="648" spans="1:71" x14ac:dyDescent="0.25">
      <c r="A648" s="154"/>
      <c r="B648" s="155"/>
      <c r="C648" s="155"/>
      <c r="D648" s="155"/>
      <c r="E648" s="156"/>
      <c r="F648" s="156"/>
      <c r="G648" s="155"/>
      <c r="H648" s="155"/>
      <c r="I648" s="155"/>
      <c r="J648" s="157"/>
      <c r="K648" s="157"/>
      <c r="L648" s="155"/>
      <c r="M648" s="155"/>
      <c r="N648" s="155"/>
      <c r="O648" s="156"/>
      <c r="P648" s="156"/>
      <c r="Q648" s="155"/>
      <c r="R648" s="155"/>
      <c r="S648" s="155"/>
      <c r="T648" s="156"/>
      <c r="U648" s="156"/>
      <c r="V648" s="155"/>
      <c r="W648" s="155"/>
      <c r="X648" s="155"/>
      <c r="Y648" s="155"/>
      <c r="Z648" s="155"/>
      <c r="AA648" s="156"/>
      <c r="AB648" s="156"/>
      <c r="AC648" s="155"/>
      <c r="AD648" s="155"/>
      <c r="AE648" s="155"/>
      <c r="AF648" s="156"/>
      <c r="AG648" s="156"/>
      <c r="AH648" s="155"/>
      <c r="AI648" s="155"/>
      <c r="AJ648" s="155"/>
      <c r="AK648" s="156"/>
      <c r="AL648" s="156"/>
      <c r="AM648" s="155"/>
      <c r="AN648" s="155"/>
      <c r="AO648" s="155"/>
      <c r="AP648" s="156"/>
      <c r="AQ648" s="156"/>
      <c r="AR648" s="155"/>
      <c r="AS648" s="155"/>
      <c r="AT648" s="155"/>
      <c r="AU648" s="156"/>
      <c r="AV648" s="156"/>
      <c r="AW648" s="155"/>
      <c r="AX648" s="155"/>
      <c r="AY648" s="155"/>
      <c r="AZ648" s="156"/>
      <c r="BA648" s="156"/>
      <c r="BB648" s="155"/>
      <c r="BC648" s="155"/>
      <c r="BD648" s="155"/>
      <c r="BE648" s="155"/>
      <c r="BF648" s="155"/>
      <c r="BG648" s="158"/>
      <c r="BH648" s="158"/>
      <c r="BI648" s="155"/>
      <c r="BJ648" s="155"/>
      <c r="BK648" s="159"/>
      <c r="BL648" s="156"/>
      <c r="BM648" s="156"/>
      <c r="BN648" s="156"/>
      <c r="BO648" s="156"/>
      <c r="BP648" s="160"/>
      <c r="BQ648" s="160"/>
      <c r="BR648" s="160"/>
      <c r="BS648" s="160"/>
    </row>
    <row r="649" spans="1:71" x14ac:dyDescent="0.25">
      <c r="A649" s="154"/>
      <c r="B649" s="155"/>
      <c r="C649" s="155"/>
      <c r="D649" s="155"/>
      <c r="E649" s="156"/>
      <c r="F649" s="156"/>
      <c r="G649" s="155"/>
      <c r="H649" s="155"/>
      <c r="I649" s="155"/>
      <c r="J649" s="157"/>
      <c r="K649" s="157"/>
      <c r="L649" s="155"/>
      <c r="M649" s="155"/>
      <c r="N649" s="155"/>
      <c r="O649" s="156"/>
      <c r="P649" s="156"/>
      <c r="Q649" s="155"/>
      <c r="R649" s="155"/>
      <c r="S649" s="155"/>
      <c r="T649" s="156"/>
      <c r="U649" s="156"/>
      <c r="V649" s="155"/>
      <c r="W649" s="155"/>
      <c r="X649" s="155"/>
      <c r="Y649" s="155"/>
      <c r="Z649" s="155"/>
      <c r="AA649" s="156"/>
      <c r="AB649" s="156"/>
      <c r="AC649" s="155"/>
      <c r="AD649" s="155"/>
      <c r="AE649" s="155"/>
      <c r="AF649" s="156"/>
      <c r="AG649" s="156"/>
      <c r="AH649" s="155"/>
      <c r="AI649" s="155"/>
      <c r="AJ649" s="155"/>
      <c r="AK649" s="156"/>
      <c r="AL649" s="156"/>
      <c r="AM649" s="155"/>
      <c r="AN649" s="155"/>
      <c r="AO649" s="155"/>
      <c r="AP649" s="156"/>
      <c r="AQ649" s="156"/>
      <c r="AR649" s="155"/>
      <c r="AS649" s="155"/>
      <c r="AT649" s="155"/>
      <c r="AU649" s="156"/>
      <c r="AV649" s="156"/>
      <c r="AW649" s="155"/>
      <c r="AX649" s="155"/>
      <c r="AY649" s="155"/>
      <c r="AZ649" s="156"/>
      <c r="BA649" s="156"/>
      <c r="BB649" s="155"/>
      <c r="BC649" s="155"/>
      <c r="BD649" s="155"/>
      <c r="BE649" s="155"/>
      <c r="BF649" s="155"/>
      <c r="BG649" s="158"/>
      <c r="BH649" s="158"/>
      <c r="BI649" s="155"/>
      <c r="BJ649" s="155"/>
      <c r="BK649" s="159"/>
      <c r="BL649" s="156"/>
      <c r="BM649" s="156"/>
      <c r="BN649" s="156"/>
      <c r="BO649" s="156"/>
      <c r="BP649" s="160"/>
      <c r="BQ649" s="160"/>
      <c r="BR649" s="160"/>
      <c r="BS649" s="160"/>
    </row>
    <row r="650" spans="1:71" x14ac:dyDescent="0.25">
      <c r="A650" s="154"/>
      <c r="B650" s="155"/>
      <c r="C650" s="155"/>
      <c r="D650" s="155"/>
      <c r="E650" s="156"/>
      <c r="F650" s="156"/>
      <c r="G650" s="155"/>
      <c r="H650" s="155"/>
      <c r="I650" s="155"/>
      <c r="J650" s="157"/>
      <c r="K650" s="157"/>
      <c r="L650" s="155"/>
      <c r="M650" s="155"/>
      <c r="N650" s="155"/>
      <c r="O650" s="156"/>
      <c r="P650" s="156"/>
      <c r="Q650" s="155"/>
      <c r="R650" s="155"/>
      <c r="S650" s="155"/>
      <c r="T650" s="156"/>
      <c r="U650" s="156"/>
      <c r="V650" s="155"/>
      <c r="W650" s="155"/>
      <c r="X650" s="155"/>
      <c r="Y650" s="155"/>
      <c r="Z650" s="155"/>
      <c r="AA650" s="156"/>
      <c r="AB650" s="156"/>
      <c r="AC650" s="155"/>
      <c r="AD650" s="155"/>
      <c r="AE650" s="155"/>
      <c r="AF650" s="156"/>
      <c r="AG650" s="156"/>
      <c r="AH650" s="155"/>
      <c r="AI650" s="155"/>
      <c r="AJ650" s="155"/>
      <c r="AK650" s="156"/>
      <c r="AL650" s="156"/>
      <c r="AM650" s="155"/>
      <c r="AN650" s="155"/>
      <c r="AO650" s="155"/>
      <c r="AP650" s="156"/>
      <c r="AQ650" s="156"/>
      <c r="AR650" s="155"/>
      <c r="AS650" s="155"/>
      <c r="AT650" s="155"/>
      <c r="AU650" s="156"/>
      <c r="AV650" s="156"/>
      <c r="AW650" s="155"/>
      <c r="AX650" s="155"/>
      <c r="AY650" s="155"/>
      <c r="AZ650" s="156"/>
      <c r="BA650" s="156"/>
      <c r="BB650" s="155"/>
      <c r="BC650" s="155"/>
      <c r="BD650" s="155"/>
      <c r="BE650" s="155"/>
      <c r="BF650" s="155"/>
      <c r="BG650" s="158"/>
      <c r="BH650" s="158"/>
      <c r="BI650" s="155"/>
      <c r="BJ650" s="155"/>
      <c r="BK650" s="159"/>
      <c r="BL650" s="156"/>
      <c r="BM650" s="156"/>
      <c r="BN650" s="156"/>
      <c r="BO650" s="156"/>
      <c r="BP650" s="160"/>
      <c r="BQ650" s="160"/>
      <c r="BR650" s="160"/>
      <c r="BS650" s="160"/>
    </row>
    <row r="651" spans="1:71" x14ac:dyDescent="0.25">
      <c r="A651" s="154"/>
      <c r="B651" s="155"/>
      <c r="C651" s="155"/>
      <c r="D651" s="155"/>
      <c r="E651" s="156"/>
      <c r="F651" s="156"/>
      <c r="G651" s="155"/>
      <c r="H651" s="155"/>
      <c r="I651" s="155"/>
      <c r="J651" s="157"/>
      <c r="K651" s="157"/>
      <c r="L651" s="155"/>
      <c r="M651" s="155"/>
      <c r="N651" s="155"/>
      <c r="O651" s="156"/>
      <c r="P651" s="156"/>
      <c r="Q651" s="155"/>
      <c r="R651" s="155"/>
      <c r="S651" s="155"/>
      <c r="T651" s="156"/>
      <c r="U651" s="156"/>
      <c r="V651" s="155"/>
      <c r="W651" s="155"/>
      <c r="X651" s="155"/>
      <c r="Y651" s="155"/>
      <c r="Z651" s="155"/>
      <c r="AA651" s="156"/>
      <c r="AB651" s="156"/>
      <c r="AC651" s="155"/>
      <c r="AD651" s="155"/>
      <c r="AE651" s="155"/>
      <c r="AF651" s="156"/>
      <c r="AG651" s="156"/>
      <c r="AH651" s="155"/>
      <c r="AI651" s="155"/>
      <c r="AJ651" s="155"/>
      <c r="AK651" s="156"/>
      <c r="AL651" s="156"/>
      <c r="AM651" s="155"/>
      <c r="AN651" s="155"/>
      <c r="AO651" s="155"/>
      <c r="AP651" s="156"/>
      <c r="AQ651" s="156"/>
      <c r="AR651" s="155"/>
      <c r="AS651" s="155"/>
      <c r="AT651" s="155"/>
      <c r="AU651" s="156"/>
      <c r="AV651" s="156"/>
      <c r="AW651" s="155"/>
      <c r="AX651" s="155"/>
      <c r="AY651" s="155"/>
      <c r="AZ651" s="156"/>
      <c r="BA651" s="156"/>
      <c r="BB651" s="155"/>
      <c r="BC651" s="155"/>
      <c r="BD651" s="155"/>
      <c r="BE651" s="155"/>
      <c r="BF651" s="155"/>
      <c r="BG651" s="158"/>
      <c r="BH651" s="158"/>
      <c r="BI651" s="155"/>
      <c r="BJ651" s="155"/>
      <c r="BK651" s="159"/>
      <c r="BL651" s="156"/>
      <c r="BM651" s="156"/>
      <c r="BN651" s="156"/>
      <c r="BO651" s="156"/>
      <c r="BP651" s="160"/>
      <c r="BQ651" s="160"/>
      <c r="BR651" s="160"/>
      <c r="BS651" s="160"/>
    </row>
    <row r="652" spans="1:71" x14ac:dyDescent="0.25">
      <c r="A652" s="154"/>
      <c r="B652" s="155"/>
      <c r="C652" s="155"/>
      <c r="D652" s="155"/>
      <c r="E652" s="156"/>
      <c r="F652" s="156"/>
      <c r="G652" s="155"/>
      <c r="H652" s="155"/>
      <c r="I652" s="155"/>
      <c r="J652" s="157"/>
      <c r="K652" s="157"/>
      <c r="L652" s="155"/>
      <c r="M652" s="155"/>
      <c r="N652" s="155"/>
      <c r="O652" s="156"/>
      <c r="P652" s="156"/>
      <c r="Q652" s="155"/>
      <c r="R652" s="155"/>
      <c r="S652" s="155"/>
      <c r="T652" s="156"/>
      <c r="U652" s="156"/>
      <c r="V652" s="155"/>
      <c r="W652" s="155"/>
      <c r="X652" s="155"/>
      <c r="Y652" s="155"/>
      <c r="Z652" s="155"/>
      <c r="AA652" s="156"/>
      <c r="AB652" s="156"/>
      <c r="AC652" s="155"/>
      <c r="AD652" s="155"/>
      <c r="AE652" s="155"/>
      <c r="AF652" s="156"/>
      <c r="AG652" s="156"/>
      <c r="AH652" s="155"/>
      <c r="AI652" s="155"/>
      <c r="AJ652" s="155"/>
      <c r="AK652" s="156"/>
      <c r="AL652" s="156"/>
      <c r="AM652" s="155"/>
      <c r="AN652" s="155"/>
      <c r="AO652" s="155"/>
      <c r="AP652" s="156"/>
      <c r="AQ652" s="156"/>
      <c r="AR652" s="155"/>
      <c r="AS652" s="155"/>
      <c r="AT652" s="155"/>
      <c r="AU652" s="156"/>
      <c r="AV652" s="156"/>
      <c r="AW652" s="155"/>
      <c r="AX652" s="155"/>
      <c r="AY652" s="155"/>
      <c r="AZ652" s="156"/>
      <c r="BA652" s="156"/>
      <c r="BB652" s="155"/>
      <c r="BC652" s="155"/>
      <c r="BD652" s="155"/>
      <c r="BE652" s="155"/>
      <c r="BF652" s="155"/>
      <c r="BG652" s="158"/>
      <c r="BH652" s="158"/>
      <c r="BI652" s="155"/>
      <c r="BJ652" s="155"/>
      <c r="BK652" s="159"/>
      <c r="BL652" s="156"/>
      <c r="BM652" s="156"/>
      <c r="BN652" s="156"/>
      <c r="BO652" s="156"/>
      <c r="BP652" s="160"/>
      <c r="BQ652" s="160"/>
      <c r="BR652" s="160"/>
      <c r="BS652" s="160"/>
    </row>
    <row r="653" spans="1:71" x14ac:dyDescent="0.25">
      <c r="A653" s="154"/>
      <c r="B653" s="155"/>
      <c r="C653" s="155"/>
      <c r="D653" s="155"/>
      <c r="E653" s="156"/>
      <c r="F653" s="156"/>
      <c r="G653" s="155"/>
      <c r="H653" s="155"/>
      <c r="I653" s="155"/>
      <c r="J653" s="157"/>
      <c r="K653" s="157"/>
      <c r="L653" s="155"/>
      <c r="M653" s="155"/>
      <c r="N653" s="155"/>
      <c r="O653" s="156"/>
      <c r="P653" s="156"/>
      <c r="Q653" s="155"/>
      <c r="R653" s="155"/>
      <c r="S653" s="155"/>
      <c r="T653" s="156"/>
      <c r="U653" s="156"/>
      <c r="V653" s="155"/>
      <c r="W653" s="155"/>
      <c r="X653" s="155"/>
      <c r="Y653" s="155"/>
      <c r="Z653" s="155"/>
      <c r="AA653" s="156"/>
      <c r="AB653" s="156"/>
      <c r="AC653" s="155"/>
      <c r="AD653" s="155"/>
      <c r="AE653" s="155"/>
      <c r="AF653" s="156"/>
      <c r="AG653" s="156"/>
      <c r="AH653" s="155"/>
      <c r="AI653" s="155"/>
      <c r="AJ653" s="155"/>
      <c r="AK653" s="156"/>
      <c r="AL653" s="156"/>
      <c r="AM653" s="155"/>
      <c r="AN653" s="155"/>
      <c r="AO653" s="155"/>
      <c r="AP653" s="156"/>
      <c r="AQ653" s="156"/>
      <c r="AR653" s="155"/>
      <c r="AS653" s="155"/>
      <c r="AT653" s="155"/>
      <c r="AU653" s="156"/>
      <c r="AV653" s="156"/>
      <c r="AW653" s="155"/>
      <c r="AX653" s="155"/>
      <c r="AY653" s="155"/>
      <c r="AZ653" s="156"/>
      <c r="BA653" s="156"/>
      <c r="BB653" s="155"/>
      <c r="BC653" s="155"/>
      <c r="BD653" s="155"/>
      <c r="BE653" s="155"/>
      <c r="BF653" s="155"/>
      <c r="BG653" s="158"/>
      <c r="BH653" s="158"/>
      <c r="BI653" s="155"/>
      <c r="BJ653" s="155"/>
      <c r="BK653" s="159"/>
      <c r="BL653" s="156"/>
      <c r="BM653" s="156"/>
      <c r="BN653" s="156"/>
      <c r="BO653" s="156"/>
      <c r="BP653" s="160"/>
      <c r="BQ653" s="160"/>
      <c r="BR653" s="160"/>
      <c r="BS653" s="160"/>
    </row>
    <row r="654" spans="1:71" x14ac:dyDescent="0.25">
      <c r="A654" s="154"/>
      <c r="B654" s="155"/>
      <c r="C654" s="155"/>
      <c r="D654" s="155"/>
      <c r="E654" s="156"/>
      <c r="F654" s="156"/>
      <c r="G654" s="155"/>
      <c r="H654" s="155"/>
      <c r="I654" s="155"/>
      <c r="J654" s="157"/>
      <c r="K654" s="157"/>
      <c r="L654" s="155"/>
      <c r="M654" s="155"/>
      <c r="N654" s="155"/>
      <c r="O654" s="156"/>
      <c r="P654" s="156"/>
      <c r="Q654" s="155"/>
      <c r="R654" s="155"/>
      <c r="S654" s="155"/>
      <c r="T654" s="156"/>
      <c r="U654" s="156"/>
      <c r="V654" s="155"/>
      <c r="W654" s="155"/>
      <c r="X654" s="155"/>
      <c r="Y654" s="155"/>
      <c r="Z654" s="155"/>
      <c r="AA654" s="156"/>
      <c r="AB654" s="156"/>
      <c r="AC654" s="155"/>
      <c r="AD654" s="155"/>
      <c r="AE654" s="155"/>
      <c r="AF654" s="156"/>
      <c r="AG654" s="156"/>
      <c r="AH654" s="155"/>
      <c r="AI654" s="155"/>
      <c r="AJ654" s="155"/>
      <c r="AK654" s="156"/>
      <c r="AL654" s="156"/>
      <c r="AM654" s="155"/>
      <c r="AN654" s="155"/>
      <c r="AO654" s="155"/>
      <c r="AP654" s="156"/>
      <c r="AQ654" s="156"/>
      <c r="AR654" s="155"/>
      <c r="AS654" s="155"/>
      <c r="AT654" s="155"/>
      <c r="AU654" s="156"/>
      <c r="AV654" s="156"/>
      <c r="AW654" s="155"/>
      <c r="AX654" s="155"/>
      <c r="AY654" s="155"/>
      <c r="AZ654" s="156"/>
      <c r="BA654" s="156"/>
      <c r="BB654" s="155"/>
      <c r="BC654" s="155"/>
      <c r="BD654" s="155"/>
      <c r="BE654" s="155"/>
      <c r="BF654" s="155"/>
      <c r="BG654" s="158"/>
      <c r="BH654" s="158"/>
      <c r="BI654" s="155"/>
      <c r="BJ654" s="155"/>
      <c r="BK654" s="159"/>
      <c r="BL654" s="156"/>
      <c r="BM654" s="156"/>
      <c r="BN654" s="156"/>
      <c r="BO654" s="156"/>
      <c r="BP654" s="160"/>
      <c r="BQ654" s="160"/>
      <c r="BR654" s="160"/>
      <c r="BS654" s="160"/>
    </row>
    <row r="655" spans="1:71" x14ac:dyDescent="0.25">
      <c r="A655" s="154"/>
      <c r="B655" s="155"/>
      <c r="C655" s="155"/>
      <c r="D655" s="155"/>
      <c r="E655" s="156"/>
      <c r="F655" s="156"/>
      <c r="G655" s="155"/>
      <c r="H655" s="155"/>
      <c r="I655" s="155"/>
      <c r="J655" s="157"/>
      <c r="K655" s="157"/>
      <c r="L655" s="155"/>
      <c r="M655" s="155"/>
      <c r="N655" s="155"/>
      <c r="O655" s="156"/>
      <c r="P655" s="156"/>
      <c r="Q655" s="155"/>
      <c r="R655" s="155"/>
      <c r="S655" s="155"/>
      <c r="T655" s="156"/>
      <c r="U655" s="156"/>
      <c r="V655" s="155"/>
      <c r="W655" s="155"/>
      <c r="X655" s="155"/>
      <c r="Y655" s="155"/>
      <c r="Z655" s="155"/>
      <c r="AA655" s="156"/>
      <c r="AB655" s="156"/>
      <c r="AC655" s="155"/>
      <c r="AD655" s="155"/>
      <c r="AE655" s="155"/>
      <c r="AF655" s="156"/>
      <c r="AG655" s="156"/>
      <c r="AH655" s="155"/>
      <c r="AI655" s="155"/>
      <c r="AJ655" s="155"/>
      <c r="AK655" s="156"/>
      <c r="AL655" s="156"/>
      <c r="AM655" s="155"/>
      <c r="AN655" s="155"/>
      <c r="AO655" s="155"/>
      <c r="AP655" s="156"/>
      <c r="AQ655" s="156"/>
      <c r="AR655" s="155"/>
      <c r="AS655" s="155"/>
      <c r="AT655" s="155"/>
      <c r="AU655" s="156"/>
      <c r="AV655" s="156"/>
      <c r="AW655" s="155"/>
      <c r="AX655" s="155"/>
      <c r="AY655" s="155"/>
      <c r="AZ655" s="156"/>
      <c r="BA655" s="156"/>
      <c r="BB655" s="155"/>
      <c r="BC655" s="155"/>
      <c r="BD655" s="155"/>
      <c r="BE655" s="155"/>
      <c r="BF655" s="155"/>
      <c r="BG655" s="158"/>
      <c r="BH655" s="158"/>
      <c r="BI655" s="155"/>
      <c r="BJ655" s="155"/>
      <c r="BK655" s="159"/>
      <c r="BL655" s="156"/>
      <c r="BM655" s="156"/>
      <c r="BN655" s="156"/>
      <c r="BO655" s="156"/>
      <c r="BP655" s="160"/>
      <c r="BQ655" s="160"/>
      <c r="BR655" s="160"/>
      <c r="BS655" s="160"/>
    </row>
    <row r="656" spans="1:71" x14ac:dyDescent="0.25">
      <c r="A656" s="154"/>
      <c r="B656" s="155"/>
      <c r="C656" s="155"/>
      <c r="D656" s="155"/>
      <c r="E656" s="156"/>
      <c r="F656" s="156"/>
      <c r="G656" s="155"/>
      <c r="H656" s="155"/>
      <c r="I656" s="155"/>
      <c r="J656" s="157"/>
      <c r="K656" s="157"/>
      <c r="L656" s="155"/>
      <c r="M656" s="155"/>
      <c r="N656" s="155"/>
      <c r="O656" s="156"/>
      <c r="P656" s="156"/>
      <c r="Q656" s="155"/>
      <c r="R656" s="155"/>
      <c r="S656" s="155"/>
      <c r="T656" s="156"/>
      <c r="U656" s="156"/>
      <c r="V656" s="155"/>
      <c r="W656" s="155"/>
      <c r="X656" s="155"/>
      <c r="Y656" s="155"/>
      <c r="Z656" s="155"/>
      <c r="AA656" s="156"/>
      <c r="AB656" s="156"/>
      <c r="AC656" s="155"/>
      <c r="AD656" s="155"/>
      <c r="AE656" s="155"/>
      <c r="AF656" s="156"/>
      <c r="AG656" s="156"/>
      <c r="AH656" s="155"/>
      <c r="AI656" s="155"/>
      <c r="AJ656" s="155"/>
      <c r="AK656" s="156"/>
      <c r="AL656" s="156"/>
      <c r="AM656" s="155"/>
      <c r="AN656" s="155"/>
      <c r="AO656" s="155"/>
      <c r="AP656" s="156"/>
      <c r="AQ656" s="156"/>
      <c r="AR656" s="155"/>
      <c r="AS656" s="155"/>
      <c r="AT656" s="155"/>
      <c r="AU656" s="156"/>
      <c r="AV656" s="156"/>
      <c r="AW656" s="155"/>
      <c r="AX656" s="155"/>
      <c r="AY656" s="155"/>
      <c r="AZ656" s="156"/>
      <c r="BA656" s="156"/>
      <c r="BB656" s="155"/>
      <c r="BC656" s="155"/>
      <c r="BD656" s="155"/>
      <c r="BE656" s="155"/>
      <c r="BF656" s="155"/>
      <c r="BG656" s="158"/>
      <c r="BH656" s="158"/>
      <c r="BI656" s="155"/>
      <c r="BJ656" s="155"/>
      <c r="BK656" s="159"/>
      <c r="BL656" s="156"/>
      <c r="BM656" s="156"/>
      <c r="BN656" s="156"/>
      <c r="BO656" s="156"/>
      <c r="BP656" s="160"/>
      <c r="BQ656" s="160"/>
      <c r="BR656" s="160"/>
      <c r="BS656" s="160"/>
    </row>
    <row r="657" spans="1:71" x14ac:dyDescent="0.25">
      <c r="A657" s="154"/>
      <c r="B657" s="155"/>
      <c r="C657" s="155"/>
      <c r="D657" s="155"/>
      <c r="E657" s="156"/>
      <c r="F657" s="156"/>
      <c r="G657" s="155"/>
      <c r="H657" s="155"/>
      <c r="I657" s="155"/>
      <c r="J657" s="157"/>
      <c r="K657" s="157"/>
      <c r="L657" s="155"/>
      <c r="M657" s="155"/>
      <c r="N657" s="155"/>
      <c r="O657" s="156"/>
      <c r="P657" s="156"/>
      <c r="Q657" s="155"/>
      <c r="R657" s="155"/>
      <c r="S657" s="155"/>
      <c r="T657" s="156"/>
      <c r="U657" s="156"/>
      <c r="V657" s="155"/>
      <c r="W657" s="155"/>
      <c r="X657" s="155"/>
      <c r="Y657" s="155"/>
      <c r="Z657" s="155"/>
      <c r="AA657" s="156"/>
      <c r="AB657" s="156"/>
      <c r="AC657" s="155"/>
      <c r="AD657" s="155"/>
      <c r="AE657" s="155"/>
      <c r="AF657" s="156"/>
      <c r="AG657" s="156"/>
      <c r="AH657" s="155"/>
      <c r="AI657" s="155"/>
      <c r="AJ657" s="155"/>
      <c r="AK657" s="156"/>
      <c r="AL657" s="156"/>
      <c r="AM657" s="155"/>
      <c r="AN657" s="155"/>
      <c r="AO657" s="155"/>
      <c r="AP657" s="156"/>
      <c r="AQ657" s="156"/>
      <c r="AR657" s="155"/>
      <c r="AS657" s="155"/>
      <c r="AT657" s="155"/>
      <c r="AU657" s="156"/>
      <c r="AV657" s="156"/>
      <c r="AW657" s="155"/>
      <c r="AX657" s="155"/>
      <c r="AY657" s="155"/>
      <c r="AZ657" s="156"/>
      <c r="BA657" s="156"/>
      <c r="BB657" s="155"/>
      <c r="BC657" s="155"/>
      <c r="BD657" s="155"/>
      <c r="BE657" s="155"/>
      <c r="BF657" s="155"/>
      <c r="BG657" s="158"/>
      <c r="BH657" s="158"/>
      <c r="BI657" s="155"/>
      <c r="BJ657" s="155"/>
      <c r="BK657" s="159"/>
      <c r="BL657" s="156"/>
      <c r="BM657" s="156"/>
      <c r="BN657" s="156"/>
      <c r="BO657" s="156"/>
      <c r="BP657" s="160"/>
      <c r="BQ657" s="160"/>
      <c r="BR657" s="160"/>
      <c r="BS657" s="160"/>
    </row>
    <row r="658" spans="1:71" x14ac:dyDescent="0.25">
      <c r="A658" s="154"/>
      <c r="B658" s="155"/>
      <c r="C658" s="155"/>
      <c r="D658" s="155"/>
      <c r="E658" s="156"/>
      <c r="F658" s="156"/>
      <c r="G658" s="155"/>
      <c r="H658" s="155"/>
      <c r="I658" s="155"/>
      <c r="J658" s="157"/>
      <c r="K658" s="157"/>
      <c r="L658" s="155"/>
      <c r="M658" s="155"/>
      <c r="N658" s="155"/>
      <c r="O658" s="156"/>
      <c r="P658" s="156"/>
      <c r="Q658" s="155"/>
      <c r="R658" s="155"/>
      <c r="S658" s="155"/>
      <c r="T658" s="156"/>
      <c r="U658" s="156"/>
      <c r="V658" s="155"/>
      <c r="W658" s="155"/>
      <c r="X658" s="155"/>
      <c r="Y658" s="155"/>
      <c r="Z658" s="155"/>
      <c r="AA658" s="156"/>
      <c r="AB658" s="156"/>
      <c r="AC658" s="155"/>
      <c r="AD658" s="155"/>
      <c r="AE658" s="155"/>
      <c r="AF658" s="156"/>
      <c r="AG658" s="156"/>
      <c r="AH658" s="155"/>
      <c r="AI658" s="155"/>
      <c r="AJ658" s="155"/>
      <c r="AK658" s="156"/>
      <c r="AL658" s="156"/>
      <c r="AM658" s="155"/>
      <c r="AN658" s="155"/>
      <c r="AO658" s="155"/>
      <c r="AP658" s="156"/>
      <c r="AQ658" s="156"/>
      <c r="AR658" s="155"/>
      <c r="AS658" s="155"/>
      <c r="AT658" s="155"/>
      <c r="AU658" s="156"/>
      <c r="AV658" s="156"/>
      <c r="AW658" s="155"/>
      <c r="AX658" s="155"/>
      <c r="AY658" s="155"/>
      <c r="AZ658" s="156"/>
      <c r="BA658" s="156"/>
      <c r="BB658" s="155"/>
      <c r="BC658" s="155"/>
      <c r="BD658" s="155"/>
      <c r="BE658" s="155"/>
      <c r="BF658" s="155"/>
      <c r="BG658" s="158"/>
      <c r="BH658" s="158"/>
      <c r="BI658" s="155"/>
      <c r="BJ658" s="155"/>
      <c r="BK658" s="159"/>
      <c r="BL658" s="156"/>
      <c r="BM658" s="156"/>
      <c r="BN658" s="156"/>
      <c r="BO658" s="156"/>
      <c r="BP658" s="160"/>
      <c r="BQ658" s="160"/>
      <c r="BR658" s="160"/>
      <c r="BS658" s="160"/>
    </row>
    <row r="659" spans="1:71" x14ac:dyDescent="0.25">
      <c r="A659" s="154"/>
      <c r="B659" s="155"/>
      <c r="C659" s="155"/>
      <c r="D659" s="155"/>
      <c r="E659" s="156"/>
      <c r="F659" s="156"/>
      <c r="G659" s="155"/>
      <c r="H659" s="155"/>
      <c r="I659" s="155"/>
      <c r="J659" s="157"/>
      <c r="K659" s="157"/>
      <c r="L659" s="155"/>
      <c r="M659" s="155"/>
      <c r="N659" s="155"/>
      <c r="O659" s="156"/>
      <c r="P659" s="156"/>
      <c r="Q659" s="155"/>
      <c r="R659" s="155"/>
      <c r="S659" s="155"/>
      <c r="T659" s="156"/>
      <c r="U659" s="156"/>
      <c r="V659" s="155"/>
      <c r="W659" s="155"/>
      <c r="X659" s="155"/>
      <c r="Y659" s="155"/>
      <c r="Z659" s="155"/>
      <c r="AA659" s="156"/>
      <c r="AB659" s="156"/>
      <c r="AC659" s="155"/>
      <c r="AD659" s="155"/>
      <c r="AE659" s="155"/>
      <c r="AF659" s="156"/>
      <c r="AG659" s="156"/>
      <c r="AH659" s="155"/>
      <c r="AI659" s="155"/>
      <c r="AJ659" s="155"/>
      <c r="AK659" s="156"/>
      <c r="AL659" s="156"/>
      <c r="AM659" s="155"/>
      <c r="AN659" s="155"/>
      <c r="AO659" s="155"/>
      <c r="AP659" s="156"/>
      <c r="AQ659" s="156"/>
      <c r="AR659" s="155"/>
      <c r="AS659" s="155"/>
      <c r="AT659" s="155"/>
      <c r="AU659" s="156"/>
      <c r="AV659" s="156"/>
      <c r="AW659" s="155"/>
      <c r="AX659" s="155"/>
      <c r="AY659" s="155"/>
      <c r="AZ659" s="156"/>
      <c r="BA659" s="156"/>
      <c r="BB659" s="155"/>
      <c r="BC659" s="155"/>
      <c r="BD659" s="155"/>
      <c r="BE659" s="155"/>
      <c r="BF659" s="155"/>
      <c r="BG659" s="158"/>
      <c r="BH659" s="158"/>
      <c r="BI659" s="155"/>
      <c r="BJ659" s="155"/>
      <c r="BK659" s="159"/>
      <c r="BL659" s="156"/>
      <c r="BM659" s="156"/>
      <c r="BN659" s="156"/>
      <c r="BO659" s="156"/>
      <c r="BP659" s="160"/>
      <c r="BQ659" s="160"/>
      <c r="BR659" s="160"/>
      <c r="BS659" s="160"/>
    </row>
    <row r="660" spans="1:71" x14ac:dyDescent="0.25">
      <c r="A660" s="154"/>
      <c r="B660" s="155"/>
      <c r="C660" s="155"/>
      <c r="D660" s="155"/>
      <c r="E660" s="156"/>
      <c r="F660" s="156"/>
      <c r="G660" s="155"/>
      <c r="H660" s="155"/>
      <c r="I660" s="155"/>
      <c r="J660" s="157"/>
      <c r="K660" s="157"/>
      <c r="L660" s="155"/>
      <c r="M660" s="155"/>
      <c r="N660" s="155"/>
      <c r="O660" s="156"/>
      <c r="P660" s="156"/>
      <c r="Q660" s="155"/>
      <c r="R660" s="155"/>
      <c r="S660" s="155"/>
      <c r="T660" s="156"/>
      <c r="U660" s="156"/>
      <c r="V660" s="155"/>
      <c r="W660" s="155"/>
      <c r="X660" s="155"/>
      <c r="Y660" s="155"/>
      <c r="Z660" s="155"/>
      <c r="AA660" s="156"/>
      <c r="AB660" s="156"/>
      <c r="AC660" s="155"/>
      <c r="AD660" s="155"/>
      <c r="AE660" s="155"/>
      <c r="AF660" s="156"/>
      <c r="AG660" s="156"/>
      <c r="AH660" s="155"/>
      <c r="AI660" s="155"/>
      <c r="AJ660" s="155"/>
      <c r="AK660" s="156"/>
      <c r="AL660" s="156"/>
      <c r="AM660" s="155"/>
      <c r="AN660" s="155"/>
      <c r="AO660" s="155"/>
      <c r="AP660" s="156"/>
      <c r="AQ660" s="156"/>
      <c r="AR660" s="155"/>
      <c r="AS660" s="155"/>
      <c r="AT660" s="155"/>
      <c r="AU660" s="156"/>
      <c r="AV660" s="156"/>
      <c r="AW660" s="155"/>
      <c r="AX660" s="155"/>
      <c r="AY660" s="155"/>
      <c r="AZ660" s="156"/>
      <c r="BA660" s="156"/>
      <c r="BB660" s="155"/>
      <c r="BC660" s="155"/>
      <c r="BD660" s="155"/>
      <c r="BE660" s="155"/>
      <c r="BF660" s="155"/>
      <c r="BG660" s="158"/>
      <c r="BH660" s="158"/>
      <c r="BI660" s="155"/>
      <c r="BJ660" s="155"/>
      <c r="BK660" s="159"/>
      <c r="BL660" s="156"/>
      <c r="BM660" s="156"/>
      <c r="BN660" s="156"/>
      <c r="BO660" s="156"/>
      <c r="BP660" s="160"/>
      <c r="BQ660" s="160"/>
      <c r="BR660" s="160"/>
      <c r="BS660" s="160"/>
    </row>
    <row r="661" spans="1:71" x14ac:dyDescent="0.25">
      <c r="A661" s="154"/>
      <c r="B661" s="155"/>
      <c r="C661" s="155"/>
      <c r="D661" s="155"/>
      <c r="E661" s="156"/>
      <c r="F661" s="156"/>
      <c r="G661" s="155"/>
      <c r="H661" s="155"/>
      <c r="I661" s="155"/>
      <c r="J661" s="157"/>
      <c r="K661" s="157"/>
      <c r="L661" s="155"/>
      <c r="M661" s="155"/>
      <c r="N661" s="155"/>
      <c r="O661" s="156"/>
      <c r="P661" s="156"/>
      <c r="Q661" s="155"/>
      <c r="R661" s="155"/>
      <c r="S661" s="155"/>
      <c r="T661" s="156"/>
      <c r="U661" s="156"/>
      <c r="V661" s="155"/>
      <c r="W661" s="155"/>
      <c r="X661" s="155"/>
      <c r="Y661" s="155"/>
      <c r="Z661" s="155"/>
      <c r="AA661" s="156"/>
      <c r="AB661" s="156"/>
      <c r="AC661" s="155"/>
      <c r="AD661" s="155"/>
      <c r="AE661" s="155"/>
      <c r="AF661" s="156"/>
      <c r="AG661" s="156"/>
      <c r="AH661" s="155"/>
      <c r="AI661" s="155"/>
      <c r="AJ661" s="155"/>
      <c r="AK661" s="156"/>
      <c r="AL661" s="156"/>
      <c r="AM661" s="155"/>
      <c r="AN661" s="155"/>
      <c r="AO661" s="155"/>
      <c r="AP661" s="156"/>
      <c r="AQ661" s="156"/>
      <c r="AR661" s="155"/>
      <c r="AS661" s="155"/>
      <c r="AT661" s="155"/>
      <c r="AU661" s="156"/>
      <c r="AV661" s="156"/>
      <c r="AW661" s="155"/>
      <c r="AX661" s="155"/>
      <c r="AY661" s="155"/>
      <c r="AZ661" s="156"/>
      <c r="BA661" s="156"/>
      <c r="BB661" s="155"/>
      <c r="BC661" s="155"/>
      <c r="BD661" s="155"/>
      <c r="BE661" s="155"/>
      <c r="BF661" s="155"/>
      <c r="BG661" s="158"/>
      <c r="BH661" s="158"/>
      <c r="BI661" s="155"/>
      <c r="BJ661" s="155"/>
      <c r="BK661" s="159"/>
      <c r="BL661" s="156"/>
      <c r="BM661" s="156"/>
      <c r="BN661" s="156"/>
      <c r="BO661" s="156"/>
      <c r="BP661" s="160"/>
      <c r="BQ661" s="160"/>
      <c r="BR661" s="160"/>
      <c r="BS661" s="160"/>
    </row>
    <row r="662" spans="1:71" x14ac:dyDescent="0.25">
      <c r="A662" s="154"/>
      <c r="B662" s="155"/>
      <c r="C662" s="155"/>
      <c r="D662" s="155"/>
      <c r="E662" s="156"/>
      <c r="F662" s="156"/>
      <c r="G662" s="155"/>
      <c r="H662" s="155"/>
      <c r="I662" s="155"/>
      <c r="J662" s="157"/>
      <c r="K662" s="157"/>
      <c r="L662" s="155"/>
      <c r="M662" s="155"/>
      <c r="N662" s="155"/>
      <c r="O662" s="156"/>
      <c r="P662" s="156"/>
      <c r="Q662" s="155"/>
      <c r="R662" s="155"/>
      <c r="S662" s="155"/>
      <c r="T662" s="156"/>
      <c r="U662" s="156"/>
      <c r="V662" s="155"/>
      <c r="W662" s="155"/>
      <c r="X662" s="155"/>
      <c r="Y662" s="155"/>
      <c r="Z662" s="155"/>
      <c r="AA662" s="156"/>
      <c r="AB662" s="156"/>
      <c r="AC662" s="155"/>
      <c r="AD662" s="155"/>
      <c r="AE662" s="155"/>
      <c r="AF662" s="156"/>
      <c r="AG662" s="156"/>
      <c r="AH662" s="155"/>
      <c r="AI662" s="155"/>
      <c r="AJ662" s="155"/>
      <c r="AK662" s="156"/>
      <c r="AL662" s="156"/>
      <c r="AM662" s="155"/>
      <c r="AN662" s="155"/>
      <c r="AO662" s="155"/>
      <c r="AP662" s="156"/>
      <c r="AQ662" s="156"/>
      <c r="AR662" s="155"/>
      <c r="AS662" s="155"/>
      <c r="AT662" s="155"/>
      <c r="AU662" s="156"/>
      <c r="AV662" s="156"/>
      <c r="AW662" s="155"/>
      <c r="AX662" s="155"/>
      <c r="AY662" s="155"/>
      <c r="AZ662" s="156"/>
      <c r="BA662" s="156"/>
      <c r="BB662" s="155"/>
      <c r="BC662" s="155"/>
      <c r="BD662" s="155"/>
      <c r="BE662" s="155"/>
      <c r="BF662" s="155"/>
      <c r="BG662" s="158"/>
      <c r="BH662" s="158"/>
      <c r="BI662" s="155"/>
      <c r="BJ662" s="155"/>
      <c r="BK662" s="159"/>
      <c r="BL662" s="156"/>
      <c r="BM662" s="156"/>
      <c r="BN662" s="156"/>
      <c r="BO662" s="156"/>
      <c r="BP662" s="160"/>
      <c r="BQ662" s="160"/>
      <c r="BR662" s="160"/>
      <c r="BS662" s="160"/>
    </row>
    <row r="663" spans="1:71" x14ac:dyDescent="0.25">
      <c r="A663" s="154"/>
      <c r="B663" s="155"/>
      <c r="C663" s="155"/>
      <c r="D663" s="155"/>
      <c r="E663" s="156"/>
      <c r="F663" s="156"/>
      <c r="G663" s="155"/>
      <c r="H663" s="155"/>
      <c r="I663" s="155"/>
      <c r="J663" s="157"/>
      <c r="K663" s="157"/>
      <c r="L663" s="155"/>
      <c r="M663" s="155"/>
      <c r="N663" s="155"/>
      <c r="O663" s="156"/>
      <c r="P663" s="156"/>
      <c r="Q663" s="155"/>
      <c r="R663" s="155"/>
      <c r="S663" s="155"/>
      <c r="T663" s="156"/>
      <c r="U663" s="156"/>
      <c r="V663" s="155"/>
      <c r="W663" s="155"/>
      <c r="X663" s="155"/>
      <c r="Y663" s="155"/>
      <c r="Z663" s="155"/>
      <c r="AA663" s="156"/>
      <c r="AB663" s="156"/>
      <c r="AC663" s="155"/>
      <c r="AD663" s="155"/>
      <c r="AE663" s="155"/>
      <c r="AF663" s="156"/>
      <c r="AG663" s="156"/>
      <c r="AH663" s="155"/>
      <c r="AI663" s="155"/>
      <c r="AJ663" s="155"/>
      <c r="AK663" s="156"/>
      <c r="AL663" s="156"/>
      <c r="AM663" s="155"/>
      <c r="AN663" s="155"/>
      <c r="AO663" s="155"/>
      <c r="AP663" s="156"/>
      <c r="AQ663" s="156"/>
      <c r="AR663" s="155"/>
      <c r="AS663" s="155"/>
      <c r="AT663" s="155"/>
      <c r="AU663" s="156"/>
      <c r="AV663" s="156"/>
      <c r="AW663" s="155"/>
      <c r="AX663" s="155"/>
      <c r="AY663" s="155"/>
      <c r="AZ663" s="156"/>
      <c r="BA663" s="156"/>
      <c r="BB663" s="155"/>
      <c r="BC663" s="155"/>
      <c r="BD663" s="155"/>
      <c r="BE663" s="155"/>
      <c r="BF663" s="155"/>
      <c r="BG663" s="158"/>
      <c r="BH663" s="158"/>
      <c r="BI663" s="155"/>
      <c r="BJ663" s="155"/>
      <c r="BK663" s="159"/>
      <c r="BL663" s="156"/>
      <c r="BM663" s="156"/>
      <c r="BN663" s="156"/>
      <c r="BO663" s="156"/>
      <c r="BP663" s="160"/>
      <c r="BQ663" s="160"/>
      <c r="BR663" s="160"/>
      <c r="BS663" s="160"/>
    </row>
    <row r="664" spans="1:71" x14ac:dyDescent="0.25">
      <c r="A664" s="154"/>
      <c r="B664" s="155"/>
      <c r="C664" s="155"/>
      <c r="D664" s="155"/>
      <c r="E664" s="156"/>
      <c r="F664" s="156"/>
      <c r="G664" s="155"/>
      <c r="H664" s="155"/>
      <c r="I664" s="155"/>
      <c r="J664" s="157"/>
      <c r="K664" s="157"/>
      <c r="L664" s="155"/>
      <c r="M664" s="155"/>
      <c r="N664" s="155"/>
      <c r="O664" s="156"/>
      <c r="P664" s="156"/>
      <c r="Q664" s="155"/>
      <c r="R664" s="155"/>
      <c r="S664" s="155"/>
      <c r="T664" s="156"/>
      <c r="U664" s="156"/>
      <c r="V664" s="155"/>
      <c r="W664" s="155"/>
      <c r="X664" s="155"/>
      <c r="Y664" s="155"/>
      <c r="Z664" s="155"/>
      <c r="AA664" s="156"/>
      <c r="AB664" s="156"/>
      <c r="AC664" s="155"/>
      <c r="AD664" s="155"/>
      <c r="AE664" s="155"/>
      <c r="AF664" s="156"/>
      <c r="AG664" s="156"/>
      <c r="AH664" s="155"/>
      <c r="AI664" s="155"/>
      <c r="AJ664" s="155"/>
      <c r="AK664" s="156"/>
      <c r="AL664" s="156"/>
      <c r="AM664" s="155"/>
      <c r="AN664" s="155"/>
      <c r="AO664" s="155"/>
      <c r="AP664" s="156"/>
      <c r="AQ664" s="156"/>
      <c r="AR664" s="155"/>
      <c r="AS664" s="155"/>
      <c r="AT664" s="155"/>
      <c r="AU664" s="156"/>
      <c r="AV664" s="156"/>
      <c r="AW664" s="155"/>
      <c r="AX664" s="155"/>
      <c r="AY664" s="155"/>
      <c r="AZ664" s="156"/>
      <c r="BA664" s="156"/>
      <c r="BB664" s="155"/>
      <c r="BC664" s="155"/>
      <c r="BD664" s="155"/>
      <c r="BE664" s="155"/>
      <c r="BF664" s="155"/>
      <c r="BG664" s="158"/>
      <c r="BH664" s="158"/>
      <c r="BI664" s="155"/>
      <c r="BJ664" s="155"/>
      <c r="BK664" s="159"/>
      <c r="BL664" s="156"/>
      <c r="BM664" s="156"/>
      <c r="BN664" s="156"/>
      <c r="BO664" s="156"/>
      <c r="BP664" s="160"/>
      <c r="BQ664" s="160"/>
      <c r="BR664" s="160"/>
      <c r="BS664" s="160"/>
    </row>
    <row r="665" spans="1:71" x14ac:dyDescent="0.25">
      <c r="A665" s="154"/>
      <c r="B665" s="155"/>
      <c r="C665" s="155"/>
      <c r="D665" s="155"/>
      <c r="E665" s="156"/>
      <c r="F665" s="156"/>
      <c r="G665" s="155"/>
      <c r="H665" s="155"/>
      <c r="I665" s="155"/>
      <c r="J665" s="157"/>
      <c r="K665" s="157"/>
      <c r="L665" s="155"/>
      <c r="M665" s="155"/>
      <c r="N665" s="155"/>
      <c r="O665" s="156"/>
      <c r="P665" s="156"/>
      <c r="Q665" s="155"/>
      <c r="R665" s="155"/>
      <c r="S665" s="155"/>
      <c r="T665" s="156"/>
      <c r="U665" s="156"/>
      <c r="V665" s="155"/>
      <c r="W665" s="155"/>
      <c r="X665" s="155"/>
      <c r="Y665" s="155"/>
      <c r="Z665" s="155"/>
      <c r="AA665" s="156"/>
      <c r="AB665" s="156"/>
      <c r="AC665" s="155"/>
      <c r="AD665" s="155"/>
      <c r="AE665" s="155"/>
      <c r="AF665" s="156"/>
      <c r="AG665" s="156"/>
      <c r="AH665" s="155"/>
      <c r="AI665" s="155"/>
      <c r="AJ665" s="155"/>
      <c r="AK665" s="156"/>
      <c r="AL665" s="156"/>
      <c r="AM665" s="155"/>
      <c r="AN665" s="155"/>
      <c r="AO665" s="155"/>
      <c r="AP665" s="156"/>
      <c r="AQ665" s="156"/>
      <c r="AR665" s="155"/>
      <c r="AS665" s="155"/>
      <c r="AT665" s="155"/>
      <c r="AU665" s="156"/>
      <c r="AV665" s="156"/>
      <c r="AW665" s="155"/>
      <c r="AX665" s="155"/>
      <c r="AY665" s="155"/>
      <c r="AZ665" s="156"/>
      <c r="BA665" s="156"/>
      <c r="BB665" s="155"/>
      <c r="BC665" s="155"/>
      <c r="BD665" s="155"/>
      <c r="BE665" s="155"/>
      <c r="BF665" s="155"/>
      <c r="BG665" s="158"/>
      <c r="BH665" s="158"/>
      <c r="BI665" s="155"/>
      <c r="BJ665" s="155"/>
      <c r="BK665" s="159"/>
      <c r="BL665" s="156"/>
      <c r="BM665" s="156"/>
      <c r="BN665" s="156"/>
      <c r="BO665" s="156"/>
      <c r="BP665" s="160"/>
      <c r="BQ665" s="160"/>
      <c r="BR665" s="160"/>
      <c r="BS665" s="160"/>
    </row>
    <row r="666" spans="1:71" x14ac:dyDescent="0.25">
      <c r="A666" s="154"/>
      <c r="B666" s="155"/>
      <c r="C666" s="155"/>
      <c r="D666" s="155"/>
      <c r="E666" s="156"/>
      <c r="F666" s="156"/>
      <c r="G666" s="155"/>
      <c r="H666" s="155"/>
      <c r="I666" s="155"/>
      <c r="J666" s="157"/>
      <c r="K666" s="157"/>
      <c r="L666" s="155"/>
      <c r="M666" s="155"/>
      <c r="N666" s="155"/>
      <c r="O666" s="156"/>
      <c r="P666" s="156"/>
      <c r="Q666" s="155"/>
      <c r="R666" s="155"/>
      <c r="S666" s="155"/>
      <c r="T666" s="156"/>
      <c r="U666" s="156"/>
      <c r="V666" s="155"/>
      <c r="W666" s="155"/>
      <c r="X666" s="155"/>
      <c r="Y666" s="155"/>
      <c r="Z666" s="155"/>
      <c r="AA666" s="156"/>
      <c r="AB666" s="156"/>
      <c r="AC666" s="155"/>
      <c r="AD666" s="155"/>
      <c r="AE666" s="155"/>
      <c r="AF666" s="156"/>
      <c r="AG666" s="156"/>
      <c r="AH666" s="155"/>
      <c r="AI666" s="155"/>
      <c r="AJ666" s="155"/>
      <c r="AK666" s="156"/>
      <c r="AL666" s="156"/>
      <c r="AM666" s="155"/>
      <c r="AN666" s="155"/>
      <c r="AO666" s="155"/>
      <c r="AP666" s="156"/>
      <c r="AQ666" s="156"/>
      <c r="AR666" s="155"/>
      <c r="AS666" s="155"/>
      <c r="AT666" s="155"/>
      <c r="AU666" s="156"/>
      <c r="AV666" s="156"/>
      <c r="AW666" s="155"/>
      <c r="AX666" s="155"/>
      <c r="AY666" s="155"/>
      <c r="AZ666" s="156"/>
      <c r="BA666" s="156"/>
      <c r="BB666" s="155"/>
      <c r="BC666" s="155"/>
      <c r="BD666" s="155"/>
      <c r="BE666" s="155"/>
      <c r="BF666" s="155"/>
      <c r="BG666" s="158"/>
      <c r="BH666" s="158"/>
      <c r="BI666" s="155"/>
      <c r="BJ666" s="155"/>
      <c r="BK666" s="159"/>
      <c r="BL666" s="156"/>
      <c r="BM666" s="156"/>
      <c r="BN666" s="156"/>
      <c r="BO666" s="156"/>
      <c r="BP666" s="160"/>
      <c r="BQ666" s="160"/>
      <c r="BR666" s="160"/>
      <c r="BS666" s="160"/>
    </row>
    <row r="667" spans="1:71" x14ac:dyDescent="0.25">
      <c r="A667" s="154"/>
      <c r="B667" s="155"/>
      <c r="C667" s="155"/>
      <c r="D667" s="155"/>
      <c r="E667" s="156"/>
      <c r="F667" s="156"/>
      <c r="G667" s="155"/>
      <c r="H667" s="155"/>
      <c r="I667" s="155"/>
      <c r="J667" s="157"/>
      <c r="K667" s="157"/>
      <c r="L667" s="155"/>
      <c r="M667" s="155"/>
      <c r="N667" s="155"/>
      <c r="O667" s="156"/>
      <c r="P667" s="156"/>
      <c r="Q667" s="155"/>
      <c r="R667" s="155"/>
      <c r="S667" s="155"/>
      <c r="T667" s="156"/>
      <c r="U667" s="156"/>
      <c r="V667" s="155"/>
      <c r="W667" s="155"/>
      <c r="X667" s="155"/>
      <c r="Y667" s="155"/>
      <c r="Z667" s="155"/>
      <c r="AA667" s="156"/>
      <c r="AB667" s="156"/>
      <c r="AC667" s="155"/>
      <c r="AD667" s="155"/>
      <c r="AE667" s="155"/>
      <c r="AF667" s="156"/>
      <c r="AG667" s="156"/>
      <c r="AH667" s="155"/>
      <c r="AI667" s="155"/>
      <c r="AJ667" s="155"/>
      <c r="AK667" s="156"/>
      <c r="AL667" s="156"/>
      <c r="AM667" s="155"/>
      <c r="AN667" s="155"/>
      <c r="AO667" s="155"/>
      <c r="AP667" s="156"/>
      <c r="AQ667" s="156"/>
      <c r="AR667" s="155"/>
      <c r="AS667" s="155"/>
      <c r="AT667" s="155"/>
      <c r="AU667" s="156"/>
      <c r="AV667" s="156"/>
      <c r="AW667" s="155"/>
      <c r="AX667" s="155"/>
      <c r="AY667" s="155"/>
      <c r="AZ667" s="156"/>
      <c r="BA667" s="156"/>
      <c r="BB667" s="155"/>
      <c r="BC667" s="155"/>
      <c r="BD667" s="155"/>
      <c r="BE667" s="155"/>
      <c r="BF667" s="155"/>
      <c r="BG667" s="158"/>
      <c r="BH667" s="158"/>
      <c r="BI667" s="155"/>
      <c r="BJ667" s="155"/>
      <c r="BK667" s="159"/>
      <c r="BL667" s="156"/>
      <c r="BM667" s="156"/>
      <c r="BN667" s="156"/>
      <c r="BO667" s="156"/>
      <c r="BP667" s="160"/>
      <c r="BQ667" s="160"/>
      <c r="BR667" s="160"/>
      <c r="BS667" s="160"/>
    </row>
    <row r="668" spans="1:71" x14ac:dyDescent="0.25">
      <c r="A668" s="154"/>
      <c r="B668" s="155"/>
      <c r="C668" s="155"/>
      <c r="D668" s="155"/>
      <c r="E668" s="156"/>
      <c r="F668" s="156"/>
      <c r="G668" s="155"/>
      <c r="H668" s="155"/>
      <c r="I668" s="155"/>
      <c r="J668" s="157"/>
      <c r="K668" s="157"/>
      <c r="L668" s="155"/>
      <c r="M668" s="155"/>
      <c r="N668" s="155"/>
      <c r="O668" s="156"/>
      <c r="P668" s="156"/>
      <c r="Q668" s="155"/>
      <c r="R668" s="155"/>
      <c r="S668" s="155"/>
      <c r="T668" s="156"/>
      <c r="U668" s="156"/>
      <c r="V668" s="155"/>
      <c r="W668" s="155"/>
      <c r="X668" s="155"/>
      <c r="Y668" s="155"/>
      <c r="Z668" s="155"/>
      <c r="AA668" s="156"/>
      <c r="AB668" s="156"/>
      <c r="AC668" s="155"/>
      <c r="AD668" s="155"/>
      <c r="AE668" s="155"/>
      <c r="AF668" s="156"/>
      <c r="AG668" s="156"/>
      <c r="AH668" s="155"/>
      <c r="AI668" s="155"/>
      <c r="AJ668" s="155"/>
      <c r="AK668" s="156"/>
      <c r="AL668" s="156"/>
      <c r="AM668" s="155"/>
      <c r="AN668" s="155"/>
      <c r="AO668" s="155"/>
      <c r="AP668" s="156"/>
      <c r="AQ668" s="156"/>
      <c r="AR668" s="155"/>
      <c r="AS668" s="155"/>
      <c r="AT668" s="155"/>
      <c r="AU668" s="156"/>
      <c r="AV668" s="156"/>
      <c r="AW668" s="155"/>
      <c r="AX668" s="155"/>
      <c r="AY668" s="155"/>
      <c r="AZ668" s="156"/>
      <c r="BA668" s="156"/>
      <c r="BB668" s="155"/>
      <c r="BC668" s="155"/>
      <c r="BD668" s="155"/>
      <c r="BE668" s="155"/>
      <c r="BF668" s="155"/>
      <c r="BG668" s="158"/>
      <c r="BH668" s="158"/>
      <c r="BI668" s="155"/>
      <c r="BJ668" s="155"/>
      <c r="BK668" s="159"/>
      <c r="BL668" s="156"/>
      <c r="BM668" s="156"/>
      <c r="BN668" s="156"/>
      <c r="BO668" s="156"/>
      <c r="BP668" s="160"/>
      <c r="BQ668" s="160"/>
      <c r="BR668" s="160"/>
      <c r="BS668" s="160"/>
    </row>
    <row r="669" spans="1:71" x14ac:dyDescent="0.25">
      <c r="A669" s="154"/>
      <c r="B669" s="155"/>
      <c r="C669" s="155"/>
      <c r="D669" s="155"/>
      <c r="E669" s="156"/>
      <c r="F669" s="156"/>
      <c r="G669" s="155"/>
      <c r="H669" s="155"/>
      <c r="I669" s="155"/>
      <c r="J669" s="157"/>
      <c r="K669" s="157"/>
      <c r="L669" s="155"/>
      <c r="M669" s="155"/>
      <c r="N669" s="155"/>
      <c r="O669" s="156"/>
      <c r="P669" s="156"/>
      <c r="Q669" s="155"/>
      <c r="R669" s="155"/>
      <c r="S669" s="155"/>
      <c r="T669" s="156"/>
      <c r="U669" s="156"/>
      <c r="V669" s="155"/>
      <c r="W669" s="155"/>
      <c r="X669" s="155"/>
      <c r="Y669" s="155"/>
      <c r="Z669" s="155"/>
      <c r="AA669" s="156"/>
      <c r="AB669" s="156"/>
      <c r="AC669" s="155"/>
      <c r="AD669" s="155"/>
      <c r="AE669" s="155"/>
      <c r="AF669" s="156"/>
      <c r="AG669" s="156"/>
      <c r="AH669" s="155"/>
      <c r="AI669" s="155"/>
      <c r="AJ669" s="155"/>
      <c r="AK669" s="156"/>
      <c r="AL669" s="156"/>
      <c r="AM669" s="155"/>
      <c r="AN669" s="155"/>
      <c r="AO669" s="155"/>
      <c r="AP669" s="156"/>
      <c r="AQ669" s="156"/>
      <c r="AR669" s="155"/>
      <c r="AS669" s="155"/>
      <c r="AT669" s="155"/>
      <c r="AU669" s="156"/>
      <c r="AV669" s="156"/>
      <c r="AW669" s="155"/>
      <c r="AX669" s="155"/>
      <c r="AY669" s="155"/>
      <c r="AZ669" s="156"/>
      <c r="BA669" s="156"/>
      <c r="BB669" s="155"/>
      <c r="BC669" s="155"/>
      <c r="BD669" s="155"/>
      <c r="BE669" s="155"/>
      <c r="BF669" s="155"/>
      <c r="BG669" s="158"/>
      <c r="BH669" s="158"/>
      <c r="BI669" s="155"/>
      <c r="BJ669" s="155"/>
      <c r="BK669" s="159"/>
      <c r="BL669" s="156"/>
      <c r="BM669" s="156"/>
      <c r="BN669" s="156"/>
      <c r="BO669" s="156"/>
      <c r="BP669" s="160"/>
      <c r="BQ669" s="160"/>
      <c r="BR669" s="160"/>
      <c r="BS669" s="160"/>
    </row>
    <row r="670" spans="1:71" x14ac:dyDescent="0.25">
      <c r="A670" s="154"/>
      <c r="B670" s="155"/>
      <c r="C670" s="155"/>
      <c r="D670" s="155"/>
      <c r="E670" s="156"/>
      <c r="F670" s="156"/>
      <c r="G670" s="155"/>
      <c r="H670" s="155"/>
      <c r="I670" s="155"/>
      <c r="J670" s="157"/>
      <c r="K670" s="157"/>
      <c r="L670" s="155"/>
      <c r="M670" s="155"/>
      <c r="N670" s="155"/>
      <c r="O670" s="156"/>
      <c r="P670" s="156"/>
      <c r="Q670" s="155"/>
      <c r="R670" s="155"/>
      <c r="S670" s="155"/>
      <c r="T670" s="156"/>
      <c r="U670" s="156"/>
      <c r="V670" s="155"/>
      <c r="W670" s="155"/>
      <c r="X670" s="155"/>
      <c r="Y670" s="155"/>
      <c r="Z670" s="155"/>
      <c r="AA670" s="156"/>
      <c r="AB670" s="156"/>
      <c r="AC670" s="155"/>
      <c r="AD670" s="155"/>
      <c r="AE670" s="155"/>
      <c r="AF670" s="156"/>
      <c r="AG670" s="156"/>
      <c r="AH670" s="155"/>
      <c r="AI670" s="155"/>
      <c r="AJ670" s="155"/>
      <c r="AK670" s="156"/>
      <c r="AL670" s="156"/>
      <c r="AM670" s="155"/>
      <c r="AN670" s="155"/>
      <c r="AO670" s="155"/>
      <c r="AP670" s="156"/>
      <c r="AQ670" s="156"/>
      <c r="AR670" s="155"/>
      <c r="AS670" s="155"/>
      <c r="AT670" s="155"/>
      <c r="AU670" s="156"/>
      <c r="AV670" s="156"/>
      <c r="AW670" s="155"/>
      <c r="AX670" s="155"/>
      <c r="AY670" s="155"/>
      <c r="AZ670" s="156"/>
      <c r="BA670" s="156"/>
      <c r="BB670" s="155"/>
      <c r="BC670" s="155"/>
      <c r="BD670" s="155"/>
      <c r="BE670" s="155"/>
      <c r="BF670" s="155"/>
      <c r="BG670" s="158"/>
      <c r="BH670" s="158"/>
      <c r="BI670" s="155"/>
      <c r="BJ670" s="155"/>
      <c r="BK670" s="159"/>
      <c r="BL670" s="156"/>
      <c r="BM670" s="156"/>
      <c r="BN670" s="156"/>
      <c r="BO670" s="156"/>
      <c r="BP670" s="160"/>
      <c r="BQ670" s="160"/>
      <c r="BR670" s="160"/>
      <c r="BS670" s="160"/>
    </row>
    <row r="671" spans="1:71" x14ac:dyDescent="0.25">
      <c r="A671" s="154"/>
      <c r="B671" s="155"/>
      <c r="C671" s="155"/>
      <c r="D671" s="155"/>
      <c r="E671" s="156"/>
      <c r="F671" s="156"/>
      <c r="G671" s="155"/>
      <c r="H671" s="155"/>
      <c r="I671" s="155"/>
      <c r="J671" s="157"/>
      <c r="K671" s="157"/>
      <c r="L671" s="155"/>
      <c r="M671" s="155"/>
      <c r="N671" s="155"/>
      <c r="O671" s="156"/>
      <c r="P671" s="156"/>
      <c r="Q671" s="155"/>
      <c r="R671" s="155"/>
      <c r="S671" s="155"/>
      <c r="T671" s="156"/>
      <c r="U671" s="156"/>
      <c r="V671" s="155"/>
      <c r="W671" s="155"/>
      <c r="X671" s="155"/>
      <c r="Y671" s="155"/>
      <c r="Z671" s="155"/>
      <c r="AA671" s="156"/>
      <c r="AB671" s="156"/>
      <c r="AC671" s="155"/>
      <c r="AD671" s="155"/>
      <c r="AE671" s="155"/>
      <c r="AF671" s="156"/>
      <c r="AG671" s="156"/>
      <c r="AH671" s="155"/>
      <c r="AI671" s="155"/>
      <c r="AJ671" s="155"/>
      <c r="AK671" s="156"/>
      <c r="AL671" s="156"/>
      <c r="AM671" s="155"/>
      <c r="AN671" s="155"/>
      <c r="AO671" s="155"/>
      <c r="AP671" s="156"/>
      <c r="AQ671" s="156"/>
      <c r="AR671" s="155"/>
      <c r="AS671" s="155"/>
      <c r="AT671" s="155"/>
      <c r="AU671" s="156"/>
      <c r="AV671" s="156"/>
      <c r="AW671" s="155"/>
      <c r="AX671" s="155"/>
      <c r="AY671" s="155"/>
      <c r="AZ671" s="156"/>
      <c r="BA671" s="156"/>
      <c r="BB671" s="155"/>
      <c r="BC671" s="155"/>
      <c r="BD671" s="155"/>
      <c r="BE671" s="155"/>
      <c r="BF671" s="155"/>
      <c r="BG671" s="158"/>
      <c r="BH671" s="158"/>
      <c r="BI671" s="155"/>
      <c r="BJ671" s="155"/>
      <c r="BK671" s="159"/>
      <c r="BL671" s="156"/>
      <c r="BM671" s="156"/>
      <c r="BN671" s="156"/>
      <c r="BO671" s="156"/>
      <c r="BP671" s="160"/>
      <c r="BQ671" s="160"/>
      <c r="BR671" s="160"/>
      <c r="BS671" s="160"/>
    </row>
    <row r="672" spans="1:71" x14ac:dyDescent="0.25">
      <c r="A672" s="154"/>
      <c r="B672" s="155"/>
      <c r="C672" s="155"/>
      <c r="D672" s="155"/>
      <c r="E672" s="156"/>
      <c r="F672" s="156"/>
      <c r="G672" s="155"/>
      <c r="H672" s="155"/>
      <c r="I672" s="155"/>
      <c r="J672" s="157"/>
      <c r="K672" s="157"/>
      <c r="L672" s="155"/>
      <c r="M672" s="155"/>
      <c r="N672" s="155"/>
      <c r="O672" s="156"/>
      <c r="P672" s="156"/>
      <c r="Q672" s="155"/>
      <c r="R672" s="155"/>
      <c r="S672" s="155"/>
      <c r="T672" s="156"/>
      <c r="U672" s="156"/>
      <c r="V672" s="155"/>
      <c r="W672" s="155"/>
      <c r="X672" s="155"/>
      <c r="Y672" s="155"/>
      <c r="Z672" s="155"/>
      <c r="AA672" s="156"/>
      <c r="AB672" s="156"/>
      <c r="AC672" s="155"/>
      <c r="AD672" s="155"/>
      <c r="AE672" s="155"/>
      <c r="AF672" s="156"/>
      <c r="AG672" s="156"/>
      <c r="AH672" s="155"/>
      <c r="AI672" s="155"/>
      <c r="AJ672" s="155"/>
      <c r="AK672" s="156"/>
      <c r="AL672" s="156"/>
      <c r="AM672" s="155"/>
      <c r="AN672" s="155"/>
      <c r="AO672" s="155"/>
      <c r="AP672" s="156"/>
      <c r="AQ672" s="156"/>
      <c r="AR672" s="155"/>
      <c r="AS672" s="155"/>
      <c r="AT672" s="155"/>
      <c r="AU672" s="156"/>
      <c r="AV672" s="156"/>
      <c r="AW672" s="155"/>
      <c r="AX672" s="155"/>
      <c r="AY672" s="155"/>
      <c r="AZ672" s="156"/>
      <c r="BA672" s="156"/>
      <c r="BB672" s="155"/>
      <c r="BC672" s="155"/>
      <c r="BD672" s="155"/>
      <c r="BE672" s="155"/>
      <c r="BF672" s="155"/>
      <c r="BG672" s="158"/>
      <c r="BH672" s="158"/>
      <c r="BI672" s="155"/>
      <c r="BJ672" s="155"/>
      <c r="BK672" s="159"/>
      <c r="BL672" s="156"/>
      <c r="BM672" s="156"/>
      <c r="BN672" s="156"/>
      <c r="BO672" s="156"/>
      <c r="BP672" s="160"/>
      <c r="BQ672" s="160"/>
      <c r="BR672" s="160"/>
      <c r="BS672" s="160"/>
    </row>
    <row r="673" spans="1:71" x14ac:dyDescent="0.25">
      <c r="A673" s="154"/>
      <c r="B673" s="155"/>
      <c r="C673" s="155"/>
      <c r="D673" s="155"/>
      <c r="E673" s="156"/>
      <c r="F673" s="156"/>
      <c r="G673" s="155"/>
      <c r="H673" s="155"/>
      <c r="I673" s="155"/>
      <c r="J673" s="157"/>
      <c r="K673" s="157"/>
      <c r="L673" s="155"/>
      <c r="M673" s="155"/>
      <c r="N673" s="155"/>
      <c r="O673" s="156"/>
      <c r="P673" s="156"/>
      <c r="Q673" s="155"/>
      <c r="R673" s="155"/>
      <c r="S673" s="155"/>
      <c r="T673" s="156"/>
      <c r="U673" s="156"/>
      <c r="V673" s="155"/>
      <c r="W673" s="155"/>
      <c r="X673" s="155"/>
      <c r="Y673" s="155"/>
      <c r="Z673" s="155"/>
      <c r="AA673" s="156"/>
      <c r="AB673" s="156"/>
      <c r="AC673" s="155"/>
      <c r="AD673" s="155"/>
      <c r="AE673" s="155"/>
      <c r="AF673" s="156"/>
      <c r="AG673" s="156"/>
      <c r="AH673" s="155"/>
      <c r="AI673" s="155"/>
      <c r="AJ673" s="155"/>
      <c r="AK673" s="156"/>
      <c r="AL673" s="156"/>
      <c r="AM673" s="155"/>
      <c r="AN673" s="155"/>
      <c r="AO673" s="155"/>
      <c r="AP673" s="156"/>
      <c r="AQ673" s="156"/>
      <c r="AR673" s="155"/>
      <c r="AS673" s="155"/>
      <c r="AT673" s="155"/>
      <c r="AU673" s="156"/>
      <c r="AV673" s="156"/>
      <c r="AW673" s="155"/>
      <c r="AX673" s="155"/>
      <c r="AY673" s="155"/>
      <c r="AZ673" s="156"/>
      <c r="BA673" s="156"/>
      <c r="BB673" s="155"/>
      <c r="BC673" s="155"/>
      <c r="BD673" s="155"/>
      <c r="BE673" s="155"/>
      <c r="BF673" s="155"/>
      <c r="BG673" s="158"/>
      <c r="BH673" s="158"/>
      <c r="BI673" s="155"/>
      <c r="BJ673" s="155"/>
      <c r="BK673" s="159"/>
      <c r="BL673" s="156"/>
      <c r="BM673" s="156"/>
      <c r="BN673" s="156"/>
      <c r="BO673" s="156"/>
      <c r="BP673" s="160"/>
      <c r="BQ673" s="160"/>
      <c r="BR673" s="160"/>
      <c r="BS673" s="160"/>
    </row>
    <row r="674" spans="1:71" x14ac:dyDescent="0.25">
      <c r="A674" s="154"/>
      <c r="B674" s="155"/>
      <c r="C674" s="155"/>
      <c r="D674" s="155"/>
      <c r="E674" s="156"/>
      <c r="F674" s="156"/>
      <c r="G674" s="155"/>
      <c r="H674" s="155"/>
      <c r="I674" s="155"/>
      <c r="J674" s="157"/>
      <c r="K674" s="157"/>
      <c r="L674" s="155"/>
      <c r="M674" s="155"/>
      <c r="N674" s="155"/>
      <c r="O674" s="156"/>
      <c r="P674" s="156"/>
      <c r="Q674" s="155"/>
      <c r="R674" s="155"/>
      <c r="S674" s="155"/>
      <c r="T674" s="156"/>
      <c r="U674" s="156"/>
      <c r="V674" s="155"/>
      <c r="W674" s="155"/>
      <c r="X674" s="155"/>
      <c r="Y674" s="155"/>
      <c r="Z674" s="155"/>
      <c r="AA674" s="156"/>
      <c r="AB674" s="156"/>
      <c r="AC674" s="155"/>
      <c r="AD674" s="155"/>
      <c r="AE674" s="155"/>
      <c r="AF674" s="156"/>
      <c r="AG674" s="156"/>
      <c r="AH674" s="155"/>
      <c r="AI674" s="155"/>
      <c r="AJ674" s="155"/>
      <c r="AK674" s="156"/>
      <c r="AL674" s="156"/>
      <c r="AM674" s="155"/>
      <c r="AN674" s="155"/>
      <c r="AO674" s="155"/>
      <c r="AP674" s="156"/>
      <c r="AQ674" s="156"/>
      <c r="AR674" s="155"/>
      <c r="AS674" s="155"/>
      <c r="AT674" s="155"/>
      <c r="AU674" s="156"/>
      <c r="AV674" s="156"/>
      <c r="AW674" s="155"/>
      <c r="AX674" s="155"/>
      <c r="AY674" s="155"/>
      <c r="AZ674" s="156"/>
      <c r="BA674" s="156"/>
      <c r="BB674" s="155"/>
      <c r="BC674" s="155"/>
      <c r="BD674" s="155"/>
      <c r="BE674" s="155"/>
      <c r="BF674" s="155"/>
      <c r="BG674" s="158"/>
      <c r="BH674" s="158"/>
      <c r="BI674" s="155"/>
      <c r="BJ674" s="155"/>
      <c r="BK674" s="159"/>
      <c r="BL674" s="156"/>
      <c r="BM674" s="156"/>
      <c r="BN674" s="156"/>
      <c r="BO674" s="156"/>
      <c r="BP674" s="160"/>
      <c r="BQ674" s="160"/>
      <c r="BR674" s="160"/>
      <c r="BS674" s="160"/>
    </row>
    <row r="675" spans="1:71" x14ac:dyDescent="0.25">
      <c r="A675" s="154"/>
      <c r="B675" s="155"/>
      <c r="C675" s="155"/>
      <c r="D675" s="155"/>
      <c r="E675" s="156"/>
      <c r="F675" s="156"/>
      <c r="G675" s="155"/>
      <c r="H675" s="155"/>
      <c r="I675" s="155"/>
      <c r="J675" s="157"/>
      <c r="K675" s="157"/>
      <c r="L675" s="155"/>
      <c r="M675" s="155"/>
      <c r="N675" s="155"/>
      <c r="O675" s="156"/>
      <c r="P675" s="156"/>
      <c r="Q675" s="155"/>
      <c r="R675" s="155"/>
      <c r="S675" s="155"/>
      <c r="T675" s="156"/>
      <c r="U675" s="156"/>
      <c r="V675" s="155"/>
      <c r="W675" s="155"/>
      <c r="X675" s="155"/>
      <c r="Y675" s="155"/>
      <c r="Z675" s="155"/>
      <c r="AA675" s="156"/>
      <c r="AB675" s="156"/>
      <c r="AC675" s="155"/>
      <c r="AD675" s="155"/>
      <c r="AE675" s="155"/>
      <c r="AF675" s="156"/>
      <c r="AG675" s="156"/>
      <c r="AH675" s="155"/>
      <c r="AI675" s="155"/>
      <c r="AJ675" s="155"/>
      <c r="AK675" s="156"/>
      <c r="AL675" s="156"/>
      <c r="AM675" s="155"/>
      <c r="AN675" s="155"/>
      <c r="AO675" s="155"/>
      <c r="AP675" s="156"/>
      <c r="AQ675" s="156"/>
      <c r="AR675" s="155"/>
      <c r="AS675" s="155"/>
      <c r="AT675" s="155"/>
      <c r="AU675" s="156"/>
      <c r="AV675" s="156"/>
      <c r="AW675" s="155"/>
      <c r="AX675" s="155"/>
      <c r="AY675" s="155"/>
      <c r="AZ675" s="156"/>
      <c r="BA675" s="156"/>
      <c r="BB675" s="155"/>
      <c r="BC675" s="155"/>
      <c r="BD675" s="155"/>
      <c r="BE675" s="155"/>
      <c r="BF675" s="155"/>
      <c r="BG675" s="158"/>
      <c r="BH675" s="158"/>
      <c r="BI675" s="155"/>
      <c r="BJ675" s="155"/>
      <c r="BK675" s="159"/>
      <c r="BL675" s="156"/>
      <c r="BM675" s="156"/>
      <c r="BN675" s="156"/>
      <c r="BO675" s="156"/>
      <c r="BP675" s="160"/>
      <c r="BQ675" s="160"/>
      <c r="BR675" s="160"/>
      <c r="BS675" s="160"/>
    </row>
    <row r="676" spans="1:71" x14ac:dyDescent="0.25">
      <c r="A676" s="154"/>
      <c r="B676" s="155"/>
      <c r="C676" s="155"/>
      <c r="D676" s="155"/>
      <c r="E676" s="156"/>
      <c r="F676" s="156"/>
      <c r="G676" s="155"/>
      <c r="H676" s="155"/>
      <c r="I676" s="155"/>
      <c r="J676" s="157"/>
      <c r="K676" s="157"/>
      <c r="L676" s="155"/>
      <c r="M676" s="155"/>
      <c r="N676" s="155"/>
      <c r="O676" s="156"/>
      <c r="P676" s="156"/>
      <c r="Q676" s="155"/>
      <c r="R676" s="155"/>
      <c r="S676" s="155"/>
      <c r="T676" s="156"/>
      <c r="U676" s="156"/>
      <c r="V676" s="155"/>
      <c r="W676" s="155"/>
      <c r="X676" s="155"/>
      <c r="Y676" s="155"/>
      <c r="Z676" s="155"/>
      <c r="AA676" s="156"/>
      <c r="AB676" s="156"/>
      <c r="AC676" s="155"/>
      <c r="AD676" s="155"/>
      <c r="AE676" s="155"/>
      <c r="AF676" s="156"/>
      <c r="AG676" s="156"/>
      <c r="AH676" s="155"/>
      <c r="AI676" s="155"/>
      <c r="AJ676" s="155"/>
      <c r="AK676" s="156"/>
      <c r="AL676" s="156"/>
      <c r="AM676" s="155"/>
      <c r="AN676" s="155"/>
      <c r="AO676" s="155"/>
      <c r="AP676" s="156"/>
      <c r="AQ676" s="156"/>
      <c r="AR676" s="155"/>
      <c r="AS676" s="155"/>
      <c r="AT676" s="155"/>
      <c r="AU676" s="156"/>
      <c r="AV676" s="156"/>
      <c r="AW676" s="155"/>
      <c r="AX676" s="155"/>
      <c r="AY676" s="155"/>
      <c r="AZ676" s="156"/>
      <c r="BA676" s="156"/>
      <c r="BB676" s="155"/>
      <c r="BC676" s="155"/>
      <c r="BD676" s="155"/>
      <c r="BE676" s="155"/>
      <c r="BF676" s="155"/>
      <c r="BG676" s="158"/>
      <c r="BH676" s="158"/>
      <c r="BI676" s="155"/>
      <c r="BJ676" s="155"/>
      <c r="BK676" s="159"/>
      <c r="BL676" s="156"/>
      <c r="BM676" s="156"/>
      <c r="BN676" s="156"/>
      <c r="BO676" s="156"/>
      <c r="BP676" s="160"/>
      <c r="BQ676" s="160"/>
      <c r="BR676" s="160"/>
      <c r="BS676" s="160"/>
    </row>
    <row r="677" spans="1:71" x14ac:dyDescent="0.25">
      <c r="A677" s="154"/>
      <c r="B677" s="155"/>
      <c r="C677" s="155"/>
      <c r="D677" s="155"/>
      <c r="E677" s="156"/>
      <c r="F677" s="156"/>
      <c r="G677" s="155"/>
      <c r="H677" s="155"/>
      <c r="I677" s="155"/>
      <c r="J677" s="157"/>
      <c r="K677" s="157"/>
      <c r="L677" s="155"/>
      <c r="M677" s="155"/>
      <c r="N677" s="155"/>
      <c r="O677" s="156"/>
      <c r="P677" s="156"/>
      <c r="Q677" s="155"/>
      <c r="R677" s="155"/>
      <c r="S677" s="155"/>
      <c r="T677" s="156"/>
      <c r="U677" s="156"/>
      <c r="V677" s="155"/>
      <c r="W677" s="155"/>
      <c r="X677" s="155"/>
      <c r="Y677" s="155"/>
      <c r="Z677" s="155"/>
      <c r="AA677" s="156"/>
      <c r="AB677" s="156"/>
      <c r="AC677" s="155"/>
      <c r="AD677" s="155"/>
      <c r="AE677" s="155"/>
      <c r="AF677" s="156"/>
      <c r="AG677" s="156"/>
      <c r="AH677" s="155"/>
      <c r="AI677" s="155"/>
      <c r="AJ677" s="155"/>
      <c r="AK677" s="156"/>
      <c r="AL677" s="156"/>
      <c r="AM677" s="155"/>
      <c r="AN677" s="155"/>
      <c r="AO677" s="155"/>
      <c r="AP677" s="156"/>
      <c r="AQ677" s="156"/>
      <c r="AR677" s="155"/>
      <c r="AS677" s="155"/>
      <c r="AT677" s="155"/>
      <c r="AU677" s="156"/>
      <c r="AV677" s="156"/>
      <c r="AW677" s="155"/>
      <c r="AX677" s="155"/>
      <c r="AY677" s="155"/>
      <c r="AZ677" s="156"/>
      <c r="BA677" s="156"/>
      <c r="BB677" s="155"/>
      <c r="BC677" s="155"/>
      <c r="BD677" s="155"/>
      <c r="BE677" s="155"/>
      <c r="BF677" s="155"/>
      <c r="BG677" s="158"/>
      <c r="BH677" s="158"/>
      <c r="BI677" s="155"/>
      <c r="BJ677" s="155"/>
      <c r="BK677" s="159"/>
      <c r="BL677" s="156"/>
      <c r="BM677" s="156"/>
      <c r="BN677" s="156"/>
      <c r="BO677" s="156"/>
      <c r="BP677" s="160"/>
      <c r="BQ677" s="160"/>
      <c r="BR677" s="160"/>
      <c r="BS677" s="160"/>
    </row>
    <row r="678" spans="1:71" x14ac:dyDescent="0.25">
      <c r="A678" s="154"/>
      <c r="B678" s="155"/>
      <c r="C678" s="155"/>
      <c r="D678" s="155"/>
      <c r="E678" s="156"/>
      <c r="F678" s="156"/>
      <c r="G678" s="155"/>
      <c r="H678" s="155"/>
      <c r="I678" s="155"/>
      <c r="J678" s="157"/>
      <c r="K678" s="157"/>
      <c r="L678" s="155"/>
      <c r="M678" s="155"/>
      <c r="N678" s="155"/>
      <c r="O678" s="156"/>
      <c r="P678" s="156"/>
      <c r="Q678" s="155"/>
      <c r="R678" s="155"/>
      <c r="S678" s="155"/>
      <c r="T678" s="156"/>
      <c r="U678" s="156"/>
      <c r="V678" s="155"/>
      <c r="W678" s="155"/>
      <c r="X678" s="155"/>
      <c r="Y678" s="155"/>
      <c r="Z678" s="155"/>
      <c r="AA678" s="156"/>
      <c r="AB678" s="156"/>
      <c r="AC678" s="155"/>
      <c r="AD678" s="155"/>
      <c r="AE678" s="155"/>
      <c r="AF678" s="156"/>
      <c r="AG678" s="156"/>
      <c r="AH678" s="155"/>
      <c r="AI678" s="155"/>
      <c r="AJ678" s="155"/>
      <c r="AK678" s="156"/>
      <c r="AL678" s="156"/>
      <c r="AM678" s="155"/>
      <c r="AN678" s="155"/>
      <c r="AO678" s="155"/>
      <c r="AP678" s="156"/>
      <c r="AQ678" s="156"/>
      <c r="AR678" s="155"/>
      <c r="AS678" s="155"/>
      <c r="AT678" s="155"/>
      <c r="AU678" s="156"/>
      <c r="AV678" s="156"/>
      <c r="AW678" s="155"/>
      <c r="AX678" s="155"/>
      <c r="AY678" s="155"/>
      <c r="AZ678" s="156"/>
      <c r="BA678" s="156"/>
      <c r="BB678" s="155"/>
      <c r="BC678" s="155"/>
      <c r="BD678" s="155"/>
      <c r="BE678" s="155"/>
      <c r="BF678" s="155"/>
      <c r="BG678" s="158"/>
      <c r="BH678" s="158"/>
      <c r="BI678" s="155"/>
      <c r="BJ678" s="155"/>
      <c r="BK678" s="159"/>
      <c r="BL678" s="156"/>
      <c r="BM678" s="156"/>
      <c r="BN678" s="156"/>
      <c r="BO678" s="156"/>
      <c r="BP678" s="160"/>
      <c r="BQ678" s="160"/>
      <c r="BR678" s="160"/>
      <c r="BS678" s="160"/>
    </row>
    <row r="679" spans="1:71" x14ac:dyDescent="0.25">
      <c r="A679" s="154"/>
      <c r="B679" s="155"/>
      <c r="C679" s="155"/>
      <c r="D679" s="155"/>
      <c r="E679" s="156"/>
      <c r="F679" s="156"/>
      <c r="G679" s="155"/>
      <c r="H679" s="155"/>
      <c r="I679" s="155"/>
      <c r="J679" s="157"/>
      <c r="K679" s="157"/>
      <c r="L679" s="155"/>
      <c r="M679" s="155"/>
      <c r="N679" s="155"/>
      <c r="O679" s="156"/>
      <c r="P679" s="156"/>
      <c r="Q679" s="155"/>
      <c r="R679" s="155"/>
      <c r="S679" s="155"/>
      <c r="T679" s="156"/>
      <c r="U679" s="156"/>
      <c r="V679" s="155"/>
      <c r="W679" s="155"/>
      <c r="X679" s="155"/>
      <c r="Y679" s="155"/>
      <c r="Z679" s="155"/>
      <c r="AA679" s="156"/>
      <c r="AB679" s="156"/>
      <c r="AC679" s="155"/>
      <c r="AD679" s="155"/>
      <c r="AE679" s="155"/>
      <c r="AF679" s="156"/>
      <c r="AG679" s="156"/>
      <c r="AH679" s="155"/>
      <c r="AI679" s="155"/>
      <c r="AJ679" s="155"/>
      <c r="AK679" s="156"/>
      <c r="AL679" s="156"/>
      <c r="AM679" s="155"/>
      <c r="AN679" s="155"/>
      <c r="AO679" s="155"/>
      <c r="AP679" s="156"/>
      <c r="AQ679" s="156"/>
      <c r="AR679" s="155"/>
      <c r="AS679" s="155"/>
      <c r="AT679" s="155"/>
      <c r="AU679" s="156"/>
      <c r="AV679" s="156"/>
      <c r="AW679" s="155"/>
      <c r="AX679" s="155"/>
      <c r="AY679" s="155"/>
      <c r="AZ679" s="156"/>
      <c r="BA679" s="156"/>
      <c r="BB679" s="155"/>
      <c r="BC679" s="155"/>
      <c r="BD679" s="155"/>
      <c r="BE679" s="155"/>
      <c r="BF679" s="155"/>
      <c r="BG679" s="158"/>
      <c r="BH679" s="158"/>
      <c r="BI679" s="155"/>
      <c r="BJ679" s="155"/>
      <c r="BK679" s="159"/>
      <c r="BL679" s="156"/>
      <c r="BM679" s="156"/>
      <c r="BN679" s="156"/>
      <c r="BO679" s="156"/>
      <c r="BP679" s="160"/>
      <c r="BQ679" s="160"/>
      <c r="BR679" s="160"/>
      <c r="BS679" s="160"/>
    </row>
    <row r="680" spans="1:71" x14ac:dyDescent="0.25">
      <c r="A680" s="154"/>
      <c r="B680" s="155"/>
      <c r="C680" s="155"/>
      <c r="D680" s="155"/>
      <c r="E680" s="156"/>
      <c r="F680" s="156"/>
      <c r="G680" s="155"/>
      <c r="H680" s="155"/>
      <c r="I680" s="155"/>
      <c r="J680" s="157"/>
      <c r="K680" s="157"/>
      <c r="L680" s="155"/>
      <c r="M680" s="155"/>
      <c r="N680" s="155"/>
      <c r="O680" s="156"/>
      <c r="P680" s="156"/>
      <c r="Q680" s="155"/>
      <c r="R680" s="155"/>
      <c r="S680" s="155"/>
      <c r="T680" s="156"/>
      <c r="U680" s="156"/>
      <c r="V680" s="155"/>
      <c r="W680" s="155"/>
      <c r="X680" s="155"/>
      <c r="Y680" s="155"/>
      <c r="Z680" s="155"/>
      <c r="AA680" s="156"/>
      <c r="AB680" s="156"/>
      <c r="AC680" s="155"/>
      <c r="AD680" s="155"/>
      <c r="AE680" s="155"/>
      <c r="AF680" s="156"/>
      <c r="AG680" s="156"/>
      <c r="AH680" s="155"/>
      <c r="AI680" s="155"/>
      <c r="AJ680" s="155"/>
      <c r="AK680" s="156"/>
      <c r="AL680" s="156"/>
      <c r="AM680" s="155"/>
      <c r="AN680" s="155"/>
      <c r="AO680" s="155"/>
      <c r="AP680" s="156"/>
      <c r="AQ680" s="156"/>
      <c r="AR680" s="155"/>
      <c r="AS680" s="155"/>
      <c r="AT680" s="155"/>
      <c r="AU680" s="156"/>
      <c r="AV680" s="156"/>
      <c r="AW680" s="155"/>
      <c r="AX680" s="155"/>
      <c r="AY680" s="155"/>
      <c r="AZ680" s="156"/>
      <c r="BA680" s="156"/>
      <c r="BB680" s="155"/>
      <c r="BC680" s="155"/>
      <c r="BD680" s="155"/>
      <c r="BE680" s="155"/>
      <c r="BF680" s="155"/>
      <c r="BG680" s="158"/>
      <c r="BH680" s="158"/>
      <c r="BI680" s="155"/>
      <c r="BJ680" s="155"/>
      <c r="BK680" s="159"/>
      <c r="BL680" s="156"/>
      <c r="BM680" s="156"/>
      <c r="BN680" s="156"/>
      <c r="BO680" s="156"/>
      <c r="BP680" s="160"/>
      <c r="BQ680" s="160"/>
      <c r="BR680" s="160"/>
      <c r="BS680" s="160"/>
    </row>
    <row r="681" spans="1:71" x14ac:dyDescent="0.25">
      <c r="A681" s="154"/>
      <c r="B681" s="155"/>
      <c r="C681" s="155"/>
      <c r="D681" s="155"/>
      <c r="E681" s="156"/>
      <c r="F681" s="156"/>
      <c r="G681" s="155"/>
      <c r="H681" s="155"/>
      <c r="I681" s="155"/>
      <c r="J681" s="157"/>
      <c r="K681" s="157"/>
      <c r="L681" s="155"/>
      <c r="M681" s="155"/>
      <c r="N681" s="155"/>
      <c r="O681" s="156"/>
      <c r="P681" s="156"/>
      <c r="Q681" s="155"/>
      <c r="R681" s="155"/>
      <c r="S681" s="155"/>
      <c r="T681" s="156"/>
      <c r="U681" s="156"/>
      <c r="V681" s="155"/>
      <c r="W681" s="155"/>
      <c r="X681" s="155"/>
      <c r="Y681" s="155"/>
      <c r="Z681" s="155"/>
      <c r="AA681" s="156"/>
      <c r="AB681" s="156"/>
      <c r="AC681" s="155"/>
      <c r="AD681" s="155"/>
      <c r="AE681" s="155"/>
      <c r="AF681" s="156"/>
      <c r="AG681" s="156"/>
      <c r="AH681" s="155"/>
      <c r="AI681" s="155"/>
      <c r="AJ681" s="155"/>
      <c r="AK681" s="156"/>
      <c r="AL681" s="156"/>
      <c r="AM681" s="155"/>
      <c r="AN681" s="155"/>
      <c r="AO681" s="155"/>
      <c r="AP681" s="156"/>
      <c r="AQ681" s="156"/>
      <c r="AR681" s="155"/>
      <c r="AS681" s="155"/>
      <c r="AT681" s="155"/>
      <c r="AU681" s="156"/>
      <c r="AV681" s="156"/>
      <c r="AW681" s="155"/>
      <c r="AX681" s="155"/>
      <c r="AY681" s="155"/>
      <c r="AZ681" s="156"/>
      <c r="BA681" s="156"/>
      <c r="BB681" s="155"/>
      <c r="BC681" s="155"/>
      <c r="BD681" s="155"/>
      <c r="BE681" s="155"/>
      <c r="BF681" s="155"/>
      <c r="BG681" s="158"/>
      <c r="BH681" s="158"/>
      <c r="BI681" s="155"/>
      <c r="BJ681" s="155"/>
      <c r="BK681" s="159"/>
      <c r="BL681" s="156"/>
      <c r="BM681" s="156"/>
      <c r="BN681" s="156"/>
      <c r="BO681" s="156"/>
      <c r="BP681" s="160"/>
      <c r="BQ681" s="160"/>
      <c r="BR681" s="160"/>
      <c r="BS681" s="160"/>
    </row>
    <row r="682" spans="1:71" x14ac:dyDescent="0.25">
      <c r="A682" s="154"/>
      <c r="B682" s="155"/>
      <c r="C682" s="155"/>
      <c r="D682" s="155"/>
      <c r="E682" s="156"/>
      <c r="F682" s="156"/>
      <c r="G682" s="155"/>
      <c r="H682" s="155"/>
      <c r="I682" s="155"/>
      <c r="J682" s="157"/>
      <c r="K682" s="157"/>
      <c r="L682" s="155"/>
      <c r="M682" s="155"/>
      <c r="N682" s="155"/>
      <c r="O682" s="156"/>
      <c r="P682" s="156"/>
      <c r="Q682" s="155"/>
      <c r="R682" s="155"/>
      <c r="S682" s="155"/>
      <c r="T682" s="156"/>
      <c r="U682" s="156"/>
      <c r="V682" s="155"/>
      <c r="W682" s="155"/>
      <c r="X682" s="155"/>
      <c r="Y682" s="155"/>
      <c r="Z682" s="155"/>
      <c r="AA682" s="156"/>
      <c r="AB682" s="156"/>
      <c r="AC682" s="155"/>
      <c r="AD682" s="155"/>
      <c r="AE682" s="155"/>
      <c r="AF682" s="156"/>
      <c r="AG682" s="156"/>
      <c r="AH682" s="155"/>
      <c r="AI682" s="155"/>
      <c r="AJ682" s="155"/>
      <c r="AK682" s="156"/>
      <c r="AL682" s="156"/>
      <c r="AM682" s="155"/>
      <c r="AN682" s="155"/>
      <c r="AO682" s="155"/>
      <c r="AP682" s="156"/>
      <c r="AQ682" s="156"/>
      <c r="AR682" s="155"/>
      <c r="AS682" s="155"/>
      <c r="AT682" s="155"/>
      <c r="AU682" s="156"/>
      <c r="AV682" s="156"/>
      <c r="AW682" s="155"/>
      <c r="AX682" s="155"/>
      <c r="AY682" s="155"/>
      <c r="AZ682" s="156"/>
      <c r="BA682" s="156"/>
      <c r="BB682" s="155"/>
      <c r="BC682" s="155"/>
      <c r="BD682" s="155"/>
      <c r="BE682" s="155"/>
      <c r="BF682" s="155"/>
      <c r="BG682" s="158"/>
      <c r="BH682" s="158"/>
      <c r="BI682" s="155"/>
      <c r="BJ682" s="155"/>
      <c r="BK682" s="159"/>
      <c r="BL682" s="156"/>
      <c r="BM682" s="156"/>
      <c r="BN682" s="156"/>
      <c r="BO682" s="156"/>
      <c r="BP682" s="160"/>
      <c r="BQ682" s="160"/>
      <c r="BR682" s="160"/>
      <c r="BS682" s="160"/>
    </row>
    <row r="683" spans="1:71" x14ac:dyDescent="0.25">
      <c r="A683" s="154"/>
      <c r="B683" s="155"/>
      <c r="C683" s="155"/>
      <c r="D683" s="155"/>
      <c r="E683" s="156"/>
      <c r="F683" s="156"/>
      <c r="G683" s="155"/>
      <c r="H683" s="155"/>
      <c r="I683" s="155"/>
      <c r="J683" s="157"/>
      <c r="K683" s="157"/>
      <c r="L683" s="155"/>
      <c r="M683" s="155"/>
      <c r="N683" s="155"/>
      <c r="O683" s="156"/>
      <c r="P683" s="156"/>
      <c r="Q683" s="155"/>
      <c r="R683" s="155"/>
      <c r="S683" s="155"/>
      <c r="T683" s="156"/>
      <c r="U683" s="156"/>
      <c r="V683" s="155"/>
      <c r="W683" s="155"/>
      <c r="X683" s="155"/>
      <c r="Y683" s="155"/>
      <c r="Z683" s="155"/>
      <c r="AA683" s="156"/>
      <c r="AB683" s="156"/>
      <c r="AC683" s="155"/>
      <c r="AD683" s="155"/>
      <c r="AE683" s="155"/>
      <c r="AF683" s="156"/>
      <c r="AG683" s="156"/>
      <c r="AH683" s="155"/>
      <c r="AI683" s="155"/>
      <c r="AJ683" s="155"/>
      <c r="AK683" s="156"/>
      <c r="AL683" s="156"/>
      <c r="AM683" s="155"/>
      <c r="AN683" s="155"/>
      <c r="AO683" s="155"/>
      <c r="AP683" s="156"/>
      <c r="AQ683" s="156"/>
      <c r="AR683" s="155"/>
      <c r="AS683" s="155"/>
      <c r="AT683" s="155"/>
      <c r="AU683" s="156"/>
      <c r="AV683" s="156"/>
      <c r="AW683" s="155"/>
      <c r="AX683" s="155"/>
      <c r="AY683" s="155"/>
      <c r="AZ683" s="156"/>
      <c r="BA683" s="156"/>
      <c r="BB683" s="155"/>
      <c r="BC683" s="155"/>
      <c r="BD683" s="155"/>
      <c r="BE683" s="155"/>
      <c r="BF683" s="155"/>
      <c r="BG683" s="158"/>
      <c r="BH683" s="158"/>
      <c r="BI683" s="155"/>
      <c r="BJ683" s="155"/>
      <c r="BK683" s="159"/>
      <c r="BL683" s="156"/>
      <c r="BM683" s="156"/>
      <c r="BN683" s="156"/>
      <c r="BO683" s="156"/>
      <c r="BP683" s="160"/>
      <c r="BQ683" s="160"/>
      <c r="BR683" s="160"/>
      <c r="BS683" s="160"/>
    </row>
    <row r="684" spans="1:71" x14ac:dyDescent="0.25">
      <c r="A684" s="154"/>
      <c r="B684" s="155"/>
      <c r="C684" s="155"/>
      <c r="D684" s="155"/>
      <c r="E684" s="156"/>
      <c r="F684" s="156"/>
      <c r="G684" s="155"/>
      <c r="H684" s="155"/>
      <c r="I684" s="155"/>
      <c r="J684" s="157"/>
      <c r="K684" s="157"/>
      <c r="L684" s="155"/>
      <c r="M684" s="155"/>
      <c r="N684" s="155"/>
      <c r="O684" s="156"/>
      <c r="P684" s="156"/>
      <c r="Q684" s="155"/>
      <c r="R684" s="155"/>
      <c r="S684" s="155"/>
      <c r="T684" s="156"/>
      <c r="U684" s="156"/>
      <c r="V684" s="155"/>
      <c r="W684" s="155"/>
      <c r="X684" s="155"/>
      <c r="Y684" s="155"/>
      <c r="Z684" s="155"/>
      <c r="AA684" s="156"/>
      <c r="AB684" s="156"/>
      <c r="AC684" s="155"/>
      <c r="AD684" s="155"/>
      <c r="AE684" s="155"/>
      <c r="AF684" s="156"/>
      <c r="AG684" s="156"/>
      <c r="AH684" s="155"/>
      <c r="AI684" s="155"/>
      <c r="AJ684" s="155"/>
      <c r="AK684" s="156"/>
      <c r="AL684" s="156"/>
      <c r="AM684" s="155"/>
      <c r="AN684" s="155"/>
      <c r="AO684" s="155"/>
      <c r="AP684" s="156"/>
      <c r="AQ684" s="156"/>
      <c r="AR684" s="155"/>
      <c r="AS684" s="155"/>
      <c r="AT684" s="155"/>
      <c r="AU684" s="156"/>
      <c r="AV684" s="156"/>
      <c r="AW684" s="155"/>
      <c r="AX684" s="155"/>
      <c r="AY684" s="155"/>
      <c r="AZ684" s="156"/>
      <c r="BA684" s="156"/>
      <c r="BB684" s="155"/>
      <c r="BC684" s="155"/>
      <c r="BD684" s="155"/>
      <c r="BE684" s="155"/>
      <c r="BF684" s="155"/>
      <c r="BG684" s="158"/>
      <c r="BH684" s="158"/>
      <c r="BI684" s="155"/>
      <c r="BJ684" s="155"/>
      <c r="BK684" s="159"/>
      <c r="BL684" s="156"/>
      <c r="BM684" s="156"/>
      <c r="BN684" s="156"/>
      <c r="BO684" s="156"/>
      <c r="BP684" s="160"/>
      <c r="BQ684" s="160"/>
      <c r="BR684" s="160"/>
      <c r="BS684" s="160"/>
    </row>
    <row r="685" spans="1:71" x14ac:dyDescent="0.25">
      <c r="A685" s="154"/>
      <c r="B685" s="155"/>
      <c r="C685" s="155"/>
      <c r="D685" s="155"/>
      <c r="E685" s="156"/>
      <c r="F685" s="156"/>
      <c r="G685" s="155"/>
      <c r="H685" s="155"/>
      <c r="I685" s="155"/>
      <c r="J685" s="157"/>
      <c r="K685" s="157"/>
      <c r="L685" s="155"/>
      <c r="M685" s="155"/>
      <c r="N685" s="155"/>
      <c r="O685" s="156"/>
      <c r="P685" s="156"/>
      <c r="Q685" s="155"/>
      <c r="R685" s="155"/>
      <c r="S685" s="155"/>
      <c r="T685" s="156"/>
      <c r="U685" s="156"/>
      <c r="V685" s="155"/>
      <c r="W685" s="155"/>
      <c r="X685" s="155"/>
      <c r="Y685" s="155"/>
      <c r="Z685" s="155"/>
      <c r="AA685" s="156"/>
      <c r="AB685" s="156"/>
      <c r="AC685" s="155"/>
      <c r="AD685" s="155"/>
      <c r="AE685" s="155"/>
      <c r="AF685" s="156"/>
      <c r="AG685" s="156"/>
      <c r="AH685" s="155"/>
      <c r="AI685" s="155"/>
      <c r="AJ685" s="155"/>
      <c r="AK685" s="156"/>
      <c r="AL685" s="156"/>
      <c r="AM685" s="155"/>
      <c r="AN685" s="155"/>
      <c r="AO685" s="155"/>
      <c r="AP685" s="156"/>
      <c r="AQ685" s="156"/>
      <c r="AR685" s="155"/>
      <c r="AS685" s="155"/>
      <c r="AT685" s="155"/>
      <c r="AU685" s="156"/>
      <c r="AV685" s="156"/>
      <c r="AW685" s="155"/>
      <c r="AX685" s="155"/>
      <c r="AY685" s="155"/>
      <c r="AZ685" s="156"/>
      <c r="BA685" s="156"/>
      <c r="BB685" s="155"/>
      <c r="BC685" s="155"/>
      <c r="BD685" s="155"/>
      <c r="BE685" s="155"/>
      <c r="BF685" s="155"/>
      <c r="BG685" s="158"/>
      <c r="BH685" s="158"/>
      <c r="BI685" s="155"/>
      <c r="BJ685" s="155"/>
      <c r="BK685" s="159"/>
      <c r="BL685" s="156"/>
      <c r="BM685" s="156"/>
      <c r="BN685" s="156"/>
      <c r="BO685" s="156"/>
      <c r="BP685" s="160"/>
      <c r="BQ685" s="160"/>
      <c r="BR685" s="160"/>
      <c r="BS685" s="160"/>
    </row>
    <row r="686" spans="1:71" x14ac:dyDescent="0.25">
      <c r="A686" s="154"/>
      <c r="B686" s="155"/>
      <c r="C686" s="155"/>
      <c r="D686" s="155"/>
      <c r="E686" s="156"/>
      <c r="F686" s="156"/>
      <c r="G686" s="155"/>
      <c r="H686" s="155"/>
      <c r="I686" s="155"/>
      <c r="J686" s="157"/>
      <c r="K686" s="157"/>
      <c r="L686" s="155"/>
      <c r="M686" s="155"/>
      <c r="N686" s="155"/>
      <c r="O686" s="156"/>
      <c r="P686" s="156"/>
      <c r="Q686" s="155"/>
      <c r="R686" s="155"/>
      <c r="S686" s="155"/>
      <c r="T686" s="156"/>
      <c r="U686" s="156"/>
      <c r="V686" s="155"/>
      <c r="W686" s="155"/>
      <c r="X686" s="155"/>
      <c r="Y686" s="155"/>
      <c r="Z686" s="155"/>
      <c r="AA686" s="156"/>
      <c r="AB686" s="156"/>
      <c r="AC686" s="155"/>
      <c r="AD686" s="155"/>
      <c r="AE686" s="155"/>
      <c r="AF686" s="156"/>
      <c r="AG686" s="156"/>
      <c r="AH686" s="155"/>
      <c r="AI686" s="155"/>
      <c r="AJ686" s="155"/>
      <c r="AK686" s="156"/>
      <c r="AL686" s="156"/>
      <c r="AM686" s="155"/>
      <c r="AN686" s="155"/>
      <c r="AO686" s="155"/>
      <c r="AP686" s="156"/>
      <c r="AQ686" s="156"/>
      <c r="AR686" s="155"/>
      <c r="AS686" s="155"/>
      <c r="AT686" s="155"/>
      <c r="AU686" s="156"/>
      <c r="AV686" s="156"/>
      <c r="AW686" s="155"/>
      <c r="AX686" s="155"/>
      <c r="AY686" s="155"/>
      <c r="AZ686" s="156"/>
      <c r="BA686" s="156"/>
      <c r="BB686" s="155"/>
      <c r="BC686" s="155"/>
      <c r="BD686" s="155"/>
      <c r="BE686" s="155"/>
      <c r="BF686" s="155"/>
      <c r="BG686" s="158"/>
      <c r="BH686" s="158"/>
      <c r="BI686" s="155"/>
      <c r="BJ686" s="155"/>
      <c r="BK686" s="159"/>
      <c r="BL686" s="156"/>
      <c r="BM686" s="156"/>
      <c r="BN686" s="156"/>
      <c r="BO686" s="156"/>
      <c r="BP686" s="160"/>
      <c r="BQ686" s="160"/>
      <c r="BR686" s="160"/>
      <c r="BS686" s="160"/>
    </row>
    <row r="687" spans="1:71" x14ac:dyDescent="0.25">
      <c r="A687" s="154"/>
      <c r="B687" s="155"/>
      <c r="C687" s="155"/>
      <c r="D687" s="155"/>
      <c r="E687" s="156"/>
      <c r="F687" s="156"/>
      <c r="G687" s="155"/>
      <c r="H687" s="155"/>
      <c r="I687" s="155"/>
      <c r="J687" s="157"/>
      <c r="K687" s="157"/>
      <c r="L687" s="155"/>
      <c r="M687" s="155"/>
      <c r="N687" s="155"/>
      <c r="O687" s="156"/>
      <c r="P687" s="156"/>
      <c r="Q687" s="155"/>
      <c r="R687" s="155"/>
      <c r="S687" s="155"/>
      <c r="T687" s="156"/>
      <c r="U687" s="156"/>
      <c r="V687" s="155"/>
      <c r="W687" s="155"/>
      <c r="X687" s="155"/>
      <c r="Y687" s="155"/>
      <c r="Z687" s="155"/>
      <c r="AA687" s="156"/>
      <c r="AB687" s="156"/>
      <c r="AC687" s="155"/>
      <c r="AD687" s="155"/>
      <c r="AE687" s="155"/>
      <c r="AF687" s="156"/>
      <c r="AG687" s="156"/>
      <c r="AH687" s="155"/>
      <c r="AI687" s="155"/>
      <c r="AJ687" s="155"/>
      <c r="AK687" s="156"/>
      <c r="AL687" s="156"/>
      <c r="AM687" s="155"/>
      <c r="AN687" s="155"/>
      <c r="AO687" s="155"/>
      <c r="AP687" s="156"/>
      <c r="AQ687" s="156"/>
      <c r="AR687" s="155"/>
      <c r="AS687" s="155"/>
      <c r="AT687" s="155"/>
      <c r="AU687" s="156"/>
      <c r="AV687" s="156"/>
      <c r="AW687" s="155"/>
      <c r="AX687" s="155"/>
      <c r="AY687" s="155"/>
      <c r="AZ687" s="156"/>
      <c r="BA687" s="156"/>
      <c r="BB687" s="155"/>
      <c r="BC687" s="155"/>
      <c r="BD687" s="155"/>
      <c r="BE687" s="155"/>
      <c r="BF687" s="155"/>
      <c r="BG687" s="158"/>
      <c r="BH687" s="158"/>
      <c r="BI687" s="155"/>
      <c r="BJ687" s="155"/>
      <c r="BK687" s="159"/>
      <c r="BL687" s="156"/>
      <c r="BM687" s="156"/>
      <c r="BN687" s="156"/>
      <c r="BO687" s="156"/>
      <c r="BP687" s="160"/>
      <c r="BQ687" s="160"/>
      <c r="BR687" s="160"/>
      <c r="BS687" s="160"/>
    </row>
    <row r="688" spans="1:71" x14ac:dyDescent="0.25">
      <c r="A688" s="154"/>
      <c r="B688" s="155"/>
      <c r="C688" s="155"/>
      <c r="D688" s="155"/>
      <c r="E688" s="156"/>
      <c r="F688" s="156"/>
      <c r="G688" s="155"/>
      <c r="H688" s="155"/>
      <c r="I688" s="155"/>
      <c r="J688" s="157"/>
      <c r="K688" s="157"/>
      <c r="L688" s="155"/>
      <c r="M688" s="155"/>
      <c r="N688" s="155"/>
      <c r="O688" s="156"/>
      <c r="P688" s="156"/>
      <c r="Q688" s="155"/>
      <c r="R688" s="155"/>
      <c r="S688" s="155"/>
      <c r="T688" s="156"/>
      <c r="U688" s="156"/>
      <c r="V688" s="155"/>
      <c r="W688" s="155"/>
      <c r="X688" s="155"/>
      <c r="Y688" s="155"/>
      <c r="Z688" s="155"/>
      <c r="AA688" s="156"/>
      <c r="AB688" s="156"/>
      <c r="AC688" s="155"/>
      <c r="AD688" s="155"/>
      <c r="AE688" s="155"/>
      <c r="AF688" s="156"/>
      <c r="AG688" s="156"/>
      <c r="AH688" s="155"/>
      <c r="AI688" s="155"/>
      <c r="AJ688" s="155"/>
      <c r="AK688" s="156"/>
      <c r="AL688" s="156"/>
      <c r="AM688" s="155"/>
      <c r="AN688" s="155"/>
      <c r="AO688" s="155"/>
      <c r="AP688" s="156"/>
      <c r="AQ688" s="156"/>
      <c r="AR688" s="155"/>
      <c r="AS688" s="155"/>
      <c r="AT688" s="155"/>
      <c r="AU688" s="156"/>
      <c r="AV688" s="156"/>
      <c r="AW688" s="155"/>
      <c r="AX688" s="155"/>
      <c r="AY688" s="155"/>
      <c r="AZ688" s="156"/>
      <c r="BA688" s="156"/>
      <c r="BB688" s="155"/>
      <c r="BC688" s="155"/>
      <c r="BD688" s="155"/>
      <c r="BE688" s="155"/>
      <c r="BF688" s="155"/>
      <c r="BG688" s="158"/>
      <c r="BH688" s="158"/>
      <c r="BI688" s="155"/>
      <c r="BJ688" s="155"/>
      <c r="BK688" s="159"/>
      <c r="BL688" s="156"/>
      <c r="BM688" s="156"/>
      <c r="BN688" s="156"/>
      <c r="BO688" s="156"/>
      <c r="BP688" s="160"/>
      <c r="BQ688" s="160"/>
      <c r="BR688" s="160"/>
      <c r="BS688" s="160"/>
    </row>
    <row r="689" spans="1:71" x14ac:dyDescent="0.25">
      <c r="A689" s="154"/>
      <c r="B689" s="155"/>
      <c r="C689" s="155"/>
      <c r="D689" s="155"/>
      <c r="E689" s="156"/>
      <c r="F689" s="156"/>
      <c r="G689" s="155"/>
      <c r="H689" s="155"/>
      <c r="I689" s="155"/>
      <c r="J689" s="157"/>
      <c r="K689" s="157"/>
      <c r="L689" s="155"/>
      <c r="M689" s="155"/>
      <c r="N689" s="155"/>
      <c r="O689" s="156"/>
      <c r="P689" s="156"/>
      <c r="Q689" s="155"/>
      <c r="R689" s="155"/>
      <c r="S689" s="155"/>
      <c r="T689" s="156"/>
      <c r="U689" s="156"/>
      <c r="V689" s="155"/>
      <c r="W689" s="155"/>
      <c r="X689" s="155"/>
      <c r="Y689" s="155"/>
      <c r="Z689" s="155"/>
      <c r="AA689" s="156"/>
      <c r="AB689" s="156"/>
      <c r="AC689" s="155"/>
      <c r="AD689" s="155"/>
      <c r="AE689" s="155"/>
      <c r="AF689" s="156"/>
      <c r="AG689" s="156"/>
      <c r="AH689" s="155"/>
      <c r="AI689" s="155"/>
      <c r="AJ689" s="155"/>
      <c r="AK689" s="156"/>
      <c r="AL689" s="156"/>
      <c r="AM689" s="155"/>
      <c r="AN689" s="155"/>
      <c r="AO689" s="155"/>
      <c r="AP689" s="156"/>
      <c r="AQ689" s="156"/>
      <c r="AR689" s="155"/>
      <c r="AS689" s="155"/>
      <c r="AT689" s="155"/>
      <c r="AU689" s="156"/>
      <c r="AV689" s="156"/>
      <c r="AW689" s="155"/>
      <c r="AX689" s="155"/>
      <c r="AY689" s="155"/>
      <c r="AZ689" s="156"/>
      <c r="BA689" s="156"/>
      <c r="BB689" s="155"/>
      <c r="BC689" s="155"/>
      <c r="BD689" s="155"/>
      <c r="BE689" s="155"/>
      <c r="BF689" s="155"/>
      <c r="BG689" s="158"/>
      <c r="BH689" s="158"/>
      <c r="BI689" s="155"/>
      <c r="BJ689" s="155"/>
      <c r="BK689" s="159"/>
      <c r="BL689" s="156"/>
      <c r="BM689" s="156"/>
      <c r="BN689" s="156"/>
      <c r="BO689" s="156"/>
      <c r="BP689" s="160"/>
      <c r="BQ689" s="160"/>
      <c r="BR689" s="160"/>
      <c r="BS689" s="160"/>
    </row>
    <row r="690" spans="1:71" x14ac:dyDescent="0.25">
      <c r="A690" s="154"/>
      <c r="B690" s="155"/>
      <c r="C690" s="155"/>
      <c r="D690" s="155"/>
      <c r="E690" s="156"/>
      <c r="F690" s="156"/>
      <c r="G690" s="155"/>
      <c r="H690" s="155"/>
      <c r="I690" s="155"/>
      <c r="J690" s="157"/>
      <c r="K690" s="157"/>
      <c r="L690" s="155"/>
      <c r="M690" s="155"/>
      <c r="N690" s="155"/>
      <c r="O690" s="156"/>
      <c r="P690" s="156"/>
      <c r="Q690" s="155"/>
      <c r="R690" s="155"/>
      <c r="S690" s="155"/>
      <c r="T690" s="156"/>
      <c r="U690" s="156"/>
      <c r="V690" s="155"/>
      <c r="W690" s="155"/>
      <c r="X690" s="155"/>
      <c r="Y690" s="155"/>
      <c r="Z690" s="155"/>
      <c r="AA690" s="156"/>
      <c r="AB690" s="156"/>
      <c r="AC690" s="155"/>
      <c r="AD690" s="155"/>
      <c r="AE690" s="155"/>
      <c r="AF690" s="156"/>
      <c r="AG690" s="156"/>
      <c r="AH690" s="155"/>
      <c r="AI690" s="155"/>
      <c r="AJ690" s="155"/>
      <c r="AK690" s="156"/>
      <c r="AL690" s="156"/>
      <c r="AM690" s="155"/>
      <c r="AN690" s="155"/>
      <c r="AO690" s="155"/>
      <c r="AP690" s="156"/>
      <c r="AQ690" s="156"/>
      <c r="AR690" s="155"/>
      <c r="AS690" s="155"/>
      <c r="AT690" s="155"/>
      <c r="AU690" s="156"/>
      <c r="AV690" s="156"/>
      <c r="AW690" s="155"/>
      <c r="AX690" s="155"/>
      <c r="AY690" s="155"/>
      <c r="AZ690" s="156"/>
      <c r="BA690" s="156"/>
      <c r="BB690" s="155"/>
      <c r="BC690" s="155"/>
      <c r="BD690" s="155"/>
      <c r="BE690" s="155"/>
      <c r="BF690" s="155"/>
      <c r="BG690" s="158"/>
      <c r="BH690" s="158"/>
      <c r="BI690" s="155"/>
      <c r="BJ690" s="155"/>
      <c r="BK690" s="159"/>
      <c r="BL690" s="156"/>
      <c r="BM690" s="156"/>
      <c r="BN690" s="156"/>
      <c r="BO690" s="156"/>
      <c r="BP690" s="160"/>
      <c r="BQ690" s="160"/>
      <c r="BR690" s="160"/>
      <c r="BS690" s="160"/>
    </row>
    <row r="691" spans="1:71" x14ac:dyDescent="0.25">
      <c r="A691" s="154"/>
      <c r="B691" s="155"/>
      <c r="C691" s="155"/>
      <c r="D691" s="155"/>
      <c r="E691" s="156"/>
      <c r="F691" s="156"/>
      <c r="G691" s="155"/>
      <c r="H691" s="155"/>
      <c r="I691" s="155"/>
      <c r="J691" s="157"/>
      <c r="K691" s="157"/>
      <c r="L691" s="155"/>
      <c r="M691" s="155"/>
      <c r="N691" s="155"/>
      <c r="O691" s="156"/>
      <c r="P691" s="156"/>
      <c r="Q691" s="155"/>
      <c r="R691" s="155"/>
      <c r="S691" s="155"/>
      <c r="T691" s="156"/>
      <c r="U691" s="156"/>
      <c r="V691" s="155"/>
      <c r="W691" s="155"/>
      <c r="X691" s="155"/>
      <c r="Y691" s="155"/>
      <c r="Z691" s="155"/>
      <c r="AA691" s="156"/>
      <c r="AB691" s="156"/>
      <c r="AC691" s="155"/>
      <c r="AD691" s="155"/>
      <c r="AE691" s="155"/>
      <c r="AF691" s="156"/>
      <c r="AG691" s="156"/>
      <c r="AH691" s="155"/>
      <c r="AI691" s="155"/>
      <c r="AJ691" s="155"/>
      <c r="AK691" s="156"/>
      <c r="AL691" s="156"/>
      <c r="AM691" s="155"/>
      <c r="AN691" s="155"/>
      <c r="AO691" s="155"/>
      <c r="AP691" s="156"/>
      <c r="AQ691" s="156"/>
      <c r="AR691" s="155"/>
      <c r="AS691" s="155"/>
      <c r="AT691" s="155"/>
      <c r="AU691" s="156"/>
      <c r="AV691" s="156"/>
      <c r="AW691" s="155"/>
      <c r="AX691" s="155"/>
      <c r="AY691" s="155"/>
      <c r="AZ691" s="156"/>
      <c r="BA691" s="156"/>
      <c r="BB691" s="155"/>
      <c r="BC691" s="155"/>
      <c r="BD691" s="155"/>
      <c r="BE691" s="155"/>
      <c r="BF691" s="155"/>
      <c r="BG691" s="158"/>
      <c r="BH691" s="158"/>
      <c r="BI691" s="155"/>
      <c r="BJ691" s="155"/>
      <c r="BK691" s="159"/>
      <c r="BL691" s="156"/>
      <c r="BM691" s="156"/>
      <c r="BN691" s="156"/>
      <c r="BO691" s="156"/>
      <c r="BP691" s="160"/>
      <c r="BQ691" s="160"/>
      <c r="BR691" s="160"/>
      <c r="BS691" s="160"/>
    </row>
    <row r="692" spans="1:71" x14ac:dyDescent="0.25">
      <c r="A692" s="154"/>
      <c r="B692" s="155"/>
      <c r="C692" s="155"/>
      <c r="D692" s="155"/>
      <c r="E692" s="156"/>
      <c r="F692" s="156"/>
      <c r="G692" s="155"/>
      <c r="H692" s="155"/>
      <c r="I692" s="155"/>
      <c r="J692" s="157"/>
      <c r="K692" s="157"/>
      <c r="L692" s="155"/>
      <c r="M692" s="155"/>
      <c r="N692" s="155"/>
      <c r="O692" s="156"/>
      <c r="P692" s="156"/>
      <c r="Q692" s="155"/>
      <c r="R692" s="155"/>
      <c r="S692" s="155"/>
      <c r="T692" s="156"/>
      <c r="U692" s="156"/>
      <c r="V692" s="155"/>
      <c r="W692" s="155"/>
      <c r="X692" s="155"/>
      <c r="Y692" s="155"/>
      <c r="Z692" s="155"/>
      <c r="AA692" s="156"/>
      <c r="AB692" s="156"/>
      <c r="AC692" s="155"/>
      <c r="AD692" s="155"/>
      <c r="AE692" s="155"/>
      <c r="AF692" s="156"/>
      <c r="AG692" s="156"/>
      <c r="AH692" s="155"/>
      <c r="AI692" s="155"/>
      <c r="AJ692" s="155"/>
      <c r="AK692" s="156"/>
      <c r="AL692" s="156"/>
      <c r="AM692" s="155"/>
      <c r="AN692" s="155"/>
      <c r="AO692" s="155"/>
      <c r="AP692" s="156"/>
      <c r="AQ692" s="156"/>
      <c r="AR692" s="155"/>
      <c r="AS692" s="155"/>
      <c r="AT692" s="155"/>
      <c r="AU692" s="156"/>
      <c r="AV692" s="156"/>
      <c r="AW692" s="155"/>
      <c r="AX692" s="155"/>
      <c r="AY692" s="155"/>
      <c r="AZ692" s="156"/>
      <c r="BA692" s="156"/>
      <c r="BB692" s="155"/>
      <c r="BC692" s="155"/>
      <c r="BD692" s="155"/>
      <c r="BE692" s="155"/>
      <c r="BF692" s="155"/>
      <c r="BG692" s="158"/>
      <c r="BH692" s="158"/>
      <c r="BI692" s="155"/>
      <c r="BJ692" s="155"/>
      <c r="BK692" s="159"/>
      <c r="BL692" s="156"/>
      <c r="BM692" s="156"/>
      <c r="BN692" s="156"/>
      <c r="BO692" s="156"/>
      <c r="BP692" s="160"/>
      <c r="BQ692" s="160"/>
      <c r="BR692" s="160"/>
      <c r="BS692" s="160"/>
    </row>
    <row r="693" spans="1:71" x14ac:dyDescent="0.25">
      <c r="A693" s="154"/>
      <c r="B693" s="155"/>
      <c r="C693" s="155"/>
      <c r="D693" s="155"/>
      <c r="E693" s="156"/>
      <c r="F693" s="156"/>
      <c r="G693" s="155"/>
      <c r="H693" s="155"/>
      <c r="I693" s="155"/>
      <c r="J693" s="157"/>
      <c r="K693" s="157"/>
      <c r="L693" s="155"/>
      <c r="M693" s="155"/>
      <c r="N693" s="155"/>
      <c r="O693" s="156"/>
      <c r="P693" s="156"/>
      <c r="Q693" s="155"/>
      <c r="R693" s="155"/>
      <c r="S693" s="155"/>
      <c r="T693" s="156"/>
      <c r="U693" s="156"/>
      <c r="V693" s="155"/>
      <c r="W693" s="155"/>
      <c r="X693" s="155"/>
      <c r="Y693" s="155"/>
      <c r="Z693" s="155"/>
      <c r="AA693" s="156"/>
      <c r="AB693" s="156"/>
      <c r="AC693" s="155"/>
      <c r="AD693" s="155"/>
      <c r="AE693" s="155"/>
      <c r="AF693" s="156"/>
      <c r="AG693" s="156"/>
      <c r="AH693" s="155"/>
      <c r="AI693" s="155"/>
      <c r="AJ693" s="155"/>
      <c r="AK693" s="156"/>
      <c r="AL693" s="156"/>
      <c r="AM693" s="155"/>
      <c r="AN693" s="155"/>
      <c r="AO693" s="155"/>
      <c r="AP693" s="156"/>
      <c r="AQ693" s="156"/>
      <c r="AR693" s="155"/>
      <c r="AS693" s="155"/>
      <c r="AT693" s="155"/>
      <c r="AU693" s="156"/>
      <c r="AV693" s="156"/>
      <c r="AW693" s="155"/>
      <c r="AX693" s="155"/>
      <c r="AY693" s="155"/>
      <c r="AZ693" s="156"/>
      <c r="BA693" s="156"/>
      <c r="BB693" s="155"/>
      <c r="BC693" s="155"/>
      <c r="BD693" s="155"/>
      <c r="BE693" s="155"/>
      <c r="BF693" s="155"/>
      <c r="BG693" s="158"/>
      <c r="BH693" s="158"/>
      <c r="BI693" s="155"/>
      <c r="BJ693" s="155"/>
      <c r="BK693" s="159"/>
      <c r="BL693" s="156"/>
      <c r="BM693" s="156"/>
      <c r="BN693" s="156"/>
      <c r="BO693" s="156"/>
      <c r="BP693" s="160"/>
      <c r="BQ693" s="160"/>
      <c r="BR693" s="160"/>
      <c r="BS693" s="160"/>
    </row>
    <row r="694" spans="1:71" x14ac:dyDescent="0.25">
      <c r="A694" s="154"/>
      <c r="B694" s="155"/>
      <c r="C694" s="155"/>
      <c r="D694" s="155"/>
      <c r="E694" s="156"/>
      <c r="F694" s="156"/>
      <c r="G694" s="155"/>
      <c r="H694" s="155"/>
      <c r="I694" s="155"/>
      <c r="J694" s="157"/>
      <c r="K694" s="157"/>
      <c r="L694" s="155"/>
      <c r="M694" s="155"/>
      <c r="N694" s="155"/>
      <c r="O694" s="156"/>
      <c r="P694" s="156"/>
      <c r="Q694" s="155"/>
      <c r="R694" s="155"/>
      <c r="S694" s="155"/>
      <c r="T694" s="156"/>
      <c r="U694" s="156"/>
      <c r="V694" s="155"/>
      <c r="W694" s="155"/>
      <c r="X694" s="155"/>
      <c r="Y694" s="155"/>
      <c r="Z694" s="155"/>
      <c r="AA694" s="156"/>
      <c r="AB694" s="156"/>
      <c r="AC694" s="155"/>
      <c r="AD694" s="155"/>
      <c r="AE694" s="155"/>
      <c r="AF694" s="156"/>
      <c r="AG694" s="156"/>
      <c r="AH694" s="155"/>
      <c r="AI694" s="155"/>
      <c r="AJ694" s="155"/>
      <c r="AK694" s="156"/>
      <c r="AL694" s="156"/>
      <c r="AM694" s="155"/>
      <c r="AN694" s="155"/>
      <c r="AO694" s="155"/>
      <c r="AP694" s="156"/>
      <c r="AQ694" s="156"/>
      <c r="AR694" s="155"/>
      <c r="AS694" s="155"/>
      <c r="AT694" s="155"/>
      <c r="AU694" s="156"/>
      <c r="AV694" s="156"/>
      <c r="AW694" s="155"/>
      <c r="AX694" s="155"/>
      <c r="AY694" s="155"/>
      <c r="AZ694" s="156"/>
      <c r="BA694" s="156"/>
      <c r="BB694" s="155"/>
      <c r="BC694" s="155"/>
      <c r="BD694" s="155"/>
      <c r="BE694" s="155"/>
      <c r="BF694" s="155"/>
      <c r="BG694" s="158"/>
      <c r="BH694" s="158"/>
      <c r="BI694" s="155"/>
      <c r="BJ694" s="155"/>
      <c r="BK694" s="159"/>
      <c r="BL694" s="156"/>
      <c r="BM694" s="156"/>
      <c r="BN694" s="156"/>
      <c r="BO694" s="156"/>
      <c r="BP694" s="160"/>
      <c r="BQ694" s="160"/>
      <c r="BR694" s="160"/>
      <c r="BS694" s="160"/>
    </row>
    <row r="695" spans="1:71" x14ac:dyDescent="0.25">
      <c r="A695" s="154"/>
      <c r="B695" s="155"/>
      <c r="C695" s="155"/>
      <c r="D695" s="155"/>
      <c r="E695" s="156"/>
      <c r="F695" s="156"/>
      <c r="G695" s="155"/>
      <c r="H695" s="155"/>
      <c r="I695" s="155"/>
      <c r="J695" s="157"/>
      <c r="K695" s="157"/>
      <c r="L695" s="155"/>
      <c r="M695" s="155"/>
      <c r="N695" s="155"/>
      <c r="O695" s="156"/>
      <c r="P695" s="156"/>
      <c r="Q695" s="155"/>
      <c r="R695" s="155"/>
      <c r="S695" s="155"/>
      <c r="T695" s="156"/>
      <c r="U695" s="156"/>
      <c r="V695" s="155"/>
      <c r="W695" s="155"/>
      <c r="X695" s="155"/>
      <c r="Y695" s="155"/>
      <c r="Z695" s="155"/>
      <c r="AA695" s="156"/>
      <c r="AB695" s="156"/>
      <c r="AC695" s="155"/>
      <c r="AD695" s="155"/>
      <c r="AE695" s="155"/>
      <c r="AF695" s="156"/>
      <c r="AG695" s="156"/>
      <c r="AH695" s="155"/>
      <c r="AI695" s="155"/>
      <c r="AJ695" s="155"/>
      <c r="AK695" s="156"/>
      <c r="AL695" s="156"/>
      <c r="AM695" s="155"/>
      <c r="AN695" s="155"/>
      <c r="AO695" s="155"/>
      <c r="AP695" s="156"/>
      <c r="AQ695" s="156"/>
      <c r="AR695" s="155"/>
      <c r="AS695" s="155"/>
      <c r="AT695" s="155"/>
      <c r="AU695" s="156"/>
      <c r="AV695" s="156"/>
      <c r="AW695" s="155"/>
      <c r="AX695" s="155"/>
      <c r="AY695" s="155"/>
      <c r="AZ695" s="156"/>
      <c r="BA695" s="156"/>
      <c r="BB695" s="155"/>
      <c r="BC695" s="155"/>
      <c r="BD695" s="155"/>
      <c r="BE695" s="155"/>
      <c r="BF695" s="155"/>
      <c r="BG695" s="158"/>
      <c r="BH695" s="158"/>
      <c r="BI695" s="155"/>
      <c r="BJ695" s="155"/>
      <c r="BK695" s="159"/>
      <c r="BL695" s="156"/>
      <c r="BM695" s="156"/>
      <c r="BN695" s="156"/>
      <c r="BO695" s="156"/>
      <c r="BP695" s="160"/>
      <c r="BQ695" s="160"/>
      <c r="BR695" s="160"/>
      <c r="BS695" s="160"/>
    </row>
    <row r="696" spans="1:71" x14ac:dyDescent="0.25">
      <c r="A696" s="154"/>
      <c r="B696" s="155"/>
      <c r="C696" s="155"/>
      <c r="D696" s="155"/>
      <c r="E696" s="156"/>
      <c r="F696" s="156"/>
      <c r="G696" s="155"/>
      <c r="H696" s="155"/>
      <c r="I696" s="155"/>
      <c r="J696" s="157"/>
      <c r="K696" s="157"/>
      <c r="L696" s="155"/>
      <c r="M696" s="155"/>
      <c r="N696" s="155"/>
      <c r="O696" s="156"/>
      <c r="P696" s="156"/>
      <c r="Q696" s="155"/>
      <c r="R696" s="155"/>
      <c r="S696" s="155"/>
      <c r="T696" s="156"/>
      <c r="U696" s="156"/>
      <c r="V696" s="155"/>
      <c r="W696" s="155"/>
      <c r="X696" s="155"/>
      <c r="Y696" s="155"/>
      <c r="Z696" s="155"/>
      <c r="AA696" s="156"/>
      <c r="AB696" s="156"/>
      <c r="AC696" s="155"/>
      <c r="AD696" s="155"/>
      <c r="AE696" s="155"/>
      <c r="AF696" s="156"/>
      <c r="AG696" s="156"/>
      <c r="AH696" s="155"/>
      <c r="AI696" s="155"/>
      <c r="AJ696" s="155"/>
      <c r="AK696" s="156"/>
      <c r="AL696" s="156"/>
      <c r="AM696" s="155"/>
      <c r="AN696" s="155"/>
      <c r="AO696" s="155"/>
      <c r="AP696" s="156"/>
      <c r="AQ696" s="156"/>
      <c r="AR696" s="155"/>
      <c r="AS696" s="155"/>
      <c r="AT696" s="155"/>
      <c r="AU696" s="156"/>
      <c r="AV696" s="156"/>
      <c r="AW696" s="155"/>
      <c r="AX696" s="155"/>
      <c r="AY696" s="155"/>
      <c r="AZ696" s="156"/>
      <c r="BA696" s="156"/>
      <c r="BB696" s="155"/>
      <c r="BC696" s="155"/>
      <c r="BD696" s="155"/>
      <c r="BE696" s="155"/>
      <c r="BF696" s="155"/>
      <c r="BG696" s="158"/>
      <c r="BH696" s="158"/>
      <c r="BI696" s="155"/>
      <c r="BJ696" s="155"/>
      <c r="BK696" s="159"/>
      <c r="BL696" s="156"/>
      <c r="BM696" s="156"/>
      <c r="BN696" s="156"/>
      <c r="BO696" s="156"/>
      <c r="BP696" s="160"/>
      <c r="BQ696" s="160"/>
      <c r="BR696" s="160"/>
      <c r="BS696" s="160"/>
    </row>
    <row r="697" spans="1:71" x14ac:dyDescent="0.25">
      <c r="A697" s="154"/>
      <c r="B697" s="155"/>
      <c r="C697" s="155"/>
      <c r="D697" s="155"/>
      <c r="E697" s="156"/>
      <c r="F697" s="156"/>
      <c r="G697" s="155"/>
      <c r="H697" s="155"/>
      <c r="I697" s="155"/>
      <c r="J697" s="157"/>
      <c r="K697" s="157"/>
      <c r="L697" s="155"/>
      <c r="M697" s="155"/>
      <c r="N697" s="155"/>
      <c r="O697" s="156"/>
      <c r="P697" s="156"/>
      <c r="Q697" s="155"/>
      <c r="R697" s="155"/>
      <c r="S697" s="155"/>
      <c r="T697" s="156"/>
      <c r="U697" s="156"/>
      <c r="V697" s="155"/>
      <c r="W697" s="155"/>
      <c r="X697" s="155"/>
      <c r="Y697" s="155"/>
      <c r="Z697" s="155"/>
      <c r="AA697" s="156"/>
      <c r="AB697" s="156"/>
      <c r="AC697" s="155"/>
      <c r="AD697" s="155"/>
      <c r="AE697" s="155"/>
      <c r="AF697" s="156"/>
      <c r="AG697" s="156"/>
      <c r="AH697" s="155"/>
      <c r="AI697" s="155"/>
      <c r="AJ697" s="155"/>
      <c r="AK697" s="156"/>
      <c r="AL697" s="156"/>
      <c r="AM697" s="155"/>
      <c r="AN697" s="155"/>
      <c r="AO697" s="155"/>
      <c r="AP697" s="156"/>
      <c r="AQ697" s="156"/>
      <c r="AR697" s="155"/>
      <c r="AS697" s="155"/>
      <c r="AT697" s="155"/>
      <c r="AU697" s="156"/>
      <c r="AV697" s="156"/>
      <c r="AW697" s="155"/>
      <c r="AX697" s="155"/>
      <c r="AY697" s="155"/>
      <c r="AZ697" s="156"/>
      <c r="BA697" s="156"/>
      <c r="BB697" s="155"/>
      <c r="BC697" s="155"/>
      <c r="BD697" s="155"/>
      <c r="BE697" s="155"/>
      <c r="BF697" s="155"/>
      <c r="BG697" s="158"/>
      <c r="BH697" s="158"/>
      <c r="BI697" s="155"/>
      <c r="BJ697" s="155"/>
      <c r="BK697" s="159"/>
      <c r="BL697" s="156"/>
      <c r="BM697" s="156"/>
      <c r="BN697" s="156"/>
      <c r="BO697" s="156"/>
      <c r="BP697" s="160"/>
      <c r="BQ697" s="160"/>
      <c r="BR697" s="160"/>
      <c r="BS697" s="160"/>
    </row>
    <row r="698" spans="1:71" x14ac:dyDescent="0.25">
      <c r="A698" s="154"/>
      <c r="B698" s="155"/>
      <c r="C698" s="155"/>
      <c r="D698" s="155"/>
      <c r="E698" s="156"/>
      <c r="F698" s="156"/>
      <c r="G698" s="155"/>
      <c r="H698" s="155"/>
      <c r="I698" s="155"/>
      <c r="J698" s="157"/>
      <c r="K698" s="157"/>
      <c r="L698" s="155"/>
      <c r="M698" s="155"/>
      <c r="N698" s="155"/>
      <c r="O698" s="156"/>
      <c r="P698" s="156"/>
      <c r="Q698" s="155"/>
      <c r="R698" s="155"/>
      <c r="S698" s="155"/>
      <c r="T698" s="156"/>
      <c r="U698" s="156"/>
      <c r="V698" s="155"/>
      <c r="W698" s="155"/>
      <c r="X698" s="155"/>
      <c r="Y698" s="155"/>
      <c r="Z698" s="155"/>
      <c r="AA698" s="156"/>
      <c r="AB698" s="156"/>
      <c r="AC698" s="155"/>
      <c r="AD698" s="155"/>
      <c r="AE698" s="155"/>
      <c r="AF698" s="156"/>
      <c r="AG698" s="156"/>
      <c r="AH698" s="155"/>
      <c r="AI698" s="155"/>
      <c r="AJ698" s="155"/>
      <c r="AK698" s="156"/>
      <c r="AL698" s="156"/>
      <c r="AM698" s="155"/>
      <c r="AN698" s="155"/>
      <c r="AO698" s="155"/>
      <c r="AP698" s="156"/>
      <c r="AQ698" s="156"/>
      <c r="AR698" s="155"/>
      <c r="AS698" s="155"/>
      <c r="AT698" s="155"/>
      <c r="AU698" s="156"/>
      <c r="AV698" s="156"/>
      <c r="AW698" s="155"/>
      <c r="AX698" s="155"/>
      <c r="AY698" s="155"/>
      <c r="AZ698" s="156"/>
      <c r="BA698" s="156"/>
      <c r="BB698" s="155"/>
      <c r="BC698" s="155"/>
      <c r="BD698" s="155"/>
      <c r="BE698" s="155"/>
      <c r="BF698" s="155"/>
      <c r="BG698" s="158"/>
      <c r="BH698" s="158"/>
      <c r="BI698" s="155"/>
      <c r="BJ698" s="155"/>
      <c r="BK698" s="159"/>
      <c r="BL698" s="156"/>
      <c r="BM698" s="156"/>
      <c r="BN698" s="156"/>
      <c r="BO698" s="156"/>
      <c r="BP698" s="160"/>
      <c r="BQ698" s="160"/>
      <c r="BR698" s="160"/>
      <c r="BS698" s="160"/>
    </row>
    <row r="699" spans="1:71" x14ac:dyDescent="0.25">
      <c r="A699" s="154"/>
      <c r="B699" s="155"/>
      <c r="C699" s="155"/>
      <c r="D699" s="155"/>
      <c r="E699" s="156"/>
      <c r="F699" s="156"/>
      <c r="G699" s="155"/>
      <c r="H699" s="155"/>
      <c r="I699" s="155"/>
      <c r="J699" s="157"/>
      <c r="K699" s="157"/>
      <c r="L699" s="155"/>
      <c r="M699" s="155"/>
      <c r="N699" s="155"/>
      <c r="O699" s="156"/>
      <c r="P699" s="156"/>
      <c r="Q699" s="155"/>
      <c r="R699" s="155"/>
      <c r="S699" s="155"/>
      <c r="T699" s="156"/>
      <c r="U699" s="156"/>
      <c r="V699" s="155"/>
      <c r="W699" s="155"/>
      <c r="X699" s="155"/>
      <c r="Y699" s="155"/>
      <c r="Z699" s="155"/>
      <c r="AA699" s="156"/>
      <c r="AB699" s="156"/>
      <c r="AC699" s="155"/>
      <c r="AD699" s="155"/>
      <c r="AE699" s="155"/>
      <c r="AF699" s="156"/>
      <c r="AG699" s="156"/>
      <c r="AH699" s="155"/>
      <c r="AI699" s="155"/>
      <c r="AJ699" s="155"/>
      <c r="AK699" s="156"/>
      <c r="AL699" s="156"/>
      <c r="AM699" s="155"/>
      <c r="AN699" s="155"/>
      <c r="AO699" s="155"/>
      <c r="AP699" s="156"/>
      <c r="AQ699" s="156"/>
      <c r="AR699" s="155"/>
      <c r="AS699" s="155"/>
      <c r="AT699" s="155"/>
      <c r="AU699" s="156"/>
      <c r="AV699" s="156"/>
      <c r="AW699" s="155"/>
      <c r="AX699" s="155"/>
      <c r="AY699" s="155"/>
      <c r="AZ699" s="156"/>
      <c r="BA699" s="156"/>
      <c r="BB699" s="155"/>
      <c r="BC699" s="155"/>
      <c r="BD699" s="155"/>
      <c r="BE699" s="155"/>
      <c r="BF699" s="155"/>
      <c r="BG699" s="158"/>
      <c r="BH699" s="158"/>
      <c r="BI699" s="155"/>
      <c r="BJ699" s="155"/>
      <c r="BK699" s="159"/>
      <c r="BL699" s="156"/>
      <c r="BM699" s="156"/>
      <c r="BN699" s="156"/>
      <c r="BO699" s="156"/>
      <c r="BP699" s="160"/>
      <c r="BQ699" s="160"/>
      <c r="BR699" s="160"/>
      <c r="BS699" s="160"/>
    </row>
    <row r="700" spans="1:71" x14ac:dyDescent="0.25">
      <c r="A700" s="154"/>
      <c r="B700" s="155"/>
      <c r="C700" s="155"/>
      <c r="D700" s="155"/>
      <c r="E700" s="156"/>
      <c r="F700" s="156"/>
      <c r="G700" s="155"/>
      <c r="H700" s="155"/>
      <c r="I700" s="155"/>
      <c r="J700" s="157"/>
      <c r="K700" s="157"/>
      <c r="L700" s="155"/>
      <c r="M700" s="155"/>
      <c r="N700" s="155"/>
      <c r="O700" s="156"/>
      <c r="P700" s="156"/>
      <c r="Q700" s="155"/>
      <c r="R700" s="155"/>
      <c r="S700" s="155"/>
      <c r="T700" s="156"/>
      <c r="U700" s="156"/>
      <c r="V700" s="155"/>
      <c r="W700" s="155"/>
      <c r="X700" s="155"/>
      <c r="Y700" s="155"/>
      <c r="Z700" s="155"/>
      <c r="AA700" s="156"/>
      <c r="AB700" s="156"/>
      <c r="AC700" s="155"/>
      <c r="AD700" s="155"/>
      <c r="AE700" s="155"/>
      <c r="AF700" s="156"/>
      <c r="AG700" s="156"/>
      <c r="AH700" s="155"/>
      <c r="AI700" s="155"/>
      <c r="AJ700" s="155"/>
      <c r="AK700" s="156"/>
      <c r="AL700" s="156"/>
      <c r="AM700" s="155"/>
      <c r="AN700" s="155"/>
      <c r="AO700" s="155"/>
      <c r="AP700" s="156"/>
      <c r="AQ700" s="156"/>
      <c r="AR700" s="155"/>
      <c r="AS700" s="155"/>
      <c r="AT700" s="155"/>
      <c r="AU700" s="156"/>
      <c r="AV700" s="156"/>
      <c r="AW700" s="155"/>
      <c r="AX700" s="155"/>
      <c r="AY700" s="155"/>
      <c r="AZ700" s="156"/>
      <c r="BA700" s="156"/>
      <c r="BB700" s="155"/>
      <c r="BC700" s="155"/>
      <c r="BD700" s="155"/>
      <c r="BE700" s="155"/>
      <c r="BF700" s="155"/>
      <c r="BG700" s="158"/>
      <c r="BH700" s="158"/>
      <c r="BI700" s="155"/>
      <c r="BJ700" s="155"/>
      <c r="BK700" s="159"/>
      <c r="BL700" s="156"/>
      <c r="BM700" s="156"/>
      <c r="BN700" s="156"/>
      <c r="BO700" s="156"/>
      <c r="BP700" s="160"/>
      <c r="BQ700" s="160"/>
      <c r="BR700" s="160"/>
      <c r="BS700" s="160"/>
    </row>
    <row r="701" spans="1:71" x14ac:dyDescent="0.25">
      <c r="A701" s="154"/>
      <c r="B701" s="155"/>
      <c r="C701" s="155"/>
      <c r="D701" s="155"/>
      <c r="E701" s="156"/>
      <c r="F701" s="156"/>
      <c r="G701" s="155"/>
      <c r="H701" s="155"/>
      <c r="I701" s="155"/>
      <c r="J701" s="157"/>
      <c r="K701" s="157"/>
      <c r="L701" s="155"/>
      <c r="M701" s="155"/>
      <c r="N701" s="155"/>
      <c r="O701" s="156"/>
      <c r="P701" s="156"/>
      <c r="Q701" s="155"/>
      <c r="R701" s="155"/>
      <c r="S701" s="155"/>
      <c r="T701" s="156"/>
      <c r="U701" s="156"/>
      <c r="V701" s="155"/>
      <c r="W701" s="155"/>
      <c r="X701" s="155"/>
      <c r="Y701" s="155"/>
      <c r="Z701" s="155"/>
      <c r="AA701" s="156"/>
      <c r="AB701" s="156"/>
      <c r="AC701" s="155"/>
      <c r="AD701" s="155"/>
      <c r="AE701" s="155"/>
      <c r="AF701" s="156"/>
      <c r="AG701" s="156"/>
      <c r="AH701" s="155"/>
      <c r="AI701" s="155"/>
      <c r="AJ701" s="155"/>
      <c r="AK701" s="156"/>
      <c r="AL701" s="156"/>
      <c r="AM701" s="155"/>
      <c r="AN701" s="155"/>
      <c r="AO701" s="155"/>
      <c r="AP701" s="156"/>
      <c r="AQ701" s="156"/>
      <c r="AR701" s="155"/>
      <c r="AS701" s="155"/>
      <c r="AT701" s="155"/>
      <c r="AU701" s="156"/>
      <c r="AV701" s="156"/>
      <c r="AW701" s="155"/>
      <c r="AX701" s="155"/>
      <c r="AY701" s="155"/>
      <c r="AZ701" s="156"/>
      <c r="BA701" s="156"/>
      <c r="BB701" s="155"/>
      <c r="BC701" s="155"/>
      <c r="BD701" s="155"/>
      <c r="BE701" s="155"/>
      <c r="BF701" s="155"/>
      <c r="BG701" s="158"/>
      <c r="BH701" s="158"/>
      <c r="BI701" s="155"/>
      <c r="BJ701" s="155"/>
      <c r="BK701" s="159"/>
      <c r="BL701" s="156"/>
      <c r="BM701" s="156"/>
      <c r="BN701" s="156"/>
      <c r="BO701" s="156"/>
      <c r="BP701" s="160"/>
      <c r="BQ701" s="160"/>
      <c r="BR701" s="160"/>
      <c r="BS701" s="160"/>
    </row>
    <row r="702" spans="1:71" x14ac:dyDescent="0.25">
      <c r="A702" s="154"/>
      <c r="B702" s="155"/>
      <c r="C702" s="155"/>
      <c r="D702" s="155"/>
      <c r="E702" s="156"/>
      <c r="F702" s="156"/>
      <c r="G702" s="155"/>
      <c r="H702" s="155"/>
      <c r="I702" s="155"/>
      <c r="J702" s="157"/>
      <c r="K702" s="157"/>
      <c r="L702" s="155"/>
      <c r="M702" s="155"/>
      <c r="N702" s="155"/>
      <c r="O702" s="156"/>
      <c r="P702" s="156"/>
      <c r="Q702" s="155"/>
      <c r="R702" s="155"/>
      <c r="S702" s="155"/>
      <c r="T702" s="156"/>
      <c r="U702" s="156"/>
      <c r="V702" s="155"/>
      <c r="W702" s="155"/>
      <c r="X702" s="155"/>
      <c r="Y702" s="155"/>
      <c r="Z702" s="155"/>
      <c r="AA702" s="156"/>
      <c r="AB702" s="156"/>
      <c r="AC702" s="155"/>
      <c r="AD702" s="155"/>
      <c r="AE702" s="155"/>
      <c r="AF702" s="156"/>
      <c r="AG702" s="156"/>
      <c r="AH702" s="155"/>
      <c r="AI702" s="155"/>
      <c r="AJ702" s="155"/>
      <c r="AK702" s="156"/>
      <c r="AL702" s="156"/>
      <c r="AM702" s="155"/>
      <c r="AN702" s="155"/>
      <c r="AO702" s="155"/>
      <c r="AP702" s="156"/>
      <c r="AQ702" s="156"/>
      <c r="AR702" s="155"/>
      <c r="AS702" s="155"/>
      <c r="AT702" s="155"/>
      <c r="AU702" s="156"/>
      <c r="AV702" s="156"/>
      <c r="AW702" s="155"/>
      <c r="AX702" s="155"/>
      <c r="AY702" s="155"/>
      <c r="AZ702" s="156"/>
      <c r="BA702" s="156"/>
      <c r="BB702" s="155"/>
      <c r="BC702" s="155"/>
      <c r="BD702" s="155"/>
      <c r="BE702" s="155"/>
      <c r="BF702" s="155"/>
      <c r="BG702" s="158"/>
      <c r="BH702" s="158"/>
      <c r="BI702" s="155"/>
      <c r="BJ702" s="155"/>
      <c r="BK702" s="159"/>
      <c r="BL702" s="156"/>
      <c r="BM702" s="156"/>
      <c r="BN702" s="156"/>
      <c r="BO702" s="156"/>
      <c r="BP702" s="160"/>
      <c r="BQ702" s="160"/>
      <c r="BR702" s="160"/>
      <c r="BS702" s="160"/>
    </row>
    <row r="703" spans="1:71" x14ac:dyDescent="0.25">
      <c r="A703" s="154"/>
      <c r="B703" s="155"/>
      <c r="C703" s="155"/>
      <c r="D703" s="155"/>
      <c r="E703" s="156"/>
      <c r="F703" s="156"/>
      <c r="G703" s="155"/>
      <c r="H703" s="155"/>
      <c r="I703" s="155"/>
      <c r="J703" s="157"/>
      <c r="K703" s="157"/>
      <c r="L703" s="155"/>
      <c r="M703" s="155"/>
      <c r="N703" s="155"/>
      <c r="O703" s="156"/>
      <c r="P703" s="156"/>
      <c r="Q703" s="155"/>
      <c r="R703" s="155"/>
      <c r="S703" s="155"/>
      <c r="T703" s="156"/>
      <c r="U703" s="156"/>
      <c r="V703" s="155"/>
      <c r="W703" s="155"/>
      <c r="X703" s="155"/>
      <c r="Y703" s="155"/>
      <c r="Z703" s="155"/>
      <c r="AA703" s="156"/>
      <c r="AB703" s="156"/>
      <c r="AC703" s="155"/>
      <c r="AD703" s="155"/>
      <c r="AE703" s="155"/>
      <c r="AF703" s="156"/>
      <c r="AG703" s="156"/>
      <c r="AH703" s="155"/>
      <c r="AI703" s="155"/>
      <c r="AJ703" s="155"/>
      <c r="AK703" s="156"/>
      <c r="AL703" s="156"/>
      <c r="AM703" s="155"/>
      <c r="AN703" s="155"/>
      <c r="AO703" s="155"/>
      <c r="AP703" s="156"/>
      <c r="AQ703" s="156"/>
      <c r="AR703" s="155"/>
      <c r="AS703" s="155"/>
      <c r="AT703" s="155"/>
      <c r="AU703" s="156"/>
      <c r="AV703" s="156"/>
      <c r="AW703" s="155"/>
      <c r="AX703" s="155"/>
      <c r="AY703" s="155"/>
      <c r="AZ703" s="156"/>
      <c r="BA703" s="156"/>
      <c r="BB703" s="155"/>
      <c r="BC703" s="155"/>
      <c r="BD703" s="155"/>
      <c r="BE703" s="155"/>
      <c r="BF703" s="155"/>
      <c r="BG703" s="158"/>
      <c r="BH703" s="158"/>
      <c r="BI703" s="155"/>
      <c r="BJ703" s="155"/>
      <c r="BK703" s="159"/>
      <c r="BL703" s="156"/>
      <c r="BM703" s="156"/>
      <c r="BN703" s="156"/>
      <c r="BO703" s="156"/>
      <c r="BP703" s="160"/>
      <c r="BQ703" s="160"/>
      <c r="BR703" s="160"/>
      <c r="BS703" s="160"/>
    </row>
    <row r="704" spans="1:71" x14ac:dyDescent="0.25">
      <c r="A704" s="154"/>
      <c r="B704" s="155"/>
      <c r="C704" s="155"/>
      <c r="D704" s="155"/>
      <c r="E704" s="156"/>
      <c r="F704" s="156"/>
      <c r="G704" s="155"/>
      <c r="H704" s="155"/>
      <c r="I704" s="155"/>
      <c r="J704" s="157"/>
      <c r="K704" s="157"/>
      <c r="L704" s="155"/>
      <c r="M704" s="155"/>
      <c r="N704" s="155"/>
      <c r="O704" s="156"/>
      <c r="P704" s="156"/>
      <c r="Q704" s="155"/>
      <c r="R704" s="155"/>
      <c r="S704" s="155"/>
      <c r="T704" s="156"/>
      <c r="U704" s="156"/>
      <c r="V704" s="155"/>
      <c r="W704" s="155"/>
      <c r="X704" s="155"/>
      <c r="Y704" s="155"/>
      <c r="Z704" s="155"/>
      <c r="AA704" s="156"/>
      <c r="AB704" s="156"/>
      <c r="AC704" s="155"/>
      <c r="AD704" s="155"/>
      <c r="AE704" s="155"/>
      <c r="AF704" s="156"/>
      <c r="AG704" s="156"/>
      <c r="AH704" s="155"/>
      <c r="AI704" s="155"/>
      <c r="AJ704" s="155"/>
      <c r="AK704" s="156"/>
      <c r="AL704" s="156"/>
      <c r="AM704" s="155"/>
      <c r="AN704" s="155"/>
      <c r="AO704" s="155"/>
      <c r="AP704" s="156"/>
      <c r="AQ704" s="156"/>
      <c r="AR704" s="155"/>
      <c r="AS704" s="155"/>
      <c r="AT704" s="155"/>
      <c r="AU704" s="156"/>
      <c r="AV704" s="156"/>
      <c r="AW704" s="155"/>
      <c r="AX704" s="155"/>
      <c r="AY704" s="155"/>
      <c r="AZ704" s="156"/>
      <c r="BA704" s="156"/>
      <c r="BB704" s="155"/>
      <c r="BC704" s="155"/>
      <c r="BD704" s="155"/>
      <c r="BE704" s="155"/>
      <c r="BF704" s="155"/>
      <c r="BG704" s="158"/>
      <c r="BH704" s="158"/>
      <c r="BI704" s="155"/>
      <c r="BJ704" s="155"/>
      <c r="BK704" s="159"/>
      <c r="BL704" s="156"/>
      <c r="BM704" s="156"/>
      <c r="BN704" s="156"/>
      <c r="BO704" s="156"/>
      <c r="BP704" s="160"/>
      <c r="BQ704" s="160"/>
      <c r="BR704" s="160"/>
      <c r="BS704" s="160"/>
    </row>
    <row r="705" spans="1:71" x14ac:dyDescent="0.25">
      <c r="A705" s="154"/>
      <c r="B705" s="155"/>
      <c r="C705" s="155"/>
      <c r="D705" s="155"/>
      <c r="E705" s="156"/>
      <c r="F705" s="156"/>
      <c r="G705" s="155"/>
      <c r="H705" s="155"/>
      <c r="I705" s="155"/>
      <c r="J705" s="157"/>
      <c r="K705" s="157"/>
      <c r="L705" s="155"/>
      <c r="M705" s="155"/>
      <c r="N705" s="155"/>
      <c r="O705" s="156"/>
      <c r="P705" s="156"/>
      <c r="Q705" s="155"/>
      <c r="R705" s="155"/>
      <c r="S705" s="155"/>
      <c r="T705" s="156"/>
      <c r="U705" s="156"/>
      <c r="V705" s="155"/>
      <c r="W705" s="155"/>
      <c r="X705" s="155"/>
      <c r="Y705" s="155"/>
      <c r="Z705" s="155"/>
      <c r="AA705" s="156"/>
      <c r="AB705" s="156"/>
      <c r="AC705" s="155"/>
      <c r="AD705" s="155"/>
      <c r="AE705" s="155"/>
      <c r="AF705" s="156"/>
      <c r="AG705" s="156"/>
      <c r="AH705" s="155"/>
      <c r="AI705" s="155"/>
      <c r="AJ705" s="155"/>
      <c r="AK705" s="156"/>
      <c r="AL705" s="156"/>
      <c r="AM705" s="155"/>
      <c r="AN705" s="155"/>
      <c r="AO705" s="155"/>
      <c r="AP705" s="156"/>
      <c r="AQ705" s="156"/>
      <c r="AR705" s="155"/>
      <c r="AS705" s="155"/>
      <c r="AT705" s="155"/>
      <c r="AU705" s="156"/>
      <c r="AV705" s="156"/>
      <c r="AW705" s="155"/>
      <c r="AX705" s="155"/>
      <c r="AY705" s="155"/>
      <c r="AZ705" s="156"/>
      <c r="BA705" s="156"/>
      <c r="BB705" s="155"/>
      <c r="BC705" s="155"/>
      <c r="BD705" s="155"/>
      <c r="BE705" s="155"/>
      <c r="BF705" s="155"/>
      <c r="BG705" s="158"/>
      <c r="BH705" s="158"/>
      <c r="BI705" s="155"/>
      <c r="BJ705" s="155"/>
      <c r="BK705" s="159"/>
      <c r="BL705" s="156"/>
      <c r="BM705" s="156"/>
      <c r="BN705" s="156"/>
      <c r="BO705" s="156"/>
      <c r="BP705" s="160"/>
      <c r="BQ705" s="160"/>
      <c r="BR705" s="160"/>
      <c r="BS705" s="160"/>
    </row>
    <row r="706" spans="1:71" x14ac:dyDescent="0.25">
      <c r="A706" s="154"/>
      <c r="B706" s="155"/>
      <c r="C706" s="155"/>
      <c r="D706" s="155"/>
      <c r="E706" s="156"/>
      <c r="F706" s="156"/>
      <c r="G706" s="155"/>
      <c r="H706" s="155"/>
      <c r="I706" s="155"/>
      <c r="J706" s="157"/>
      <c r="K706" s="157"/>
      <c r="L706" s="155"/>
      <c r="M706" s="155"/>
      <c r="N706" s="155"/>
      <c r="O706" s="156"/>
      <c r="P706" s="156"/>
      <c r="Q706" s="155"/>
      <c r="R706" s="155"/>
      <c r="S706" s="155"/>
      <c r="T706" s="156"/>
      <c r="U706" s="156"/>
      <c r="V706" s="155"/>
      <c r="W706" s="155"/>
      <c r="X706" s="155"/>
      <c r="Y706" s="155"/>
      <c r="Z706" s="155"/>
      <c r="AA706" s="156"/>
      <c r="AB706" s="156"/>
      <c r="AC706" s="155"/>
      <c r="AD706" s="155"/>
      <c r="AE706" s="155"/>
      <c r="AF706" s="156"/>
      <c r="AG706" s="156"/>
      <c r="AH706" s="155"/>
      <c r="AI706" s="155"/>
      <c r="AJ706" s="155"/>
      <c r="AK706" s="156"/>
      <c r="AL706" s="156"/>
      <c r="AM706" s="155"/>
      <c r="AN706" s="155"/>
      <c r="AO706" s="155"/>
      <c r="AP706" s="156"/>
      <c r="AQ706" s="156"/>
      <c r="AR706" s="155"/>
      <c r="AS706" s="155"/>
      <c r="AT706" s="155"/>
      <c r="AU706" s="156"/>
      <c r="AV706" s="156"/>
      <c r="AW706" s="155"/>
      <c r="AX706" s="155"/>
      <c r="AY706" s="155"/>
      <c r="AZ706" s="156"/>
      <c r="BA706" s="156"/>
      <c r="BB706" s="155"/>
      <c r="BC706" s="155"/>
      <c r="BD706" s="155"/>
      <c r="BE706" s="155"/>
      <c r="BF706" s="155"/>
      <c r="BG706" s="158"/>
      <c r="BH706" s="158"/>
      <c r="BI706" s="155"/>
      <c r="BJ706" s="155"/>
      <c r="BK706" s="159"/>
      <c r="BL706" s="156"/>
      <c r="BM706" s="156"/>
      <c r="BN706" s="156"/>
      <c r="BO706" s="156"/>
      <c r="BP706" s="160"/>
      <c r="BQ706" s="160"/>
      <c r="BR706" s="160"/>
      <c r="BS706" s="160"/>
    </row>
    <row r="707" spans="1:71" x14ac:dyDescent="0.25">
      <c r="A707" s="154"/>
      <c r="B707" s="155"/>
      <c r="C707" s="155"/>
      <c r="D707" s="155"/>
      <c r="E707" s="156"/>
      <c r="F707" s="156"/>
      <c r="G707" s="155"/>
      <c r="H707" s="155"/>
      <c r="I707" s="155"/>
      <c r="J707" s="157"/>
      <c r="K707" s="157"/>
      <c r="L707" s="155"/>
      <c r="M707" s="155"/>
      <c r="N707" s="155"/>
      <c r="O707" s="156"/>
      <c r="P707" s="156"/>
      <c r="Q707" s="155"/>
      <c r="R707" s="155"/>
      <c r="S707" s="155"/>
      <c r="T707" s="156"/>
      <c r="U707" s="156"/>
      <c r="V707" s="155"/>
      <c r="W707" s="155"/>
      <c r="X707" s="155"/>
      <c r="Y707" s="155"/>
      <c r="Z707" s="155"/>
      <c r="AA707" s="156"/>
      <c r="AB707" s="156"/>
      <c r="AC707" s="155"/>
      <c r="AD707" s="155"/>
      <c r="AE707" s="155"/>
      <c r="AF707" s="156"/>
      <c r="AG707" s="156"/>
      <c r="AH707" s="155"/>
      <c r="AI707" s="155"/>
      <c r="AJ707" s="155"/>
      <c r="AK707" s="156"/>
      <c r="AL707" s="156"/>
      <c r="AM707" s="155"/>
      <c r="AN707" s="155"/>
      <c r="AO707" s="155"/>
      <c r="AP707" s="156"/>
      <c r="AQ707" s="156"/>
      <c r="AR707" s="155"/>
      <c r="AS707" s="155"/>
      <c r="AT707" s="155"/>
      <c r="AU707" s="156"/>
      <c r="AV707" s="156"/>
      <c r="AW707" s="155"/>
      <c r="AX707" s="155"/>
      <c r="AY707" s="155"/>
      <c r="AZ707" s="156"/>
      <c r="BA707" s="156"/>
      <c r="BB707" s="155"/>
      <c r="BC707" s="155"/>
      <c r="BD707" s="155"/>
      <c r="BE707" s="155"/>
      <c r="BF707" s="155"/>
      <c r="BG707" s="158"/>
      <c r="BH707" s="158"/>
      <c r="BI707" s="155"/>
      <c r="BJ707" s="155"/>
      <c r="BK707" s="159"/>
      <c r="BL707" s="156"/>
      <c r="BM707" s="156"/>
      <c r="BN707" s="156"/>
      <c r="BO707" s="156"/>
      <c r="BP707" s="160"/>
      <c r="BQ707" s="160"/>
      <c r="BR707" s="160"/>
      <c r="BS707" s="160"/>
    </row>
    <row r="708" spans="1:71" x14ac:dyDescent="0.25">
      <c r="A708" s="154"/>
      <c r="B708" s="155"/>
      <c r="C708" s="155"/>
      <c r="D708" s="155"/>
      <c r="E708" s="156"/>
      <c r="F708" s="156"/>
      <c r="G708" s="155"/>
      <c r="H708" s="155"/>
      <c r="I708" s="155"/>
      <c r="J708" s="157"/>
      <c r="K708" s="157"/>
      <c r="L708" s="155"/>
      <c r="M708" s="155"/>
      <c r="N708" s="155"/>
      <c r="O708" s="156"/>
      <c r="P708" s="156"/>
      <c r="Q708" s="155"/>
      <c r="R708" s="155"/>
      <c r="S708" s="155"/>
      <c r="T708" s="156"/>
      <c r="U708" s="156"/>
      <c r="V708" s="155"/>
      <c r="W708" s="155"/>
      <c r="X708" s="155"/>
      <c r="Y708" s="155"/>
      <c r="Z708" s="155"/>
      <c r="AA708" s="156"/>
      <c r="AB708" s="156"/>
      <c r="AC708" s="155"/>
      <c r="AD708" s="155"/>
      <c r="AE708" s="155"/>
      <c r="AF708" s="156"/>
      <c r="AG708" s="156"/>
      <c r="AH708" s="155"/>
      <c r="AI708" s="155"/>
      <c r="AJ708" s="155"/>
      <c r="AK708" s="156"/>
      <c r="AL708" s="156"/>
      <c r="AM708" s="155"/>
      <c r="AN708" s="155"/>
      <c r="AO708" s="155"/>
      <c r="AP708" s="156"/>
      <c r="AQ708" s="156"/>
      <c r="AR708" s="155"/>
      <c r="AS708" s="155"/>
      <c r="AT708" s="155"/>
      <c r="AU708" s="156"/>
      <c r="AV708" s="156"/>
      <c r="AW708" s="155"/>
      <c r="AX708" s="155"/>
      <c r="AY708" s="155"/>
      <c r="AZ708" s="156"/>
      <c r="BA708" s="156"/>
      <c r="BB708" s="155"/>
      <c r="BC708" s="155"/>
      <c r="BD708" s="155"/>
      <c r="BE708" s="155"/>
      <c r="BF708" s="155"/>
      <c r="BG708" s="158"/>
      <c r="BH708" s="158"/>
      <c r="BI708" s="155"/>
      <c r="BJ708" s="155"/>
      <c r="BK708" s="159"/>
      <c r="BL708" s="156"/>
      <c r="BM708" s="156"/>
      <c r="BN708" s="156"/>
      <c r="BO708" s="156"/>
      <c r="BP708" s="160"/>
      <c r="BQ708" s="160"/>
      <c r="BR708" s="160"/>
      <c r="BS708" s="160"/>
    </row>
    <row r="709" spans="1:71" x14ac:dyDescent="0.25">
      <c r="A709" s="154"/>
      <c r="B709" s="155"/>
      <c r="C709" s="155"/>
      <c r="D709" s="155"/>
      <c r="E709" s="156"/>
      <c r="F709" s="156"/>
      <c r="G709" s="155"/>
      <c r="H709" s="155"/>
      <c r="I709" s="155"/>
      <c r="J709" s="157"/>
      <c r="K709" s="157"/>
      <c r="L709" s="155"/>
      <c r="M709" s="155"/>
      <c r="N709" s="155"/>
      <c r="O709" s="156"/>
      <c r="P709" s="156"/>
      <c r="Q709" s="155"/>
      <c r="R709" s="155"/>
      <c r="S709" s="155"/>
      <c r="T709" s="156"/>
      <c r="U709" s="156"/>
      <c r="V709" s="155"/>
      <c r="W709" s="155"/>
      <c r="X709" s="155"/>
      <c r="Y709" s="155"/>
      <c r="Z709" s="155"/>
      <c r="AA709" s="156"/>
      <c r="AB709" s="156"/>
      <c r="AC709" s="155"/>
      <c r="AD709" s="155"/>
      <c r="AE709" s="155"/>
      <c r="AF709" s="156"/>
      <c r="AG709" s="156"/>
      <c r="AH709" s="155"/>
      <c r="AI709" s="155"/>
      <c r="AJ709" s="155"/>
      <c r="AK709" s="156"/>
      <c r="AL709" s="156"/>
      <c r="AM709" s="155"/>
      <c r="AN709" s="155"/>
      <c r="AO709" s="155"/>
      <c r="AP709" s="156"/>
      <c r="AQ709" s="156"/>
      <c r="AR709" s="155"/>
      <c r="AS709" s="155"/>
      <c r="AT709" s="155"/>
      <c r="AU709" s="156"/>
      <c r="AV709" s="156"/>
      <c r="AW709" s="155"/>
      <c r="AX709" s="155"/>
      <c r="AY709" s="155"/>
      <c r="AZ709" s="156"/>
      <c r="BA709" s="156"/>
      <c r="BB709" s="155"/>
      <c r="BC709" s="155"/>
      <c r="BD709" s="155"/>
      <c r="BE709" s="155"/>
      <c r="BF709" s="155"/>
      <c r="BG709" s="158"/>
      <c r="BH709" s="158"/>
      <c r="BI709" s="155"/>
      <c r="BJ709" s="155"/>
      <c r="BK709" s="159"/>
      <c r="BL709" s="156"/>
      <c r="BM709" s="156"/>
      <c r="BN709" s="156"/>
      <c r="BO709" s="156"/>
      <c r="BP709" s="160"/>
      <c r="BQ709" s="160"/>
      <c r="BR709" s="160"/>
      <c r="BS709" s="160"/>
    </row>
    <row r="710" spans="1:71" x14ac:dyDescent="0.25">
      <c r="A710" s="154"/>
      <c r="B710" s="155"/>
      <c r="C710" s="155"/>
      <c r="D710" s="155"/>
      <c r="E710" s="156"/>
      <c r="F710" s="156"/>
      <c r="G710" s="155"/>
      <c r="H710" s="155"/>
      <c r="I710" s="155"/>
      <c r="J710" s="157"/>
      <c r="K710" s="157"/>
      <c r="L710" s="155"/>
      <c r="M710" s="155"/>
      <c r="N710" s="155"/>
      <c r="O710" s="156"/>
      <c r="P710" s="156"/>
      <c r="Q710" s="155"/>
      <c r="R710" s="155"/>
      <c r="S710" s="155"/>
      <c r="T710" s="156"/>
      <c r="U710" s="156"/>
      <c r="V710" s="155"/>
      <c r="W710" s="155"/>
      <c r="X710" s="155"/>
      <c r="Y710" s="155"/>
      <c r="Z710" s="155"/>
      <c r="AA710" s="156"/>
      <c r="AB710" s="156"/>
      <c r="AC710" s="155"/>
      <c r="AD710" s="155"/>
      <c r="AE710" s="155"/>
      <c r="AF710" s="156"/>
      <c r="AG710" s="156"/>
      <c r="AH710" s="155"/>
      <c r="AI710" s="155"/>
      <c r="AJ710" s="155"/>
      <c r="AK710" s="156"/>
      <c r="AL710" s="156"/>
      <c r="AM710" s="155"/>
      <c r="AN710" s="155"/>
      <c r="AO710" s="155"/>
      <c r="AP710" s="156"/>
      <c r="AQ710" s="156"/>
      <c r="AR710" s="155"/>
      <c r="AS710" s="155"/>
      <c r="AT710" s="155"/>
      <c r="AU710" s="156"/>
      <c r="AV710" s="156"/>
      <c r="AW710" s="155"/>
      <c r="AX710" s="155"/>
      <c r="AY710" s="155"/>
      <c r="AZ710" s="156"/>
      <c r="BA710" s="156"/>
      <c r="BB710" s="155"/>
      <c r="BC710" s="155"/>
      <c r="BD710" s="155"/>
      <c r="BE710" s="155"/>
      <c r="BF710" s="155"/>
      <c r="BG710" s="158"/>
      <c r="BH710" s="158"/>
      <c r="BI710" s="155"/>
      <c r="BJ710" s="155"/>
      <c r="BK710" s="159"/>
      <c r="BL710" s="156"/>
      <c r="BM710" s="156"/>
      <c r="BN710" s="156"/>
      <c r="BO710" s="156"/>
      <c r="BP710" s="160"/>
      <c r="BQ710" s="160"/>
      <c r="BR710" s="160"/>
      <c r="BS710" s="160"/>
    </row>
    <row r="711" spans="1:71" x14ac:dyDescent="0.25">
      <c r="A711" s="154"/>
      <c r="B711" s="155"/>
      <c r="C711" s="155"/>
      <c r="D711" s="155"/>
      <c r="E711" s="156"/>
      <c r="F711" s="156"/>
      <c r="G711" s="155"/>
      <c r="H711" s="155"/>
      <c r="I711" s="155"/>
      <c r="J711" s="157"/>
      <c r="K711" s="157"/>
      <c r="L711" s="155"/>
      <c r="M711" s="155"/>
      <c r="N711" s="155"/>
      <c r="O711" s="156"/>
      <c r="P711" s="156"/>
      <c r="Q711" s="155"/>
      <c r="R711" s="155"/>
      <c r="S711" s="155"/>
      <c r="T711" s="156"/>
      <c r="U711" s="156"/>
      <c r="V711" s="155"/>
      <c r="W711" s="155"/>
      <c r="X711" s="155"/>
      <c r="Y711" s="155"/>
      <c r="Z711" s="155"/>
      <c r="AA711" s="156"/>
      <c r="AB711" s="156"/>
      <c r="AC711" s="155"/>
      <c r="AD711" s="155"/>
      <c r="AE711" s="155"/>
      <c r="AF711" s="156"/>
      <c r="AG711" s="156"/>
      <c r="AH711" s="155"/>
      <c r="AI711" s="155"/>
      <c r="AJ711" s="155"/>
      <c r="AK711" s="156"/>
      <c r="AL711" s="156"/>
      <c r="AM711" s="155"/>
      <c r="AN711" s="155"/>
      <c r="AO711" s="155"/>
      <c r="AP711" s="156"/>
      <c r="AQ711" s="156"/>
      <c r="AR711" s="155"/>
      <c r="AS711" s="155"/>
      <c r="AT711" s="155"/>
      <c r="AU711" s="156"/>
      <c r="AV711" s="156"/>
      <c r="AW711" s="155"/>
      <c r="AX711" s="155"/>
      <c r="AY711" s="155"/>
      <c r="AZ711" s="156"/>
      <c r="BA711" s="156"/>
      <c r="BB711" s="155"/>
      <c r="BC711" s="155"/>
      <c r="BD711" s="155"/>
      <c r="BE711" s="155"/>
      <c r="BF711" s="155"/>
      <c r="BG711" s="158"/>
      <c r="BH711" s="158"/>
      <c r="BI711" s="155"/>
      <c r="BJ711" s="155"/>
      <c r="BK711" s="159"/>
      <c r="BL711" s="156"/>
      <c r="BM711" s="156"/>
      <c r="BN711" s="156"/>
      <c r="BO711" s="156"/>
      <c r="BP711" s="160"/>
      <c r="BQ711" s="160"/>
      <c r="BR711" s="160"/>
      <c r="BS711" s="160"/>
    </row>
    <row r="712" spans="1:71" x14ac:dyDescent="0.25">
      <c r="A712" s="154"/>
      <c r="B712" s="155"/>
      <c r="C712" s="155"/>
      <c r="D712" s="155"/>
      <c r="E712" s="156"/>
      <c r="F712" s="156"/>
      <c r="G712" s="155"/>
      <c r="H712" s="155"/>
      <c r="I712" s="155"/>
      <c r="J712" s="157"/>
      <c r="K712" s="157"/>
      <c r="L712" s="155"/>
      <c r="M712" s="155"/>
      <c r="N712" s="155"/>
      <c r="O712" s="156"/>
      <c r="P712" s="156"/>
      <c r="Q712" s="155"/>
      <c r="R712" s="155"/>
      <c r="S712" s="155"/>
      <c r="T712" s="156"/>
      <c r="U712" s="156"/>
      <c r="V712" s="155"/>
      <c r="W712" s="155"/>
      <c r="X712" s="155"/>
      <c r="Y712" s="155"/>
      <c r="Z712" s="155"/>
      <c r="AA712" s="156"/>
      <c r="AB712" s="156"/>
      <c r="AC712" s="155"/>
      <c r="AD712" s="155"/>
      <c r="AE712" s="155"/>
      <c r="AF712" s="156"/>
      <c r="AG712" s="156"/>
      <c r="AH712" s="155"/>
      <c r="AI712" s="155"/>
      <c r="AJ712" s="155"/>
      <c r="AK712" s="156"/>
      <c r="AL712" s="156"/>
      <c r="AM712" s="155"/>
      <c r="AN712" s="155"/>
      <c r="AO712" s="155"/>
      <c r="AP712" s="156"/>
      <c r="AQ712" s="156"/>
      <c r="AR712" s="155"/>
      <c r="AS712" s="155"/>
      <c r="AT712" s="155"/>
      <c r="AU712" s="156"/>
      <c r="AV712" s="156"/>
      <c r="AW712" s="155"/>
      <c r="AX712" s="155"/>
      <c r="AY712" s="155"/>
      <c r="AZ712" s="156"/>
      <c r="BA712" s="156"/>
      <c r="BB712" s="155"/>
      <c r="BC712" s="155"/>
      <c r="BD712" s="155"/>
      <c r="BE712" s="155"/>
      <c r="BF712" s="155"/>
      <c r="BG712" s="158"/>
      <c r="BH712" s="158"/>
      <c r="BI712" s="155"/>
      <c r="BJ712" s="155"/>
      <c r="BK712" s="159"/>
      <c r="BL712" s="156"/>
      <c r="BM712" s="156"/>
      <c r="BN712" s="156"/>
      <c r="BO712" s="156"/>
      <c r="BP712" s="160"/>
      <c r="BQ712" s="160"/>
      <c r="BR712" s="160"/>
      <c r="BS712" s="160"/>
    </row>
    <row r="713" spans="1:71" x14ac:dyDescent="0.25">
      <c r="A713" s="154"/>
      <c r="B713" s="155"/>
      <c r="C713" s="155"/>
      <c r="D713" s="155"/>
      <c r="E713" s="156"/>
      <c r="F713" s="156"/>
      <c r="G713" s="155"/>
      <c r="H713" s="155"/>
      <c r="I713" s="155"/>
      <c r="J713" s="157"/>
      <c r="K713" s="157"/>
      <c r="L713" s="155"/>
      <c r="M713" s="155"/>
      <c r="N713" s="155"/>
      <c r="O713" s="156"/>
      <c r="P713" s="156"/>
      <c r="Q713" s="155"/>
      <c r="R713" s="155"/>
      <c r="S713" s="155"/>
      <c r="T713" s="156"/>
      <c r="U713" s="156"/>
      <c r="V713" s="155"/>
      <c r="W713" s="155"/>
      <c r="X713" s="155"/>
      <c r="Y713" s="155"/>
      <c r="Z713" s="155"/>
      <c r="AA713" s="156"/>
      <c r="AB713" s="156"/>
      <c r="AC713" s="155"/>
      <c r="AD713" s="155"/>
      <c r="AE713" s="155"/>
      <c r="AF713" s="156"/>
      <c r="AG713" s="156"/>
      <c r="AH713" s="155"/>
      <c r="AI713" s="155"/>
      <c r="AJ713" s="155"/>
      <c r="AK713" s="156"/>
      <c r="AL713" s="156"/>
      <c r="AM713" s="155"/>
      <c r="AN713" s="155"/>
      <c r="AO713" s="155"/>
      <c r="AP713" s="156"/>
      <c r="AQ713" s="156"/>
      <c r="AR713" s="155"/>
      <c r="AS713" s="155"/>
      <c r="AT713" s="155"/>
      <c r="AU713" s="156"/>
      <c r="AV713" s="156"/>
      <c r="AW713" s="155"/>
      <c r="AX713" s="155"/>
      <c r="AY713" s="155"/>
      <c r="AZ713" s="156"/>
      <c r="BA713" s="156"/>
      <c r="BB713" s="155"/>
      <c r="BC713" s="155"/>
      <c r="BD713" s="155"/>
      <c r="BE713" s="155"/>
      <c r="BF713" s="155"/>
      <c r="BG713" s="158"/>
      <c r="BH713" s="158"/>
      <c r="BI713" s="155"/>
      <c r="BJ713" s="155"/>
      <c r="BK713" s="159"/>
      <c r="BL713" s="156"/>
      <c r="BM713" s="156"/>
      <c r="BN713" s="156"/>
      <c r="BO713" s="156"/>
      <c r="BP713" s="160"/>
      <c r="BQ713" s="160"/>
      <c r="BR713" s="160"/>
      <c r="BS713" s="160"/>
    </row>
    <row r="714" spans="1:71" x14ac:dyDescent="0.25">
      <c r="A714" s="154"/>
      <c r="B714" s="155"/>
      <c r="C714" s="155"/>
      <c r="D714" s="155"/>
      <c r="E714" s="156"/>
      <c r="F714" s="156"/>
      <c r="G714" s="155"/>
      <c r="H714" s="155"/>
      <c r="I714" s="155"/>
      <c r="J714" s="157"/>
      <c r="K714" s="157"/>
      <c r="L714" s="155"/>
      <c r="M714" s="155"/>
      <c r="N714" s="155"/>
      <c r="O714" s="156"/>
      <c r="P714" s="156"/>
      <c r="Q714" s="155"/>
      <c r="R714" s="155"/>
      <c r="S714" s="155"/>
      <c r="T714" s="156"/>
      <c r="U714" s="156"/>
      <c r="V714" s="155"/>
      <c r="W714" s="155"/>
      <c r="X714" s="155"/>
      <c r="Y714" s="155"/>
      <c r="Z714" s="155"/>
      <c r="AA714" s="156"/>
      <c r="AB714" s="156"/>
      <c r="AC714" s="155"/>
      <c r="AD714" s="155"/>
      <c r="AE714" s="155"/>
      <c r="AF714" s="156"/>
      <c r="AG714" s="156"/>
      <c r="AH714" s="155"/>
      <c r="AI714" s="155"/>
      <c r="AJ714" s="155"/>
      <c r="AK714" s="156"/>
      <c r="AL714" s="156"/>
      <c r="AM714" s="155"/>
      <c r="AN714" s="155"/>
      <c r="AO714" s="155"/>
      <c r="AP714" s="156"/>
      <c r="AQ714" s="156"/>
      <c r="AR714" s="155"/>
      <c r="AS714" s="155"/>
      <c r="AT714" s="155"/>
      <c r="AU714" s="156"/>
      <c r="AV714" s="156"/>
      <c r="AW714" s="155"/>
      <c r="AX714" s="155"/>
      <c r="AY714" s="155"/>
      <c r="AZ714" s="156"/>
      <c r="BA714" s="156"/>
      <c r="BB714" s="155"/>
      <c r="BC714" s="155"/>
      <c r="BD714" s="155"/>
      <c r="BE714" s="155"/>
      <c r="BF714" s="155"/>
      <c r="BG714" s="158"/>
      <c r="BH714" s="158"/>
      <c r="BI714" s="155"/>
      <c r="BJ714" s="155"/>
      <c r="BK714" s="159"/>
      <c r="BL714" s="156"/>
      <c r="BM714" s="156"/>
      <c r="BN714" s="156"/>
      <c r="BO714" s="156"/>
      <c r="BP714" s="160"/>
      <c r="BQ714" s="160"/>
      <c r="BR714" s="160"/>
      <c r="BS714" s="160"/>
    </row>
    <row r="715" spans="1:71" x14ac:dyDescent="0.25">
      <c r="A715" s="154"/>
      <c r="B715" s="155"/>
      <c r="C715" s="155"/>
      <c r="D715" s="155"/>
      <c r="E715" s="156"/>
      <c r="F715" s="156"/>
      <c r="G715" s="155"/>
      <c r="H715" s="155"/>
      <c r="I715" s="155"/>
      <c r="J715" s="157"/>
      <c r="K715" s="157"/>
      <c r="L715" s="155"/>
      <c r="M715" s="155"/>
      <c r="N715" s="155"/>
      <c r="O715" s="156"/>
      <c r="P715" s="156"/>
      <c r="Q715" s="155"/>
      <c r="R715" s="155"/>
      <c r="S715" s="155"/>
      <c r="T715" s="156"/>
      <c r="U715" s="156"/>
      <c r="V715" s="155"/>
      <c r="W715" s="155"/>
      <c r="X715" s="155"/>
      <c r="Y715" s="155"/>
      <c r="Z715" s="155"/>
      <c r="AA715" s="156"/>
      <c r="AB715" s="156"/>
      <c r="AC715" s="155"/>
      <c r="AD715" s="155"/>
      <c r="AE715" s="155"/>
      <c r="AF715" s="156"/>
      <c r="AG715" s="156"/>
      <c r="AH715" s="155"/>
      <c r="AI715" s="155"/>
      <c r="AJ715" s="155"/>
      <c r="AK715" s="156"/>
      <c r="AL715" s="156"/>
      <c r="AM715" s="155"/>
      <c r="AN715" s="155"/>
      <c r="AO715" s="155"/>
      <c r="AP715" s="156"/>
      <c r="AQ715" s="156"/>
      <c r="AR715" s="155"/>
      <c r="AS715" s="155"/>
      <c r="AT715" s="155"/>
      <c r="AU715" s="156"/>
      <c r="AV715" s="156"/>
      <c r="AW715" s="155"/>
      <c r="AX715" s="155"/>
      <c r="AY715" s="155"/>
      <c r="AZ715" s="156"/>
      <c r="BA715" s="156"/>
      <c r="BB715" s="155"/>
      <c r="BC715" s="155"/>
      <c r="BD715" s="155"/>
      <c r="BE715" s="155"/>
      <c r="BF715" s="155"/>
      <c r="BG715" s="158"/>
      <c r="BH715" s="158"/>
      <c r="BI715" s="155"/>
      <c r="BJ715" s="155"/>
      <c r="BK715" s="159"/>
      <c r="BL715" s="156"/>
      <c r="BM715" s="156"/>
      <c r="BN715" s="156"/>
      <c r="BO715" s="156"/>
      <c r="BP715" s="160"/>
      <c r="BQ715" s="160"/>
      <c r="BR715" s="160"/>
      <c r="BS715" s="160"/>
    </row>
    <row r="716" spans="1:71" x14ac:dyDescent="0.25">
      <c r="A716" s="154"/>
      <c r="B716" s="155"/>
      <c r="C716" s="155"/>
      <c r="D716" s="155"/>
      <c r="E716" s="156"/>
      <c r="F716" s="156"/>
      <c r="G716" s="155"/>
      <c r="H716" s="155"/>
      <c r="I716" s="155"/>
      <c r="J716" s="157"/>
      <c r="K716" s="157"/>
      <c r="L716" s="155"/>
      <c r="M716" s="155"/>
      <c r="N716" s="155"/>
      <c r="O716" s="156"/>
      <c r="P716" s="156"/>
      <c r="Q716" s="155"/>
      <c r="R716" s="155"/>
      <c r="S716" s="155"/>
      <c r="T716" s="156"/>
      <c r="U716" s="156"/>
      <c r="V716" s="155"/>
      <c r="W716" s="155"/>
      <c r="X716" s="155"/>
      <c r="Y716" s="155"/>
      <c r="Z716" s="155"/>
      <c r="AA716" s="156"/>
      <c r="AB716" s="156"/>
      <c r="AC716" s="155"/>
      <c r="AD716" s="155"/>
      <c r="AE716" s="155"/>
      <c r="AF716" s="156"/>
      <c r="AG716" s="156"/>
      <c r="AH716" s="155"/>
      <c r="AI716" s="155"/>
      <c r="AJ716" s="155"/>
      <c r="AK716" s="156"/>
      <c r="AL716" s="156"/>
      <c r="AM716" s="155"/>
      <c r="AN716" s="155"/>
      <c r="AO716" s="155"/>
      <c r="AP716" s="156"/>
      <c r="AQ716" s="156"/>
      <c r="AR716" s="155"/>
      <c r="AS716" s="155"/>
      <c r="AT716" s="155"/>
      <c r="AU716" s="156"/>
      <c r="AV716" s="156"/>
      <c r="AW716" s="155"/>
      <c r="AX716" s="155"/>
      <c r="AY716" s="155"/>
      <c r="AZ716" s="156"/>
      <c r="BA716" s="156"/>
      <c r="BB716" s="155"/>
      <c r="BC716" s="155"/>
      <c r="BD716" s="155"/>
      <c r="BE716" s="155"/>
      <c r="BF716" s="155"/>
      <c r="BG716" s="158"/>
      <c r="BH716" s="158"/>
      <c r="BI716" s="155"/>
      <c r="BJ716" s="155"/>
      <c r="BK716" s="159"/>
      <c r="BL716" s="156"/>
      <c r="BM716" s="156"/>
      <c r="BN716" s="156"/>
      <c r="BO716" s="156"/>
      <c r="BP716" s="160"/>
      <c r="BQ716" s="160"/>
      <c r="BR716" s="160"/>
      <c r="BS716" s="160"/>
    </row>
    <row r="717" spans="1:71" x14ac:dyDescent="0.25">
      <c r="A717" s="154"/>
      <c r="B717" s="155"/>
      <c r="C717" s="155"/>
      <c r="D717" s="155"/>
      <c r="E717" s="156"/>
      <c r="F717" s="156"/>
      <c r="G717" s="155"/>
      <c r="H717" s="155"/>
      <c r="I717" s="155"/>
      <c r="J717" s="157"/>
      <c r="K717" s="157"/>
      <c r="L717" s="155"/>
      <c r="M717" s="155"/>
      <c r="N717" s="155"/>
      <c r="O717" s="156"/>
      <c r="P717" s="156"/>
      <c r="Q717" s="155"/>
      <c r="R717" s="155"/>
      <c r="S717" s="155"/>
      <c r="T717" s="156"/>
      <c r="U717" s="156"/>
      <c r="V717" s="155"/>
      <c r="W717" s="155"/>
      <c r="X717" s="155"/>
      <c r="Y717" s="155"/>
      <c r="Z717" s="155"/>
      <c r="AA717" s="156"/>
      <c r="AB717" s="156"/>
      <c r="AC717" s="155"/>
      <c r="AD717" s="155"/>
      <c r="AE717" s="155"/>
      <c r="AF717" s="156"/>
      <c r="AG717" s="156"/>
      <c r="AH717" s="155"/>
      <c r="AI717" s="155"/>
      <c r="AJ717" s="155"/>
      <c r="AK717" s="156"/>
      <c r="AL717" s="156"/>
      <c r="AM717" s="155"/>
      <c r="AN717" s="155"/>
      <c r="AO717" s="155"/>
      <c r="AP717" s="156"/>
      <c r="AQ717" s="156"/>
      <c r="AR717" s="155"/>
      <c r="AS717" s="155"/>
      <c r="AT717" s="155"/>
      <c r="AU717" s="156"/>
      <c r="AV717" s="156"/>
      <c r="AW717" s="155"/>
      <c r="AX717" s="155"/>
      <c r="AY717" s="155"/>
      <c r="AZ717" s="156"/>
      <c r="BA717" s="156"/>
      <c r="BB717" s="155"/>
      <c r="BC717" s="155"/>
      <c r="BD717" s="155"/>
      <c r="BE717" s="155"/>
      <c r="BF717" s="155"/>
      <c r="BG717" s="158"/>
      <c r="BH717" s="158"/>
      <c r="BI717" s="155"/>
      <c r="BJ717" s="155"/>
      <c r="BK717" s="159"/>
      <c r="BL717" s="156"/>
      <c r="BM717" s="156"/>
      <c r="BN717" s="156"/>
      <c r="BO717" s="156"/>
      <c r="BP717" s="160"/>
      <c r="BQ717" s="160"/>
      <c r="BR717" s="160"/>
      <c r="BS717" s="160"/>
    </row>
    <row r="718" spans="1:71" x14ac:dyDescent="0.25">
      <c r="A718" s="154"/>
      <c r="B718" s="155"/>
      <c r="C718" s="155"/>
      <c r="D718" s="155"/>
      <c r="E718" s="156"/>
      <c r="F718" s="156"/>
      <c r="G718" s="155"/>
      <c r="H718" s="155"/>
      <c r="I718" s="155"/>
      <c r="J718" s="157"/>
      <c r="K718" s="157"/>
      <c r="L718" s="155"/>
      <c r="M718" s="155"/>
      <c r="N718" s="155"/>
      <c r="O718" s="156"/>
      <c r="P718" s="156"/>
      <c r="Q718" s="155"/>
      <c r="R718" s="155"/>
      <c r="S718" s="155"/>
      <c r="T718" s="156"/>
      <c r="U718" s="156"/>
      <c r="V718" s="155"/>
      <c r="W718" s="155"/>
      <c r="X718" s="155"/>
      <c r="Y718" s="155"/>
      <c r="Z718" s="155"/>
      <c r="AA718" s="156"/>
      <c r="AB718" s="156"/>
      <c r="AC718" s="155"/>
      <c r="AD718" s="155"/>
      <c r="AE718" s="155"/>
      <c r="AF718" s="156"/>
      <c r="AG718" s="156"/>
      <c r="AH718" s="155"/>
      <c r="AI718" s="155"/>
      <c r="AJ718" s="155"/>
      <c r="AK718" s="156"/>
      <c r="AL718" s="156"/>
      <c r="AM718" s="155"/>
      <c r="AN718" s="155"/>
      <c r="AO718" s="155"/>
      <c r="AP718" s="156"/>
      <c r="AQ718" s="156"/>
      <c r="AR718" s="155"/>
      <c r="AS718" s="155"/>
      <c r="AT718" s="155"/>
      <c r="AU718" s="156"/>
      <c r="AV718" s="156"/>
      <c r="AW718" s="155"/>
      <c r="AX718" s="155"/>
      <c r="AY718" s="155"/>
      <c r="AZ718" s="156"/>
      <c r="BA718" s="156"/>
      <c r="BB718" s="155"/>
      <c r="BC718" s="155"/>
      <c r="BD718" s="155"/>
      <c r="BE718" s="155"/>
      <c r="BF718" s="155"/>
      <c r="BG718" s="158"/>
      <c r="BH718" s="158"/>
      <c r="BI718" s="155"/>
      <c r="BJ718" s="155"/>
      <c r="BK718" s="159"/>
      <c r="BL718" s="156"/>
      <c r="BM718" s="156"/>
      <c r="BN718" s="156"/>
      <c r="BO718" s="156"/>
      <c r="BP718" s="160"/>
      <c r="BQ718" s="160"/>
      <c r="BR718" s="160"/>
      <c r="BS718" s="160"/>
    </row>
    <row r="719" spans="1:71" x14ac:dyDescent="0.25">
      <c r="A719" s="154"/>
      <c r="B719" s="155"/>
      <c r="C719" s="155"/>
      <c r="D719" s="155"/>
      <c r="E719" s="156"/>
      <c r="F719" s="156"/>
      <c r="G719" s="155"/>
      <c r="H719" s="155"/>
      <c r="I719" s="155"/>
      <c r="J719" s="157"/>
      <c r="K719" s="157"/>
      <c r="L719" s="155"/>
      <c r="M719" s="155"/>
      <c r="N719" s="155"/>
      <c r="O719" s="156"/>
      <c r="P719" s="156"/>
      <c r="Q719" s="155"/>
      <c r="R719" s="155"/>
      <c r="S719" s="155"/>
      <c r="T719" s="156"/>
      <c r="U719" s="156"/>
      <c r="V719" s="155"/>
      <c r="W719" s="155"/>
      <c r="X719" s="155"/>
      <c r="Y719" s="155"/>
      <c r="Z719" s="155"/>
      <c r="AA719" s="156"/>
      <c r="AB719" s="156"/>
      <c r="AC719" s="155"/>
      <c r="AD719" s="155"/>
      <c r="AE719" s="155"/>
      <c r="AF719" s="156"/>
      <c r="AG719" s="156"/>
      <c r="AH719" s="155"/>
      <c r="AI719" s="155"/>
      <c r="AJ719" s="155"/>
      <c r="AK719" s="156"/>
      <c r="AL719" s="156"/>
      <c r="AM719" s="155"/>
      <c r="AN719" s="155"/>
      <c r="AO719" s="155"/>
      <c r="AP719" s="156"/>
      <c r="AQ719" s="156"/>
      <c r="AR719" s="155"/>
      <c r="AS719" s="155"/>
      <c r="AT719" s="155"/>
      <c r="AU719" s="156"/>
      <c r="AV719" s="156"/>
      <c r="AW719" s="155"/>
      <c r="AX719" s="155"/>
      <c r="AY719" s="155"/>
      <c r="AZ719" s="156"/>
      <c r="BA719" s="156"/>
      <c r="BB719" s="155"/>
      <c r="BC719" s="155"/>
      <c r="BD719" s="155"/>
      <c r="BE719" s="155"/>
      <c r="BF719" s="155"/>
      <c r="BG719" s="158"/>
      <c r="BH719" s="158"/>
      <c r="BI719" s="155"/>
      <c r="BJ719" s="155"/>
      <c r="BK719" s="159"/>
      <c r="BL719" s="156"/>
      <c r="BM719" s="156"/>
      <c r="BN719" s="156"/>
      <c r="BO719" s="156"/>
      <c r="BP719" s="160"/>
      <c r="BQ719" s="160"/>
      <c r="BR719" s="160"/>
      <c r="BS719" s="160"/>
    </row>
    <row r="720" spans="1:71" x14ac:dyDescent="0.25">
      <c r="A720" s="154"/>
      <c r="B720" s="155"/>
      <c r="C720" s="155"/>
      <c r="D720" s="155"/>
      <c r="E720" s="156"/>
      <c r="F720" s="156"/>
      <c r="G720" s="155"/>
      <c r="H720" s="155"/>
      <c r="I720" s="155"/>
      <c r="J720" s="157"/>
      <c r="K720" s="157"/>
      <c r="L720" s="155"/>
      <c r="M720" s="155"/>
      <c r="N720" s="155"/>
      <c r="O720" s="156"/>
      <c r="P720" s="156"/>
      <c r="Q720" s="155"/>
      <c r="R720" s="155"/>
      <c r="S720" s="155"/>
      <c r="T720" s="156"/>
      <c r="U720" s="156"/>
      <c r="V720" s="155"/>
      <c r="W720" s="155"/>
      <c r="X720" s="155"/>
      <c r="Y720" s="155"/>
      <c r="Z720" s="155"/>
      <c r="AA720" s="156"/>
      <c r="AB720" s="156"/>
      <c r="AC720" s="155"/>
      <c r="AD720" s="155"/>
      <c r="AE720" s="155"/>
      <c r="AF720" s="156"/>
      <c r="AG720" s="156"/>
      <c r="AH720" s="155"/>
      <c r="AI720" s="155"/>
      <c r="AJ720" s="155"/>
      <c r="AK720" s="156"/>
      <c r="AL720" s="156"/>
      <c r="AM720" s="155"/>
      <c r="AN720" s="155"/>
      <c r="AO720" s="155"/>
      <c r="AP720" s="156"/>
      <c r="AQ720" s="156"/>
      <c r="AR720" s="155"/>
      <c r="AS720" s="155"/>
      <c r="AT720" s="155"/>
      <c r="AU720" s="156"/>
      <c r="AV720" s="156"/>
      <c r="AW720" s="155"/>
      <c r="AX720" s="155"/>
      <c r="AY720" s="155"/>
      <c r="AZ720" s="156"/>
      <c r="BA720" s="156"/>
      <c r="BB720" s="155"/>
      <c r="BC720" s="155"/>
      <c r="BD720" s="155"/>
      <c r="BE720" s="155"/>
      <c r="BF720" s="155"/>
      <c r="BG720" s="158"/>
      <c r="BH720" s="158"/>
      <c r="BI720" s="155"/>
      <c r="BJ720" s="155"/>
      <c r="BK720" s="159"/>
      <c r="BL720" s="156"/>
      <c r="BM720" s="156"/>
      <c r="BN720" s="156"/>
      <c r="BO720" s="156"/>
      <c r="BP720" s="160"/>
      <c r="BQ720" s="160"/>
      <c r="BR720" s="160"/>
      <c r="BS720" s="160"/>
    </row>
    <row r="721" spans="1:71" x14ac:dyDescent="0.25">
      <c r="A721" s="154"/>
      <c r="B721" s="155"/>
      <c r="C721" s="155"/>
      <c r="D721" s="155"/>
      <c r="E721" s="156"/>
      <c r="F721" s="156"/>
      <c r="G721" s="155"/>
      <c r="H721" s="155"/>
      <c r="I721" s="155"/>
      <c r="J721" s="157"/>
      <c r="K721" s="157"/>
      <c r="L721" s="155"/>
      <c r="M721" s="155"/>
      <c r="N721" s="155"/>
      <c r="O721" s="156"/>
      <c r="P721" s="156"/>
      <c r="Q721" s="155"/>
      <c r="R721" s="155"/>
      <c r="S721" s="155"/>
      <c r="T721" s="156"/>
      <c r="U721" s="156"/>
      <c r="V721" s="155"/>
      <c r="W721" s="155"/>
      <c r="X721" s="155"/>
      <c r="Y721" s="155"/>
      <c r="Z721" s="155"/>
      <c r="AA721" s="156"/>
      <c r="AB721" s="156"/>
      <c r="AC721" s="155"/>
      <c r="AD721" s="155"/>
      <c r="AE721" s="155"/>
      <c r="AF721" s="156"/>
      <c r="AG721" s="156"/>
      <c r="AH721" s="155"/>
      <c r="AI721" s="155"/>
      <c r="AJ721" s="155"/>
      <c r="AK721" s="156"/>
      <c r="AL721" s="156"/>
      <c r="AM721" s="155"/>
      <c r="AN721" s="155"/>
      <c r="AO721" s="155"/>
      <c r="AP721" s="156"/>
      <c r="AQ721" s="156"/>
      <c r="AR721" s="155"/>
      <c r="AS721" s="155"/>
      <c r="AT721" s="155"/>
      <c r="AU721" s="156"/>
      <c r="AV721" s="156"/>
      <c r="AW721" s="155"/>
      <c r="AX721" s="155"/>
      <c r="AY721" s="155"/>
      <c r="AZ721" s="156"/>
      <c r="BA721" s="156"/>
      <c r="BB721" s="155"/>
      <c r="BC721" s="155"/>
      <c r="BD721" s="155"/>
      <c r="BE721" s="155"/>
      <c r="BF721" s="155"/>
      <c r="BG721" s="158"/>
      <c r="BH721" s="158"/>
      <c r="BI721" s="155"/>
      <c r="BJ721" s="155"/>
      <c r="BK721" s="159"/>
      <c r="BL721" s="156"/>
      <c r="BM721" s="156"/>
      <c r="BN721" s="156"/>
      <c r="BO721" s="156"/>
      <c r="BP721" s="160"/>
      <c r="BQ721" s="160"/>
      <c r="BR721" s="160"/>
      <c r="BS721" s="160"/>
    </row>
    <row r="722" spans="1:71" x14ac:dyDescent="0.25">
      <c r="A722" s="154"/>
      <c r="B722" s="155"/>
      <c r="C722" s="155"/>
      <c r="D722" s="155"/>
      <c r="E722" s="156"/>
      <c r="F722" s="156"/>
      <c r="G722" s="155"/>
      <c r="H722" s="155"/>
      <c r="I722" s="155"/>
      <c r="J722" s="157"/>
      <c r="K722" s="157"/>
      <c r="L722" s="155"/>
      <c r="M722" s="155"/>
      <c r="N722" s="155"/>
      <c r="O722" s="156"/>
      <c r="P722" s="156"/>
      <c r="Q722" s="155"/>
      <c r="R722" s="155"/>
      <c r="S722" s="155"/>
      <c r="T722" s="156"/>
      <c r="U722" s="156"/>
      <c r="V722" s="155"/>
      <c r="W722" s="155"/>
      <c r="X722" s="155"/>
      <c r="Y722" s="155"/>
      <c r="Z722" s="155"/>
      <c r="AA722" s="156"/>
      <c r="AB722" s="156"/>
      <c r="AC722" s="155"/>
      <c r="AD722" s="155"/>
      <c r="AE722" s="155"/>
      <c r="AF722" s="156"/>
      <c r="AG722" s="156"/>
      <c r="AH722" s="155"/>
      <c r="AI722" s="155"/>
      <c r="AJ722" s="155"/>
      <c r="AK722" s="156"/>
      <c r="AL722" s="156"/>
      <c r="AM722" s="155"/>
      <c r="AN722" s="155"/>
      <c r="AO722" s="155"/>
      <c r="AP722" s="156"/>
      <c r="AQ722" s="156"/>
      <c r="AR722" s="155"/>
      <c r="AS722" s="155"/>
      <c r="AT722" s="155"/>
      <c r="AU722" s="156"/>
      <c r="AV722" s="156"/>
      <c r="AW722" s="155"/>
      <c r="AX722" s="155"/>
      <c r="AY722" s="155"/>
      <c r="AZ722" s="156"/>
      <c r="BA722" s="156"/>
      <c r="BB722" s="155"/>
      <c r="BC722" s="155"/>
      <c r="BD722" s="155"/>
      <c r="BE722" s="155"/>
      <c r="BF722" s="155"/>
      <c r="BG722" s="158"/>
      <c r="BH722" s="158"/>
      <c r="BI722" s="155"/>
      <c r="BJ722" s="155"/>
      <c r="BK722" s="159"/>
      <c r="BL722" s="156"/>
      <c r="BM722" s="156"/>
      <c r="BN722" s="156"/>
      <c r="BO722" s="156"/>
      <c r="BP722" s="160"/>
      <c r="BQ722" s="160"/>
      <c r="BR722" s="160"/>
      <c r="BS722" s="160"/>
    </row>
    <row r="723" spans="1:71" x14ac:dyDescent="0.25">
      <c r="A723" s="154"/>
      <c r="B723" s="155"/>
      <c r="C723" s="155"/>
      <c r="D723" s="155"/>
      <c r="E723" s="156"/>
      <c r="F723" s="156"/>
      <c r="G723" s="155"/>
      <c r="H723" s="155"/>
      <c r="I723" s="155"/>
      <c r="J723" s="157"/>
      <c r="K723" s="157"/>
      <c r="L723" s="155"/>
      <c r="M723" s="155"/>
      <c r="N723" s="155"/>
      <c r="O723" s="156"/>
      <c r="P723" s="156"/>
      <c r="Q723" s="155"/>
      <c r="R723" s="155"/>
      <c r="S723" s="155"/>
      <c r="T723" s="156"/>
      <c r="U723" s="156"/>
      <c r="V723" s="155"/>
      <c r="W723" s="155"/>
      <c r="X723" s="155"/>
      <c r="Y723" s="155"/>
      <c r="Z723" s="155"/>
      <c r="AA723" s="156"/>
      <c r="AB723" s="156"/>
      <c r="AC723" s="155"/>
      <c r="AD723" s="155"/>
      <c r="AE723" s="155"/>
      <c r="AF723" s="156"/>
      <c r="AG723" s="156"/>
      <c r="AH723" s="155"/>
      <c r="AI723" s="155"/>
      <c r="AJ723" s="155"/>
      <c r="AK723" s="156"/>
      <c r="AL723" s="156"/>
      <c r="AM723" s="155"/>
      <c r="AN723" s="155"/>
      <c r="AO723" s="155"/>
      <c r="AP723" s="156"/>
      <c r="AQ723" s="156"/>
      <c r="AR723" s="155"/>
      <c r="AS723" s="155"/>
      <c r="AT723" s="155"/>
      <c r="AU723" s="156"/>
      <c r="AV723" s="156"/>
      <c r="AW723" s="155"/>
      <c r="AX723" s="155"/>
      <c r="AY723" s="155"/>
      <c r="AZ723" s="156"/>
      <c r="BA723" s="156"/>
      <c r="BB723" s="155"/>
      <c r="BC723" s="155"/>
      <c r="BD723" s="155"/>
      <c r="BE723" s="155"/>
      <c r="BF723" s="155"/>
      <c r="BG723" s="158"/>
      <c r="BH723" s="158"/>
      <c r="BI723" s="155"/>
      <c r="BJ723" s="155"/>
      <c r="BK723" s="159"/>
      <c r="BL723" s="156"/>
      <c r="BM723" s="156"/>
      <c r="BN723" s="156"/>
      <c r="BO723" s="156"/>
      <c r="BP723" s="160"/>
      <c r="BQ723" s="160"/>
      <c r="BR723" s="160"/>
      <c r="BS723" s="160"/>
    </row>
    <row r="724" spans="1:71" x14ac:dyDescent="0.25">
      <c r="A724" s="154"/>
      <c r="B724" s="155"/>
      <c r="C724" s="155"/>
      <c r="D724" s="155"/>
      <c r="E724" s="156"/>
      <c r="F724" s="156"/>
      <c r="G724" s="155"/>
      <c r="H724" s="155"/>
      <c r="I724" s="155"/>
      <c r="J724" s="157"/>
      <c r="K724" s="157"/>
      <c r="L724" s="155"/>
      <c r="M724" s="155"/>
      <c r="N724" s="155"/>
      <c r="O724" s="156"/>
      <c r="P724" s="156"/>
      <c r="Q724" s="155"/>
      <c r="R724" s="155"/>
      <c r="S724" s="155"/>
      <c r="T724" s="156"/>
      <c r="U724" s="156"/>
      <c r="V724" s="155"/>
      <c r="W724" s="155"/>
      <c r="X724" s="155"/>
      <c r="Y724" s="155"/>
      <c r="Z724" s="155"/>
      <c r="AA724" s="156"/>
      <c r="AB724" s="156"/>
      <c r="AC724" s="155"/>
      <c r="AD724" s="155"/>
      <c r="AE724" s="155"/>
      <c r="AF724" s="156"/>
      <c r="AG724" s="156"/>
      <c r="AH724" s="155"/>
      <c r="AI724" s="155"/>
      <c r="AJ724" s="155"/>
      <c r="AK724" s="156"/>
      <c r="AL724" s="156"/>
      <c r="AM724" s="155"/>
      <c r="AN724" s="155"/>
      <c r="AO724" s="155"/>
      <c r="AP724" s="156"/>
      <c r="AQ724" s="156"/>
      <c r="AR724" s="155"/>
      <c r="AS724" s="155"/>
      <c r="AT724" s="155"/>
      <c r="AU724" s="156"/>
      <c r="AV724" s="156"/>
      <c r="AW724" s="155"/>
      <c r="AX724" s="155"/>
      <c r="AY724" s="155"/>
      <c r="AZ724" s="156"/>
      <c r="BA724" s="156"/>
      <c r="BB724" s="155"/>
      <c r="BC724" s="155"/>
      <c r="BD724" s="155"/>
      <c r="BE724" s="155"/>
      <c r="BF724" s="155"/>
      <c r="BG724" s="158"/>
      <c r="BH724" s="158"/>
      <c r="BI724" s="155"/>
      <c r="BJ724" s="155"/>
      <c r="BK724" s="159"/>
      <c r="BL724" s="156"/>
      <c r="BM724" s="156"/>
      <c r="BN724" s="156"/>
      <c r="BO724" s="156"/>
      <c r="BP724" s="160"/>
      <c r="BQ724" s="160"/>
      <c r="BR724" s="160"/>
      <c r="BS724" s="160"/>
    </row>
    <row r="725" spans="1:71" x14ac:dyDescent="0.25">
      <c r="A725" s="154"/>
      <c r="B725" s="155"/>
      <c r="C725" s="155"/>
      <c r="D725" s="155"/>
      <c r="E725" s="156"/>
      <c r="F725" s="156"/>
      <c r="G725" s="155"/>
      <c r="H725" s="155"/>
      <c r="I725" s="155"/>
      <c r="J725" s="157"/>
      <c r="K725" s="157"/>
      <c r="L725" s="155"/>
      <c r="M725" s="155"/>
      <c r="N725" s="155"/>
      <c r="O725" s="156"/>
      <c r="P725" s="156"/>
      <c r="Q725" s="155"/>
      <c r="R725" s="155"/>
      <c r="S725" s="155"/>
      <c r="T725" s="156"/>
      <c r="U725" s="156"/>
      <c r="V725" s="155"/>
      <c r="W725" s="155"/>
      <c r="X725" s="155"/>
      <c r="Y725" s="155"/>
      <c r="Z725" s="155"/>
      <c r="AA725" s="156"/>
      <c r="AB725" s="156"/>
      <c r="AC725" s="155"/>
      <c r="AD725" s="155"/>
      <c r="AE725" s="155"/>
      <c r="AF725" s="156"/>
      <c r="AG725" s="156"/>
      <c r="AH725" s="155"/>
      <c r="AI725" s="155"/>
      <c r="AJ725" s="155"/>
      <c r="AK725" s="156"/>
      <c r="AL725" s="156"/>
      <c r="AM725" s="155"/>
      <c r="AN725" s="155"/>
      <c r="AO725" s="155"/>
      <c r="AP725" s="156"/>
      <c r="AQ725" s="156"/>
      <c r="AR725" s="155"/>
      <c r="AS725" s="155"/>
      <c r="AT725" s="155"/>
      <c r="AU725" s="156"/>
      <c r="AV725" s="156"/>
      <c r="AW725" s="155"/>
      <c r="AX725" s="155"/>
      <c r="AY725" s="155"/>
      <c r="AZ725" s="156"/>
      <c r="BA725" s="156"/>
      <c r="BB725" s="155"/>
      <c r="BC725" s="155"/>
      <c r="BD725" s="155"/>
      <c r="BE725" s="155"/>
      <c r="BF725" s="155"/>
      <c r="BG725" s="158"/>
      <c r="BH725" s="158"/>
      <c r="BI725" s="155"/>
      <c r="BJ725" s="155"/>
      <c r="BK725" s="159"/>
      <c r="BL725" s="156"/>
      <c r="BM725" s="156"/>
      <c r="BN725" s="156"/>
      <c r="BO725" s="156"/>
      <c r="BP725" s="160"/>
      <c r="BQ725" s="160"/>
      <c r="BR725" s="160"/>
      <c r="BS725" s="160"/>
    </row>
    <row r="726" spans="1:71" x14ac:dyDescent="0.25">
      <c r="A726" s="154"/>
      <c r="B726" s="155"/>
      <c r="C726" s="155"/>
      <c r="D726" s="155"/>
      <c r="E726" s="156"/>
      <c r="F726" s="156"/>
      <c r="G726" s="155"/>
      <c r="H726" s="155"/>
      <c r="I726" s="155"/>
      <c r="J726" s="157"/>
      <c r="K726" s="157"/>
      <c r="L726" s="155"/>
      <c r="M726" s="155"/>
      <c r="N726" s="155"/>
      <c r="O726" s="156"/>
      <c r="P726" s="156"/>
      <c r="Q726" s="155"/>
      <c r="R726" s="155"/>
      <c r="S726" s="155"/>
      <c r="T726" s="156"/>
      <c r="U726" s="156"/>
      <c r="V726" s="155"/>
      <c r="W726" s="155"/>
      <c r="X726" s="155"/>
      <c r="Y726" s="155"/>
      <c r="Z726" s="155"/>
      <c r="AA726" s="156"/>
      <c r="AB726" s="156"/>
      <c r="AC726" s="155"/>
      <c r="AD726" s="155"/>
      <c r="AE726" s="155"/>
      <c r="AF726" s="156"/>
      <c r="AG726" s="156"/>
      <c r="AH726" s="155"/>
      <c r="AI726" s="155"/>
      <c r="AJ726" s="155"/>
      <c r="AK726" s="156"/>
      <c r="AL726" s="156"/>
      <c r="AM726" s="155"/>
      <c r="AN726" s="155"/>
      <c r="AO726" s="155"/>
      <c r="AP726" s="156"/>
      <c r="AQ726" s="156"/>
      <c r="AR726" s="155"/>
      <c r="AS726" s="155"/>
      <c r="AT726" s="155"/>
      <c r="AU726" s="156"/>
      <c r="AV726" s="156"/>
      <c r="AW726" s="155"/>
      <c r="AX726" s="155"/>
      <c r="AY726" s="155"/>
      <c r="AZ726" s="156"/>
      <c r="BA726" s="156"/>
      <c r="BB726" s="155"/>
      <c r="BC726" s="155"/>
      <c r="BD726" s="155"/>
      <c r="BE726" s="155"/>
      <c r="BF726" s="155"/>
      <c r="BG726" s="158"/>
      <c r="BH726" s="158"/>
      <c r="BI726" s="155"/>
      <c r="BJ726" s="155"/>
      <c r="BK726" s="159"/>
      <c r="BL726" s="156"/>
      <c r="BM726" s="156"/>
      <c r="BN726" s="156"/>
      <c r="BO726" s="156"/>
      <c r="BP726" s="160"/>
      <c r="BQ726" s="160"/>
      <c r="BR726" s="160"/>
      <c r="BS726" s="160"/>
    </row>
    <row r="727" spans="1:71" x14ac:dyDescent="0.25">
      <c r="A727" s="154"/>
      <c r="B727" s="155"/>
      <c r="C727" s="155"/>
      <c r="D727" s="155"/>
      <c r="E727" s="156"/>
      <c r="F727" s="156"/>
      <c r="G727" s="155"/>
      <c r="H727" s="155"/>
      <c r="I727" s="155"/>
      <c r="J727" s="157"/>
      <c r="K727" s="157"/>
      <c r="L727" s="155"/>
      <c r="M727" s="155"/>
      <c r="N727" s="155"/>
      <c r="O727" s="156"/>
      <c r="P727" s="156"/>
      <c r="Q727" s="155"/>
      <c r="R727" s="155"/>
      <c r="S727" s="155"/>
      <c r="T727" s="156"/>
      <c r="U727" s="156"/>
      <c r="V727" s="155"/>
      <c r="W727" s="155"/>
      <c r="X727" s="155"/>
      <c r="Y727" s="155"/>
      <c r="Z727" s="155"/>
      <c r="AA727" s="156"/>
      <c r="AB727" s="156"/>
      <c r="AC727" s="155"/>
      <c r="AD727" s="155"/>
      <c r="AE727" s="155"/>
      <c r="AF727" s="156"/>
      <c r="AG727" s="156"/>
      <c r="AH727" s="155"/>
      <c r="AI727" s="155"/>
      <c r="AJ727" s="155"/>
      <c r="AK727" s="156"/>
      <c r="AL727" s="156"/>
      <c r="AM727" s="155"/>
      <c r="AN727" s="155"/>
      <c r="AO727" s="155"/>
      <c r="AP727" s="156"/>
      <c r="AQ727" s="156"/>
      <c r="AR727" s="155"/>
      <c r="AS727" s="155"/>
      <c r="AT727" s="155"/>
      <c r="AU727" s="156"/>
      <c r="AV727" s="156"/>
      <c r="AW727" s="155"/>
      <c r="AX727" s="155"/>
      <c r="AY727" s="155"/>
      <c r="AZ727" s="156"/>
      <c r="BA727" s="156"/>
      <c r="BB727" s="155"/>
      <c r="BC727" s="155"/>
      <c r="BD727" s="155"/>
      <c r="BE727" s="155"/>
      <c r="BF727" s="155"/>
      <c r="BG727" s="158"/>
      <c r="BH727" s="158"/>
      <c r="BI727" s="155"/>
      <c r="BJ727" s="155"/>
      <c r="BK727" s="159"/>
      <c r="BL727" s="156"/>
      <c r="BM727" s="156"/>
      <c r="BN727" s="156"/>
      <c r="BO727" s="156"/>
      <c r="BP727" s="160"/>
      <c r="BQ727" s="160"/>
      <c r="BR727" s="160"/>
      <c r="BS727" s="160"/>
    </row>
    <row r="728" spans="1:71" x14ac:dyDescent="0.25">
      <c r="A728" s="154"/>
      <c r="B728" s="155"/>
      <c r="C728" s="155"/>
      <c r="D728" s="155"/>
      <c r="E728" s="156"/>
      <c r="F728" s="156"/>
      <c r="G728" s="155"/>
      <c r="H728" s="155"/>
      <c r="I728" s="155"/>
      <c r="J728" s="157"/>
      <c r="K728" s="157"/>
      <c r="L728" s="155"/>
      <c r="M728" s="155"/>
      <c r="N728" s="155"/>
      <c r="O728" s="156"/>
      <c r="P728" s="156"/>
      <c r="Q728" s="155"/>
      <c r="R728" s="155"/>
      <c r="S728" s="155"/>
      <c r="T728" s="156"/>
      <c r="U728" s="156"/>
      <c r="V728" s="155"/>
      <c r="W728" s="155"/>
      <c r="X728" s="155"/>
      <c r="Y728" s="155"/>
      <c r="Z728" s="155"/>
      <c r="AA728" s="156"/>
      <c r="AB728" s="156"/>
      <c r="AC728" s="155"/>
      <c r="AD728" s="155"/>
      <c r="AE728" s="155"/>
      <c r="AF728" s="156"/>
      <c r="AG728" s="156"/>
      <c r="AH728" s="155"/>
      <c r="AI728" s="155"/>
      <c r="AJ728" s="155"/>
      <c r="AK728" s="156"/>
      <c r="AL728" s="156"/>
      <c r="AM728" s="155"/>
      <c r="AN728" s="155"/>
      <c r="AO728" s="155"/>
      <c r="AP728" s="156"/>
      <c r="AQ728" s="156"/>
      <c r="AR728" s="155"/>
      <c r="AS728" s="155"/>
      <c r="AT728" s="155"/>
      <c r="AU728" s="156"/>
      <c r="AV728" s="156"/>
      <c r="AW728" s="155"/>
      <c r="AX728" s="155"/>
      <c r="AY728" s="155"/>
      <c r="AZ728" s="156"/>
      <c r="BA728" s="156"/>
      <c r="BB728" s="155"/>
      <c r="BC728" s="155"/>
      <c r="BD728" s="155"/>
      <c r="BE728" s="155"/>
      <c r="BF728" s="155"/>
      <c r="BG728" s="158"/>
      <c r="BH728" s="158"/>
      <c r="BI728" s="155"/>
      <c r="BJ728" s="155"/>
      <c r="BK728" s="159"/>
      <c r="BL728" s="156"/>
      <c r="BM728" s="156"/>
      <c r="BN728" s="156"/>
      <c r="BO728" s="156"/>
      <c r="BP728" s="160"/>
      <c r="BQ728" s="160"/>
      <c r="BR728" s="160"/>
      <c r="BS728" s="160"/>
    </row>
    <row r="729" spans="1:71" x14ac:dyDescent="0.25">
      <c r="A729" s="154"/>
      <c r="B729" s="155"/>
      <c r="C729" s="155"/>
      <c r="D729" s="155"/>
      <c r="E729" s="156"/>
      <c r="F729" s="156"/>
      <c r="G729" s="155"/>
      <c r="H729" s="155"/>
      <c r="I729" s="155"/>
      <c r="J729" s="157"/>
      <c r="K729" s="157"/>
      <c r="L729" s="155"/>
      <c r="M729" s="155"/>
      <c r="N729" s="155"/>
      <c r="O729" s="156"/>
      <c r="P729" s="156"/>
      <c r="Q729" s="155"/>
      <c r="R729" s="155"/>
      <c r="S729" s="155"/>
      <c r="T729" s="156"/>
      <c r="U729" s="156"/>
      <c r="V729" s="155"/>
      <c r="W729" s="155"/>
      <c r="X729" s="155"/>
      <c r="Y729" s="155"/>
      <c r="Z729" s="155"/>
      <c r="AA729" s="156"/>
      <c r="AB729" s="156"/>
      <c r="AC729" s="155"/>
      <c r="AD729" s="155"/>
      <c r="AE729" s="155"/>
      <c r="AF729" s="156"/>
      <c r="AG729" s="156"/>
      <c r="AH729" s="155"/>
      <c r="AI729" s="155"/>
      <c r="AJ729" s="155"/>
      <c r="AK729" s="156"/>
      <c r="AL729" s="156"/>
      <c r="AM729" s="155"/>
      <c r="AN729" s="155"/>
      <c r="AO729" s="155"/>
      <c r="AP729" s="156"/>
      <c r="AQ729" s="156"/>
      <c r="AR729" s="155"/>
      <c r="AS729" s="155"/>
      <c r="AT729" s="155"/>
      <c r="AU729" s="156"/>
      <c r="AV729" s="156"/>
      <c r="AW729" s="155"/>
      <c r="AX729" s="155"/>
      <c r="AY729" s="155"/>
      <c r="AZ729" s="156"/>
      <c r="BA729" s="156"/>
      <c r="BB729" s="155"/>
      <c r="BC729" s="155"/>
      <c r="BD729" s="155"/>
      <c r="BE729" s="155"/>
      <c r="BF729" s="155"/>
      <c r="BG729" s="158"/>
      <c r="BH729" s="158"/>
      <c r="BI729" s="155"/>
      <c r="BJ729" s="155"/>
      <c r="BK729" s="159"/>
      <c r="BL729" s="156"/>
      <c r="BM729" s="156"/>
      <c r="BN729" s="156"/>
      <c r="BO729" s="156"/>
      <c r="BP729" s="160"/>
      <c r="BQ729" s="160"/>
      <c r="BR729" s="160"/>
      <c r="BS729" s="160"/>
    </row>
    <row r="730" spans="1:71" x14ac:dyDescent="0.25">
      <c r="A730" s="154"/>
      <c r="B730" s="155"/>
      <c r="C730" s="155"/>
      <c r="D730" s="155"/>
      <c r="E730" s="156"/>
      <c r="F730" s="156"/>
      <c r="G730" s="155"/>
      <c r="H730" s="155"/>
      <c r="I730" s="155"/>
      <c r="J730" s="157"/>
      <c r="K730" s="157"/>
      <c r="L730" s="155"/>
      <c r="M730" s="155"/>
      <c r="N730" s="155"/>
      <c r="O730" s="156"/>
      <c r="P730" s="156"/>
      <c r="Q730" s="155"/>
      <c r="R730" s="155"/>
      <c r="S730" s="155"/>
      <c r="T730" s="156"/>
      <c r="U730" s="156"/>
      <c r="V730" s="155"/>
      <c r="W730" s="155"/>
      <c r="X730" s="155"/>
      <c r="Y730" s="155"/>
      <c r="Z730" s="155"/>
      <c r="AA730" s="156"/>
      <c r="AB730" s="156"/>
      <c r="AC730" s="155"/>
      <c r="AD730" s="155"/>
      <c r="AE730" s="155"/>
      <c r="AF730" s="156"/>
      <c r="AG730" s="156"/>
      <c r="AH730" s="155"/>
      <c r="AI730" s="155"/>
      <c r="AJ730" s="155"/>
      <c r="AK730" s="156"/>
      <c r="AL730" s="156"/>
      <c r="AM730" s="155"/>
      <c r="AN730" s="155"/>
      <c r="AO730" s="155"/>
      <c r="AP730" s="156"/>
      <c r="AQ730" s="156"/>
      <c r="AR730" s="155"/>
      <c r="AS730" s="155"/>
      <c r="AT730" s="155"/>
      <c r="AU730" s="156"/>
      <c r="AV730" s="156"/>
      <c r="AW730" s="155"/>
      <c r="AX730" s="155"/>
      <c r="AY730" s="155"/>
      <c r="AZ730" s="156"/>
      <c r="BA730" s="156"/>
      <c r="BB730" s="155"/>
      <c r="BC730" s="155"/>
      <c r="BD730" s="155"/>
      <c r="BE730" s="155"/>
      <c r="BF730" s="155"/>
      <c r="BG730" s="158"/>
      <c r="BH730" s="158"/>
      <c r="BI730" s="155"/>
      <c r="BJ730" s="155"/>
      <c r="BK730" s="159"/>
      <c r="BL730" s="156"/>
      <c r="BM730" s="156"/>
      <c r="BN730" s="156"/>
      <c r="BO730" s="156"/>
      <c r="BP730" s="160"/>
      <c r="BQ730" s="160"/>
      <c r="BR730" s="160"/>
      <c r="BS730" s="160"/>
    </row>
    <row r="731" spans="1:71" x14ac:dyDescent="0.25">
      <c r="A731" s="154"/>
      <c r="B731" s="155"/>
      <c r="C731" s="155"/>
      <c r="D731" s="155"/>
      <c r="E731" s="156"/>
      <c r="F731" s="156"/>
      <c r="G731" s="155"/>
      <c r="H731" s="155"/>
      <c r="I731" s="155"/>
      <c r="J731" s="157"/>
      <c r="K731" s="157"/>
      <c r="L731" s="155"/>
      <c r="M731" s="155"/>
      <c r="N731" s="155"/>
      <c r="O731" s="156"/>
      <c r="P731" s="156"/>
      <c r="Q731" s="155"/>
      <c r="R731" s="155"/>
      <c r="S731" s="155"/>
      <c r="T731" s="156"/>
      <c r="U731" s="156"/>
      <c r="V731" s="155"/>
      <c r="W731" s="155"/>
      <c r="X731" s="155"/>
      <c r="Y731" s="155"/>
      <c r="Z731" s="155"/>
      <c r="AA731" s="156"/>
      <c r="AB731" s="156"/>
      <c r="AC731" s="155"/>
      <c r="AD731" s="155"/>
      <c r="AE731" s="155"/>
      <c r="AF731" s="156"/>
      <c r="AG731" s="156"/>
      <c r="AH731" s="155"/>
      <c r="AI731" s="155"/>
      <c r="AJ731" s="155"/>
      <c r="AK731" s="156"/>
      <c r="AL731" s="156"/>
      <c r="AM731" s="155"/>
      <c r="AN731" s="155"/>
      <c r="AO731" s="155"/>
      <c r="AP731" s="156"/>
      <c r="AQ731" s="156"/>
      <c r="AR731" s="155"/>
      <c r="AS731" s="155"/>
      <c r="AT731" s="155"/>
      <c r="AU731" s="156"/>
      <c r="AV731" s="156"/>
      <c r="AW731" s="155"/>
      <c r="AX731" s="155"/>
      <c r="AY731" s="155"/>
      <c r="AZ731" s="156"/>
      <c r="BA731" s="156"/>
      <c r="BB731" s="155"/>
      <c r="BC731" s="155"/>
      <c r="BD731" s="155"/>
      <c r="BE731" s="155"/>
      <c r="BF731" s="155"/>
      <c r="BG731" s="158"/>
      <c r="BH731" s="158"/>
      <c r="BI731" s="155"/>
      <c r="BJ731" s="155"/>
      <c r="BK731" s="159"/>
      <c r="BL731" s="156"/>
      <c r="BM731" s="156"/>
      <c r="BN731" s="156"/>
      <c r="BO731" s="156"/>
      <c r="BP731" s="160"/>
      <c r="BQ731" s="160"/>
      <c r="BR731" s="160"/>
      <c r="BS731" s="160"/>
    </row>
    <row r="732" spans="1:71" x14ac:dyDescent="0.25">
      <c r="A732" s="154"/>
      <c r="B732" s="155"/>
      <c r="C732" s="155"/>
      <c r="D732" s="155"/>
      <c r="E732" s="156"/>
      <c r="F732" s="156"/>
      <c r="G732" s="155"/>
      <c r="H732" s="155"/>
      <c r="I732" s="155"/>
      <c r="J732" s="157"/>
      <c r="K732" s="157"/>
      <c r="L732" s="155"/>
      <c r="M732" s="155"/>
      <c r="N732" s="155"/>
      <c r="O732" s="156"/>
      <c r="P732" s="156"/>
      <c r="Q732" s="155"/>
      <c r="R732" s="155"/>
      <c r="S732" s="155"/>
      <c r="T732" s="156"/>
      <c r="U732" s="156"/>
      <c r="V732" s="155"/>
      <c r="W732" s="155"/>
      <c r="X732" s="155"/>
      <c r="Y732" s="155"/>
      <c r="Z732" s="155"/>
      <c r="AA732" s="156"/>
      <c r="AB732" s="156"/>
      <c r="AC732" s="155"/>
      <c r="AD732" s="155"/>
      <c r="AE732" s="155"/>
      <c r="AF732" s="156"/>
      <c r="AG732" s="156"/>
      <c r="AH732" s="155"/>
      <c r="AI732" s="155"/>
      <c r="AJ732" s="155"/>
      <c r="AK732" s="156"/>
      <c r="AL732" s="156"/>
      <c r="AM732" s="155"/>
      <c r="AN732" s="155"/>
      <c r="AO732" s="155"/>
      <c r="AP732" s="156"/>
      <c r="AQ732" s="156"/>
      <c r="AR732" s="155"/>
      <c r="AS732" s="155"/>
      <c r="AT732" s="155"/>
      <c r="AU732" s="156"/>
      <c r="AV732" s="156"/>
      <c r="AW732" s="155"/>
      <c r="AX732" s="155"/>
      <c r="AY732" s="155"/>
      <c r="AZ732" s="156"/>
      <c r="BA732" s="156"/>
      <c r="BB732" s="155"/>
      <c r="BC732" s="155"/>
      <c r="BD732" s="155"/>
      <c r="BE732" s="155"/>
      <c r="BF732" s="155"/>
      <c r="BG732" s="158"/>
      <c r="BH732" s="158"/>
      <c r="BI732" s="155"/>
      <c r="BJ732" s="155"/>
      <c r="BK732" s="159"/>
      <c r="BL732" s="156"/>
      <c r="BM732" s="156"/>
      <c r="BN732" s="156"/>
      <c r="BO732" s="156"/>
      <c r="BP732" s="160"/>
      <c r="BQ732" s="160"/>
      <c r="BR732" s="160"/>
      <c r="BS732" s="160"/>
    </row>
    <row r="733" spans="1:71" x14ac:dyDescent="0.25">
      <c r="A733" s="154"/>
      <c r="B733" s="155"/>
      <c r="C733" s="155"/>
      <c r="D733" s="155"/>
      <c r="E733" s="156"/>
      <c r="F733" s="156"/>
      <c r="G733" s="155"/>
      <c r="H733" s="155"/>
      <c r="I733" s="155"/>
      <c r="J733" s="157"/>
      <c r="K733" s="157"/>
      <c r="L733" s="155"/>
      <c r="M733" s="155"/>
      <c r="N733" s="155"/>
      <c r="O733" s="156"/>
      <c r="P733" s="156"/>
      <c r="Q733" s="155"/>
      <c r="R733" s="155"/>
      <c r="S733" s="155"/>
      <c r="T733" s="156"/>
      <c r="U733" s="156"/>
      <c r="V733" s="155"/>
      <c r="W733" s="155"/>
      <c r="X733" s="155"/>
      <c r="Y733" s="155"/>
      <c r="Z733" s="155"/>
      <c r="AA733" s="156"/>
      <c r="AB733" s="156"/>
      <c r="AC733" s="155"/>
      <c r="AD733" s="155"/>
      <c r="AE733" s="155"/>
      <c r="AF733" s="156"/>
      <c r="AG733" s="156"/>
      <c r="AH733" s="155"/>
      <c r="AI733" s="155"/>
      <c r="AJ733" s="155"/>
      <c r="AK733" s="156"/>
      <c r="AL733" s="156"/>
      <c r="AM733" s="155"/>
      <c r="AN733" s="155"/>
      <c r="AO733" s="155"/>
      <c r="AP733" s="156"/>
      <c r="AQ733" s="156"/>
      <c r="AR733" s="155"/>
      <c r="AS733" s="155"/>
      <c r="AT733" s="155"/>
      <c r="AU733" s="156"/>
      <c r="AV733" s="156"/>
      <c r="AW733" s="155"/>
      <c r="AX733" s="155"/>
      <c r="AY733" s="155"/>
      <c r="AZ733" s="156"/>
      <c r="BA733" s="156"/>
      <c r="BB733" s="155"/>
      <c r="BC733" s="155"/>
      <c r="BD733" s="155"/>
      <c r="BE733" s="155"/>
      <c r="BF733" s="155"/>
      <c r="BG733" s="158"/>
      <c r="BH733" s="158"/>
      <c r="BI733" s="155"/>
      <c r="BJ733" s="155"/>
      <c r="BK733" s="159"/>
      <c r="BL733" s="156"/>
      <c r="BM733" s="156"/>
      <c r="BN733" s="156"/>
      <c r="BO733" s="156"/>
      <c r="BP733" s="160"/>
      <c r="BQ733" s="160"/>
      <c r="BR733" s="160"/>
      <c r="BS733" s="160"/>
    </row>
    <row r="734" spans="1:71" x14ac:dyDescent="0.25">
      <c r="A734" s="154"/>
      <c r="B734" s="155"/>
      <c r="C734" s="155"/>
      <c r="D734" s="155"/>
      <c r="E734" s="156"/>
      <c r="F734" s="156"/>
      <c r="G734" s="155"/>
      <c r="H734" s="155"/>
      <c r="I734" s="155"/>
      <c r="J734" s="157"/>
      <c r="K734" s="157"/>
      <c r="L734" s="155"/>
      <c r="M734" s="155"/>
      <c r="N734" s="155"/>
      <c r="O734" s="156"/>
      <c r="P734" s="156"/>
      <c r="Q734" s="155"/>
      <c r="R734" s="155"/>
      <c r="S734" s="155"/>
      <c r="T734" s="156"/>
      <c r="U734" s="156"/>
      <c r="V734" s="155"/>
      <c r="W734" s="155"/>
      <c r="X734" s="155"/>
      <c r="Y734" s="155"/>
      <c r="Z734" s="155"/>
      <c r="AA734" s="156"/>
      <c r="AB734" s="156"/>
      <c r="AC734" s="155"/>
      <c r="AD734" s="155"/>
      <c r="AE734" s="155"/>
      <c r="AF734" s="156"/>
      <c r="AG734" s="156"/>
      <c r="AH734" s="155"/>
      <c r="AI734" s="155"/>
      <c r="AJ734" s="155"/>
      <c r="AK734" s="156"/>
      <c r="AL734" s="156"/>
      <c r="AM734" s="155"/>
      <c r="AN734" s="155"/>
      <c r="AO734" s="155"/>
      <c r="AP734" s="156"/>
      <c r="AQ734" s="156"/>
      <c r="AR734" s="155"/>
      <c r="AS734" s="155"/>
      <c r="AT734" s="155"/>
      <c r="AU734" s="156"/>
      <c r="AV734" s="156"/>
      <c r="AW734" s="155"/>
      <c r="AX734" s="155"/>
      <c r="AY734" s="155"/>
      <c r="AZ734" s="156"/>
      <c r="BA734" s="156"/>
      <c r="BB734" s="155"/>
      <c r="BC734" s="155"/>
      <c r="BD734" s="155"/>
      <c r="BE734" s="155"/>
      <c r="BF734" s="155"/>
      <c r="BG734" s="158"/>
      <c r="BH734" s="158"/>
      <c r="BI734" s="155"/>
      <c r="BJ734" s="155"/>
      <c r="BK734" s="159"/>
      <c r="BL734" s="156"/>
      <c r="BM734" s="156"/>
      <c r="BN734" s="156"/>
      <c r="BO734" s="156"/>
      <c r="BP734" s="160"/>
      <c r="BQ734" s="160"/>
      <c r="BR734" s="160"/>
      <c r="BS734" s="160"/>
    </row>
    <row r="735" spans="1:71" x14ac:dyDescent="0.25">
      <c r="A735" s="154"/>
      <c r="B735" s="155"/>
      <c r="C735" s="155"/>
      <c r="D735" s="155"/>
      <c r="E735" s="156"/>
      <c r="F735" s="156"/>
      <c r="G735" s="155"/>
      <c r="H735" s="155"/>
      <c r="I735" s="155"/>
      <c r="J735" s="157"/>
      <c r="K735" s="157"/>
      <c r="L735" s="155"/>
      <c r="M735" s="155"/>
      <c r="N735" s="155"/>
      <c r="O735" s="156"/>
      <c r="P735" s="156"/>
      <c r="Q735" s="155"/>
      <c r="R735" s="155"/>
      <c r="S735" s="155"/>
      <c r="T735" s="156"/>
      <c r="U735" s="156"/>
      <c r="V735" s="155"/>
      <c r="W735" s="155"/>
      <c r="X735" s="155"/>
      <c r="Y735" s="155"/>
      <c r="Z735" s="155"/>
      <c r="AA735" s="156"/>
      <c r="AB735" s="156"/>
      <c r="AC735" s="155"/>
      <c r="AD735" s="155"/>
      <c r="AE735" s="155"/>
      <c r="AF735" s="156"/>
      <c r="AG735" s="156"/>
      <c r="AH735" s="155"/>
      <c r="AI735" s="155"/>
      <c r="AJ735" s="155"/>
      <c r="AK735" s="156"/>
      <c r="AL735" s="156"/>
      <c r="AM735" s="155"/>
      <c r="AN735" s="155"/>
      <c r="AO735" s="155"/>
      <c r="AP735" s="156"/>
      <c r="AQ735" s="156"/>
      <c r="AR735" s="155"/>
      <c r="AS735" s="155"/>
      <c r="AT735" s="155"/>
      <c r="AU735" s="156"/>
      <c r="AV735" s="156"/>
      <c r="AW735" s="155"/>
      <c r="AX735" s="155"/>
      <c r="AY735" s="155"/>
      <c r="AZ735" s="156"/>
      <c r="BA735" s="156"/>
      <c r="BB735" s="155"/>
      <c r="BC735" s="155"/>
      <c r="BD735" s="155"/>
      <c r="BE735" s="155"/>
      <c r="BF735" s="155"/>
      <c r="BG735" s="158"/>
      <c r="BH735" s="158"/>
      <c r="BI735" s="155"/>
      <c r="BJ735" s="155"/>
      <c r="BK735" s="159"/>
      <c r="BL735" s="156"/>
      <c r="BM735" s="156"/>
      <c r="BN735" s="156"/>
      <c r="BO735" s="156"/>
      <c r="BP735" s="160"/>
      <c r="BQ735" s="160"/>
      <c r="BR735" s="160"/>
      <c r="BS735" s="160"/>
    </row>
    <row r="736" spans="1:71" x14ac:dyDescent="0.25">
      <c r="A736" s="154"/>
      <c r="B736" s="155"/>
      <c r="C736" s="155"/>
      <c r="D736" s="155"/>
      <c r="E736" s="156"/>
      <c r="F736" s="156"/>
      <c r="G736" s="155"/>
      <c r="H736" s="155"/>
      <c r="I736" s="155"/>
      <c r="J736" s="157"/>
      <c r="K736" s="157"/>
      <c r="L736" s="155"/>
      <c r="M736" s="155"/>
      <c r="N736" s="155"/>
      <c r="O736" s="156"/>
      <c r="P736" s="156"/>
      <c r="Q736" s="155"/>
      <c r="R736" s="155"/>
      <c r="S736" s="155"/>
      <c r="T736" s="156"/>
      <c r="U736" s="156"/>
      <c r="V736" s="155"/>
      <c r="W736" s="155"/>
      <c r="X736" s="155"/>
      <c r="Y736" s="155"/>
      <c r="Z736" s="155"/>
      <c r="AA736" s="156"/>
      <c r="AB736" s="156"/>
      <c r="AC736" s="155"/>
      <c r="AD736" s="155"/>
      <c r="AE736" s="155"/>
      <c r="AF736" s="156"/>
      <c r="AG736" s="156"/>
      <c r="AH736" s="155"/>
      <c r="AI736" s="155"/>
      <c r="AJ736" s="155"/>
      <c r="AK736" s="156"/>
      <c r="AL736" s="156"/>
      <c r="AM736" s="155"/>
      <c r="AN736" s="155"/>
      <c r="AO736" s="155"/>
      <c r="AP736" s="156"/>
      <c r="AQ736" s="156"/>
      <c r="AR736" s="155"/>
      <c r="AS736" s="155"/>
      <c r="AT736" s="155"/>
      <c r="AU736" s="156"/>
      <c r="AV736" s="156"/>
      <c r="AW736" s="155"/>
      <c r="AX736" s="155"/>
      <c r="AY736" s="155"/>
      <c r="AZ736" s="156"/>
      <c r="BA736" s="156"/>
      <c r="BB736" s="155"/>
      <c r="BC736" s="155"/>
      <c r="BD736" s="155"/>
      <c r="BE736" s="155"/>
      <c r="BF736" s="155"/>
      <c r="BG736" s="158"/>
      <c r="BH736" s="158"/>
      <c r="BI736" s="155"/>
      <c r="BJ736" s="155"/>
      <c r="BK736" s="159"/>
      <c r="BL736" s="156"/>
      <c r="BM736" s="156"/>
      <c r="BN736" s="156"/>
      <c r="BO736" s="156"/>
      <c r="BP736" s="160"/>
      <c r="BQ736" s="160"/>
      <c r="BR736" s="160"/>
      <c r="BS736" s="160"/>
    </row>
    <row r="737" spans="1:71" x14ac:dyDescent="0.25">
      <c r="A737" s="154"/>
      <c r="B737" s="155"/>
      <c r="C737" s="155"/>
      <c r="D737" s="155"/>
      <c r="E737" s="156"/>
      <c r="F737" s="156"/>
      <c r="G737" s="155"/>
      <c r="H737" s="155"/>
      <c r="I737" s="155"/>
      <c r="J737" s="157"/>
      <c r="K737" s="157"/>
      <c r="L737" s="155"/>
      <c r="M737" s="155"/>
      <c r="N737" s="155"/>
      <c r="O737" s="156"/>
      <c r="P737" s="156"/>
      <c r="Q737" s="155"/>
      <c r="R737" s="155"/>
      <c r="S737" s="155"/>
      <c r="T737" s="156"/>
      <c r="U737" s="156"/>
      <c r="V737" s="155"/>
      <c r="W737" s="155"/>
      <c r="X737" s="155"/>
      <c r="Y737" s="155"/>
      <c r="Z737" s="155"/>
      <c r="AA737" s="156"/>
      <c r="AB737" s="156"/>
      <c r="AC737" s="155"/>
      <c r="AD737" s="155"/>
      <c r="AE737" s="155"/>
      <c r="AF737" s="156"/>
      <c r="AG737" s="156"/>
      <c r="AH737" s="155"/>
      <c r="AI737" s="155"/>
      <c r="AJ737" s="155"/>
      <c r="AK737" s="156"/>
      <c r="AL737" s="156"/>
      <c r="AM737" s="155"/>
      <c r="AN737" s="155"/>
      <c r="AO737" s="155"/>
      <c r="AP737" s="156"/>
      <c r="AQ737" s="156"/>
      <c r="AR737" s="155"/>
      <c r="AS737" s="155"/>
      <c r="AT737" s="155"/>
      <c r="AU737" s="156"/>
      <c r="AV737" s="156"/>
      <c r="AW737" s="155"/>
      <c r="AX737" s="155"/>
      <c r="AY737" s="155"/>
      <c r="AZ737" s="156"/>
      <c r="BA737" s="156"/>
      <c r="BB737" s="155"/>
      <c r="BC737" s="155"/>
      <c r="BD737" s="155"/>
      <c r="BE737" s="155"/>
      <c r="BF737" s="155"/>
      <c r="BG737" s="158"/>
      <c r="BH737" s="158"/>
      <c r="BI737" s="155"/>
      <c r="BJ737" s="155"/>
      <c r="BK737" s="159"/>
      <c r="BL737" s="156"/>
      <c r="BM737" s="156"/>
      <c r="BN737" s="156"/>
      <c r="BO737" s="156"/>
      <c r="BP737" s="160"/>
      <c r="BQ737" s="160"/>
      <c r="BR737" s="160"/>
      <c r="BS737" s="160"/>
    </row>
    <row r="738" spans="1:71" x14ac:dyDescent="0.25">
      <c r="A738" s="154"/>
      <c r="B738" s="155"/>
      <c r="C738" s="155"/>
      <c r="D738" s="155"/>
      <c r="E738" s="156"/>
      <c r="F738" s="156"/>
      <c r="G738" s="155"/>
      <c r="H738" s="155"/>
      <c r="I738" s="155"/>
      <c r="J738" s="157"/>
      <c r="K738" s="157"/>
      <c r="L738" s="155"/>
      <c r="M738" s="155"/>
      <c r="N738" s="155"/>
      <c r="O738" s="156"/>
      <c r="P738" s="156"/>
      <c r="Q738" s="155"/>
      <c r="R738" s="155"/>
      <c r="S738" s="155"/>
      <c r="T738" s="156"/>
      <c r="U738" s="156"/>
      <c r="V738" s="155"/>
      <c r="W738" s="155"/>
      <c r="X738" s="155"/>
      <c r="Y738" s="155"/>
      <c r="Z738" s="155"/>
      <c r="AA738" s="156"/>
      <c r="AB738" s="156"/>
      <c r="AC738" s="155"/>
      <c r="AD738" s="155"/>
      <c r="AE738" s="155"/>
      <c r="AF738" s="156"/>
      <c r="AG738" s="156"/>
      <c r="AH738" s="155"/>
      <c r="AI738" s="155"/>
      <c r="AJ738" s="155"/>
      <c r="AK738" s="156"/>
      <c r="AL738" s="156"/>
      <c r="AM738" s="155"/>
      <c r="AN738" s="155"/>
      <c r="AO738" s="155"/>
      <c r="AP738" s="156"/>
      <c r="AQ738" s="156"/>
      <c r="AR738" s="155"/>
      <c r="AS738" s="155"/>
      <c r="AT738" s="155"/>
      <c r="AU738" s="156"/>
      <c r="AV738" s="156"/>
      <c r="AW738" s="155"/>
      <c r="AX738" s="155"/>
      <c r="AY738" s="155"/>
      <c r="AZ738" s="156"/>
      <c r="BA738" s="156"/>
      <c r="BB738" s="155"/>
      <c r="BC738" s="155"/>
      <c r="BD738" s="155"/>
      <c r="BE738" s="155"/>
      <c r="BF738" s="155"/>
      <c r="BG738" s="158"/>
      <c r="BH738" s="158"/>
      <c r="BI738" s="155"/>
      <c r="BJ738" s="155"/>
      <c r="BK738" s="159"/>
      <c r="BL738" s="156"/>
      <c r="BM738" s="156"/>
      <c r="BN738" s="156"/>
      <c r="BO738" s="156"/>
      <c r="BP738" s="160"/>
      <c r="BQ738" s="160"/>
      <c r="BR738" s="160"/>
      <c r="BS738" s="160"/>
    </row>
    <row r="739" spans="1:71" x14ac:dyDescent="0.25">
      <c r="A739" s="154"/>
      <c r="B739" s="155"/>
      <c r="C739" s="155"/>
      <c r="D739" s="155"/>
      <c r="E739" s="156"/>
      <c r="F739" s="156"/>
      <c r="G739" s="155"/>
      <c r="H739" s="155"/>
      <c r="I739" s="155"/>
      <c r="J739" s="157"/>
      <c r="K739" s="157"/>
      <c r="L739" s="155"/>
      <c r="M739" s="155"/>
      <c r="N739" s="155"/>
      <c r="O739" s="156"/>
      <c r="P739" s="156"/>
      <c r="Q739" s="155"/>
      <c r="R739" s="155"/>
      <c r="S739" s="155"/>
      <c r="T739" s="156"/>
      <c r="U739" s="156"/>
      <c r="V739" s="155"/>
      <c r="W739" s="155"/>
      <c r="X739" s="155"/>
      <c r="Y739" s="155"/>
      <c r="Z739" s="155"/>
      <c r="AA739" s="156"/>
      <c r="AB739" s="156"/>
      <c r="AC739" s="155"/>
      <c r="AD739" s="155"/>
      <c r="AE739" s="155"/>
      <c r="AF739" s="156"/>
      <c r="AG739" s="156"/>
      <c r="AH739" s="155"/>
      <c r="AI739" s="155"/>
      <c r="AJ739" s="155"/>
      <c r="AK739" s="156"/>
      <c r="AL739" s="156"/>
      <c r="AM739" s="155"/>
      <c r="AN739" s="155"/>
      <c r="AO739" s="155"/>
      <c r="AP739" s="156"/>
      <c r="AQ739" s="156"/>
      <c r="AR739" s="155"/>
      <c r="AS739" s="155"/>
      <c r="AT739" s="155"/>
      <c r="AU739" s="156"/>
      <c r="AV739" s="156"/>
      <c r="AW739" s="155"/>
      <c r="AX739" s="155"/>
      <c r="AY739" s="155"/>
      <c r="AZ739" s="156"/>
      <c r="BA739" s="156"/>
      <c r="BB739" s="155"/>
      <c r="BC739" s="155"/>
      <c r="BD739" s="155"/>
      <c r="BE739" s="155"/>
      <c r="BF739" s="155"/>
      <c r="BG739" s="158"/>
      <c r="BH739" s="158"/>
      <c r="BI739" s="155"/>
      <c r="BJ739" s="155"/>
      <c r="BK739" s="159"/>
      <c r="BL739" s="156"/>
      <c r="BM739" s="156"/>
      <c r="BN739" s="156"/>
      <c r="BO739" s="156"/>
      <c r="BP739" s="160"/>
      <c r="BQ739" s="160"/>
      <c r="BR739" s="160"/>
      <c r="BS739" s="160"/>
    </row>
    <row r="740" spans="1:71" x14ac:dyDescent="0.25">
      <c r="A740" s="154"/>
      <c r="B740" s="155"/>
      <c r="C740" s="155"/>
      <c r="D740" s="155"/>
      <c r="E740" s="156"/>
      <c r="F740" s="156"/>
      <c r="G740" s="155"/>
      <c r="H740" s="155"/>
      <c r="I740" s="155"/>
      <c r="J740" s="157"/>
      <c r="K740" s="157"/>
      <c r="L740" s="155"/>
      <c r="M740" s="155"/>
      <c r="N740" s="155"/>
      <c r="O740" s="156"/>
      <c r="P740" s="156"/>
      <c r="Q740" s="155"/>
      <c r="R740" s="155"/>
      <c r="S740" s="155"/>
      <c r="T740" s="156"/>
      <c r="U740" s="156"/>
      <c r="V740" s="155"/>
      <c r="W740" s="155"/>
      <c r="X740" s="155"/>
      <c r="Y740" s="155"/>
      <c r="Z740" s="155"/>
      <c r="AA740" s="156"/>
      <c r="AB740" s="156"/>
      <c r="AC740" s="155"/>
      <c r="AD740" s="155"/>
      <c r="AE740" s="155"/>
      <c r="AF740" s="156"/>
      <c r="AG740" s="156"/>
      <c r="AH740" s="155"/>
      <c r="AI740" s="155"/>
      <c r="AJ740" s="155"/>
      <c r="AK740" s="156"/>
      <c r="AL740" s="156"/>
      <c r="AM740" s="155"/>
      <c r="AN740" s="155"/>
      <c r="AO740" s="155"/>
      <c r="AP740" s="156"/>
      <c r="AQ740" s="156"/>
      <c r="AR740" s="155"/>
      <c r="AS740" s="155"/>
      <c r="AT740" s="155"/>
      <c r="AU740" s="156"/>
      <c r="AV740" s="156"/>
      <c r="AW740" s="155"/>
      <c r="AX740" s="155"/>
      <c r="AY740" s="155"/>
      <c r="AZ740" s="156"/>
      <c r="BA740" s="156"/>
      <c r="BB740" s="155"/>
      <c r="BC740" s="155"/>
      <c r="BD740" s="155"/>
      <c r="BE740" s="155"/>
      <c r="BF740" s="155"/>
      <c r="BG740" s="158"/>
      <c r="BH740" s="158"/>
      <c r="BI740" s="155"/>
      <c r="BJ740" s="155"/>
      <c r="BK740" s="159"/>
      <c r="BL740" s="156"/>
      <c r="BM740" s="156"/>
      <c r="BN740" s="156"/>
      <c r="BO740" s="156"/>
      <c r="BP740" s="160"/>
      <c r="BQ740" s="160"/>
      <c r="BR740" s="160"/>
      <c r="BS740" s="160"/>
    </row>
    <row r="741" spans="1:71" x14ac:dyDescent="0.25">
      <c r="A741" s="154"/>
      <c r="B741" s="155"/>
      <c r="C741" s="155"/>
      <c r="D741" s="155"/>
      <c r="E741" s="156"/>
      <c r="F741" s="156"/>
      <c r="G741" s="155"/>
      <c r="H741" s="155"/>
      <c r="I741" s="155"/>
      <c r="J741" s="157"/>
      <c r="K741" s="157"/>
      <c r="L741" s="155"/>
      <c r="M741" s="155"/>
      <c r="N741" s="155"/>
      <c r="O741" s="156"/>
      <c r="P741" s="156"/>
      <c r="Q741" s="155"/>
      <c r="R741" s="155"/>
      <c r="S741" s="155"/>
      <c r="T741" s="156"/>
      <c r="U741" s="156"/>
      <c r="V741" s="155"/>
      <c r="W741" s="155"/>
      <c r="X741" s="155"/>
      <c r="Y741" s="155"/>
      <c r="Z741" s="155"/>
      <c r="AA741" s="156"/>
      <c r="AB741" s="156"/>
      <c r="AC741" s="155"/>
      <c r="AD741" s="155"/>
      <c r="AE741" s="155"/>
      <c r="AF741" s="156"/>
      <c r="AG741" s="156"/>
      <c r="AH741" s="155"/>
      <c r="AI741" s="155"/>
      <c r="AJ741" s="155"/>
      <c r="AK741" s="156"/>
      <c r="AL741" s="156"/>
      <c r="AM741" s="155"/>
      <c r="AN741" s="155"/>
      <c r="AO741" s="155"/>
      <c r="AP741" s="156"/>
      <c r="AQ741" s="156"/>
      <c r="AR741" s="155"/>
      <c r="AS741" s="155"/>
      <c r="AT741" s="155"/>
      <c r="AU741" s="156"/>
      <c r="AV741" s="156"/>
      <c r="AW741" s="155"/>
      <c r="AX741" s="155"/>
      <c r="AY741" s="155"/>
      <c r="AZ741" s="156"/>
      <c r="BA741" s="156"/>
      <c r="BB741" s="155"/>
      <c r="BC741" s="155"/>
      <c r="BD741" s="155"/>
      <c r="BE741" s="155"/>
      <c r="BF741" s="155"/>
      <c r="BG741" s="158"/>
      <c r="BH741" s="158"/>
      <c r="BI741" s="155"/>
      <c r="BJ741" s="155"/>
      <c r="BK741" s="159"/>
      <c r="BL741" s="156"/>
      <c r="BM741" s="156"/>
      <c r="BN741" s="156"/>
      <c r="BO741" s="156"/>
      <c r="BP741" s="160"/>
      <c r="BQ741" s="160"/>
      <c r="BR741" s="160"/>
      <c r="BS741" s="160"/>
    </row>
    <row r="742" spans="1:71" x14ac:dyDescent="0.25">
      <c r="A742" s="154"/>
      <c r="B742" s="155"/>
      <c r="C742" s="155"/>
      <c r="D742" s="155"/>
      <c r="E742" s="156"/>
      <c r="F742" s="156"/>
      <c r="G742" s="155"/>
      <c r="H742" s="155"/>
      <c r="I742" s="155"/>
      <c r="J742" s="157"/>
      <c r="K742" s="157"/>
      <c r="L742" s="155"/>
      <c r="M742" s="155"/>
      <c r="N742" s="155"/>
      <c r="O742" s="156"/>
      <c r="P742" s="156"/>
      <c r="Q742" s="155"/>
      <c r="R742" s="155"/>
      <c r="S742" s="155"/>
      <c r="T742" s="156"/>
      <c r="U742" s="156"/>
      <c r="V742" s="155"/>
      <c r="W742" s="155"/>
      <c r="X742" s="155"/>
      <c r="Y742" s="155"/>
      <c r="Z742" s="155"/>
      <c r="AA742" s="156"/>
      <c r="AB742" s="156"/>
      <c r="AC742" s="155"/>
      <c r="AD742" s="155"/>
      <c r="AE742" s="155"/>
      <c r="AF742" s="156"/>
      <c r="AG742" s="156"/>
      <c r="AH742" s="155"/>
      <c r="AI742" s="155"/>
      <c r="AJ742" s="155"/>
      <c r="AK742" s="156"/>
      <c r="AL742" s="156"/>
      <c r="AM742" s="155"/>
      <c r="AN742" s="155"/>
      <c r="AO742" s="155"/>
      <c r="AP742" s="156"/>
      <c r="AQ742" s="156"/>
      <c r="AR742" s="155"/>
      <c r="AS742" s="155"/>
      <c r="AT742" s="155"/>
      <c r="AU742" s="156"/>
      <c r="AV742" s="156"/>
      <c r="AW742" s="155"/>
      <c r="AX742" s="155"/>
      <c r="AY742" s="155"/>
      <c r="AZ742" s="156"/>
      <c r="BA742" s="156"/>
      <c r="BB742" s="155"/>
      <c r="BC742" s="155"/>
      <c r="BD742" s="155"/>
      <c r="BE742" s="155"/>
      <c r="BF742" s="155"/>
      <c r="BG742" s="158"/>
      <c r="BH742" s="158"/>
      <c r="BI742" s="155"/>
      <c r="BJ742" s="155"/>
      <c r="BK742" s="159"/>
      <c r="BL742" s="156"/>
      <c r="BM742" s="156"/>
      <c r="BN742" s="156"/>
      <c r="BO742" s="156"/>
      <c r="BP742" s="160"/>
      <c r="BQ742" s="160"/>
      <c r="BR742" s="160"/>
      <c r="BS742" s="160"/>
    </row>
    <row r="743" spans="1:71" x14ac:dyDescent="0.25">
      <c r="A743" s="154"/>
      <c r="B743" s="155"/>
      <c r="C743" s="155"/>
      <c r="D743" s="155"/>
      <c r="E743" s="156"/>
      <c r="F743" s="156"/>
      <c r="G743" s="155"/>
      <c r="H743" s="155"/>
      <c r="I743" s="155"/>
      <c r="J743" s="157"/>
      <c r="K743" s="157"/>
      <c r="L743" s="155"/>
      <c r="M743" s="155"/>
      <c r="N743" s="155"/>
      <c r="O743" s="156"/>
      <c r="P743" s="156"/>
      <c r="Q743" s="155"/>
      <c r="R743" s="155"/>
      <c r="S743" s="155"/>
      <c r="T743" s="156"/>
      <c r="U743" s="156"/>
      <c r="V743" s="155"/>
      <c r="W743" s="155"/>
      <c r="X743" s="155"/>
      <c r="Y743" s="155"/>
      <c r="Z743" s="155"/>
      <c r="AA743" s="156"/>
      <c r="AB743" s="156"/>
      <c r="AC743" s="155"/>
      <c r="AD743" s="155"/>
      <c r="AE743" s="155"/>
      <c r="AF743" s="156"/>
      <c r="AG743" s="156"/>
      <c r="AH743" s="155"/>
      <c r="AI743" s="155"/>
      <c r="AJ743" s="155"/>
      <c r="AK743" s="156"/>
      <c r="AL743" s="156"/>
      <c r="AM743" s="155"/>
      <c r="AN743" s="155"/>
      <c r="AO743" s="155"/>
      <c r="AP743" s="156"/>
      <c r="AQ743" s="156"/>
      <c r="AR743" s="155"/>
      <c r="AS743" s="155"/>
      <c r="AT743" s="155"/>
      <c r="AU743" s="156"/>
      <c r="AV743" s="156"/>
      <c r="AW743" s="155"/>
      <c r="AX743" s="155"/>
      <c r="AY743" s="155"/>
      <c r="AZ743" s="156"/>
      <c r="BA743" s="156"/>
      <c r="BB743" s="155"/>
      <c r="BC743" s="155"/>
      <c r="BD743" s="155"/>
      <c r="BE743" s="155"/>
      <c r="BF743" s="155"/>
      <c r="BG743" s="158"/>
      <c r="BH743" s="158"/>
      <c r="BI743" s="155"/>
      <c r="BJ743" s="155"/>
      <c r="BK743" s="159"/>
      <c r="BL743" s="156"/>
      <c r="BM743" s="156"/>
      <c r="BN743" s="156"/>
      <c r="BO743" s="156"/>
      <c r="BP743" s="160"/>
      <c r="BQ743" s="160"/>
      <c r="BR743" s="160"/>
      <c r="BS743" s="160"/>
    </row>
    <row r="744" spans="1:71" x14ac:dyDescent="0.25">
      <c r="A744" s="154"/>
      <c r="B744" s="155"/>
      <c r="C744" s="155"/>
      <c r="D744" s="155"/>
      <c r="E744" s="156"/>
      <c r="F744" s="156"/>
      <c r="G744" s="155"/>
      <c r="H744" s="155"/>
      <c r="I744" s="155"/>
      <c r="J744" s="157"/>
      <c r="K744" s="157"/>
      <c r="L744" s="155"/>
      <c r="M744" s="155"/>
      <c r="N744" s="155"/>
      <c r="O744" s="156"/>
      <c r="P744" s="156"/>
      <c r="Q744" s="155"/>
      <c r="R744" s="155"/>
      <c r="S744" s="155"/>
      <c r="T744" s="156"/>
      <c r="U744" s="156"/>
      <c r="V744" s="155"/>
      <c r="W744" s="155"/>
      <c r="X744" s="155"/>
      <c r="Y744" s="155"/>
      <c r="Z744" s="155"/>
      <c r="AA744" s="156"/>
      <c r="AB744" s="156"/>
      <c r="AC744" s="155"/>
      <c r="AD744" s="155"/>
      <c r="AE744" s="155"/>
      <c r="AF744" s="156"/>
      <c r="AG744" s="156"/>
      <c r="AH744" s="155"/>
      <c r="AI744" s="155"/>
      <c r="AJ744" s="155"/>
      <c r="AK744" s="156"/>
      <c r="AL744" s="156"/>
      <c r="AM744" s="155"/>
      <c r="AN744" s="155"/>
      <c r="AO744" s="155"/>
      <c r="AP744" s="156"/>
      <c r="AQ744" s="156"/>
      <c r="AR744" s="155"/>
      <c r="AS744" s="155"/>
      <c r="AT744" s="155"/>
      <c r="AU744" s="156"/>
      <c r="AV744" s="156"/>
      <c r="AW744" s="155"/>
      <c r="AX744" s="155"/>
      <c r="AY744" s="155"/>
      <c r="AZ744" s="156"/>
      <c r="BA744" s="156"/>
      <c r="BB744" s="155"/>
      <c r="BC744" s="155"/>
      <c r="BD744" s="155"/>
      <c r="BE744" s="155"/>
      <c r="BF744" s="155"/>
      <c r="BG744" s="158"/>
      <c r="BH744" s="158"/>
      <c r="BI744" s="155"/>
      <c r="BJ744" s="155"/>
      <c r="BK744" s="159"/>
      <c r="BL744" s="156"/>
      <c r="BM744" s="156"/>
      <c r="BN744" s="156"/>
      <c r="BO744" s="156"/>
      <c r="BP744" s="160"/>
      <c r="BQ744" s="160"/>
      <c r="BR744" s="160"/>
      <c r="BS744" s="160"/>
    </row>
    <row r="745" spans="1:71" x14ac:dyDescent="0.25">
      <c r="A745" s="154"/>
      <c r="B745" s="155"/>
      <c r="C745" s="155"/>
      <c r="D745" s="155"/>
      <c r="E745" s="156"/>
      <c r="F745" s="156"/>
      <c r="G745" s="155"/>
      <c r="H745" s="155"/>
      <c r="I745" s="155"/>
      <c r="J745" s="157"/>
      <c r="K745" s="157"/>
      <c r="L745" s="155"/>
      <c r="M745" s="155"/>
      <c r="N745" s="155"/>
      <c r="O745" s="156"/>
      <c r="P745" s="156"/>
      <c r="Q745" s="155"/>
      <c r="R745" s="155"/>
      <c r="S745" s="155"/>
      <c r="T745" s="156"/>
      <c r="U745" s="156"/>
      <c r="V745" s="155"/>
      <c r="W745" s="155"/>
      <c r="X745" s="155"/>
      <c r="Y745" s="155"/>
      <c r="Z745" s="155"/>
      <c r="AA745" s="156"/>
      <c r="AB745" s="156"/>
      <c r="AC745" s="155"/>
      <c r="AD745" s="155"/>
      <c r="AE745" s="155"/>
      <c r="AF745" s="156"/>
      <c r="AG745" s="156"/>
      <c r="AH745" s="155"/>
      <c r="AI745" s="155"/>
      <c r="AJ745" s="155"/>
      <c r="AK745" s="156"/>
      <c r="AL745" s="156"/>
      <c r="AM745" s="155"/>
      <c r="AN745" s="155"/>
      <c r="AO745" s="155"/>
      <c r="AP745" s="156"/>
      <c r="AQ745" s="156"/>
      <c r="AR745" s="155"/>
      <c r="AS745" s="155"/>
      <c r="AT745" s="155"/>
      <c r="AU745" s="156"/>
      <c r="AV745" s="156"/>
      <c r="AW745" s="155"/>
      <c r="AX745" s="155"/>
      <c r="AY745" s="155"/>
      <c r="AZ745" s="156"/>
      <c r="BA745" s="156"/>
      <c r="BB745" s="155"/>
      <c r="BC745" s="155"/>
      <c r="BD745" s="155"/>
      <c r="BE745" s="155"/>
      <c r="BF745" s="155"/>
      <c r="BG745" s="158"/>
      <c r="BH745" s="158"/>
      <c r="BI745" s="155"/>
      <c r="BJ745" s="155"/>
      <c r="BK745" s="159"/>
      <c r="BL745" s="156"/>
      <c r="BM745" s="156"/>
      <c r="BN745" s="156"/>
      <c r="BO745" s="156"/>
      <c r="BP745" s="160"/>
      <c r="BQ745" s="160"/>
      <c r="BR745" s="160"/>
      <c r="BS745" s="160"/>
    </row>
    <row r="746" spans="1:71" x14ac:dyDescent="0.25">
      <c r="A746" s="154"/>
      <c r="B746" s="155"/>
      <c r="C746" s="155"/>
      <c r="D746" s="155"/>
      <c r="E746" s="156"/>
      <c r="F746" s="156"/>
      <c r="G746" s="155"/>
      <c r="H746" s="155"/>
      <c r="I746" s="155"/>
      <c r="J746" s="157"/>
      <c r="K746" s="157"/>
      <c r="L746" s="155"/>
      <c r="M746" s="155"/>
      <c r="N746" s="155"/>
      <c r="O746" s="156"/>
      <c r="P746" s="156"/>
      <c r="Q746" s="155"/>
      <c r="R746" s="155"/>
      <c r="S746" s="155"/>
      <c r="T746" s="156"/>
      <c r="U746" s="156"/>
      <c r="V746" s="155"/>
      <c r="W746" s="155"/>
      <c r="X746" s="155"/>
      <c r="Y746" s="155"/>
      <c r="Z746" s="155"/>
      <c r="AA746" s="156"/>
      <c r="AB746" s="156"/>
      <c r="AC746" s="155"/>
      <c r="AD746" s="155"/>
      <c r="AE746" s="155"/>
      <c r="AF746" s="156"/>
      <c r="AG746" s="156"/>
      <c r="AH746" s="155"/>
      <c r="AI746" s="155"/>
      <c r="AJ746" s="155"/>
      <c r="AK746" s="156"/>
      <c r="AL746" s="156"/>
      <c r="AM746" s="155"/>
      <c r="AN746" s="155"/>
      <c r="AO746" s="155"/>
      <c r="AP746" s="156"/>
      <c r="AQ746" s="156"/>
      <c r="AR746" s="155"/>
      <c r="AS746" s="155"/>
      <c r="AT746" s="155"/>
      <c r="AU746" s="156"/>
      <c r="AV746" s="156"/>
      <c r="AW746" s="155"/>
      <c r="AX746" s="155"/>
      <c r="AY746" s="155"/>
      <c r="AZ746" s="156"/>
      <c r="BA746" s="156"/>
      <c r="BB746" s="155"/>
      <c r="BC746" s="155"/>
      <c r="BD746" s="155"/>
      <c r="BE746" s="155"/>
      <c r="BF746" s="155"/>
      <c r="BG746" s="158"/>
      <c r="BH746" s="158"/>
      <c r="BI746" s="155"/>
      <c r="BJ746" s="155"/>
      <c r="BK746" s="159"/>
      <c r="BL746" s="156"/>
      <c r="BM746" s="156"/>
      <c r="BN746" s="156"/>
      <c r="BO746" s="156"/>
      <c r="BP746" s="160"/>
      <c r="BQ746" s="160"/>
      <c r="BR746" s="160"/>
      <c r="BS746" s="160"/>
    </row>
    <row r="747" spans="1:71" x14ac:dyDescent="0.25">
      <c r="A747" s="154"/>
      <c r="B747" s="155"/>
      <c r="C747" s="155"/>
      <c r="D747" s="155"/>
      <c r="E747" s="156"/>
      <c r="F747" s="156"/>
      <c r="G747" s="155"/>
      <c r="H747" s="155"/>
      <c r="I747" s="155"/>
      <c r="J747" s="157"/>
      <c r="K747" s="157"/>
      <c r="L747" s="155"/>
      <c r="M747" s="155"/>
      <c r="N747" s="155"/>
      <c r="O747" s="156"/>
      <c r="P747" s="156"/>
      <c r="Q747" s="155"/>
      <c r="R747" s="155"/>
      <c r="S747" s="155"/>
      <c r="T747" s="156"/>
      <c r="U747" s="156"/>
      <c r="V747" s="155"/>
      <c r="W747" s="155"/>
      <c r="X747" s="155"/>
      <c r="Y747" s="155"/>
      <c r="Z747" s="155"/>
      <c r="AA747" s="156"/>
      <c r="AB747" s="156"/>
      <c r="AC747" s="155"/>
      <c r="AD747" s="155"/>
      <c r="AE747" s="155"/>
      <c r="AF747" s="156"/>
      <c r="AG747" s="156"/>
      <c r="AH747" s="155"/>
      <c r="AI747" s="155"/>
      <c r="AJ747" s="155"/>
      <c r="AK747" s="156"/>
      <c r="AL747" s="156"/>
      <c r="AM747" s="155"/>
      <c r="AN747" s="155"/>
      <c r="AO747" s="155"/>
      <c r="AP747" s="156"/>
      <c r="AQ747" s="156"/>
      <c r="AR747" s="155"/>
      <c r="AS747" s="155"/>
      <c r="AT747" s="155"/>
      <c r="AU747" s="156"/>
      <c r="AV747" s="156"/>
      <c r="AW747" s="155"/>
      <c r="AX747" s="155"/>
      <c r="AY747" s="155"/>
      <c r="AZ747" s="156"/>
      <c r="BA747" s="156"/>
      <c r="BB747" s="155"/>
      <c r="BC747" s="155"/>
      <c r="BD747" s="155"/>
      <c r="BE747" s="155"/>
      <c r="BF747" s="155"/>
      <c r="BG747" s="158"/>
      <c r="BH747" s="158"/>
      <c r="BI747" s="155"/>
      <c r="BJ747" s="155"/>
      <c r="BK747" s="159"/>
      <c r="BL747" s="156"/>
      <c r="BM747" s="156"/>
      <c r="BN747" s="156"/>
      <c r="BO747" s="156"/>
      <c r="BP747" s="160"/>
      <c r="BQ747" s="160"/>
      <c r="BR747" s="160"/>
      <c r="BS747" s="160"/>
    </row>
    <row r="748" spans="1:71" x14ac:dyDescent="0.25">
      <c r="A748" s="154"/>
      <c r="B748" s="155"/>
      <c r="C748" s="155"/>
      <c r="D748" s="155"/>
      <c r="E748" s="156"/>
      <c r="F748" s="156"/>
      <c r="G748" s="155"/>
      <c r="H748" s="155"/>
      <c r="I748" s="155"/>
      <c r="J748" s="157"/>
      <c r="K748" s="157"/>
      <c r="L748" s="155"/>
      <c r="M748" s="155"/>
      <c r="N748" s="155"/>
      <c r="O748" s="156"/>
      <c r="P748" s="156"/>
      <c r="Q748" s="155"/>
      <c r="R748" s="155"/>
      <c r="S748" s="155"/>
      <c r="T748" s="156"/>
      <c r="U748" s="156"/>
      <c r="V748" s="155"/>
      <c r="W748" s="155"/>
      <c r="X748" s="155"/>
      <c r="Y748" s="155"/>
      <c r="Z748" s="155"/>
      <c r="AA748" s="156"/>
      <c r="AB748" s="156"/>
      <c r="AC748" s="155"/>
      <c r="AD748" s="155"/>
      <c r="AE748" s="155"/>
      <c r="AF748" s="156"/>
      <c r="AG748" s="156"/>
      <c r="AH748" s="155"/>
      <c r="AI748" s="155"/>
      <c r="AJ748" s="155"/>
      <c r="AK748" s="156"/>
      <c r="AL748" s="156"/>
      <c r="AM748" s="155"/>
      <c r="AN748" s="155"/>
      <c r="AO748" s="155"/>
      <c r="AP748" s="156"/>
      <c r="AQ748" s="156"/>
      <c r="AR748" s="155"/>
      <c r="AS748" s="155"/>
      <c r="AT748" s="155"/>
      <c r="AU748" s="156"/>
      <c r="AV748" s="156"/>
      <c r="AW748" s="155"/>
      <c r="AX748" s="155"/>
      <c r="AY748" s="155"/>
      <c r="AZ748" s="156"/>
      <c r="BA748" s="156"/>
      <c r="BB748" s="155"/>
      <c r="BC748" s="155"/>
      <c r="BD748" s="155"/>
      <c r="BE748" s="155"/>
      <c r="BF748" s="155"/>
      <c r="BG748" s="158"/>
      <c r="BH748" s="158"/>
      <c r="BI748" s="155"/>
      <c r="BJ748" s="155"/>
      <c r="BK748" s="159"/>
      <c r="BL748" s="156"/>
      <c r="BM748" s="156"/>
      <c r="BN748" s="156"/>
      <c r="BO748" s="156"/>
      <c r="BP748" s="160"/>
      <c r="BQ748" s="160"/>
      <c r="BR748" s="160"/>
      <c r="BS748" s="160"/>
    </row>
    <row r="749" spans="1:71" x14ac:dyDescent="0.25">
      <c r="A749" s="154"/>
      <c r="B749" s="155"/>
      <c r="C749" s="155"/>
      <c r="D749" s="155"/>
      <c r="E749" s="156"/>
      <c r="F749" s="156"/>
      <c r="G749" s="155"/>
      <c r="H749" s="155"/>
      <c r="I749" s="155"/>
      <c r="J749" s="157"/>
      <c r="K749" s="157"/>
      <c r="L749" s="155"/>
      <c r="M749" s="155"/>
      <c r="N749" s="155"/>
      <c r="O749" s="156"/>
      <c r="P749" s="156"/>
      <c r="Q749" s="155"/>
      <c r="R749" s="155"/>
      <c r="S749" s="155"/>
      <c r="T749" s="156"/>
      <c r="U749" s="156"/>
      <c r="V749" s="155"/>
      <c r="W749" s="155"/>
      <c r="X749" s="155"/>
      <c r="Y749" s="155"/>
      <c r="Z749" s="155"/>
      <c r="AA749" s="156"/>
      <c r="AB749" s="156"/>
      <c r="AC749" s="155"/>
      <c r="AD749" s="155"/>
      <c r="AE749" s="155"/>
      <c r="AF749" s="156"/>
      <c r="AG749" s="156"/>
      <c r="AH749" s="155"/>
      <c r="AI749" s="155"/>
      <c r="AJ749" s="155"/>
      <c r="AK749" s="156"/>
      <c r="AL749" s="156"/>
      <c r="AM749" s="155"/>
      <c r="AN749" s="155"/>
      <c r="AO749" s="155"/>
      <c r="AP749" s="156"/>
      <c r="AQ749" s="156"/>
      <c r="AR749" s="155"/>
      <c r="AS749" s="155"/>
      <c r="AT749" s="155"/>
      <c r="AU749" s="156"/>
      <c r="AV749" s="156"/>
      <c r="AW749" s="155"/>
      <c r="AX749" s="155"/>
      <c r="AY749" s="155"/>
      <c r="AZ749" s="156"/>
      <c r="BA749" s="156"/>
      <c r="BB749" s="155"/>
      <c r="BC749" s="155"/>
      <c r="BD749" s="155"/>
      <c r="BE749" s="155"/>
      <c r="BF749" s="155"/>
      <c r="BG749" s="158"/>
      <c r="BH749" s="158"/>
      <c r="BI749" s="155"/>
      <c r="BJ749" s="155"/>
      <c r="BK749" s="159"/>
      <c r="BL749" s="156"/>
      <c r="BM749" s="156"/>
      <c r="BN749" s="156"/>
      <c r="BO749" s="156"/>
      <c r="BP749" s="160"/>
      <c r="BQ749" s="160"/>
      <c r="BR749" s="160"/>
      <c r="BS749" s="160"/>
    </row>
    <row r="750" spans="1:71" x14ac:dyDescent="0.25">
      <c r="A750" s="154"/>
      <c r="B750" s="155"/>
      <c r="C750" s="155"/>
      <c r="D750" s="155"/>
      <c r="E750" s="156"/>
      <c r="F750" s="156"/>
      <c r="G750" s="155"/>
      <c r="H750" s="155"/>
      <c r="I750" s="155"/>
      <c r="J750" s="157"/>
      <c r="K750" s="157"/>
      <c r="L750" s="155"/>
      <c r="M750" s="155"/>
      <c r="N750" s="155"/>
      <c r="O750" s="156"/>
      <c r="P750" s="156"/>
      <c r="Q750" s="155"/>
      <c r="R750" s="155"/>
      <c r="S750" s="155"/>
      <c r="T750" s="156"/>
      <c r="U750" s="156"/>
      <c r="V750" s="155"/>
      <c r="W750" s="155"/>
      <c r="X750" s="155"/>
      <c r="Y750" s="155"/>
      <c r="Z750" s="155"/>
      <c r="AA750" s="156"/>
      <c r="AB750" s="156"/>
      <c r="AC750" s="155"/>
      <c r="AD750" s="155"/>
      <c r="AE750" s="155"/>
      <c r="AF750" s="156"/>
      <c r="AG750" s="156"/>
      <c r="AH750" s="155"/>
      <c r="AI750" s="155"/>
      <c r="AJ750" s="155"/>
      <c r="AK750" s="156"/>
      <c r="AL750" s="156"/>
      <c r="AM750" s="155"/>
      <c r="AN750" s="155"/>
      <c r="AO750" s="155"/>
      <c r="AP750" s="156"/>
      <c r="AQ750" s="156"/>
      <c r="AR750" s="155"/>
      <c r="AS750" s="155"/>
      <c r="AT750" s="155"/>
      <c r="AU750" s="156"/>
      <c r="AV750" s="156"/>
      <c r="AW750" s="155"/>
      <c r="AX750" s="155"/>
      <c r="AY750" s="155"/>
      <c r="AZ750" s="156"/>
      <c r="BA750" s="156"/>
      <c r="BB750" s="155"/>
      <c r="BC750" s="155"/>
      <c r="BD750" s="155"/>
      <c r="BE750" s="155"/>
      <c r="BF750" s="155"/>
      <c r="BG750" s="158"/>
      <c r="BH750" s="158"/>
      <c r="BI750" s="155"/>
      <c r="BJ750" s="155"/>
      <c r="BK750" s="159"/>
      <c r="BL750" s="156"/>
      <c r="BM750" s="156"/>
      <c r="BN750" s="156"/>
      <c r="BO750" s="156"/>
      <c r="BP750" s="160"/>
      <c r="BQ750" s="160"/>
      <c r="BR750" s="160"/>
      <c r="BS750" s="160"/>
    </row>
    <row r="751" spans="1:71" x14ac:dyDescent="0.25">
      <c r="A751" s="154"/>
      <c r="B751" s="155"/>
      <c r="C751" s="155"/>
      <c r="D751" s="155"/>
      <c r="E751" s="156"/>
      <c r="F751" s="156"/>
      <c r="G751" s="155"/>
      <c r="H751" s="155"/>
      <c r="I751" s="155"/>
      <c r="J751" s="157"/>
      <c r="K751" s="157"/>
      <c r="L751" s="155"/>
      <c r="M751" s="155"/>
      <c r="N751" s="155"/>
      <c r="O751" s="156"/>
      <c r="P751" s="156"/>
      <c r="Q751" s="155"/>
      <c r="R751" s="155"/>
      <c r="S751" s="155"/>
      <c r="T751" s="156"/>
      <c r="U751" s="156"/>
      <c r="V751" s="155"/>
      <c r="W751" s="155"/>
      <c r="X751" s="155"/>
      <c r="Y751" s="155"/>
      <c r="Z751" s="155"/>
      <c r="AA751" s="156"/>
      <c r="AB751" s="156"/>
      <c r="AC751" s="155"/>
      <c r="AD751" s="155"/>
      <c r="AE751" s="155"/>
      <c r="AF751" s="156"/>
      <c r="AG751" s="156"/>
      <c r="AH751" s="155"/>
      <c r="AI751" s="155"/>
      <c r="AJ751" s="155"/>
      <c r="AK751" s="156"/>
      <c r="AL751" s="156"/>
      <c r="AM751" s="155"/>
      <c r="AN751" s="155"/>
      <c r="AO751" s="155"/>
      <c r="AP751" s="156"/>
      <c r="AQ751" s="156"/>
      <c r="AR751" s="155"/>
      <c r="AS751" s="155"/>
      <c r="AT751" s="155"/>
      <c r="AU751" s="156"/>
      <c r="AV751" s="156"/>
      <c r="AW751" s="155"/>
      <c r="AX751" s="155"/>
      <c r="AY751" s="155"/>
      <c r="AZ751" s="156"/>
      <c r="BA751" s="156"/>
      <c r="BB751" s="155"/>
      <c r="BC751" s="155"/>
      <c r="BD751" s="155"/>
      <c r="BE751" s="155"/>
      <c r="BF751" s="155"/>
      <c r="BG751" s="158"/>
      <c r="BH751" s="158"/>
      <c r="BI751" s="155"/>
      <c r="BJ751" s="155"/>
      <c r="BK751" s="159"/>
      <c r="BL751" s="156"/>
      <c r="BM751" s="156"/>
      <c r="BN751" s="156"/>
      <c r="BO751" s="156"/>
      <c r="BP751" s="160"/>
      <c r="BQ751" s="160"/>
      <c r="BR751" s="160"/>
      <c r="BS751" s="160"/>
    </row>
    <row r="752" spans="1:71" x14ac:dyDescent="0.25">
      <c r="A752" s="154"/>
      <c r="B752" s="155"/>
      <c r="C752" s="155"/>
      <c r="D752" s="155"/>
      <c r="E752" s="156"/>
      <c r="F752" s="156"/>
      <c r="G752" s="155"/>
      <c r="H752" s="155"/>
      <c r="I752" s="155"/>
      <c r="J752" s="157"/>
      <c r="K752" s="157"/>
      <c r="L752" s="155"/>
      <c r="M752" s="155"/>
      <c r="N752" s="155"/>
      <c r="O752" s="156"/>
      <c r="P752" s="156"/>
      <c r="Q752" s="155"/>
      <c r="R752" s="155"/>
      <c r="S752" s="155"/>
      <c r="T752" s="156"/>
      <c r="U752" s="156"/>
      <c r="V752" s="155"/>
      <c r="W752" s="155"/>
      <c r="X752" s="155"/>
      <c r="Y752" s="155"/>
      <c r="Z752" s="155"/>
      <c r="AA752" s="156"/>
      <c r="AB752" s="156"/>
      <c r="AC752" s="155"/>
      <c r="AD752" s="155"/>
      <c r="AE752" s="155"/>
      <c r="AF752" s="156"/>
      <c r="AG752" s="156"/>
      <c r="AH752" s="155"/>
      <c r="AI752" s="155"/>
      <c r="AJ752" s="155"/>
      <c r="AK752" s="156"/>
      <c r="AL752" s="156"/>
      <c r="AM752" s="155"/>
      <c r="AN752" s="155"/>
      <c r="AO752" s="155"/>
      <c r="AP752" s="156"/>
      <c r="AQ752" s="156"/>
      <c r="AR752" s="155"/>
      <c r="AS752" s="155"/>
      <c r="AT752" s="155"/>
      <c r="AU752" s="156"/>
      <c r="AV752" s="156"/>
      <c r="AW752" s="155"/>
      <c r="AX752" s="155"/>
      <c r="AY752" s="155"/>
      <c r="AZ752" s="156"/>
      <c r="BA752" s="156"/>
      <c r="BB752" s="155"/>
      <c r="BC752" s="155"/>
      <c r="BD752" s="155"/>
      <c r="BE752" s="155"/>
      <c r="BF752" s="155"/>
      <c r="BG752" s="158"/>
      <c r="BH752" s="158"/>
      <c r="BI752" s="155"/>
      <c r="BJ752" s="155"/>
      <c r="BK752" s="159"/>
      <c r="BL752" s="156"/>
      <c r="BM752" s="156"/>
      <c r="BN752" s="156"/>
      <c r="BO752" s="156"/>
      <c r="BP752" s="160"/>
      <c r="BQ752" s="160"/>
      <c r="BR752" s="160"/>
      <c r="BS752" s="160"/>
    </row>
    <row r="753" spans="1:71" x14ac:dyDescent="0.25">
      <c r="A753" s="154"/>
      <c r="B753" s="155"/>
      <c r="C753" s="155"/>
      <c r="D753" s="155"/>
      <c r="E753" s="156"/>
      <c r="F753" s="156"/>
      <c r="G753" s="155"/>
      <c r="H753" s="155"/>
      <c r="I753" s="155"/>
      <c r="J753" s="157"/>
      <c r="K753" s="157"/>
      <c r="L753" s="155"/>
      <c r="M753" s="155"/>
      <c r="N753" s="155"/>
      <c r="O753" s="156"/>
      <c r="P753" s="156"/>
      <c r="Q753" s="155"/>
      <c r="R753" s="155"/>
      <c r="S753" s="155"/>
      <c r="T753" s="156"/>
      <c r="U753" s="156"/>
      <c r="V753" s="155"/>
      <c r="W753" s="155"/>
      <c r="X753" s="155"/>
      <c r="Y753" s="155"/>
      <c r="Z753" s="155"/>
      <c r="AA753" s="156"/>
      <c r="AB753" s="156"/>
      <c r="AC753" s="155"/>
      <c r="AD753" s="155"/>
      <c r="AE753" s="155"/>
      <c r="AF753" s="156"/>
      <c r="AG753" s="156"/>
      <c r="AH753" s="155"/>
      <c r="AI753" s="155"/>
      <c r="AJ753" s="155"/>
      <c r="AK753" s="156"/>
      <c r="AL753" s="156"/>
      <c r="AM753" s="155"/>
      <c r="AN753" s="155"/>
      <c r="AO753" s="155"/>
      <c r="AP753" s="156"/>
      <c r="AQ753" s="156"/>
      <c r="AR753" s="155"/>
      <c r="AS753" s="155"/>
      <c r="AT753" s="155"/>
      <c r="AU753" s="156"/>
      <c r="AV753" s="156"/>
      <c r="AW753" s="155"/>
      <c r="AX753" s="155"/>
      <c r="AY753" s="155"/>
      <c r="AZ753" s="156"/>
      <c r="BA753" s="156"/>
      <c r="BB753" s="155"/>
      <c r="BC753" s="155"/>
      <c r="BD753" s="155"/>
      <c r="BE753" s="155"/>
      <c r="BF753" s="155"/>
      <c r="BG753" s="158"/>
      <c r="BH753" s="158"/>
      <c r="BI753" s="155"/>
      <c r="BJ753" s="155"/>
      <c r="BK753" s="159"/>
      <c r="BL753" s="156"/>
      <c r="BM753" s="156"/>
      <c r="BN753" s="156"/>
      <c r="BO753" s="156"/>
      <c r="BP753" s="160"/>
      <c r="BQ753" s="160"/>
      <c r="BR753" s="160"/>
      <c r="BS753" s="160"/>
    </row>
    <row r="754" spans="1:71" x14ac:dyDescent="0.25">
      <c r="A754" s="154"/>
      <c r="B754" s="155"/>
      <c r="C754" s="155"/>
      <c r="D754" s="155"/>
      <c r="E754" s="156"/>
      <c r="F754" s="156"/>
      <c r="G754" s="155"/>
      <c r="H754" s="155"/>
      <c r="I754" s="155"/>
      <c r="J754" s="157"/>
      <c r="K754" s="157"/>
      <c r="L754" s="155"/>
      <c r="M754" s="155"/>
      <c r="N754" s="155"/>
      <c r="O754" s="156"/>
      <c r="P754" s="156"/>
      <c r="Q754" s="155"/>
      <c r="R754" s="155"/>
      <c r="S754" s="155"/>
      <c r="T754" s="156"/>
      <c r="U754" s="156"/>
      <c r="V754" s="155"/>
      <c r="W754" s="155"/>
      <c r="X754" s="155"/>
      <c r="Y754" s="155"/>
      <c r="Z754" s="155"/>
      <c r="AA754" s="156"/>
      <c r="AB754" s="156"/>
      <c r="AC754" s="155"/>
      <c r="AD754" s="155"/>
      <c r="AE754" s="155"/>
      <c r="AF754" s="156"/>
      <c r="AG754" s="156"/>
      <c r="AH754" s="155"/>
      <c r="AI754" s="155"/>
      <c r="AJ754" s="155"/>
      <c r="AK754" s="156"/>
      <c r="AL754" s="156"/>
      <c r="AM754" s="155"/>
      <c r="AN754" s="155"/>
      <c r="AO754" s="155"/>
      <c r="AP754" s="156"/>
      <c r="AQ754" s="156"/>
      <c r="AR754" s="155"/>
      <c r="AS754" s="155"/>
      <c r="AT754" s="155"/>
      <c r="AU754" s="156"/>
      <c r="AV754" s="156"/>
      <c r="AW754" s="155"/>
      <c r="AX754" s="155"/>
      <c r="AY754" s="155"/>
      <c r="AZ754" s="156"/>
      <c r="BA754" s="156"/>
      <c r="BB754" s="155"/>
      <c r="BC754" s="155"/>
      <c r="BD754" s="155"/>
      <c r="BE754" s="155"/>
      <c r="BF754" s="155"/>
      <c r="BG754" s="158"/>
      <c r="BH754" s="158"/>
      <c r="BI754" s="155"/>
      <c r="BJ754" s="155"/>
      <c r="BK754" s="159"/>
      <c r="BL754" s="156"/>
      <c r="BM754" s="156"/>
      <c r="BN754" s="156"/>
      <c r="BO754" s="156"/>
      <c r="BP754" s="160"/>
      <c r="BQ754" s="160"/>
      <c r="BR754" s="160"/>
      <c r="BS754" s="160"/>
    </row>
    <row r="755" spans="1:71" x14ac:dyDescent="0.25">
      <c r="A755" s="154"/>
      <c r="B755" s="155"/>
      <c r="C755" s="155"/>
      <c r="D755" s="155"/>
      <c r="E755" s="156"/>
      <c r="F755" s="156"/>
      <c r="G755" s="155"/>
      <c r="H755" s="155"/>
      <c r="I755" s="155"/>
      <c r="J755" s="157"/>
      <c r="K755" s="157"/>
      <c r="L755" s="155"/>
      <c r="M755" s="155"/>
      <c r="N755" s="155"/>
      <c r="O755" s="156"/>
      <c r="P755" s="156"/>
      <c r="Q755" s="155"/>
      <c r="R755" s="155"/>
      <c r="S755" s="155"/>
      <c r="T755" s="156"/>
      <c r="U755" s="156"/>
      <c r="V755" s="155"/>
      <c r="W755" s="155"/>
      <c r="X755" s="155"/>
      <c r="Y755" s="155"/>
      <c r="Z755" s="155"/>
      <c r="AA755" s="156"/>
      <c r="AB755" s="156"/>
      <c r="AC755" s="155"/>
      <c r="AD755" s="155"/>
      <c r="AE755" s="155"/>
      <c r="AF755" s="156"/>
      <c r="AG755" s="156"/>
      <c r="AH755" s="155"/>
      <c r="AI755" s="155"/>
      <c r="AJ755" s="155"/>
      <c r="AK755" s="156"/>
      <c r="AL755" s="156"/>
      <c r="AM755" s="155"/>
      <c r="AN755" s="155"/>
      <c r="AO755" s="155"/>
      <c r="AP755" s="156"/>
      <c r="AQ755" s="156"/>
      <c r="AR755" s="155"/>
      <c r="AS755" s="155"/>
      <c r="AT755" s="155"/>
      <c r="AU755" s="156"/>
      <c r="AV755" s="156"/>
      <c r="AW755" s="155"/>
      <c r="AX755" s="155"/>
      <c r="AY755" s="155"/>
      <c r="AZ755" s="156"/>
      <c r="BA755" s="156"/>
      <c r="BB755" s="155"/>
      <c r="BC755" s="155"/>
      <c r="BD755" s="155"/>
      <c r="BE755" s="155"/>
      <c r="BF755" s="155"/>
      <c r="BG755" s="158"/>
      <c r="BH755" s="158"/>
      <c r="BI755" s="155"/>
      <c r="BJ755" s="155"/>
      <c r="BK755" s="159"/>
      <c r="BL755" s="156"/>
      <c r="BM755" s="156"/>
      <c r="BN755" s="156"/>
      <c r="BO755" s="156"/>
      <c r="BP755" s="160"/>
      <c r="BQ755" s="160"/>
      <c r="BR755" s="160"/>
      <c r="BS755" s="160"/>
    </row>
    <row r="756" spans="1:71" x14ac:dyDescent="0.25">
      <c r="A756" s="154"/>
      <c r="B756" s="155"/>
      <c r="C756" s="155"/>
      <c r="D756" s="155"/>
      <c r="E756" s="156"/>
      <c r="F756" s="156"/>
      <c r="G756" s="155"/>
      <c r="H756" s="155"/>
      <c r="I756" s="155"/>
      <c r="J756" s="157"/>
      <c r="K756" s="157"/>
      <c r="L756" s="155"/>
      <c r="M756" s="155"/>
      <c r="N756" s="155"/>
      <c r="O756" s="156"/>
      <c r="P756" s="156"/>
      <c r="Q756" s="155"/>
      <c r="R756" s="155"/>
      <c r="S756" s="155"/>
      <c r="T756" s="156"/>
      <c r="U756" s="156"/>
      <c r="V756" s="155"/>
      <c r="W756" s="155"/>
      <c r="X756" s="155"/>
      <c r="Y756" s="155"/>
      <c r="Z756" s="155"/>
      <c r="AA756" s="156"/>
      <c r="AB756" s="156"/>
      <c r="AC756" s="155"/>
      <c r="AD756" s="155"/>
      <c r="AE756" s="155"/>
      <c r="AF756" s="156"/>
      <c r="AG756" s="156"/>
      <c r="AH756" s="155"/>
      <c r="AI756" s="155"/>
      <c r="AJ756" s="155"/>
      <c r="AK756" s="156"/>
      <c r="AL756" s="156"/>
      <c r="AM756" s="155"/>
      <c r="AN756" s="155"/>
      <c r="AO756" s="155"/>
      <c r="AP756" s="156"/>
      <c r="AQ756" s="156"/>
      <c r="AR756" s="155"/>
      <c r="AS756" s="155"/>
      <c r="AT756" s="155"/>
      <c r="AU756" s="156"/>
      <c r="AV756" s="156"/>
      <c r="AW756" s="155"/>
      <c r="AX756" s="155"/>
      <c r="AY756" s="155"/>
      <c r="AZ756" s="156"/>
      <c r="BA756" s="156"/>
      <c r="BB756" s="155"/>
      <c r="BC756" s="155"/>
      <c r="BD756" s="155"/>
      <c r="BE756" s="155"/>
      <c r="BF756" s="155"/>
      <c r="BG756" s="158"/>
      <c r="BH756" s="158"/>
      <c r="BI756" s="155"/>
      <c r="BJ756" s="155"/>
      <c r="BK756" s="159"/>
      <c r="BL756" s="156"/>
      <c r="BM756" s="156"/>
      <c r="BN756" s="156"/>
      <c r="BO756" s="156"/>
      <c r="BP756" s="160"/>
      <c r="BQ756" s="160"/>
      <c r="BR756" s="160"/>
      <c r="BS756" s="160"/>
    </row>
    <row r="757" spans="1:71" x14ac:dyDescent="0.25">
      <c r="A757" s="154"/>
      <c r="B757" s="155"/>
      <c r="C757" s="155"/>
      <c r="D757" s="155"/>
      <c r="E757" s="156"/>
      <c r="F757" s="156"/>
      <c r="G757" s="155"/>
      <c r="H757" s="155"/>
      <c r="I757" s="155"/>
      <c r="J757" s="157"/>
      <c r="K757" s="157"/>
      <c r="L757" s="155"/>
      <c r="M757" s="155"/>
      <c r="N757" s="155"/>
      <c r="O757" s="156"/>
      <c r="P757" s="156"/>
      <c r="Q757" s="155"/>
      <c r="R757" s="155"/>
      <c r="S757" s="155"/>
      <c r="T757" s="156"/>
      <c r="U757" s="156"/>
      <c r="V757" s="155"/>
      <c r="W757" s="155"/>
      <c r="X757" s="155"/>
      <c r="Y757" s="155"/>
      <c r="Z757" s="155"/>
      <c r="AA757" s="156"/>
      <c r="AB757" s="156"/>
      <c r="AC757" s="155"/>
      <c r="AD757" s="155"/>
      <c r="AE757" s="155"/>
      <c r="AF757" s="156"/>
      <c r="AG757" s="156"/>
      <c r="AH757" s="155"/>
      <c r="AI757" s="155"/>
      <c r="AJ757" s="155"/>
      <c r="AK757" s="156"/>
      <c r="AL757" s="156"/>
      <c r="AM757" s="155"/>
      <c r="AN757" s="155"/>
      <c r="AO757" s="155"/>
      <c r="AP757" s="156"/>
      <c r="AQ757" s="156"/>
      <c r="AR757" s="155"/>
      <c r="AS757" s="155"/>
      <c r="AT757" s="155"/>
      <c r="AU757" s="156"/>
      <c r="AV757" s="156"/>
      <c r="AW757" s="155"/>
      <c r="AX757" s="155"/>
      <c r="AY757" s="155"/>
      <c r="AZ757" s="156"/>
      <c r="BA757" s="156"/>
      <c r="BB757" s="155"/>
      <c r="BC757" s="155"/>
      <c r="BD757" s="155"/>
      <c r="BE757" s="155"/>
      <c r="BF757" s="155"/>
      <c r="BG757" s="158"/>
      <c r="BH757" s="158"/>
      <c r="BI757" s="155"/>
      <c r="BJ757" s="155"/>
      <c r="BK757" s="159"/>
      <c r="BL757" s="156"/>
      <c r="BM757" s="156"/>
      <c r="BN757" s="156"/>
      <c r="BO757" s="156"/>
      <c r="BP757" s="160"/>
      <c r="BQ757" s="160"/>
      <c r="BR757" s="160"/>
      <c r="BS757" s="160"/>
    </row>
    <row r="758" spans="1:71" x14ac:dyDescent="0.25">
      <c r="A758" s="154"/>
      <c r="B758" s="155"/>
      <c r="C758" s="155"/>
      <c r="D758" s="155"/>
      <c r="E758" s="156"/>
      <c r="F758" s="156"/>
      <c r="G758" s="155"/>
      <c r="H758" s="155"/>
      <c r="I758" s="155"/>
      <c r="J758" s="157"/>
      <c r="K758" s="157"/>
      <c r="L758" s="155"/>
      <c r="M758" s="155"/>
      <c r="N758" s="155"/>
      <c r="O758" s="156"/>
      <c r="P758" s="156"/>
      <c r="Q758" s="155"/>
      <c r="R758" s="155"/>
      <c r="S758" s="155"/>
      <c r="T758" s="156"/>
      <c r="U758" s="156"/>
      <c r="V758" s="155"/>
      <c r="W758" s="155"/>
      <c r="X758" s="155"/>
      <c r="Y758" s="155"/>
      <c r="Z758" s="155"/>
      <c r="AA758" s="156"/>
      <c r="AB758" s="156"/>
      <c r="AC758" s="155"/>
      <c r="AD758" s="155"/>
      <c r="AE758" s="155"/>
      <c r="AF758" s="156"/>
      <c r="AG758" s="156"/>
      <c r="AH758" s="155"/>
      <c r="AI758" s="155"/>
      <c r="AJ758" s="155"/>
      <c r="AK758" s="156"/>
      <c r="AL758" s="156"/>
      <c r="AM758" s="155"/>
      <c r="AN758" s="155"/>
      <c r="AO758" s="155"/>
      <c r="AP758" s="156"/>
      <c r="AQ758" s="156"/>
      <c r="AR758" s="155"/>
      <c r="AS758" s="155"/>
      <c r="AT758" s="155"/>
      <c r="AU758" s="156"/>
      <c r="AV758" s="156"/>
      <c r="AW758" s="155"/>
      <c r="AX758" s="155"/>
      <c r="AY758" s="155"/>
      <c r="AZ758" s="156"/>
      <c r="BA758" s="156"/>
      <c r="BB758" s="155"/>
      <c r="BC758" s="155"/>
      <c r="BD758" s="155"/>
      <c r="BE758" s="155"/>
      <c r="BF758" s="155"/>
      <c r="BG758" s="158"/>
      <c r="BH758" s="158"/>
      <c r="BI758" s="155"/>
      <c r="BJ758" s="155"/>
      <c r="BK758" s="159"/>
      <c r="BL758" s="156"/>
      <c r="BM758" s="156"/>
      <c r="BN758" s="156"/>
      <c r="BO758" s="156"/>
      <c r="BP758" s="160"/>
      <c r="BQ758" s="160"/>
      <c r="BR758" s="160"/>
      <c r="BS758" s="160"/>
    </row>
    <row r="759" spans="1:71" x14ac:dyDescent="0.25">
      <c r="A759" s="154"/>
      <c r="B759" s="155"/>
      <c r="C759" s="155"/>
      <c r="D759" s="155"/>
      <c r="E759" s="156"/>
      <c r="F759" s="156"/>
      <c r="G759" s="155"/>
      <c r="H759" s="155"/>
      <c r="I759" s="155"/>
      <c r="J759" s="157"/>
      <c r="K759" s="157"/>
      <c r="L759" s="155"/>
      <c r="M759" s="155"/>
      <c r="N759" s="155"/>
      <c r="O759" s="156"/>
      <c r="P759" s="156"/>
      <c r="Q759" s="155"/>
      <c r="R759" s="155"/>
      <c r="S759" s="155"/>
      <c r="T759" s="156"/>
      <c r="U759" s="156"/>
      <c r="V759" s="155"/>
      <c r="W759" s="155"/>
      <c r="X759" s="155"/>
      <c r="Y759" s="155"/>
      <c r="Z759" s="155"/>
      <c r="AA759" s="156"/>
      <c r="AB759" s="156"/>
      <c r="AC759" s="155"/>
      <c r="AD759" s="155"/>
      <c r="AE759" s="155"/>
      <c r="AF759" s="156"/>
      <c r="AG759" s="156"/>
      <c r="AH759" s="155"/>
      <c r="AI759" s="155"/>
      <c r="AJ759" s="155"/>
      <c r="AK759" s="156"/>
      <c r="AL759" s="156"/>
      <c r="AM759" s="155"/>
      <c r="AN759" s="155"/>
      <c r="AO759" s="155"/>
      <c r="AP759" s="156"/>
      <c r="AQ759" s="156"/>
      <c r="AR759" s="155"/>
      <c r="AS759" s="155"/>
      <c r="AT759" s="155"/>
      <c r="AU759" s="156"/>
      <c r="AV759" s="156"/>
      <c r="AW759" s="155"/>
      <c r="AX759" s="155"/>
      <c r="AY759" s="155"/>
      <c r="AZ759" s="156"/>
      <c r="BA759" s="156"/>
      <c r="BB759" s="155"/>
      <c r="BC759" s="155"/>
      <c r="BD759" s="155"/>
      <c r="BE759" s="155"/>
      <c r="BF759" s="155"/>
      <c r="BG759" s="158"/>
      <c r="BH759" s="158"/>
      <c r="BI759" s="155"/>
      <c r="BJ759" s="155"/>
      <c r="BK759" s="159"/>
      <c r="BL759" s="156"/>
      <c r="BM759" s="156"/>
      <c r="BN759" s="156"/>
      <c r="BO759" s="156"/>
      <c r="BP759" s="160"/>
      <c r="BQ759" s="160"/>
      <c r="BR759" s="160"/>
      <c r="BS759" s="160"/>
    </row>
    <row r="760" spans="1:71" x14ac:dyDescent="0.25">
      <c r="A760" s="154"/>
      <c r="B760" s="155"/>
      <c r="C760" s="155"/>
      <c r="D760" s="155"/>
      <c r="E760" s="156"/>
      <c r="F760" s="156"/>
      <c r="G760" s="155"/>
      <c r="H760" s="155"/>
      <c r="I760" s="155"/>
      <c r="J760" s="157"/>
      <c r="K760" s="157"/>
      <c r="L760" s="155"/>
      <c r="M760" s="155"/>
      <c r="N760" s="155"/>
      <c r="O760" s="156"/>
      <c r="P760" s="156"/>
      <c r="Q760" s="155"/>
      <c r="R760" s="155"/>
      <c r="S760" s="155"/>
      <c r="T760" s="156"/>
      <c r="U760" s="156"/>
      <c r="V760" s="155"/>
      <c r="W760" s="155"/>
      <c r="X760" s="155"/>
      <c r="Y760" s="155"/>
      <c r="Z760" s="155"/>
      <c r="AA760" s="156"/>
      <c r="AB760" s="156"/>
      <c r="AC760" s="155"/>
      <c r="AD760" s="155"/>
      <c r="AE760" s="155"/>
      <c r="AF760" s="156"/>
      <c r="AG760" s="156"/>
      <c r="AH760" s="155"/>
      <c r="AI760" s="155"/>
      <c r="AJ760" s="155"/>
      <c r="AK760" s="156"/>
      <c r="AL760" s="156"/>
      <c r="AM760" s="155"/>
      <c r="AN760" s="155"/>
      <c r="AO760" s="155"/>
      <c r="AP760" s="156"/>
      <c r="AQ760" s="156"/>
      <c r="AR760" s="155"/>
      <c r="AS760" s="155"/>
      <c r="AT760" s="155"/>
      <c r="AU760" s="156"/>
      <c r="AV760" s="156"/>
      <c r="AW760" s="155"/>
      <c r="AX760" s="155"/>
      <c r="AY760" s="155"/>
      <c r="AZ760" s="156"/>
      <c r="BA760" s="156"/>
      <c r="BB760" s="155"/>
      <c r="BC760" s="155"/>
      <c r="BD760" s="155"/>
      <c r="BE760" s="155"/>
      <c r="BF760" s="155"/>
      <c r="BG760" s="158"/>
      <c r="BH760" s="158"/>
      <c r="BI760" s="155"/>
      <c r="BJ760" s="155"/>
      <c r="BK760" s="159"/>
      <c r="BL760" s="156"/>
      <c r="BM760" s="156"/>
      <c r="BN760" s="156"/>
      <c r="BO760" s="156"/>
      <c r="BP760" s="160"/>
      <c r="BQ760" s="160"/>
      <c r="BR760" s="160"/>
      <c r="BS760" s="160"/>
    </row>
    <row r="761" spans="1:71" x14ac:dyDescent="0.25">
      <c r="A761" s="154"/>
      <c r="B761" s="155"/>
      <c r="C761" s="155"/>
      <c r="D761" s="155"/>
      <c r="E761" s="156"/>
      <c r="F761" s="156"/>
      <c r="G761" s="155"/>
      <c r="H761" s="155"/>
      <c r="I761" s="155"/>
      <c r="J761" s="157"/>
      <c r="K761" s="157"/>
      <c r="L761" s="155"/>
      <c r="M761" s="155"/>
      <c r="N761" s="155"/>
      <c r="O761" s="156"/>
      <c r="P761" s="156"/>
      <c r="Q761" s="155"/>
      <c r="R761" s="155"/>
      <c r="S761" s="155"/>
      <c r="T761" s="156"/>
      <c r="U761" s="156"/>
      <c r="V761" s="155"/>
      <c r="W761" s="155"/>
      <c r="X761" s="155"/>
      <c r="Y761" s="155"/>
      <c r="Z761" s="155"/>
      <c r="AA761" s="156"/>
      <c r="AB761" s="156"/>
      <c r="AC761" s="155"/>
      <c r="AD761" s="155"/>
      <c r="AE761" s="155"/>
      <c r="AF761" s="156"/>
      <c r="AG761" s="156"/>
      <c r="AH761" s="155"/>
      <c r="AI761" s="155"/>
      <c r="AJ761" s="155"/>
      <c r="AK761" s="156"/>
      <c r="AL761" s="156"/>
      <c r="AM761" s="155"/>
      <c r="AN761" s="155"/>
      <c r="AO761" s="155"/>
      <c r="AP761" s="156"/>
      <c r="AQ761" s="156"/>
      <c r="AR761" s="155"/>
      <c r="AS761" s="155"/>
      <c r="AT761" s="155"/>
      <c r="AU761" s="156"/>
      <c r="AV761" s="156"/>
      <c r="AW761" s="155"/>
      <c r="AX761" s="155"/>
      <c r="AY761" s="155"/>
      <c r="AZ761" s="156"/>
      <c r="BA761" s="156"/>
      <c r="BB761" s="155"/>
      <c r="BC761" s="155"/>
      <c r="BD761" s="155"/>
      <c r="BE761" s="155"/>
      <c r="BF761" s="155"/>
      <c r="BG761" s="158"/>
      <c r="BH761" s="158"/>
      <c r="BI761" s="155"/>
      <c r="BJ761" s="155"/>
      <c r="BK761" s="159"/>
      <c r="BL761" s="156"/>
      <c r="BM761" s="156"/>
      <c r="BN761" s="156"/>
      <c r="BO761" s="156"/>
      <c r="BP761" s="160"/>
      <c r="BQ761" s="160"/>
      <c r="BR761" s="160"/>
      <c r="BS761" s="160"/>
    </row>
    <row r="762" spans="1:71" x14ac:dyDescent="0.25">
      <c r="A762" s="154"/>
      <c r="B762" s="155"/>
      <c r="C762" s="155"/>
      <c r="D762" s="155"/>
      <c r="E762" s="156"/>
      <c r="F762" s="156"/>
      <c r="G762" s="155"/>
      <c r="H762" s="155"/>
      <c r="I762" s="155"/>
      <c r="J762" s="157"/>
      <c r="K762" s="157"/>
      <c r="L762" s="155"/>
      <c r="M762" s="155"/>
      <c r="N762" s="155"/>
      <c r="O762" s="156"/>
      <c r="P762" s="156"/>
      <c r="Q762" s="155"/>
      <c r="R762" s="155"/>
      <c r="S762" s="155"/>
      <c r="T762" s="156"/>
      <c r="U762" s="156"/>
      <c r="V762" s="155"/>
      <c r="W762" s="155"/>
      <c r="X762" s="155"/>
      <c r="Y762" s="155"/>
      <c r="Z762" s="155"/>
      <c r="AA762" s="156"/>
      <c r="AB762" s="156"/>
      <c r="AC762" s="155"/>
      <c r="AD762" s="155"/>
      <c r="AE762" s="155"/>
      <c r="AF762" s="156"/>
      <c r="AG762" s="156"/>
      <c r="AH762" s="155"/>
      <c r="AI762" s="155"/>
      <c r="AJ762" s="155"/>
      <c r="AK762" s="156"/>
      <c r="AL762" s="156"/>
      <c r="AM762" s="155"/>
      <c r="AN762" s="155"/>
      <c r="AO762" s="155"/>
      <c r="AP762" s="156"/>
      <c r="AQ762" s="156"/>
      <c r="AR762" s="155"/>
      <c r="AS762" s="155"/>
      <c r="AT762" s="155"/>
      <c r="AU762" s="156"/>
      <c r="AV762" s="156"/>
      <c r="AW762" s="155"/>
      <c r="AX762" s="155"/>
      <c r="AY762" s="155"/>
      <c r="AZ762" s="156"/>
      <c r="BA762" s="156"/>
      <c r="BB762" s="155"/>
      <c r="BC762" s="155"/>
      <c r="BD762" s="155"/>
      <c r="BE762" s="155"/>
      <c r="BF762" s="155"/>
      <c r="BG762" s="158"/>
      <c r="BH762" s="158"/>
      <c r="BI762" s="155"/>
      <c r="BJ762" s="155"/>
      <c r="BK762" s="159"/>
      <c r="BL762" s="156"/>
      <c r="BM762" s="156"/>
      <c r="BN762" s="156"/>
      <c r="BO762" s="156"/>
      <c r="BP762" s="160"/>
      <c r="BQ762" s="160"/>
      <c r="BR762" s="160"/>
      <c r="BS762" s="160"/>
    </row>
    <row r="763" spans="1:71" x14ac:dyDescent="0.25">
      <c r="A763" s="154"/>
      <c r="B763" s="155"/>
      <c r="C763" s="155"/>
      <c r="D763" s="155"/>
      <c r="E763" s="156"/>
      <c r="F763" s="156"/>
      <c r="G763" s="155"/>
      <c r="H763" s="155"/>
      <c r="I763" s="155"/>
      <c r="J763" s="157"/>
      <c r="K763" s="157"/>
      <c r="L763" s="155"/>
      <c r="M763" s="155"/>
      <c r="N763" s="155"/>
      <c r="O763" s="156"/>
      <c r="P763" s="156"/>
      <c r="Q763" s="155"/>
      <c r="R763" s="155"/>
      <c r="S763" s="155"/>
      <c r="T763" s="156"/>
      <c r="U763" s="156"/>
      <c r="V763" s="155"/>
      <c r="W763" s="155"/>
      <c r="X763" s="155"/>
      <c r="Y763" s="155"/>
      <c r="Z763" s="155"/>
      <c r="AA763" s="156"/>
      <c r="AB763" s="156"/>
      <c r="AC763" s="155"/>
      <c r="AD763" s="155"/>
      <c r="AE763" s="155"/>
      <c r="AF763" s="156"/>
      <c r="AG763" s="156"/>
      <c r="AH763" s="155"/>
      <c r="AI763" s="155"/>
      <c r="AJ763" s="155"/>
      <c r="AK763" s="156"/>
      <c r="AL763" s="156"/>
      <c r="AM763" s="155"/>
      <c r="AN763" s="155"/>
      <c r="AO763" s="155"/>
      <c r="AP763" s="156"/>
      <c r="AQ763" s="156"/>
      <c r="AR763" s="155"/>
      <c r="AS763" s="155"/>
      <c r="AT763" s="155"/>
      <c r="AU763" s="156"/>
      <c r="AV763" s="156"/>
      <c r="AW763" s="155"/>
      <c r="AX763" s="155"/>
      <c r="AY763" s="155"/>
      <c r="AZ763" s="156"/>
      <c r="BA763" s="156"/>
      <c r="BB763" s="155"/>
      <c r="BC763" s="155"/>
      <c r="BD763" s="155"/>
      <c r="BE763" s="155"/>
      <c r="BF763" s="155"/>
      <c r="BG763" s="158"/>
      <c r="BH763" s="158"/>
      <c r="BI763" s="155"/>
      <c r="BJ763" s="155"/>
      <c r="BK763" s="159"/>
      <c r="BL763" s="156"/>
      <c r="BM763" s="156"/>
      <c r="BN763" s="156"/>
      <c r="BO763" s="156"/>
      <c r="BP763" s="160"/>
      <c r="BQ763" s="160"/>
      <c r="BR763" s="160"/>
      <c r="BS763" s="160"/>
    </row>
    <row r="764" spans="1:71" x14ac:dyDescent="0.25">
      <c r="A764" s="154"/>
      <c r="B764" s="155"/>
      <c r="C764" s="155"/>
      <c r="D764" s="155"/>
      <c r="E764" s="156"/>
      <c r="F764" s="156"/>
      <c r="G764" s="155"/>
      <c r="H764" s="155"/>
      <c r="I764" s="155"/>
      <c r="J764" s="157"/>
      <c r="K764" s="157"/>
      <c r="L764" s="155"/>
      <c r="M764" s="155"/>
      <c r="N764" s="155"/>
      <c r="O764" s="156"/>
      <c r="P764" s="156"/>
      <c r="Q764" s="155"/>
      <c r="R764" s="155"/>
      <c r="S764" s="155"/>
      <c r="T764" s="156"/>
      <c r="U764" s="156"/>
      <c r="V764" s="155"/>
      <c r="W764" s="155"/>
      <c r="X764" s="155"/>
      <c r="Y764" s="155"/>
      <c r="Z764" s="155"/>
      <c r="AA764" s="156"/>
      <c r="AB764" s="156"/>
      <c r="AC764" s="155"/>
      <c r="AD764" s="155"/>
      <c r="AE764" s="155"/>
      <c r="AF764" s="156"/>
      <c r="AG764" s="156"/>
      <c r="AH764" s="155"/>
      <c r="AI764" s="155"/>
      <c r="AJ764" s="155"/>
      <c r="AK764" s="156"/>
      <c r="AL764" s="156"/>
      <c r="AM764" s="155"/>
      <c r="AN764" s="155"/>
      <c r="AO764" s="155"/>
      <c r="AP764" s="156"/>
      <c r="AQ764" s="156"/>
      <c r="AR764" s="155"/>
      <c r="AS764" s="155"/>
      <c r="AT764" s="155"/>
      <c r="AU764" s="156"/>
      <c r="AV764" s="156"/>
      <c r="AW764" s="155"/>
      <c r="AX764" s="155"/>
      <c r="AY764" s="155"/>
      <c r="AZ764" s="156"/>
      <c r="BA764" s="156"/>
      <c r="BB764" s="155"/>
      <c r="BC764" s="155"/>
      <c r="BD764" s="155"/>
      <c r="BE764" s="155"/>
      <c r="BF764" s="155"/>
      <c r="BG764" s="158"/>
      <c r="BH764" s="158"/>
      <c r="BI764" s="155"/>
      <c r="BJ764" s="155"/>
      <c r="BK764" s="159"/>
      <c r="BL764" s="156"/>
      <c r="BM764" s="156"/>
      <c r="BN764" s="156"/>
      <c r="BO764" s="156"/>
      <c r="BP764" s="160"/>
      <c r="BQ764" s="160"/>
      <c r="BR764" s="160"/>
      <c r="BS764" s="160"/>
    </row>
    <row r="765" spans="1:71" x14ac:dyDescent="0.25">
      <c r="A765" s="154"/>
      <c r="B765" s="155"/>
      <c r="C765" s="155"/>
      <c r="D765" s="155"/>
      <c r="E765" s="156"/>
      <c r="F765" s="156"/>
      <c r="G765" s="155"/>
      <c r="H765" s="155"/>
      <c r="I765" s="155"/>
      <c r="J765" s="157"/>
      <c r="K765" s="157"/>
      <c r="L765" s="155"/>
      <c r="M765" s="155"/>
      <c r="N765" s="155"/>
      <c r="O765" s="156"/>
      <c r="P765" s="156"/>
      <c r="Q765" s="155"/>
      <c r="R765" s="155"/>
      <c r="S765" s="155"/>
      <c r="T765" s="156"/>
      <c r="U765" s="156"/>
      <c r="V765" s="155"/>
      <c r="W765" s="155"/>
      <c r="X765" s="155"/>
      <c r="Y765" s="155"/>
      <c r="Z765" s="155"/>
      <c r="AA765" s="156"/>
      <c r="AB765" s="156"/>
      <c r="AC765" s="155"/>
      <c r="AD765" s="155"/>
      <c r="AE765" s="155"/>
      <c r="AF765" s="156"/>
      <c r="AG765" s="156"/>
      <c r="AH765" s="155"/>
      <c r="AI765" s="155"/>
      <c r="AJ765" s="155"/>
      <c r="AK765" s="156"/>
      <c r="AL765" s="156"/>
      <c r="AM765" s="155"/>
      <c r="AN765" s="155"/>
      <c r="AO765" s="155"/>
      <c r="AP765" s="156"/>
      <c r="AQ765" s="156"/>
      <c r="AR765" s="155"/>
      <c r="AS765" s="155"/>
      <c r="AT765" s="155"/>
      <c r="AU765" s="156"/>
      <c r="AV765" s="156"/>
      <c r="AW765" s="155"/>
      <c r="AX765" s="155"/>
      <c r="AY765" s="155"/>
      <c r="AZ765" s="156"/>
      <c r="BA765" s="156"/>
      <c r="BB765" s="155"/>
      <c r="BC765" s="155"/>
      <c r="BD765" s="155"/>
      <c r="BE765" s="155"/>
      <c r="BF765" s="155"/>
      <c r="BG765" s="158"/>
      <c r="BH765" s="158"/>
      <c r="BI765" s="155"/>
      <c r="BJ765" s="155"/>
      <c r="BK765" s="159"/>
      <c r="BL765" s="156"/>
      <c r="BM765" s="156"/>
      <c r="BN765" s="156"/>
      <c r="BO765" s="156"/>
      <c r="BP765" s="160"/>
      <c r="BQ765" s="160"/>
      <c r="BR765" s="160"/>
      <c r="BS765" s="160"/>
    </row>
    <row r="766" spans="1:71" x14ac:dyDescent="0.25">
      <c r="A766" s="154"/>
      <c r="B766" s="155"/>
      <c r="C766" s="155"/>
      <c r="D766" s="155"/>
      <c r="E766" s="156"/>
      <c r="F766" s="156"/>
      <c r="G766" s="155"/>
      <c r="H766" s="155"/>
      <c r="I766" s="155"/>
      <c r="J766" s="157"/>
      <c r="K766" s="157"/>
      <c r="L766" s="155"/>
      <c r="M766" s="155"/>
      <c r="N766" s="155"/>
      <c r="O766" s="156"/>
      <c r="P766" s="156"/>
      <c r="Q766" s="155"/>
      <c r="R766" s="155"/>
      <c r="S766" s="155"/>
      <c r="T766" s="156"/>
      <c r="U766" s="156"/>
      <c r="V766" s="155"/>
      <c r="W766" s="155"/>
      <c r="X766" s="155"/>
      <c r="Y766" s="155"/>
      <c r="Z766" s="155"/>
      <c r="AA766" s="156"/>
      <c r="AB766" s="156"/>
      <c r="AC766" s="155"/>
      <c r="AD766" s="155"/>
      <c r="AE766" s="155"/>
      <c r="AF766" s="156"/>
      <c r="AG766" s="156"/>
      <c r="AH766" s="155"/>
      <c r="AI766" s="155"/>
      <c r="AJ766" s="155"/>
      <c r="AK766" s="156"/>
      <c r="AL766" s="156"/>
      <c r="AM766" s="155"/>
      <c r="AN766" s="155"/>
      <c r="AO766" s="155"/>
      <c r="AP766" s="156"/>
      <c r="AQ766" s="156"/>
      <c r="AR766" s="155"/>
      <c r="AS766" s="155"/>
      <c r="AT766" s="155"/>
      <c r="AU766" s="156"/>
      <c r="AV766" s="156"/>
      <c r="AW766" s="155"/>
      <c r="AX766" s="155"/>
      <c r="AY766" s="155"/>
      <c r="AZ766" s="156"/>
      <c r="BA766" s="156"/>
      <c r="BB766" s="155"/>
      <c r="BC766" s="155"/>
      <c r="BD766" s="155"/>
      <c r="BE766" s="155"/>
      <c r="BF766" s="155"/>
      <c r="BG766" s="158"/>
      <c r="BH766" s="158"/>
      <c r="BI766" s="155"/>
      <c r="BJ766" s="155"/>
      <c r="BK766" s="159"/>
      <c r="BL766" s="156"/>
      <c r="BM766" s="156"/>
      <c r="BN766" s="156"/>
      <c r="BO766" s="156"/>
      <c r="BP766" s="160"/>
      <c r="BQ766" s="160"/>
      <c r="BR766" s="160"/>
      <c r="BS766" s="160"/>
    </row>
    <row r="767" spans="1:71" x14ac:dyDescent="0.25">
      <c r="A767" s="154"/>
      <c r="B767" s="155"/>
      <c r="C767" s="155"/>
      <c r="D767" s="155"/>
      <c r="E767" s="156"/>
      <c r="F767" s="156"/>
      <c r="G767" s="155"/>
      <c r="H767" s="155"/>
      <c r="I767" s="155"/>
      <c r="J767" s="157"/>
      <c r="K767" s="157"/>
      <c r="L767" s="155"/>
      <c r="M767" s="155"/>
      <c r="N767" s="155"/>
      <c r="O767" s="156"/>
      <c r="P767" s="156"/>
      <c r="Q767" s="155"/>
      <c r="R767" s="155"/>
      <c r="S767" s="155"/>
      <c r="T767" s="156"/>
      <c r="U767" s="156"/>
      <c r="V767" s="155"/>
      <c r="W767" s="155"/>
      <c r="X767" s="155"/>
      <c r="Y767" s="155"/>
      <c r="Z767" s="155"/>
      <c r="AA767" s="156"/>
      <c r="AB767" s="156"/>
      <c r="AC767" s="155"/>
      <c r="AD767" s="155"/>
      <c r="AE767" s="155"/>
      <c r="AF767" s="156"/>
      <c r="AG767" s="156"/>
      <c r="AH767" s="155"/>
      <c r="AI767" s="155"/>
      <c r="AJ767" s="155"/>
      <c r="AK767" s="156"/>
      <c r="AL767" s="156"/>
      <c r="AM767" s="155"/>
      <c r="AN767" s="155"/>
      <c r="AO767" s="155"/>
      <c r="AP767" s="156"/>
      <c r="AQ767" s="156"/>
      <c r="AR767" s="155"/>
      <c r="AS767" s="155"/>
      <c r="AT767" s="155"/>
      <c r="AU767" s="156"/>
      <c r="AV767" s="156"/>
      <c r="AW767" s="155"/>
      <c r="AX767" s="155"/>
      <c r="AY767" s="155"/>
      <c r="AZ767" s="156"/>
      <c r="BA767" s="156"/>
      <c r="BB767" s="155"/>
      <c r="BC767" s="155"/>
      <c r="BD767" s="155"/>
      <c r="BE767" s="155"/>
      <c r="BF767" s="155"/>
      <c r="BG767" s="158"/>
      <c r="BH767" s="158"/>
      <c r="BI767" s="155"/>
      <c r="BJ767" s="155"/>
      <c r="BK767" s="159"/>
      <c r="BL767" s="156"/>
      <c r="BM767" s="156"/>
      <c r="BN767" s="156"/>
      <c r="BO767" s="156"/>
      <c r="BP767" s="160"/>
      <c r="BQ767" s="160"/>
      <c r="BR767" s="160"/>
      <c r="BS767" s="160"/>
    </row>
    <row r="768" spans="1:71" x14ac:dyDescent="0.25">
      <c r="A768" s="154"/>
      <c r="B768" s="155"/>
      <c r="C768" s="155"/>
      <c r="D768" s="155"/>
      <c r="E768" s="156"/>
      <c r="F768" s="156"/>
      <c r="G768" s="155"/>
      <c r="H768" s="155"/>
      <c r="I768" s="155"/>
      <c r="J768" s="157"/>
      <c r="K768" s="157"/>
      <c r="L768" s="155"/>
      <c r="M768" s="155"/>
      <c r="N768" s="155"/>
      <c r="O768" s="156"/>
      <c r="P768" s="156"/>
      <c r="Q768" s="155"/>
      <c r="R768" s="155"/>
      <c r="S768" s="155"/>
      <c r="T768" s="156"/>
      <c r="U768" s="156"/>
      <c r="V768" s="155"/>
      <c r="W768" s="155"/>
      <c r="X768" s="155"/>
      <c r="Y768" s="155"/>
      <c r="Z768" s="155"/>
      <c r="AA768" s="156"/>
      <c r="AB768" s="156"/>
      <c r="AC768" s="155"/>
      <c r="AD768" s="155"/>
      <c r="AE768" s="155"/>
      <c r="AF768" s="156"/>
      <c r="AG768" s="156"/>
      <c r="AH768" s="155"/>
      <c r="AI768" s="155"/>
      <c r="AJ768" s="155"/>
      <c r="AK768" s="156"/>
      <c r="AL768" s="156"/>
      <c r="AM768" s="155"/>
      <c r="AN768" s="155"/>
      <c r="AO768" s="155"/>
      <c r="AP768" s="156"/>
      <c r="AQ768" s="156"/>
      <c r="AR768" s="155"/>
      <c r="AS768" s="155"/>
      <c r="AT768" s="155"/>
      <c r="AU768" s="156"/>
      <c r="AV768" s="156"/>
      <c r="AW768" s="155"/>
      <c r="AX768" s="155"/>
      <c r="AY768" s="155"/>
      <c r="AZ768" s="156"/>
      <c r="BA768" s="156"/>
      <c r="BB768" s="155"/>
      <c r="BC768" s="155"/>
      <c r="BD768" s="155"/>
      <c r="BE768" s="155"/>
      <c r="BF768" s="155"/>
      <c r="BG768" s="158"/>
      <c r="BH768" s="158"/>
      <c r="BI768" s="155"/>
      <c r="BJ768" s="155"/>
      <c r="BK768" s="159"/>
      <c r="BL768" s="156"/>
      <c r="BM768" s="156"/>
      <c r="BN768" s="156"/>
      <c r="BO768" s="156"/>
      <c r="BP768" s="160"/>
      <c r="BQ768" s="160"/>
      <c r="BR768" s="160"/>
      <c r="BS768" s="160"/>
    </row>
    <row r="769" spans="1:71" x14ac:dyDescent="0.25">
      <c r="A769" s="154"/>
      <c r="B769" s="155"/>
      <c r="C769" s="155"/>
      <c r="D769" s="155"/>
      <c r="E769" s="156"/>
      <c r="F769" s="156"/>
      <c r="G769" s="155"/>
      <c r="H769" s="155"/>
      <c r="I769" s="155"/>
      <c r="J769" s="157"/>
      <c r="K769" s="157"/>
      <c r="L769" s="155"/>
      <c r="M769" s="155"/>
      <c r="N769" s="155"/>
      <c r="O769" s="156"/>
      <c r="P769" s="156"/>
      <c r="Q769" s="155"/>
      <c r="R769" s="155"/>
      <c r="S769" s="155"/>
      <c r="T769" s="156"/>
      <c r="U769" s="156"/>
      <c r="V769" s="155"/>
      <c r="W769" s="155"/>
      <c r="X769" s="155"/>
      <c r="Y769" s="155"/>
      <c r="Z769" s="155"/>
      <c r="AA769" s="156"/>
      <c r="AB769" s="156"/>
      <c r="AC769" s="155"/>
      <c r="AD769" s="155"/>
      <c r="AE769" s="155"/>
      <c r="AF769" s="156"/>
      <c r="AG769" s="156"/>
      <c r="AH769" s="155"/>
      <c r="AI769" s="155"/>
      <c r="AJ769" s="155"/>
      <c r="AK769" s="156"/>
      <c r="AL769" s="156"/>
      <c r="AM769" s="155"/>
      <c r="AN769" s="155"/>
      <c r="AO769" s="155"/>
      <c r="AP769" s="156"/>
      <c r="AQ769" s="156"/>
      <c r="AR769" s="155"/>
      <c r="AS769" s="155"/>
      <c r="AT769" s="155"/>
      <c r="AU769" s="156"/>
      <c r="AV769" s="156"/>
      <c r="AW769" s="155"/>
      <c r="AX769" s="155"/>
      <c r="AY769" s="155"/>
      <c r="AZ769" s="156"/>
      <c r="BA769" s="156"/>
      <c r="BB769" s="155"/>
      <c r="BC769" s="155"/>
      <c r="BD769" s="155"/>
      <c r="BE769" s="155"/>
      <c r="BF769" s="155"/>
      <c r="BG769" s="158"/>
      <c r="BH769" s="158"/>
      <c r="BI769" s="155"/>
      <c r="BJ769" s="155"/>
      <c r="BK769" s="159"/>
      <c r="BL769" s="156"/>
      <c r="BM769" s="156"/>
      <c r="BN769" s="156"/>
      <c r="BO769" s="156"/>
      <c r="BP769" s="160"/>
      <c r="BQ769" s="160"/>
      <c r="BR769" s="160"/>
      <c r="BS769" s="160"/>
    </row>
    <row r="770" spans="1:71" x14ac:dyDescent="0.25">
      <c r="A770" s="154"/>
      <c r="B770" s="155"/>
      <c r="C770" s="155"/>
      <c r="D770" s="155"/>
      <c r="E770" s="156"/>
      <c r="F770" s="156"/>
      <c r="G770" s="155"/>
      <c r="H770" s="155"/>
      <c r="I770" s="155"/>
      <c r="J770" s="157"/>
      <c r="K770" s="157"/>
      <c r="L770" s="155"/>
      <c r="M770" s="155"/>
      <c r="N770" s="155"/>
      <c r="O770" s="156"/>
      <c r="P770" s="156"/>
      <c r="Q770" s="155"/>
      <c r="R770" s="155"/>
      <c r="S770" s="155"/>
      <c r="T770" s="156"/>
      <c r="U770" s="156"/>
      <c r="V770" s="155"/>
      <c r="W770" s="155"/>
      <c r="X770" s="155"/>
      <c r="Y770" s="155"/>
      <c r="Z770" s="155"/>
      <c r="AA770" s="156"/>
      <c r="AB770" s="156"/>
      <c r="AC770" s="155"/>
      <c r="AD770" s="155"/>
      <c r="AE770" s="155"/>
      <c r="AF770" s="156"/>
      <c r="AG770" s="156"/>
      <c r="AH770" s="155"/>
      <c r="AI770" s="155"/>
      <c r="AJ770" s="155"/>
      <c r="AK770" s="156"/>
      <c r="AL770" s="156"/>
      <c r="AM770" s="155"/>
      <c r="AN770" s="155"/>
      <c r="AO770" s="155"/>
      <c r="AP770" s="156"/>
      <c r="AQ770" s="156"/>
      <c r="AR770" s="155"/>
      <c r="AS770" s="155"/>
      <c r="AT770" s="155"/>
      <c r="AU770" s="156"/>
      <c r="AV770" s="156"/>
      <c r="AW770" s="155"/>
      <c r="AX770" s="155"/>
      <c r="AY770" s="155"/>
      <c r="AZ770" s="156"/>
      <c r="BA770" s="156"/>
      <c r="BB770" s="155"/>
      <c r="BC770" s="155"/>
      <c r="BD770" s="155"/>
      <c r="BE770" s="155"/>
      <c r="BF770" s="155"/>
      <c r="BG770" s="158"/>
      <c r="BH770" s="158"/>
      <c r="BI770" s="155"/>
      <c r="BJ770" s="155"/>
      <c r="BK770" s="159"/>
      <c r="BL770" s="156"/>
      <c r="BM770" s="156"/>
      <c r="BN770" s="156"/>
      <c r="BO770" s="156"/>
      <c r="BP770" s="160"/>
      <c r="BQ770" s="160"/>
      <c r="BR770" s="160"/>
      <c r="BS770" s="160"/>
    </row>
    <row r="771" spans="1:71" x14ac:dyDescent="0.25">
      <c r="A771" s="154"/>
      <c r="B771" s="155"/>
      <c r="C771" s="155"/>
      <c r="D771" s="155"/>
      <c r="E771" s="156"/>
      <c r="F771" s="156"/>
      <c r="G771" s="155"/>
      <c r="H771" s="155"/>
      <c r="I771" s="155"/>
      <c r="J771" s="157"/>
      <c r="K771" s="157"/>
      <c r="L771" s="155"/>
      <c r="M771" s="155"/>
      <c r="N771" s="155"/>
      <c r="O771" s="156"/>
      <c r="P771" s="156"/>
      <c r="Q771" s="155"/>
      <c r="R771" s="155"/>
      <c r="S771" s="155"/>
      <c r="T771" s="156"/>
      <c r="U771" s="156"/>
      <c r="V771" s="155"/>
      <c r="W771" s="155"/>
      <c r="X771" s="155"/>
      <c r="Y771" s="155"/>
      <c r="Z771" s="155"/>
      <c r="AA771" s="156"/>
      <c r="AB771" s="156"/>
      <c r="AC771" s="155"/>
      <c r="AD771" s="155"/>
      <c r="AE771" s="155"/>
      <c r="AF771" s="156"/>
      <c r="AG771" s="156"/>
      <c r="AH771" s="155"/>
      <c r="AI771" s="155"/>
      <c r="AJ771" s="155"/>
      <c r="AK771" s="156"/>
      <c r="AL771" s="156"/>
      <c r="AM771" s="155"/>
      <c r="AN771" s="155"/>
      <c r="AO771" s="155"/>
      <c r="AP771" s="156"/>
      <c r="AQ771" s="156"/>
      <c r="AR771" s="155"/>
      <c r="AS771" s="155"/>
      <c r="AT771" s="155"/>
      <c r="AU771" s="156"/>
      <c r="AV771" s="156"/>
      <c r="AW771" s="155"/>
      <c r="AX771" s="155"/>
      <c r="AY771" s="155"/>
      <c r="AZ771" s="156"/>
      <c r="BA771" s="156"/>
      <c r="BB771" s="155"/>
      <c r="BC771" s="155"/>
      <c r="BD771" s="155"/>
      <c r="BE771" s="155"/>
      <c r="BF771" s="155"/>
      <c r="BG771" s="158"/>
      <c r="BH771" s="158"/>
      <c r="BI771" s="155"/>
      <c r="BJ771" s="155"/>
      <c r="BK771" s="159"/>
      <c r="BL771" s="156"/>
      <c r="BM771" s="156"/>
      <c r="BN771" s="156"/>
      <c r="BO771" s="156"/>
      <c r="BP771" s="160"/>
      <c r="BQ771" s="160"/>
      <c r="BR771" s="160"/>
      <c r="BS771" s="160"/>
    </row>
    <row r="772" spans="1:71" x14ac:dyDescent="0.25">
      <c r="A772" s="154"/>
      <c r="B772" s="155"/>
      <c r="C772" s="155"/>
      <c r="D772" s="155"/>
      <c r="E772" s="156"/>
      <c r="F772" s="156"/>
      <c r="G772" s="155"/>
      <c r="H772" s="155"/>
      <c r="I772" s="155"/>
      <c r="J772" s="157"/>
      <c r="K772" s="157"/>
      <c r="L772" s="155"/>
      <c r="M772" s="155"/>
      <c r="N772" s="155"/>
      <c r="O772" s="156"/>
      <c r="P772" s="156"/>
      <c r="Q772" s="155"/>
      <c r="R772" s="155"/>
      <c r="S772" s="155"/>
      <c r="T772" s="156"/>
      <c r="U772" s="156"/>
      <c r="V772" s="155"/>
      <c r="W772" s="155"/>
      <c r="X772" s="155"/>
      <c r="Y772" s="155"/>
      <c r="Z772" s="155"/>
      <c r="AA772" s="156"/>
      <c r="AB772" s="156"/>
      <c r="AC772" s="155"/>
      <c r="AD772" s="155"/>
      <c r="AE772" s="155"/>
      <c r="AF772" s="156"/>
      <c r="AG772" s="156"/>
      <c r="AH772" s="155"/>
      <c r="AI772" s="155"/>
      <c r="AJ772" s="155"/>
      <c r="AK772" s="156"/>
      <c r="AL772" s="156"/>
      <c r="AM772" s="155"/>
      <c r="AN772" s="155"/>
      <c r="AO772" s="155"/>
      <c r="AP772" s="156"/>
      <c r="AQ772" s="156"/>
      <c r="AR772" s="155"/>
      <c r="AS772" s="155"/>
      <c r="AT772" s="155"/>
      <c r="AU772" s="156"/>
      <c r="AV772" s="156"/>
      <c r="AW772" s="155"/>
      <c r="AX772" s="155"/>
      <c r="AY772" s="155"/>
      <c r="AZ772" s="156"/>
      <c r="BA772" s="156"/>
      <c r="BB772" s="155"/>
      <c r="BC772" s="155"/>
      <c r="BD772" s="155"/>
      <c r="BE772" s="155"/>
      <c r="BF772" s="155"/>
      <c r="BG772" s="158"/>
      <c r="BH772" s="158"/>
      <c r="BI772" s="155"/>
      <c r="BJ772" s="155"/>
      <c r="BK772" s="159"/>
      <c r="BL772" s="156"/>
      <c r="BM772" s="156"/>
      <c r="BN772" s="156"/>
      <c r="BO772" s="156"/>
      <c r="BP772" s="160"/>
      <c r="BQ772" s="160"/>
      <c r="BR772" s="160"/>
      <c r="BS772" s="160"/>
    </row>
    <row r="773" spans="1:71" x14ac:dyDescent="0.25">
      <c r="A773" s="154"/>
      <c r="B773" s="155"/>
      <c r="C773" s="155"/>
      <c r="D773" s="155"/>
      <c r="E773" s="156"/>
      <c r="F773" s="156"/>
      <c r="G773" s="155"/>
      <c r="H773" s="155"/>
      <c r="I773" s="155"/>
      <c r="J773" s="157"/>
      <c r="K773" s="157"/>
      <c r="L773" s="155"/>
      <c r="M773" s="155"/>
      <c r="N773" s="155"/>
      <c r="O773" s="156"/>
      <c r="P773" s="156"/>
      <c r="Q773" s="155"/>
      <c r="R773" s="155"/>
      <c r="S773" s="155"/>
      <c r="T773" s="156"/>
      <c r="U773" s="156"/>
      <c r="V773" s="155"/>
      <c r="W773" s="155"/>
      <c r="X773" s="155"/>
      <c r="Y773" s="155"/>
      <c r="Z773" s="155"/>
      <c r="AA773" s="156"/>
      <c r="AB773" s="156"/>
      <c r="AC773" s="155"/>
      <c r="AD773" s="155"/>
      <c r="AE773" s="155"/>
      <c r="AF773" s="156"/>
      <c r="AG773" s="156"/>
      <c r="AH773" s="155"/>
      <c r="AI773" s="155"/>
      <c r="AJ773" s="155"/>
      <c r="AK773" s="156"/>
      <c r="AL773" s="156"/>
      <c r="AM773" s="155"/>
      <c r="AN773" s="155"/>
      <c r="AO773" s="155"/>
      <c r="AP773" s="156"/>
      <c r="AQ773" s="156"/>
      <c r="AR773" s="155"/>
      <c r="AS773" s="155"/>
      <c r="AT773" s="155"/>
      <c r="AU773" s="156"/>
      <c r="AV773" s="156"/>
      <c r="AW773" s="155"/>
      <c r="AX773" s="155"/>
      <c r="AY773" s="155"/>
      <c r="AZ773" s="156"/>
      <c r="BA773" s="156"/>
      <c r="BB773" s="155"/>
      <c r="BC773" s="155"/>
      <c r="BD773" s="155"/>
      <c r="BE773" s="155"/>
      <c r="BF773" s="155"/>
      <c r="BG773" s="158"/>
      <c r="BH773" s="158"/>
      <c r="BI773" s="155"/>
      <c r="BJ773" s="155"/>
      <c r="BK773" s="159"/>
      <c r="BL773" s="156"/>
      <c r="BM773" s="156"/>
      <c r="BN773" s="156"/>
      <c r="BO773" s="156"/>
      <c r="BP773" s="160"/>
      <c r="BQ773" s="160"/>
      <c r="BR773" s="160"/>
      <c r="BS773" s="160"/>
    </row>
    <row r="774" spans="1:71" x14ac:dyDescent="0.25">
      <c r="A774" s="154"/>
      <c r="B774" s="155"/>
      <c r="C774" s="155"/>
      <c r="D774" s="155"/>
      <c r="E774" s="156"/>
      <c r="F774" s="156"/>
      <c r="G774" s="155"/>
      <c r="H774" s="155"/>
      <c r="I774" s="155"/>
      <c r="J774" s="157"/>
      <c r="K774" s="157"/>
      <c r="L774" s="155"/>
      <c r="M774" s="155"/>
      <c r="N774" s="155"/>
      <c r="O774" s="156"/>
      <c r="P774" s="156"/>
      <c r="Q774" s="155"/>
      <c r="R774" s="155"/>
      <c r="S774" s="155"/>
      <c r="T774" s="156"/>
      <c r="U774" s="156"/>
      <c r="V774" s="155"/>
      <c r="W774" s="155"/>
      <c r="X774" s="155"/>
      <c r="Y774" s="155"/>
      <c r="Z774" s="155"/>
      <c r="AA774" s="156"/>
      <c r="AB774" s="156"/>
      <c r="AC774" s="155"/>
      <c r="AD774" s="155"/>
      <c r="AE774" s="155"/>
      <c r="AF774" s="156"/>
      <c r="AG774" s="156"/>
      <c r="AH774" s="155"/>
      <c r="AI774" s="155"/>
      <c r="AJ774" s="155"/>
      <c r="AK774" s="156"/>
      <c r="AL774" s="156"/>
      <c r="AM774" s="155"/>
      <c r="AN774" s="155"/>
      <c r="AO774" s="155"/>
      <c r="AP774" s="156"/>
      <c r="AQ774" s="156"/>
      <c r="AR774" s="155"/>
      <c r="AS774" s="155"/>
      <c r="AT774" s="155"/>
      <c r="AU774" s="156"/>
      <c r="AV774" s="156"/>
      <c r="AW774" s="155"/>
      <c r="AX774" s="155"/>
      <c r="AY774" s="155"/>
      <c r="AZ774" s="156"/>
      <c r="BA774" s="156"/>
      <c r="BB774" s="155"/>
      <c r="BC774" s="155"/>
      <c r="BD774" s="155"/>
      <c r="BE774" s="155"/>
      <c r="BF774" s="155"/>
      <c r="BG774" s="158"/>
      <c r="BH774" s="158"/>
      <c r="BI774" s="155"/>
      <c r="BJ774" s="155"/>
      <c r="BK774" s="159"/>
      <c r="BL774" s="156"/>
      <c r="BM774" s="156"/>
      <c r="BN774" s="156"/>
      <c r="BO774" s="156"/>
      <c r="BP774" s="160"/>
      <c r="BQ774" s="160"/>
      <c r="BR774" s="160"/>
      <c r="BS774" s="160"/>
    </row>
    <row r="775" spans="1:71" x14ac:dyDescent="0.25">
      <c r="A775" s="154"/>
      <c r="B775" s="155"/>
      <c r="C775" s="155"/>
      <c r="D775" s="155"/>
      <c r="E775" s="156"/>
      <c r="F775" s="156"/>
      <c r="G775" s="155"/>
      <c r="H775" s="155"/>
      <c r="I775" s="155"/>
      <c r="J775" s="157"/>
      <c r="K775" s="157"/>
      <c r="L775" s="155"/>
      <c r="M775" s="155"/>
      <c r="N775" s="155"/>
      <c r="O775" s="156"/>
      <c r="P775" s="156"/>
      <c r="Q775" s="155"/>
      <c r="R775" s="155"/>
      <c r="S775" s="155"/>
      <c r="T775" s="156"/>
      <c r="U775" s="156"/>
      <c r="V775" s="155"/>
      <c r="W775" s="155"/>
      <c r="X775" s="155"/>
      <c r="Y775" s="155"/>
      <c r="Z775" s="155"/>
      <c r="AA775" s="156"/>
      <c r="AB775" s="156"/>
      <c r="AC775" s="155"/>
      <c r="AD775" s="155"/>
      <c r="AE775" s="155"/>
      <c r="AF775" s="156"/>
      <c r="AG775" s="156"/>
      <c r="AH775" s="155"/>
      <c r="AI775" s="155"/>
      <c r="AJ775" s="155"/>
      <c r="AK775" s="156"/>
      <c r="AL775" s="156"/>
      <c r="AM775" s="155"/>
      <c r="AN775" s="155"/>
      <c r="AO775" s="155"/>
      <c r="AP775" s="156"/>
      <c r="AQ775" s="156"/>
      <c r="AR775" s="155"/>
      <c r="AS775" s="155"/>
      <c r="AT775" s="155"/>
      <c r="AU775" s="156"/>
      <c r="AV775" s="156"/>
      <c r="AW775" s="155"/>
      <c r="AX775" s="155"/>
      <c r="AY775" s="155"/>
      <c r="AZ775" s="156"/>
      <c r="BA775" s="156"/>
      <c r="BB775" s="155"/>
      <c r="BC775" s="155"/>
      <c r="BD775" s="155"/>
      <c r="BE775" s="155"/>
      <c r="BF775" s="155"/>
      <c r="BG775" s="158"/>
      <c r="BH775" s="158"/>
      <c r="BI775" s="155"/>
      <c r="BJ775" s="155"/>
      <c r="BK775" s="159"/>
      <c r="BL775" s="156"/>
      <c r="BM775" s="156"/>
      <c r="BN775" s="156"/>
      <c r="BO775" s="156"/>
      <c r="BP775" s="160"/>
      <c r="BQ775" s="160"/>
      <c r="BR775" s="160"/>
      <c r="BS775" s="160"/>
    </row>
    <row r="776" spans="1:71" x14ac:dyDescent="0.25">
      <c r="A776" s="154"/>
      <c r="B776" s="155"/>
      <c r="C776" s="155"/>
      <c r="D776" s="155"/>
      <c r="E776" s="156"/>
      <c r="F776" s="156"/>
      <c r="G776" s="155"/>
      <c r="H776" s="155"/>
      <c r="I776" s="155"/>
      <c r="J776" s="157"/>
      <c r="K776" s="157"/>
      <c r="L776" s="155"/>
      <c r="M776" s="155"/>
      <c r="N776" s="155"/>
      <c r="O776" s="156"/>
      <c r="P776" s="156"/>
      <c r="Q776" s="155"/>
      <c r="R776" s="155"/>
      <c r="S776" s="155"/>
      <c r="T776" s="156"/>
      <c r="U776" s="156"/>
      <c r="V776" s="155"/>
      <c r="W776" s="155"/>
      <c r="X776" s="155"/>
      <c r="Y776" s="155"/>
      <c r="Z776" s="155"/>
      <c r="AA776" s="156"/>
      <c r="AB776" s="156"/>
      <c r="AC776" s="155"/>
      <c r="AD776" s="155"/>
      <c r="AE776" s="155"/>
      <c r="AF776" s="156"/>
      <c r="AG776" s="156"/>
      <c r="AH776" s="155"/>
      <c r="AI776" s="155"/>
      <c r="AJ776" s="155"/>
      <c r="AK776" s="156"/>
      <c r="AL776" s="156"/>
      <c r="AM776" s="155"/>
      <c r="AN776" s="155"/>
      <c r="AO776" s="155"/>
      <c r="AP776" s="156"/>
      <c r="AQ776" s="156"/>
      <c r="AR776" s="155"/>
      <c r="AS776" s="155"/>
      <c r="AT776" s="155"/>
      <c r="AU776" s="156"/>
      <c r="AV776" s="156"/>
      <c r="AW776" s="155"/>
      <c r="AX776" s="155"/>
      <c r="AY776" s="155"/>
      <c r="AZ776" s="156"/>
      <c r="BA776" s="156"/>
      <c r="BB776" s="155"/>
      <c r="BC776" s="155"/>
      <c r="BD776" s="155"/>
      <c r="BE776" s="155"/>
      <c r="BF776" s="155"/>
      <c r="BG776" s="158"/>
      <c r="BH776" s="158"/>
      <c r="BI776" s="155"/>
      <c r="BJ776" s="155"/>
      <c r="BK776" s="159"/>
      <c r="BL776" s="156"/>
      <c r="BM776" s="156"/>
      <c r="BN776" s="156"/>
      <c r="BO776" s="156"/>
      <c r="BP776" s="160"/>
      <c r="BQ776" s="160"/>
      <c r="BR776" s="160"/>
      <c r="BS776" s="160"/>
    </row>
    <row r="777" spans="1:71" x14ac:dyDescent="0.25">
      <c r="A777" s="154"/>
      <c r="B777" s="155"/>
      <c r="C777" s="155"/>
      <c r="D777" s="155"/>
      <c r="E777" s="156"/>
      <c r="F777" s="156"/>
      <c r="G777" s="155"/>
      <c r="H777" s="155"/>
      <c r="I777" s="155"/>
      <c r="J777" s="157"/>
      <c r="K777" s="157"/>
      <c r="L777" s="155"/>
      <c r="M777" s="155"/>
      <c r="N777" s="155"/>
      <c r="O777" s="156"/>
      <c r="P777" s="156"/>
      <c r="Q777" s="155"/>
      <c r="R777" s="155"/>
      <c r="S777" s="155"/>
      <c r="T777" s="156"/>
      <c r="U777" s="156"/>
      <c r="V777" s="155"/>
      <c r="W777" s="155"/>
      <c r="X777" s="155"/>
      <c r="Y777" s="155"/>
      <c r="Z777" s="155"/>
      <c r="AA777" s="156"/>
      <c r="AB777" s="156"/>
      <c r="AC777" s="155"/>
      <c r="AD777" s="155"/>
      <c r="AE777" s="155"/>
      <c r="AF777" s="156"/>
      <c r="AG777" s="156"/>
      <c r="AH777" s="155"/>
      <c r="AI777" s="155"/>
      <c r="AJ777" s="155"/>
      <c r="AK777" s="156"/>
      <c r="AL777" s="156"/>
      <c r="AM777" s="155"/>
      <c r="AN777" s="155"/>
      <c r="AO777" s="155"/>
      <c r="AP777" s="156"/>
      <c r="AQ777" s="156"/>
      <c r="AR777" s="155"/>
      <c r="AS777" s="155"/>
      <c r="AT777" s="155"/>
      <c r="AU777" s="156"/>
      <c r="AV777" s="156"/>
      <c r="AW777" s="155"/>
      <c r="AX777" s="155"/>
      <c r="AY777" s="155"/>
      <c r="AZ777" s="156"/>
      <c r="BA777" s="156"/>
      <c r="BB777" s="155"/>
      <c r="BC777" s="155"/>
      <c r="BD777" s="155"/>
      <c r="BE777" s="155"/>
      <c r="BF777" s="155"/>
      <c r="BG777" s="158"/>
      <c r="BH777" s="158"/>
      <c r="BI777" s="155"/>
      <c r="BJ777" s="155"/>
      <c r="BK777" s="159"/>
      <c r="BL777" s="156"/>
      <c r="BM777" s="156"/>
      <c r="BN777" s="156"/>
      <c r="BO777" s="156"/>
      <c r="BP777" s="160"/>
      <c r="BQ777" s="160"/>
      <c r="BR777" s="160"/>
      <c r="BS777" s="160"/>
    </row>
    <row r="778" spans="1:71" x14ac:dyDescent="0.25">
      <c r="A778" s="154"/>
      <c r="B778" s="155"/>
      <c r="C778" s="155"/>
      <c r="D778" s="155"/>
      <c r="E778" s="156"/>
      <c r="F778" s="156"/>
      <c r="G778" s="155"/>
      <c r="H778" s="155"/>
      <c r="I778" s="155"/>
      <c r="J778" s="157"/>
      <c r="K778" s="157"/>
      <c r="L778" s="155"/>
      <c r="M778" s="155"/>
      <c r="N778" s="155"/>
      <c r="O778" s="156"/>
      <c r="P778" s="156"/>
      <c r="Q778" s="155"/>
      <c r="R778" s="155"/>
      <c r="S778" s="155"/>
      <c r="T778" s="156"/>
      <c r="U778" s="156"/>
      <c r="V778" s="155"/>
      <c r="W778" s="155"/>
      <c r="X778" s="155"/>
      <c r="Y778" s="155"/>
      <c r="Z778" s="155"/>
      <c r="AA778" s="156"/>
      <c r="AB778" s="156"/>
      <c r="AC778" s="155"/>
      <c r="AD778" s="155"/>
      <c r="AE778" s="155"/>
      <c r="AF778" s="156"/>
      <c r="AG778" s="156"/>
      <c r="AH778" s="155"/>
      <c r="AI778" s="155"/>
      <c r="AJ778" s="155"/>
      <c r="AK778" s="156"/>
      <c r="AL778" s="156"/>
      <c r="AM778" s="155"/>
      <c r="AN778" s="155"/>
      <c r="AO778" s="155"/>
      <c r="AP778" s="156"/>
      <c r="AQ778" s="156"/>
      <c r="AR778" s="155"/>
      <c r="AS778" s="155"/>
      <c r="AT778" s="155"/>
      <c r="AU778" s="156"/>
      <c r="AV778" s="156"/>
      <c r="AW778" s="155"/>
      <c r="AX778" s="155"/>
      <c r="AY778" s="155"/>
      <c r="AZ778" s="156"/>
      <c r="BA778" s="156"/>
      <c r="BB778" s="155"/>
      <c r="BC778" s="155"/>
      <c r="BD778" s="155"/>
      <c r="BE778" s="155"/>
      <c r="BF778" s="155"/>
      <c r="BG778" s="158"/>
      <c r="BH778" s="158"/>
      <c r="BI778" s="155"/>
      <c r="BJ778" s="155"/>
      <c r="BK778" s="159"/>
      <c r="BL778" s="156"/>
      <c r="BM778" s="156"/>
      <c r="BN778" s="156"/>
      <c r="BO778" s="156"/>
      <c r="BP778" s="160"/>
      <c r="BQ778" s="160"/>
      <c r="BR778" s="160"/>
      <c r="BS778" s="160"/>
    </row>
    <row r="779" spans="1:71" x14ac:dyDescent="0.25">
      <c r="A779" s="154"/>
      <c r="B779" s="155"/>
      <c r="C779" s="155"/>
      <c r="D779" s="155"/>
      <c r="E779" s="156"/>
      <c r="F779" s="156"/>
      <c r="G779" s="155"/>
      <c r="H779" s="155"/>
      <c r="I779" s="155"/>
      <c r="J779" s="157"/>
      <c r="K779" s="157"/>
      <c r="L779" s="155"/>
      <c r="M779" s="155"/>
      <c r="N779" s="155"/>
      <c r="O779" s="156"/>
      <c r="P779" s="156"/>
      <c r="Q779" s="155"/>
      <c r="R779" s="155"/>
      <c r="S779" s="155"/>
      <c r="T779" s="156"/>
      <c r="U779" s="156"/>
      <c r="V779" s="155"/>
      <c r="W779" s="155"/>
      <c r="X779" s="155"/>
      <c r="Y779" s="155"/>
      <c r="Z779" s="155"/>
      <c r="AA779" s="156"/>
      <c r="AB779" s="156"/>
      <c r="AC779" s="155"/>
      <c r="AD779" s="155"/>
      <c r="AE779" s="155"/>
      <c r="AF779" s="156"/>
      <c r="AG779" s="156"/>
      <c r="AH779" s="155"/>
      <c r="AI779" s="155"/>
      <c r="AJ779" s="155"/>
      <c r="AK779" s="156"/>
      <c r="AL779" s="156"/>
      <c r="AM779" s="155"/>
      <c r="AN779" s="155"/>
      <c r="AO779" s="155"/>
      <c r="AP779" s="156"/>
      <c r="AQ779" s="156"/>
      <c r="AR779" s="155"/>
      <c r="AS779" s="155"/>
      <c r="AT779" s="155"/>
      <c r="AU779" s="156"/>
      <c r="AV779" s="156"/>
      <c r="AW779" s="155"/>
      <c r="AX779" s="155"/>
      <c r="AY779" s="155"/>
      <c r="AZ779" s="156"/>
      <c r="BA779" s="156"/>
      <c r="BB779" s="155"/>
      <c r="BC779" s="155"/>
      <c r="BD779" s="155"/>
      <c r="BE779" s="155"/>
      <c r="BF779" s="155"/>
      <c r="BG779" s="158"/>
      <c r="BH779" s="158"/>
      <c r="BI779" s="155"/>
      <c r="BJ779" s="155"/>
      <c r="BK779" s="159"/>
      <c r="BL779" s="156"/>
      <c r="BM779" s="156"/>
      <c r="BN779" s="156"/>
      <c r="BO779" s="156"/>
      <c r="BP779" s="160"/>
      <c r="BQ779" s="160"/>
      <c r="BR779" s="160"/>
      <c r="BS779" s="160"/>
    </row>
    <row r="780" spans="1:71" x14ac:dyDescent="0.25">
      <c r="A780" s="154"/>
      <c r="B780" s="155"/>
      <c r="C780" s="155"/>
      <c r="D780" s="155"/>
      <c r="E780" s="156"/>
      <c r="F780" s="156"/>
      <c r="G780" s="155"/>
      <c r="H780" s="155"/>
      <c r="I780" s="155"/>
      <c r="J780" s="157"/>
      <c r="K780" s="157"/>
      <c r="L780" s="155"/>
      <c r="M780" s="155"/>
      <c r="N780" s="155"/>
      <c r="O780" s="156"/>
      <c r="P780" s="156"/>
      <c r="Q780" s="155"/>
      <c r="R780" s="155"/>
      <c r="S780" s="155"/>
      <c r="T780" s="156"/>
      <c r="U780" s="156"/>
      <c r="V780" s="155"/>
      <c r="W780" s="155"/>
      <c r="X780" s="155"/>
      <c r="Y780" s="155"/>
      <c r="Z780" s="155"/>
      <c r="AA780" s="156"/>
      <c r="AB780" s="156"/>
      <c r="AC780" s="155"/>
      <c r="AD780" s="155"/>
      <c r="AE780" s="155"/>
      <c r="AF780" s="156"/>
      <c r="AG780" s="156"/>
      <c r="AH780" s="155"/>
      <c r="AI780" s="155"/>
      <c r="AJ780" s="155"/>
      <c r="AK780" s="156"/>
      <c r="AL780" s="156"/>
      <c r="AM780" s="155"/>
      <c r="AN780" s="155"/>
      <c r="AO780" s="155"/>
      <c r="AP780" s="156"/>
      <c r="AQ780" s="156"/>
      <c r="AR780" s="155"/>
      <c r="AS780" s="155"/>
      <c r="AT780" s="155"/>
      <c r="AU780" s="156"/>
      <c r="AV780" s="156"/>
      <c r="AW780" s="155"/>
      <c r="AX780" s="155"/>
      <c r="AY780" s="155"/>
      <c r="AZ780" s="156"/>
      <c r="BA780" s="156"/>
      <c r="BB780" s="155"/>
      <c r="BC780" s="155"/>
      <c r="BD780" s="155"/>
      <c r="BE780" s="155"/>
      <c r="BF780" s="155"/>
      <c r="BG780" s="158"/>
      <c r="BH780" s="158"/>
      <c r="BI780" s="155"/>
      <c r="BJ780" s="155"/>
      <c r="BK780" s="159"/>
      <c r="BL780" s="156"/>
      <c r="BM780" s="156"/>
      <c r="BN780" s="156"/>
      <c r="BO780" s="156"/>
      <c r="BP780" s="160"/>
      <c r="BQ780" s="160"/>
      <c r="BR780" s="160"/>
      <c r="BS780" s="160"/>
    </row>
    <row r="781" spans="1:71" x14ac:dyDescent="0.25">
      <c r="A781" s="154"/>
      <c r="B781" s="155"/>
      <c r="C781" s="155"/>
      <c r="D781" s="155"/>
      <c r="E781" s="156"/>
      <c r="F781" s="156"/>
      <c r="G781" s="155"/>
      <c r="H781" s="155"/>
      <c r="I781" s="155"/>
      <c r="J781" s="157"/>
      <c r="K781" s="157"/>
      <c r="L781" s="155"/>
      <c r="M781" s="155"/>
      <c r="N781" s="155"/>
      <c r="O781" s="156"/>
      <c r="P781" s="156"/>
      <c r="Q781" s="155"/>
      <c r="R781" s="155"/>
      <c r="S781" s="155"/>
      <c r="T781" s="156"/>
      <c r="U781" s="156"/>
      <c r="V781" s="155"/>
      <c r="W781" s="155"/>
      <c r="X781" s="155"/>
      <c r="Y781" s="155"/>
      <c r="Z781" s="155"/>
      <c r="AA781" s="156"/>
      <c r="AB781" s="156"/>
      <c r="AC781" s="155"/>
      <c r="AD781" s="155"/>
      <c r="AE781" s="155"/>
      <c r="AF781" s="156"/>
      <c r="AG781" s="156"/>
      <c r="AH781" s="155"/>
      <c r="AI781" s="155"/>
      <c r="AJ781" s="155"/>
      <c r="AK781" s="156"/>
      <c r="AL781" s="156"/>
      <c r="AM781" s="155"/>
      <c r="AN781" s="155"/>
      <c r="AO781" s="155"/>
      <c r="AP781" s="156"/>
      <c r="AQ781" s="156"/>
      <c r="AR781" s="155"/>
      <c r="AS781" s="155"/>
      <c r="AT781" s="155"/>
      <c r="AU781" s="156"/>
      <c r="AV781" s="156"/>
      <c r="AW781" s="155"/>
      <c r="AX781" s="155"/>
      <c r="AY781" s="155"/>
      <c r="AZ781" s="156"/>
      <c r="BA781" s="156"/>
      <c r="BB781" s="155"/>
      <c r="BC781" s="155"/>
      <c r="BD781" s="155"/>
      <c r="BE781" s="155"/>
      <c r="BF781" s="155"/>
      <c r="BG781" s="158"/>
      <c r="BH781" s="158"/>
      <c r="BI781" s="155"/>
      <c r="BJ781" s="155"/>
      <c r="BK781" s="159"/>
      <c r="BL781" s="156"/>
      <c r="BM781" s="156"/>
      <c r="BN781" s="156"/>
      <c r="BO781" s="156"/>
      <c r="BP781" s="160"/>
      <c r="BQ781" s="160"/>
      <c r="BR781" s="160"/>
      <c r="BS781" s="160"/>
    </row>
    <row r="782" spans="1:71" x14ac:dyDescent="0.25">
      <c r="A782" s="154"/>
      <c r="B782" s="155"/>
      <c r="C782" s="155"/>
      <c r="D782" s="155"/>
      <c r="E782" s="156"/>
      <c r="F782" s="156"/>
      <c r="G782" s="155"/>
      <c r="H782" s="155"/>
      <c r="I782" s="155"/>
      <c r="J782" s="157"/>
      <c r="K782" s="157"/>
      <c r="L782" s="155"/>
      <c r="M782" s="155"/>
      <c r="N782" s="155"/>
      <c r="O782" s="156"/>
      <c r="P782" s="156"/>
      <c r="Q782" s="155"/>
      <c r="R782" s="155"/>
      <c r="S782" s="155"/>
      <c r="T782" s="156"/>
      <c r="U782" s="156"/>
      <c r="V782" s="155"/>
      <c r="W782" s="155"/>
      <c r="X782" s="155"/>
      <c r="Y782" s="155"/>
      <c r="Z782" s="155"/>
      <c r="AA782" s="156"/>
      <c r="AB782" s="156"/>
      <c r="AC782" s="155"/>
      <c r="AD782" s="155"/>
      <c r="AE782" s="155"/>
      <c r="AF782" s="156"/>
      <c r="AG782" s="156"/>
      <c r="AH782" s="155"/>
      <c r="AI782" s="155"/>
      <c r="AJ782" s="155"/>
      <c r="AK782" s="156"/>
      <c r="AL782" s="156"/>
      <c r="AM782" s="155"/>
      <c r="AN782" s="155"/>
      <c r="AO782" s="155"/>
      <c r="AP782" s="156"/>
      <c r="AQ782" s="156"/>
      <c r="AR782" s="155"/>
      <c r="AS782" s="155"/>
      <c r="AT782" s="155"/>
      <c r="AU782" s="156"/>
      <c r="AV782" s="156"/>
      <c r="AW782" s="155"/>
      <c r="AX782" s="155"/>
      <c r="AY782" s="155"/>
      <c r="AZ782" s="156"/>
      <c r="BA782" s="156"/>
      <c r="BB782" s="155"/>
      <c r="BC782" s="155"/>
      <c r="BD782" s="155"/>
      <c r="BE782" s="155"/>
      <c r="BF782" s="155"/>
      <c r="BG782" s="158"/>
      <c r="BH782" s="158"/>
      <c r="BI782" s="155"/>
      <c r="BJ782" s="155"/>
      <c r="BK782" s="159"/>
      <c r="BL782" s="156"/>
      <c r="BM782" s="156"/>
      <c r="BN782" s="156"/>
      <c r="BO782" s="156"/>
      <c r="BP782" s="160"/>
      <c r="BQ782" s="160"/>
      <c r="BR782" s="160"/>
      <c r="BS782" s="160"/>
    </row>
    <row r="783" spans="1:71" x14ac:dyDescent="0.25">
      <c r="A783" s="154"/>
      <c r="B783" s="155"/>
      <c r="C783" s="155"/>
      <c r="D783" s="155"/>
      <c r="E783" s="156"/>
      <c r="F783" s="156"/>
      <c r="G783" s="155"/>
      <c r="H783" s="155"/>
      <c r="I783" s="155"/>
      <c r="J783" s="157"/>
      <c r="K783" s="157"/>
      <c r="L783" s="155"/>
      <c r="M783" s="155"/>
      <c r="N783" s="155"/>
      <c r="O783" s="156"/>
      <c r="P783" s="156"/>
      <c r="Q783" s="155"/>
      <c r="R783" s="155"/>
      <c r="S783" s="155"/>
      <c r="T783" s="156"/>
      <c r="U783" s="156"/>
      <c r="V783" s="155"/>
      <c r="W783" s="155"/>
      <c r="X783" s="155"/>
      <c r="Y783" s="155"/>
      <c r="Z783" s="155"/>
      <c r="AA783" s="156"/>
      <c r="AB783" s="156"/>
      <c r="AC783" s="155"/>
      <c r="AD783" s="155"/>
      <c r="AE783" s="155"/>
      <c r="AF783" s="156"/>
      <c r="AG783" s="156"/>
      <c r="AH783" s="155"/>
      <c r="AI783" s="155"/>
      <c r="AJ783" s="155"/>
      <c r="AK783" s="156"/>
      <c r="AL783" s="156"/>
      <c r="AM783" s="155"/>
      <c r="AN783" s="155"/>
      <c r="AO783" s="155"/>
      <c r="AP783" s="156"/>
      <c r="AQ783" s="156"/>
      <c r="AR783" s="155"/>
      <c r="AS783" s="155"/>
      <c r="AT783" s="155"/>
      <c r="AU783" s="156"/>
      <c r="AV783" s="156"/>
      <c r="AW783" s="155"/>
      <c r="AX783" s="155"/>
      <c r="AY783" s="155"/>
      <c r="AZ783" s="156"/>
      <c r="BA783" s="156"/>
      <c r="BB783" s="155"/>
      <c r="BC783" s="155"/>
      <c r="BD783" s="155"/>
      <c r="BE783" s="155"/>
      <c r="BF783" s="155"/>
      <c r="BG783" s="158"/>
      <c r="BH783" s="158"/>
      <c r="BI783" s="155"/>
      <c r="BJ783" s="155"/>
      <c r="BK783" s="159"/>
      <c r="BL783" s="156"/>
      <c r="BM783" s="156"/>
      <c r="BN783" s="156"/>
      <c r="BO783" s="156"/>
      <c r="BP783" s="160"/>
      <c r="BQ783" s="160"/>
      <c r="BR783" s="160"/>
      <c r="BS783" s="160"/>
    </row>
    <row r="784" spans="1:71" x14ac:dyDescent="0.25">
      <c r="A784" s="154"/>
      <c r="B784" s="155"/>
      <c r="C784" s="155"/>
      <c r="D784" s="155"/>
      <c r="E784" s="156"/>
      <c r="F784" s="156"/>
      <c r="G784" s="155"/>
      <c r="H784" s="155"/>
      <c r="I784" s="155"/>
      <c r="J784" s="157"/>
      <c r="K784" s="157"/>
      <c r="L784" s="155"/>
      <c r="M784" s="155"/>
      <c r="N784" s="155"/>
      <c r="O784" s="156"/>
      <c r="P784" s="156"/>
      <c r="Q784" s="155"/>
      <c r="R784" s="155"/>
      <c r="S784" s="155"/>
      <c r="T784" s="156"/>
      <c r="U784" s="156"/>
      <c r="V784" s="155"/>
      <c r="W784" s="155"/>
      <c r="X784" s="155"/>
      <c r="Y784" s="155"/>
      <c r="Z784" s="155"/>
      <c r="AA784" s="156"/>
      <c r="AB784" s="156"/>
      <c r="AC784" s="155"/>
      <c r="AD784" s="155"/>
      <c r="AE784" s="155"/>
      <c r="AF784" s="156"/>
      <c r="AG784" s="156"/>
      <c r="AH784" s="155"/>
      <c r="AI784" s="155"/>
      <c r="AJ784" s="155"/>
      <c r="AK784" s="156"/>
      <c r="AL784" s="156"/>
      <c r="AM784" s="155"/>
      <c r="AN784" s="155"/>
      <c r="AO784" s="155"/>
      <c r="AP784" s="156"/>
      <c r="AQ784" s="156"/>
      <c r="AR784" s="155"/>
      <c r="AS784" s="155"/>
      <c r="AT784" s="155"/>
      <c r="AU784" s="156"/>
      <c r="AV784" s="156"/>
      <c r="AW784" s="155"/>
      <c r="AX784" s="155"/>
      <c r="AY784" s="155"/>
      <c r="AZ784" s="156"/>
      <c r="BA784" s="156"/>
      <c r="BB784" s="155"/>
      <c r="BC784" s="155"/>
      <c r="BD784" s="155"/>
      <c r="BE784" s="155"/>
      <c r="BF784" s="155"/>
      <c r="BG784" s="158"/>
      <c r="BH784" s="158"/>
      <c r="BI784" s="155"/>
      <c r="BJ784" s="155"/>
      <c r="BK784" s="159"/>
      <c r="BL784" s="156"/>
      <c r="BM784" s="156"/>
      <c r="BN784" s="156"/>
      <c r="BO784" s="156"/>
      <c r="BP784" s="160"/>
      <c r="BQ784" s="160"/>
      <c r="BR784" s="160"/>
      <c r="BS784" s="160"/>
    </row>
    <row r="785" spans="1:71" x14ac:dyDescent="0.25">
      <c r="A785" s="154"/>
      <c r="B785" s="155"/>
      <c r="C785" s="155"/>
      <c r="D785" s="155"/>
      <c r="E785" s="156"/>
      <c r="F785" s="156"/>
      <c r="G785" s="155"/>
      <c r="H785" s="155"/>
      <c r="I785" s="155"/>
      <c r="J785" s="157"/>
      <c r="K785" s="157"/>
      <c r="L785" s="155"/>
      <c r="M785" s="155"/>
      <c r="N785" s="155"/>
      <c r="O785" s="156"/>
      <c r="P785" s="156"/>
      <c r="Q785" s="155"/>
      <c r="R785" s="155"/>
      <c r="S785" s="155"/>
      <c r="T785" s="156"/>
      <c r="U785" s="156"/>
      <c r="V785" s="155"/>
      <c r="W785" s="155"/>
      <c r="X785" s="155"/>
      <c r="Y785" s="155"/>
      <c r="Z785" s="155"/>
      <c r="AA785" s="156"/>
      <c r="AB785" s="156"/>
      <c r="AC785" s="155"/>
      <c r="AD785" s="155"/>
      <c r="AE785" s="155"/>
      <c r="AF785" s="156"/>
      <c r="AG785" s="156"/>
      <c r="AH785" s="155"/>
      <c r="AI785" s="155"/>
      <c r="AJ785" s="155"/>
      <c r="AK785" s="156"/>
      <c r="AL785" s="156"/>
      <c r="AM785" s="155"/>
      <c r="AN785" s="155"/>
      <c r="AO785" s="155"/>
      <c r="AP785" s="156"/>
      <c r="AQ785" s="156"/>
      <c r="AR785" s="155"/>
      <c r="AS785" s="155"/>
      <c r="AT785" s="155"/>
      <c r="AU785" s="156"/>
      <c r="AV785" s="156"/>
      <c r="AW785" s="155"/>
      <c r="AX785" s="155"/>
      <c r="AY785" s="155"/>
      <c r="AZ785" s="156"/>
      <c r="BA785" s="156"/>
      <c r="BB785" s="155"/>
      <c r="BC785" s="155"/>
      <c r="BD785" s="155"/>
      <c r="BE785" s="155"/>
      <c r="BF785" s="155"/>
      <c r="BG785" s="158"/>
      <c r="BH785" s="158"/>
      <c r="BI785" s="155"/>
      <c r="BJ785" s="155"/>
      <c r="BK785" s="159"/>
      <c r="BL785" s="156"/>
      <c r="BM785" s="156"/>
      <c r="BN785" s="156"/>
      <c r="BO785" s="156"/>
      <c r="BP785" s="160"/>
      <c r="BQ785" s="160"/>
      <c r="BR785" s="160"/>
      <c r="BS785" s="160"/>
    </row>
    <row r="786" spans="1:71" x14ac:dyDescent="0.25">
      <c r="A786" s="154"/>
      <c r="B786" s="155"/>
      <c r="C786" s="155"/>
      <c r="D786" s="155"/>
      <c r="E786" s="156"/>
      <c r="F786" s="156"/>
      <c r="G786" s="155"/>
      <c r="H786" s="155"/>
      <c r="I786" s="155"/>
      <c r="J786" s="157"/>
      <c r="K786" s="157"/>
      <c r="L786" s="155"/>
      <c r="M786" s="155"/>
      <c r="N786" s="155"/>
      <c r="O786" s="156"/>
      <c r="P786" s="156"/>
      <c r="Q786" s="155"/>
      <c r="R786" s="155"/>
      <c r="S786" s="155"/>
      <c r="T786" s="156"/>
      <c r="U786" s="156"/>
      <c r="V786" s="155"/>
      <c r="W786" s="155"/>
      <c r="X786" s="155"/>
      <c r="Y786" s="155"/>
      <c r="Z786" s="155"/>
      <c r="AA786" s="156"/>
      <c r="AB786" s="156"/>
      <c r="AC786" s="155"/>
      <c r="AD786" s="155"/>
      <c r="AE786" s="155"/>
      <c r="AF786" s="156"/>
      <c r="AG786" s="156"/>
      <c r="AH786" s="155"/>
      <c r="AI786" s="155"/>
      <c r="AJ786" s="155"/>
      <c r="AK786" s="156"/>
      <c r="AL786" s="156"/>
      <c r="AM786" s="155"/>
      <c r="AN786" s="155"/>
      <c r="AO786" s="155"/>
      <c r="AP786" s="156"/>
      <c r="AQ786" s="156"/>
      <c r="AR786" s="155"/>
      <c r="AS786" s="155"/>
      <c r="AT786" s="155"/>
      <c r="AU786" s="156"/>
      <c r="AV786" s="156"/>
      <c r="AW786" s="155"/>
      <c r="AX786" s="155"/>
      <c r="AY786" s="155"/>
      <c r="AZ786" s="156"/>
      <c r="BA786" s="156"/>
      <c r="BB786" s="155"/>
      <c r="BC786" s="155"/>
      <c r="BD786" s="155"/>
      <c r="BE786" s="155"/>
      <c r="BF786" s="155"/>
      <c r="BG786" s="158"/>
      <c r="BH786" s="158"/>
      <c r="BI786" s="155"/>
      <c r="BJ786" s="155"/>
      <c r="BK786" s="159"/>
      <c r="BL786" s="156"/>
      <c r="BM786" s="156"/>
      <c r="BN786" s="156"/>
      <c r="BO786" s="156"/>
      <c r="BP786" s="160"/>
      <c r="BQ786" s="160"/>
      <c r="BR786" s="160"/>
      <c r="BS786" s="160"/>
    </row>
    <row r="787" spans="1:71" x14ac:dyDescent="0.25">
      <c r="A787" s="154"/>
      <c r="B787" s="155"/>
      <c r="C787" s="155"/>
      <c r="D787" s="155"/>
      <c r="E787" s="156"/>
      <c r="F787" s="156"/>
      <c r="G787" s="155"/>
      <c r="H787" s="155"/>
      <c r="I787" s="155"/>
      <c r="J787" s="157"/>
      <c r="K787" s="157"/>
      <c r="L787" s="155"/>
      <c r="M787" s="155"/>
      <c r="N787" s="155"/>
      <c r="O787" s="156"/>
      <c r="P787" s="156"/>
      <c r="Q787" s="155"/>
      <c r="R787" s="155"/>
      <c r="S787" s="155"/>
      <c r="T787" s="156"/>
      <c r="U787" s="156"/>
      <c r="V787" s="155"/>
      <c r="W787" s="155"/>
      <c r="X787" s="155"/>
      <c r="Y787" s="155"/>
      <c r="Z787" s="155"/>
      <c r="AA787" s="156"/>
      <c r="AB787" s="156"/>
      <c r="AC787" s="155"/>
      <c r="AD787" s="155"/>
      <c r="AE787" s="155"/>
      <c r="AF787" s="156"/>
      <c r="AG787" s="156"/>
      <c r="AH787" s="155"/>
      <c r="AI787" s="155"/>
      <c r="AJ787" s="155"/>
      <c r="AK787" s="156"/>
      <c r="AL787" s="156"/>
      <c r="AM787" s="155"/>
      <c r="AN787" s="155"/>
      <c r="AO787" s="155"/>
      <c r="AP787" s="156"/>
      <c r="AQ787" s="156"/>
      <c r="AR787" s="155"/>
      <c r="AS787" s="155"/>
      <c r="AT787" s="155"/>
      <c r="AU787" s="156"/>
      <c r="AV787" s="156"/>
      <c r="AW787" s="155"/>
      <c r="AX787" s="155"/>
      <c r="AY787" s="155"/>
      <c r="AZ787" s="156"/>
      <c r="BA787" s="156"/>
      <c r="BB787" s="155"/>
      <c r="BC787" s="155"/>
      <c r="BD787" s="155"/>
      <c r="BE787" s="155"/>
      <c r="BF787" s="155"/>
      <c r="BG787" s="158"/>
      <c r="BH787" s="158"/>
      <c r="BI787" s="155"/>
      <c r="BJ787" s="155"/>
      <c r="BK787" s="159"/>
      <c r="BL787" s="156"/>
      <c r="BM787" s="156"/>
      <c r="BN787" s="156"/>
      <c r="BO787" s="156"/>
      <c r="BP787" s="160"/>
      <c r="BQ787" s="160"/>
      <c r="BR787" s="160"/>
      <c r="BS787" s="160"/>
    </row>
    <row r="788" spans="1:71" x14ac:dyDescent="0.25">
      <c r="A788" s="154"/>
      <c r="B788" s="155"/>
      <c r="C788" s="155"/>
      <c r="D788" s="155"/>
      <c r="E788" s="156"/>
      <c r="F788" s="156"/>
      <c r="G788" s="155"/>
      <c r="H788" s="155"/>
      <c r="I788" s="155"/>
      <c r="J788" s="157"/>
      <c r="K788" s="157"/>
      <c r="L788" s="155"/>
      <c r="M788" s="155"/>
      <c r="N788" s="155"/>
      <c r="O788" s="156"/>
      <c r="P788" s="156"/>
      <c r="Q788" s="155"/>
      <c r="R788" s="155"/>
      <c r="S788" s="155"/>
      <c r="T788" s="156"/>
      <c r="U788" s="156"/>
      <c r="V788" s="155"/>
      <c r="W788" s="155"/>
      <c r="X788" s="155"/>
      <c r="Y788" s="155"/>
      <c r="Z788" s="155"/>
      <c r="AA788" s="156"/>
      <c r="AB788" s="156"/>
      <c r="AC788" s="155"/>
      <c r="AD788" s="155"/>
      <c r="AE788" s="155"/>
      <c r="AF788" s="156"/>
      <c r="AG788" s="156"/>
      <c r="AH788" s="155"/>
      <c r="AI788" s="155"/>
      <c r="AJ788" s="155"/>
      <c r="AK788" s="156"/>
      <c r="AL788" s="156"/>
      <c r="AM788" s="155"/>
      <c r="AN788" s="155"/>
      <c r="AO788" s="155"/>
      <c r="AP788" s="156"/>
      <c r="AQ788" s="156"/>
      <c r="AR788" s="155"/>
      <c r="AS788" s="155"/>
      <c r="AT788" s="155"/>
      <c r="AU788" s="156"/>
      <c r="AV788" s="156"/>
      <c r="AW788" s="155"/>
      <c r="AX788" s="155"/>
      <c r="AY788" s="155"/>
      <c r="AZ788" s="156"/>
      <c r="BA788" s="156"/>
      <c r="BB788" s="155"/>
      <c r="BC788" s="155"/>
      <c r="BD788" s="155"/>
      <c r="BE788" s="155"/>
      <c r="BF788" s="155"/>
      <c r="BG788" s="158"/>
      <c r="BH788" s="158"/>
      <c r="BI788" s="155"/>
      <c r="BJ788" s="155"/>
      <c r="BK788" s="159"/>
      <c r="BL788" s="156"/>
      <c r="BM788" s="156"/>
      <c r="BN788" s="156"/>
      <c r="BO788" s="156"/>
      <c r="BP788" s="160"/>
      <c r="BQ788" s="160"/>
      <c r="BR788" s="160"/>
      <c r="BS788" s="160"/>
    </row>
    <row r="789" spans="1:71" x14ac:dyDescent="0.25">
      <c r="A789" s="154"/>
      <c r="B789" s="155"/>
      <c r="C789" s="155"/>
      <c r="D789" s="155"/>
      <c r="E789" s="156"/>
      <c r="F789" s="156"/>
      <c r="G789" s="155"/>
      <c r="H789" s="155"/>
      <c r="I789" s="155"/>
      <c r="J789" s="157"/>
      <c r="K789" s="157"/>
      <c r="L789" s="155"/>
      <c r="M789" s="155"/>
      <c r="N789" s="155"/>
      <c r="O789" s="156"/>
      <c r="P789" s="156"/>
      <c r="Q789" s="155"/>
      <c r="R789" s="155"/>
      <c r="S789" s="155"/>
      <c r="T789" s="156"/>
      <c r="U789" s="156"/>
      <c r="V789" s="155"/>
      <c r="W789" s="155"/>
      <c r="X789" s="155"/>
      <c r="Y789" s="155"/>
      <c r="Z789" s="155"/>
      <c r="AA789" s="156"/>
      <c r="AB789" s="156"/>
      <c r="AC789" s="155"/>
      <c r="AD789" s="155"/>
      <c r="AE789" s="155"/>
      <c r="AF789" s="156"/>
      <c r="AG789" s="156"/>
      <c r="AH789" s="155"/>
      <c r="AI789" s="155"/>
      <c r="AJ789" s="155"/>
      <c r="AK789" s="156"/>
      <c r="AL789" s="156"/>
      <c r="AM789" s="155"/>
      <c r="AN789" s="155"/>
      <c r="AO789" s="155"/>
      <c r="AP789" s="156"/>
      <c r="AQ789" s="156"/>
      <c r="AR789" s="155"/>
      <c r="AS789" s="155"/>
      <c r="AT789" s="155"/>
      <c r="AU789" s="156"/>
      <c r="AV789" s="156"/>
      <c r="AW789" s="155"/>
      <c r="AX789" s="155"/>
      <c r="AY789" s="155"/>
      <c r="AZ789" s="156"/>
      <c r="BA789" s="156"/>
      <c r="BB789" s="155"/>
      <c r="BC789" s="155"/>
      <c r="BD789" s="155"/>
      <c r="BE789" s="155"/>
      <c r="BF789" s="155"/>
      <c r="BG789" s="158"/>
      <c r="BH789" s="158"/>
      <c r="BI789" s="155"/>
      <c r="BJ789" s="155"/>
      <c r="BK789" s="159"/>
      <c r="BL789" s="156"/>
      <c r="BM789" s="156"/>
      <c r="BN789" s="156"/>
      <c r="BO789" s="156"/>
      <c r="BP789" s="160"/>
      <c r="BQ789" s="160"/>
      <c r="BR789" s="160"/>
      <c r="BS789" s="160"/>
    </row>
    <row r="790" spans="1:71" x14ac:dyDescent="0.25">
      <c r="A790" s="154"/>
      <c r="B790" s="155"/>
      <c r="C790" s="155"/>
      <c r="D790" s="155"/>
      <c r="E790" s="156"/>
      <c r="F790" s="156"/>
      <c r="G790" s="155"/>
      <c r="H790" s="155"/>
      <c r="I790" s="155"/>
      <c r="J790" s="157"/>
      <c r="K790" s="157"/>
      <c r="L790" s="155"/>
      <c r="M790" s="155"/>
      <c r="N790" s="155"/>
      <c r="O790" s="156"/>
      <c r="P790" s="156"/>
      <c r="Q790" s="155"/>
      <c r="R790" s="155"/>
      <c r="S790" s="155"/>
      <c r="T790" s="156"/>
      <c r="U790" s="156"/>
      <c r="V790" s="155"/>
      <c r="W790" s="155"/>
      <c r="X790" s="155"/>
      <c r="Y790" s="155"/>
      <c r="Z790" s="155"/>
      <c r="AA790" s="156"/>
      <c r="AB790" s="156"/>
      <c r="AC790" s="155"/>
      <c r="AD790" s="155"/>
      <c r="AE790" s="155"/>
      <c r="AF790" s="156"/>
      <c r="AG790" s="156"/>
      <c r="AH790" s="155"/>
      <c r="AI790" s="155"/>
      <c r="AJ790" s="155"/>
      <c r="AK790" s="156"/>
      <c r="AL790" s="156"/>
      <c r="AM790" s="155"/>
      <c r="AN790" s="155"/>
      <c r="AO790" s="155"/>
      <c r="AP790" s="156"/>
      <c r="AQ790" s="156"/>
      <c r="AR790" s="155"/>
      <c r="AS790" s="155"/>
      <c r="AT790" s="155"/>
      <c r="AU790" s="156"/>
      <c r="AV790" s="156"/>
      <c r="AW790" s="155"/>
      <c r="AX790" s="155"/>
      <c r="AY790" s="155"/>
      <c r="AZ790" s="156"/>
      <c r="BA790" s="156"/>
      <c r="BB790" s="155"/>
      <c r="BC790" s="155"/>
      <c r="BD790" s="155"/>
      <c r="BE790" s="155"/>
      <c r="BF790" s="155"/>
      <c r="BG790" s="158"/>
      <c r="BH790" s="158"/>
      <c r="BI790" s="155"/>
      <c r="BJ790" s="155"/>
      <c r="BK790" s="159"/>
      <c r="BL790" s="156"/>
      <c r="BM790" s="156"/>
      <c r="BN790" s="156"/>
      <c r="BO790" s="156"/>
      <c r="BP790" s="160"/>
      <c r="BQ790" s="160"/>
      <c r="BR790" s="160"/>
      <c r="BS790" s="160"/>
    </row>
    <row r="791" spans="1:71" x14ac:dyDescent="0.25">
      <c r="A791" s="154"/>
      <c r="B791" s="155"/>
      <c r="C791" s="155"/>
      <c r="D791" s="155"/>
      <c r="E791" s="156"/>
      <c r="F791" s="156"/>
      <c r="G791" s="155"/>
      <c r="H791" s="155"/>
      <c r="I791" s="155"/>
      <c r="J791" s="157"/>
      <c r="K791" s="157"/>
      <c r="L791" s="155"/>
      <c r="M791" s="155"/>
      <c r="N791" s="155"/>
      <c r="O791" s="156"/>
      <c r="P791" s="156"/>
      <c r="Q791" s="155"/>
      <c r="R791" s="155"/>
      <c r="S791" s="155"/>
      <c r="T791" s="156"/>
      <c r="U791" s="156"/>
      <c r="V791" s="155"/>
      <c r="W791" s="155"/>
      <c r="X791" s="155"/>
      <c r="Y791" s="155"/>
      <c r="Z791" s="155"/>
      <c r="AA791" s="156"/>
      <c r="AB791" s="156"/>
      <c r="AC791" s="155"/>
      <c r="AD791" s="155"/>
      <c r="AE791" s="155"/>
      <c r="AF791" s="156"/>
      <c r="AG791" s="156"/>
      <c r="AH791" s="155"/>
      <c r="AI791" s="155"/>
      <c r="AJ791" s="155"/>
      <c r="AK791" s="156"/>
      <c r="AL791" s="156"/>
      <c r="AM791" s="155"/>
      <c r="AN791" s="155"/>
      <c r="AO791" s="155"/>
      <c r="AP791" s="156"/>
      <c r="AQ791" s="156"/>
      <c r="AR791" s="155"/>
      <c r="AS791" s="155"/>
      <c r="AT791" s="155"/>
      <c r="AU791" s="156"/>
      <c r="AV791" s="156"/>
      <c r="AW791" s="155"/>
      <c r="AX791" s="155"/>
      <c r="AY791" s="155"/>
      <c r="AZ791" s="156"/>
      <c r="BA791" s="156"/>
      <c r="BB791" s="155"/>
      <c r="BC791" s="155"/>
      <c r="BD791" s="155"/>
      <c r="BE791" s="155"/>
      <c r="BF791" s="155"/>
      <c r="BG791" s="158"/>
      <c r="BH791" s="158"/>
      <c r="BI791" s="155"/>
      <c r="BJ791" s="155"/>
      <c r="BK791" s="159"/>
      <c r="BL791" s="156"/>
      <c r="BM791" s="156"/>
      <c r="BN791" s="156"/>
      <c r="BO791" s="156"/>
      <c r="BP791" s="160"/>
      <c r="BQ791" s="160"/>
      <c r="BR791" s="160"/>
      <c r="BS791" s="160"/>
    </row>
    <row r="792" spans="1:71" x14ac:dyDescent="0.25">
      <c r="A792" s="154"/>
      <c r="B792" s="155"/>
      <c r="C792" s="155"/>
      <c r="D792" s="155"/>
      <c r="E792" s="156"/>
      <c r="F792" s="156"/>
      <c r="G792" s="155"/>
      <c r="H792" s="155"/>
      <c r="I792" s="155"/>
      <c r="J792" s="157"/>
      <c r="K792" s="157"/>
      <c r="L792" s="155"/>
      <c r="M792" s="155"/>
      <c r="N792" s="155"/>
      <c r="O792" s="156"/>
      <c r="P792" s="156"/>
      <c r="Q792" s="155"/>
      <c r="R792" s="155"/>
      <c r="S792" s="155"/>
      <c r="T792" s="156"/>
      <c r="U792" s="156"/>
      <c r="V792" s="155"/>
      <c r="W792" s="155"/>
      <c r="X792" s="155"/>
      <c r="Y792" s="155"/>
      <c r="Z792" s="155"/>
      <c r="AA792" s="156"/>
      <c r="AB792" s="156"/>
      <c r="AC792" s="155"/>
      <c r="AD792" s="155"/>
      <c r="AE792" s="155"/>
      <c r="AF792" s="156"/>
      <c r="AG792" s="156"/>
      <c r="AH792" s="155"/>
      <c r="AI792" s="155"/>
      <c r="AJ792" s="155"/>
      <c r="AK792" s="156"/>
      <c r="AL792" s="156"/>
      <c r="AM792" s="155"/>
      <c r="AN792" s="155"/>
      <c r="AO792" s="155"/>
      <c r="AP792" s="156"/>
      <c r="AQ792" s="156"/>
      <c r="AR792" s="155"/>
      <c r="AS792" s="155"/>
      <c r="AT792" s="155"/>
      <c r="AU792" s="156"/>
      <c r="AV792" s="156"/>
      <c r="AW792" s="155"/>
      <c r="AX792" s="155"/>
      <c r="AY792" s="155"/>
      <c r="AZ792" s="156"/>
      <c r="BA792" s="156"/>
      <c r="BB792" s="155"/>
      <c r="BC792" s="155"/>
      <c r="BD792" s="155"/>
      <c r="BE792" s="155"/>
      <c r="BF792" s="155"/>
      <c r="BG792" s="158"/>
      <c r="BH792" s="158"/>
      <c r="BI792" s="155"/>
      <c r="BJ792" s="155"/>
      <c r="BK792" s="159"/>
      <c r="BL792" s="156"/>
      <c r="BM792" s="156"/>
      <c r="BN792" s="156"/>
      <c r="BO792" s="156"/>
      <c r="BP792" s="160"/>
      <c r="BQ792" s="160"/>
      <c r="BR792" s="160"/>
      <c r="BS792" s="160"/>
    </row>
    <row r="793" spans="1:71" x14ac:dyDescent="0.25">
      <c r="A793" s="154"/>
      <c r="B793" s="155"/>
      <c r="C793" s="155"/>
      <c r="D793" s="155"/>
      <c r="E793" s="156"/>
      <c r="F793" s="156"/>
      <c r="G793" s="155"/>
      <c r="H793" s="155"/>
      <c r="I793" s="155"/>
      <c r="J793" s="157"/>
      <c r="K793" s="157"/>
      <c r="L793" s="155"/>
      <c r="M793" s="155"/>
      <c r="N793" s="155"/>
      <c r="O793" s="156"/>
      <c r="P793" s="156"/>
      <c r="Q793" s="155"/>
      <c r="R793" s="155"/>
      <c r="S793" s="155"/>
      <c r="T793" s="156"/>
      <c r="U793" s="156"/>
      <c r="V793" s="155"/>
      <c r="W793" s="155"/>
      <c r="X793" s="155"/>
      <c r="Y793" s="155"/>
      <c r="Z793" s="155"/>
      <c r="AA793" s="156"/>
      <c r="AB793" s="156"/>
      <c r="AC793" s="155"/>
      <c r="AD793" s="155"/>
      <c r="AE793" s="155"/>
      <c r="AF793" s="156"/>
      <c r="AG793" s="156"/>
      <c r="AH793" s="155"/>
      <c r="AI793" s="155"/>
      <c r="AJ793" s="155"/>
      <c r="AK793" s="156"/>
      <c r="AL793" s="156"/>
      <c r="AM793" s="155"/>
      <c r="AN793" s="155"/>
      <c r="AO793" s="155"/>
      <c r="AP793" s="156"/>
      <c r="AQ793" s="156"/>
      <c r="AR793" s="155"/>
      <c r="AS793" s="155"/>
      <c r="AT793" s="155"/>
      <c r="AU793" s="156"/>
      <c r="AV793" s="156"/>
      <c r="AW793" s="155"/>
      <c r="AX793" s="155"/>
      <c r="AY793" s="155"/>
      <c r="AZ793" s="156"/>
      <c r="BA793" s="156"/>
      <c r="BB793" s="155"/>
      <c r="BC793" s="155"/>
      <c r="BD793" s="155"/>
      <c r="BE793" s="155"/>
      <c r="BF793" s="155"/>
      <c r="BG793" s="158"/>
      <c r="BH793" s="158"/>
      <c r="BI793" s="155"/>
      <c r="BJ793" s="155"/>
      <c r="BK793" s="159"/>
      <c r="BL793" s="156"/>
      <c r="BM793" s="156"/>
      <c r="BN793" s="156"/>
      <c r="BO793" s="156"/>
      <c r="BP793" s="160"/>
      <c r="BQ793" s="160"/>
      <c r="BR793" s="160"/>
      <c r="BS793" s="160"/>
    </row>
    <row r="794" spans="1:71" x14ac:dyDescent="0.25">
      <c r="A794" s="154"/>
      <c r="B794" s="155"/>
      <c r="C794" s="155"/>
      <c r="D794" s="155"/>
      <c r="E794" s="156"/>
      <c r="F794" s="156"/>
      <c r="G794" s="155"/>
      <c r="H794" s="155"/>
      <c r="I794" s="155"/>
      <c r="J794" s="157"/>
      <c r="K794" s="157"/>
      <c r="L794" s="155"/>
      <c r="M794" s="155"/>
      <c r="N794" s="155"/>
      <c r="O794" s="156"/>
      <c r="P794" s="156"/>
      <c r="Q794" s="155"/>
      <c r="R794" s="155"/>
      <c r="S794" s="155"/>
      <c r="T794" s="156"/>
      <c r="U794" s="156"/>
      <c r="V794" s="155"/>
      <c r="W794" s="155"/>
      <c r="X794" s="155"/>
      <c r="Y794" s="155"/>
      <c r="Z794" s="155"/>
      <c r="AA794" s="156"/>
      <c r="AB794" s="156"/>
      <c r="AC794" s="155"/>
      <c r="AD794" s="155"/>
      <c r="AE794" s="155"/>
      <c r="AF794" s="156"/>
      <c r="AG794" s="156"/>
      <c r="AH794" s="155"/>
      <c r="AI794" s="155"/>
      <c r="AJ794" s="155"/>
      <c r="AK794" s="156"/>
      <c r="AL794" s="156"/>
      <c r="AM794" s="155"/>
      <c r="AN794" s="155"/>
      <c r="AO794" s="155"/>
      <c r="AP794" s="156"/>
      <c r="AQ794" s="156"/>
      <c r="AR794" s="155"/>
      <c r="AS794" s="155"/>
      <c r="AT794" s="155"/>
      <c r="AU794" s="156"/>
      <c r="AV794" s="156"/>
      <c r="AW794" s="155"/>
      <c r="AX794" s="155"/>
      <c r="AY794" s="155"/>
      <c r="AZ794" s="156"/>
      <c r="BA794" s="156"/>
      <c r="BB794" s="155"/>
      <c r="BC794" s="155"/>
      <c r="BD794" s="155"/>
      <c r="BE794" s="155"/>
      <c r="BF794" s="155"/>
      <c r="BG794" s="158"/>
      <c r="BH794" s="158"/>
      <c r="BI794" s="155"/>
      <c r="BJ794" s="155"/>
      <c r="BK794" s="159"/>
      <c r="BL794" s="156"/>
      <c r="BM794" s="156"/>
      <c r="BN794" s="156"/>
      <c r="BO794" s="156"/>
      <c r="BP794" s="160"/>
      <c r="BQ794" s="160"/>
      <c r="BR794" s="160"/>
      <c r="BS794" s="160"/>
    </row>
    <row r="795" spans="1:71" x14ac:dyDescent="0.25">
      <c r="A795" s="154"/>
      <c r="B795" s="155"/>
      <c r="C795" s="155"/>
      <c r="D795" s="155"/>
      <c r="E795" s="156"/>
      <c r="F795" s="156"/>
      <c r="G795" s="155"/>
      <c r="H795" s="155"/>
      <c r="I795" s="155"/>
      <c r="J795" s="157"/>
      <c r="K795" s="157"/>
      <c r="L795" s="155"/>
      <c r="M795" s="155"/>
      <c r="N795" s="155"/>
      <c r="O795" s="156"/>
      <c r="P795" s="156"/>
      <c r="Q795" s="155"/>
      <c r="R795" s="155"/>
      <c r="S795" s="155"/>
      <c r="T795" s="156"/>
      <c r="U795" s="156"/>
      <c r="V795" s="155"/>
      <c r="W795" s="155"/>
      <c r="X795" s="155"/>
      <c r="Y795" s="155"/>
      <c r="Z795" s="155"/>
      <c r="AA795" s="156"/>
      <c r="AB795" s="156"/>
      <c r="AC795" s="155"/>
      <c r="AD795" s="155"/>
      <c r="AE795" s="155"/>
      <c r="AF795" s="156"/>
      <c r="AG795" s="156"/>
      <c r="AH795" s="155"/>
      <c r="AI795" s="155"/>
      <c r="AJ795" s="155"/>
      <c r="AK795" s="156"/>
      <c r="AL795" s="156"/>
      <c r="AM795" s="155"/>
      <c r="AN795" s="155"/>
      <c r="AO795" s="155"/>
      <c r="AP795" s="156"/>
      <c r="AQ795" s="156"/>
      <c r="AR795" s="155"/>
      <c r="AS795" s="155"/>
      <c r="AT795" s="155"/>
      <c r="AU795" s="156"/>
      <c r="AV795" s="156"/>
      <c r="AW795" s="155"/>
      <c r="AX795" s="155"/>
      <c r="AY795" s="155"/>
      <c r="AZ795" s="156"/>
      <c r="BA795" s="156"/>
      <c r="BB795" s="155"/>
      <c r="BC795" s="155"/>
      <c r="BD795" s="155"/>
      <c r="BE795" s="155"/>
      <c r="BF795" s="155"/>
      <c r="BG795" s="158"/>
      <c r="BH795" s="158"/>
      <c r="BI795" s="155"/>
      <c r="BJ795" s="155"/>
      <c r="BK795" s="159"/>
      <c r="BL795" s="156"/>
      <c r="BM795" s="156"/>
      <c r="BN795" s="156"/>
      <c r="BO795" s="156"/>
      <c r="BP795" s="160"/>
      <c r="BQ795" s="160"/>
      <c r="BR795" s="160"/>
      <c r="BS795" s="160"/>
    </row>
    <row r="796" spans="1:71" x14ac:dyDescent="0.25">
      <c r="A796" s="154"/>
      <c r="B796" s="155"/>
      <c r="C796" s="155"/>
      <c r="D796" s="155"/>
      <c r="E796" s="156"/>
      <c r="F796" s="156"/>
      <c r="G796" s="155"/>
      <c r="H796" s="155"/>
      <c r="I796" s="155"/>
      <c r="J796" s="157"/>
      <c r="K796" s="157"/>
      <c r="L796" s="155"/>
      <c r="M796" s="155"/>
      <c r="N796" s="155"/>
      <c r="O796" s="156"/>
      <c r="P796" s="156"/>
      <c r="Q796" s="155"/>
      <c r="R796" s="155"/>
      <c r="S796" s="155"/>
      <c r="T796" s="156"/>
      <c r="U796" s="156"/>
      <c r="V796" s="155"/>
      <c r="W796" s="155"/>
      <c r="X796" s="155"/>
      <c r="Y796" s="155"/>
      <c r="Z796" s="155"/>
      <c r="AA796" s="156"/>
      <c r="AB796" s="156"/>
      <c r="AC796" s="155"/>
      <c r="AD796" s="155"/>
      <c r="AE796" s="155"/>
      <c r="AF796" s="156"/>
      <c r="AG796" s="156"/>
      <c r="AH796" s="155"/>
      <c r="AI796" s="155"/>
      <c r="AJ796" s="155"/>
      <c r="AK796" s="156"/>
      <c r="AL796" s="156"/>
      <c r="AM796" s="155"/>
      <c r="AN796" s="155"/>
      <c r="AO796" s="155"/>
      <c r="AP796" s="156"/>
      <c r="AQ796" s="156"/>
      <c r="AR796" s="155"/>
      <c r="AS796" s="155"/>
      <c r="AT796" s="155"/>
      <c r="AU796" s="156"/>
      <c r="AV796" s="156"/>
      <c r="AW796" s="155"/>
      <c r="AX796" s="155"/>
      <c r="AY796" s="155"/>
      <c r="AZ796" s="156"/>
      <c r="BA796" s="156"/>
      <c r="BB796" s="155"/>
      <c r="BC796" s="155"/>
      <c r="BD796" s="155"/>
      <c r="BE796" s="155"/>
      <c r="BF796" s="155"/>
      <c r="BG796" s="158"/>
      <c r="BH796" s="158"/>
      <c r="BI796" s="155"/>
      <c r="BJ796" s="155"/>
      <c r="BK796" s="159"/>
      <c r="BL796" s="156"/>
      <c r="BM796" s="156"/>
      <c r="BN796" s="156"/>
      <c r="BO796" s="156"/>
      <c r="BP796" s="160"/>
      <c r="BQ796" s="160"/>
      <c r="BR796" s="160"/>
      <c r="BS796" s="160"/>
    </row>
    <row r="797" spans="1:71" x14ac:dyDescent="0.25">
      <c r="A797" s="154"/>
      <c r="B797" s="155"/>
      <c r="C797" s="155"/>
      <c r="D797" s="155"/>
      <c r="E797" s="156"/>
      <c r="F797" s="156"/>
      <c r="G797" s="155"/>
      <c r="H797" s="155"/>
      <c r="I797" s="155"/>
      <c r="J797" s="157"/>
      <c r="K797" s="157"/>
      <c r="L797" s="155"/>
      <c r="M797" s="155"/>
      <c r="N797" s="155"/>
      <c r="O797" s="156"/>
      <c r="P797" s="156"/>
      <c r="Q797" s="155"/>
      <c r="R797" s="155"/>
      <c r="S797" s="155"/>
      <c r="T797" s="156"/>
      <c r="U797" s="156"/>
      <c r="V797" s="155"/>
      <c r="W797" s="155"/>
      <c r="X797" s="155"/>
      <c r="Y797" s="155"/>
      <c r="Z797" s="155"/>
      <c r="AA797" s="156"/>
      <c r="AB797" s="156"/>
      <c r="AC797" s="155"/>
      <c r="AD797" s="155"/>
      <c r="AE797" s="155"/>
      <c r="AF797" s="156"/>
      <c r="AG797" s="156"/>
      <c r="AH797" s="155"/>
      <c r="AI797" s="155"/>
      <c r="AJ797" s="155"/>
      <c r="AK797" s="156"/>
      <c r="AL797" s="156"/>
      <c r="AM797" s="155"/>
      <c r="AN797" s="155"/>
      <c r="AO797" s="155"/>
      <c r="AP797" s="156"/>
      <c r="AQ797" s="156"/>
      <c r="AR797" s="155"/>
      <c r="AS797" s="155"/>
      <c r="AT797" s="155"/>
      <c r="AU797" s="156"/>
      <c r="AV797" s="156"/>
      <c r="AW797" s="155"/>
      <c r="AX797" s="155"/>
      <c r="AY797" s="155"/>
      <c r="AZ797" s="156"/>
      <c r="BA797" s="156"/>
      <c r="BB797" s="155"/>
      <c r="BC797" s="155"/>
      <c r="BD797" s="155"/>
      <c r="BE797" s="155"/>
      <c r="BF797" s="155"/>
      <c r="BG797" s="158"/>
      <c r="BH797" s="158"/>
      <c r="BI797" s="155"/>
      <c r="BJ797" s="155"/>
      <c r="BK797" s="159"/>
      <c r="BL797" s="156"/>
      <c r="BM797" s="156"/>
      <c r="BN797" s="156"/>
      <c r="BO797" s="156"/>
      <c r="BP797" s="160"/>
      <c r="BQ797" s="160"/>
      <c r="BR797" s="160"/>
      <c r="BS797" s="160"/>
    </row>
    <row r="798" spans="1:71" x14ac:dyDescent="0.25">
      <c r="A798" s="154"/>
      <c r="B798" s="155"/>
      <c r="C798" s="155"/>
      <c r="D798" s="155"/>
      <c r="E798" s="156"/>
      <c r="F798" s="156"/>
      <c r="G798" s="155"/>
      <c r="H798" s="155"/>
      <c r="I798" s="155"/>
      <c r="J798" s="157"/>
      <c r="K798" s="157"/>
      <c r="L798" s="155"/>
      <c r="M798" s="155"/>
      <c r="N798" s="155"/>
      <c r="O798" s="156"/>
      <c r="P798" s="156"/>
      <c r="Q798" s="155"/>
      <c r="R798" s="155"/>
      <c r="S798" s="155"/>
      <c r="T798" s="156"/>
      <c r="U798" s="156"/>
      <c r="V798" s="155"/>
      <c r="W798" s="155"/>
      <c r="X798" s="155"/>
      <c r="Y798" s="155"/>
      <c r="Z798" s="155"/>
      <c r="AA798" s="156"/>
      <c r="AB798" s="156"/>
      <c r="AC798" s="155"/>
      <c r="AD798" s="155"/>
      <c r="AE798" s="155"/>
      <c r="AF798" s="156"/>
      <c r="AG798" s="156"/>
      <c r="AH798" s="155"/>
      <c r="AI798" s="155"/>
      <c r="AJ798" s="155"/>
      <c r="AK798" s="156"/>
      <c r="AL798" s="156"/>
      <c r="AM798" s="155"/>
      <c r="AN798" s="155"/>
      <c r="AO798" s="155"/>
      <c r="AP798" s="156"/>
      <c r="AQ798" s="156"/>
      <c r="AR798" s="155"/>
      <c r="AS798" s="155"/>
      <c r="AT798" s="155"/>
      <c r="AU798" s="156"/>
      <c r="AV798" s="156"/>
      <c r="AW798" s="155"/>
      <c r="AX798" s="155"/>
      <c r="AY798" s="155"/>
      <c r="AZ798" s="156"/>
      <c r="BA798" s="156"/>
      <c r="BB798" s="155"/>
      <c r="BC798" s="155"/>
      <c r="BD798" s="155"/>
      <c r="BE798" s="155"/>
      <c r="BF798" s="155"/>
      <c r="BG798" s="158"/>
      <c r="BH798" s="158"/>
      <c r="BI798" s="155"/>
      <c r="BJ798" s="155"/>
      <c r="BK798" s="159"/>
      <c r="BL798" s="156"/>
      <c r="BM798" s="156"/>
      <c r="BN798" s="156"/>
      <c r="BO798" s="156"/>
      <c r="BP798" s="160"/>
      <c r="BQ798" s="160"/>
      <c r="BR798" s="160"/>
      <c r="BS798" s="160"/>
    </row>
    <row r="799" spans="1:71" x14ac:dyDescent="0.25">
      <c r="A799" s="154"/>
      <c r="B799" s="155"/>
      <c r="C799" s="155"/>
      <c r="D799" s="155"/>
      <c r="E799" s="156"/>
      <c r="F799" s="156"/>
      <c r="G799" s="155"/>
      <c r="H799" s="155"/>
      <c r="I799" s="155"/>
      <c r="J799" s="157"/>
      <c r="K799" s="157"/>
      <c r="L799" s="155"/>
      <c r="M799" s="155"/>
      <c r="N799" s="155"/>
      <c r="O799" s="156"/>
      <c r="P799" s="156"/>
      <c r="Q799" s="155"/>
      <c r="R799" s="155"/>
      <c r="S799" s="155"/>
      <c r="T799" s="156"/>
      <c r="U799" s="156"/>
      <c r="V799" s="155"/>
      <c r="W799" s="155"/>
      <c r="X799" s="155"/>
      <c r="Y799" s="155"/>
      <c r="Z799" s="155"/>
      <c r="AA799" s="156"/>
      <c r="AB799" s="156"/>
      <c r="AC799" s="155"/>
      <c r="AD799" s="155"/>
      <c r="AE799" s="155"/>
      <c r="AF799" s="156"/>
      <c r="AG799" s="156"/>
      <c r="AH799" s="155"/>
      <c r="AI799" s="155"/>
      <c r="AJ799" s="155"/>
      <c r="AK799" s="156"/>
      <c r="AL799" s="156"/>
      <c r="AM799" s="155"/>
      <c r="AN799" s="155"/>
      <c r="AO799" s="155"/>
      <c r="AP799" s="156"/>
      <c r="AQ799" s="156"/>
      <c r="AR799" s="155"/>
      <c r="AS799" s="155"/>
      <c r="AT799" s="155"/>
      <c r="AU799" s="156"/>
      <c r="AV799" s="156"/>
      <c r="AW799" s="155"/>
      <c r="AX799" s="155"/>
      <c r="AY799" s="155"/>
      <c r="AZ799" s="156"/>
      <c r="BA799" s="156"/>
      <c r="BB799" s="155"/>
      <c r="BC799" s="155"/>
      <c r="BD799" s="155"/>
      <c r="BE799" s="155"/>
      <c r="BF799" s="155"/>
      <c r="BG799" s="158"/>
      <c r="BH799" s="158"/>
      <c r="BI799" s="155"/>
      <c r="BJ799" s="155"/>
      <c r="BK799" s="159"/>
      <c r="BL799" s="156"/>
      <c r="BM799" s="156"/>
      <c r="BN799" s="156"/>
      <c r="BO799" s="156"/>
      <c r="BP799" s="160"/>
      <c r="BQ799" s="160"/>
      <c r="BR799" s="160"/>
      <c r="BS799" s="160"/>
    </row>
    <row r="800" spans="1:71" x14ac:dyDescent="0.25">
      <c r="A800" s="154"/>
      <c r="B800" s="155"/>
      <c r="C800" s="155"/>
      <c r="D800" s="155"/>
      <c r="E800" s="156"/>
      <c r="F800" s="156"/>
      <c r="G800" s="155"/>
      <c r="H800" s="155"/>
      <c r="I800" s="155"/>
      <c r="J800" s="157"/>
      <c r="K800" s="157"/>
      <c r="L800" s="155"/>
      <c r="M800" s="155"/>
      <c r="N800" s="155"/>
      <c r="O800" s="156"/>
      <c r="P800" s="156"/>
      <c r="Q800" s="155"/>
      <c r="R800" s="155"/>
      <c r="S800" s="155"/>
      <c r="T800" s="156"/>
      <c r="U800" s="156"/>
      <c r="V800" s="155"/>
      <c r="W800" s="155"/>
      <c r="X800" s="155"/>
      <c r="Y800" s="155"/>
      <c r="Z800" s="155"/>
      <c r="AA800" s="156"/>
      <c r="AB800" s="156"/>
      <c r="AC800" s="155"/>
      <c r="AD800" s="155"/>
      <c r="AE800" s="155"/>
      <c r="AF800" s="156"/>
      <c r="AG800" s="156"/>
      <c r="AH800" s="155"/>
      <c r="AI800" s="155"/>
      <c r="AJ800" s="155"/>
      <c r="AK800" s="156"/>
      <c r="AL800" s="156"/>
      <c r="AM800" s="155"/>
      <c r="AN800" s="155"/>
      <c r="AO800" s="155"/>
      <c r="AP800" s="156"/>
      <c r="AQ800" s="156"/>
      <c r="AR800" s="155"/>
      <c r="AS800" s="155"/>
      <c r="AT800" s="155"/>
      <c r="AU800" s="156"/>
      <c r="AV800" s="156"/>
      <c r="AW800" s="155"/>
      <c r="AX800" s="155"/>
      <c r="AY800" s="155"/>
      <c r="AZ800" s="156"/>
      <c r="BA800" s="156"/>
      <c r="BB800" s="155"/>
      <c r="BC800" s="155"/>
      <c r="BD800" s="155"/>
      <c r="BE800" s="155"/>
      <c r="BF800" s="155"/>
      <c r="BG800" s="158"/>
      <c r="BH800" s="158"/>
      <c r="BI800" s="155"/>
      <c r="BJ800" s="155"/>
      <c r="BK800" s="159"/>
      <c r="BL800" s="156"/>
      <c r="BM800" s="156"/>
      <c r="BN800" s="156"/>
      <c r="BO800" s="156"/>
      <c r="BP800" s="160"/>
      <c r="BQ800" s="160"/>
      <c r="BR800" s="160"/>
      <c r="BS800" s="160"/>
    </row>
    <row r="801" spans="1:71" x14ac:dyDescent="0.25">
      <c r="A801" s="154"/>
      <c r="B801" s="155"/>
      <c r="C801" s="155"/>
      <c r="D801" s="155"/>
      <c r="E801" s="156"/>
      <c r="F801" s="156"/>
      <c r="G801" s="155"/>
      <c r="H801" s="155"/>
      <c r="I801" s="155"/>
      <c r="J801" s="157"/>
      <c r="K801" s="157"/>
      <c r="L801" s="155"/>
      <c r="M801" s="155"/>
      <c r="N801" s="155"/>
      <c r="O801" s="156"/>
      <c r="P801" s="156"/>
      <c r="Q801" s="155"/>
      <c r="R801" s="155"/>
      <c r="S801" s="155"/>
      <c r="T801" s="156"/>
      <c r="U801" s="156"/>
      <c r="V801" s="155"/>
      <c r="W801" s="155"/>
      <c r="X801" s="155"/>
      <c r="Y801" s="155"/>
      <c r="Z801" s="155"/>
      <c r="AA801" s="156"/>
      <c r="AB801" s="156"/>
      <c r="AC801" s="155"/>
      <c r="AD801" s="155"/>
      <c r="AE801" s="155"/>
      <c r="AF801" s="156"/>
      <c r="AG801" s="156"/>
      <c r="AH801" s="155"/>
      <c r="AI801" s="155"/>
      <c r="AJ801" s="155"/>
      <c r="AK801" s="156"/>
      <c r="AL801" s="156"/>
      <c r="AM801" s="155"/>
      <c r="AN801" s="155"/>
      <c r="AO801" s="155"/>
      <c r="AP801" s="156"/>
      <c r="AQ801" s="156"/>
      <c r="AR801" s="155"/>
      <c r="AS801" s="155"/>
      <c r="AT801" s="155"/>
      <c r="AU801" s="156"/>
      <c r="AV801" s="156"/>
      <c r="AW801" s="155"/>
      <c r="AX801" s="155"/>
      <c r="AY801" s="155"/>
      <c r="AZ801" s="156"/>
      <c r="BA801" s="156"/>
      <c r="BB801" s="155"/>
      <c r="BC801" s="155"/>
      <c r="BD801" s="155"/>
      <c r="BE801" s="155"/>
      <c r="BF801" s="155"/>
      <c r="BG801" s="158"/>
      <c r="BH801" s="158"/>
      <c r="BI801" s="155"/>
      <c r="BJ801" s="155"/>
      <c r="BK801" s="159"/>
      <c r="BL801" s="156"/>
      <c r="BM801" s="156"/>
      <c r="BN801" s="156"/>
      <c r="BO801" s="156"/>
      <c r="BP801" s="160"/>
      <c r="BQ801" s="160"/>
      <c r="BR801" s="160"/>
      <c r="BS801" s="160"/>
    </row>
    <row r="802" spans="1:71" x14ac:dyDescent="0.25">
      <c r="A802" s="154"/>
      <c r="B802" s="155"/>
      <c r="C802" s="155"/>
      <c r="D802" s="155"/>
      <c r="E802" s="156"/>
      <c r="F802" s="156"/>
      <c r="G802" s="155"/>
      <c r="H802" s="155"/>
      <c r="I802" s="155"/>
      <c r="J802" s="157"/>
      <c r="K802" s="157"/>
      <c r="L802" s="155"/>
      <c r="M802" s="155"/>
      <c r="N802" s="155"/>
      <c r="O802" s="156"/>
      <c r="P802" s="156"/>
      <c r="Q802" s="155"/>
      <c r="R802" s="155"/>
      <c r="S802" s="155"/>
      <c r="T802" s="156"/>
      <c r="U802" s="156"/>
      <c r="V802" s="155"/>
      <c r="W802" s="155"/>
      <c r="X802" s="155"/>
      <c r="Y802" s="155"/>
      <c r="Z802" s="155"/>
      <c r="AA802" s="156"/>
      <c r="AB802" s="156"/>
      <c r="AC802" s="155"/>
      <c r="AD802" s="155"/>
      <c r="AE802" s="155"/>
      <c r="AF802" s="156"/>
      <c r="AG802" s="156"/>
      <c r="AH802" s="155"/>
      <c r="AI802" s="155"/>
      <c r="AJ802" s="155"/>
      <c r="AK802" s="156"/>
      <c r="AL802" s="156"/>
      <c r="AM802" s="155"/>
      <c r="AN802" s="155"/>
      <c r="AO802" s="155"/>
      <c r="AP802" s="156"/>
      <c r="AQ802" s="156"/>
      <c r="AR802" s="155"/>
      <c r="AS802" s="155"/>
      <c r="AT802" s="155"/>
      <c r="AU802" s="156"/>
      <c r="AV802" s="156"/>
      <c r="AW802" s="155"/>
      <c r="AX802" s="155"/>
      <c r="AY802" s="155"/>
      <c r="AZ802" s="156"/>
      <c r="BA802" s="156"/>
      <c r="BB802" s="155"/>
      <c r="BC802" s="155"/>
      <c r="BD802" s="155"/>
      <c r="BE802" s="155"/>
      <c r="BF802" s="155"/>
      <c r="BG802" s="158"/>
      <c r="BH802" s="158"/>
      <c r="BI802" s="155"/>
      <c r="BJ802" s="155"/>
      <c r="BK802" s="159"/>
      <c r="BL802" s="156"/>
      <c r="BM802" s="156"/>
      <c r="BN802" s="156"/>
      <c r="BO802" s="156"/>
      <c r="BP802" s="160"/>
      <c r="BQ802" s="160"/>
      <c r="BR802" s="160"/>
      <c r="BS802" s="160"/>
    </row>
    <row r="803" spans="1:71" x14ac:dyDescent="0.25">
      <c r="A803" s="154"/>
      <c r="B803" s="155"/>
      <c r="C803" s="155"/>
      <c r="D803" s="155"/>
      <c r="E803" s="156"/>
      <c r="F803" s="156"/>
      <c r="G803" s="155"/>
      <c r="H803" s="155"/>
      <c r="I803" s="155"/>
      <c r="J803" s="157"/>
      <c r="K803" s="157"/>
      <c r="L803" s="155"/>
      <c r="M803" s="155"/>
      <c r="N803" s="155"/>
      <c r="O803" s="156"/>
      <c r="P803" s="156"/>
      <c r="Q803" s="155"/>
      <c r="R803" s="155"/>
      <c r="S803" s="155"/>
      <c r="T803" s="156"/>
      <c r="U803" s="156"/>
      <c r="V803" s="155"/>
      <c r="W803" s="155"/>
      <c r="X803" s="155"/>
      <c r="Y803" s="155"/>
      <c r="Z803" s="155"/>
      <c r="AA803" s="156"/>
      <c r="AB803" s="156"/>
      <c r="AC803" s="155"/>
      <c r="AD803" s="155"/>
      <c r="AE803" s="155"/>
      <c r="AF803" s="156"/>
      <c r="AG803" s="156"/>
      <c r="AH803" s="155"/>
      <c r="AI803" s="155"/>
      <c r="AJ803" s="155"/>
      <c r="AK803" s="156"/>
      <c r="AL803" s="156"/>
      <c r="AM803" s="155"/>
      <c r="AN803" s="155"/>
      <c r="AO803" s="155"/>
      <c r="AP803" s="156"/>
      <c r="AQ803" s="156"/>
      <c r="AR803" s="155"/>
      <c r="AS803" s="155"/>
      <c r="AT803" s="155"/>
      <c r="AU803" s="156"/>
      <c r="AV803" s="156"/>
      <c r="AW803" s="155"/>
      <c r="AX803" s="155"/>
      <c r="AY803" s="155"/>
      <c r="AZ803" s="156"/>
      <c r="BA803" s="156"/>
      <c r="BB803" s="155"/>
      <c r="BC803" s="155"/>
      <c r="BD803" s="155"/>
      <c r="BE803" s="155"/>
      <c r="BF803" s="155"/>
      <c r="BG803" s="158"/>
      <c r="BH803" s="158"/>
      <c r="BI803" s="155"/>
      <c r="BJ803" s="155"/>
      <c r="BK803" s="159"/>
      <c r="BL803" s="156"/>
      <c r="BM803" s="156"/>
      <c r="BN803" s="156"/>
      <c r="BO803" s="156"/>
      <c r="BP803" s="160"/>
      <c r="BQ803" s="160"/>
      <c r="BR803" s="160"/>
      <c r="BS803" s="160"/>
    </row>
    <row r="804" spans="1:71" x14ac:dyDescent="0.25">
      <c r="A804" s="154"/>
      <c r="B804" s="155"/>
      <c r="C804" s="155"/>
      <c r="D804" s="155"/>
      <c r="E804" s="156"/>
      <c r="F804" s="156"/>
      <c r="G804" s="155"/>
      <c r="H804" s="155"/>
      <c r="I804" s="155"/>
      <c r="J804" s="157"/>
      <c r="K804" s="157"/>
      <c r="L804" s="155"/>
      <c r="M804" s="155"/>
      <c r="N804" s="155"/>
      <c r="O804" s="156"/>
      <c r="P804" s="156"/>
      <c r="Q804" s="155"/>
      <c r="R804" s="155"/>
      <c r="S804" s="155"/>
      <c r="T804" s="156"/>
      <c r="U804" s="156"/>
      <c r="V804" s="155"/>
      <c r="W804" s="155"/>
      <c r="X804" s="155"/>
      <c r="Y804" s="155"/>
      <c r="Z804" s="155"/>
      <c r="AA804" s="156"/>
      <c r="AB804" s="156"/>
      <c r="AC804" s="155"/>
      <c r="AD804" s="155"/>
      <c r="AE804" s="155"/>
      <c r="AF804" s="156"/>
      <c r="AG804" s="156"/>
      <c r="AH804" s="155"/>
      <c r="AI804" s="155"/>
      <c r="AJ804" s="155"/>
      <c r="AK804" s="156"/>
      <c r="AL804" s="156"/>
      <c r="AM804" s="155"/>
      <c r="AN804" s="155"/>
      <c r="AO804" s="155"/>
      <c r="AP804" s="156"/>
      <c r="AQ804" s="156"/>
      <c r="AR804" s="155"/>
      <c r="AS804" s="155"/>
      <c r="AT804" s="155"/>
      <c r="AU804" s="156"/>
      <c r="AV804" s="156"/>
      <c r="AW804" s="155"/>
      <c r="AX804" s="155"/>
      <c r="AY804" s="155"/>
      <c r="AZ804" s="156"/>
      <c r="BA804" s="156"/>
      <c r="BB804" s="155"/>
      <c r="BC804" s="155"/>
      <c r="BD804" s="155"/>
      <c r="BE804" s="155"/>
      <c r="BF804" s="155"/>
      <c r="BG804" s="158"/>
      <c r="BH804" s="158"/>
      <c r="BI804" s="155"/>
      <c r="BJ804" s="155"/>
      <c r="BK804" s="159"/>
      <c r="BL804" s="156"/>
      <c r="BM804" s="156"/>
      <c r="BN804" s="156"/>
      <c r="BO804" s="156"/>
      <c r="BP804" s="160"/>
      <c r="BQ804" s="160"/>
      <c r="BR804" s="160"/>
      <c r="BS804" s="160"/>
    </row>
    <row r="805" spans="1:71" x14ac:dyDescent="0.25">
      <c r="A805" s="154"/>
      <c r="B805" s="155"/>
      <c r="C805" s="155"/>
      <c r="D805" s="155"/>
      <c r="E805" s="156"/>
      <c r="F805" s="156"/>
      <c r="G805" s="155"/>
      <c r="H805" s="155"/>
      <c r="I805" s="155"/>
      <c r="J805" s="157"/>
      <c r="K805" s="157"/>
      <c r="L805" s="155"/>
      <c r="M805" s="155"/>
      <c r="N805" s="155"/>
      <c r="O805" s="156"/>
      <c r="P805" s="156"/>
      <c r="Q805" s="155"/>
      <c r="R805" s="155"/>
      <c r="S805" s="155"/>
      <c r="T805" s="156"/>
      <c r="U805" s="156"/>
      <c r="V805" s="155"/>
      <c r="W805" s="155"/>
      <c r="X805" s="155"/>
      <c r="Y805" s="155"/>
      <c r="Z805" s="155"/>
      <c r="AA805" s="156"/>
      <c r="AB805" s="156"/>
      <c r="AC805" s="155"/>
      <c r="AD805" s="155"/>
      <c r="AE805" s="155"/>
      <c r="AF805" s="156"/>
      <c r="AG805" s="156"/>
      <c r="AH805" s="155"/>
      <c r="AI805" s="155"/>
      <c r="AJ805" s="155"/>
      <c r="AK805" s="156"/>
      <c r="AL805" s="156"/>
      <c r="AM805" s="155"/>
      <c r="AN805" s="155"/>
      <c r="AO805" s="155"/>
      <c r="AP805" s="156"/>
      <c r="AQ805" s="156"/>
      <c r="AR805" s="155"/>
      <c r="AS805" s="155"/>
      <c r="AT805" s="155"/>
      <c r="AU805" s="156"/>
      <c r="AV805" s="156"/>
      <c r="AW805" s="155"/>
      <c r="AX805" s="155"/>
      <c r="AY805" s="155"/>
      <c r="AZ805" s="156"/>
      <c r="BA805" s="156"/>
      <c r="BB805" s="155"/>
      <c r="BC805" s="155"/>
      <c r="BD805" s="155"/>
      <c r="BE805" s="155"/>
      <c r="BF805" s="155"/>
      <c r="BG805" s="158"/>
      <c r="BH805" s="158"/>
      <c r="BI805" s="155"/>
      <c r="BJ805" s="155"/>
      <c r="BK805" s="159"/>
      <c r="BL805" s="156"/>
      <c r="BM805" s="156"/>
      <c r="BN805" s="156"/>
      <c r="BO805" s="156"/>
      <c r="BP805" s="160"/>
      <c r="BQ805" s="160"/>
      <c r="BR805" s="160"/>
      <c r="BS805" s="160"/>
    </row>
    <row r="806" spans="1:71" x14ac:dyDescent="0.25">
      <c r="A806" s="154"/>
      <c r="B806" s="155"/>
      <c r="C806" s="155"/>
      <c r="D806" s="155"/>
      <c r="E806" s="156"/>
      <c r="F806" s="156"/>
      <c r="G806" s="155"/>
      <c r="H806" s="155"/>
      <c r="I806" s="155"/>
      <c r="J806" s="157"/>
      <c r="K806" s="157"/>
      <c r="L806" s="155"/>
      <c r="M806" s="155"/>
      <c r="N806" s="155"/>
      <c r="O806" s="156"/>
      <c r="P806" s="156"/>
      <c r="Q806" s="155"/>
      <c r="R806" s="155"/>
      <c r="S806" s="155"/>
      <c r="T806" s="156"/>
      <c r="U806" s="156"/>
      <c r="V806" s="155"/>
      <c r="W806" s="155"/>
      <c r="X806" s="155"/>
      <c r="Y806" s="155"/>
      <c r="Z806" s="155"/>
      <c r="AA806" s="156"/>
      <c r="AB806" s="156"/>
      <c r="AC806" s="155"/>
      <c r="AD806" s="155"/>
      <c r="AE806" s="155"/>
      <c r="AF806" s="156"/>
      <c r="AG806" s="156"/>
      <c r="AH806" s="155"/>
      <c r="AI806" s="155"/>
      <c r="AJ806" s="155"/>
      <c r="AK806" s="156"/>
      <c r="AL806" s="156"/>
      <c r="AM806" s="155"/>
      <c r="AN806" s="155"/>
      <c r="AO806" s="155"/>
      <c r="AP806" s="156"/>
      <c r="AQ806" s="156"/>
      <c r="AR806" s="155"/>
      <c r="AS806" s="155"/>
      <c r="AT806" s="155"/>
      <c r="AU806" s="156"/>
      <c r="AV806" s="156"/>
      <c r="AW806" s="155"/>
      <c r="AX806" s="155"/>
      <c r="AY806" s="155"/>
      <c r="AZ806" s="156"/>
      <c r="BA806" s="156"/>
      <c r="BB806" s="155"/>
      <c r="BC806" s="155"/>
      <c r="BD806" s="155"/>
      <c r="BE806" s="155"/>
      <c r="BF806" s="155"/>
      <c r="BG806" s="158"/>
      <c r="BH806" s="158"/>
      <c r="BI806" s="155"/>
      <c r="BJ806" s="155"/>
      <c r="BK806" s="159"/>
      <c r="BL806" s="156"/>
      <c r="BM806" s="156"/>
      <c r="BN806" s="156"/>
      <c r="BO806" s="156"/>
      <c r="BP806" s="160"/>
      <c r="BQ806" s="160"/>
      <c r="BR806" s="160"/>
      <c r="BS806" s="160"/>
    </row>
    <row r="807" spans="1:71" x14ac:dyDescent="0.25">
      <c r="A807" s="154"/>
      <c r="B807" s="155"/>
      <c r="C807" s="155"/>
      <c r="D807" s="155"/>
      <c r="E807" s="156"/>
      <c r="F807" s="156"/>
      <c r="G807" s="155"/>
      <c r="H807" s="155"/>
      <c r="I807" s="155"/>
      <c r="J807" s="157"/>
      <c r="K807" s="157"/>
      <c r="L807" s="155"/>
      <c r="M807" s="155"/>
      <c r="N807" s="155"/>
      <c r="O807" s="156"/>
      <c r="P807" s="156"/>
      <c r="Q807" s="155"/>
      <c r="R807" s="155"/>
      <c r="S807" s="155"/>
      <c r="T807" s="156"/>
      <c r="U807" s="156"/>
      <c r="V807" s="155"/>
      <c r="W807" s="155"/>
      <c r="X807" s="155"/>
      <c r="Y807" s="155"/>
      <c r="Z807" s="155"/>
      <c r="AA807" s="156"/>
      <c r="AB807" s="156"/>
      <c r="AC807" s="155"/>
      <c r="AD807" s="155"/>
      <c r="AE807" s="155"/>
      <c r="AF807" s="156"/>
      <c r="AG807" s="156"/>
      <c r="AH807" s="155"/>
      <c r="AI807" s="155"/>
      <c r="AJ807" s="155"/>
      <c r="AK807" s="156"/>
      <c r="AL807" s="156"/>
      <c r="AM807" s="155"/>
      <c r="AN807" s="155"/>
      <c r="AO807" s="155"/>
      <c r="AP807" s="156"/>
      <c r="AQ807" s="156"/>
      <c r="AR807" s="155"/>
      <c r="AS807" s="155"/>
      <c r="AT807" s="155"/>
      <c r="AU807" s="156"/>
      <c r="AV807" s="156"/>
      <c r="AW807" s="155"/>
      <c r="AX807" s="155"/>
      <c r="AY807" s="155"/>
      <c r="AZ807" s="156"/>
      <c r="BA807" s="156"/>
      <c r="BB807" s="155"/>
      <c r="BC807" s="155"/>
      <c r="BD807" s="155"/>
      <c r="BE807" s="155"/>
      <c r="BF807" s="155"/>
      <c r="BG807" s="158"/>
      <c r="BH807" s="158"/>
      <c r="BI807" s="155"/>
      <c r="BJ807" s="155"/>
      <c r="BK807" s="159"/>
      <c r="BL807" s="156"/>
      <c r="BM807" s="156"/>
      <c r="BN807" s="156"/>
      <c r="BO807" s="156"/>
      <c r="BP807" s="160"/>
      <c r="BQ807" s="160"/>
      <c r="BR807" s="160"/>
      <c r="BS807" s="160"/>
    </row>
    <row r="808" spans="1:71" x14ac:dyDescent="0.25">
      <c r="A808" s="154"/>
      <c r="B808" s="155"/>
      <c r="C808" s="155"/>
      <c r="D808" s="155"/>
      <c r="E808" s="156"/>
      <c r="F808" s="156"/>
      <c r="G808" s="155"/>
      <c r="H808" s="155"/>
      <c r="I808" s="155"/>
      <c r="J808" s="157"/>
      <c r="K808" s="157"/>
      <c r="L808" s="155"/>
      <c r="M808" s="155"/>
      <c r="N808" s="155"/>
      <c r="O808" s="156"/>
      <c r="P808" s="156"/>
      <c r="Q808" s="155"/>
      <c r="R808" s="155"/>
      <c r="S808" s="155"/>
      <c r="T808" s="156"/>
      <c r="U808" s="156"/>
      <c r="V808" s="155"/>
      <c r="W808" s="155"/>
      <c r="X808" s="155"/>
      <c r="Y808" s="155"/>
      <c r="Z808" s="155"/>
      <c r="AA808" s="156"/>
      <c r="AB808" s="156"/>
      <c r="AC808" s="155"/>
      <c r="AD808" s="155"/>
      <c r="AE808" s="155"/>
      <c r="AF808" s="156"/>
      <c r="AG808" s="156"/>
      <c r="AH808" s="155"/>
      <c r="AI808" s="155"/>
      <c r="AJ808" s="155"/>
      <c r="AK808" s="156"/>
      <c r="AL808" s="156"/>
      <c r="AM808" s="155"/>
      <c r="AN808" s="155"/>
      <c r="AO808" s="155"/>
      <c r="AP808" s="156"/>
      <c r="AQ808" s="156"/>
      <c r="AR808" s="155"/>
      <c r="AS808" s="155"/>
      <c r="AT808" s="155"/>
      <c r="AU808" s="156"/>
      <c r="AV808" s="156"/>
      <c r="AW808" s="155"/>
      <c r="AX808" s="155"/>
      <c r="AY808" s="155"/>
      <c r="AZ808" s="156"/>
      <c r="BA808" s="156"/>
      <c r="BB808" s="155"/>
      <c r="BC808" s="155"/>
      <c r="BD808" s="155"/>
      <c r="BE808" s="155"/>
      <c r="BF808" s="155"/>
      <c r="BG808" s="158"/>
      <c r="BH808" s="158"/>
      <c r="BI808" s="155"/>
      <c r="BJ808" s="155"/>
      <c r="BK808" s="159"/>
      <c r="BL808" s="156"/>
      <c r="BM808" s="156"/>
      <c r="BN808" s="156"/>
      <c r="BO808" s="156"/>
      <c r="BP808" s="160"/>
      <c r="BQ808" s="160"/>
      <c r="BR808" s="160"/>
      <c r="BS808" s="160"/>
    </row>
    <row r="809" spans="1:71" x14ac:dyDescent="0.25">
      <c r="A809" s="154"/>
      <c r="B809" s="155"/>
      <c r="C809" s="155"/>
      <c r="D809" s="155"/>
      <c r="E809" s="156"/>
      <c r="F809" s="156"/>
      <c r="G809" s="155"/>
      <c r="H809" s="155"/>
      <c r="I809" s="155"/>
      <c r="J809" s="157"/>
      <c r="K809" s="157"/>
      <c r="L809" s="155"/>
      <c r="M809" s="155"/>
      <c r="N809" s="155"/>
      <c r="O809" s="156"/>
      <c r="P809" s="156"/>
      <c r="Q809" s="155"/>
      <c r="R809" s="155"/>
      <c r="S809" s="155"/>
      <c r="T809" s="156"/>
      <c r="U809" s="156"/>
      <c r="V809" s="155"/>
      <c r="W809" s="155"/>
      <c r="X809" s="155"/>
      <c r="Y809" s="155"/>
      <c r="Z809" s="155"/>
      <c r="AA809" s="156"/>
      <c r="AB809" s="156"/>
      <c r="AC809" s="155"/>
      <c r="AD809" s="155"/>
      <c r="AE809" s="155"/>
      <c r="AF809" s="156"/>
      <c r="AG809" s="156"/>
      <c r="AH809" s="155"/>
      <c r="AI809" s="155"/>
      <c r="AJ809" s="155"/>
      <c r="AK809" s="156"/>
      <c r="AL809" s="156"/>
      <c r="AM809" s="155"/>
      <c r="AN809" s="155"/>
      <c r="AO809" s="155"/>
      <c r="AP809" s="156"/>
      <c r="AQ809" s="156"/>
      <c r="AR809" s="155"/>
      <c r="AS809" s="155"/>
      <c r="AT809" s="155"/>
      <c r="AU809" s="156"/>
      <c r="AV809" s="156"/>
      <c r="AW809" s="155"/>
      <c r="AX809" s="155"/>
      <c r="AY809" s="155"/>
      <c r="AZ809" s="156"/>
      <c r="BA809" s="156"/>
      <c r="BB809" s="155"/>
      <c r="BC809" s="155"/>
      <c r="BD809" s="155"/>
      <c r="BE809" s="155"/>
      <c r="BF809" s="155"/>
      <c r="BG809" s="158"/>
      <c r="BH809" s="158"/>
      <c r="BI809" s="155"/>
      <c r="BJ809" s="155"/>
      <c r="BK809" s="159"/>
      <c r="BL809" s="156"/>
      <c r="BM809" s="156"/>
      <c r="BN809" s="156"/>
      <c r="BO809" s="156"/>
      <c r="BP809" s="160"/>
      <c r="BQ809" s="160"/>
      <c r="BR809" s="160"/>
      <c r="BS809" s="160"/>
    </row>
    <row r="810" spans="1:71" x14ac:dyDescent="0.25">
      <c r="A810" s="154"/>
      <c r="B810" s="155"/>
      <c r="C810" s="155"/>
      <c r="D810" s="155"/>
      <c r="E810" s="156"/>
      <c r="F810" s="156"/>
      <c r="G810" s="155"/>
      <c r="H810" s="155"/>
      <c r="I810" s="155"/>
      <c r="J810" s="157"/>
      <c r="K810" s="157"/>
      <c r="L810" s="155"/>
      <c r="M810" s="155"/>
      <c r="N810" s="155"/>
      <c r="O810" s="156"/>
      <c r="P810" s="156"/>
      <c r="Q810" s="155"/>
      <c r="R810" s="155"/>
      <c r="S810" s="155"/>
      <c r="T810" s="156"/>
      <c r="U810" s="156"/>
      <c r="V810" s="155"/>
      <c r="W810" s="155"/>
      <c r="X810" s="155"/>
      <c r="Y810" s="155"/>
      <c r="Z810" s="155"/>
      <c r="AA810" s="156"/>
      <c r="AB810" s="156"/>
      <c r="AC810" s="155"/>
      <c r="AD810" s="155"/>
      <c r="AE810" s="155"/>
      <c r="AF810" s="156"/>
      <c r="AG810" s="156"/>
      <c r="AH810" s="155"/>
      <c r="AI810" s="155"/>
      <c r="AJ810" s="155"/>
      <c r="AK810" s="156"/>
      <c r="AL810" s="156"/>
      <c r="AM810" s="155"/>
      <c r="AN810" s="155"/>
      <c r="AO810" s="155"/>
      <c r="AP810" s="156"/>
      <c r="AQ810" s="156"/>
      <c r="AR810" s="155"/>
      <c r="AS810" s="155"/>
      <c r="AT810" s="155"/>
      <c r="AU810" s="156"/>
      <c r="AV810" s="156"/>
      <c r="AW810" s="155"/>
      <c r="AX810" s="155"/>
      <c r="AY810" s="155"/>
      <c r="AZ810" s="156"/>
      <c r="BA810" s="156"/>
      <c r="BB810" s="155"/>
      <c r="BC810" s="155"/>
      <c r="BD810" s="155"/>
      <c r="BE810" s="155"/>
      <c r="BF810" s="155"/>
      <c r="BG810" s="158"/>
      <c r="BH810" s="158"/>
      <c r="BI810" s="155"/>
      <c r="BJ810" s="155"/>
      <c r="BK810" s="159"/>
      <c r="BL810" s="156"/>
      <c r="BM810" s="156"/>
      <c r="BN810" s="156"/>
      <c r="BO810" s="156"/>
      <c r="BP810" s="160"/>
      <c r="BQ810" s="160"/>
      <c r="BR810" s="160"/>
      <c r="BS810" s="160"/>
    </row>
    <row r="811" spans="1:71" x14ac:dyDescent="0.25">
      <c r="A811" s="154"/>
      <c r="B811" s="155"/>
      <c r="C811" s="155"/>
      <c r="D811" s="155"/>
      <c r="E811" s="156"/>
      <c r="F811" s="156"/>
      <c r="G811" s="155"/>
      <c r="H811" s="155"/>
      <c r="I811" s="155"/>
      <c r="J811" s="157"/>
      <c r="K811" s="157"/>
      <c r="L811" s="155"/>
      <c r="M811" s="155"/>
      <c r="N811" s="155"/>
      <c r="O811" s="156"/>
      <c r="P811" s="156"/>
      <c r="Q811" s="155"/>
      <c r="R811" s="155"/>
      <c r="S811" s="155"/>
      <c r="T811" s="156"/>
      <c r="U811" s="156"/>
      <c r="V811" s="155"/>
      <c r="W811" s="155"/>
      <c r="X811" s="155"/>
      <c r="Y811" s="155"/>
      <c r="Z811" s="155"/>
      <c r="AA811" s="156"/>
      <c r="AB811" s="156"/>
      <c r="AC811" s="155"/>
      <c r="AD811" s="155"/>
      <c r="AE811" s="155"/>
      <c r="AF811" s="156"/>
      <c r="AG811" s="156"/>
      <c r="AH811" s="155"/>
      <c r="AI811" s="155"/>
      <c r="AJ811" s="155"/>
      <c r="AK811" s="156"/>
      <c r="AL811" s="156"/>
      <c r="AM811" s="155"/>
      <c r="AN811" s="155"/>
      <c r="AO811" s="155"/>
      <c r="AP811" s="156"/>
      <c r="AQ811" s="156"/>
      <c r="AR811" s="155"/>
      <c r="AS811" s="155"/>
      <c r="AT811" s="155"/>
      <c r="AU811" s="156"/>
      <c r="AV811" s="156"/>
      <c r="AW811" s="155"/>
      <c r="AX811" s="155"/>
      <c r="AY811" s="155"/>
      <c r="AZ811" s="156"/>
      <c r="BA811" s="156"/>
      <c r="BB811" s="155"/>
      <c r="BC811" s="155"/>
      <c r="BD811" s="155"/>
      <c r="BE811" s="155"/>
      <c r="BF811" s="155"/>
      <c r="BG811" s="158"/>
      <c r="BH811" s="158"/>
      <c r="BI811" s="155"/>
      <c r="BJ811" s="155"/>
      <c r="BK811" s="159"/>
      <c r="BL811" s="156"/>
      <c r="BM811" s="156"/>
      <c r="BN811" s="156"/>
      <c r="BO811" s="156"/>
      <c r="BP811" s="160"/>
      <c r="BQ811" s="160"/>
      <c r="BR811" s="160"/>
      <c r="BS811" s="160"/>
    </row>
    <row r="812" spans="1:71" x14ac:dyDescent="0.25">
      <c r="A812" s="154"/>
      <c r="B812" s="155"/>
      <c r="C812" s="155"/>
      <c r="D812" s="155"/>
      <c r="E812" s="156"/>
      <c r="F812" s="156"/>
      <c r="G812" s="155"/>
      <c r="H812" s="155"/>
      <c r="I812" s="155"/>
      <c r="J812" s="157"/>
      <c r="K812" s="157"/>
      <c r="L812" s="155"/>
      <c r="M812" s="155"/>
      <c r="N812" s="155"/>
      <c r="O812" s="156"/>
      <c r="P812" s="156"/>
      <c r="Q812" s="155"/>
      <c r="R812" s="155"/>
      <c r="S812" s="155"/>
      <c r="T812" s="156"/>
      <c r="U812" s="156"/>
      <c r="V812" s="155"/>
      <c r="W812" s="155"/>
      <c r="X812" s="155"/>
      <c r="Y812" s="155"/>
      <c r="Z812" s="155"/>
      <c r="AA812" s="156"/>
      <c r="AB812" s="156"/>
      <c r="AC812" s="155"/>
      <c r="AD812" s="155"/>
      <c r="AE812" s="155"/>
      <c r="AF812" s="156"/>
      <c r="AG812" s="156"/>
      <c r="AH812" s="155"/>
      <c r="AI812" s="155"/>
      <c r="AJ812" s="155"/>
      <c r="AK812" s="156"/>
      <c r="AL812" s="156"/>
      <c r="AM812" s="155"/>
      <c r="AN812" s="155"/>
      <c r="AO812" s="155"/>
      <c r="AP812" s="156"/>
      <c r="AQ812" s="156"/>
      <c r="AR812" s="155"/>
      <c r="AS812" s="155"/>
      <c r="AT812" s="155"/>
      <c r="AU812" s="156"/>
      <c r="AV812" s="156"/>
      <c r="AW812" s="155"/>
      <c r="AX812" s="155"/>
      <c r="AY812" s="155"/>
      <c r="AZ812" s="156"/>
      <c r="BA812" s="156"/>
      <c r="BB812" s="155"/>
      <c r="BC812" s="155"/>
      <c r="BD812" s="155"/>
      <c r="BE812" s="155"/>
      <c r="BF812" s="155"/>
      <c r="BG812" s="158"/>
      <c r="BH812" s="158"/>
      <c r="BI812" s="155"/>
      <c r="BJ812" s="155"/>
      <c r="BK812" s="159"/>
      <c r="BL812" s="156"/>
      <c r="BM812" s="156"/>
      <c r="BN812" s="156"/>
      <c r="BO812" s="156"/>
      <c r="BP812" s="160"/>
      <c r="BQ812" s="160"/>
      <c r="BR812" s="160"/>
      <c r="BS812" s="160"/>
    </row>
    <row r="813" spans="1:71" x14ac:dyDescent="0.25">
      <c r="A813" s="154"/>
      <c r="B813" s="155"/>
      <c r="C813" s="155"/>
      <c r="D813" s="155"/>
      <c r="E813" s="156"/>
      <c r="F813" s="156"/>
      <c r="G813" s="155"/>
      <c r="H813" s="155"/>
      <c r="I813" s="155"/>
      <c r="J813" s="157"/>
      <c r="K813" s="157"/>
      <c r="L813" s="155"/>
      <c r="M813" s="155"/>
      <c r="N813" s="155"/>
      <c r="O813" s="156"/>
      <c r="P813" s="156"/>
      <c r="Q813" s="155"/>
      <c r="R813" s="155"/>
      <c r="S813" s="155"/>
      <c r="T813" s="156"/>
      <c r="U813" s="156"/>
      <c r="V813" s="155"/>
      <c r="W813" s="155"/>
      <c r="X813" s="155"/>
      <c r="Y813" s="155"/>
      <c r="Z813" s="155"/>
      <c r="AA813" s="156"/>
      <c r="AB813" s="156"/>
      <c r="AC813" s="155"/>
      <c r="AD813" s="155"/>
      <c r="AE813" s="155"/>
      <c r="AF813" s="156"/>
      <c r="AG813" s="156"/>
      <c r="AH813" s="155"/>
      <c r="AI813" s="155"/>
      <c r="AJ813" s="155"/>
      <c r="AK813" s="156"/>
      <c r="AL813" s="156"/>
      <c r="AM813" s="155"/>
      <c r="AN813" s="155"/>
      <c r="AO813" s="155"/>
      <c r="AP813" s="156"/>
      <c r="AQ813" s="156"/>
      <c r="AR813" s="155"/>
      <c r="AS813" s="155"/>
      <c r="AT813" s="155"/>
      <c r="AU813" s="156"/>
      <c r="AV813" s="156"/>
      <c r="AW813" s="155"/>
      <c r="AX813" s="155"/>
      <c r="AY813" s="155"/>
      <c r="AZ813" s="156"/>
      <c r="BA813" s="156"/>
      <c r="BB813" s="155"/>
      <c r="BC813" s="155"/>
      <c r="BD813" s="155"/>
      <c r="BE813" s="155"/>
      <c r="BF813" s="155"/>
      <c r="BG813" s="158"/>
      <c r="BH813" s="158"/>
      <c r="BI813" s="155"/>
      <c r="BJ813" s="155"/>
      <c r="BK813" s="159"/>
      <c r="BL813" s="156"/>
      <c r="BM813" s="156"/>
      <c r="BN813" s="156"/>
      <c r="BO813" s="156"/>
      <c r="BP813" s="160"/>
      <c r="BQ813" s="160"/>
      <c r="BR813" s="160"/>
      <c r="BS813" s="160"/>
    </row>
    <row r="814" spans="1:71" x14ac:dyDescent="0.25">
      <c r="A814" s="154"/>
      <c r="B814" s="155"/>
      <c r="C814" s="155"/>
      <c r="D814" s="155"/>
      <c r="E814" s="156"/>
      <c r="F814" s="156"/>
      <c r="G814" s="155"/>
      <c r="H814" s="155"/>
      <c r="I814" s="155"/>
      <c r="J814" s="157"/>
      <c r="K814" s="157"/>
      <c r="L814" s="155"/>
      <c r="M814" s="155"/>
      <c r="N814" s="155"/>
      <c r="O814" s="156"/>
      <c r="P814" s="156"/>
      <c r="Q814" s="155"/>
      <c r="R814" s="155"/>
      <c r="S814" s="155"/>
      <c r="T814" s="156"/>
      <c r="U814" s="156"/>
      <c r="V814" s="155"/>
      <c r="W814" s="155"/>
      <c r="X814" s="155"/>
      <c r="Y814" s="155"/>
      <c r="Z814" s="155"/>
      <c r="AA814" s="156"/>
      <c r="AB814" s="156"/>
      <c r="AC814" s="155"/>
      <c r="AD814" s="155"/>
      <c r="AE814" s="155"/>
      <c r="AF814" s="156"/>
      <c r="AG814" s="156"/>
      <c r="AH814" s="155"/>
      <c r="AI814" s="155"/>
      <c r="AJ814" s="155"/>
      <c r="AK814" s="156"/>
      <c r="AL814" s="156"/>
      <c r="AM814" s="155"/>
      <c r="AN814" s="155"/>
      <c r="AO814" s="155"/>
      <c r="AP814" s="156"/>
      <c r="AQ814" s="156"/>
      <c r="AR814" s="155"/>
      <c r="AS814" s="155"/>
      <c r="AT814" s="155"/>
      <c r="AU814" s="156"/>
      <c r="AV814" s="156"/>
      <c r="AW814" s="155"/>
      <c r="AX814" s="155"/>
      <c r="AY814" s="155"/>
      <c r="AZ814" s="156"/>
      <c r="BA814" s="156"/>
      <c r="BB814" s="155"/>
      <c r="BC814" s="155"/>
      <c r="BD814" s="155"/>
      <c r="BE814" s="155"/>
      <c r="BF814" s="155"/>
      <c r="BG814" s="158"/>
      <c r="BH814" s="158"/>
      <c r="BI814" s="155"/>
      <c r="BJ814" s="155"/>
      <c r="BK814" s="159"/>
      <c r="BL814" s="156"/>
      <c r="BM814" s="156"/>
      <c r="BN814" s="156"/>
      <c r="BO814" s="156"/>
      <c r="BP814" s="160"/>
      <c r="BQ814" s="160"/>
      <c r="BR814" s="160"/>
      <c r="BS814" s="160"/>
    </row>
    <row r="815" spans="1:71" x14ac:dyDescent="0.25">
      <c r="A815" s="154"/>
      <c r="B815" s="155"/>
      <c r="C815" s="155"/>
      <c r="D815" s="155"/>
      <c r="E815" s="156"/>
      <c r="F815" s="156"/>
      <c r="G815" s="155"/>
      <c r="H815" s="155"/>
      <c r="I815" s="155"/>
      <c r="J815" s="157"/>
      <c r="K815" s="157"/>
      <c r="L815" s="155"/>
      <c r="M815" s="155"/>
      <c r="N815" s="155"/>
      <c r="O815" s="156"/>
      <c r="P815" s="156"/>
      <c r="Q815" s="155"/>
      <c r="R815" s="155"/>
      <c r="S815" s="155"/>
      <c r="T815" s="156"/>
      <c r="U815" s="156"/>
      <c r="V815" s="155"/>
      <c r="W815" s="155"/>
      <c r="X815" s="155"/>
      <c r="Y815" s="155"/>
      <c r="Z815" s="155"/>
      <c r="AA815" s="156"/>
      <c r="AB815" s="156"/>
      <c r="AC815" s="155"/>
      <c r="AD815" s="155"/>
      <c r="AE815" s="155"/>
      <c r="AF815" s="156"/>
      <c r="AG815" s="156"/>
      <c r="AH815" s="155"/>
      <c r="AI815" s="155"/>
      <c r="AJ815" s="155"/>
      <c r="AK815" s="156"/>
      <c r="AL815" s="156"/>
      <c r="AM815" s="155"/>
      <c r="AN815" s="155"/>
      <c r="AO815" s="155"/>
      <c r="AP815" s="156"/>
      <c r="AQ815" s="156"/>
      <c r="AR815" s="155"/>
      <c r="AS815" s="155"/>
      <c r="AT815" s="155"/>
      <c r="AU815" s="156"/>
      <c r="AV815" s="156"/>
      <c r="AW815" s="155"/>
      <c r="AX815" s="155"/>
      <c r="AY815" s="155"/>
      <c r="AZ815" s="156"/>
      <c r="BA815" s="156"/>
      <c r="BB815" s="155"/>
      <c r="BC815" s="155"/>
      <c r="BD815" s="155"/>
      <c r="BE815" s="155"/>
      <c r="BF815" s="155"/>
      <c r="BG815" s="158"/>
      <c r="BH815" s="158"/>
      <c r="BI815" s="155"/>
      <c r="BJ815" s="155"/>
      <c r="BK815" s="159"/>
      <c r="BL815" s="156"/>
      <c r="BM815" s="156"/>
      <c r="BN815" s="156"/>
      <c r="BO815" s="156"/>
      <c r="BP815" s="160"/>
      <c r="BQ815" s="160"/>
      <c r="BR815" s="160"/>
      <c r="BS815" s="160"/>
    </row>
    <row r="816" spans="1:71" x14ac:dyDescent="0.25">
      <c r="A816" s="154"/>
      <c r="B816" s="155"/>
      <c r="C816" s="155"/>
      <c r="D816" s="155"/>
      <c r="E816" s="156"/>
      <c r="F816" s="156"/>
      <c r="G816" s="155"/>
      <c r="H816" s="155"/>
      <c r="I816" s="155"/>
      <c r="J816" s="157"/>
      <c r="K816" s="157"/>
      <c r="L816" s="155"/>
      <c r="M816" s="155"/>
      <c r="N816" s="155"/>
      <c r="O816" s="156"/>
      <c r="P816" s="156"/>
      <c r="Q816" s="155"/>
      <c r="R816" s="155"/>
      <c r="S816" s="155"/>
      <c r="T816" s="156"/>
      <c r="U816" s="156"/>
      <c r="V816" s="155"/>
      <c r="W816" s="155"/>
      <c r="X816" s="155"/>
      <c r="Y816" s="155"/>
      <c r="Z816" s="155"/>
      <c r="AA816" s="156"/>
      <c r="AB816" s="156"/>
      <c r="AC816" s="155"/>
      <c r="AD816" s="155"/>
      <c r="AE816" s="155"/>
      <c r="AF816" s="156"/>
      <c r="AG816" s="156"/>
      <c r="AH816" s="155"/>
      <c r="AI816" s="155"/>
      <c r="AJ816" s="155"/>
      <c r="AK816" s="156"/>
      <c r="AL816" s="156"/>
      <c r="AM816" s="155"/>
      <c r="AN816" s="155"/>
      <c r="AO816" s="155"/>
      <c r="AP816" s="156"/>
      <c r="AQ816" s="156"/>
      <c r="AR816" s="155"/>
      <c r="AS816" s="155"/>
      <c r="AT816" s="155"/>
      <c r="AU816" s="156"/>
      <c r="AV816" s="156"/>
      <c r="AW816" s="155"/>
      <c r="AX816" s="155"/>
      <c r="AY816" s="155"/>
      <c r="AZ816" s="156"/>
      <c r="BA816" s="156"/>
      <c r="BB816" s="155"/>
      <c r="BC816" s="155"/>
      <c r="BD816" s="155"/>
      <c r="BE816" s="155"/>
      <c r="BF816" s="155"/>
      <c r="BG816" s="158"/>
      <c r="BH816" s="158"/>
      <c r="BI816" s="155"/>
      <c r="BJ816" s="155"/>
      <c r="BK816" s="159"/>
      <c r="BL816" s="156"/>
      <c r="BM816" s="156"/>
      <c r="BN816" s="156"/>
      <c r="BO816" s="156"/>
      <c r="BP816" s="160"/>
      <c r="BQ816" s="160"/>
      <c r="BR816" s="160"/>
      <c r="BS816" s="160"/>
    </row>
    <row r="817" spans="1:71" x14ac:dyDescent="0.25">
      <c r="A817" s="154"/>
      <c r="B817" s="155"/>
      <c r="C817" s="155"/>
      <c r="D817" s="155"/>
      <c r="E817" s="156"/>
      <c r="F817" s="156"/>
      <c r="G817" s="155"/>
      <c r="H817" s="155"/>
      <c r="I817" s="155"/>
      <c r="J817" s="157"/>
      <c r="K817" s="157"/>
      <c r="L817" s="155"/>
      <c r="M817" s="155"/>
      <c r="N817" s="155"/>
      <c r="O817" s="156"/>
      <c r="P817" s="156"/>
      <c r="Q817" s="155"/>
      <c r="R817" s="155"/>
      <c r="S817" s="155"/>
      <c r="T817" s="156"/>
      <c r="U817" s="156"/>
      <c r="V817" s="155"/>
      <c r="W817" s="155"/>
      <c r="X817" s="155"/>
      <c r="Y817" s="155"/>
      <c r="Z817" s="155"/>
      <c r="AA817" s="156"/>
      <c r="AB817" s="156"/>
      <c r="AC817" s="155"/>
      <c r="AD817" s="155"/>
      <c r="AE817" s="155"/>
      <c r="AF817" s="156"/>
      <c r="AG817" s="156"/>
      <c r="AH817" s="155"/>
      <c r="AI817" s="155"/>
      <c r="AJ817" s="155"/>
      <c r="AK817" s="156"/>
      <c r="AL817" s="156"/>
      <c r="AM817" s="155"/>
      <c r="AN817" s="155"/>
      <c r="AO817" s="155"/>
      <c r="AP817" s="156"/>
      <c r="AQ817" s="156"/>
      <c r="AR817" s="155"/>
      <c r="AS817" s="155"/>
      <c r="AT817" s="155"/>
      <c r="AU817" s="156"/>
      <c r="AV817" s="156"/>
      <c r="AW817" s="155"/>
      <c r="AX817" s="155"/>
      <c r="AY817" s="155"/>
      <c r="AZ817" s="156"/>
      <c r="BA817" s="156"/>
      <c r="BB817" s="155"/>
      <c r="BC817" s="155"/>
      <c r="BD817" s="155"/>
      <c r="BE817" s="155"/>
      <c r="BF817" s="155"/>
      <c r="BG817" s="158"/>
      <c r="BH817" s="158"/>
      <c r="BI817" s="155"/>
      <c r="BJ817" s="155"/>
      <c r="BK817" s="159"/>
      <c r="BL817" s="156"/>
      <c r="BM817" s="156"/>
      <c r="BN817" s="156"/>
      <c r="BO817" s="156"/>
      <c r="BP817" s="160"/>
      <c r="BQ817" s="160"/>
      <c r="BR817" s="160"/>
      <c r="BS817" s="160"/>
    </row>
    <row r="818" spans="1:71" x14ac:dyDescent="0.25">
      <c r="A818" s="154"/>
      <c r="B818" s="155"/>
      <c r="C818" s="155"/>
      <c r="D818" s="155"/>
      <c r="E818" s="156"/>
      <c r="F818" s="156"/>
      <c r="G818" s="155"/>
      <c r="H818" s="155"/>
      <c r="I818" s="155"/>
      <c r="J818" s="157"/>
      <c r="K818" s="157"/>
      <c r="L818" s="155"/>
      <c r="M818" s="155"/>
      <c r="N818" s="155"/>
      <c r="O818" s="156"/>
      <c r="P818" s="156"/>
      <c r="Q818" s="155"/>
      <c r="R818" s="155"/>
      <c r="S818" s="155"/>
      <c r="T818" s="156"/>
      <c r="U818" s="156"/>
      <c r="V818" s="155"/>
      <c r="W818" s="155"/>
      <c r="X818" s="155"/>
      <c r="Y818" s="155"/>
      <c r="Z818" s="155"/>
      <c r="AA818" s="156"/>
      <c r="AB818" s="156"/>
      <c r="AC818" s="155"/>
      <c r="AD818" s="155"/>
      <c r="AE818" s="155"/>
      <c r="AF818" s="156"/>
      <c r="AG818" s="156"/>
      <c r="AH818" s="155"/>
      <c r="AI818" s="155"/>
      <c r="AJ818" s="155"/>
      <c r="AK818" s="156"/>
      <c r="AL818" s="156"/>
      <c r="AM818" s="155"/>
      <c r="AN818" s="155"/>
      <c r="AO818" s="155"/>
      <c r="AP818" s="156"/>
      <c r="AQ818" s="156"/>
      <c r="AR818" s="155"/>
      <c r="AS818" s="155"/>
      <c r="AT818" s="155"/>
      <c r="AU818" s="156"/>
      <c r="AV818" s="156"/>
      <c r="AW818" s="155"/>
      <c r="AX818" s="155"/>
      <c r="AY818" s="155"/>
      <c r="AZ818" s="156"/>
      <c r="BA818" s="156"/>
      <c r="BB818" s="155"/>
      <c r="BC818" s="155"/>
      <c r="BD818" s="155"/>
      <c r="BE818" s="155"/>
      <c r="BF818" s="155"/>
      <c r="BG818" s="158"/>
      <c r="BH818" s="158"/>
      <c r="BI818" s="155"/>
      <c r="BJ818" s="155"/>
      <c r="BK818" s="159"/>
      <c r="BL818" s="156"/>
      <c r="BM818" s="156"/>
      <c r="BN818" s="156"/>
      <c r="BO818" s="156"/>
      <c r="BP818" s="160"/>
      <c r="BQ818" s="160"/>
      <c r="BR818" s="160"/>
      <c r="BS818" s="160"/>
    </row>
    <row r="819" spans="1:71" x14ac:dyDescent="0.25">
      <c r="A819" s="154"/>
      <c r="B819" s="155"/>
      <c r="C819" s="155"/>
      <c r="D819" s="155"/>
      <c r="E819" s="156"/>
      <c r="F819" s="156"/>
      <c r="G819" s="155"/>
      <c r="H819" s="155"/>
      <c r="I819" s="155"/>
      <c r="J819" s="157"/>
      <c r="K819" s="157"/>
      <c r="L819" s="155"/>
      <c r="M819" s="155"/>
      <c r="N819" s="155"/>
      <c r="O819" s="156"/>
      <c r="P819" s="156"/>
      <c r="Q819" s="155"/>
      <c r="R819" s="155"/>
      <c r="S819" s="155"/>
      <c r="T819" s="156"/>
      <c r="U819" s="156"/>
      <c r="V819" s="155"/>
      <c r="W819" s="155"/>
      <c r="X819" s="155"/>
      <c r="Y819" s="155"/>
      <c r="Z819" s="155"/>
      <c r="AA819" s="156"/>
      <c r="AB819" s="156"/>
      <c r="AC819" s="155"/>
      <c r="AD819" s="155"/>
      <c r="AE819" s="155"/>
      <c r="AF819" s="156"/>
      <c r="AG819" s="156"/>
      <c r="AH819" s="155"/>
      <c r="AI819" s="155"/>
      <c r="AJ819" s="155"/>
      <c r="AK819" s="156"/>
      <c r="AL819" s="156"/>
      <c r="AM819" s="155"/>
      <c r="AN819" s="155"/>
      <c r="AO819" s="155"/>
      <c r="AP819" s="156"/>
      <c r="AQ819" s="156"/>
      <c r="AR819" s="155"/>
      <c r="AS819" s="155"/>
      <c r="AT819" s="155"/>
      <c r="AU819" s="156"/>
      <c r="AV819" s="156"/>
      <c r="AW819" s="155"/>
      <c r="AX819" s="155"/>
      <c r="AY819" s="155"/>
      <c r="AZ819" s="156"/>
      <c r="BA819" s="156"/>
      <c r="BB819" s="155"/>
      <c r="BC819" s="155"/>
      <c r="BD819" s="155"/>
      <c r="BE819" s="155"/>
      <c r="BF819" s="155"/>
      <c r="BG819" s="158"/>
      <c r="BH819" s="158"/>
      <c r="BI819" s="155"/>
      <c r="BJ819" s="155"/>
      <c r="BK819" s="159"/>
      <c r="BL819" s="156"/>
      <c r="BM819" s="156"/>
      <c r="BN819" s="156"/>
      <c r="BO819" s="156"/>
      <c r="BP819" s="160"/>
      <c r="BQ819" s="160"/>
      <c r="BR819" s="160"/>
      <c r="BS819" s="160"/>
    </row>
    <row r="820" spans="1:71" x14ac:dyDescent="0.25">
      <c r="A820" s="154"/>
      <c r="B820" s="155"/>
      <c r="C820" s="155"/>
      <c r="D820" s="155"/>
      <c r="E820" s="156"/>
      <c r="F820" s="156"/>
      <c r="G820" s="155"/>
      <c r="H820" s="155"/>
      <c r="I820" s="155"/>
      <c r="J820" s="157"/>
      <c r="K820" s="157"/>
      <c r="L820" s="155"/>
      <c r="M820" s="155"/>
      <c r="N820" s="155"/>
      <c r="O820" s="156"/>
      <c r="P820" s="156"/>
      <c r="Q820" s="155"/>
      <c r="R820" s="155"/>
      <c r="S820" s="155"/>
      <c r="T820" s="156"/>
      <c r="U820" s="156"/>
      <c r="V820" s="155"/>
      <c r="W820" s="155"/>
      <c r="X820" s="155"/>
      <c r="Y820" s="155"/>
      <c r="Z820" s="155"/>
      <c r="AA820" s="156"/>
      <c r="AB820" s="156"/>
      <c r="AC820" s="155"/>
      <c r="AD820" s="155"/>
      <c r="AE820" s="155"/>
      <c r="AF820" s="156"/>
      <c r="AG820" s="156"/>
      <c r="AH820" s="155"/>
      <c r="AI820" s="155"/>
      <c r="AJ820" s="155"/>
      <c r="AK820" s="156"/>
      <c r="AL820" s="156"/>
      <c r="AM820" s="155"/>
      <c r="AN820" s="155"/>
      <c r="AO820" s="155"/>
      <c r="AP820" s="156"/>
      <c r="AQ820" s="156"/>
      <c r="AR820" s="155"/>
      <c r="AS820" s="155"/>
      <c r="AT820" s="155"/>
      <c r="AU820" s="156"/>
      <c r="AV820" s="156"/>
      <c r="AW820" s="155"/>
      <c r="AX820" s="155"/>
      <c r="AY820" s="155"/>
      <c r="AZ820" s="156"/>
      <c r="BA820" s="156"/>
      <c r="BB820" s="155"/>
      <c r="BC820" s="155"/>
      <c r="BD820" s="155"/>
      <c r="BE820" s="155"/>
      <c r="BF820" s="155"/>
      <c r="BG820" s="158"/>
      <c r="BH820" s="158"/>
      <c r="BI820" s="155"/>
      <c r="BJ820" s="155"/>
      <c r="BK820" s="159"/>
      <c r="BL820" s="156"/>
      <c r="BM820" s="156"/>
      <c r="BN820" s="156"/>
      <c r="BO820" s="156"/>
      <c r="BP820" s="160"/>
      <c r="BQ820" s="160"/>
      <c r="BR820" s="160"/>
      <c r="BS820" s="160"/>
    </row>
    <row r="821" spans="1:71" x14ac:dyDescent="0.25">
      <c r="A821" s="154"/>
      <c r="B821" s="155"/>
      <c r="C821" s="155"/>
      <c r="D821" s="155"/>
      <c r="E821" s="156"/>
      <c r="F821" s="156"/>
      <c r="G821" s="155"/>
      <c r="H821" s="155"/>
      <c r="I821" s="155"/>
      <c r="J821" s="157"/>
      <c r="K821" s="157"/>
      <c r="L821" s="155"/>
      <c r="M821" s="155"/>
      <c r="N821" s="155"/>
      <c r="O821" s="156"/>
      <c r="P821" s="156"/>
      <c r="Q821" s="155"/>
      <c r="R821" s="155"/>
      <c r="S821" s="155"/>
      <c r="T821" s="156"/>
      <c r="U821" s="156"/>
      <c r="V821" s="155"/>
      <c r="W821" s="155"/>
      <c r="X821" s="155"/>
      <c r="Y821" s="155"/>
      <c r="Z821" s="155"/>
      <c r="AA821" s="156"/>
      <c r="AB821" s="156"/>
      <c r="AC821" s="155"/>
      <c r="AD821" s="155"/>
      <c r="AE821" s="155"/>
      <c r="AF821" s="156"/>
      <c r="AG821" s="156"/>
      <c r="AH821" s="155"/>
      <c r="AI821" s="155"/>
      <c r="AJ821" s="155"/>
      <c r="AK821" s="156"/>
      <c r="AL821" s="156"/>
      <c r="AM821" s="155"/>
      <c r="AN821" s="155"/>
      <c r="AO821" s="155"/>
      <c r="AP821" s="156"/>
      <c r="AQ821" s="156"/>
      <c r="AR821" s="155"/>
      <c r="AS821" s="155"/>
      <c r="AT821" s="155"/>
      <c r="AU821" s="156"/>
      <c r="AV821" s="156"/>
      <c r="AW821" s="155"/>
      <c r="AX821" s="155"/>
      <c r="AY821" s="155"/>
      <c r="AZ821" s="156"/>
      <c r="BA821" s="156"/>
      <c r="BB821" s="155"/>
      <c r="BC821" s="155"/>
      <c r="BD821" s="155"/>
      <c r="BE821" s="155"/>
      <c r="BF821" s="155"/>
      <c r="BG821" s="158"/>
      <c r="BH821" s="158"/>
      <c r="BI821" s="155"/>
      <c r="BJ821" s="155"/>
      <c r="BK821" s="159"/>
      <c r="BL821" s="156"/>
      <c r="BM821" s="156"/>
      <c r="BN821" s="156"/>
      <c r="BO821" s="156"/>
      <c r="BP821" s="160"/>
      <c r="BQ821" s="160"/>
      <c r="BR821" s="160"/>
      <c r="BS821" s="160"/>
    </row>
    <row r="822" spans="1:71" x14ac:dyDescent="0.25">
      <c r="A822" s="154"/>
      <c r="B822" s="155"/>
      <c r="C822" s="155"/>
      <c r="D822" s="155"/>
      <c r="E822" s="156"/>
      <c r="F822" s="156"/>
      <c r="G822" s="155"/>
      <c r="H822" s="155"/>
      <c r="I822" s="155"/>
      <c r="J822" s="157"/>
      <c r="K822" s="157"/>
      <c r="L822" s="155"/>
      <c r="M822" s="155"/>
      <c r="N822" s="155"/>
      <c r="O822" s="156"/>
      <c r="P822" s="156"/>
      <c r="Q822" s="155"/>
      <c r="R822" s="155"/>
      <c r="S822" s="155"/>
      <c r="T822" s="156"/>
      <c r="U822" s="156"/>
      <c r="V822" s="155"/>
      <c r="W822" s="155"/>
      <c r="X822" s="155"/>
      <c r="Y822" s="155"/>
      <c r="Z822" s="155"/>
      <c r="AA822" s="156"/>
      <c r="AB822" s="156"/>
      <c r="AC822" s="155"/>
      <c r="AD822" s="155"/>
      <c r="AE822" s="155"/>
      <c r="AF822" s="156"/>
      <c r="AG822" s="156"/>
      <c r="AH822" s="155"/>
      <c r="AI822" s="155"/>
      <c r="AJ822" s="155"/>
      <c r="AK822" s="156"/>
      <c r="AL822" s="156"/>
      <c r="AM822" s="155"/>
      <c r="AN822" s="155"/>
      <c r="AO822" s="155"/>
      <c r="AP822" s="156"/>
      <c r="AQ822" s="156"/>
      <c r="AR822" s="155"/>
      <c r="AS822" s="155"/>
      <c r="AT822" s="155"/>
      <c r="AU822" s="156"/>
      <c r="AV822" s="156"/>
      <c r="AW822" s="155"/>
      <c r="AX822" s="155"/>
      <c r="AY822" s="155"/>
      <c r="AZ822" s="156"/>
      <c r="BA822" s="156"/>
      <c r="BB822" s="155"/>
      <c r="BC822" s="155"/>
      <c r="BD822" s="155"/>
      <c r="BE822" s="155"/>
      <c r="BF822" s="155"/>
      <c r="BG822" s="158"/>
      <c r="BH822" s="158"/>
      <c r="BI822" s="155"/>
      <c r="BJ822" s="155"/>
      <c r="BK822" s="159"/>
      <c r="BL822" s="156"/>
      <c r="BM822" s="156"/>
      <c r="BN822" s="156"/>
      <c r="BO822" s="156"/>
      <c r="BP822" s="160"/>
      <c r="BQ822" s="160"/>
      <c r="BR822" s="160"/>
      <c r="BS822" s="160"/>
    </row>
    <row r="823" spans="1:71" x14ac:dyDescent="0.25">
      <c r="A823" s="154"/>
      <c r="B823" s="155"/>
      <c r="C823" s="155"/>
      <c r="D823" s="155"/>
      <c r="E823" s="156"/>
      <c r="F823" s="156"/>
      <c r="G823" s="155"/>
      <c r="H823" s="155"/>
      <c r="I823" s="155"/>
      <c r="J823" s="157"/>
      <c r="K823" s="157"/>
      <c r="L823" s="155"/>
      <c r="M823" s="155"/>
      <c r="N823" s="155"/>
      <c r="O823" s="156"/>
      <c r="P823" s="156"/>
      <c r="Q823" s="155"/>
      <c r="R823" s="155"/>
      <c r="S823" s="155"/>
      <c r="T823" s="156"/>
      <c r="U823" s="156"/>
      <c r="V823" s="155"/>
      <c r="W823" s="155"/>
      <c r="X823" s="155"/>
      <c r="Y823" s="155"/>
      <c r="Z823" s="155"/>
      <c r="AA823" s="156"/>
      <c r="AB823" s="156"/>
      <c r="AC823" s="155"/>
      <c r="AD823" s="155"/>
      <c r="AE823" s="155"/>
      <c r="AF823" s="156"/>
      <c r="AG823" s="156"/>
      <c r="AH823" s="155"/>
      <c r="AI823" s="155"/>
      <c r="AJ823" s="155"/>
      <c r="AK823" s="156"/>
      <c r="AL823" s="156"/>
      <c r="AM823" s="155"/>
      <c r="AN823" s="155"/>
      <c r="AO823" s="155"/>
      <c r="AP823" s="156"/>
      <c r="AQ823" s="156"/>
      <c r="AR823" s="155"/>
      <c r="AS823" s="155"/>
      <c r="AT823" s="155"/>
      <c r="AU823" s="156"/>
      <c r="AV823" s="156"/>
      <c r="AW823" s="155"/>
      <c r="AX823" s="155"/>
      <c r="AY823" s="155"/>
      <c r="AZ823" s="156"/>
      <c r="BA823" s="156"/>
      <c r="BB823" s="155"/>
      <c r="BC823" s="155"/>
      <c r="BD823" s="155"/>
      <c r="BE823" s="155"/>
      <c r="BF823" s="155"/>
      <c r="BG823" s="158"/>
      <c r="BH823" s="158"/>
      <c r="BI823" s="155"/>
      <c r="BJ823" s="155"/>
      <c r="BK823" s="159"/>
      <c r="BL823" s="156"/>
      <c r="BM823" s="156"/>
      <c r="BN823" s="156"/>
      <c r="BO823" s="156"/>
      <c r="BP823" s="160"/>
      <c r="BQ823" s="160"/>
      <c r="BR823" s="160"/>
      <c r="BS823" s="160"/>
    </row>
    <row r="824" spans="1:71" x14ac:dyDescent="0.25">
      <c r="A824" s="154"/>
      <c r="B824" s="155"/>
      <c r="C824" s="155"/>
      <c r="D824" s="155"/>
      <c r="E824" s="156"/>
      <c r="F824" s="156"/>
      <c r="G824" s="155"/>
      <c r="H824" s="155"/>
      <c r="I824" s="155"/>
      <c r="J824" s="157"/>
      <c r="K824" s="157"/>
      <c r="L824" s="155"/>
      <c r="M824" s="155"/>
      <c r="N824" s="155"/>
      <c r="O824" s="156"/>
      <c r="P824" s="156"/>
      <c r="Q824" s="155"/>
      <c r="R824" s="155"/>
      <c r="S824" s="155"/>
      <c r="T824" s="156"/>
      <c r="U824" s="156"/>
      <c r="V824" s="155"/>
      <c r="W824" s="155"/>
      <c r="X824" s="155"/>
      <c r="Y824" s="155"/>
      <c r="Z824" s="155"/>
      <c r="AA824" s="156"/>
      <c r="AB824" s="156"/>
      <c r="AC824" s="155"/>
      <c r="AD824" s="155"/>
      <c r="AE824" s="155"/>
      <c r="AF824" s="156"/>
      <c r="AG824" s="156"/>
      <c r="AH824" s="155"/>
      <c r="AI824" s="155"/>
      <c r="AJ824" s="155"/>
      <c r="AK824" s="156"/>
      <c r="AL824" s="156"/>
      <c r="AM824" s="155"/>
      <c r="AN824" s="155"/>
      <c r="AO824" s="155"/>
      <c r="AP824" s="156"/>
      <c r="AQ824" s="156"/>
      <c r="AR824" s="155"/>
      <c r="AS824" s="155"/>
      <c r="AT824" s="155"/>
      <c r="AU824" s="156"/>
      <c r="AV824" s="156"/>
      <c r="AW824" s="155"/>
      <c r="AX824" s="155"/>
      <c r="AY824" s="155"/>
      <c r="AZ824" s="156"/>
      <c r="BA824" s="156"/>
      <c r="BB824" s="155"/>
      <c r="BC824" s="155"/>
      <c r="BD824" s="155"/>
      <c r="BE824" s="155"/>
      <c r="BF824" s="155"/>
      <c r="BG824" s="158"/>
      <c r="BH824" s="158"/>
      <c r="BI824" s="155"/>
      <c r="BJ824" s="155"/>
      <c r="BK824" s="159"/>
      <c r="BL824" s="156"/>
      <c r="BM824" s="156"/>
      <c r="BN824" s="156"/>
      <c r="BO824" s="156"/>
      <c r="BP824" s="160"/>
      <c r="BQ824" s="160"/>
      <c r="BR824" s="160"/>
      <c r="BS824" s="160"/>
    </row>
    <row r="825" spans="1:71" x14ac:dyDescent="0.25">
      <c r="A825" s="154"/>
      <c r="B825" s="155"/>
      <c r="C825" s="155"/>
      <c r="D825" s="155"/>
      <c r="E825" s="156"/>
      <c r="F825" s="156"/>
      <c r="G825" s="155"/>
      <c r="H825" s="155"/>
      <c r="I825" s="155"/>
      <c r="J825" s="157"/>
      <c r="K825" s="157"/>
      <c r="L825" s="155"/>
      <c r="M825" s="155"/>
      <c r="N825" s="155"/>
      <c r="O825" s="156"/>
      <c r="P825" s="156"/>
      <c r="Q825" s="155"/>
      <c r="R825" s="155"/>
      <c r="S825" s="155"/>
      <c r="T825" s="156"/>
      <c r="U825" s="156"/>
      <c r="V825" s="155"/>
      <c r="W825" s="155"/>
      <c r="X825" s="155"/>
      <c r="Y825" s="155"/>
      <c r="Z825" s="155"/>
      <c r="AA825" s="156"/>
      <c r="AB825" s="156"/>
      <c r="AC825" s="155"/>
      <c r="AD825" s="155"/>
      <c r="AE825" s="155"/>
      <c r="AF825" s="156"/>
      <c r="AG825" s="156"/>
      <c r="AH825" s="155"/>
      <c r="AI825" s="155"/>
      <c r="AJ825" s="155"/>
      <c r="AK825" s="156"/>
      <c r="AL825" s="156"/>
      <c r="AM825" s="155"/>
      <c r="AN825" s="155"/>
      <c r="AO825" s="155"/>
      <c r="AP825" s="156"/>
      <c r="AQ825" s="156"/>
      <c r="AR825" s="155"/>
      <c r="AS825" s="155"/>
      <c r="AT825" s="155"/>
      <c r="AU825" s="156"/>
      <c r="AV825" s="156"/>
      <c r="AW825" s="155"/>
      <c r="AX825" s="155"/>
      <c r="AY825" s="155"/>
      <c r="AZ825" s="156"/>
      <c r="BA825" s="156"/>
      <c r="BB825" s="155"/>
      <c r="BC825" s="155"/>
      <c r="BD825" s="155"/>
      <c r="BE825" s="155"/>
      <c r="BF825" s="155"/>
      <c r="BG825" s="158"/>
      <c r="BH825" s="158"/>
      <c r="BI825" s="155"/>
      <c r="BJ825" s="155"/>
      <c r="BK825" s="159"/>
      <c r="BL825" s="156"/>
      <c r="BM825" s="156"/>
      <c r="BN825" s="156"/>
      <c r="BO825" s="156"/>
      <c r="BP825" s="160"/>
      <c r="BQ825" s="160"/>
      <c r="BR825" s="160"/>
      <c r="BS825" s="160"/>
    </row>
    <row r="826" spans="1:71" x14ac:dyDescent="0.25">
      <c r="A826" s="154"/>
      <c r="B826" s="155"/>
      <c r="C826" s="155"/>
      <c r="D826" s="155"/>
      <c r="E826" s="156"/>
      <c r="F826" s="156"/>
      <c r="G826" s="155"/>
      <c r="H826" s="155"/>
      <c r="I826" s="155"/>
      <c r="J826" s="157"/>
      <c r="K826" s="157"/>
      <c r="L826" s="155"/>
      <c r="M826" s="155"/>
      <c r="N826" s="155"/>
      <c r="O826" s="156"/>
      <c r="P826" s="156"/>
      <c r="Q826" s="155"/>
      <c r="R826" s="155"/>
      <c r="S826" s="155"/>
      <c r="T826" s="156"/>
      <c r="U826" s="156"/>
      <c r="V826" s="155"/>
      <c r="W826" s="155"/>
      <c r="X826" s="155"/>
      <c r="Y826" s="155"/>
      <c r="Z826" s="155"/>
      <c r="AA826" s="156"/>
      <c r="AB826" s="156"/>
      <c r="AC826" s="155"/>
      <c r="AD826" s="155"/>
      <c r="AE826" s="155"/>
      <c r="AF826" s="156"/>
      <c r="AG826" s="156"/>
      <c r="AH826" s="155"/>
      <c r="AI826" s="155"/>
      <c r="AJ826" s="155"/>
      <c r="AK826" s="156"/>
      <c r="AL826" s="156"/>
      <c r="AM826" s="155"/>
      <c r="AN826" s="155"/>
      <c r="AO826" s="155"/>
      <c r="AP826" s="156"/>
      <c r="AQ826" s="156"/>
      <c r="AR826" s="155"/>
      <c r="AS826" s="155"/>
      <c r="AT826" s="155"/>
      <c r="AU826" s="156"/>
      <c r="AV826" s="156"/>
      <c r="AW826" s="155"/>
      <c r="AX826" s="155"/>
      <c r="AY826" s="155"/>
      <c r="AZ826" s="156"/>
      <c r="BA826" s="156"/>
      <c r="BB826" s="155"/>
      <c r="BC826" s="155"/>
      <c r="BD826" s="155"/>
      <c r="BE826" s="155"/>
      <c r="BF826" s="155"/>
      <c r="BG826" s="158"/>
      <c r="BH826" s="158"/>
      <c r="BI826" s="155"/>
      <c r="BJ826" s="155"/>
      <c r="BK826" s="159"/>
      <c r="BL826" s="156"/>
      <c r="BM826" s="156"/>
      <c r="BN826" s="156"/>
      <c r="BO826" s="156"/>
      <c r="BP826" s="160"/>
      <c r="BQ826" s="160"/>
      <c r="BR826" s="160"/>
      <c r="BS826" s="160"/>
    </row>
    <row r="827" spans="1:71" x14ac:dyDescent="0.25">
      <c r="A827" s="154"/>
      <c r="B827" s="155"/>
      <c r="C827" s="155"/>
      <c r="D827" s="155"/>
      <c r="E827" s="156"/>
      <c r="F827" s="156"/>
      <c r="G827" s="155"/>
      <c r="H827" s="155"/>
      <c r="I827" s="155"/>
      <c r="J827" s="157"/>
      <c r="K827" s="157"/>
      <c r="L827" s="155"/>
      <c r="M827" s="155"/>
      <c r="N827" s="155"/>
      <c r="O827" s="156"/>
      <c r="P827" s="156"/>
      <c r="Q827" s="155"/>
      <c r="R827" s="155"/>
      <c r="S827" s="155"/>
      <c r="T827" s="156"/>
      <c r="U827" s="156"/>
      <c r="V827" s="155"/>
      <c r="W827" s="155"/>
      <c r="X827" s="155"/>
      <c r="Y827" s="155"/>
      <c r="Z827" s="155"/>
      <c r="AA827" s="156"/>
      <c r="AB827" s="156"/>
      <c r="AC827" s="155"/>
      <c r="AD827" s="155"/>
      <c r="AE827" s="155"/>
      <c r="AF827" s="156"/>
      <c r="AG827" s="156"/>
      <c r="AH827" s="155"/>
      <c r="AI827" s="155"/>
      <c r="AJ827" s="155"/>
      <c r="AK827" s="156"/>
      <c r="AL827" s="156"/>
      <c r="AM827" s="155"/>
      <c r="AN827" s="155"/>
      <c r="AO827" s="155"/>
      <c r="AP827" s="156"/>
      <c r="AQ827" s="156"/>
      <c r="AR827" s="155"/>
      <c r="AS827" s="155"/>
      <c r="AT827" s="155"/>
      <c r="AU827" s="156"/>
      <c r="AV827" s="156"/>
      <c r="AW827" s="155"/>
      <c r="AX827" s="155"/>
      <c r="AY827" s="155"/>
      <c r="AZ827" s="156"/>
      <c r="BA827" s="156"/>
      <c r="BB827" s="155"/>
      <c r="BC827" s="155"/>
      <c r="BD827" s="155"/>
      <c r="BE827" s="155"/>
      <c r="BF827" s="155"/>
      <c r="BG827" s="158"/>
      <c r="BH827" s="158"/>
      <c r="BI827" s="155"/>
      <c r="BJ827" s="155"/>
      <c r="BK827" s="159"/>
      <c r="BL827" s="156"/>
      <c r="BM827" s="156"/>
      <c r="BN827" s="156"/>
      <c r="BO827" s="156"/>
      <c r="BP827" s="160"/>
      <c r="BQ827" s="160"/>
      <c r="BR827" s="160"/>
      <c r="BS827" s="160"/>
    </row>
    <row r="828" spans="1:71" x14ac:dyDescent="0.25">
      <c r="A828" s="154"/>
      <c r="B828" s="155"/>
      <c r="C828" s="155"/>
      <c r="D828" s="155"/>
      <c r="E828" s="156"/>
      <c r="F828" s="156"/>
      <c r="G828" s="155"/>
      <c r="H828" s="155"/>
      <c r="I828" s="155"/>
      <c r="J828" s="157"/>
      <c r="K828" s="157"/>
      <c r="L828" s="155"/>
      <c r="M828" s="155"/>
      <c r="N828" s="155"/>
      <c r="O828" s="156"/>
      <c r="P828" s="156"/>
      <c r="Q828" s="155"/>
      <c r="R828" s="155"/>
      <c r="S828" s="155"/>
      <c r="T828" s="156"/>
      <c r="U828" s="156"/>
      <c r="V828" s="155"/>
      <c r="W828" s="155"/>
      <c r="X828" s="155"/>
      <c r="Y828" s="155"/>
      <c r="Z828" s="155"/>
      <c r="AA828" s="156"/>
      <c r="AB828" s="156"/>
      <c r="AC828" s="155"/>
      <c r="AD828" s="155"/>
      <c r="AE828" s="155"/>
      <c r="AF828" s="156"/>
      <c r="AG828" s="156"/>
      <c r="AH828" s="155"/>
      <c r="AI828" s="155"/>
      <c r="AJ828" s="155"/>
      <c r="AK828" s="156"/>
      <c r="AL828" s="156"/>
      <c r="AM828" s="155"/>
      <c r="AN828" s="155"/>
      <c r="AO828" s="155"/>
      <c r="AP828" s="156"/>
      <c r="AQ828" s="156"/>
      <c r="AR828" s="155"/>
      <c r="AS828" s="155"/>
      <c r="AT828" s="155"/>
      <c r="AU828" s="156"/>
      <c r="AV828" s="156"/>
      <c r="AW828" s="155"/>
      <c r="AX828" s="155"/>
      <c r="AY828" s="155"/>
      <c r="AZ828" s="156"/>
      <c r="BA828" s="156"/>
      <c r="BB828" s="155"/>
      <c r="BC828" s="155"/>
      <c r="BD828" s="155"/>
      <c r="BE828" s="155"/>
      <c r="BF828" s="155"/>
      <c r="BG828" s="158"/>
      <c r="BH828" s="158"/>
      <c r="BI828" s="155"/>
      <c r="BJ828" s="155"/>
      <c r="BK828" s="159"/>
      <c r="BL828" s="156"/>
      <c r="BM828" s="156"/>
      <c r="BN828" s="156"/>
      <c r="BO828" s="156"/>
      <c r="BP828" s="160"/>
      <c r="BQ828" s="160"/>
      <c r="BR828" s="160"/>
      <c r="BS828" s="160"/>
    </row>
    <row r="829" spans="1:71" x14ac:dyDescent="0.25">
      <c r="A829" s="154"/>
      <c r="B829" s="155"/>
      <c r="C829" s="155"/>
      <c r="D829" s="155"/>
      <c r="E829" s="156"/>
      <c r="F829" s="156"/>
      <c r="G829" s="155"/>
      <c r="H829" s="155"/>
      <c r="I829" s="155"/>
      <c r="J829" s="157"/>
      <c r="K829" s="157"/>
      <c r="L829" s="155"/>
      <c r="M829" s="155"/>
      <c r="N829" s="155"/>
      <c r="O829" s="156"/>
      <c r="P829" s="156"/>
      <c r="Q829" s="155"/>
      <c r="R829" s="155"/>
      <c r="S829" s="155"/>
      <c r="T829" s="156"/>
      <c r="U829" s="156"/>
      <c r="V829" s="155"/>
      <c r="W829" s="155"/>
      <c r="X829" s="155"/>
      <c r="Y829" s="155"/>
      <c r="Z829" s="155"/>
      <c r="AA829" s="156"/>
      <c r="AB829" s="156"/>
      <c r="AC829" s="155"/>
      <c r="AD829" s="155"/>
      <c r="AE829" s="155"/>
      <c r="AF829" s="156"/>
      <c r="AG829" s="156"/>
      <c r="AH829" s="155"/>
      <c r="AI829" s="155"/>
      <c r="AJ829" s="155"/>
      <c r="AK829" s="156"/>
      <c r="AL829" s="156"/>
      <c r="AM829" s="155"/>
      <c r="AN829" s="155"/>
      <c r="AO829" s="155"/>
      <c r="AP829" s="156"/>
      <c r="AQ829" s="156"/>
      <c r="AR829" s="155"/>
      <c r="AS829" s="155"/>
      <c r="AT829" s="155"/>
      <c r="AU829" s="156"/>
      <c r="AV829" s="156"/>
      <c r="AW829" s="155"/>
      <c r="AX829" s="155"/>
      <c r="AY829" s="155"/>
      <c r="AZ829" s="156"/>
      <c r="BA829" s="156"/>
      <c r="BB829" s="155"/>
      <c r="BC829" s="155"/>
      <c r="BD829" s="155"/>
      <c r="BE829" s="155"/>
      <c r="BF829" s="155"/>
      <c r="BG829" s="158"/>
      <c r="BH829" s="158"/>
      <c r="BI829" s="155"/>
      <c r="BJ829" s="155"/>
      <c r="BK829" s="159"/>
      <c r="BL829" s="156"/>
      <c r="BM829" s="156"/>
      <c r="BN829" s="156"/>
      <c r="BO829" s="156"/>
      <c r="BP829" s="160"/>
      <c r="BQ829" s="160"/>
      <c r="BR829" s="160"/>
      <c r="BS829" s="160"/>
    </row>
    <row r="830" spans="1:71" x14ac:dyDescent="0.25">
      <c r="A830" s="154"/>
      <c r="B830" s="155"/>
      <c r="C830" s="155"/>
      <c r="D830" s="155"/>
      <c r="E830" s="156"/>
      <c r="F830" s="156"/>
      <c r="G830" s="155"/>
      <c r="H830" s="155"/>
      <c r="I830" s="155"/>
      <c r="J830" s="157"/>
      <c r="K830" s="157"/>
      <c r="L830" s="155"/>
      <c r="M830" s="155"/>
      <c r="N830" s="155"/>
      <c r="O830" s="156"/>
      <c r="P830" s="156"/>
      <c r="Q830" s="155"/>
      <c r="R830" s="155"/>
      <c r="S830" s="155"/>
      <c r="T830" s="156"/>
      <c r="U830" s="156"/>
      <c r="V830" s="155"/>
      <c r="W830" s="155"/>
      <c r="X830" s="155"/>
      <c r="Y830" s="155"/>
      <c r="Z830" s="155"/>
      <c r="AA830" s="156"/>
      <c r="AB830" s="156"/>
      <c r="AC830" s="155"/>
      <c r="AD830" s="155"/>
      <c r="AE830" s="155"/>
      <c r="AF830" s="156"/>
      <c r="AG830" s="156"/>
      <c r="AH830" s="155"/>
      <c r="AI830" s="155"/>
      <c r="AJ830" s="155"/>
      <c r="AK830" s="156"/>
      <c r="AL830" s="156"/>
      <c r="AM830" s="155"/>
      <c r="AN830" s="155"/>
      <c r="AO830" s="155"/>
      <c r="AP830" s="156"/>
      <c r="AQ830" s="156"/>
      <c r="AR830" s="155"/>
      <c r="AS830" s="155"/>
      <c r="AT830" s="155"/>
      <c r="AU830" s="156"/>
      <c r="AV830" s="156"/>
      <c r="AW830" s="155"/>
      <c r="AX830" s="155"/>
      <c r="AY830" s="155"/>
      <c r="AZ830" s="156"/>
      <c r="BA830" s="156"/>
      <c r="BB830" s="155"/>
      <c r="BC830" s="155"/>
      <c r="BD830" s="155"/>
      <c r="BE830" s="155"/>
      <c r="BF830" s="155"/>
      <c r="BG830" s="158"/>
      <c r="BH830" s="158"/>
      <c r="BI830" s="155"/>
      <c r="BJ830" s="155"/>
      <c r="BK830" s="159"/>
      <c r="BL830" s="156"/>
      <c r="BM830" s="156"/>
      <c r="BN830" s="156"/>
      <c r="BO830" s="156"/>
      <c r="BP830" s="160"/>
      <c r="BQ830" s="160"/>
      <c r="BR830" s="160"/>
      <c r="BS830" s="160"/>
    </row>
    <row r="831" spans="1:71" x14ac:dyDescent="0.25">
      <c r="A831" s="154"/>
      <c r="B831" s="155"/>
      <c r="C831" s="155"/>
      <c r="D831" s="155"/>
      <c r="E831" s="156"/>
      <c r="F831" s="156"/>
      <c r="G831" s="155"/>
      <c r="H831" s="155"/>
      <c r="I831" s="155"/>
      <c r="J831" s="157"/>
      <c r="K831" s="157"/>
      <c r="L831" s="155"/>
      <c r="M831" s="155"/>
      <c r="N831" s="155"/>
      <c r="O831" s="156"/>
      <c r="P831" s="156"/>
      <c r="Q831" s="155"/>
      <c r="R831" s="155"/>
      <c r="S831" s="155"/>
      <c r="T831" s="156"/>
      <c r="U831" s="156"/>
      <c r="V831" s="155"/>
      <c r="W831" s="155"/>
      <c r="X831" s="155"/>
      <c r="Y831" s="155"/>
      <c r="Z831" s="155"/>
      <c r="AA831" s="156"/>
      <c r="AB831" s="156"/>
      <c r="AC831" s="155"/>
      <c r="AD831" s="155"/>
      <c r="AE831" s="155"/>
      <c r="AF831" s="156"/>
      <c r="AG831" s="156"/>
      <c r="AH831" s="155"/>
      <c r="AI831" s="155"/>
      <c r="AJ831" s="155"/>
      <c r="AK831" s="156"/>
      <c r="AL831" s="156"/>
      <c r="AM831" s="155"/>
      <c r="AN831" s="155"/>
      <c r="AO831" s="155"/>
      <c r="AP831" s="156"/>
      <c r="AQ831" s="156"/>
      <c r="AR831" s="155"/>
      <c r="AS831" s="155"/>
      <c r="AT831" s="155"/>
      <c r="AU831" s="156"/>
      <c r="AV831" s="156"/>
      <c r="AW831" s="155"/>
      <c r="AX831" s="155"/>
      <c r="AY831" s="155"/>
      <c r="AZ831" s="156"/>
      <c r="BA831" s="156"/>
      <c r="BB831" s="155"/>
      <c r="BC831" s="155"/>
      <c r="BD831" s="155"/>
      <c r="BE831" s="155"/>
      <c r="BF831" s="155"/>
      <c r="BG831" s="158"/>
      <c r="BH831" s="158"/>
      <c r="BI831" s="155"/>
      <c r="BJ831" s="155"/>
      <c r="BK831" s="159"/>
      <c r="BL831" s="156"/>
      <c r="BM831" s="156"/>
      <c r="BN831" s="156"/>
      <c r="BO831" s="156"/>
      <c r="BP831" s="160"/>
      <c r="BQ831" s="160"/>
      <c r="BR831" s="160"/>
      <c r="BS831" s="160"/>
    </row>
    <row r="832" spans="1:71" x14ac:dyDescent="0.25">
      <c r="A832" s="154"/>
      <c r="B832" s="155"/>
      <c r="C832" s="155"/>
      <c r="D832" s="155"/>
      <c r="E832" s="156"/>
      <c r="F832" s="156"/>
      <c r="G832" s="155"/>
      <c r="H832" s="155"/>
      <c r="I832" s="155"/>
      <c r="J832" s="157"/>
      <c r="K832" s="157"/>
      <c r="L832" s="155"/>
      <c r="M832" s="155"/>
      <c r="N832" s="155"/>
      <c r="O832" s="156"/>
      <c r="P832" s="156"/>
      <c r="Q832" s="155"/>
      <c r="R832" s="155"/>
      <c r="S832" s="155"/>
      <c r="T832" s="156"/>
      <c r="U832" s="156"/>
      <c r="V832" s="155"/>
      <c r="W832" s="155"/>
      <c r="X832" s="155"/>
      <c r="Y832" s="155"/>
      <c r="Z832" s="155"/>
      <c r="AA832" s="156"/>
      <c r="AB832" s="156"/>
      <c r="AC832" s="155"/>
      <c r="AD832" s="155"/>
      <c r="AE832" s="155"/>
      <c r="AF832" s="156"/>
      <c r="AG832" s="156"/>
      <c r="AH832" s="155"/>
      <c r="AI832" s="155"/>
      <c r="AJ832" s="155"/>
      <c r="AK832" s="156"/>
      <c r="AL832" s="156"/>
      <c r="AM832" s="155"/>
      <c r="AN832" s="155"/>
      <c r="AO832" s="155"/>
      <c r="AP832" s="156"/>
      <c r="AQ832" s="156"/>
      <c r="AR832" s="155"/>
      <c r="AS832" s="155"/>
      <c r="AT832" s="155"/>
      <c r="AU832" s="156"/>
      <c r="AV832" s="156"/>
      <c r="AW832" s="155"/>
      <c r="AX832" s="155"/>
      <c r="AY832" s="155"/>
      <c r="AZ832" s="156"/>
      <c r="BA832" s="156"/>
      <c r="BB832" s="155"/>
      <c r="BC832" s="155"/>
      <c r="BD832" s="155"/>
      <c r="BE832" s="155"/>
      <c r="BF832" s="155"/>
      <c r="BG832" s="158"/>
      <c r="BH832" s="158"/>
      <c r="BI832" s="155"/>
      <c r="BJ832" s="155"/>
      <c r="BK832" s="159"/>
      <c r="BL832" s="156"/>
      <c r="BM832" s="156"/>
      <c r="BN832" s="156"/>
      <c r="BO832" s="156"/>
      <c r="BP832" s="160"/>
      <c r="BQ832" s="160"/>
      <c r="BR832" s="160"/>
      <c r="BS832" s="160"/>
    </row>
    <row r="833" spans="1:71" x14ac:dyDescent="0.25">
      <c r="A833" s="154"/>
      <c r="B833" s="155"/>
      <c r="C833" s="155"/>
      <c r="D833" s="155"/>
      <c r="E833" s="156"/>
      <c r="F833" s="156"/>
      <c r="G833" s="155"/>
      <c r="H833" s="155"/>
      <c r="I833" s="155"/>
      <c r="J833" s="157"/>
      <c r="K833" s="157"/>
      <c r="L833" s="155"/>
      <c r="M833" s="155"/>
      <c r="N833" s="155"/>
      <c r="O833" s="156"/>
      <c r="P833" s="156"/>
      <c r="Q833" s="155"/>
      <c r="R833" s="155"/>
      <c r="S833" s="155"/>
      <c r="T833" s="156"/>
      <c r="U833" s="156"/>
      <c r="V833" s="155"/>
      <c r="W833" s="155"/>
      <c r="X833" s="155"/>
      <c r="Y833" s="155"/>
      <c r="Z833" s="155"/>
      <c r="AA833" s="156"/>
      <c r="AB833" s="156"/>
      <c r="AC833" s="155"/>
      <c r="AD833" s="155"/>
      <c r="AE833" s="155"/>
      <c r="AF833" s="156"/>
      <c r="AG833" s="156"/>
      <c r="AH833" s="155"/>
      <c r="AI833" s="155"/>
      <c r="AJ833" s="155"/>
      <c r="AK833" s="156"/>
      <c r="AL833" s="156"/>
      <c r="AM833" s="155"/>
      <c r="AN833" s="155"/>
      <c r="AO833" s="155"/>
      <c r="AP833" s="156"/>
      <c r="AQ833" s="156"/>
      <c r="AR833" s="155"/>
      <c r="AS833" s="155"/>
      <c r="AT833" s="155"/>
      <c r="AU833" s="156"/>
      <c r="AV833" s="156"/>
      <c r="AW833" s="155"/>
      <c r="AX833" s="155"/>
      <c r="AY833" s="155"/>
      <c r="AZ833" s="156"/>
      <c r="BA833" s="156"/>
      <c r="BB833" s="155"/>
      <c r="BC833" s="155"/>
      <c r="BD833" s="155"/>
      <c r="BE833" s="155"/>
      <c r="BF833" s="155"/>
      <c r="BG833" s="158"/>
      <c r="BH833" s="158"/>
      <c r="BI833" s="155"/>
      <c r="BJ833" s="155"/>
      <c r="BK833" s="159"/>
      <c r="BL833" s="156"/>
      <c r="BM833" s="156"/>
      <c r="BN833" s="156"/>
      <c r="BO833" s="156"/>
      <c r="BP833" s="160"/>
      <c r="BQ833" s="160"/>
      <c r="BR833" s="160"/>
      <c r="BS833" s="160"/>
    </row>
    <row r="834" spans="1:71" x14ac:dyDescent="0.25">
      <c r="A834" s="154"/>
      <c r="B834" s="155"/>
      <c r="C834" s="155"/>
      <c r="D834" s="155"/>
      <c r="E834" s="156"/>
      <c r="F834" s="156"/>
      <c r="G834" s="155"/>
      <c r="H834" s="155"/>
      <c r="I834" s="155"/>
      <c r="J834" s="157"/>
      <c r="K834" s="157"/>
      <c r="L834" s="155"/>
      <c r="M834" s="155"/>
      <c r="N834" s="155"/>
      <c r="O834" s="156"/>
      <c r="P834" s="156"/>
      <c r="Q834" s="155"/>
      <c r="R834" s="155"/>
      <c r="S834" s="155"/>
      <c r="T834" s="156"/>
      <c r="U834" s="156"/>
      <c r="V834" s="155"/>
      <c r="W834" s="155"/>
      <c r="X834" s="155"/>
      <c r="Y834" s="155"/>
      <c r="Z834" s="155"/>
      <c r="AA834" s="156"/>
      <c r="AB834" s="156"/>
      <c r="AC834" s="155"/>
      <c r="AD834" s="155"/>
      <c r="AE834" s="155"/>
      <c r="AF834" s="156"/>
      <c r="AG834" s="156"/>
      <c r="AH834" s="155"/>
      <c r="AI834" s="155"/>
      <c r="AJ834" s="155"/>
      <c r="AK834" s="156"/>
      <c r="AL834" s="156"/>
      <c r="AM834" s="155"/>
      <c r="AN834" s="155"/>
      <c r="AO834" s="155"/>
      <c r="AP834" s="156"/>
      <c r="AQ834" s="156"/>
      <c r="AR834" s="155"/>
      <c r="AS834" s="155"/>
      <c r="AT834" s="155"/>
      <c r="AU834" s="156"/>
      <c r="AV834" s="156"/>
      <c r="AW834" s="155"/>
      <c r="AX834" s="155"/>
      <c r="AY834" s="155"/>
      <c r="AZ834" s="156"/>
      <c r="BA834" s="156"/>
      <c r="BB834" s="155"/>
      <c r="BC834" s="155"/>
      <c r="BD834" s="155"/>
      <c r="BE834" s="155"/>
      <c r="BF834" s="155"/>
      <c r="BG834" s="158"/>
      <c r="BH834" s="158"/>
      <c r="BI834" s="155"/>
      <c r="BJ834" s="155"/>
      <c r="BK834" s="159"/>
      <c r="BL834" s="156"/>
      <c r="BM834" s="156"/>
      <c r="BN834" s="156"/>
      <c r="BO834" s="156"/>
      <c r="BP834" s="160"/>
      <c r="BQ834" s="160"/>
      <c r="BR834" s="160"/>
      <c r="BS834" s="160"/>
    </row>
    <row r="835" spans="1:71" x14ac:dyDescent="0.25">
      <c r="A835" s="154"/>
      <c r="B835" s="155"/>
      <c r="C835" s="155"/>
      <c r="D835" s="155"/>
      <c r="E835" s="156"/>
      <c r="F835" s="156"/>
      <c r="G835" s="155"/>
      <c r="H835" s="155"/>
      <c r="I835" s="155"/>
      <c r="J835" s="157"/>
      <c r="K835" s="157"/>
      <c r="L835" s="155"/>
      <c r="M835" s="155"/>
      <c r="N835" s="155"/>
      <c r="O835" s="156"/>
      <c r="P835" s="156"/>
      <c r="Q835" s="155"/>
      <c r="R835" s="155"/>
      <c r="S835" s="155"/>
      <c r="T835" s="156"/>
      <c r="U835" s="156"/>
      <c r="V835" s="155"/>
      <c r="W835" s="155"/>
      <c r="X835" s="155"/>
      <c r="Y835" s="155"/>
      <c r="Z835" s="155"/>
      <c r="AA835" s="156"/>
      <c r="AB835" s="156"/>
      <c r="AC835" s="155"/>
      <c r="AD835" s="155"/>
      <c r="AE835" s="155"/>
      <c r="AF835" s="156"/>
      <c r="AG835" s="156"/>
      <c r="AH835" s="155"/>
      <c r="AI835" s="155"/>
      <c r="AJ835" s="155"/>
      <c r="AK835" s="156"/>
      <c r="AL835" s="156"/>
      <c r="AM835" s="155"/>
      <c r="AN835" s="155"/>
      <c r="AO835" s="155"/>
      <c r="AP835" s="156"/>
      <c r="AQ835" s="156"/>
      <c r="AR835" s="155"/>
      <c r="AS835" s="155"/>
      <c r="AT835" s="155"/>
      <c r="AU835" s="156"/>
      <c r="AV835" s="156"/>
      <c r="AW835" s="155"/>
      <c r="AX835" s="155"/>
      <c r="AY835" s="155"/>
      <c r="AZ835" s="156"/>
      <c r="BA835" s="156"/>
      <c r="BB835" s="155"/>
      <c r="BC835" s="155"/>
      <c r="BD835" s="155"/>
      <c r="BE835" s="155"/>
      <c r="BF835" s="155"/>
      <c r="BG835" s="158"/>
      <c r="BH835" s="158"/>
      <c r="BI835" s="155"/>
      <c r="BJ835" s="155"/>
      <c r="BK835" s="159"/>
      <c r="BL835" s="156"/>
      <c r="BM835" s="156"/>
      <c r="BN835" s="156"/>
      <c r="BO835" s="156"/>
      <c r="BP835" s="160"/>
      <c r="BQ835" s="160"/>
      <c r="BR835" s="160"/>
      <c r="BS835" s="160"/>
    </row>
    <row r="836" spans="1:71" x14ac:dyDescent="0.25">
      <c r="A836" s="154"/>
      <c r="B836" s="155"/>
      <c r="C836" s="155"/>
      <c r="D836" s="155"/>
      <c r="E836" s="156"/>
      <c r="F836" s="156"/>
      <c r="G836" s="155"/>
      <c r="H836" s="155"/>
      <c r="I836" s="155"/>
      <c r="J836" s="157"/>
      <c r="K836" s="157"/>
      <c r="L836" s="155"/>
      <c r="M836" s="155"/>
      <c r="N836" s="155"/>
      <c r="O836" s="156"/>
      <c r="P836" s="156"/>
      <c r="Q836" s="155"/>
      <c r="R836" s="155"/>
      <c r="S836" s="155"/>
      <c r="T836" s="156"/>
      <c r="U836" s="156"/>
      <c r="V836" s="155"/>
      <c r="W836" s="155"/>
      <c r="X836" s="155"/>
      <c r="Y836" s="155"/>
      <c r="Z836" s="155"/>
      <c r="AA836" s="156"/>
      <c r="AB836" s="156"/>
      <c r="AC836" s="155"/>
      <c r="AD836" s="155"/>
      <c r="AE836" s="155"/>
      <c r="AF836" s="156"/>
      <c r="AG836" s="156"/>
      <c r="AH836" s="155"/>
      <c r="AI836" s="155"/>
      <c r="AJ836" s="155"/>
      <c r="AK836" s="156"/>
      <c r="AL836" s="156"/>
      <c r="AM836" s="155"/>
      <c r="AN836" s="155"/>
      <c r="AO836" s="155"/>
      <c r="AP836" s="156"/>
      <c r="AQ836" s="156"/>
      <c r="AR836" s="155"/>
      <c r="AS836" s="155"/>
      <c r="AT836" s="155"/>
      <c r="AU836" s="156"/>
      <c r="AV836" s="156"/>
      <c r="AW836" s="155"/>
      <c r="AX836" s="155"/>
      <c r="AY836" s="155"/>
      <c r="AZ836" s="156"/>
      <c r="BA836" s="156"/>
      <c r="BB836" s="155"/>
      <c r="BC836" s="155"/>
      <c r="BD836" s="155"/>
      <c r="BE836" s="155"/>
      <c r="BF836" s="155"/>
      <c r="BG836" s="158"/>
      <c r="BH836" s="158"/>
      <c r="BI836" s="155"/>
      <c r="BJ836" s="155"/>
      <c r="BK836" s="159"/>
      <c r="BL836" s="156"/>
      <c r="BM836" s="156"/>
      <c r="BN836" s="156"/>
      <c r="BO836" s="156"/>
      <c r="BP836" s="160"/>
      <c r="BQ836" s="160"/>
      <c r="BR836" s="160"/>
      <c r="BS836" s="160"/>
    </row>
    <row r="837" spans="1:71" x14ac:dyDescent="0.25">
      <c r="A837" s="154"/>
      <c r="B837" s="155"/>
      <c r="C837" s="155"/>
      <c r="D837" s="155"/>
      <c r="E837" s="156"/>
      <c r="F837" s="156"/>
      <c r="G837" s="155"/>
      <c r="H837" s="155"/>
      <c r="I837" s="155"/>
      <c r="J837" s="157"/>
      <c r="K837" s="157"/>
      <c r="L837" s="155"/>
      <c r="M837" s="155"/>
      <c r="N837" s="155"/>
      <c r="O837" s="156"/>
      <c r="P837" s="156"/>
      <c r="Q837" s="155"/>
      <c r="R837" s="155"/>
      <c r="S837" s="155"/>
      <c r="T837" s="156"/>
      <c r="U837" s="156"/>
      <c r="V837" s="155"/>
      <c r="W837" s="155"/>
      <c r="X837" s="155"/>
      <c r="Y837" s="155"/>
      <c r="Z837" s="155"/>
      <c r="AA837" s="156"/>
      <c r="AB837" s="156"/>
      <c r="AC837" s="155"/>
      <c r="AD837" s="155"/>
      <c r="AE837" s="155"/>
      <c r="AF837" s="156"/>
      <c r="AG837" s="156"/>
      <c r="AH837" s="155"/>
      <c r="AI837" s="155"/>
      <c r="AJ837" s="155"/>
      <c r="AK837" s="156"/>
      <c r="AL837" s="156"/>
      <c r="AM837" s="155"/>
      <c r="AN837" s="155"/>
      <c r="AO837" s="155"/>
      <c r="AP837" s="156"/>
      <c r="AQ837" s="156"/>
      <c r="AR837" s="155"/>
      <c r="AS837" s="155"/>
      <c r="AT837" s="155"/>
      <c r="AU837" s="156"/>
      <c r="AV837" s="156"/>
      <c r="AW837" s="155"/>
      <c r="AX837" s="155"/>
      <c r="AY837" s="155"/>
      <c r="AZ837" s="156"/>
      <c r="BA837" s="156"/>
      <c r="BB837" s="155"/>
      <c r="BC837" s="155"/>
      <c r="BD837" s="155"/>
      <c r="BE837" s="155"/>
      <c r="BF837" s="155"/>
      <c r="BG837" s="158"/>
      <c r="BH837" s="158"/>
      <c r="BI837" s="155"/>
      <c r="BJ837" s="155"/>
      <c r="BK837" s="159"/>
      <c r="BL837" s="156"/>
      <c r="BM837" s="156"/>
      <c r="BN837" s="156"/>
      <c r="BO837" s="156"/>
      <c r="BP837" s="160"/>
      <c r="BQ837" s="160"/>
      <c r="BR837" s="160"/>
      <c r="BS837" s="160"/>
    </row>
    <row r="838" spans="1:71" x14ac:dyDescent="0.25">
      <c r="A838" s="154"/>
      <c r="B838" s="155"/>
      <c r="C838" s="155"/>
      <c r="D838" s="155"/>
      <c r="E838" s="156"/>
      <c r="F838" s="156"/>
      <c r="G838" s="155"/>
      <c r="H838" s="155"/>
      <c r="I838" s="155"/>
      <c r="J838" s="157"/>
      <c r="K838" s="157"/>
      <c r="L838" s="155"/>
      <c r="M838" s="155"/>
      <c r="N838" s="155"/>
      <c r="O838" s="156"/>
      <c r="P838" s="156"/>
      <c r="Q838" s="155"/>
      <c r="R838" s="155"/>
      <c r="S838" s="155"/>
      <c r="T838" s="156"/>
      <c r="U838" s="156"/>
      <c r="V838" s="155"/>
      <c r="W838" s="155"/>
      <c r="X838" s="155"/>
      <c r="Y838" s="155"/>
      <c r="Z838" s="155"/>
      <c r="AA838" s="156"/>
      <c r="AB838" s="156"/>
      <c r="AC838" s="155"/>
      <c r="AD838" s="155"/>
      <c r="AE838" s="155"/>
      <c r="AF838" s="156"/>
      <c r="AG838" s="156"/>
      <c r="AH838" s="155"/>
      <c r="AI838" s="155"/>
      <c r="AJ838" s="155"/>
      <c r="AK838" s="156"/>
      <c r="AL838" s="156"/>
      <c r="AM838" s="155"/>
      <c r="AN838" s="155"/>
      <c r="AO838" s="155"/>
      <c r="AP838" s="156"/>
      <c r="AQ838" s="156"/>
      <c r="AR838" s="155"/>
      <c r="AS838" s="155"/>
      <c r="AT838" s="155"/>
      <c r="AU838" s="156"/>
      <c r="AV838" s="156"/>
      <c r="AW838" s="155"/>
      <c r="AX838" s="155"/>
      <c r="AY838" s="155"/>
      <c r="AZ838" s="156"/>
      <c r="BA838" s="156"/>
      <c r="BB838" s="155"/>
      <c r="BC838" s="155"/>
      <c r="BD838" s="155"/>
      <c r="BE838" s="155"/>
      <c r="BF838" s="155"/>
      <c r="BG838" s="158"/>
      <c r="BH838" s="158"/>
      <c r="BI838" s="155"/>
      <c r="BJ838" s="155"/>
      <c r="BK838" s="159"/>
      <c r="BL838" s="156"/>
      <c r="BM838" s="156"/>
      <c r="BN838" s="156"/>
      <c r="BO838" s="156"/>
      <c r="BP838" s="160"/>
      <c r="BQ838" s="160"/>
      <c r="BR838" s="160"/>
      <c r="BS838" s="160"/>
    </row>
    <row r="839" spans="1:71" x14ac:dyDescent="0.25">
      <c r="A839" s="154"/>
      <c r="B839" s="155"/>
      <c r="C839" s="155"/>
      <c r="D839" s="155"/>
      <c r="E839" s="156"/>
      <c r="F839" s="156"/>
      <c r="G839" s="155"/>
      <c r="H839" s="155"/>
      <c r="I839" s="155"/>
      <c r="J839" s="157"/>
      <c r="K839" s="157"/>
      <c r="L839" s="155"/>
      <c r="M839" s="155"/>
      <c r="N839" s="155"/>
      <c r="O839" s="156"/>
      <c r="P839" s="156"/>
      <c r="Q839" s="155"/>
      <c r="R839" s="155"/>
      <c r="S839" s="155"/>
      <c r="T839" s="156"/>
      <c r="U839" s="156"/>
      <c r="V839" s="155"/>
      <c r="W839" s="155"/>
      <c r="X839" s="155"/>
      <c r="Y839" s="155"/>
      <c r="Z839" s="155"/>
      <c r="AA839" s="156"/>
      <c r="AB839" s="156"/>
      <c r="AC839" s="155"/>
      <c r="AD839" s="155"/>
      <c r="AE839" s="155"/>
      <c r="AF839" s="156"/>
      <c r="AG839" s="156"/>
      <c r="AH839" s="155"/>
      <c r="AI839" s="155"/>
      <c r="AJ839" s="155"/>
      <c r="AK839" s="156"/>
      <c r="AL839" s="156"/>
      <c r="AM839" s="155"/>
      <c r="AN839" s="155"/>
      <c r="AO839" s="155"/>
      <c r="AP839" s="156"/>
      <c r="AQ839" s="156"/>
      <c r="AR839" s="155"/>
      <c r="AS839" s="155"/>
      <c r="AT839" s="155"/>
      <c r="AU839" s="156"/>
      <c r="AV839" s="156"/>
      <c r="AW839" s="155"/>
      <c r="AX839" s="155"/>
      <c r="AY839" s="155"/>
      <c r="AZ839" s="156"/>
      <c r="BA839" s="156"/>
      <c r="BB839" s="155"/>
      <c r="BC839" s="155"/>
      <c r="BD839" s="155"/>
      <c r="BE839" s="155"/>
      <c r="BF839" s="155"/>
      <c r="BG839" s="158"/>
      <c r="BH839" s="158"/>
      <c r="BI839" s="155"/>
      <c r="BJ839" s="155"/>
      <c r="BK839" s="159"/>
      <c r="BL839" s="156"/>
      <c r="BM839" s="156"/>
      <c r="BN839" s="156"/>
      <c r="BO839" s="156"/>
      <c r="BP839" s="160"/>
      <c r="BQ839" s="160"/>
      <c r="BR839" s="160"/>
      <c r="BS839" s="160"/>
    </row>
    <row r="840" spans="1:71" x14ac:dyDescent="0.25">
      <c r="A840" s="154"/>
      <c r="B840" s="155"/>
      <c r="C840" s="155"/>
      <c r="D840" s="155"/>
      <c r="E840" s="156"/>
      <c r="F840" s="156"/>
      <c r="G840" s="155"/>
      <c r="H840" s="155"/>
      <c r="I840" s="155"/>
      <c r="J840" s="157"/>
      <c r="K840" s="157"/>
      <c r="L840" s="155"/>
      <c r="M840" s="155"/>
      <c r="N840" s="155"/>
      <c r="O840" s="156"/>
      <c r="P840" s="156"/>
      <c r="Q840" s="155"/>
      <c r="R840" s="155"/>
      <c r="S840" s="155"/>
      <c r="T840" s="156"/>
      <c r="U840" s="156"/>
      <c r="V840" s="155"/>
      <c r="W840" s="155"/>
      <c r="X840" s="155"/>
      <c r="Y840" s="155"/>
      <c r="Z840" s="155"/>
      <c r="AA840" s="156"/>
      <c r="AB840" s="156"/>
      <c r="AC840" s="155"/>
      <c r="AD840" s="155"/>
      <c r="AE840" s="155"/>
      <c r="AF840" s="156"/>
      <c r="AG840" s="156"/>
      <c r="AH840" s="155"/>
      <c r="AI840" s="155"/>
      <c r="AJ840" s="155"/>
      <c r="AK840" s="156"/>
      <c r="AL840" s="156"/>
      <c r="AM840" s="155"/>
      <c r="AN840" s="155"/>
      <c r="AO840" s="155"/>
      <c r="AP840" s="156"/>
      <c r="AQ840" s="156"/>
      <c r="AR840" s="155"/>
      <c r="AS840" s="155"/>
      <c r="AT840" s="155"/>
      <c r="AU840" s="156"/>
      <c r="AV840" s="156"/>
      <c r="AW840" s="155"/>
      <c r="AX840" s="155"/>
      <c r="AY840" s="155"/>
      <c r="AZ840" s="156"/>
      <c r="BA840" s="156"/>
      <c r="BB840" s="155"/>
      <c r="BC840" s="155"/>
      <c r="BD840" s="155"/>
      <c r="BE840" s="155"/>
      <c r="BF840" s="155"/>
      <c r="BG840" s="158"/>
      <c r="BH840" s="158"/>
      <c r="BI840" s="155"/>
      <c r="BJ840" s="155"/>
      <c r="BK840" s="159"/>
      <c r="BL840" s="156"/>
      <c r="BM840" s="156"/>
      <c r="BN840" s="156"/>
      <c r="BO840" s="156"/>
      <c r="BP840" s="160"/>
      <c r="BQ840" s="160"/>
      <c r="BR840" s="160"/>
      <c r="BS840" s="160"/>
    </row>
    <row r="841" spans="1:71" x14ac:dyDescent="0.25">
      <c r="A841" s="154"/>
      <c r="B841" s="155"/>
      <c r="C841" s="155"/>
      <c r="D841" s="155"/>
      <c r="E841" s="156"/>
      <c r="F841" s="156"/>
      <c r="G841" s="155"/>
      <c r="H841" s="155"/>
      <c r="I841" s="155"/>
      <c r="J841" s="157"/>
      <c r="K841" s="157"/>
      <c r="L841" s="155"/>
      <c r="M841" s="155"/>
      <c r="N841" s="155"/>
      <c r="O841" s="156"/>
      <c r="P841" s="156"/>
      <c r="Q841" s="155"/>
      <c r="R841" s="155"/>
      <c r="S841" s="155"/>
      <c r="T841" s="156"/>
      <c r="U841" s="156"/>
      <c r="V841" s="155"/>
      <c r="W841" s="155"/>
      <c r="X841" s="155"/>
      <c r="Y841" s="155"/>
      <c r="Z841" s="155"/>
      <c r="AA841" s="156"/>
      <c r="AB841" s="156"/>
      <c r="AC841" s="155"/>
      <c r="AD841" s="155"/>
      <c r="AE841" s="155"/>
      <c r="AF841" s="156"/>
      <c r="AG841" s="156"/>
      <c r="AH841" s="155"/>
      <c r="AI841" s="155"/>
      <c r="AJ841" s="155"/>
      <c r="AK841" s="156"/>
      <c r="AL841" s="156"/>
      <c r="AM841" s="155"/>
      <c r="AN841" s="155"/>
      <c r="AO841" s="155"/>
      <c r="AP841" s="156"/>
      <c r="AQ841" s="156"/>
      <c r="AR841" s="155"/>
      <c r="AS841" s="155"/>
      <c r="AT841" s="155"/>
      <c r="AU841" s="156"/>
      <c r="AV841" s="156"/>
      <c r="AW841" s="155"/>
      <c r="AX841" s="155"/>
      <c r="AY841" s="155"/>
      <c r="AZ841" s="156"/>
      <c r="BA841" s="156"/>
      <c r="BB841" s="155"/>
      <c r="BC841" s="155"/>
      <c r="BD841" s="155"/>
      <c r="BE841" s="155"/>
      <c r="BF841" s="155"/>
      <c r="BG841" s="158"/>
      <c r="BH841" s="158"/>
      <c r="BI841" s="155"/>
      <c r="BJ841" s="155"/>
      <c r="BK841" s="159"/>
      <c r="BL841" s="156"/>
      <c r="BM841" s="156"/>
      <c r="BN841" s="156"/>
      <c r="BO841" s="156"/>
      <c r="BP841" s="160"/>
      <c r="BQ841" s="160"/>
      <c r="BR841" s="160"/>
      <c r="BS841" s="160"/>
    </row>
    <row r="842" spans="1:71" x14ac:dyDescent="0.25">
      <c r="A842" s="154"/>
      <c r="B842" s="155"/>
      <c r="C842" s="155"/>
      <c r="D842" s="155"/>
      <c r="E842" s="156"/>
      <c r="F842" s="156"/>
      <c r="G842" s="155"/>
      <c r="H842" s="155"/>
      <c r="I842" s="155"/>
      <c r="J842" s="157"/>
      <c r="K842" s="157"/>
      <c r="L842" s="155"/>
      <c r="M842" s="155"/>
      <c r="N842" s="155"/>
      <c r="O842" s="156"/>
      <c r="P842" s="156"/>
      <c r="Q842" s="155"/>
      <c r="R842" s="155"/>
      <c r="S842" s="155"/>
      <c r="T842" s="156"/>
      <c r="U842" s="156"/>
      <c r="V842" s="155"/>
      <c r="W842" s="155"/>
      <c r="X842" s="155"/>
      <c r="Y842" s="155"/>
      <c r="Z842" s="155"/>
      <c r="AA842" s="156"/>
      <c r="AB842" s="156"/>
      <c r="AC842" s="155"/>
      <c r="AD842" s="155"/>
      <c r="AE842" s="155"/>
      <c r="AF842" s="156"/>
      <c r="AG842" s="156"/>
      <c r="AH842" s="155"/>
      <c r="AI842" s="155"/>
      <c r="AJ842" s="155"/>
      <c r="AK842" s="156"/>
      <c r="AL842" s="156"/>
      <c r="AM842" s="155"/>
      <c r="AN842" s="155"/>
      <c r="AO842" s="155"/>
      <c r="AP842" s="156"/>
      <c r="AQ842" s="156"/>
      <c r="AR842" s="155"/>
      <c r="AS842" s="155"/>
      <c r="AT842" s="155"/>
      <c r="AU842" s="156"/>
      <c r="AV842" s="156"/>
      <c r="AW842" s="155"/>
      <c r="AX842" s="155"/>
      <c r="AY842" s="155"/>
      <c r="AZ842" s="156"/>
      <c r="BA842" s="156"/>
      <c r="BB842" s="155"/>
      <c r="BC842" s="155"/>
      <c r="BD842" s="155"/>
      <c r="BE842" s="155"/>
      <c r="BF842" s="155"/>
      <c r="BG842" s="158"/>
      <c r="BH842" s="158"/>
      <c r="BI842" s="155"/>
      <c r="BJ842" s="155"/>
      <c r="BK842" s="159"/>
      <c r="BL842" s="156"/>
      <c r="BM842" s="156"/>
      <c r="BN842" s="156"/>
      <c r="BO842" s="156"/>
      <c r="BP842" s="160"/>
      <c r="BQ842" s="160"/>
      <c r="BR842" s="160"/>
      <c r="BS842" s="160"/>
    </row>
    <row r="843" spans="1:71" x14ac:dyDescent="0.25">
      <c r="A843" s="154"/>
      <c r="B843" s="155"/>
      <c r="C843" s="155"/>
      <c r="D843" s="155"/>
      <c r="E843" s="156"/>
      <c r="F843" s="156"/>
      <c r="G843" s="155"/>
      <c r="H843" s="155"/>
      <c r="I843" s="155"/>
      <c r="J843" s="157"/>
      <c r="K843" s="157"/>
      <c r="L843" s="155"/>
      <c r="M843" s="155"/>
      <c r="N843" s="155"/>
      <c r="O843" s="156"/>
      <c r="P843" s="156"/>
      <c r="Q843" s="155"/>
      <c r="R843" s="155"/>
      <c r="S843" s="155"/>
      <c r="T843" s="156"/>
      <c r="U843" s="156"/>
      <c r="V843" s="155"/>
      <c r="W843" s="155"/>
      <c r="X843" s="155"/>
      <c r="Y843" s="155"/>
      <c r="Z843" s="155"/>
      <c r="AA843" s="156"/>
      <c r="AB843" s="156"/>
      <c r="AC843" s="155"/>
      <c r="AD843" s="155"/>
      <c r="AE843" s="155"/>
      <c r="AF843" s="156"/>
      <c r="AG843" s="156"/>
      <c r="AH843" s="155"/>
      <c r="AI843" s="155"/>
      <c r="AJ843" s="155"/>
      <c r="AK843" s="156"/>
      <c r="AL843" s="156"/>
      <c r="AM843" s="155"/>
      <c r="AN843" s="155"/>
      <c r="AO843" s="155"/>
      <c r="AP843" s="156"/>
      <c r="AQ843" s="156"/>
      <c r="AR843" s="155"/>
      <c r="AS843" s="155"/>
      <c r="AT843" s="155"/>
      <c r="AU843" s="156"/>
      <c r="AV843" s="156"/>
      <c r="AW843" s="155"/>
      <c r="AX843" s="155"/>
      <c r="AY843" s="155"/>
      <c r="AZ843" s="156"/>
      <c r="BA843" s="156"/>
      <c r="BB843" s="155"/>
      <c r="BC843" s="155"/>
      <c r="BD843" s="155"/>
      <c r="BE843" s="155"/>
      <c r="BF843" s="155"/>
      <c r="BG843" s="158"/>
      <c r="BH843" s="158"/>
      <c r="BI843" s="155"/>
      <c r="BJ843" s="155"/>
      <c r="BK843" s="159"/>
      <c r="BL843" s="156"/>
      <c r="BM843" s="156"/>
      <c r="BN843" s="156"/>
      <c r="BO843" s="156"/>
      <c r="BP843" s="160"/>
      <c r="BQ843" s="160"/>
      <c r="BR843" s="160"/>
      <c r="BS843" s="160"/>
    </row>
    <row r="844" spans="1:71" x14ac:dyDescent="0.25">
      <c r="A844" s="154"/>
      <c r="B844" s="155"/>
      <c r="C844" s="155"/>
      <c r="D844" s="155"/>
      <c r="E844" s="156"/>
      <c r="F844" s="156"/>
      <c r="G844" s="155"/>
      <c r="H844" s="155"/>
      <c r="I844" s="155"/>
      <c r="J844" s="157"/>
      <c r="K844" s="157"/>
      <c r="L844" s="155"/>
      <c r="M844" s="155"/>
      <c r="N844" s="155"/>
      <c r="O844" s="156"/>
      <c r="P844" s="156"/>
      <c r="Q844" s="155"/>
      <c r="R844" s="155"/>
      <c r="S844" s="155"/>
      <c r="T844" s="156"/>
      <c r="U844" s="156"/>
      <c r="V844" s="155"/>
      <c r="W844" s="155"/>
      <c r="X844" s="155"/>
      <c r="Y844" s="155"/>
      <c r="Z844" s="155"/>
      <c r="AA844" s="156"/>
      <c r="AB844" s="156"/>
      <c r="AC844" s="155"/>
      <c r="AD844" s="155"/>
      <c r="AE844" s="155"/>
      <c r="AF844" s="156"/>
      <c r="AG844" s="156"/>
      <c r="AH844" s="155"/>
      <c r="AI844" s="155"/>
      <c r="AJ844" s="155"/>
      <c r="AK844" s="156"/>
      <c r="AL844" s="156"/>
      <c r="AM844" s="155"/>
      <c r="AN844" s="155"/>
      <c r="AO844" s="155"/>
      <c r="AP844" s="156"/>
      <c r="AQ844" s="156"/>
      <c r="AR844" s="155"/>
      <c r="AS844" s="155"/>
      <c r="AT844" s="155"/>
      <c r="AU844" s="156"/>
      <c r="AV844" s="156"/>
      <c r="AW844" s="155"/>
      <c r="AX844" s="155"/>
      <c r="AY844" s="155"/>
      <c r="AZ844" s="156"/>
      <c r="BA844" s="156"/>
      <c r="BB844" s="155"/>
      <c r="BC844" s="155"/>
      <c r="BD844" s="155"/>
      <c r="BE844" s="155"/>
      <c r="BF844" s="155"/>
      <c r="BG844" s="158"/>
      <c r="BH844" s="158"/>
      <c r="BI844" s="155"/>
      <c r="BJ844" s="155"/>
      <c r="BK844" s="159"/>
      <c r="BL844" s="156"/>
      <c r="BM844" s="156"/>
      <c r="BN844" s="156"/>
      <c r="BO844" s="156"/>
      <c r="BP844" s="160"/>
      <c r="BQ844" s="160"/>
      <c r="BR844" s="160"/>
      <c r="BS844" s="160"/>
    </row>
    <row r="845" spans="1:71" x14ac:dyDescent="0.25">
      <c r="A845" s="154"/>
      <c r="B845" s="155"/>
      <c r="C845" s="155"/>
      <c r="D845" s="155"/>
      <c r="E845" s="156"/>
      <c r="F845" s="156"/>
      <c r="G845" s="155"/>
      <c r="H845" s="155"/>
      <c r="I845" s="155"/>
      <c r="J845" s="157"/>
      <c r="K845" s="157"/>
      <c r="L845" s="155"/>
      <c r="M845" s="155"/>
      <c r="N845" s="155"/>
      <c r="O845" s="156"/>
      <c r="P845" s="156"/>
      <c r="Q845" s="155"/>
      <c r="R845" s="155"/>
      <c r="S845" s="155"/>
      <c r="T845" s="156"/>
      <c r="U845" s="156"/>
      <c r="V845" s="155"/>
      <c r="W845" s="155"/>
      <c r="X845" s="155"/>
      <c r="Y845" s="155"/>
      <c r="Z845" s="155"/>
      <c r="AA845" s="156"/>
      <c r="AB845" s="156"/>
      <c r="AC845" s="155"/>
      <c r="AD845" s="155"/>
      <c r="AE845" s="155"/>
      <c r="AF845" s="156"/>
      <c r="AG845" s="156"/>
      <c r="AH845" s="155"/>
      <c r="AI845" s="155"/>
      <c r="AJ845" s="155"/>
      <c r="AK845" s="156"/>
      <c r="AL845" s="156"/>
      <c r="AM845" s="155"/>
      <c r="AN845" s="155"/>
      <c r="AO845" s="155"/>
      <c r="AP845" s="156"/>
      <c r="AQ845" s="156"/>
      <c r="AR845" s="155"/>
      <c r="AS845" s="155"/>
      <c r="AT845" s="155"/>
      <c r="AU845" s="156"/>
      <c r="AV845" s="156"/>
      <c r="AW845" s="155"/>
      <c r="AX845" s="155"/>
      <c r="AY845" s="155"/>
      <c r="AZ845" s="156"/>
      <c r="BA845" s="156"/>
      <c r="BB845" s="155"/>
      <c r="BC845" s="155"/>
      <c r="BD845" s="155"/>
      <c r="BE845" s="155"/>
      <c r="BF845" s="155"/>
      <c r="BG845" s="158"/>
      <c r="BH845" s="158"/>
      <c r="BI845" s="155"/>
      <c r="BJ845" s="155"/>
      <c r="BK845" s="159"/>
      <c r="BL845" s="156"/>
      <c r="BM845" s="156"/>
      <c r="BN845" s="156"/>
      <c r="BO845" s="156"/>
      <c r="BP845" s="160"/>
      <c r="BQ845" s="160"/>
      <c r="BR845" s="160"/>
      <c r="BS845" s="160"/>
    </row>
    <row r="846" spans="1:71" x14ac:dyDescent="0.25">
      <c r="A846" s="154"/>
      <c r="B846" s="155"/>
      <c r="C846" s="155"/>
      <c r="D846" s="155"/>
      <c r="E846" s="156"/>
      <c r="F846" s="156"/>
      <c r="G846" s="155"/>
      <c r="H846" s="155"/>
      <c r="I846" s="155"/>
      <c r="J846" s="157"/>
      <c r="K846" s="157"/>
      <c r="L846" s="155"/>
      <c r="M846" s="155"/>
      <c r="N846" s="155"/>
      <c r="O846" s="156"/>
      <c r="P846" s="156"/>
      <c r="Q846" s="155"/>
      <c r="R846" s="155"/>
      <c r="S846" s="155"/>
      <c r="T846" s="156"/>
      <c r="U846" s="156"/>
      <c r="V846" s="155"/>
      <c r="W846" s="155"/>
      <c r="X846" s="155"/>
      <c r="Y846" s="155"/>
      <c r="Z846" s="155"/>
      <c r="AA846" s="156"/>
      <c r="AB846" s="156"/>
      <c r="AC846" s="155"/>
      <c r="AD846" s="155"/>
      <c r="AE846" s="155"/>
      <c r="AF846" s="156"/>
      <c r="AG846" s="156"/>
      <c r="AH846" s="155"/>
      <c r="AI846" s="155"/>
      <c r="AJ846" s="155"/>
      <c r="AK846" s="156"/>
      <c r="AL846" s="156"/>
      <c r="AM846" s="155"/>
      <c r="AN846" s="155"/>
      <c r="AO846" s="155"/>
      <c r="AP846" s="156"/>
      <c r="AQ846" s="156"/>
      <c r="AR846" s="155"/>
      <c r="AS846" s="155"/>
      <c r="AT846" s="155"/>
      <c r="AU846" s="156"/>
      <c r="AV846" s="156"/>
      <c r="AW846" s="155"/>
      <c r="AX846" s="155"/>
      <c r="AY846" s="155"/>
      <c r="AZ846" s="156"/>
      <c r="BA846" s="156"/>
      <c r="BB846" s="155"/>
      <c r="BC846" s="155"/>
      <c r="BD846" s="155"/>
      <c r="BE846" s="155"/>
      <c r="BF846" s="155"/>
      <c r="BG846" s="158"/>
      <c r="BH846" s="158"/>
      <c r="BI846" s="155"/>
      <c r="BJ846" s="155"/>
      <c r="BK846" s="159"/>
      <c r="BL846" s="156"/>
      <c r="BM846" s="156"/>
      <c r="BN846" s="156"/>
      <c r="BO846" s="156"/>
      <c r="BP846" s="160"/>
      <c r="BQ846" s="160"/>
      <c r="BR846" s="160"/>
      <c r="BS846" s="160"/>
    </row>
    <row r="847" spans="1:71" x14ac:dyDescent="0.25">
      <c r="A847" s="154"/>
      <c r="B847" s="155"/>
      <c r="C847" s="155"/>
      <c r="D847" s="155"/>
      <c r="E847" s="156"/>
      <c r="F847" s="156"/>
      <c r="G847" s="155"/>
      <c r="H847" s="155"/>
      <c r="I847" s="155"/>
      <c r="J847" s="157"/>
      <c r="K847" s="157"/>
      <c r="L847" s="155"/>
      <c r="M847" s="155"/>
      <c r="N847" s="155"/>
      <c r="O847" s="156"/>
      <c r="P847" s="156"/>
      <c r="Q847" s="155"/>
      <c r="R847" s="155"/>
      <c r="S847" s="155"/>
      <c r="T847" s="156"/>
      <c r="U847" s="156"/>
      <c r="V847" s="155"/>
      <c r="W847" s="155"/>
      <c r="X847" s="155"/>
      <c r="Y847" s="155"/>
      <c r="Z847" s="155"/>
      <c r="AA847" s="156"/>
      <c r="AB847" s="156"/>
      <c r="AC847" s="155"/>
      <c r="AD847" s="155"/>
      <c r="AE847" s="155"/>
      <c r="AF847" s="156"/>
      <c r="AG847" s="156"/>
      <c r="AH847" s="155"/>
      <c r="AI847" s="155"/>
      <c r="AJ847" s="155"/>
      <c r="AK847" s="156"/>
      <c r="AL847" s="156"/>
      <c r="AM847" s="155"/>
      <c r="AN847" s="155"/>
      <c r="AO847" s="155"/>
      <c r="AP847" s="156"/>
      <c r="AQ847" s="156"/>
      <c r="AR847" s="155"/>
      <c r="AS847" s="155"/>
      <c r="AT847" s="155"/>
      <c r="AU847" s="156"/>
      <c r="AV847" s="156"/>
      <c r="AW847" s="155"/>
      <c r="AX847" s="155"/>
      <c r="AY847" s="155"/>
      <c r="AZ847" s="156"/>
      <c r="BA847" s="156"/>
      <c r="BB847" s="155"/>
      <c r="BC847" s="155"/>
      <c r="BD847" s="155"/>
      <c r="BE847" s="155"/>
      <c r="BF847" s="155"/>
      <c r="BG847" s="158"/>
      <c r="BH847" s="158"/>
      <c r="BI847" s="155"/>
      <c r="BJ847" s="155"/>
      <c r="BK847" s="159"/>
      <c r="BL847" s="156"/>
      <c r="BM847" s="156"/>
      <c r="BN847" s="156"/>
      <c r="BO847" s="156"/>
      <c r="BP847" s="160"/>
      <c r="BQ847" s="160"/>
      <c r="BR847" s="160"/>
      <c r="BS847" s="160"/>
    </row>
    <row r="848" spans="1:71" x14ac:dyDescent="0.25">
      <c r="A848" s="154"/>
      <c r="B848" s="155"/>
      <c r="C848" s="155"/>
      <c r="D848" s="155"/>
      <c r="E848" s="156"/>
      <c r="F848" s="156"/>
      <c r="G848" s="155"/>
      <c r="H848" s="155"/>
      <c r="I848" s="155"/>
      <c r="J848" s="157"/>
      <c r="K848" s="157"/>
      <c r="L848" s="155"/>
      <c r="M848" s="155"/>
      <c r="N848" s="155"/>
      <c r="O848" s="156"/>
      <c r="P848" s="156"/>
      <c r="Q848" s="155"/>
      <c r="R848" s="155"/>
      <c r="S848" s="155"/>
      <c r="T848" s="156"/>
      <c r="U848" s="156"/>
      <c r="V848" s="155"/>
      <c r="W848" s="155"/>
      <c r="X848" s="155"/>
      <c r="Y848" s="155"/>
      <c r="Z848" s="155"/>
      <c r="AA848" s="156"/>
      <c r="AB848" s="156"/>
      <c r="AC848" s="155"/>
      <c r="AD848" s="155"/>
      <c r="AE848" s="155"/>
      <c r="AF848" s="156"/>
      <c r="AG848" s="156"/>
      <c r="AH848" s="155"/>
      <c r="AI848" s="155"/>
      <c r="AJ848" s="155"/>
      <c r="AK848" s="156"/>
      <c r="AL848" s="156"/>
      <c r="AM848" s="155"/>
      <c r="AN848" s="155"/>
      <c r="AO848" s="155"/>
      <c r="AP848" s="156"/>
      <c r="AQ848" s="156"/>
      <c r="AR848" s="155"/>
      <c r="AS848" s="155"/>
      <c r="AT848" s="155"/>
      <c r="AU848" s="156"/>
      <c r="AV848" s="156"/>
      <c r="AW848" s="155"/>
      <c r="AX848" s="155"/>
      <c r="AY848" s="155"/>
      <c r="AZ848" s="156"/>
      <c r="BA848" s="156"/>
      <c r="BB848" s="155"/>
      <c r="BC848" s="155"/>
      <c r="BD848" s="155"/>
      <c r="BE848" s="155"/>
      <c r="BF848" s="155"/>
      <c r="BG848" s="158"/>
      <c r="BH848" s="158"/>
      <c r="BI848" s="155"/>
      <c r="BJ848" s="155"/>
      <c r="BK848" s="159"/>
      <c r="BL848" s="156"/>
      <c r="BM848" s="156"/>
      <c r="BN848" s="156"/>
      <c r="BO848" s="156"/>
      <c r="BP848" s="160"/>
      <c r="BQ848" s="160"/>
      <c r="BR848" s="160"/>
      <c r="BS848" s="160"/>
    </row>
    <row r="849" spans="1:71" x14ac:dyDescent="0.25">
      <c r="A849" s="154"/>
      <c r="B849" s="155"/>
      <c r="C849" s="155"/>
      <c r="D849" s="155"/>
      <c r="E849" s="156"/>
      <c r="F849" s="156"/>
      <c r="G849" s="155"/>
      <c r="H849" s="155"/>
      <c r="I849" s="155"/>
      <c r="J849" s="157"/>
      <c r="K849" s="157"/>
      <c r="L849" s="155"/>
      <c r="M849" s="155"/>
      <c r="N849" s="155"/>
      <c r="O849" s="156"/>
      <c r="P849" s="156"/>
      <c r="Q849" s="155"/>
      <c r="R849" s="155"/>
      <c r="S849" s="155"/>
      <c r="T849" s="156"/>
      <c r="U849" s="156"/>
      <c r="V849" s="155"/>
      <c r="W849" s="155"/>
      <c r="X849" s="155"/>
      <c r="Y849" s="155"/>
      <c r="Z849" s="155"/>
      <c r="AA849" s="156"/>
      <c r="AB849" s="156"/>
      <c r="AC849" s="155"/>
      <c r="AD849" s="155"/>
      <c r="AE849" s="155"/>
      <c r="AF849" s="156"/>
      <c r="AG849" s="156"/>
      <c r="AH849" s="155"/>
      <c r="AI849" s="155"/>
      <c r="AJ849" s="155"/>
      <c r="AK849" s="156"/>
      <c r="AL849" s="156"/>
      <c r="AM849" s="155"/>
      <c r="AN849" s="155"/>
      <c r="AO849" s="155"/>
      <c r="AP849" s="156"/>
      <c r="AQ849" s="156"/>
      <c r="AR849" s="155"/>
      <c r="AS849" s="155"/>
      <c r="AT849" s="155"/>
      <c r="AU849" s="156"/>
      <c r="AV849" s="156"/>
      <c r="AW849" s="155"/>
      <c r="AX849" s="155"/>
      <c r="AY849" s="155"/>
      <c r="AZ849" s="156"/>
      <c r="BA849" s="156"/>
      <c r="BB849" s="155"/>
      <c r="BC849" s="155"/>
      <c r="BD849" s="155"/>
      <c r="BE849" s="155"/>
      <c r="BF849" s="155"/>
      <c r="BG849" s="158"/>
      <c r="BH849" s="158"/>
      <c r="BI849" s="155"/>
      <c r="BJ849" s="155"/>
      <c r="BK849" s="159"/>
      <c r="BL849" s="156"/>
      <c r="BM849" s="156"/>
      <c r="BN849" s="156"/>
      <c r="BO849" s="156"/>
      <c r="BP849" s="160"/>
      <c r="BQ849" s="160"/>
      <c r="BR849" s="160"/>
      <c r="BS849" s="160"/>
    </row>
    <row r="850" spans="1:71" x14ac:dyDescent="0.25">
      <c r="A850" s="154"/>
      <c r="B850" s="155"/>
      <c r="C850" s="155"/>
      <c r="D850" s="155"/>
      <c r="E850" s="156"/>
      <c r="F850" s="156"/>
      <c r="G850" s="155"/>
      <c r="H850" s="155"/>
      <c r="I850" s="155"/>
      <c r="J850" s="157"/>
      <c r="K850" s="157"/>
      <c r="L850" s="155"/>
      <c r="M850" s="155"/>
      <c r="N850" s="155"/>
      <c r="O850" s="156"/>
      <c r="P850" s="156"/>
      <c r="Q850" s="155"/>
      <c r="R850" s="155"/>
      <c r="S850" s="155"/>
      <c r="T850" s="156"/>
      <c r="U850" s="156"/>
      <c r="V850" s="155"/>
      <c r="W850" s="155"/>
      <c r="X850" s="155"/>
      <c r="Y850" s="155"/>
      <c r="Z850" s="155"/>
      <c r="AA850" s="156"/>
      <c r="AB850" s="156"/>
      <c r="AC850" s="155"/>
      <c r="AD850" s="155"/>
      <c r="AE850" s="155"/>
      <c r="AF850" s="156"/>
      <c r="AG850" s="156"/>
      <c r="AH850" s="155"/>
      <c r="AI850" s="155"/>
      <c r="AJ850" s="155"/>
      <c r="AK850" s="156"/>
      <c r="AL850" s="156"/>
      <c r="AM850" s="155"/>
      <c r="AN850" s="155"/>
      <c r="AO850" s="155"/>
      <c r="AP850" s="156"/>
      <c r="AQ850" s="156"/>
      <c r="AR850" s="155"/>
      <c r="AS850" s="155"/>
      <c r="AT850" s="155"/>
      <c r="AU850" s="156"/>
      <c r="AV850" s="156"/>
      <c r="AW850" s="155"/>
      <c r="AX850" s="155"/>
      <c r="AY850" s="155"/>
      <c r="AZ850" s="156"/>
      <c r="BA850" s="156"/>
      <c r="BB850" s="155"/>
      <c r="BC850" s="155"/>
      <c r="BD850" s="155"/>
      <c r="BE850" s="155"/>
      <c r="BF850" s="155"/>
      <c r="BG850" s="158"/>
      <c r="BH850" s="158"/>
      <c r="BI850" s="155"/>
      <c r="BJ850" s="155"/>
      <c r="BK850" s="159"/>
      <c r="BL850" s="156"/>
      <c r="BM850" s="156"/>
      <c r="BN850" s="156"/>
      <c r="BO850" s="156"/>
      <c r="BP850" s="160"/>
      <c r="BQ850" s="160"/>
      <c r="BR850" s="160"/>
      <c r="BS850" s="160"/>
    </row>
    <row r="851" spans="1:71" x14ac:dyDescent="0.25">
      <c r="A851" s="154"/>
      <c r="B851" s="155"/>
      <c r="C851" s="155"/>
      <c r="D851" s="155"/>
      <c r="E851" s="156"/>
      <c r="F851" s="156"/>
      <c r="G851" s="155"/>
      <c r="H851" s="155"/>
      <c r="I851" s="155"/>
      <c r="J851" s="157"/>
      <c r="K851" s="157"/>
      <c r="L851" s="155"/>
      <c r="M851" s="155"/>
      <c r="N851" s="155"/>
      <c r="O851" s="156"/>
      <c r="P851" s="156"/>
      <c r="Q851" s="155"/>
      <c r="R851" s="155"/>
      <c r="S851" s="155"/>
      <c r="T851" s="156"/>
      <c r="U851" s="156"/>
      <c r="V851" s="155"/>
      <c r="W851" s="155"/>
      <c r="X851" s="155"/>
      <c r="Y851" s="155"/>
      <c r="Z851" s="155"/>
      <c r="AA851" s="156"/>
      <c r="AB851" s="156"/>
      <c r="AC851" s="155"/>
      <c r="AD851" s="155"/>
      <c r="AE851" s="155"/>
      <c r="AF851" s="156"/>
      <c r="AG851" s="156"/>
      <c r="AH851" s="155"/>
      <c r="AI851" s="155"/>
      <c r="AJ851" s="155"/>
      <c r="AK851" s="156"/>
      <c r="AL851" s="156"/>
      <c r="AM851" s="155"/>
      <c r="AN851" s="155"/>
      <c r="AO851" s="155"/>
      <c r="AP851" s="156"/>
      <c r="AQ851" s="156"/>
      <c r="AR851" s="155"/>
      <c r="AS851" s="155"/>
      <c r="AT851" s="155"/>
      <c r="AU851" s="156"/>
      <c r="AV851" s="156"/>
      <c r="AW851" s="155"/>
      <c r="AX851" s="155"/>
      <c r="AY851" s="155"/>
      <c r="AZ851" s="156"/>
      <c r="BA851" s="156"/>
      <c r="BB851" s="155"/>
      <c r="BC851" s="155"/>
      <c r="BD851" s="155"/>
      <c r="BE851" s="155"/>
      <c r="BF851" s="155"/>
      <c r="BG851" s="158"/>
      <c r="BH851" s="158"/>
      <c r="BI851" s="155"/>
      <c r="BJ851" s="155"/>
      <c r="BK851" s="159"/>
      <c r="BL851" s="156"/>
      <c r="BM851" s="156"/>
      <c r="BN851" s="156"/>
      <c r="BO851" s="156"/>
      <c r="BP851" s="160"/>
      <c r="BQ851" s="160"/>
      <c r="BR851" s="160"/>
      <c r="BS851" s="160"/>
    </row>
    <row r="852" spans="1:71" x14ac:dyDescent="0.25">
      <c r="A852" s="154"/>
      <c r="B852" s="155"/>
      <c r="C852" s="155"/>
      <c r="D852" s="155"/>
      <c r="E852" s="156"/>
      <c r="F852" s="156"/>
      <c r="G852" s="155"/>
      <c r="H852" s="155"/>
      <c r="I852" s="155"/>
      <c r="J852" s="157"/>
      <c r="K852" s="157"/>
      <c r="L852" s="155"/>
      <c r="M852" s="155"/>
      <c r="N852" s="155"/>
      <c r="O852" s="156"/>
      <c r="P852" s="156"/>
      <c r="Q852" s="155"/>
      <c r="R852" s="155"/>
      <c r="S852" s="155"/>
      <c r="T852" s="156"/>
      <c r="U852" s="156"/>
      <c r="V852" s="155"/>
      <c r="W852" s="155"/>
      <c r="X852" s="155"/>
      <c r="Y852" s="155"/>
      <c r="Z852" s="155"/>
      <c r="AA852" s="156"/>
      <c r="AB852" s="156"/>
      <c r="AC852" s="155"/>
      <c r="AD852" s="155"/>
      <c r="AE852" s="155"/>
      <c r="AF852" s="156"/>
      <c r="AG852" s="156"/>
      <c r="AH852" s="155"/>
      <c r="AI852" s="155"/>
      <c r="AJ852" s="155"/>
      <c r="AK852" s="156"/>
      <c r="AL852" s="156"/>
      <c r="AM852" s="155"/>
      <c r="AN852" s="155"/>
      <c r="AO852" s="155"/>
      <c r="AP852" s="156"/>
      <c r="AQ852" s="156"/>
      <c r="AR852" s="155"/>
      <c r="AS852" s="155"/>
      <c r="AT852" s="155"/>
      <c r="AU852" s="156"/>
      <c r="AV852" s="156"/>
      <c r="AW852" s="155"/>
      <c r="AX852" s="155"/>
      <c r="AY852" s="155"/>
      <c r="AZ852" s="156"/>
      <c r="BA852" s="156"/>
      <c r="BB852" s="155"/>
      <c r="BC852" s="155"/>
      <c r="BD852" s="155"/>
      <c r="BE852" s="155"/>
      <c r="BF852" s="155"/>
      <c r="BG852" s="158"/>
      <c r="BH852" s="158"/>
      <c r="BI852" s="155"/>
      <c r="BJ852" s="155"/>
      <c r="BK852" s="159"/>
      <c r="BL852" s="156"/>
      <c r="BM852" s="156"/>
      <c r="BN852" s="156"/>
      <c r="BO852" s="156"/>
      <c r="BP852" s="160"/>
      <c r="BQ852" s="160"/>
      <c r="BR852" s="160"/>
      <c r="BS852" s="160"/>
    </row>
    <row r="853" spans="1:71" x14ac:dyDescent="0.25">
      <c r="A853" s="154"/>
      <c r="B853" s="155"/>
      <c r="C853" s="155"/>
      <c r="D853" s="155"/>
      <c r="E853" s="156"/>
      <c r="F853" s="156"/>
      <c r="G853" s="155"/>
      <c r="H853" s="155"/>
      <c r="I853" s="155"/>
      <c r="J853" s="157"/>
      <c r="K853" s="157"/>
      <c r="L853" s="155"/>
      <c r="M853" s="155"/>
      <c r="N853" s="155"/>
      <c r="O853" s="156"/>
      <c r="P853" s="156"/>
      <c r="Q853" s="155"/>
      <c r="R853" s="155"/>
      <c r="S853" s="155"/>
      <c r="T853" s="156"/>
      <c r="U853" s="156"/>
      <c r="V853" s="155"/>
      <c r="W853" s="155"/>
      <c r="X853" s="155"/>
      <c r="Y853" s="155"/>
      <c r="Z853" s="155"/>
      <c r="AA853" s="156"/>
      <c r="AB853" s="156"/>
      <c r="AC853" s="155"/>
      <c r="AD853" s="155"/>
      <c r="AE853" s="155"/>
      <c r="AF853" s="156"/>
      <c r="AG853" s="156"/>
      <c r="AH853" s="155"/>
      <c r="AI853" s="155"/>
      <c r="AJ853" s="155"/>
      <c r="AK853" s="156"/>
      <c r="AL853" s="156"/>
      <c r="AM853" s="155"/>
      <c r="AN853" s="155"/>
      <c r="AO853" s="155"/>
      <c r="AP853" s="156"/>
      <c r="AQ853" s="156"/>
      <c r="AR853" s="155"/>
      <c r="AS853" s="155"/>
      <c r="AT853" s="155"/>
      <c r="AU853" s="156"/>
      <c r="AV853" s="156"/>
      <c r="AW853" s="155"/>
      <c r="AX853" s="155"/>
      <c r="AY853" s="155"/>
      <c r="AZ853" s="156"/>
      <c r="BA853" s="156"/>
      <c r="BB853" s="155"/>
      <c r="BC853" s="155"/>
      <c r="BD853" s="155"/>
      <c r="BE853" s="155"/>
      <c r="BF853" s="155"/>
      <c r="BG853" s="158"/>
      <c r="BH853" s="158"/>
      <c r="BI853" s="155"/>
      <c r="BJ853" s="155"/>
      <c r="BK853" s="159"/>
      <c r="BL853" s="156"/>
      <c r="BM853" s="156"/>
      <c r="BN853" s="156"/>
      <c r="BO853" s="156"/>
      <c r="BP853" s="160"/>
      <c r="BQ853" s="160"/>
      <c r="BR853" s="160"/>
      <c r="BS853" s="160"/>
    </row>
    <row r="854" spans="1:71" x14ac:dyDescent="0.25">
      <c r="A854" s="154"/>
      <c r="B854" s="155"/>
      <c r="C854" s="155"/>
      <c r="D854" s="155"/>
      <c r="E854" s="156"/>
      <c r="F854" s="156"/>
      <c r="G854" s="155"/>
      <c r="H854" s="155"/>
      <c r="I854" s="155"/>
      <c r="J854" s="157"/>
      <c r="K854" s="157"/>
      <c r="L854" s="155"/>
      <c r="M854" s="155"/>
      <c r="N854" s="155"/>
      <c r="O854" s="156"/>
      <c r="P854" s="156"/>
      <c r="Q854" s="155"/>
      <c r="R854" s="155"/>
      <c r="S854" s="155"/>
      <c r="T854" s="156"/>
      <c r="U854" s="156"/>
      <c r="V854" s="155"/>
      <c r="W854" s="155"/>
      <c r="X854" s="155"/>
      <c r="Y854" s="155"/>
      <c r="Z854" s="155"/>
      <c r="AA854" s="156"/>
      <c r="AB854" s="156"/>
      <c r="AC854" s="155"/>
      <c r="AD854" s="155"/>
      <c r="AE854" s="155"/>
      <c r="AF854" s="156"/>
      <c r="AG854" s="156"/>
      <c r="AH854" s="155"/>
      <c r="AI854" s="155"/>
      <c r="AJ854" s="155"/>
      <c r="AK854" s="156"/>
      <c r="AL854" s="156"/>
      <c r="AM854" s="155"/>
      <c r="AN854" s="155"/>
      <c r="AO854" s="155"/>
      <c r="AP854" s="156"/>
      <c r="AQ854" s="156"/>
      <c r="AR854" s="155"/>
      <c r="AS854" s="155"/>
      <c r="AT854" s="155"/>
      <c r="AU854" s="156"/>
      <c r="AV854" s="156"/>
      <c r="AW854" s="155"/>
      <c r="AX854" s="155"/>
      <c r="AY854" s="155"/>
      <c r="AZ854" s="156"/>
      <c r="BA854" s="156"/>
      <c r="BB854" s="155"/>
      <c r="BC854" s="155"/>
      <c r="BD854" s="155"/>
      <c r="BE854" s="155"/>
      <c r="BF854" s="155"/>
      <c r="BG854" s="158"/>
      <c r="BH854" s="158"/>
      <c r="BI854" s="155"/>
      <c r="BJ854" s="155"/>
      <c r="BK854" s="159"/>
      <c r="BL854" s="156"/>
      <c r="BM854" s="156"/>
      <c r="BN854" s="156"/>
      <c r="BO854" s="156"/>
      <c r="BP854" s="160"/>
      <c r="BQ854" s="160"/>
      <c r="BR854" s="160"/>
      <c r="BS854" s="160"/>
    </row>
    <row r="855" spans="1:71" x14ac:dyDescent="0.25">
      <c r="A855" s="154"/>
      <c r="B855" s="155"/>
      <c r="C855" s="155"/>
      <c r="D855" s="155"/>
      <c r="E855" s="156"/>
      <c r="F855" s="156"/>
      <c r="G855" s="155"/>
      <c r="H855" s="155"/>
      <c r="I855" s="155"/>
      <c r="J855" s="157"/>
      <c r="K855" s="157"/>
      <c r="L855" s="155"/>
      <c r="M855" s="155"/>
      <c r="N855" s="155"/>
      <c r="O855" s="156"/>
      <c r="P855" s="156"/>
      <c r="Q855" s="155"/>
      <c r="R855" s="155"/>
      <c r="S855" s="155"/>
      <c r="T855" s="156"/>
      <c r="U855" s="156"/>
      <c r="V855" s="155"/>
      <c r="W855" s="155"/>
      <c r="X855" s="155"/>
      <c r="Y855" s="155"/>
      <c r="Z855" s="155"/>
      <c r="AA855" s="156"/>
      <c r="AB855" s="156"/>
      <c r="AC855" s="155"/>
      <c r="AD855" s="155"/>
      <c r="AE855" s="155"/>
      <c r="AF855" s="156"/>
      <c r="AG855" s="156"/>
      <c r="AH855" s="155"/>
      <c r="AI855" s="155"/>
      <c r="AJ855" s="155"/>
      <c r="AK855" s="156"/>
      <c r="AL855" s="156"/>
      <c r="AM855" s="155"/>
      <c r="AN855" s="155"/>
      <c r="AO855" s="155"/>
      <c r="AP855" s="156"/>
      <c r="AQ855" s="156"/>
      <c r="AR855" s="155"/>
      <c r="AS855" s="155"/>
      <c r="AT855" s="155"/>
      <c r="AU855" s="156"/>
      <c r="AV855" s="156"/>
      <c r="AW855" s="155"/>
      <c r="AX855" s="155"/>
      <c r="AY855" s="155"/>
      <c r="AZ855" s="156"/>
      <c r="BA855" s="156"/>
      <c r="BB855" s="155"/>
      <c r="BC855" s="155"/>
      <c r="BD855" s="155"/>
      <c r="BE855" s="155"/>
      <c r="BF855" s="155"/>
      <c r="BG855" s="158"/>
      <c r="BH855" s="158"/>
      <c r="BI855" s="155"/>
      <c r="BJ855" s="155"/>
      <c r="BK855" s="159"/>
      <c r="BL855" s="156"/>
      <c r="BM855" s="156"/>
      <c r="BN855" s="156"/>
      <c r="BO855" s="156"/>
      <c r="BP855" s="160"/>
      <c r="BQ855" s="160"/>
      <c r="BR855" s="160"/>
      <c r="BS855" s="160"/>
    </row>
    <row r="856" spans="1:71" x14ac:dyDescent="0.25">
      <c r="A856" s="154"/>
      <c r="B856" s="155"/>
      <c r="C856" s="155"/>
      <c r="D856" s="155"/>
      <c r="E856" s="156"/>
      <c r="F856" s="156"/>
      <c r="G856" s="155"/>
      <c r="H856" s="155"/>
      <c r="I856" s="155"/>
      <c r="J856" s="157"/>
      <c r="K856" s="157"/>
      <c r="L856" s="155"/>
      <c r="M856" s="155"/>
      <c r="N856" s="155"/>
      <c r="O856" s="156"/>
      <c r="P856" s="156"/>
      <c r="Q856" s="155"/>
      <c r="R856" s="155"/>
      <c r="S856" s="155"/>
      <c r="T856" s="156"/>
      <c r="U856" s="156"/>
      <c r="V856" s="155"/>
      <c r="W856" s="155"/>
      <c r="X856" s="155"/>
      <c r="Y856" s="155"/>
      <c r="Z856" s="155"/>
      <c r="AA856" s="156"/>
      <c r="AB856" s="156"/>
      <c r="AC856" s="155"/>
      <c r="AD856" s="155"/>
      <c r="AE856" s="155"/>
      <c r="AF856" s="156"/>
      <c r="AG856" s="156"/>
      <c r="AH856" s="155"/>
      <c r="AI856" s="155"/>
      <c r="AJ856" s="155"/>
      <c r="AK856" s="156"/>
      <c r="AL856" s="156"/>
      <c r="AM856" s="155"/>
      <c r="AN856" s="155"/>
      <c r="AO856" s="155"/>
      <c r="AP856" s="156"/>
      <c r="AQ856" s="156"/>
      <c r="AR856" s="155"/>
      <c r="AS856" s="155"/>
      <c r="AT856" s="155"/>
      <c r="AU856" s="156"/>
      <c r="AV856" s="156"/>
      <c r="AW856" s="155"/>
      <c r="AX856" s="155"/>
      <c r="AY856" s="155"/>
      <c r="AZ856" s="156"/>
      <c r="BA856" s="156"/>
      <c r="BB856" s="155"/>
      <c r="BC856" s="155"/>
      <c r="BD856" s="155"/>
      <c r="BE856" s="155"/>
      <c r="BF856" s="155"/>
      <c r="BG856" s="158"/>
      <c r="BH856" s="158"/>
      <c r="BI856" s="155"/>
      <c r="BJ856" s="155"/>
      <c r="BK856" s="159"/>
      <c r="BL856" s="156"/>
      <c r="BM856" s="156"/>
      <c r="BN856" s="156"/>
      <c r="BO856" s="156"/>
      <c r="BP856" s="160"/>
      <c r="BQ856" s="160"/>
      <c r="BR856" s="160"/>
      <c r="BS856" s="160"/>
    </row>
    <row r="857" spans="1:71" x14ac:dyDescent="0.25">
      <c r="A857" s="154"/>
      <c r="B857" s="155"/>
      <c r="C857" s="155"/>
      <c r="D857" s="155"/>
      <c r="E857" s="156"/>
      <c r="F857" s="156"/>
      <c r="G857" s="155"/>
      <c r="H857" s="155"/>
      <c r="I857" s="155"/>
      <c r="J857" s="157"/>
      <c r="K857" s="157"/>
      <c r="L857" s="155"/>
      <c r="M857" s="155"/>
      <c r="N857" s="155"/>
      <c r="O857" s="156"/>
      <c r="P857" s="156"/>
      <c r="Q857" s="155"/>
      <c r="R857" s="155"/>
      <c r="S857" s="155"/>
      <c r="T857" s="156"/>
      <c r="U857" s="156"/>
      <c r="V857" s="155"/>
      <c r="W857" s="155"/>
      <c r="X857" s="155"/>
      <c r="Y857" s="155"/>
      <c r="Z857" s="155"/>
      <c r="AA857" s="156"/>
      <c r="AB857" s="156"/>
      <c r="AC857" s="155"/>
      <c r="AD857" s="155"/>
      <c r="AE857" s="155"/>
      <c r="AF857" s="156"/>
      <c r="AG857" s="156"/>
      <c r="AH857" s="155"/>
      <c r="AI857" s="155"/>
      <c r="AJ857" s="155"/>
      <c r="AK857" s="156"/>
      <c r="AL857" s="156"/>
      <c r="AM857" s="155"/>
      <c r="AN857" s="155"/>
      <c r="AO857" s="155"/>
      <c r="AP857" s="156"/>
      <c r="AQ857" s="156"/>
      <c r="AR857" s="155"/>
      <c r="AS857" s="155"/>
      <c r="AT857" s="155"/>
      <c r="AU857" s="156"/>
      <c r="AV857" s="156"/>
      <c r="AW857" s="155"/>
      <c r="AX857" s="155"/>
      <c r="AY857" s="155"/>
      <c r="AZ857" s="156"/>
      <c r="BA857" s="156"/>
      <c r="BB857" s="155"/>
      <c r="BC857" s="155"/>
      <c r="BD857" s="155"/>
      <c r="BE857" s="155"/>
      <c r="BF857" s="155"/>
      <c r="BG857" s="158"/>
      <c r="BH857" s="158"/>
      <c r="BI857" s="155"/>
      <c r="BJ857" s="155"/>
      <c r="BK857" s="159"/>
      <c r="BL857" s="156"/>
      <c r="BM857" s="156"/>
      <c r="BN857" s="156"/>
      <c r="BO857" s="156"/>
      <c r="BP857" s="160"/>
      <c r="BQ857" s="160"/>
      <c r="BR857" s="160"/>
      <c r="BS857" s="160"/>
    </row>
    <row r="858" spans="1:71" x14ac:dyDescent="0.25">
      <c r="A858" s="154"/>
      <c r="B858" s="155"/>
      <c r="C858" s="155"/>
      <c r="D858" s="155"/>
      <c r="E858" s="156"/>
      <c r="F858" s="156"/>
      <c r="G858" s="155"/>
      <c r="H858" s="155"/>
      <c r="I858" s="155"/>
      <c r="J858" s="157"/>
      <c r="K858" s="157"/>
      <c r="L858" s="155"/>
      <c r="M858" s="155"/>
      <c r="N858" s="155"/>
      <c r="O858" s="156"/>
      <c r="P858" s="156"/>
      <c r="Q858" s="155"/>
      <c r="R858" s="155"/>
      <c r="S858" s="155"/>
      <c r="T858" s="156"/>
      <c r="U858" s="156"/>
      <c r="V858" s="155"/>
      <c r="W858" s="155"/>
      <c r="X858" s="155"/>
      <c r="Y858" s="155"/>
      <c r="Z858" s="155"/>
      <c r="AA858" s="156"/>
      <c r="AB858" s="156"/>
      <c r="AC858" s="155"/>
      <c r="AD858" s="155"/>
      <c r="AE858" s="155"/>
      <c r="AF858" s="156"/>
      <c r="AG858" s="156"/>
      <c r="AH858" s="155"/>
      <c r="AI858" s="155"/>
      <c r="AJ858" s="155"/>
      <c r="AK858" s="156"/>
      <c r="AL858" s="156"/>
      <c r="AM858" s="155"/>
      <c r="AN858" s="155"/>
      <c r="AO858" s="155"/>
      <c r="AP858" s="156"/>
      <c r="AQ858" s="156"/>
      <c r="AR858" s="155"/>
      <c r="AS858" s="155"/>
      <c r="AT858" s="155"/>
      <c r="AU858" s="156"/>
      <c r="AV858" s="156"/>
      <c r="AW858" s="155"/>
      <c r="AX858" s="155"/>
      <c r="AY858" s="155"/>
      <c r="AZ858" s="156"/>
      <c r="BA858" s="156"/>
      <c r="BB858" s="155"/>
      <c r="BC858" s="155"/>
      <c r="BD858" s="155"/>
      <c r="BE858" s="155"/>
      <c r="BF858" s="155"/>
      <c r="BG858" s="158"/>
      <c r="BH858" s="158"/>
      <c r="BI858" s="155"/>
      <c r="BJ858" s="155"/>
      <c r="BK858" s="159"/>
      <c r="BL858" s="156"/>
      <c r="BM858" s="156"/>
      <c r="BN858" s="156"/>
      <c r="BO858" s="156"/>
      <c r="BP858" s="160"/>
      <c r="BQ858" s="160"/>
      <c r="BR858" s="160"/>
      <c r="BS858" s="160"/>
    </row>
    <row r="859" spans="1:71" x14ac:dyDescent="0.25">
      <c r="A859" s="154"/>
      <c r="B859" s="155"/>
      <c r="C859" s="155"/>
      <c r="D859" s="155"/>
      <c r="E859" s="156"/>
      <c r="F859" s="156"/>
      <c r="G859" s="155"/>
      <c r="H859" s="155"/>
      <c r="I859" s="155"/>
      <c r="J859" s="157"/>
      <c r="K859" s="157"/>
      <c r="L859" s="155"/>
      <c r="M859" s="155"/>
      <c r="N859" s="155"/>
      <c r="O859" s="156"/>
      <c r="P859" s="156"/>
      <c r="Q859" s="155"/>
      <c r="R859" s="155"/>
      <c r="S859" s="155"/>
      <c r="T859" s="156"/>
      <c r="U859" s="156"/>
      <c r="V859" s="155"/>
      <c r="W859" s="155"/>
      <c r="X859" s="155"/>
      <c r="Y859" s="155"/>
      <c r="Z859" s="155"/>
      <c r="AA859" s="156"/>
      <c r="AB859" s="156"/>
      <c r="AC859" s="155"/>
      <c r="AD859" s="155"/>
      <c r="AE859" s="155"/>
      <c r="AF859" s="156"/>
      <c r="AG859" s="156"/>
      <c r="AH859" s="155"/>
      <c r="AI859" s="155"/>
      <c r="AJ859" s="155"/>
      <c r="AK859" s="156"/>
      <c r="AL859" s="156"/>
      <c r="AM859" s="155"/>
      <c r="AN859" s="155"/>
      <c r="AO859" s="155"/>
      <c r="AP859" s="156"/>
      <c r="AQ859" s="156"/>
      <c r="AR859" s="155"/>
      <c r="AS859" s="155"/>
      <c r="AT859" s="155"/>
      <c r="AU859" s="156"/>
      <c r="AV859" s="156"/>
      <c r="AW859" s="155"/>
      <c r="AX859" s="155"/>
      <c r="AY859" s="155"/>
      <c r="AZ859" s="156"/>
      <c r="BA859" s="156"/>
      <c r="BB859" s="155"/>
      <c r="BC859" s="155"/>
      <c r="BD859" s="155"/>
      <c r="BE859" s="155"/>
      <c r="BF859" s="155"/>
      <c r="BG859" s="158"/>
      <c r="BH859" s="158"/>
      <c r="BI859" s="155"/>
      <c r="BJ859" s="155"/>
      <c r="BK859" s="159"/>
      <c r="BL859" s="156"/>
      <c r="BM859" s="156"/>
      <c r="BN859" s="156"/>
      <c r="BO859" s="156"/>
      <c r="BP859" s="160"/>
      <c r="BQ859" s="160"/>
      <c r="BR859" s="160"/>
      <c r="BS859" s="160"/>
    </row>
    <row r="860" spans="1:71" x14ac:dyDescent="0.25">
      <c r="A860" s="154"/>
      <c r="B860" s="155"/>
      <c r="C860" s="155"/>
      <c r="D860" s="155"/>
      <c r="E860" s="156"/>
      <c r="F860" s="156"/>
      <c r="G860" s="155"/>
      <c r="H860" s="155"/>
      <c r="I860" s="155"/>
      <c r="J860" s="157"/>
      <c r="K860" s="157"/>
      <c r="L860" s="155"/>
      <c r="M860" s="155"/>
      <c r="N860" s="155"/>
      <c r="O860" s="156"/>
      <c r="P860" s="156"/>
      <c r="Q860" s="155"/>
      <c r="R860" s="155"/>
      <c r="S860" s="155"/>
      <c r="T860" s="156"/>
      <c r="U860" s="156"/>
      <c r="V860" s="155"/>
      <c r="W860" s="155"/>
      <c r="X860" s="155"/>
      <c r="Y860" s="155"/>
      <c r="Z860" s="155"/>
      <c r="AA860" s="156"/>
      <c r="AB860" s="156"/>
      <c r="AC860" s="155"/>
      <c r="AD860" s="155"/>
      <c r="AE860" s="155"/>
      <c r="AF860" s="156"/>
      <c r="AG860" s="156"/>
      <c r="AH860" s="155"/>
      <c r="AI860" s="155"/>
      <c r="AJ860" s="155"/>
      <c r="AK860" s="156"/>
      <c r="AL860" s="156"/>
      <c r="AM860" s="155"/>
      <c r="AN860" s="155"/>
      <c r="AO860" s="155"/>
      <c r="AP860" s="156"/>
      <c r="AQ860" s="156"/>
      <c r="AR860" s="155"/>
      <c r="AS860" s="155"/>
      <c r="AT860" s="155"/>
      <c r="AU860" s="156"/>
      <c r="AV860" s="156"/>
      <c r="AW860" s="155"/>
      <c r="AX860" s="155"/>
      <c r="AY860" s="155"/>
      <c r="AZ860" s="156"/>
      <c r="BA860" s="156"/>
      <c r="BB860" s="155"/>
      <c r="BC860" s="155"/>
      <c r="BD860" s="155"/>
      <c r="BE860" s="155"/>
      <c r="BF860" s="155"/>
      <c r="BG860" s="158"/>
      <c r="BH860" s="158"/>
      <c r="BI860" s="155"/>
      <c r="BJ860" s="155"/>
      <c r="BK860" s="159"/>
      <c r="BL860" s="156"/>
      <c r="BM860" s="156"/>
      <c r="BN860" s="156"/>
      <c r="BO860" s="156"/>
      <c r="BP860" s="160"/>
      <c r="BQ860" s="160"/>
      <c r="BR860" s="160"/>
      <c r="BS860" s="160"/>
    </row>
    <row r="861" spans="1:71" x14ac:dyDescent="0.25">
      <c r="A861" s="154"/>
      <c r="B861" s="155"/>
      <c r="C861" s="155"/>
      <c r="D861" s="155"/>
      <c r="E861" s="156"/>
      <c r="F861" s="156"/>
      <c r="G861" s="155"/>
      <c r="H861" s="155"/>
      <c r="I861" s="155"/>
      <c r="J861" s="157"/>
      <c r="K861" s="157"/>
      <c r="L861" s="155"/>
      <c r="M861" s="155"/>
      <c r="N861" s="155"/>
      <c r="O861" s="156"/>
      <c r="P861" s="156"/>
      <c r="Q861" s="155"/>
      <c r="R861" s="155"/>
      <c r="S861" s="155"/>
      <c r="T861" s="156"/>
      <c r="U861" s="156"/>
      <c r="V861" s="155"/>
      <c r="W861" s="155"/>
      <c r="X861" s="155"/>
      <c r="Y861" s="155"/>
      <c r="Z861" s="155"/>
      <c r="AA861" s="156"/>
      <c r="AB861" s="156"/>
      <c r="AC861" s="155"/>
      <c r="AD861" s="155"/>
      <c r="AE861" s="155"/>
      <c r="AF861" s="156"/>
      <c r="AG861" s="156"/>
      <c r="AH861" s="155"/>
      <c r="AI861" s="155"/>
      <c r="AJ861" s="155"/>
      <c r="AK861" s="156"/>
      <c r="AL861" s="156"/>
      <c r="AM861" s="155"/>
      <c r="AN861" s="155"/>
      <c r="AO861" s="155"/>
      <c r="AP861" s="156"/>
      <c r="AQ861" s="156"/>
      <c r="AR861" s="155"/>
      <c r="AS861" s="155"/>
      <c r="AT861" s="155"/>
      <c r="AU861" s="156"/>
      <c r="AV861" s="156"/>
      <c r="AW861" s="155"/>
      <c r="AX861" s="155"/>
      <c r="AY861" s="155"/>
      <c r="AZ861" s="156"/>
      <c r="BA861" s="156"/>
      <c r="BB861" s="155"/>
      <c r="BC861" s="155"/>
      <c r="BD861" s="155"/>
      <c r="BE861" s="155"/>
      <c r="BF861" s="155"/>
      <c r="BG861" s="158"/>
      <c r="BH861" s="158"/>
      <c r="BI861" s="155"/>
      <c r="BJ861" s="155"/>
      <c r="BK861" s="159"/>
      <c r="BL861" s="156"/>
      <c r="BM861" s="156"/>
      <c r="BN861" s="156"/>
      <c r="BO861" s="156"/>
      <c r="BP861" s="160"/>
      <c r="BQ861" s="160"/>
      <c r="BR861" s="160"/>
      <c r="BS861" s="160"/>
    </row>
    <row r="862" spans="1:71" x14ac:dyDescent="0.25">
      <c r="A862" s="154"/>
      <c r="B862" s="155"/>
      <c r="C862" s="155"/>
      <c r="D862" s="155"/>
      <c r="E862" s="156"/>
      <c r="F862" s="156"/>
      <c r="G862" s="155"/>
      <c r="H862" s="155"/>
      <c r="I862" s="155"/>
      <c r="J862" s="157"/>
      <c r="K862" s="157"/>
      <c r="L862" s="155"/>
      <c r="M862" s="155"/>
      <c r="N862" s="155"/>
      <c r="O862" s="156"/>
      <c r="P862" s="156"/>
      <c r="Q862" s="155"/>
      <c r="R862" s="155"/>
      <c r="S862" s="155"/>
      <c r="T862" s="156"/>
      <c r="U862" s="156"/>
      <c r="V862" s="155"/>
      <c r="W862" s="155"/>
      <c r="X862" s="155"/>
      <c r="Y862" s="155"/>
      <c r="Z862" s="155"/>
      <c r="AA862" s="156"/>
      <c r="AB862" s="156"/>
      <c r="AC862" s="155"/>
      <c r="AD862" s="155"/>
      <c r="AE862" s="155"/>
      <c r="AF862" s="156"/>
      <c r="AG862" s="156"/>
      <c r="AH862" s="155"/>
      <c r="AI862" s="155"/>
      <c r="AJ862" s="155"/>
      <c r="AK862" s="156"/>
      <c r="AL862" s="156"/>
      <c r="AM862" s="155"/>
      <c r="AN862" s="155"/>
      <c r="AO862" s="155"/>
      <c r="AP862" s="156"/>
      <c r="AQ862" s="156"/>
      <c r="AR862" s="155"/>
      <c r="AS862" s="155"/>
      <c r="AT862" s="155"/>
      <c r="AU862" s="156"/>
      <c r="AV862" s="156"/>
      <c r="AW862" s="155"/>
      <c r="AX862" s="155"/>
      <c r="AY862" s="155"/>
      <c r="AZ862" s="156"/>
      <c r="BA862" s="156"/>
      <c r="BB862" s="155"/>
      <c r="BC862" s="155"/>
      <c r="BD862" s="155"/>
      <c r="BE862" s="155"/>
      <c r="BF862" s="155"/>
      <c r="BG862" s="158"/>
      <c r="BH862" s="158"/>
      <c r="BI862" s="155"/>
      <c r="BJ862" s="155"/>
      <c r="BK862" s="159"/>
      <c r="BL862" s="156"/>
      <c r="BM862" s="156"/>
      <c r="BN862" s="156"/>
      <c r="BO862" s="156"/>
      <c r="BP862" s="160"/>
      <c r="BQ862" s="160"/>
      <c r="BR862" s="160"/>
      <c r="BS862" s="160"/>
    </row>
    <row r="863" spans="1:71" x14ac:dyDescent="0.25">
      <c r="A863" s="154"/>
      <c r="B863" s="155"/>
      <c r="C863" s="155"/>
      <c r="D863" s="155"/>
      <c r="E863" s="156"/>
      <c r="F863" s="156"/>
      <c r="G863" s="155"/>
      <c r="H863" s="155"/>
      <c r="I863" s="155"/>
      <c r="J863" s="157"/>
      <c r="K863" s="157"/>
      <c r="L863" s="155"/>
      <c r="M863" s="155"/>
      <c r="N863" s="155"/>
      <c r="O863" s="156"/>
      <c r="P863" s="156"/>
      <c r="Q863" s="155"/>
      <c r="R863" s="155"/>
      <c r="S863" s="155"/>
      <c r="T863" s="156"/>
      <c r="U863" s="156"/>
      <c r="V863" s="155"/>
      <c r="W863" s="155"/>
      <c r="X863" s="155"/>
      <c r="Y863" s="155"/>
      <c r="Z863" s="155"/>
      <c r="AA863" s="156"/>
      <c r="AB863" s="156"/>
      <c r="AC863" s="155"/>
      <c r="AD863" s="155"/>
      <c r="AE863" s="155"/>
      <c r="AF863" s="156"/>
      <c r="AG863" s="156"/>
      <c r="AH863" s="155"/>
      <c r="AI863" s="155"/>
      <c r="AJ863" s="155"/>
      <c r="AK863" s="156"/>
      <c r="AL863" s="156"/>
      <c r="AM863" s="155"/>
      <c r="AN863" s="155"/>
      <c r="AO863" s="155"/>
      <c r="AP863" s="156"/>
      <c r="AQ863" s="156"/>
      <c r="AR863" s="155"/>
      <c r="AS863" s="155"/>
      <c r="AT863" s="155"/>
      <c r="AU863" s="156"/>
      <c r="AV863" s="156"/>
      <c r="AW863" s="155"/>
      <c r="AX863" s="155"/>
      <c r="AY863" s="155"/>
      <c r="AZ863" s="156"/>
      <c r="BA863" s="156"/>
      <c r="BB863" s="155"/>
      <c r="BC863" s="155"/>
      <c r="BD863" s="155"/>
      <c r="BE863" s="155"/>
      <c r="BF863" s="155"/>
      <c r="BG863" s="158"/>
      <c r="BH863" s="158"/>
      <c r="BI863" s="155"/>
      <c r="BJ863" s="155"/>
      <c r="BK863" s="159"/>
      <c r="BL863" s="156"/>
      <c r="BM863" s="156"/>
      <c r="BN863" s="156"/>
      <c r="BO863" s="156"/>
      <c r="BP863" s="160"/>
      <c r="BQ863" s="160"/>
      <c r="BR863" s="160"/>
      <c r="BS863" s="160"/>
    </row>
    <row r="864" spans="1:71" x14ac:dyDescent="0.25">
      <c r="A864" s="154"/>
      <c r="B864" s="155"/>
      <c r="C864" s="155"/>
      <c r="D864" s="155"/>
      <c r="E864" s="156"/>
      <c r="F864" s="156"/>
      <c r="G864" s="155"/>
      <c r="H864" s="155"/>
      <c r="I864" s="155"/>
      <c r="J864" s="157"/>
      <c r="K864" s="157"/>
      <c r="L864" s="155"/>
      <c r="M864" s="155"/>
      <c r="N864" s="155"/>
      <c r="O864" s="156"/>
      <c r="P864" s="156"/>
      <c r="Q864" s="155"/>
      <c r="R864" s="155"/>
      <c r="S864" s="155"/>
      <c r="T864" s="156"/>
      <c r="U864" s="156"/>
      <c r="V864" s="155"/>
      <c r="W864" s="155"/>
      <c r="X864" s="155"/>
      <c r="Y864" s="155"/>
      <c r="Z864" s="155"/>
      <c r="AA864" s="156"/>
      <c r="AB864" s="156"/>
      <c r="AC864" s="155"/>
      <c r="AD864" s="155"/>
      <c r="AE864" s="155"/>
      <c r="AF864" s="156"/>
      <c r="AG864" s="156"/>
      <c r="AH864" s="155"/>
      <c r="AI864" s="155"/>
      <c r="AJ864" s="155"/>
      <c r="AK864" s="156"/>
      <c r="AL864" s="156"/>
      <c r="AM864" s="155"/>
      <c r="AN864" s="155"/>
      <c r="AO864" s="155"/>
      <c r="AP864" s="156"/>
      <c r="AQ864" s="156"/>
      <c r="AR864" s="155"/>
      <c r="AS864" s="155"/>
      <c r="AT864" s="155"/>
      <c r="AU864" s="156"/>
      <c r="AV864" s="156"/>
      <c r="AW864" s="155"/>
      <c r="AX864" s="155"/>
      <c r="AY864" s="155"/>
      <c r="AZ864" s="156"/>
      <c r="BA864" s="156"/>
      <c r="BB864" s="155"/>
      <c r="BC864" s="155"/>
      <c r="BD864" s="155"/>
      <c r="BE864" s="155"/>
      <c r="BF864" s="155"/>
      <c r="BG864" s="158"/>
      <c r="BH864" s="158"/>
      <c r="BI864" s="155"/>
      <c r="BJ864" s="155"/>
      <c r="BK864" s="159"/>
      <c r="BL864" s="156"/>
      <c r="BM864" s="156"/>
      <c r="BN864" s="156"/>
      <c r="BO864" s="156"/>
      <c r="BP864" s="160"/>
      <c r="BQ864" s="160"/>
      <c r="BR864" s="160"/>
      <c r="BS864" s="160"/>
    </row>
    <row r="865" spans="1:71" x14ac:dyDescent="0.25">
      <c r="A865" s="154"/>
      <c r="B865" s="155"/>
      <c r="C865" s="155"/>
      <c r="D865" s="155"/>
      <c r="E865" s="156"/>
      <c r="F865" s="156"/>
      <c r="G865" s="155"/>
      <c r="H865" s="155"/>
      <c r="I865" s="155"/>
      <c r="J865" s="157"/>
      <c r="K865" s="157"/>
      <c r="L865" s="155"/>
      <c r="M865" s="155"/>
      <c r="N865" s="155"/>
      <c r="O865" s="156"/>
      <c r="P865" s="156"/>
      <c r="Q865" s="155"/>
      <c r="R865" s="155"/>
      <c r="S865" s="155"/>
      <c r="T865" s="156"/>
      <c r="U865" s="156"/>
      <c r="V865" s="155"/>
      <c r="W865" s="155"/>
      <c r="X865" s="155"/>
      <c r="Y865" s="155"/>
      <c r="Z865" s="155"/>
      <c r="AA865" s="156"/>
      <c r="AB865" s="156"/>
      <c r="AC865" s="155"/>
      <c r="AD865" s="155"/>
      <c r="AE865" s="155"/>
      <c r="AF865" s="156"/>
      <c r="AG865" s="156"/>
      <c r="AH865" s="155"/>
      <c r="AI865" s="155"/>
      <c r="AJ865" s="155"/>
      <c r="AK865" s="156"/>
      <c r="AL865" s="156"/>
      <c r="AM865" s="155"/>
      <c r="AN865" s="155"/>
      <c r="AO865" s="155"/>
      <c r="AP865" s="156"/>
      <c r="AQ865" s="156"/>
      <c r="AR865" s="155"/>
      <c r="AS865" s="155"/>
      <c r="AT865" s="155"/>
      <c r="AU865" s="156"/>
      <c r="AV865" s="156"/>
      <c r="AW865" s="155"/>
      <c r="AX865" s="155"/>
      <c r="AY865" s="155"/>
      <c r="AZ865" s="156"/>
      <c r="BA865" s="156"/>
      <c r="BB865" s="155"/>
      <c r="BC865" s="155"/>
      <c r="BD865" s="155"/>
      <c r="BE865" s="155"/>
      <c r="BF865" s="155"/>
      <c r="BG865" s="158"/>
      <c r="BH865" s="158"/>
      <c r="BI865" s="155"/>
      <c r="BJ865" s="155"/>
      <c r="BK865" s="159"/>
      <c r="BL865" s="156"/>
      <c r="BM865" s="156"/>
      <c r="BN865" s="156"/>
      <c r="BO865" s="156"/>
      <c r="BP865" s="160"/>
      <c r="BQ865" s="160"/>
      <c r="BR865" s="160"/>
      <c r="BS865" s="160"/>
    </row>
    <row r="866" spans="1:71" x14ac:dyDescent="0.25">
      <c r="A866" s="154"/>
      <c r="B866" s="155"/>
      <c r="C866" s="155"/>
      <c r="D866" s="155"/>
      <c r="E866" s="156"/>
      <c r="F866" s="156"/>
      <c r="G866" s="155"/>
      <c r="H866" s="155"/>
      <c r="I866" s="155"/>
      <c r="J866" s="157"/>
      <c r="K866" s="157"/>
      <c r="L866" s="155"/>
      <c r="M866" s="155"/>
      <c r="N866" s="155"/>
      <c r="O866" s="156"/>
      <c r="P866" s="156"/>
      <c r="Q866" s="155"/>
      <c r="R866" s="155"/>
      <c r="S866" s="155"/>
      <c r="T866" s="156"/>
      <c r="U866" s="156"/>
      <c r="V866" s="155"/>
      <c r="W866" s="155"/>
      <c r="X866" s="155"/>
      <c r="Y866" s="155"/>
      <c r="Z866" s="155"/>
      <c r="AA866" s="156"/>
      <c r="AB866" s="156"/>
      <c r="AC866" s="155"/>
      <c r="AD866" s="155"/>
      <c r="AE866" s="155"/>
      <c r="AF866" s="156"/>
      <c r="AG866" s="156"/>
      <c r="AH866" s="155"/>
      <c r="AI866" s="155"/>
      <c r="AJ866" s="155"/>
      <c r="AK866" s="156"/>
      <c r="AL866" s="156"/>
      <c r="AM866" s="155"/>
      <c r="AN866" s="155"/>
      <c r="AO866" s="155"/>
      <c r="AP866" s="156"/>
      <c r="AQ866" s="156"/>
      <c r="AR866" s="155"/>
      <c r="AS866" s="155"/>
      <c r="AT866" s="155"/>
      <c r="AU866" s="156"/>
      <c r="AV866" s="156"/>
      <c r="AW866" s="155"/>
      <c r="AX866" s="155"/>
      <c r="AY866" s="155"/>
      <c r="AZ866" s="156"/>
      <c r="BA866" s="156"/>
      <c r="BB866" s="155"/>
      <c r="BC866" s="155"/>
      <c r="BD866" s="155"/>
      <c r="BE866" s="155"/>
      <c r="BF866" s="155"/>
      <c r="BG866" s="158"/>
      <c r="BH866" s="158"/>
      <c r="BI866" s="155"/>
      <c r="BJ866" s="155"/>
      <c r="BK866" s="159"/>
      <c r="BL866" s="156"/>
      <c r="BM866" s="156"/>
      <c r="BN866" s="156"/>
      <c r="BO866" s="156"/>
      <c r="BP866" s="160"/>
      <c r="BQ866" s="160"/>
      <c r="BR866" s="160"/>
      <c r="BS866" s="160"/>
    </row>
    <row r="867" spans="1:71" x14ac:dyDescent="0.25">
      <c r="A867" s="154"/>
      <c r="B867" s="155"/>
      <c r="C867" s="155"/>
      <c r="D867" s="155"/>
      <c r="E867" s="156"/>
      <c r="F867" s="156"/>
      <c r="G867" s="155"/>
      <c r="H867" s="155"/>
      <c r="I867" s="155"/>
      <c r="J867" s="157"/>
      <c r="K867" s="157"/>
      <c r="L867" s="155"/>
      <c r="M867" s="155"/>
      <c r="N867" s="155"/>
      <c r="O867" s="156"/>
      <c r="P867" s="156"/>
      <c r="Q867" s="155"/>
      <c r="R867" s="155"/>
      <c r="S867" s="155"/>
      <c r="T867" s="156"/>
      <c r="U867" s="156"/>
      <c r="V867" s="155"/>
      <c r="W867" s="155"/>
      <c r="X867" s="155"/>
      <c r="Y867" s="155"/>
      <c r="Z867" s="155"/>
      <c r="AA867" s="156"/>
      <c r="AB867" s="156"/>
      <c r="AC867" s="155"/>
      <c r="AD867" s="155"/>
      <c r="AE867" s="155"/>
      <c r="AF867" s="156"/>
      <c r="AG867" s="156"/>
      <c r="AH867" s="155"/>
      <c r="AI867" s="155"/>
      <c r="AJ867" s="155"/>
      <c r="AK867" s="156"/>
      <c r="AL867" s="156"/>
      <c r="AM867" s="155"/>
      <c r="AN867" s="155"/>
      <c r="AO867" s="155"/>
      <c r="AP867" s="156"/>
      <c r="AQ867" s="156"/>
      <c r="AR867" s="155"/>
      <c r="AS867" s="155"/>
      <c r="AT867" s="155"/>
      <c r="AU867" s="156"/>
      <c r="AV867" s="156"/>
      <c r="AW867" s="155"/>
      <c r="AX867" s="155"/>
      <c r="AY867" s="155"/>
      <c r="AZ867" s="156"/>
      <c r="BA867" s="156"/>
      <c r="BB867" s="155"/>
      <c r="BC867" s="155"/>
      <c r="BD867" s="155"/>
      <c r="BE867" s="155"/>
      <c r="BF867" s="155"/>
      <c r="BG867" s="158"/>
      <c r="BH867" s="158"/>
      <c r="BI867" s="155"/>
      <c r="BJ867" s="155"/>
      <c r="BK867" s="159"/>
      <c r="BL867" s="156"/>
      <c r="BM867" s="156"/>
      <c r="BN867" s="156"/>
      <c r="BO867" s="156"/>
      <c r="BP867" s="160"/>
      <c r="BQ867" s="160"/>
      <c r="BR867" s="160"/>
      <c r="BS867" s="160"/>
    </row>
    <row r="868" spans="1:71" x14ac:dyDescent="0.25">
      <c r="A868" s="154"/>
      <c r="B868" s="155"/>
      <c r="C868" s="155"/>
      <c r="D868" s="155"/>
      <c r="E868" s="156"/>
      <c r="F868" s="156"/>
      <c r="G868" s="155"/>
      <c r="H868" s="155"/>
      <c r="I868" s="155"/>
      <c r="J868" s="157"/>
      <c r="K868" s="157"/>
      <c r="L868" s="155"/>
      <c r="M868" s="155"/>
      <c r="N868" s="155"/>
      <c r="O868" s="156"/>
      <c r="P868" s="156"/>
      <c r="Q868" s="155"/>
      <c r="R868" s="155"/>
      <c r="S868" s="155"/>
      <c r="T868" s="156"/>
      <c r="U868" s="156"/>
      <c r="V868" s="155"/>
      <c r="W868" s="155"/>
      <c r="X868" s="155"/>
      <c r="Y868" s="155"/>
      <c r="Z868" s="155"/>
      <c r="AA868" s="156"/>
      <c r="AB868" s="156"/>
      <c r="AC868" s="155"/>
      <c r="AD868" s="155"/>
      <c r="AE868" s="155"/>
      <c r="AF868" s="156"/>
      <c r="AG868" s="156"/>
      <c r="AH868" s="155"/>
      <c r="AI868" s="155"/>
      <c r="AJ868" s="155"/>
      <c r="AK868" s="156"/>
      <c r="AL868" s="156"/>
      <c r="AM868" s="155"/>
      <c r="AN868" s="155"/>
      <c r="AO868" s="155"/>
      <c r="AP868" s="156"/>
      <c r="AQ868" s="156"/>
      <c r="AR868" s="155"/>
      <c r="AS868" s="155"/>
      <c r="AT868" s="155"/>
      <c r="AU868" s="156"/>
      <c r="AV868" s="156"/>
      <c r="AW868" s="155"/>
      <c r="AX868" s="155"/>
      <c r="AY868" s="155"/>
      <c r="AZ868" s="156"/>
      <c r="BA868" s="156"/>
      <c r="BB868" s="155"/>
      <c r="BC868" s="155"/>
      <c r="BD868" s="155"/>
      <c r="BE868" s="155"/>
      <c r="BF868" s="155"/>
      <c r="BG868" s="158"/>
      <c r="BH868" s="158"/>
      <c r="BI868" s="155"/>
      <c r="BJ868" s="155"/>
      <c r="BK868" s="159"/>
      <c r="BL868" s="156"/>
      <c r="BM868" s="156"/>
      <c r="BN868" s="156"/>
      <c r="BO868" s="156"/>
      <c r="BP868" s="160"/>
      <c r="BQ868" s="160"/>
      <c r="BR868" s="160"/>
      <c r="BS868" s="160"/>
    </row>
    <row r="869" spans="1:71" x14ac:dyDescent="0.25">
      <c r="A869" s="154"/>
      <c r="B869" s="155"/>
      <c r="C869" s="155"/>
      <c r="D869" s="155"/>
      <c r="E869" s="156"/>
      <c r="F869" s="156"/>
      <c r="G869" s="155"/>
      <c r="H869" s="155"/>
      <c r="I869" s="155"/>
      <c r="J869" s="157"/>
      <c r="K869" s="157"/>
      <c r="L869" s="155"/>
      <c r="M869" s="155"/>
      <c r="N869" s="155"/>
      <c r="O869" s="156"/>
      <c r="P869" s="156"/>
      <c r="Q869" s="155"/>
      <c r="R869" s="155"/>
      <c r="S869" s="155"/>
      <c r="T869" s="156"/>
      <c r="U869" s="156"/>
      <c r="V869" s="155"/>
      <c r="W869" s="155"/>
      <c r="X869" s="155"/>
      <c r="Y869" s="155"/>
      <c r="Z869" s="155"/>
      <c r="AA869" s="156"/>
      <c r="AB869" s="156"/>
      <c r="AC869" s="155"/>
      <c r="AD869" s="155"/>
      <c r="AE869" s="155"/>
      <c r="AF869" s="156"/>
      <c r="AG869" s="156"/>
      <c r="AH869" s="155"/>
      <c r="AI869" s="155"/>
      <c r="AJ869" s="155"/>
      <c r="AK869" s="156"/>
      <c r="AL869" s="156"/>
      <c r="AM869" s="155"/>
      <c r="AN869" s="155"/>
      <c r="AO869" s="155"/>
      <c r="AP869" s="156"/>
      <c r="AQ869" s="156"/>
      <c r="AR869" s="155"/>
      <c r="AS869" s="155"/>
      <c r="AT869" s="155"/>
      <c r="AU869" s="156"/>
      <c r="AV869" s="156"/>
      <c r="AW869" s="155"/>
      <c r="AX869" s="155"/>
      <c r="AY869" s="155"/>
      <c r="AZ869" s="156"/>
      <c r="BA869" s="156"/>
      <c r="BB869" s="155"/>
      <c r="BC869" s="155"/>
      <c r="BD869" s="155"/>
      <c r="BE869" s="155"/>
      <c r="BF869" s="155"/>
      <c r="BG869" s="158"/>
      <c r="BH869" s="158"/>
      <c r="BI869" s="155"/>
      <c r="BJ869" s="155"/>
      <c r="BK869" s="159"/>
      <c r="BL869" s="156"/>
      <c r="BM869" s="156"/>
      <c r="BN869" s="156"/>
      <c r="BO869" s="156"/>
      <c r="BP869" s="160"/>
      <c r="BQ869" s="160"/>
      <c r="BR869" s="160"/>
      <c r="BS869" s="160"/>
    </row>
    <row r="870" spans="1:71" x14ac:dyDescent="0.25">
      <c r="A870" s="154"/>
      <c r="B870" s="155"/>
      <c r="C870" s="155"/>
      <c r="D870" s="155"/>
      <c r="E870" s="156"/>
      <c r="F870" s="156"/>
      <c r="G870" s="155"/>
      <c r="H870" s="155"/>
      <c r="I870" s="155"/>
      <c r="J870" s="157"/>
      <c r="K870" s="157"/>
      <c r="L870" s="155"/>
      <c r="M870" s="155"/>
      <c r="N870" s="155"/>
      <c r="O870" s="156"/>
      <c r="P870" s="156"/>
      <c r="Q870" s="155"/>
      <c r="R870" s="155"/>
      <c r="S870" s="155"/>
      <c r="T870" s="156"/>
      <c r="U870" s="156"/>
      <c r="V870" s="155"/>
      <c r="W870" s="155"/>
      <c r="X870" s="155"/>
      <c r="Y870" s="155"/>
      <c r="Z870" s="155"/>
      <c r="AA870" s="156"/>
      <c r="AB870" s="156"/>
      <c r="AC870" s="155"/>
      <c r="AD870" s="155"/>
      <c r="AE870" s="155"/>
      <c r="AF870" s="156"/>
      <c r="AG870" s="156"/>
      <c r="AH870" s="155"/>
      <c r="AI870" s="155"/>
      <c r="AJ870" s="155"/>
      <c r="AK870" s="156"/>
      <c r="AL870" s="156"/>
      <c r="AM870" s="155"/>
      <c r="AN870" s="155"/>
      <c r="AO870" s="155"/>
      <c r="AP870" s="156"/>
      <c r="AQ870" s="156"/>
      <c r="AR870" s="155"/>
      <c r="AS870" s="155"/>
      <c r="AT870" s="155"/>
      <c r="AU870" s="156"/>
      <c r="AV870" s="156"/>
      <c r="AW870" s="155"/>
      <c r="AX870" s="155"/>
      <c r="AY870" s="155"/>
      <c r="AZ870" s="156"/>
      <c r="BA870" s="156"/>
      <c r="BB870" s="155"/>
      <c r="BC870" s="155"/>
      <c r="BD870" s="155"/>
      <c r="BE870" s="155"/>
      <c r="BF870" s="155"/>
      <c r="BG870" s="158"/>
      <c r="BH870" s="158"/>
      <c r="BI870" s="155"/>
      <c r="BJ870" s="155"/>
      <c r="BK870" s="159"/>
      <c r="BL870" s="156"/>
      <c r="BM870" s="156"/>
      <c r="BN870" s="156"/>
      <c r="BO870" s="156"/>
      <c r="BP870" s="160"/>
      <c r="BQ870" s="160"/>
      <c r="BR870" s="160"/>
      <c r="BS870" s="160"/>
    </row>
    <row r="871" spans="1:71" x14ac:dyDescent="0.25">
      <c r="A871" s="154"/>
      <c r="B871" s="155"/>
      <c r="C871" s="155"/>
      <c r="D871" s="155"/>
      <c r="E871" s="156"/>
      <c r="F871" s="156"/>
      <c r="G871" s="155"/>
      <c r="H871" s="155"/>
      <c r="I871" s="155"/>
      <c r="J871" s="157"/>
      <c r="K871" s="157"/>
      <c r="L871" s="155"/>
      <c r="M871" s="155"/>
      <c r="N871" s="155"/>
      <c r="O871" s="156"/>
      <c r="P871" s="156"/>
      <c r="Q871" s="155"/>
      <c r="R871" s="155"/>
      <c r="S871" s="155"/>
      <c r="T871" s="156"/>
      <c r="U871" s="156"/>
      <c r="V871" s="155"/>
      <c r="W871" s="155"/>
      <c r="X871" s="155"/>
      <c r="Y871" s="155"/>
      <c r="Z871" s="155"/>
      <c r="AA871" s="156"/>
      <c r="AB871" s="156"/>
      <c r="AC871" s="155"/>
      <c r="AD871" s="155"/>
      <c r="AE871" s="155"/>
      <c r="AF871" s="156"/>
      <c r="AG871" s="156"/>
      <c r="AH871" s="155"/>
      <c r="AI871" s="155"/>
      <c r="AJ871" s="155"/>
      <c r="AK871" s="156"/>
      <c r="AL871" s="156"/>
      <c r="AM871" s="155"/>
      <c r="AN871" s="155"/>
      <c r="AO871" s="155"/>
      <c r="AP871" s="156"/>
      <c r="AQ871" s="156"/>
      <c r="AR871" s="155"/>
      <c r="AS871" s="155"/>
      <c r="AT871" s="155"/>
      <c r="AU871" s="156"/>
      <c r="AV871" s="156"/>
      <c r="AW871" s="155"/>
      <c r="AX871" s="155"/>
      <c r="AY871" s="155"/>
      <c r="AZ871" s="156"/>
      <c r="BA871" s="156"/>
      <c r="BB871" s="155"/>
      <c r="BC871" s="155"/>
      <c r="BD871" s="155"/>
      <c r="BE871" s="155"/>
      <c r="BF871" s="155"/>
      <c r="BG871" s="158"/>
      <c r="BH871" s="158"/>
      <c r="BI871" s="155"/>
      <c r="BJ871" s="155"/>
      <c r="BK871" s="159"/>
      <c r="BL871" s="156"/>
      <c r="BM871" s="156"/>
      <c r="BN871" s="156"/>
      <c r="BO871" s="156"/>
      <c r="BP871" s="160"/>
      <c r="BQ871" s="160"/>
      <c r="BR871" s="160"/>
      <c r="BS871" s="160"/>
    </row>
    <row r="872" spans="1:71" x14ac:dyDescent="0.25">
      <c r="A872" s="154"/>
      <c r="B872" s="155"/>
      <c r="C872" s="155"/>
      <c r="D872" s="155"/>
      <c r="E872" s="156"/>
      <c r="F872" s="156"/>
      <c r="G872" s="155"/>
      <c r="H872" s="155"/>
      <c r="I872" s="155"/>
      <c r="J872" s="157"/>
      <c r="K872" s="157"/>
      <c r="L872" s="155"/>
      <c r="M872" s="155"/>
      <c r="N872" s="155"/>
      <c r="O872" s="156"/>
      <c r="P872" s="156"/>
      <c r="Q872" s="155"/>
      <c r="R872" s="155"/>
      <c r="S872" s="155"/>
      <c r="T872" s="156"/>
      <c r="U872" s="156"/>
      <c r="V872" s="155"/>
      <c r="W872" s="155"/>
      <c r="X872" s="155"/>
      <c r="Y872" s="155"/>
      <c r="Z872" s="155"/>
      <c r="AA872" s="156"/>
      <c r="AB872" s="156"/>
      <c r="AC872" s="155"/>
      <c r="AD872" s="155"/>
      <c r="AE872" s="155"/>
      <c r="AF872" s="156"/>
      <c r="AG872" s="156"/>
      <c r="AH872" s="155"/>
      <c r="AI872" s="155"/>
      <c r="AJ872" s="155"/>
      <c r="AK872" s="156"/>
      <c r="AL872" s="156"/>
      <c r="AM872" s="155"/>
      <c r="AN872" s="155"/>
      <c r="AO872" s="155"/>
      <c r="AP872" s="156"/>
      <c r="AQ872" s="156"/>
      <c r="AR872" s="155"/>
      <c r="AS872" s="155"/>
      <c r="AT872" s="155"/>
      <c r="AU872" s="156"/>
      <c r="AV872" s="156"/>
      <c r="AW872" s="155"/>
      <c r="AX872" s="155"/>
      <c r="AY872" s="155"/>
      <c r="AZ872" s="156"/>
      <c r="BA872" s="156"/>
      <c r="BB872" s="155"/>
      <c r="BC872" s="155"/>
      <c r="BD872" s="155"/>
      <c r="BE872" s="155"/>
      <c r="BF872" s="155"/>
      <c r="BG872" s="158"/>
      <c r="BH872" s="158"/>
      <c r="BI872" s="155"/>
      <c r="BJ872" s="155"/>
      <c r="BK872" s="159"/>
      <c r="BL872" s="156"/>
      <c r="BM872" s="156"/>
      <c r="BN872" s="156"/>
      <c r="BO872" s="156"/>
      <c r="BP872" s="160"/>
      <c r="BQ872" s="160"/>
      <c r="BR872" s="160"/>
      <c r="BS872" s="160"/>
    </row>
    <row r="873" spans="1:71" x14ac:dyDescent="0.25">
      <c r="A873" s="154"/>
      <c r="B873" s="155"/>
      <c r="C873" s="155"/>
      <c r="D873" s="155"/>
      <c r="E873" s="156"/>
      <c r="F873" s="156"/>
      <c r="G873" s="155"/>
      <c r="H873" s="155"/>
      <c r="I873" s="155"/>
      <c r="J873" s="157"/>
      <c r="K873" s="157"/>
      <c r="L873" s="155"/>
      <c r="M873" s="155"/>
      <c r="N873" s="155"/>
      <c r="O873" s="156"/>
      <c r="P873" s="156"/>
      <c r="Q873" s="155"/>
      <c r="R873" s="155"/>
      <c r="S873" s="155"/>
      <c r="T873" s="156"/>
      <c r="U873" s="156"/>
      <c r="V873" s="155"/>
      <c r="W873" s="155"/>
      <c r="X873" s="155"/>
      <c r="Y873" s="155"/>
      <c r="Z873" s="155"/>
      <c r="AA873" s="156"/>
      <c r="AB873" s="156"/>
      <c r="AC873" s="155"/>
      <c r="AD873" s="155"/>
      <c r="AE873" s="155"/>
      <c r="AF873" s="156"/>
      <c r="AG873" s="156"/>
      <c r="AH873" s="155"/>
      <c r="AI873" s="155"/>
      <c r="AJ873" s="155"/>
      <c r="AK873" s="156"/>
      <c r="AL873" s="156"/>
      <c r="AM873" s="155"/>
      <c r="AN873" s="155"/>
      <c r="AO873" s="155"/>
      <c r="AP873" s="156"/>
      <c r="AQ873" s="156"/>
      <c r="AR873" s="155"/>
      <c r="AS873" s="155"/>
      <c r="AT873" s="155"/>
      <c r="AU873" s="156"/>
      <c r="AV873" s="156"/>
      <c r="AW873" s="155"/>
      <c r="AX873" s="155"/>
      <c r="AY873" s="155"/>
      <c r="AZ873" s="156"/>
      <c r="BA873" s="156"/>
      <c r="BB873" s="155"/>
      <c r="BC873" s="155"/>
      <c r="BD873" s="155"/>
      <c r="BE873" s="155"/>
      <c r="BF873" s="155"/>
      <c r="BG873" s="158"/>
      <c r="BH873" s="158"/>
      <c r="BI873" s="155"/>
      <c r="BJ873" s="155"/>
      <c r="BK873" s="159"/>
      <c r="BL873" s="156"/>
      <c r="BM873" s="156"/>
      <c r="BN873" s="156"/>
      <c r="BO873" s="156"/>
      <c r="BP873" s="160"/>
      <c r="BQ873" s="160"/>
      <c r="BR873" s="160"/>
      <c r="BS873" s="160"/>
    </row>
    <row r="874" spans="1:71" x14ac:dyDescent="0.25">
      <c r="A874" s="154"/>
      <c r="B874" s="155"/>
      <c r="C874" s="155"/>
      <c r="D874" s="155"/>
      <c r="E874" s="156"/>
      <c r="F874" s="156"/>
      <c r="G874" s="155"/>
      <c r="H874" s="155"/>
      <c r="I874" s="155"/>
      <c r="J874" s="157"/>
      <c r="K874" s="157"/>
      <c r="L874" s="155"/>
      <c r="M874" s="155"/>
      <c r="N874" s="155"/>
      <c r="O874" s="156"/>
      <c r="P874" s="156"/>
      <c r="Q874" s="155"/>
      <c r="R874" s="155"/>
      <c r="S874" s="155"/>
      <c r="T874" s="156"/>
      <c r="U874" s="156"/>
      <c r="V874" s="155"/>
      <c r="W874" s="155"/>
      <c r="X874" s="155"/>
      <c r="Y874" s="155"/>
      <c r="Z874" s="155"/>
      <c r="AA874" s="156"/>
      <c r="AB874" s="156"/>
      <c r="AC874" s="155"/>
      <c r="AD874" s="155"/>
      <c r="AE874" s="155"/>
      <c r="AF874" s="156"/>
      <c r="AG874" s="156"/>
      <c r="AH874" s="155"/>
      <c r="AI874" s="155"/>
      <c r="AJ874" s="155"/>
      <c r="AK874" s="156"/>
      <c r="AL874" s="156"/>
      <c r="AM874" s="155"/>
      <c r="AN874" s="155"/>
      <c r="AO874" s="155"/>
      <c r="AP874" s="156"/>
      <c r="AQ874" s="156"/>
      <c r="AR874" s="155"/>
      <c r="AS874" s="155"/>
      <c r="AT874" s="155"/>
      <c r="AU874" s="156"/>
      <c r="AV874" s="156"/>
      <c r="AW874" s="155"/>
      <c r="AX874" s="155"/>
      <c r="AY874" s="155"/>
      <c r="AZ874" s="156"/>
      <c r="BA874" s="156"/>
      <c r="BB874" s="155"/>
      <c r="BC874" s="155"/>
      <c r="BD874" s="155"/>
      <c r="BE874" s="155"/>
      <c r="BF874" s="155"/>
      <c r="BG874" s="158"/>
      <c r="BH874" s="158"/>
      <c r="BI874" s="155"/>
      <c r="BJ874" s="155"/>
      <c r="BK874" s="159"/>
      <c r="BL874" s="156"/>
      <c r="BM874" s="156"/>
      <c r="BN874" s="156"/>
      <c r="BO874" s="156"/>
      <c r="BP874" s="160"/>
      <c r="BQ874" s="160"/>
      <c r="BR874" s="160"/>
      <c r="BS874" s="160"/>
    </row>
    <row r="875" spans="1:71" x14ac:dyDescent="0.25">
      <c r="A875" s="154"/>
      <c r="B875" s="155"/>
      <c r="C875" s="155"/>
      <c r="D875" s="155"/>
      <c r="E875" s="156"/>
      <c r="F875" s="156"/>
      <c r="G875" s="155"/>
      <c r="H875" s="155"/>
      <c r="I875" s="155"/>
      <c r="J875" s="157"/>
      <c r="K875" s="157"/>
      <c r="L875" s="155"/>
      <c r="M875" s="155"/>
      <c r="N875" s="155"/>
      <c r="O875" s="156"/>
      <c r="P875" s="156"/>
      <c r="Q875" s="155"/>
      <c r="R875" s="155"/>
      <c r="S875" s="155"/>
      <c r="T875" s="156"/>
      <c r="U875" s="156"/>
      <c r="V875" s="155"/>
      <c r="W875" s="155"/>
      <c r="X875" s="155"/>
      <c r="Y875" s="155"/>
      <c r="Z875" s="155"/>
      <c r="AA875" s="156"/>
      <c r="AB875" s="156"/>
      <c r="AC875" s="155"/>
      <c r="AD875" s="155"/>
      <c r="AE875" s="155"/>
      <c r="AF875" s="156"/>
      <c r="AG875" s="156"/>
      <c r="AH875" s="155"/>
      <c r="AI875" s="155"/>
      <c r="AJ875" s="155"/>
      <c r="AK875" s="156"/>
      <c r="AL875" s="156"/>
      <c r="AM875" s="155"/>
      <c r="AN875" s="155"/>
      <c r="AO875" s="155"/>
      <c r="AP875" s="156"/>
      <c r="AQ875" s="156"/>
      <c r="AR875" s="155"/>
      <c r="AS875" s="155"/>
      <c r="AT875" s="155"/>
      <c r="AU875" s="156"/>
      <c r="AV875" s="156"/>
      <c r="AW875" s="155"/>
      <c r="AX875" s="155"/>
      <c r="AY875" s="155"/>
      <c r="AZ875" s="156"/>
      <c r="BA875" s="156"/>
      <c r="BB875" s="155"/>
      <c r="BC875" s="155"/>
      <c r="BD875" s="155"/>
      <c r="BE875" s="155"/>
      <c r="BF875" s="155"/>
      <c r="BG875" s="158"/>
      <c r="BH875" s="158"/>
      <c r="BI875" s="155"/>
      <c r="BJ875" s="155"/>
      <c r="BK875" s="159"/>
      <c r="BL875" s="156"/>
      <c r="BM875" s="156"/>
      <c r="BN875" s="156"/>
      <c r="BO875" s="156"/>
      <c r="BP875" s="160"/>
      <c r="BQ875" s="160"/>
      <c r="BR875" s="160"/>
      <c r="BS875" s="160"/>
    </row>
    <row r="876" spans="1:71" x14ac:dyDescent="0.25">
      <c r="A876" s="154"/>
      <c r="B876" s="155"/>
      <c r="C876" s="155"/>
      <c r="D876" s="155"/>
      <c r="E876" s="156"/>
      <c r="F876" s="156"/>
      <c r="G876" s="155"/>
      <c r="H876" s="155"/>
      <c r="I876" s="155"/>
      <c r="J876" s="157"/>
      <c r="K876" s="157"/>
      <c r="L876" s="155"/>
      <c r="M876" s="155"/>
      <c r="N876" s="155"/>
      <c r="O876" s="156"/>
      <c r="P876" s="156"/>
      <c r="Q876" s="155"/>
      <c r="R876" s="155"/>
      <c r="S876" s="155"/>
      <c r="T876" s="156"/>
      <c r="U876" s="156"/>
      <c r="V876" s="155"/>
      <c r="W876" s="155"/>
      <c r="X876" s="155"/>
      <c r="Y876" s="155"/>
      <c r="Z876" s="155"/>
      <c r="AA876" s="156"/>
      <c r="AB876" s="156"/>
      <c r="AC876" s="155"/>
      <c r="AD876" s="155"/>
      <c r="AE876" s="155"/>
      <c r="AF876" s="156"/>
      <c r="AG876" s="156"/>
      <c r="AH876" s="155"/>
      <c r="AI876" s="155"/>
      <c r="AJ876" s="155"/>
      <c r="AK876" s="156"/>
      <c r="AL876" s="156"/>
      <c r="AM876" s="155"/>
      <c r="AN876" s="155"/>
      <c r="AO876" s="155"/>
      <c r="AP876" s="156"/>
      <c r="AQ876" s="156"/>
      <c r="AR876" s="155"/>
      <c r="AS876" s="155"/>
      <c r="AT876" s="155"/>
      <c r="AU876" s="156"/>
      <c r="AV876" s="156"/>
      <c r="AW876" s="155"/>
      <c r="AX876" s="155"/>
      <c r="AY876" s="155"/>
      <c r="AZ876" s="156"/>
      <c r="BA876" s="156"/>
      <c r="BB876" s="155"/>
      <c r="BC876" s="155"/>
      <c r="BD876" s="155"/>
      <c r="BE876" s="155"/>
      <c r="BF876" s="155"/>
      <c r="BG876" s="158"/>
      <c r="BH876" s="158"/>
      <c r="BI876" s="155"/>
      <c r="BJ876" s="155"/>
      <c r="BK876" s="159"/>
      <c r="BL876" s="156"/>
      <c r="BM876" s="156"/>
      <c r="BN876" s="156"/>
      <c r="BO876" s="156"/>
      <c r="BP876" s="160"/>
      <c r="BQ876" s="160"/>
      <c r="BR876" s="160"/>
      <c r="BS876" s="160"/>
    </row>
    <row r="877" spans="1:71" x14ac:dyDescent="0.25">
      <c r="A877" s="154"/>
      <c r="B877" s="155"/>
      <c r="C877" s="155"/>
      <c r="D877" s="155"/>
      <c r="E877" s="156"/>
      <c r="F877" s="156"/>
      <c r="G877" s="155"/>
      <c r="H877" s="155"/>
      <c r="I877" s="155"/>
      <c r="J877" s="157"/>
      <c r="K877" s="157"/>
      <c r="L877" s="155"/>
      <c r="M877" s="155"/>
      <c r="N877" s="155"/>
      <c r="O877" s="156"/>
      <c r="P877" s="156"/>
      <c r="Q877" s="155"/>
      <c r="R877" s="155"/>
      <c r="S877" s="155"/>
      <c r="T877" s="156"/>
      <c r="U877" s="156"/>
      <c r="V877" s="155"/>
      <c r="W877" s="155"/>
      <c r="X877" s="155"/>
      <c r="Y877" s="155"/>
      <c r="Z877" s="155"/>
      <c r="AA877" s="156"/>
      <c r="AB877" s="156"/>
      <c r="AC877" s="155"/>
      <c r="AD877" s="155"/>
      <c r="AE877" s="155"/>
      <c r="AF877" s="156"/>
      <c r="AG877" s="156"/>
      <c r="AH877" s="155"/>
      <c r="AI877" s="155"/>
      <c r="AJ877" s="155"/>
      <c r="AK877" s="156"/>
      <c r="AL877" s="156"/>
      <c r="AM877" s="155"/>
      <c r="AN877" s="155"/>
      <c r="AO877" s="155"/>
      <c r="AP877" s="156"/>
      <c r="AQ877" s="156"/>
      <c r="AR877" s="155"/>
      <c r="AS877" s="155"/>
      <c r="AT877" s="155"/>
      <c r="AU877" s="156"/>
      <c r="AV877" s="156"/>
      <c r="AW877" s="155"/>
      <c r="AX877" s="155"/>
      <c r="AY877" s="155"/>
      <c r="AZ877" s="156"/>
      <c r="BA877" s="156"/>
      <c r="BB877" s="155"/>
      <c r="BC877" s="155"/>
      <c r="BD877" s="155"/>
      <c r="BE877" s="155"/>
      <c r="BF877" s="155"/>
      <c r="BG877" s="158"/>
      <c r="BH877" s="158"/>
      <c r="BI877" s="155"/>
      <c r="BJ877" s="155"/>
      <c r="BK877" s="159"/>
      <c r="BL877" s="156"/>
      <c r="BM877" s="156"/>
      <c r="BN877" s="156"/>
      <c r="BO877" s="156"/>
      <c r="BP877" s="160"/>
      <c r="BQ877" s="160"/>
      <c r="BR877" s="160"/>
      <c r="BS877" s="160"/>
    </row>
    <row r="878" spans="1:71" x14ac:dyDescent="0.25">
      <c r="A878" s="154"/>
      <c r="B878" s="155"/>
      <c r="C878" s="155"/>
      <c r="D878" s="155"/>
      <c r="E878" s="156"/>
      <c r="F878" s="156"/>
      <c r="G878" s="155"/>
      <c r="H878" s="155"/>
      <c r="I878" s="155"/>
      <c r="J878" s="157"/>
      <c r="K878" s="157"/>
      <c r="L878" s="155"/>
      <c r="M878" s="155"/>
      <c r="N878" s="155"/>
      <c r="O878" s="156"/>
      <c r="P878" s="156"/>
      <c r="Q878" s="155"/>
      <c r="R878" s="155"/>
      <c r="S878" s="155"/>
      <c r="T878" s="156"/>
      <c r="U878" s="156"/>
      <c r="V878" s="155"/>
      <c r="W878" s="155"/>
      <c r="X878" s="155"/>
      <c r="Y878" s="155"/>
      <c r="Z878" s="155"/>
      <c r="AA878" s="156"/>
      <c r="AB878" s="156"/>
      <c r="AC878" s="155"/>
      <c r="AD878" s="155"/>
      <c r="AE878" s="155"/>
      <c r="AF878" s="156"/>
      <c r="AG878" s="156"/>
      <c r="AH878" s="155"/>
      <c r="AI878" s="155"/>
      <c r="AJ878" s="155"/>
      <c r="AK878" s="156"/>
      <c r="AL878" s="156"/>
      <c r="AM878" s="155"/>
      <c r="AN878" s="155"/>
      <c r="AO878" s="155"/>
      <c r="AP878" s="156"/>
      <c r="AQ878" s="156"/>
      <c r="AR878" s="155"/>
      <c r="AS878" s="155"/>
      <c r="AT878" s="155"/>
      <c r="AU878" s="156"/>
      <c r="AV878" s="156"/>
      <c r="AW878" s="155"/>
      <c r="AX878" s="155"/>
      <c r="AY878" s="155"/>
      <c r="AZ878" s="156"/>
      <c r="BA878" s="156"/>
      <c r="BB878" s="155"/>
      <c r="BC878" s="155"/>
      <c r="BD878" s="155"/>
      <c r="BE878" s="155"/>
      <c r="BF878" s="155"/>
      <c r="BG878" s="158"/>
      <c r="BH878" s="158"/>
      <c r="BI878" s="155"/>
      <c r="BJ878" s="155"/>
      <c r="BK878" s="159"/>
      <c r="BL878" s="156"/>
      <c r="BM878" s="156"/>
      <c r="BN878" s="156"/>
      <c r="BO878" s="156"/>
      <c r="BP878" s="160"/>
      <c r="BQ878" s="160"/>
      <c r="BR878" s="160"/>
      <c r="BS878" s="160"/>
    </row>
    <row r="879" spans="1:71" x14ac:dyDescent="0.25">
      <c r="A879" s="154"/>
      <c r="B879" s="155"/>
      <c r="C879" s="155"/>
      <c r="D879" s="155"/>
      <c r="E879" s="156"/>
      <c r="F879" s="156"/>
      <c r="G879" s="155"/>
      <c r="H879" s="155"/>
      <c r="I879" s="155"/>
      <c r="J879" s="157"/>
      <c r="K879" s="157"/>
      <c r="L879" s="155"/>
      <c r="M879" s="155"/>
      <c r="N879" s="155"/>
      <c r="O879" s="156"/>
      <c r="P879" s="156"/>
      <c r="Q879" s="155"/>
      <c r="R879" s="155"/>
      <c r="S879" s="155"/>
      <c r="T879" s="156"/>
      <c r="U879" s="156"/>
      <c r="V879" s="155"/>
      <c r="W879" s="155"/>
      <c r="X879" s="155"/>
      <c r="Y879" s="155"/>
      <c r="Z879" s="155"/>
      <c r="AA879" s="156"/>
      <c r="AB879" s="156"/>
      <c r="AC879" s="155"/>
      <c r="AD879" s="155"/>
      <c r="AE879" s="155"/>
      <c r="AF879" s="156"/>
      <c r="AG879" s="156"/>
      <c r="AH879" s="155"/>
      <c r="AI879" s="155"/>
      <c r="AJ879" s="155"/>
      <c r="AK879" s="156"/>
      <c r="AL879" s="156"/>
      <c r="AM879" s="155"/>
      <c r="AN879" s="155"/>
      <c r="AO879" s="155"/>
      <c r="AP879" s="156"/>
      <c r="AQ879" s="156"/>
      <c r="AR879" s="155"/>
      <c r="AS879" s="155"/>
      <c r="AT879" s="155"/>
      <c r="AU879" s="156"/>
      <c r="AV879" s="156"/>
      <c r="AW879" s="155"/>
      <c r="AX879" s="155"/>
      <c r="AY879" s="155"/>
      <c r="AZ879" s="156"/>
      <c r="BA879" s="156"/>
      <c r="BB879" s="155"/>
      <c r="BC879" s="155"/>
      <c r="BD879" s="155"/>
      <c r="BE879" s="155"/>
      <c r="BF879" s="155"/>
      <c r="BG879" s="158"/>
      <c r="BH879" s="158"/>
      <c r="BI879" s="155"/>
      <c r="BJ879" s="155"/>
      <c r="BK879" s="159"/>
      <c r="BL879" s="156"/>
      <c r="BM879" s="156"/>
      <c r="BN879" s="156"/>
      <c r="BO879" s="156"/>
      <c r="BP879" s="160"/>
      <c r="BQ879" s="160"/>
      <c r="BR879" s="160"/>
      <c r="BS879" s="160"/>
    </row>
    <row r="880" spans="1:71" x14ac:dyDescent="0.25">
      <c r="A880" s="154"/>
      <c r="B880" s="155"/>
      <c r="C880" s="155"/>
      <c r="D880" s="155"/>
      <c r="E880" s="156"/>
      <c r="F880" s="156"/>
      <c r="G880" s="155"/>
      <c r="H880" s="155"/>
      <c r="I880" s="155"/>
      <c r="J880" s="157"/>
      <c r="K880" s="157"/>
      <c r="L880" s="155"/>
      <c r="M880" s="155"/>
      <c r="N880" s="155"/>
      <c r="O880" s="156"/>
      <c r="P880" s="156"/>
      <c r="Q880" s="155"/>
      <c r="R880" s="155"/>
      <c r="S880" s="155"/>
      <c r="T880" s="156"/>
      <c r="U880" s="156"/>
      <c r="V880" s="155"/>
      <c r="W880" s="155"/>
      <c r="X880" s="155"/>
      <c r="Y880" s="155"/>
      <c r="Z880" s="155"/>
      <c r="AA880" s="156"/>
      <c r="AB880" s="156"/>
      <c r="AC880" s="155"/>
      <c r="AD880" s="155"/>
      <c r="AE880" s="155"/>
      <c r="AF880" s="156"/>
      <c r="AG880" s="156"/>
      <c r="AH880" s="155"/>
      <c r="AI880" s="155"/>
      <c r="AJ880" s="155"/>
      <c r="AK880" s="156"/>
      <c r="AL880" s="156"/>
      <c r="AM880" s="155"/>
      <c r="AN880" s="155"/>
      <c r="AO880" s="155"/>
      <c r="AP880" s="156"/>
      <c r="AQ880" s="156"/>
      <c r="AR880" s="155"/>
      <c r="AS880" s="155"/>
      <c r="AT880" s="155"/>
      <c r="AU880" s="156"/>
      <c r="AV880" s="156"/>
      <c r="AW880" s="155"/>
      <c r="AX880" s="155"/>
      <c r="AY880" s="155"/>
      <c r="AZ880" s="156"/>
      <c r="BA880" s="156"/>
      <c r="BB880" s="155"/>
      <c r="BC880" s="155"/>
      <c r="BD880" s="155"/>
      <c r="BE880" s="155"/>
      <c r="BF880" s="155"/>
      <c r="BG880" s="158"/>
      <c r="BH880" s="158"/>
      <c r="BI880" s="155"/>
      <c r="BJ880" s="155"/>
      <c r="BK880" s="159"/>
      <c r="BL880" s="156"/>
      <c r="BM880" s="156"/>
      <c r="BN880" s="156"/>
      <c r="BO880" s="156"/>
      <c r="BP880" s="160"/>
      <c r="BQ880" s="160"/>
      <c r="BR880" s="160"/>
      <c r="BS880" s="160"/>
    </row>
    <row r="881" spans="1:71" x14ac:dyDescent="0.25">
      <c r="A881" s="154"/>
      <c r="B881" s="155"/>
      <c r="C881" s="155"/>
      <c r="D881" s="155"/>
      <c r="E881" s="156"/>
      <c r="F881" s="156"/>
      <c r="G881" s="155"/>
      <c r="H881" s="155"/>
      <c r="I881" s="155"/>
      <c r="J881" s="157"/>
      <c r="K881" s="157"/>
      <c r="L881" s="155"/>
      <c r="M881" s="155"/>
      <c r="N881" s="155"/>
      <c r="O881" s="156"/>
      <c r="P881" s="156"/>
      <c r="Q881" s="155"/>
      <c r="R881" s="155"/>
      <c r="S881" s="155"/>
      <c r="T881" s="156"/>
      <c r="U881" s="156"/>
      <c r="V881" s="155"/>
      <c r="W881" s="155"/>
      <c r="X881" s="155"/>
      <c r="Y881" s="155"/>
      <c r="Z881" s="155"/>
      <c r="AA881" s="156"/>
      <c r="AB881" s="156"/>
      <c r="AC881" s="155"/>
      <c r="AD881" s="155"/>
      <c r="AE881" s="155"/>
      <c r="AF881" s="156"/>
      <c r="AG881" s="156"/>
      <c r="AH881" s="155"/>
      <c r="AI881" s="155"/>
      <c r="AJ881" s="155"/>
      <c r="AK881" s="156"/>
      <c r="AL881" s="156"/>
      <c r="AM881" s="155"/>
      <c r="AN881" s="155"/>
      <c r="AO881" s="155"/>
      <c r="AP881" s="156"/>
      <c r="AQ881" s="156"/>
      <c r="AR881" s="155"/>
      <c r="AS881" s="155"/>
      <c r="AT881" s="155"/>
      <c r="AU881" s="156"/>
      <c r="AV881" s="156"/>
      <c r="AW881" s="155"/>
      <c r="AX881" s="155"/>
      <c r="AY881" s="155"/>
      <c r="AZ881" s="156"/>
      <c r="BA881" s="156"/>
      <c r="BB881" s="155"/>
      <c r="BC881" s="155"/>
      <c r="BD881" s="155"/>
      <c r="BE881" s="155"/>
      <c r="BF881" s="155"/>
      <c r="BG881" s="158"/>
      <c r="BH881" s="158"/>
      <c r="BI881" s="155"/>
      <c r="BJ881" s="155"/>
      <c r="BK881" s="159"/>
      <c r="BL881" s="156"/>
      <c r="BM881" s="156"/>
      <c r="BN881" s="156"/>
      <c r="BO881" s="156"/>
      <c r="BP881" s="160"/>
      <c r="BQ881" s="160"/>
      <c r="BR881" s="160"/>
      <c r="BS881" s="160"/>
    </row>
    <row r="882" spans="1:71" x14ac:dyDescent="0.25">
      <c r="A882" s="154"/>
      <c r="B882" s="155"/>
      <c r="C882" s="155"/>
      <c r="D882" s="155"/>
      <c r="E882" s="156"/>
      <c r="F882" s="156"/>
      <c r="G882" s="155"/>
      <c r="H882" s="155"/>
      <c r="I882" s="155"/>
      <c r="J882" s="157"/>
      <c r="K882" s="157"/>
      <c r="L882" s="155"/>
      <c r="M882" s="155"/>
      <c r="N882" s="155"/>
      <c r="O882" s="156"/>
      <c r="P882" s="156"/>
      <c r="Q882" s="155"/>
      <c r="R882" s="155"/>
      <c r="S882" s="155"/>
      <c r="T882" s="156"/>
      <c r="U882" s="156"/>
      <c r="V882" s="155"/>
      <c r="W882" s="155"/>
      <c r="X882" s="155"/>
      <c r="Y882" s="155"/>
      <c r="Z882" s="155"/>
      <c r="AA882" s="156"/>
      <c r="AB882" s="156"/>
      <c r="AC882" s="155"/>
      <c r="AD882" s="155"/>
      <c r="AE882" s="155"/>
      <c r="AF882" s="156"/>
      <c r="AG882" s="156"/>
      <c r="AH882" s="155"/>
      <c r="AI882" s="155"/>
      <c r="AJ882" s="155"/>
      <c r="AK882" s="156"/>
      <c r="AL882" s="156"/>
      <c r="AM882" s="155"/>
      <c r="AN882" s="155"/>
      <c r="AO882" s="155"/>
      <c r="AP882" s="156"/>
      <c r="AQ882" s="156"/>
      <c r="AR882" s="155"/>
      <c r="AS882" s="155"/>
      <c r="AT882" s="155"/>
      <c r="AU882" s="156"/>
      <c r="AV882" s="156"/>
      <c r="AW882" s="155"/>
      <c r="AX882" s="155"/>
      <c r="AY882" s="155"/>
      <c r="AZ882" s="156"/>
      <c r="BA882" s="156"/>
      <c r="BB882" s="155"/>
      <c r="BC882" s="155"/>
      <c r="BD882" s="155"/>
      <c r="BE882" s="155"/>
      <c r="BF882" s="155"/>
      <c r="BG882" s="158"/>
      <c r="BH882" s="158"/>
      <c r="BI882" s="155"/>
      <c r="BJ882" s="155"/>
      <c r="BK882" s="159"/>
      <c r="BL882" s="156"/>
      <c r="BM882" s="156"/>
      <c r="BN882" s="156"/>
      <c r="BO882" s="156"/>
      <c r="BP882" s="160"/>
      <c r="BQ882" s="160"/>
      <c r="BR882" s="160"/>
      <c r="BS882" s="160"/>
    </row>
    <row r="883" spans="1:71" x14ac:dyDescent="0.25">
      <c r="A883" s="154"/>
      <c r="B883" s="155"/>
      <c r="C883" s="155"/>
      <c r="D883" s="155"/>
      <c r="E883" s="156"/>
      <c r="F883" s="156"/>
      <c r="G883" s="155"/>
      <c r="H883" s="155"/>
      <c r="I883" s="155"/>
      <c r="J883" s="157"/>
      <c r="K883" s="157"/>
      <c r="L883" s="155"/>
      <c r="M883" s="155"/>
      <c r="N883" s="155"/>
      <c r="O883" s="156"/>
      <c r="P883" s="156"/>
      <c r="Q883" s="155"/>
      <c r="R883" s="155"/>
      <c r="S883" s="155"/>
      <c r="T883" s="156"/>
      <c r="U883" s="156"/>
      <c r="V883" s="155"/>
      <c r="W883" s="155"/>
      <c r="X883" s="155"/>
      <c r="Y883" s="155"/>
      <c r="Z883" s="155"/>
      <c r="AA883" s="156"/>
      <c r="AB883" s="156"/>
      <c r="AC883" s="155"/>
      <c r="AD883" s="155"/>
      <c r="AE883" s="155"/>
      <c r="AF883" s="156"/>
      <c r="AG883" s="156"/>
      <c r="AH883" s="155"/>
      <c r="AI883" s="155"/>
      <c r="AJ883" s="155"/>
      <c r="AK883" s="156"/>
      <c r="AL883" s="156"/>
      <c r="AM883" s="155"/>
      <c r="AN883" s="155"/>
      <c r="AO883" s="155"/>
      <c r="AP883" s="156"/>
      <c r="AQ883" s="156"/>
      <c r="AR883" s="155"/>
      <c r="AS883" s="155"/>
      <c r="AT883" s="155"/>
      <c r="AU883" s="156"/>
      <c r="AV883" s="156"/>
      <c r="AW883" s="155"/>
      <c r="AX883" s="155"/>
      <c r="AY883" s="155"/>
      <c r="AZ883" s="156"/>
      <c r="BA883" s="156"/>
      <c r="BB883" s="155"/>
      <c r="BC883" s="155"/>
      <c r="BD883" s="155"/>
      <c r="BE883" s="155"/>
      <c r="BF883" s="155"/>
      <c r="BG883" s="158"/>
      <c r="BH883" s="158"/>
      <c r="BI883" s="155"/>
      <c r="BJ883" s="155"/>
      <c r="BK883" s="159"/>
      <c r="BL883" s="156"/>
      <c r="BM883" s="156"/>
      <c r="BN883" s="156"/>
      <c r="BO883" s="156"/>
      <c r="BP883" s="160"/>
      <c r="BQ883" s="160"/>
      <c r="BR883" s="160"/>
      <c r="BS883" s="160"/>
    </row>
    <row r="884" spans="1:71" x14ac:dyDescent="0.25">
      <c r="A884" s="154"/>
      <c r="B884" s="155"/>
      <c r="C884" s="155"/>
      <c r="D884" s="155"/>
      <c r="E884" s="156"/>
      <c r="F884" s="156"/>
      <c r="G884" s="155"/>
      <c r="H884" s="155"/>
      <c r="I884" s="155"/>
      <c r="J884" s="157"/>
      <c r="K884" s="157"/>
      <c r="L884" s="155"/>
      <c r="M884" s="155"/>
      <c r="N884" s="155"/>
      <c r="O884" s="156"/>
      <c r="P884" s="156"/>
      <c r="Q884" s="155"/>
      <c r="R884" s="155"/>
      <c r="S884" s="155"/>
      <c r="T884" s="156"/>
      <c r="U884" s="156"/>
      <c r="V884" s="155"/>
      <c r="W884" s="155"/>
      <c r="X884" s="155"/>
      <c r="Y884" s="155"/>
      <c r="Z884" s="155"/>
      <c r="AA884" s="156"/>
      <c r="AB884" s="156"/>
      <c r="AC884" s="155"/>
      <c r="AD884" s="155"/>
      <c r="AE884" s="155"/>
      <c r="AF884" s="156"/>
      <c r="AG884" s="156"/>
      <c r="AH884" s="155"/>
      <c r="AI884" s="155"/>
      <c r="AJ884" s="155"/>
      <c r="AK884" s="156"/>
      <c r="AL884" s="156"/>
      <c r="AM884" s="155"/>
      <c r="AN884" s="155"/>
      <c r="AO884" s="155"/>
      <c r="AP884" s="156"/>
      <c r="AQ884" s="156"/>
      <c r="AR884" s="155"/>
      <c r="AS884" s="155"/>
      <c r="AT884" s="155"/>
      <c r="AU884" s="156"/>
      <c r="AV884" s="156"/>
      <c r="AW884" s="155"/>
      <c r="AX884" s="155"/>
      <c r="AY884" s="155"/>
      <c r="AZ884" s="156"/>
      <c r="BA884" s="156"/>
      <c r="BB884" s="155"/>
      <c r="BC884" s="155"/>
      <c r="BD884" s="155"/>
      <c r="BE884" s="155"/>
      <c r="BF884" s="155"/>
      <c r="BG884" s="158"/>
      <c r="BH884" s="158"/>
      <c r="BI884" s="155"/>
      <c r="BJ884" s="155"/>
      <c r="BK884" s="159"/>
      <c r="BL884" s="156"/>
      <c r="BM884" s="156"/>
      <c r="BN884" s="156"/>
      <c r="BO884" s="156"/>
      <c r="BP884" s="160"/>
      <c r="BQ884" s="160"/>
      <c r="BR884" s="160"/>
      <c r="BS884" s="160"/>
    </row>
    <row r="885" spans="1:71" x14ac:dyDescent="0.25">
      <c r="A885" s="154"/>
      <c r="B885" s="155"/>
      <c r="C885" s="155"/>
      <c r="D885" s="155"/>
      <c r="E885" s="156"/>
      <c r="F885" s="156"/>
      <c r="G885" s="155"/>
      <c r="H885" s="155"/>
      <c r="I885" s="155"/>
      <c r="J885" s="157"/>
      <c r="K885" s="157"/>
      <c r="L885" s="155"/>
      <c r="M885" s="155"/>
      <c r="N885" s="155"/>
      <c r="O885" s="156"/>
      <c r="P885" s="156"/>
      <c r="Q885" s="155"/>
      <c r="R885" s="155"/>
      <c r="S885" s="155"/>
      <c r="T885" s="156"/>
      <c r="U885" s="156"/>
      <c r="V885" s="155"/>
      <c r="W885" s="155"/>
      <c r="X885" s="155"/>
      <c r="Y885" s="155"/>
      <c r="Z885" s="155"/>
      <c r="AA885" s="156"/>
      <c r="AB885" s="156"/>
      <c r="AC885" s="155"/>
      <c r="AD885" s="155"/>
      <c r="AE885" s="155"/>
      <c r="AF885" s="156"/>
      <c r="AG885" s="156"/>
      <c r="AH885" s="155"/>
      <c r="AI885" s="155"/>
      <c r="AJ885" s="155"/>
      <c r="AK885" s="156"/>
      <c r="AL885" s="156"/>
      <c r="AM885" s="155"/>
      <c r="AN885" s="155"/>
      <c r="AO885" s="155"/>
      <c r="AP885" s="156"/>
      <c r="AQ885" s="156"/>
      <c r="AR885" s="155"/>
      <c r="AS885" s="155"/>
      <c r="AT885" s="155"/>
      <c r="AU885" s="156"/>
      <c r="AV885" s="156"/>
      <c r="AW885" s="155"/>
      <c r="AX885" s="155"/>
      <c r="AY885" s="155"/>
      <c r="AZ885" s="156"/>
      <c r="BA885" s="156"/>
      <c r="BB885" s="155"/>
      <c r="BC885" s="155"/>
      <c r="BD885" s="155"/>
      <c r="BE885" s="155"/>
      <c r="BF885" s="155"/>
      <c r="BG885" s="158"/>
      <c r="BH885" s="158"/>
      <c r="BI885" s="155"/>
      <c r="BJ885" s="155"/>
      <c r="BK885" s="159"/>
      <c r="BL885" s="156"/>
      <c r="BM885" s="156"/>
      <c r="BN885" s="156"/>
      <c r="BO885" s="156"/>
      <c r="BP885" s="160"/>
      <c r="BQ885" s="160"/>
      <c r="BR885" s="160"/>
      <c r="BS885" s="160"/>
    </row>
    <row r="886" spans="1:71" x14ac:dyDescent="0.25">
      <c r="A886" s="154"/>
      <c r="B886" s="155"/>
      <c r="C886" s="155"/>
      <c r="D886" s="155"/>
      <c r="E886" s="156"/>
      <c r="F886" s="156"/>
      <c r="G886" s="155"/>
      <c r="H886" s="155"/>
      <c r="I886" s="155"/>
      <c r="J886" s="157"/>
      <c r="K886" s="157"/>
      <c r="L886" s="155"/>
      <c r="M886" s="155"/>
      <c r="N886" s="155"/>
      <c r="O886" s="156"/>
      <c r="P886" s="156"/>
      <c r="Q886" s="155"/>
      <c r="R886" s="155"/>
      <c r="S886" s="155"/>
      <c r="T886" s="156"/>
      <c r="U886" s="156"/>
      <c r="V886" s="155"/>
      <c r="W886" s="155"/>
      <c r="X886" s="155"/>
      <c r="Y886" s="155"/>
      <c r="Z886" s="155"/>
      <c r="AA886" s="156"/>
      <c r="AB886" s="156"/>
      <c r="AC886" s="155"/>
      <c r="AD886" s="155"/>
      <c r="AE886" s="155"/>
      <c r="AF886" s="156"/>
      <c r="AG886" s="156"/>
      <c r="AH886" s="155"/>
      <c r="AI886" s="155"/>
      <c r="AJ886" s="155"/>
      <c r="AK886" s="156"/>
      <c r="AL886" s="156"/>
      <c r="AM886" s="155"/>
      <c r="AN886" s="155"/>
      <c r="AO886" s="155"/>
      <c r="AP886" s="156"/>
      <c r="AQ886" s="156"/>
      <c r="AR886" s="155"/>
      <c r="AS886" s="155"/>
      <c r="AT886" s="155"/>
      <c r="AU886" s="156"/>
      <c r="AV886" s="156"/>
      <c r="AW886" s="155"/>
      <c r="AX886" s="155"/>
      <c r="AY886" s="155"/>
      <c r="AZ886" s="156"/>
      <c r="BA886" s="156"/>
      <c r="BB886" s="155"/>
      <c r="BC886" s="155"/>
      <c r="BD886" s="155"/>
      <c r="BE886" s="155"/>
      <c r="BF886" s="155"/>
      <c r="BG886" s="158"/>
      <c r="BH886" s="158"/>
      <c r="BI886" s="155"/>
      <c r="BJ886" s="155"/>
      <c r="BK886" s="159"/>
      <c r="BL886" s="156"/>
      <c r="BM886" s="156"/>
      <c r="BN886" s="156"/>
      <c r="BO886" s="156"/>
      <c r="BP886" s="160"/>
      <c r="BQ886" s="160"/>
      <c r="BR886" s="160"/>
      <c r="BS886" s="160"/>
    </row>
    <row r="887" spans="1:71" x14ac:dyDescent="0.25">
      <c r="A887" s="154"/>
      <c r="B887" s="155"/>
      <c r="C887" s="155"/>
      <c r="D887" s="155"/>
      <c r="E887" s="156"/>
      <c r="F887" s="156"/>
      <c r="G887" s="155"/>
      <c r="H887" s="155"/>
      <c r="I887" s="155"/>
      <c r="J887" s="157"/>
      <c r="K887" s="157"/>
      <c r="L887" s="155"/>
      <c r="M887" s="155"/>
      <c r="N887" s="155"/>
      <c r="O887" s="156"/>
      <c r="P887" s="156"/>
      <c r="Q887" s="155"/>
      <c r="R887" s="155"/>
      <c r="S887" s="155"/>
      <c r="T887" s="156"/>
      <c r="U887" s="156"/>
      <c r="V887" s="155"/>
      <c r="W887" s="155"/>
      <c r="X887" s="155"/>
      <c r="Y887" s="155"/>
      <c r="Z887" s="155"/>
      <c r="AA887" s="156"/>
      <c r="AB887" s="156"/>
      <c r="AC887" s="155"/>
      <c r="AD887" s="155"/>
      <c r="AE887" s="155"/>
      <c r="AF887" s="156"/>
      <c r="AG887" s="156"/>
      <c r="AH887" s="155"/>
      <c r="AI887" s="155"/>
      <c r="AJ887" s="155"/>
      <c r="AK887" s="156"/>
      <c r="AL887" s="156"/>
      <c r="AM887" s="155"/>
      <c r="AN887" s="155"/>
      <c r="AO887" s="155"/>
      <c r="AP887" s="156"/>
      <c r="AQ887" s="156"/>
      <c r="AR887" s="155"/>
      <c r="AS887" s="155"/>
      <c r="AT887" s="155"/>
      <c r="AU887" s="156"/>
      <c r="AV887" s="156"/>
      <c r="AW887" s="155"/>
      <c r="AX887" s="155"/>
      <c r="AY887" s="155"/>
      <c r="AZ887" s="156"/>
      <c r="BA887" s="156"/>
      <c r="BB887" s="155"/>
      <c r="BC887" s="155"/>
      <c r="BD887" s="155"/>
      <c r="BE887" s="155"/>
      <c r="BF887" s="155"/>
      <c r="BG887" s="158"/>
      <c r="BH887" s="158"/>
      <c r="BI887" s="155"/>
      <c r="BJ887" s="155"/>
      <c r="BK887" s="159"/>
      <c r="BL887" s="156"/>
      <c r="BM887" s="156"/>
      <c r="BN887" s="156"/>
      <c r="BO887" s="156"/>
      <c r="BP887" s="160"/>
      <c r="BQ887" s="160"/>
      <c r="BR887" s="160"/>
      <c r="BS887" s="160"/>
    </row>
    <row r="888" spans="1:71" x14ac:dyDescent="0.25">
      <c r="A888" s="154"/>
      <c r="B888" s="155"/>
      <c r="C888" s="155"/>
      <c r="D888" s="155"/>
      <c r="E888" s="156"/>
      <c r="F888" s="156"/>
      <c r="G888" s="155"/>
      <c r="H888" s="155"/>
      <c r="I888" s="155"/>
      <c r="J888" s="157"/>
      <c r="K888" s="157"/>
      <c r="L888" s="155"/>
      <c r="M888" s="155"/>
      <c r="N888" s="155"/>
      <c r="O888" s="156"/>
      <c r="P888" s="156"/>
      <c r="Q888" s="155"/>
      <c r="R888" s="155"/>
      <c r="S888" s="155"/>
      <c r="T888" s="156"/>
      <c r="U888" s="156"/>
      <c r="V888" s="155"/>
      <c r="W888" s="155"/>
      <c r="X888" s="155"/>
      <c r="Y888" s="155"/>
      <c r="Z888" s="155"/>
      <c r="AA888" s="156"/>
      <c r="AB888" s="156"/>
      <c r="AC888" s="155"/>
      <c r="AD888" s="155"/>
      <c r="AE888" s="155"/>
      <c r="AF888" s="156"/>
      <c r="AG888" s="156"/>
      <c r="AH888" s="155"/>
      <c r="AI888" s="155"/>
      <c r="AJ888" s="155"/>
      <c r="AK888" s="156"/>
      <c r="AL888" s="156"/>
      <c r="AM888" s="155"/>
      <c r="AN888" s="155"/>
      <c r="AO888" s="155"/>
      <c r="AP888" s="156"/>
      <c r="AQ888" s="156"/>
      <c r="AR888" s="155"/>
      <c r="AS888" s="155"/>
      <c r="AT888" s="155"/>
      <c r="AU888" s="156"/>
      <c r="AV888" s="156"/>
      <c r="AW888" s="155"/>
      <c r="AX888" s="155"/>
      <c r="AY888" s="155"/>
      <c r="AZ888" s="156"/>
      <c r="BA888" s="156"/>
      <c r="BB888" s="155"/>
      <c r="BC888" s="155"/>
      <c r="BD888" s="155"/>
      <c r="BE888" s="155"/>
      <c r="BF888" s="155"/>
      <c r="BG888" s="158"/>
      <c r="BH888" s="158"/>
      <c r="BI888" s="155"/>
      <c r="BJ888" s="155"/>
      <c r="BK888" s="159"/>
      <c r="BL888" s="156"/>
      <c r="BM888" s="156"/>
      <c r="BN888" s="156"/>
      <c r="BO888" s="156"/>
      <c r="BP888" s="160"/>
      <c r="BQ888" s="160"/>
      <c r="BR888" s="160"/>
      <c r="BS888" s="160"/>
    </row>
    <row r="889" spans="1:71" x14ac:dyDescent="0.25">
      <c r="A889" s="154"/>
      <c r="B889" s="155"/>
      <c r="C889" s="155"/>
      <c r="D889" s="155"/>
      <c r="E889" s="156"/>
      <c r="F889" s="156"/>
      <c r="G889" s="155"/>
      <c r="H889" s="155"/>
      <c r="I889" s="155"/>
      <c r="J889" s="157"/>
      <c r="K889" s="157"/>
      <c r="L889" s="155"/>
      <c r="M889" s="155"/>
      <c r="N889" s="155"/>
      <c r="O889" s="156"/>
      <c r="P889" s="156"/>
      <c r="Q889" s="155"/>
      <c r="R889" s="155"/>
      <c r="S889" s="155"/>
      <c r="T889" s="156"/>
      <c r="U889" s="156"/>
      <c r="V889" s="155"/>
      <c r="W889" s="155"/>
      <c r="X889" s="155"/>
      <c r="Y889" s="155"/>
      <c r="Z889" s="155"/>
      <c r="AA889" s="156"/>
      <c r="AB889" s="156"/>
      <c r="AC889" s="155"/>
      <c r="AD889" s="155"/>
      <c r="AE889" s="155"/>
      <c r="AF889" s="156"/>
      <c r="AG889" s="156"/>
      <c r="AH889" s="155"/>
      <c r="AI889" s="155"/>
      <c r="AJ889" s="155"/>
      <c r="AK889" s="156"/>
      <c r="AL889" s="156"/>
      <c r="AM889" s="155"/>
      <c r="AN889" s="155"/>
      <c r="AO889" s="155"/>
      <c r="AP889" s="156"/>
      <c r="AQ889" s="156"/>
      <c r="AR889" s="155"/>
      <c r="AS889" s="155"/>
      <c r="AT889" s="155"/>
      <c r="AU889" s="156"/>
      <c r="AV889" s="156"/>
      <c r="AW889" s="155"/>
      <c r="AX889" s="155"/>
      <c r="AY889" s="155"/>
      <c r="AZ889" s="156"/>
      <c r="BA889" s="156"/>
      <c r="BB889" s="155"/>
      <c r="BC889" s="155"/>
      <c r="BD889" s="155"/>
      <c r="BE889" s="155"/>
      <c r="BF889" s="155"/>
      <c r="BG889" s="158"/>
      <c r="BH889" s="158"/>
      <c r="BI889" s="155"/>
      <c r="BJ889" s="155"/>
      <c r="BK889" s="159"/>
      <c r="BL889" s="156"/>
      <c r="BM889" s="156"/>
      <c r="BN889" s="156"/>
      <c r="BO889" s="156"/>
      <c r="BP889" s="160"/>
      <c r="BQ889" s="160"/>
      <c r="BR889" s="160"/>
      <c r="BS889" s="160"/>
    </row>
    <row r="890" spans="1:71" x14ac:dyDescent="0.25">
      <c r="A890" s="154"/>
      <c r="B890" s="155"/>
      <c r="C890" s="155"/>
      <c r="D890" s="155"/>
      <c r="E890" s="156"/>
      <c r="F890" s="156"/>
      <c r="G890" s="155"/>
      <c r="H890" s="155"/>
      <c r="I890" s="155"/>
      <c r="J890" s="157"/>
      <c r="K890" s="157"/>
      <c r="L890" s="155"/>
      <c r="M890" s="155"/>
      <c r="N890" s="155"/>
      <c r="O890" s="156"/>
      <c r="P890" s="156"/>
      <c r="Q890" s="155"/>
      <c r="R890" s="155"/>
      <c r="S890" s="155"/>
      <c r="T890" s="156"/>
      <c r="U890" s="156"/>
      <c r="V890" s="155"/>
      <c r="W890" s="155"/>
      <c r="X890" s="155"/>
      <c r="Y890" s="155"/>
      <c r="Z890" s="155"/>
      <c r="AA890" s="156"/>
      <c r="AB890" s="156"/>
      <c r="AC890" s="155"/>
      <c r="AD890" s="155"/>
      <c r="AE890" s="155"/>
      <c r="AF890" s="156"/>
      <c r="AG890" s="156"/>
      <c r="AH890" s="155"/>
      <c r="AI890" s="155"/>
      <c r="AJ890" s="155"/>
      <c r="AK890" s="156"/>
      <c r="AL890" s="156"/>
      <c r="AM890" s="155"/>
      <c r="AN890" s="155"/>
      <c r="AO890" s="155"/>
      <c r="AP890" s="156"/>
      <c r="AQ890" s="156"/>
      <c r="AR890" s="155"/>
      <c r="AS890" s="155"/>
      <c r="AT890" s="155"/>
      <c r="AU890" s="156"/>
      <c r="AV890" s="156"/>
      <c r="AW890" s="155"/>
      <c r="AX890" s="155"/>
      <c r="AY890" s="155"/>
      <c r="AZ890" s="156"/>
      <c r="BA890" s="156"/>
      <c r="BB890" s="155"/>
      <c r="BC890" s="155"/>
      <c r="BD890" s="155"/>
      <c r="BE890" s="155"/>
      <c r="BF890" s="155"/>
      <c r="BG890" s="158"/>
      <c r="BH890" s="158"/>
      <c r="BI890" s="155"/>
      <c r="BJ890" s="155"/>
      <c r="BK890" s="159"/>
      <c r="BL890" s="156"/>
      <c r="BM890" s="156"/>
      <c r="BN890" s="156"/>
      <c r="BO890" s="156"/>
      <c r="BP890" s="160"/>
      <c r="BQ890" s="160"/>
      <c r="BR890" s="160"/>
      <c r="BS890" s="160"/>
    </row>
    <row r="891" spans="1:71" x14ac:dyDescent="0.25">
      <c r="A891" s="154"/>
      <c r="B891" s="155"/>
      <c r="C891" s="155"/>
      <c r="D891" s="155"/>
      <c r="E891" s="156"/>
      <c r="F891" s="156"/>
      <c r="G891" s="155"/>
      <c r="H891" s="155"/>
      <c r="I891" s="155"/>
      <c r="J891" s="157"/>
      <c r="K891" s="157"/>
      <c r="L891" s="155"/>
      <c r="M891" s="155"/>
      <c r="N891" s="155"/>
      <c r="O891" s="156"/>
      <c r="P891" s="156"/>
      <c r="Q891" s="155"/>
      <c r="R891" s="155"/>
      <c r="S891" s="155"/>
      <c r="T891" s="156"/>
      <c r="U891" s="156"/>
      <c r="V891" s="155"/>
      <c r="W891" s="155"/>
      <c r="X891" s="155"/>
      <c r="Y891" s="155"/>
      <c r="Z891" s="155"/>
      <c r="AA891" s="156"/>
      <c r="AB891" s="156"/>
      <c r="AC891" s="155"/>
      <c r="AD891" s="155"/>
      <c r="AE891" s="155"/>
      <c r="AF891" s="156"/>
      <c r="AG891" s="156"/>
      <c r="AH891" s="155"/>
      <c r="AI891" s="155"/>
      <c r="AJ891" s="155"/>
      <c r="AK891" s="156"/>
      <c r="AL891" s="156"/>
      <c r="AM891" s="155"/>
      <c r="AN891" s="155"/>
      <c r="AO891" s="155"/>
      <c r="AP891" s="156"/>
      <c r="AQ891" s="156"/>
      <c r="AR891" s="155"/>
      <c r="AS891" s="155"/>
      <c r="AT891" s="155"/>
      <c r="AU891" s="156"/>
      <c r="AV891" s="156"/>
      <c r="AW891" s="155"/>
      <c r="AX891" s="155"/>
      <c r="AY891" s="155"/>
      <c r="AZ891" s="156"/>
      <c r="BA891" s="156"/>
      <c r="BB891" s="155"/>
      <c r="BC891" s="155"/>
      <c r="BD891" s="155"/>
      <c r="BE891" s="155"/>
      <c r="BF891" s="155"/>
      <c r="BG891" s="158"/>
      <c r="BH891" s="158"/>
      <c r="BI891" s="155"/>
      <c r="BJ891" s="155"/>
      <c r="BK891" s="159"/>
      <c r="BL891" s="156"/>
      <c r="BM891" s="156"/>
      <c r="BN891" s="156"/>
      <c r="BO891" s="156"/>
      <c r="BP891" s="160"/>
      <c r="BQ891" s="160"/>
      <c r="BR891" s="160"/>
      <c r="BS891" s="160"/>
    </row>
    <row r="892" spans="1:71" x14ac:dyDescent="0.25">
      <c r="A892" s="154"/>
      <c r="B892" s="155"/>
      <c r="C892" s="155"/>
      <c r="D892" s="155"/>
      <c r="E892" s="156"/>
      <c r="F892" s="156"/>
      <c r="G892" s="155"/>
      <c r="H892" s="155"/>
      <c r="I892" s="155"/>
      <c r="J892" s="157"/>
      <c r="K892" s="157"/>
      <c r="L892" s="155"/>
      <c r="M892" s="155"/>
      <c r="N892" s="155"/>
      <c r="O892" s="156"/>
      <c r="P892" s="156"/>
      <c r="Q892" s="155"/>
      <c r="R892" s="155"/>
      <c r="S892" s="155"/>
      <c r="T892" s="156"/>
      <c r="U892" s="156"/>
      <c r="V892" s="155"/>
      <c r="W892" s="155"/>
      <c r="X892" s="155"/>
      <c r="Y892" s="155"/>
      <c r="Z892" s="155"/>
      <c r="AA892" s="156"/>
      <c r="AB892" s="156"/>
      <c r="AC892" s="155"/>
      <c r="AD892" s="155"/>
      <c r="AE892" s="155"/>
      <c r="AF892" s="156"/>
      <c r="AG892" s="156"/>
      <c r="AH892" s="155"/>
      <c r="AI892" s="155"/>
      <c r="AJ892" s="155"/>
      <c r="AK892" s="156"/>
      <c r="AL892" s="156"/>
      <c r="AM892" s="155"/>
      <c r="AN892" s="155"/>
      <c r="AO892" s="155"/>
      <c r="AP892" s="156"/>
      <c r="AQ892" s="156"/>
      <c r="AR892" s="155"/>
      <c r="AS892" s="155"/>
      <c r="AT892" s="155"/>
      <c r="AU892" s="156"/>
      <c r="AV892" s="156"/>
      <c r="AW892" s="155"/>
      <c r="AX892" s="155"/>
      <c r="AY892" s="155"/>
      <c r="AZ892" s="156"/>
      <c r="BA892" s="156"/>
      <c r="BB892" s="155"/>
      <c r="BC892" s="155"/>
      <c r="BD892" s="155"/>
      <c r="BE892" s="155"/>
      <c r="BF892" s="155"/>
      <c r="BG892" s="158"/>
      <c r="BH892" s="158"/>
      <c r="BI892" s="155"/>
      <c r="BJ892" s="155"/>
      <c r="BK892" s="159"/>
      <c r="BL892" s="156"/>
      <c r="BM892" s="156"/>
      <c r="BN892" s="156"/>
      <c r="BO892" s="156"/>
      <c r="BP892" s="160"/>
      <c r="BQ892" s="160"/>
      <c r="BR892" s="160"/>
      <c r="BS892" s="160"/>
    </row>
    <row r="893" spans="1:71" x14ac:dyDescent="0.25">
      <c r="A893" s="154"/>
      <c r="B893" s="155"/>
      <c r="C893" s="155"/>
      <c r="D893" s="155"/>
      <c r="E893" s="156"/>
      <c r="F893" s="156"/>
      <c r="G893" s="155"/>
      <c r="H893" s="155"/>
      <c r="I893" s="155"/>
      <c r="J893" s="157"/>
      <c r="K893" s="157"/>
      <c r="L893" s="155"/>
      <c r="M893" s="155"/>
      <c r="N893" s="155"/>
      <c r="O893" s="156"/>
      <c r="P893" s="156"/>
      <c r="Q893" s="155"/>
      <c r="R893" s="155"/>
      <c r="S893" s="155"/>
      <c r="T893" s="156"/>
      <c r="U893" s="156"/>
      <c r="V893" s="155"/>
      <c r="W893" s="155"/>
      <c r="X893" s="155"/>
      <c r="Y893" s="155"/>
      <c r="Z893" s="155"/>
      <c r="AA893" s="156"/>
      <c r="AB893" s="156"/>
      <c r="AC893" s="155"/>
      <c r="AD893" s="155"/>
      <c r="AE893" s="155"/>
      <c r="AF893" s="156"/>
      <c r="AG893" s="156"/>
      <c r="AH893" s="155"/>
      <c r="AI893" s="155"/>
      <c r="AJ893" s="155"/>
      <c r="AK893" s="156"/>
      <c r="AL893" s="156"/>
      <c r="AM893" s="155"/>
      <c r="AN893" s="155"/>
      <c r="AO893" s="155"/>
      <c r="AP893" s="156"/>
      <c r="AQ893" s="156"/>
      <c r="AR893" s="155"/>
      <c r="AS893" s="155"/>
      <c r="AT893" s="155"/>
      <c r="AU893" s="156"/>
      <c r="AV893" s="156"/>
      <c r="AW893" s="155"/>
      <c r="AX893" s="155"/>
      <c r="AY893" s="155"/>
      <c r="AZ893" s="156"/>
      <c r="BA893" s="156"/>
      <c r="BB893" s="155"/>
      <c r="BC893" s="155"/>
      <c r="BD893" s="155"/>
      <c r="BE893" s="155"/>
      <c r="BF893" s="155"/>
      <c r="BG893" s="158"/>
      <c r="BH893" s="158"/>
      <c r="BI893" s="155"/>
      <c r="BJ893" s="155"/>
      <c r="BK893" s="159"/>
      <c r="BL893" s="156"/>
      <c r="BM893" s="156"/>
      <c r="BN893" s="156"/>
      <c r="BO893" s="156"/>
      <c r="BP893" s="160"/>
      <c r="BQ893" s="160"/>
      <c r="BR893" s="160"/>
      <c r="BS893" s="160"/>
    </row>
    <row r="894" spans="1:71" x14ac:dyDescent="0.25">
      <c r="A894" s="154"/>
      <c r="B894" s="155"/>
      <c r="C894" s="155"/>
      <c r="D894" s="155"/>
      <c r="E894" s="156"/>
      <c r="F894" s="156"/>
      <c r="G894" s="155"/>
      <c r="H894" s="155"/>
      <c r="I894" s="155"/>
      <c r="J894" s="157"/>
      <c r="K894" s="157"/>
      <c r="L894" s="155"/>
      <c r="M894" s="155"/>
      <c r="N894" s="155"/>
      <c r="O894" s="156"/>
      <c r="P894" s="156"/>
      <c r="Q894" s="155"/>
      <c r="R894" s="155"/>
      <c r="S894" s="155"/>
      <c r="T894" s="156"/>
      <c r="U894" s="156"/>
      <c r="V894" s="155"/>
      <c r="W894" s="155"/>
      <c r="X894" s="155"/>
      <c r="Y894" s="155"/>
      <c r="Z894" s="155"/>
      <c r="AA894" s="156"/>
      <c r="AB894" s="156"/>
      <c r="AC894" s="155"/>
      <c r="AD894" s="155"/>
      <c r="AE894" s="155"/>
      <c r="AF894" s="156"/>
      <c r="AG894" s="156"/>
      <c r="AH894" s="155"/>
      <c r="AI894" s="155"/>
      <c r="AJ894" s="155"/>
      <c r="AK894" s="156"/>
      <c r="AL894" s="156"/>
      <c r="AM894" s="155"/>
      <c r="AN894" s="155"/>
      <c r="AO894" s="155"/>
      <c r="AP894" s="156"/>
      <c r="AQ894" s="156"/>
      <c r="AR894" s="155"/>
      <c r="AS894" s="155"/>
      <c r="AT894" s="155"/>
      <c r="AU894" s="156"/>
      <c r="AV894" s="156"/>
      <c r="AW894" s="155"/>
      <c r="AX894" s="155"/>
      <c r="AY894" s="155"/>
      <c r="AZ894" s="156"/>
      <c r="BA894" s="156"/>
      <c r="BB894" s="155"/>
      <c r="BC894" s="155"/>
      <c r="BD894" s="155"/>
      <c r="BE894" s="155"/>
      <c r="BF894" s="155"/>
      <c r="BG894" s="158"/>
      <c r="BH894" s="158"/>
      <c r="BI894" s="155"/>
      <c r="BJ894" s="155"/>
      <c r="BK894" s="159"/>
      <c r="BL894" s="156"/>
      <c r="BM894" s="156"/>
      <c r="BN894" s="156"/>
      <c r="BO894" s="156"/>
      <c r="BP894" s="160"/>
      <c r="BQ894" s="160"/>
      <c r="BR894" s="160"/>
      <c r="BS894" s="160"/>
    </row>
    <row r="895" spans="1:71" x14ac:dyDescent="0.25">
      <c r="A895" s="154"/>
      <c r="B895" s="155"/>
      <c r="C895" s="155"/>
      <c r="D895" s="155"/>
      <c r="E895" s="156"/>
      <c r="F895" s="156"/>
      <c r="G895" s="155"/>
      <c r="H895" s="155"/>
      <c r="I895" s="155"/>
      <c r="J895" s="157"/>
      <c r="K895" s="157"/>
      <c r="L895" s="155"/>
      <c r="M895" s="155"/>
      <c r="N895" s="155"/>
      <c r="O895" s="156"/>
      <c r="P895" s="156"/>
      <c r="Q895" s="155"/>
      <c r="R895" s="155"/>
      <c r="S895" s="155"/>
      <c r="T895" s="156"/>
      <c r="U895" s="156"/>
      <c r="V895" s="155"/>
      <c r="W895" s="155"/>
      <c r="X895" s="155"/>
      <c r="Y895" s="155"/>
      <c r="Z895" s="155"/>
      <c r="AA895" s="156"/>
      <c r="AB895" s="156"/>
      <c r="AC895" s="155"/>
      <c r="AD895" s="155"/>
      <c r="AE895" s="155"/>
      <c r="AF895" s="156"/>
      <c r="AG895" s="156"/>
      <c r="AH895" s="155"/>
      <c r="AI895" s="155"/>
      <c r="AJ895" s="155"/>
      <c r="AK895" s="156"/>
      <c r="AL895" s="156"/>
      <c r="AM895" s="155"/>
      <c r="AN895" s="155"/>
      <c r="AO895" s="155"/>
      <c r="AP895" s="156"/>
      <c r="AQ895" s="156"/>
      <c r="AR895" s="155"/>
      <c r="AS895" s="155"/>
      <c r="AT895" s="155"/>
      <c r="AU895" s="156"/>
      <c r="AV895" s="156"/>
      <c r="AW895" s="155"/>
      <c r="AX895" s="155"/>
      <c r="AY895" s="155"/>
      <c r="AZ895" s="156"/>
      <c r="BA895" s="156"/>
      <c r="BB895" s="155"/>
      <c r="BC895" s="155"/>
      <c r="BD895" s="155"/>
      <c r="BE895" s="155"/>
      <c r="BF895" s="155"/>
      <c r="BG895" s="158"/>
      <c r="BH895" s="158"/>
      <c r="BI895" s="155"/>
      <c r="BJ895" s="155"/>
      <c r="BK895" s="159"/>
      <c r="BL895" s="156"/>
      <c r="BM895" s="156"/>
      <c r="BN895" s="156"/>
      <c r="BO895" s="156"/>
      <c r="BP895" s="160"/>
      <c r="BQ895" s="160"/>
      <c r="BR895" s="160"/>
      <c r="BS895" s="160"/>
    </row>
    <row r="896" spans="1:71" x14ac:dyDescent="0.25">
      <c r="A896" s="154"/>
      <c r="B896" s="155"/>
      <c r="C896" s="155"/>
      <c r="D896" s="155"/>
      <c r="E896" s="156"/>
      <c r="F896" s="156"/>
      <c r="G896" s="155"/>
      <c r="H896" s="155"/>
      <c r="I896" s="155"/>
      <c r="J896" s="157"/>
      <c r="K896" s="157"/>
      <c r="L896" s="155"/>
      <c r="M896" s="155"/>
      <c r="N896" s="155"/>
      <c r="O896" s="156"/>
      <c r="P896" s="156"/>
      <c r="Q896" s="155"/>
      <c r="R896" s="155"/>
      <c r="S896" s="155"/>
      <c r="T896" s="156"/>
      <c r="U896" s="156"/>
      <c r="V896" s="155"/>
      <c r="W896" s="155"/>
      <c r="X896" s="155"/>
      <c r="Y896" s="155"/>
      <c r="Z896" s="155"/>
      <c r="AA896" s="156"/>
      <c r="AB896" s="156"/>
      <c r="AC896" s="155"/>
      <c r="AD896" s="155"/>
      <c r="AE896" s="155"/>
      <c r="AF896" s="156"/>
      <c r="AG896" s="156"/>
      <c r="AH896" s="155"/>
      <c r="AI896" s="155"/>
      <c r="AJ896" s="155"/>
      <c r="AK896" s="156"/>
      <c r="AL896" s="156"/>
      <c r="AM896" s="155"/>
      <c r="AN896" s="155"/>
      <c r="AO896" s="155"/>
      <c r="AP896" s="156"/>
      <c r="AQ896" s="156"/>
      <c r="AR896" s="155"/>
      <c r="AS896" s="155"/>
      <c r="AT896" s="155"/>
      <c r="AU896" s="156"/>
      <c r="AV896" s="156"/>
      <c r="AW896" s="155"/>
      <c r="AX896" s="155"/>
      <c r="AY896" s="155"/>
      <c r="AZ896" s="156"/>
      <c r="BA896" s="156"/>
      <c r="BB896" s="155"/>
      <c r="BC896" s="155"/>
      <c r="BD896" s="155"/>
      <c r="BE896" s="155"/>
      <c r="BF896" s="155"/>
      <c r="BG896" s="158"/>
      <c r="BH896" s="158"/>
      <c r="BI896" s="155"/>
      <c r="BJ896" s="155"/>
      <c r="BK896" s="159"/>
      <c r="BL896" s="156"/>
      <c r="BM896" s="156"/>
      <c r="BN896" s="156"/>
      <c r="BO896" s="156"/>
      <c r="BP896" s="160"/>
      <c r="BQ896" s="160"/>
      <c r="BR896" s="160"/>
      <c r="BS896" s="160"/>
    </row>
    <row r="897" spans="1:71" x14ac:dyDescent="0.25">
      <c r="A897" s="154"/>
      <c r="B897" s="155"/>
      <c r="C897" s="155"/>
      <c r="D897" s="155"/>
      <c r="E897" s="156"/>
      <c r="F897" s="156"/>
      <c r="G897" s="155"/>
      <c r="H897" s="155"/>
      <c r="I897" s="155"/>
      <c r="J897" s="157"/>
      <c r="K897" s="157"/>
      <c r="L897" s="155"/>
      <c r="M897" s="155"/>
      <c r="N897" s="155"/>
      <c r="O897" s="156"/>
      <c r="P897" s="156"/>
      <c r="Q897" s="155"/>
      <c r="R897" s="155"/>
      <c r="S897" s="155"/>
      <c r="T897" s="156"/>
      <c r="U897" s="156"/>
      <c r="V897" s="155"/>
      <c r="W897" s="155"/>
      <c r="X897" s="155"/>
      <c r="Y897" s="155"/>
      <c r="Z897" s="155"/>
      <c r="AA897" s="156"/>
      <c r="AB897" s="156"/>
      <c r="AC897" s="155"/>
      <c r="AD897" s="155"/>
      <c r="AE897" s="155"/>
      <c r="AF897" s="156"/>
      <c r="AG897" s="156"/>
      <c r="AH897" s="155"/>
      <c r="AI897" s="155"/>
      <c r="AJ897" s="155"/>
      <c r="AK897" s="156"/>
      <c r="AL897" s="156"/>
      <c r="AM897" s="155"/>
      <c r="AN897" s="155"/>
      <c r="AO897" s="155"/>
      <c r="AP897" s="156"/>
      <c r="AQ897" s="156"/>
      <c r="AR897" s="155"/>
      <c r="AS897" s="155"/>
      <c r="AT897" s="155"/>
      <c r="AU897" s="156"/>
      <c r="AV897" s="156"/>
      <c r="AW897" s="155"/>
      <c r="AX897" s="155"/>
      <c r="AY897" s="155"/>
      <c r="AZ897" s="156"/>
      <c r="BA897" s="156"/>
      <c r="BB897" s="155"/>
      <c r="BC897" s="155"/>
      <c r="BD897" s="155"/>
      <c r="BE897" s="155"/>
      <c r="BF897" s="155"/>
      <c r="BG897" s="158"/>
      <c r="BH897" s="158"/>
      <c r="BI897" s="155"/>
      <c r="BJ897" s="155"/>
      <c r="BK897" s="159"/>
      <c r="BL897" s="156"/>
      <c r="BM897" s="156"/>
      <c r="BN897" s="156"/>
      <c r="BO897" s="156"/>
      <c r="BP897" s="160"/>
      <c r="BQ897" s="160"/>
      <c r="BR897" s="160"/>
      <c r="BS897" s="160"/>
    </row>
    <row r="898" spans="1:71" x14ac:dyDescent="0.25">
      <c r="A898" s="154"/>
      <c r="B898" s="155"/>
      <c r="C898" s="155"/>
      <c r="D898" s="155"/>
      <c r="E898" s="156"/>
      <c r="F898" s="156"/>
      <c r="G898" s="155"/>
      <c r="H898" s="155"/>
      <c r="I898" s="155"/>
      <c r="J898" s="157"/>
      <c r="K898" s="157"/>
      <c r="L898" s="155"/>
      <c r="M898" s="155"/>
      <c r="N898" s="155"/>
      <c r="O898" s="156"/>
      <c r="P898" s="156"/>
      <c r="Q898" s="155"/>
      <c r="R898" s="155"/>
      <c r="S898" s="155"/>
      <c r="T898" s="156"/>
      <c r="U898" s="156"/>
      <c r="V898" s="155"/>
      <c r="W898" s="155"/>
      <c r="X898" s="155"/>
      <c r="Y898" s="155"/>
      <c r="Z898" s="155"/>
      <c r="AA898" s="156"/>
      <c r="AB898" s="156"/>
      <c r="AC898" s="155"/>
      <c r="AD898" s="155"/>
      <c r="AE898" s="155"/>
      <c r="AF898" s="156"/>
      <c r="AG898" s="156"/>
      <c r="AH898" s="155"/>
      <c r="AI898" s="155"/>
      <c r="AJ898" s="155"/>
      <c r="AK898" s="156"/>
      <c r="AL898" s="156"/>
      <c r="AM898" s="155"/>
      <c r="AN898" s="155"/>
      <c r="AO898" s="155"/>
      <c r="AP898" s="156"/>
      <c r="AQ898" s="156"/>
      <c r="AR898" s="155"/>
      <c r="AS898" s="155"/>
      <c r="AT898" s="155"/>
      <c r="AU898" s="156"/>
      <c r="AV898" s="156"/>
      <c r="AW898" s="155"/>
      <c r="AX898" s="155"/>
      <c r="AY898" s="155"/>
      <c r="AZ898" s="156"/>
      <c r="BA898" s="156"/>
      <c r="BB898" s="155"/>
      <c r="BC898" s="155"/>
      <c r="BD898" s="155"/>
      <c r="BE898" s="155"/>
      <c r="BF898" s="155"/>
      <c r="BG898" s="158"/>
      <c r="BH898" s="158"/>
      <c r="BI898" s="155"/>
      <c r="BJ898" s="155"/>
      <c r="BK898" s="159"/>
      <c r="BL898" s="156"/>
      <c r="BM898" s="156"/>
      <c r="BN898" s="156"/>
      <c r="BO898" s="156"/>
      <c r="BP898" s="160"/>
      <c r="BQ898" s="160"/>
      <c r="BR898" s="160"/>
      <c r="BS898" s="160"/>
    </row>
    <row r="899" spans="1:71" x14ac:dyDescent="0.25">
      <c r="A899" s="154"/>
      <c r="B899" s="155"/>
      <c r="C899" s="155"/>
      <c r="D899" s="155"/>
      <c r="E899" s="156"/>
      <c r="F899" s="156"/>
      <c r="G899" s="155"/>
      <c r="H899" s="155"/>
      <c r="I899" s="155"/>
      <c r="J899" s="157"/>
      <c r="K899" s="157"/>
      <c r="L899" s="155"/>
      <c r="M899" s="155"/>
      <c r="N899" s="155"/>
      <c r="O899" s="156"/>
      <c r="P899" s="156"/>
      <c r="Q899" s="155"/>
      <c r="R899" s="155"/>
      <c r="S899" s="155"/>
      <c r="T899" s="156"/>
      <c r="U899" s="156"/>
      <c r="V899" s="155"/>
      <c r="W899" s="155"/>
      <c r="X899" s="155"/>
      <c r="Y899" s="155"/>
      <c r="Z899" s="155"/>
      <c r="AA899" s="156"/>
      <c r="AB899" s="156"/>
      <c r="AC899" s="155"/>
      <c r="AD899" s="155"/>
      <c r="AE899" s="155"/>
      <c r="AF899" s="156"/>
      <c r="AG899" s="156"/>
      <c r="AH899" s="155"/>
      <c r="AI899" s="155"/>
      <c r="AJ899" s="155"/>
      <c r="AK899" s="156"/>
      <c r="AL899" s="156"/>
      <c r="AM899" s="155"/>
      <c r="AN899" s="155"/>
      <c r="AO899" s="155"/>
      <c r="AP899" s="156"/>
      <c r="AQ899" s="156"/>
      <c r="AR899" s="155"/>
      <c r="AS899" s="155"/>
      <c r="AT899" s="155"/>
      <c r="AU899" s="156"/>
      <c r="AV899" s="156"/>
      <c r="AW899" s="155"/>
      <c r="AX899" s="155"/>
      <c r="AY899" s="155"/>
      <c r="AZ899" s="156"/>
      <c r="BA899" s="156"/>
      <c r="BB899" s="155"/>
      <c r="BC899" s="155"/>
      <c r="BD899" s="155"/>
      <c r="BE899" s="155"/>
      <c r="BF899" s="155"/>
      <c r="BG899" s="158"/>
      <c r="BH899" s="158"/>
      <c r="BI899" s="155"/>
      <c r="BJ899" s="155"/>
      <c r="BK899" s="159"/>
      <c r="BL899" s="156"/>
      <c r="BM899" s="156"/>
      <c r="BN899" s="156"/>
      <c r="BO899" s="156"/>
      <c r="BP899" s="160"/>
      <c r="BQ899" s="160"/>
      <c r="BR899" s="160"/>
      <c r="BS899" s="160"/>
    </row>
    <row r="900" spans="1:71" x14ac:dyDescent="0.25">
      <c r="A900" s="154"/>
      <c r="B900" s="155"/>
      <c r="C900" s="155"/>
      <c r="D900" s="155"/>
      <c r="E900" s="156"/>
      <c r="F900" s="156"/>
      <c r="G900" s="155"/>
      <c r="H900" s="155"/>
      <c r="I900" s="155"/>
      <c r="J900" s="157"/>
      <c r="K900" s="157"/>
      <c r="L900" s="155"/>
      <c r="M900" s="155"/>
      <c r="N900" s="155"/>
      <c r="O900" s="156"/>
      <c r="P900" s="156"/>
      <c r="Q900" s="155"/>
      <c r="R900" s="155"/>
      <c r="S900" s="155"/>
      <c r="T900" s="156"/>
      <c r="U900" s="156"/>
      <c r="V900" s="155"/>
      <c r="W900" s="155"/>
      <c r="X900" s="155"/>
      <c r="Y900" s="155"/>
      <c r="Z900" s="155"/>
      <c r="AA900" s="156"/>
      <c r="AB900" s="156"/>
      <c r="AC900" s="155"/>
      <c r="AD900" s="155"/>
      <c r="AE900" s="155"/>
      <c r="AF900" s="156"/>
      <c r="AG900" s="156"/>
      <c r="AH900" s="155"/>
      <c r="AI900" s="155"/>
      <c r="AJ900" s="155"/>
      <c r="AK900" s="156"/>
      <c r="AL900" s="156"/>
      <c r="AM900" s="155"/>
      <c r="AN900" s="155"/>
      <c r="AO900" s="155"/>
      <c r="AP900" s="156"/>
      <c r="AQ900" s="156"/>
      <c r="AR900" s="155"/>
      <c r="AS900" s="155"/>
      <c r="AT900" s="155"/>
      <c r="AU900" s="156"/>
      <c r="AV900" s="156"/>
      <c r="AW900" s="155"/>
      <c r="AX900" s="155"/>
      <c r="AY900" s="155"/>
      <c r="AZ900" s="156"/>
      <c r="BA900" s="156"/>
      <c r="BB900" s="155"/>
      <c r="BC900" s="155"/>
      <c r="BD900" s="155"/>
      <c r="BE900" s="155"/>
      <c r="BF900" s="155"/>
      <c r="BG900" s="158"/>
      <c r="BH900" s="158"/>
      <c r="BI900" s="155"/>
      <c r="BJ900" s="155"/>
      <c r="BK900" s="159"/>
      <c r="BL900" s="156"/>
      <c r="BM900" s="156"/>
      <c r="BN900" s="156"/>
      <c r="BO900" s="156"/>
      <c r="BP900" s="160"/>
      <c r="BQ900" s="160"/>
      <c r="BR900" s="160"/>
      <c r="BS900" s="160"/>
    </row>
    <row r="901" spans="1:71" x14ac:dyDescent="0.25">
      <c r="A901" s="154"/>
      <c r="B901" s="155"/>
      <c r="C901" s="155"/>
      <c r="D901" s="155"/>
      <c r="E901" s="156"/>
      <c r="F901" s="156"/>
      <c r="G901" s="155"/>
      <c r="H901" s="155"/>
      <c r="I901" s="155"/>
      <c r="J901" s="157"/>
      <c r="K901" s="157"/>
      <c r="L901" s="155"/>
      <c r="M901" s="155"/>
      <c r="N901" s="155"/>
      <c r="O901" s="156"/>
      <c r="P901" s="156"/>
      <c r="Q901" s="155"/>
      <c r="R901" s="155"/>
      <c r="S901" s="155"/>
      <c r="T901" s="156"/>
      <c r="U901" s="156"/>
      <c r="V901" s="155"/>
      <c r="W901" s="155"/>
      <c r="X901" s="155"/>
      <c r="Y901" s="155"/>
      <c r="Z901" s="155"/>
      <c r="AA901" s="156"/>
      <c r="AB901" s="156"/>
      <c r="AC901" s="155"/>
      <c r="AD901" s="155"/>
      <c r="AE901" s="155"/>
      <c r="AF901" s="156"/>
      <c r="AG901" s="156"/>
      <c r="AH901" s="155"/>
      <c r="AI901" s="155"/>
      <c r="AJ901" s="155"/>
      <c r="AK901" s="156"/>
      <c r="AL901" s="156"/>
      <c r="AM901" s="155"/>
      <c r="AN901" s="155"/>
      <c r="AO901" s="155"/>
      <c r="AP901" s="156"/>
      <c r="AQ901" s="156"/>
      <c r="AR901" s="155"/>
      <c r="AS901" s="155"/>
      <c r="AT901" s="155"/>
      <c r="AU901" s="156"/>
      <c r="AV901" s="156"/>
      <c r="AW901" s="155"/>
      <c r="AX901" s="155"/>
      <c r="AY901" s="155"/>
      <c r="AZ901" s="156"/>
      <c r="BA901" s="156"/>
      <c r="BB901" s="155"/>
      <c r="BC901" s="155"/>
      <c r="BD901" s="155"/>
      <c r="BE901" s="155"/>
      <c r="BF901" s="155"/>
      <c r="BG901" s="158"/>
      <c r="BH901" s="158"/>
      <c r="BI901" s="155"/>
      <c r="BJ901" s="155"/>
      <c r="BK901" s="159"/>
      <c r="BL901" s="156"/>
      <c r="BM901" s="156"/>
      <c r="BN901" s="156"/>
      <c r="BO901" s="156"/>
      <c r="BP901" s="160"/>
      <c r="BQ901" s="160"/>
      <c r="BR901" s="160"/>
      <c r="BS901" s="160"/>
    </row>
    <row r="902" spans="1:71" x14ac:dyDescent="0.25">
      <c r="A902" s="154"/>
      <c r="B902" s="155"/>
      <c r="C902" s="155"/>
      <c r="D902" s="155"/>
      <c r="E902" s="156"/>
      <c r="F902" s="156"/>
      <c r="G902" s="155"/>
      <c r="H902" s="155"/>
      <c r="I902" s="155"/>
      <c r="J902" s="157"/>
      <c r="K902" s="157"/>
      <c r="L902" s="155"/>
      <c r="M902" s="155"/>
      <c r="N902" s="155"/>
      <c r="O902" s="156"/>
      <c r="P902" s="156"/>
      <c r="Q902" s="155"/>
      <c r="R902" s="155"/>
      <c r="S902" s="155"/>
      <c r="T902" s="156"/>
      <c r="U902" s="156"/>
      <c r="V902" s="155"/>
      <c r="W902" s="155"/>
      <c r="X902" s="155"/>
      <c r="Y902" s="155"/>
      <c r="Z902" s="155"/>
      <c r="AA902" s="156"/>
      <c r="AB902" s="156"/>
      <c r="AC902" s="155"/>
      <c r="AD902" s="155"/>
      <c r="AE902" s="155"/>
      <c r="AF902" s="156"/>
      <c r="AG902" s="156"/>
      <c r="AH902" s="155"/>
      <c r="AI902" s="155"/>
      <c r="AJ902" s="155"/>
      <c r="AK902" s="156"/>
      <c r="AL902" s="156"/>
      <c r="AM902" s="155"/>
      <c r="AN902" s="155"/>
      <c r="AO902" s="155"/>
      <c r="AP902" s="156"/>
      <c r="AQ902" s="156"/>
      <c r="AR902" s="155"/>
      <c r="AS902" s="155"/>
      <c r="AT902" s="155"/>
      <c r="AU902" s="156"/>
      <c r="AV902" s="156"/>
      <c r="AW902" s="155"/>
      <c r="AX902" s="155"/>
      <c r="AY902" s="155"/>
      <c r="AZ902" s="156"/>
      <c r="BA902" s="156"/>
      <c r="BB902" s="155"/>
      <c r="BC902" s="155"/>
      <c r="BD902" s="155"/>
      <c r="BE902" s="155"/>
      <c r="BF902" s="155"/>
      <c r="BG902" s="158"/>
      <c r="BH902" s="158"/>
      <c r="BI902" s="155"/>
      <c r="BJ902" s="155"/>
      <c r="BK902" s="159"/>
      <c r="BL902" s="156"/>
      <c r="BM902" s="156"/>
      <c r="BN902" s="156"/>
      <c r="BO902" s="156"/>
      <c r="BP902" s="160"/>
      <c r="BQ902" s="160"/>
      <c r="BR902" s="160"/>
      <c r="BS902" s="160"/>
    </row>
    <row r="903" spans="1:71" x14ac:dyDescent="0.25">
      <c r="A903" s="154"/>
      <c r="B903" s="155"/>
      <c r="C903" s="155"/>
      <c r="D903" s="155"/>
      <c r="E903" s="156"/>
      <c r="F903" s="156"/>
      <c r="G903" s="155"/>
      <c r="H903" s="155"/>
      <c r="I903" s="155"/>
      <c r="J903" s="157"/>
      <c r="K903" s="157"/>
      <c r="L903" s="155"/>
      <c r="M903" s="155"/>
      <c r="N903" s="155"/>
      <c r="O903" s="156"/>
      <c r="P903" s="156"/>
      <c r="Q903" s="155"/>
      <c r="R903" s="155"/>
      <c r="S903" s="155"/>
      <c r="T903" s="156"/>
      <c r="U903" s="156"/>
      <c r="V903" s="155"/>
      <c r="W903" s="155"/>
      <c r="X903" s="155"/>
      <c r="Y903" s="155"/>
      <c r="Z903" s="155"/>
      <c r="AA903" s="156"/>
      <c r="AB903" s="156"/>
      <c r="AC903" s="155"/>
      <c r="AD903" s="155"/>
      <c r="AE903" s="155"/>
      <c r="AF903" s="156"/>
      <c r="AG903" s="156"/>
      <c r="AH903" s="155"/>
      <c r="AI903" s="155"/>
      <c r="AJ903" s="155"/>
      <c r="AK903" s="156"/>
      <c r="AL903" s="156"/>
      <c r="AM903" s="155"/>
      <c r="AN903" s="155"/>
      <c r="AO903" s="155"/>
      <c r="AP903" s="156"/>
      <c r="AQ903" s="156"/>
      <c r="AR903" s="155"/>
      <c r="AS903" s="155"/>
      <c r="AT903" s="155"/>
      <c r="AU903" s="156"/>
      <c r="AV903" s="156"/>
      <c r="AW903" s="155"/>
      <c r="AX903" s="155"/>
      <c r="AY903" s="155"/>
      <c r="AZ903" s="156"/>
      <c r="BA903" s="156"/>
      <c r="BB903" s="155"/>
      <c r="BC903" s="155"/>
      <c r="BD903" s="155"/>
      <c r="BE903" s="155"/>
      <c r="BF903" s="155"/>
      <c r="BG903" s="158"/>
      <c r="BH903" s="158"/>
      <c r="BI903" s="155"/>
      <c r="BJ903" s="155"/>
      <c r="BK903" s="159"/>
      <c r="BL903" s="156"/>
      <c r="BM903" s="156"/>
      <c r="BN903" s="156"/>
      <c r="BO903" s="156"/>
      <c r="BP903" s="160"/>
      <c r="BQ903" s="160"/>
      <c r="BR903" s="160"/>
      <c r="BS903" s="160"/>
    </row>
    <row r="904" spans="1:71" x14ac:dyDescent="0.25">
      <c r="A904" s="154"/>
      <c r="B904" s="155"/>
      <c r="C904" s="155"/>
      <c r="D904" s="155"/>
      <c r="E904" s="156"/>
      <c r="F904" s="156"/>
      <c r="G904" s="155"/>
      <c r="H904" s="155"/>
      <c r="I904" s="155"/>
      <c r="J904" s="157"/>
      <c r="K904" s="157"/>
      <c r="L904" s="155"/>
      <c r="M904" s="155"/>
      <c r="N904" s="155"/>
      <c r="O904" s="156"/>
      <c r="P904" s="156"/>
      <c r="Q904" s="155"/>
      <c r="R904" s="155"/>
      <c r="S904" s="155"/>
      <c r="T904" s="156"/>
      <c r="U904" s="156"/>
      <c r="V904" s="155"/>
      <c r="W904" s="155"/>
      <c r="X904" s="155"/>
      <c r="Y904" s="155"/>
      <c r="Z904" s="155"/>
      <c r="AA904" s="156"/>
      <c r="AB904" s="156"/>
      <c r="AC904" s="155"/>
      <c r="AD904" s="155"/>
      <c r="AE904" s="155"/>
      <c r="AF904" s="156"/>
      <c r="AG904" s="156"/>
      <c r="AH904" s="155"/>
      <c r="AI904" s="155"/>
      <c r="AJ904" s="155"/>
      <c r="AK904" s="156"/>
      <c r="AL904" s="156"/>
      <c r="AM904" s="155"/>
      <c r="AN904" s="155"/>
      <c r="AO904" s="155"/>
      <c r="AP904" s="156"/>
      <c r="AQ904" s="156"/>
      <c r="AR904" s="155"/>
      <c r="AS904" s="155"/>
      <c r="AT904" s="155"/>
      <c r="AU904" s="156"/>
      <c r="AV904" s="156"/>
      <c r="AW904" s="155"/>
      <c r="AX904" s="155"/>
      <c r="AY904" s="155"/>
      <c r="AZ904" s="156"/>
      <c r="BA904" s="156"/>
      <c r="BB904" s="155"/>
      <c r="BC904" s="155"/>
      <c r="BD904" s="155"/>
      <c r="BE904" s="155"/>
      <c r="BF904" s="155"/>
      <c r="BG904" s="158"/>
      <c r="BH904" s="158"/>
      <c r="BI904" s="155"/>
      <c r="BJ904" s="155"/>
      <c r="BK904" s="159"/>
      <c r="BL904" s="156"/>
      <c r="BM904" s="156"/>
      <c r="BN904" s="156"/>
      <c r="BO904" s="156"/>
      <c r="BP904" s="160"/>
      <c r="BQ904" s="160"/>
      <c r="BR904" s="160"/>
      <c r="BS904" s="160"/>
    </row>
    <row r="905" spans="1:71" x14ac:dyDescent="0.25">
      <c r="A905" s="154"/>
      <c r="B905" s="155"/>
      <c r="C905" s="155"/>
      <c r="D905" s="155"/>
      <c r="E905" s="156"/>
      <c r="F905" s="156"/>
      <c r="G905" s="155"/>
      <c r="H905" s="155"/>
      <c r="I905" s="155"/>
      <c r="J905" s="157"/>
      <c r="K905" s="157"/>
      <c r="L905" s="155"/>
      <c r="M905" s="155"/>
      <c r="N905" s="155"/>
      <c r="O905" s="156"/>
      <c r="P905" s="156"/>
      <c r="Q905" s="155"/>
      <c r="R905" s="155"/>
      <c r="S905" s="155"/>
      <c r="T905" s="156"/>
      <c r="U905" s="156"/>
      <c r="V905" s="155"/>
      <c r="W905" s="155"/>
      <c r="X905" s="155"/>
      <c r="Y905" s="155"/>
      <c r="Z905" s="155"/>
      <c r="AA905" s="156"/>
      <c r="AB905" s="156"/>
      <c r="AC905" s="155"/>
      <c r="AD905" s="155"/>
      <c r="AE905" s="155"/>
      <c r="AF905" s="156"/>
      <c r="AG905" s="156"/>
      <c r="AH905" s="155"/>
      <c r="AI905" s="155"/>
      <c r="AJ905" s="155"/>
      <c r="AK905" s="156"/>
      <c r="AL905" s="156"/>
      <c r="AM905" s="155"/>
      <c r="AN905" s="155"/>
      <c r="AO905" s="155"/>
      <c r="AP905" s="156"/>
      <c r="AQ905" s="156"/>
      <c r="AR905" s="155"/>
      <c r="AS905" s="155"/>
      <c r="AT905" s="155"/>
      <c r="AU905" s="156"/>
      <c r="AV905" s="156"/>
      <c r="AW905" s="155"/>
      <c r="AX905" s="155"/>
      <c r="AY905" s="155"/>
      <c r="AZ905" s="156"/>
      <c r="BA905" s="156"/>
      <c r="BB905" s="155"/>
      <c r="BC905" s="155"/>
      <c r="BD905" s="155"/>
      <c r="BE905" s="155"/>
      <c r="BF905" s="155"/>
      <c r="BG905" s="158"/>
      <c r="BH905" s="158"/>
      <c r="BI905" s="155"/>
      <c r="BJ905" s="155"/>
      <c r="BK905" s="159"/>
      <c r="BL905" s="156"/>
      <c r="BM905" s="156"/>
      <c r="BN905" s="156"/>
      <c r="BO905" s="156"/>
      <c r="BP905" s="160"/>
      <c r="BQ905" s="160"/>
      <c r="BR905" s="160"/>
      <c r="BS905" s="160"/>
    </row>
    <row r="906" spans="1:71" x14ac:dyDescent="0.25">
      <c r="A906" s="154"/>
      <c r="B906" s="155"/>
      <c r="C906" s="155"/>
      <c r="D906" s="155"/>
      <c r="E906" s="156"/>
      <c r="F906" s="156"/>
      <c r="G906" s="155"/>
      <c r="H906" s="155"/>
      <c r="I906" s="155"/>
      <c r="J906" s="157"/>
      <c r="K906" s="157"/>
      <c r="L906" s="155"/>
      <c r="M906" s="155"/>
      <c r="N906" s="155"/>
      <c r="O906" s="156"/>
      <c r="P906" s="156"/>
      <c r="Q906" s="155"/>
      <c r="R906" s="155"/>
      <c r="S906" s="155"/>
      <c r="T906" s="156"/>
      <c r="U906" s="156"/>
      <c r="V906" s="155"/>
      <c r="W906" s="155"/>
      <c r="X906" s="155"/>
      <c r="Y906" s="155"/>
      <c r="Z906" s="155"/>
      <c r="AA906" s="156"/>
      <c r="AB906" s="156"/>
      <c r="AC906" s="155"/>
      <c r="AD906" s="155"/>
      <c r="AE906" s="155"/>
      <c r="AF906" s="156"/>
      <c r="AG906" s="156"/>
      <c r="AH906" s="155"/>
      <c r="AI906" s="155"/>
      <c r="AJ906" s="155"/>
      <c r="AK906" s="156"/>
      <c r="AL906" s="156"/>
      <c r="AM906" s="155"/>
      <c r="AN906" s="155"/>
      <c r="AO906" s="155"/>
      <c r="AP906" s="156"/>
      <c r="AQ906" s="156"/>
      <c r="AR906" s="155"/>
      <c r="AS906" s="155"/>
      <c r="AT906" s="155"/>
      <c r="AU906" s="156"/>
      <c r="AV906" s="156"/>
      <c r="AW906" s="155"/>
      <c r="AX906" s="155"/>
      <c r="AY906" s="155"/>
      <c r="AZ906" s="156"/>
      <c r="BA906" s="156"/>
      <c r="BB906" s="155"/>
      <c r="BC906" s="155"/>
      <c r="BD906" s="155"/>
      <c r="BE906" s="155"/>
      <c r="BF906" s="155"/>
      <c r="BG906" s="158"/>
      <c r="BH906" s="158"/>
      <c r="BI906" s="155"/>
      <c r="BJ906" s="155"/>
      <c r="BK906" s="159"/>
      <c r="BL906" s="156"/>
      <c r="BM906" s="156"/>
      <c r="BN906" s="156"/>
      <c r="BO906" s="156"/>
      <c r="BP906" s="160"/>
      <c r="BQ906" s="160"/>
      <c r="BR906" s="160"/>
      <c r="BS906" s="160"/>
    </row>
    <row r="907" spans="1:71" x14ac:dyDescent="0.25">
      <c r="A907" s="154"/>
      <c r="B907" s="155"/>
      <c r="C907" s="155"/>
      <c r="D907" s="155"/>
      <c r="E907" s="156"/>
      <c r="F907" s="156"/>
      <c r="G907" s="155"/>
      <c r="H907" s="155"/>
      <c r="I907" s="155"/>
      <c r="J907" s="157"/>
      <c r="K907" s="157"/>
      <c r="L907" s="155"/>
      <c r="M907" s="155"/>
      <c r="N907" s="155"/>
      <c r="O907" s="156"/>
      <c r="P907" s="156"/>
      <c r="Q907" s="155"/>
      <c r="R907" s="155"/>
      <c r="S907" s="155"/>
      <c r="T907" s="156"/>
      <c r="U907" s="156"/>
      <c r="V907" s="155"/>
      <c r="W907" s="155"/>
      <c r="X907" s="155"/>
      <c r="Y907" s="155"/>
      <c r="Z907" s="155"/>
      <c r="AA907" s="156"/>
      <c r="AB907" s="156"/>
      <c r="AC907" s="155"/>
      <c r="AD907" s="155"/>
      <c r="AE907" s="155"/>
      <c r="AF907" s="156"/>
      <c r="AG907" s="156"/>
      <c r="AH907" s="155"/>
      <c r="AI907" s="155"/>
      <c r="AJ907" s="155"/>
      <c r="AK907" s="156"/>
      <c r="AL907" s="156"/>
      <c r="AM907" s="155"/>
      <c r="AN907" s="155"/>
      <c r="AO907" s="155"/>
      <c r="AP907" s="156"/>
      <c r="AQ907" s="156"/>
      <c r="AR907" s="155"/>
      <c r="AS907" s="155"/>
      <c r="AT907" s="155"/>
      <c r="AU907" s="156"/>
      <c r="AV907" s="156"/>
      <c r="AW907" s="155"/>
      <c r="AX907" s="155"/>
      <c r="AY907" s="155"/>
      <c r="AZ907" s="156"/>
      <c r="BA907" s="156"/>
      <c r="BB907" s="155"/>
      <c r="BC907" s="155"/>
      <c r="BD907" s="155"/>
      <c r="BE907" s="155"/>
      <c r="BF907" s="155"/>
      <c r="BG907" s="158"/>
      <c r="BH907" s="158"/>
      <c r="BI907" s="155"/>
      <c r="BJ907" s="155"/>
      <c r="BK907" s="159"/>
      <c r="BL907" s="156"/>
      <c r="BM907" s="156"/>
      <c r="BN907" s="156"/>
      <c r="BO907" s="156"/>
      <c r="BP907" s="160"/>
      <c r="BQ907" s="160"/>
      <c r="BR907" s="160"/>
      <c r="BS907" s="160"/>
    </row>
    <row r="908" spans="1:71" x14ac:dyDescent="0.25">
      <c r="A908" s="154"/>
      <c r="B908" s="155"/>
      <c r="C908" s="155"/>
      <c r="D908" s="155"/>
      <c r="E908" s="156"/>
      <c r="F908" s="156"/>
      <c r="G908" s="155"/>
      <c r="H908" s="155"/>
      <c r="I908" s="155"/>
      <c r="J908" s="157"/>
      <c r="K908" s="157"/>
      <c r="L908" s="155"/>
      <c r="M908" s="155"/>
      <c r="N908" s="155"/>
      <c r="O908" s="156"/>
      <c r="P908" s="156"/>
      <c r="Q908" s="155"/>
      <c r="R908" s="155"/>
      <c r="S908" s="155"/>
      <c r="T908" s="156"/>
      <c r="U908" s="156"/>
      <c r="V908" s="155"/>
      <c r="W908" s="155"/>
      <c r="X908" s="155"/>
      <c r="Y908" s="155"/>
      <c r="Z908" s="155"/>
      <c r="AA908" s="156"/>
      <c r="AB908" s="156"/>
      <c r="AC908" s="155"/>
      <c r="AD908" s="155"/>
      <c r="AE908" s="155"/>
      <c r="AF908" s="156"/>
      <c r="AG908" s="156"/>
      <c r="AH908" s="155"/>
      <c r="AI908" s="155"/>
      <c r="AJ908" s="155"/>
      <c r="AK908" s="156"/>
      <c r="AL908" s="156"/>
      <c r="AM908" s="155"/>
      <c r="AN908" s="155"/>
      <c r="AO908" s="155"/>
      <c r="AP908" s="156"/>
      <c r="AQ908" s="156"/>
      <c r="AR908" s="155"/>
      <c r="AS908" s="155"/>
      <c r="AT908" s="155"/>
      <c r="AU908" s="156"/>
      <c r="AV908" s="156"/>
      <c r="AW908" s="155"/>
      <c r="AX908" s="155"/>
      <c r="AY908" s="155"/>
      <c r="AZ908" s="156"/>
      <c r="BA908" s="156"/>
      <c r="BB908" s="155"/>
      <c r="BC908" s="155"/>
      <c r="BD908" s="155"/>
      <c r="BE908" s="155"/>
      <c r="BF908" s="155"/>
      <c r="BG908" s="158"/>
      <c r="BH908" s="158"/>
      <c r="BI908" s="155"/>
      <c r="BJ908" s="155"/>
      <c r="BK908" s="159"/>
      <c r="BL908" s="156"/>
      <c r="BM908" s="156"/>
      <c r="BN908" s="156"/>
      <c r="BO908" s="156"/>
      <c r="BP908" s="160"/>
      <c r="BQ908" s="160"/>
      <c r="BR908" s="160"/>
      <c r="BS908" s="160"/>
    </row>
    <row r="909" spans="1:71" x14ac:dyDescent="0.25">
      <c r="A909" s="154"/>
      <c r="B909" s="155"/>
      <c r="C909" s="155"/>
      <c r="D909" s="155"/>
      <c r="E909" s="156"/>
      <c r="F909" s="156"/>
      <c r="G909" s="155"/>
      <c r="H909" s="155"/>
      <c r="I909" s="155"/>
      <c r="J909" s="157"/>
      <c r="K909" s="157"/>
      <c r="L909" s="155"/>
      <c r="M909" s="155"/>
      <c r="N909" s="155"/>
      <c r="O909" s="156"/>
      <c r="P909" s="156"/>
      <c r="Q909" s="155"/>
      <c r="R909" s="155"/>
      <c r="S909" s="155"/>
      <c r="T909" s="156"/>
      <c r="U909" s="156"/>
      <c r="V909" s="155"/>
      <c r="W909" s="155"/>
      <c r="X909" s="155"/>
      <c r="Y909" s="155"/>
      <c r="Z909" s="155"/>
      <c r="AA909" s="156"/>
      <c r="AB909" s="156"/>
      <c r="AC909" s="155"/>
      <c r="AD909" s="155"/>
      <c r="AE909" s="155"/>
      <c r="AF909" s="156"/>
      <c r="AG909" s="156"/>
      <c r="AH909" s="155"/>
      <c r="AI909" s="155"/>
      <c r="AJ909" s="155"/>
      <c r="AK909" s="156"/>
      <c r="AL909" s="156"/>
      <c r="AM909" s="155"/>
      <c r="AN909" s="155"/>
      <c r="AO909" s="155"/>
      <c r="AP909" s="156"/>
      <c r="AQ909" s="156"/>
      <c r="AR909" s="155"/>
      <c r="AS909" s="155"/>
      <c r="AT909" s="155"/>
      <c r="AU909" s="156"/>
      <c r="AV909" s="156"/>
      <c r="AW909" s="155"/>
      <c r="AX909" s="155"/>
      <c r="AY909" s="155"/>
      <c r="AZ909" s="156"/>
      <c r="BA909" s="156"/>
      <c r="BB909" s="155"/>
      <c r="BC909" s="155"/>
      <c r="BD909" s="155"/>
      <c r="BE909" s="155"/>
      <c r="BF909" s="155"/>
      <c r="BG909" s="158"/>
      <c r="BH909" s="158"/>
      <c r="BI909" s="155"/>
      <c r="BJ909" s="155"/>
      <c r="BK909" s="159"/>
      <c r="BL909" s="156"/>
      <c r="BM909" s="156"/>
      <c r="BN909" s="156"/>
      <c r="BO909" s="156"/>
      <c r="BP909" s="160"/>
      <c r="BQ909" s="160"/>
      <c r="BR909" s="160"/>
      <c r="BS909" s="160"/>
    </row>
    <row r="910" spans="1:71" x14ac:dyDescent="0.25">
      <c r="A910" s="154"/>
      <c r="B910" s="155"/>
      <c r="C910" s="155"/>
      <c r="D910" s="155"/>
      <c r="E910" s="156"/>
      <c r="F910" s="156"/>
      <c r="G910" s="155"/>
      <c r="H910" s="155"/>
      <c r="I910" s="155"/>
      <c r="J910" s="157"/>
      <c r="K910" s="157"/>
      <c r="L910" s="155"/>
      <c r="M910" s="155"/>
      <c r="N910" s="155"/>
      <c r="O910" s="156"/>
      <c r="P910" s="156"/>
      <c r="Q910" s="155"/>
      <c r="R910" s="155"/>
      <c r="S910" s="155"/>
      <c r="T910" s="156"/>
      <c r="U910" s="156"/>
      <c r="V910" s="155"/>
      <c r="W910" s="155"/>
      <c r="X910" s="155"/>
      <c r="Y910" s="155"/>
      <c r="Z910" s="155"/>
      <c r="AA910" s="156"/>
      <c r="AB910" s="156"/>
      <c r="AC910" s="155"/>
      <c r="AD910" s="155"/>
      <c r="AE910" s="155"/>
      <c r="AF910" s="156"/>
      <c r="AG910" s="156"/>
      <c r="AH910" s="155"/>
      <c r="AI910" s="155"/>
      <c r="AJ910" s="155"/>
      <c r="AK910" s="156"/>
      <c r="AL910" s="156"/>
      <c r="AM910" s="155"/>
      <c r="AN910" s="155"/>
      <c r="AO910" s="155"/>
      <c r="AP910" s="156"/>
      <c r="AQ910" s="156"/>
      <c r="AR910" s="155"/>
      <c r="AS910" s="155"/>
      <c r="AT910" s="155"/>
      <c r="AU910" s="156"/>
      <c r="AV910" s="156"/>
      <c r="AW910" s="155"/>
      <c r="AX910" s="155"/>
      <c r="AY910" s="155"/>
      <c r="AZ910" s="156"/>
      <c r="BA910" s="156"/>
      <c r="BB910" s="155"/>
      <c r="BC910" s="155"/>
      <c r="BD910" s="155"/>
      <c r="BE910" s="155"/>
      <c r="BF910" s="155"/>
      <c r="BG910" s="158"/>
      <c r="BH910" s="158"/>
      <c r="BI910" s="155"/>
      <c r="BJ910" s="155"/>
      <c r="BK910" s="159"/>
      <c r="BL910" s="156"/>
      <c r="BM910" s="156"/>
      <c r="BN910" s="156"/>
      <c r="BO910" s="156"/>
      <c r="BP910" s="160"/>
      <c r="BQ910" s="160"/>
      <c r="BR910" s="160"/>
      <c r="BS910" s="160"/>
    </row>
    <row r="911" spans="1:71" x14ac:dyDescent="0.25">
      <c r="A911" s="154"/>
      <c r="B911" s="155"/>
      <c r="C911" s="155"/>
      <c r="D911" s="155"/>
      <c r="E911" s="156"/>
      <c r="F911" s="156"/>
      <c r="G911" s="155"/>
      <c r="H911" s="155"/>
      <c r="I911" s="155"/>
      <c r="J911" s="157"/>
      <c r="K911" s="157"/>
      <c r="L911" s="155"/>
      <c r="M911" s="155"/>
      <c r="N911" s="155"/>
      <c r="O911" s="156"/>
      <c r="P911" s="156"/>
      <c r="Q911" s="155"/>
      <c r="R911" s="155"/>
      <c r="S911" s="155"/>
      <c r="T911" s="156"/>
      <c r="U911" s="156"/>
      <c r="V911" s="155"/>
      <c r="W911" s="155"/>
      <c r="X911" s="155"/>
      <c r="Y911" s="155"/>
      <c r="Z911" s="155"/>
      <c r="AA911" s="156"/>
      <c r="AB911" s="156"/>
      <c r="AC911" s="155"/>
      <c r="AD911" s="155"/>
      <c r="AE911" s="155"/>
      <c r="AF911" s="156"/>
      <c r="AG911" s="156"/>
      <c r="AH911" s="155"/>
      <c r="AI911" s="155"/>
      <c r="AJ911" s="155"/>
      <c r="AK911" s="156"/>
      <c r="AL911" s="156"/>
      <c r="AM911" s="155"/>
      <c r="AN911" s="155"/>
      <c r="AO911" s="155"/>
      <c r="AP911" s="156"/>
      <c r="AQ911" s="156"/>
      <c r="AR911" s="155"/>
      <c r="AS911" s="155"/>
      <c r="AT911" s="155"/>
      <c r="AU911" s="156"/>
      <c r="AV911" s="156"/>
      <c r="AW911" s="155"/>
      <c r="AX911" s="155"/>
      <c r="AY911" s="155"/>
      <c r="AZ911" s="156"/>
      <c r="BA911" s="156"/>
      <c r="BB911" s="155"/>
      <c r="BC911" s="155"/>
      <c r="BD911" s="155"/>
      <c r="BE911" s="155"/>
      <c r="BF911" s="155"/>
      <c r="BG911" s="158"/>
      <c r="BH911" s="158"/>
      <c r="BI911" s="155"/>
      <c r="BJ911" s="155"/>
      <c r="BK911" s="159"/>
      <c r="BL911" s="156"/>
      <c r="BM911" s="156"/>
      <c r="BN911" s="156"/>
      <c r="BO911" s="156"/>
      <c r="BP911" s="160"/>
      <c r="BQ911" s="160"/>
      <c r="BR911" s="160"/>
      <c r="BS911" s="160"/>
    </row>
    <row r="912" spans="1:71" x14ac:dyDescent="0.25">
      <c r="A912" s="154"/>
      <c r="B912" s="155"/>
      <c r="C912" s="155"/>
      <c r="D912" s="155"/>
      <c r="E912" s="156"/>
      <c r="F912" s="156"/>
      <c r="G912" s="155"/>
      <c r="H912" s="155"/>
      <c r="I912" s="155"/>
      <c r="J912" s="157"/>
      <c r="K912" s="157"/>
      <c r="L912" s="155"/>
      <c r="M912" s="155"/>
      <c r="N912" s="155"/>
      <c r="O912" s="156"/>
      <c r="P912" s="156"/>
      <c r="Q912" s="155"/>
      <c r="R912" s="155"/>
      <c r="S912" s="155"/>
      <c r="T912" s="156"/>
      <c r="U912" s="156"/>
      <c r="V912" s="155"/>
      <c r="W912" s="155"/>
      <c r="X912" s="155"/>
      <c r="Y912" s="155"/>
      <c r="Z912" s="155"/>
      <c r="AA912" s="156"/>
      <c r="AB912" s="156"/>
      <c r="AC912" s="155"/>
      <c r="AD912" s="155"/>
      <c r="AE912" s="155"/>
      <c r="AF912" s="156"/>
      <c r="AG912" s="156"/>
      <c r="AH912" s="155"/>
      <c r="AI912" s="155"/>
      <c r="AJ912" s="155"/>
      <c r="AK912" s="156"/>
      <c r="AL912" s="156"/>
      <c r="AM912" s="155"/>
      <c r="AN912" s="155"/>
      <c r="AO912" s="155"/>
      <c r="AP912" s="156"/>
      <c r="AQ912" s="156"/>
      <c r="AR912" s="155"/>
      <c r="AS912" s="155"/>
      <c r="AT912" s="155"/>
      <c r="AU912" s="156"/>
      <c r="AV912" s="156"/>
      <c r="AW912" s="155"/>
      <c r="AX912" s="155"/>
      <c r="AY912" s="155"/>
      <c r="AZ912" s="156"/>
      <c r="BA912" s="156"/>
      <c r="BB912" s="155"/>
      <c r="BC912" s="155"/>
      <c r="BD912" s="155"/>
      <c r="BE912" s="155"/>
      <c r="BF912" s="155"/>
      <c r="BG912" s="158"/>
      <c r="BH912" s="158"/>
      <c r="BI912" s="155"/>
      <c r="BJ912" s="155"/>
      <c r="BK912" s="159"/>
      <c r="BL912" s="156"/>
      <c r="BM912" s="156"/>
      <c r="BN912" s="156"/>
      <c r="BO912" s="156"/>
      <c r="BP912" s="160"/>
      <c r="BQ912" s="160"/>
      <c r="BR912" s="160"/>
      <c r="BS912" s="160"/>
    </row>
    <row r="913" spans="1:71" x14ac:dyDescent="0.25">
      <c r="A913" s="154"/>
      <c r="B913" s="155"/>
      <c r="C913" s="155"/>
      <c r="D913" s="155"/>
      <c r="E913" s="156"/>
      <c r="F913" s="156"/>
      <c r="G913" s="155"/>
      <c r="H913" s="155"/>
      <c r="I913" s="155"/>
      <c r="J913" s="157"/>
      <c r="K913" s="157"/>
      <c r="L913" s="155"/>
      <c r="M913" s="155"/>
      <c r="N913" s="155"/>
      <c r="O913" s="156"/>
      <c r="P913" s="156"/>
      <c r="Q913" s="155"/>
      <c r="R913" s="155"/>
      <c r="S913" s="155"/>
      <c r="T913" s="156"/>
      <c r="U913" s="156"/>
      <c r="V913" s="155"/>
      <c r="W913" s="155"/>
      <c r="X913" s="155"/>
      <c r="Y913" s="155"/>
      <c r="Z913" s="155"/>
      <c r="AA913" s="156"/>
      <c r="AB913" s="156"/>
      <c r="AC913" s="155"/>
      <c r="AD913" s="155"/>
      <c r="AE913" s="155"/>
      <c r="AF913" s="156"/>
      <c r="AG913" s="156"/>
      <c r="AH913" s="155"/>
      <c r="AI913" s="155"/>
      <c r="AJ913" s="155"/>
      <c r="AK913" s="156"/>
      <c r="AL913" s="156"/>
      <c r="AM913" s="155"/>
      <c r="AN913" s="155"/>
      <c r="AO913" s="155"/>
      <c r="AP913" s="156"/>
      <c r="AQ913" s="156"/>
      <c r="AR913" s="155"/>
      <c r="AS913" s="155"/>
      <c r="AT913" s="155"/>
      <c r="AU913" s="156"/>
      <c r="AV913" s="156"/>
      <c r="AW913" s="155"/>
      <c r="AX913" s="155"/>
      <c r="AY913" s="155"/>
      <c r="AZ913" s="156"/>
      <c r="BA913" s="156"/>
      <c r="BB913" s="155"/>
      <c r="BC913" s="155"/>
      <c r="BD913" s="155"/>
      <c r="BE913" s="155"/>
      <c r="BF913" s="155"/>
      <c r="BG913" s="158"/>
      <c r="BH913" s="158"/>
      <c r="BI913" s="155"/>
      <c r="BJ913" s="155"/>
      <c r="BK913" s="159"/>
      <c r="BL913" s="156"/>
      <c r="BM913" s="156"/>
      <c r="BN913" s="156"/>
      <c r="BO913" s="156"/>
      <c r="BP913" s="160"/>
      <c r="BQ913" s="160"/>
      <c r="BR913" s="160"/>
      <c r="BS913" s="160"/>
    </row>
    <row r="914" spans="1:71" x14ac:dyDescent="0.25">
      <c r="A914" s="154"/>
      <c r="B914" s="155"/>
      <c r="C914" s="155"/>
      <c r="D914" s="155"/>
      <c r="E914" s="156"/>
      <c r="F914" s="156"/>
      <c r="G914" s="155"/>
      <c r="H914" s="155"/>
      <c r="I914" s="155"/>
      <c r="J914" s="157"/>
      <c r="K914" s="157"/>
      <c r="L914" s="155"/>
      <c r="M914" s="155"/>
      <c r="N914" s="155"/>
      <c r="O914" s="156"/>
      <c r="P914" s="156"/>
      <c r="Q914" s="155"/>
      <c r="R914" s="155"/>
      <c r="S914" s="155"/>
      <c r="T914" s="156"/>
      <c r="U914" s="156"/>
      <c r="V914" s="155"/>
      <c r="W914" s="155"/>
      <c r="X914" s="155"/>
      <c r="Y914" s="155"/>
      <c r="Z914" s="155"/>
      <c r="AA914" s="156"/>
      <c r="AB914" s="156"/>
      <c r="AC914" s="155"/>
      <c r="AD914" s="155"/>
      <c r="AE914" s="155"/>
      <c r="AF914" s="156"/>
      <c r="AG914" s="156"/>
      <c r="AH914" s="155"/>
      <c r="AI914" s="155"/>
      <c r="AJ914" s="155"/>
      <c r="AK914" s="156"/>
      <c r="AL914" s="156"/>
      <c r="AM914" s="155"/>
      <c r="AN914" s="155"/>
      <c r="AO914" s="155"/>
      <c r="AP914" s="156"/>
      <c r="AQ914" s="156"/>
      <c r="AR914" s="155"/>
      <c r="AS914" s="155"/>
      <c r="AT914" s="155"/>
      <c r="AU914" s="156"/>
      <c r="AV914" s="156"/>
      <c r="AW914" s="155"/>
      <c r="AX914" s="155"/>
      <c r="AY914" s="155"/>
      <c r="AZ914" s="156"/>
      <c r="BA914" s="156"/>
      <c r="BB914" s="155"/>
      <c r="BC914" s="155"/>
      <c r="BD914" s="155"/>
      <c r="BE914" s="155"/>
      <c r="BF914" s="155"/>
      <c r="BG914" s="158"/>
      <c r="BH914" s="158"/>
      <c r="BI914" s="155"/>
      <c r="BJ914" s="155"/>
      <c r="BK914" s="159"/>
      <c r="BL914" s="156"/>
      <c r="BM914" s="156"/>
      <c r="BN914" s="156"/>
      <c r="BO914" s="156"/>
      <c r="BP914" s="160"/>
      <c r="BQ914" s="160"/>
      <c r="BR914" s="160"/>
      <c r="BS914" s="160"/>
    </row>
    <row r="915" spans="1:71" x14ac:dyDescent="0.25">
      <c r="A915" s="154"/>
      <c r="B915" s="155"/>
      <c r="C915" s="155"/>
      <c r="D915" s="155"/>
      <c r="E915" s="156"/>
      <c r="F915" s="156"/>
      <c r="G915" s="155"/>
      <c r="H915" s="155"/>
      <c r="I915" s="155"/>
      <c r="J915" s="157"/>
      <c r="K915" s="157"/>
      <c r="L915" s="155"/>
      <c r="M915" s="155"/>
      <c r="N915" s="155"/>
      <c r="O915" s="156"/>
      <c r="P915" s="156"/>
      <c r="Q915" s="155"/>
      <c r="R915" s="155"/>
      <c r="S915" s="155"/>
      <c r="T915" s="156"/>
      <c r="U915" s="156"/>
      <c r="V915" s="155"/>
      <c r="W915" s="155"/>
      <c r="X915" s="155"/>
      <c r="Y915" s="155"/>
      <c r="Z915" s="155"/>
      <c r="AA915" s="156"/>
      <c r="AB915" s="156"/>
      <c r="AC915" s="155"/>
      <c r="AD915" s="155"/>
      <c r="AE915" s="155"/>
      <c r="AF915" s="156"/>
      <c r="AG915" s="156"/>
      <c r="AH915" s="155"/>
      <c r="AI915" s="155"/>
      <c r="AJ915" s="155"/>
      <c r="AK915" s="156"/>
      <c r="AL915" s="156"/>
      <c r="AM915" s="155"/>
      <c r="AN915" s="155"/>
      <c r="AO915" s="155"/>
      <c r="AP915" s="156"/>
      <c r="AQ915" s="156"/>
      <c r="AR915" s="155"/>
      <c r="AS915" s="155"/>
      <c r="AT915" s="155"/>
      <c r="AU915" s="156"/>
      <c r="AV915" s="156"/>
      <c r="AW915" s="155"/>
      <c r="AX915" s="155"/>
      <c r="AY915" s="155"/>
      <c r="AZ915" s="156"/>
      <c r="BA915" s="156"/>
      <c r="BB915" s="155"/>
      <c r="BC915" s="155"/>
      <c r="BD915" s="155"/>
      <c r="BE915" s="155"/>
      <c r="BF915" s="155"/>
      <c r="BG915" s="158"/>
      <c r="BH915" s="158"/>
      <c r="BI915" s="155"/>
      <c r="BJ915" s="155"/>
      <c r="BK915" s="159"/>
      <c r="BL915" s="156"/>
      <c r="BM915" s="156"/>
      <c r="BN915" s="156"/>
      <c r="BO915" s="156"/>
      <c r="BP915" s="160"/>
      <c r="BQ915" s="160"/>
      <c r="BR915" s="160"/>
      <c r="BS915" s="160"/>
    </row>
    <row r="916" spans="1:71" x14ac:dyDescent="0.25">
      <c r="A916" s="154"/>
      <c r="B916" s="155"/>
      <c r="C916" s="155"/>
      <c r="D916" s="155"/>
      <c r="E916" s="156"/>
      <c r="F916" s="156"/>
      <c r="G916" s="155"/>
      <c r="H916" s="155"/>
      <c r="I916" s="155"/>
      <c r="J916" s="157"/>
      <c r="K916" s="157"/>
      <c r="L916" s="155"/>
      <c r="M916" s="155"/>
      <c r="N916" s="155"/>
      <c r="O916" s="156"/>
      <c r="P916" s="156"/>
      <c r="Q916" s="155"/>
      <c r="R916" s="155"/>
      <c r="S916" s="155"/>
      <c r="T916" s="156"/>
      <c r="U916" s="156"/>
      <c r="V916" s="155"/>
      <c r="W916" s="155"/>
      <c r="X916" s="155"/>
      <c r="Y916" s="155"/>
      <c r="Z916" s="155"/>
      <c r="AA916" s="156"/>
      <c r="AB916" s="156"/>
      <c r="AC916" s="155"/>
      <c r="AD916" s="155"/>
      <c r="AE916" s="155"/>
      <c r="AF916" s="156"/>
      <c r="AG916" s="156"/>
      <c r="AH916" s="155"/>
      <c r="AI916" s="155"/>
      <c r="AJ916" s="155"/>
      <c r="AK916" s="156"/>
      <c r="AL916" s="156"/>
      <c r="AM916" s="155"/>
      <c r="AN916" s="155"/>
      <c r="AO916" s="155"/>
      <c r="AP916" s="156"/>
      <c r="AQ916" s="156"/>
      <c r="AR916" s="155"/>
      <c r="AS916" s="155"/>
      <c r="AT916" s="155"/>
      <c r="AU916" s="156"/>
      <c r="AV916" s="156"/>
      <c r="AW916" s="155"/>
      <c r="AX916" s="155"/>
      <c r="AY916" s="155"/>
      <c r="AZ916" s="156"/>
      <c r="BA916" s="156"/>
      <c r="BB916" s="155"/>
      <c r="BC916" s="155"/>
      <c r="BD916" s="155"/>
      <c r="BE916" s="155"/>
      <c r="BF916" s="155"/>
      <c r="BG916" s="158"/>
      <c r="BH916" s="158"/>
      <c r="BI916" s="155"/>
      <c r="BJ916" s="155"/>
      <c r="BK916" s="159"/>
      <c r="BL916" s="156"/>
      <c r="BM916" s="156"/>
      <c r="BN916" s="156"/>
      <c r="BO916" s="156"/>
      <c r="BP916" s="160"/>
      <c r="BQ916" s="160"/>
      <c r="BR916" s="160"/>
      <c r="BS916" s="160"/>
    </row>
    <row r="917" spans="1:71" x14ac:dyDescent="0.25">
      <c r="A917" s="154"/>
      <c r="B917" s="155"/>
      <c r="C917" s="155"/>
      <c r="D917" s="155"/>
      <c r="E917" s="156"/>
      <c r="F917" s="156"/>
      <c r="G917" s="155"/>
      <c r="H917" s="155"/>
      <c r="I917" s="155"/>
      <c r="J917" s="157"/>
      <c r="K917" s="157"/>
      <c r="L917" s="155"/>
      <c r="M917" s="155"/>
      <c r="N917" s="155"/>
      <c r="O917" s="156"/>
      <c r="P917" s="156"/>
      <c r="Q917" s="155"/>
      <c r="R917" s="155"/>
      <c r="S917" s="155"/>
      <c r="T917" s="156"/>
      <c r="U917" s="156"/>
      <c r="V917" s="155"/>
      <c r="W917" s="155"/>
      <c r="X917" s="155"/>
      <c r="Y917" s="155"/>
      <c r="Z917" s="155"/>
      <c r="AA917" s="156"/>
      <c r="AB917" s="156"/>
      <c r="AC917" s="155"/>
      <c r="AD917" s="155"/>
      <c r="AE917" s="155"/>
      <c r="AF917" s="156"/>
      <c r="AG917" s="156"/>
      <c r="AH917" s="155"/>
      <c r="AI917" s="155"/>
      <c r="AJ917" s="155"/>
      <c r="AK917" s="156"/>
      <c r="AL917" s="156"/>
      <c r="AM917" s="155"/>
      <c r="AN917" s="155"/>
      <c r="AO917" s="155"/>
      <c r="AP917" s="156"/>
      <c r="AQ917" s="156"/>
      <c r="AR917" s="155"/>
      <c r="AS917" s="155"/>
      <c r="AT917" s="155"/>
      <c r="AU917" s="156"/>
      <c r="AV917" s="156"/>
      <c r="AW917" s="155"/>
      <c r="AX917" s="155"/>
      <c r="AY917" s="155"/>
      <c r="AZ917" s="156"/>
      <c r="BA917" s="156"/>
      <c r="BB917" s="155"/>
      <c r="BC917" s="155"/>
      <c r="BD917" s="155"/>
      <c r="BE917" s="155"/>
      <c r="BF917" s="155"/>
      <c r="BG917" s="158"/>
      <c r="BH917" s="158"/>
      <c r="BI917" s="155"/>
      <c r="BJ917" s="155"/>
      <c r="BK917" s="159"/>
      <c r="BL917" s="156"/>
      <c r="BM917" s="156"/>
      <c r="BN917" s="156"/>
      <c r="BO917" s="156"/>
      <c r="BP917" s="160"/>
      <c r="BQ917" s="160"/>
      <c r="BR917" s="160"/>
      <c r="BS917" s="160"/>
    </row>
    <row r="918" spans="1:71" x14ac:dyDescent="0.25">
      <c r="A918" s="154"/>
      <c r="B918" s="155"/>
      <c r="C918" s="155"/>
      <c r="D918" s="155"/>
      <c r="E918" s="156"/>
      <c r="F918" s="156"/>
      <c r="G918" s="155"/>
      <c r="H918" s="155"/>
      <c r="I918" s="155"/>
      <c r="J918" s="157"/>
      <c r="K918" s="157"/>
      <c r="L918" s="155"/>
      <c r="M918" s="155"/>
      <c r="N918" s="155"/>
      <c r="O918" s="156"/>
      <c r="P918" s="156"/>
      <c r="Q918" s="155"/>
      <c r="R918" s="155"/>
      <c r="S918" s="155"/>
      <c r="T918" s="156"/>
      <c r="U918" s="156"/>
      <c r="V918" s="155"/>
      <c r="W918" s="155"/>
      <c r="X918" s="155"/>
      <c r="Y918" s="155"/>
      <c r="Z918" s="155"/>
      <c r="AA918" s="156"/>
      <c r="AB918" s="156"/>
      <c r="AC918" s="155"/>
      <c r="AD918" s="155"/>
      <c r="AE918" s="155"/>
      <c r="AF918" s="156"/>
      <c r="AG918" s="156"/>
      <c r="AH918" s="155"/>
      <c r="AI918" s="155"/>
      <c r="AJ918" s="155"/>
      <c r="AK918" s="156"/>
      <c r="AL918" s="156"/>
      <c r="AM918" s="155"/>
      <c r="AN918" s="155"/>
      <c r="AO918" s="155"/>
      <c r="AP918" s="156"/>
      <c r="AQ918" s="156"/>
      <c r="AR918" s="155"/>
      <c r="AS918" s="155"/>
      <c r="AT918" s="155"/>
      <c r="AU918" s="156"/>
      <c r="AV918" s="156"/>
      <c r="AW918" s="155"/>
      <c r="AX918" s="155"/>
      <c r="AY918" s="155"/>
      <c r="AZ918" s="156"/>
      <c r="BA918" s="156"/>
      <c r="BB918" s="155"/>
      <c r="BC918" s="155"/>
      <c r="BD918" s="155"/>
      <c r="BE918" s="155"/>
      <c r="BF918" s="155"/>
      <c r="BG918" s="158"/>
      <c r="BH918" s="158"/>
      <c r="BI918" s="155"/>
      <c r="BJ918" s="155"/>
      <c r="BK918" s="159"/>
      <c r="BL918" s="156"/>
      <c r="BM918" s="156"/>
      <c r="BN918" s="156"/>
      <c r="BO918" s="156"/>
      <c r="BP918" s="160"/>
      <c r="BQ918" s="160"/>
      <c r="BR918" s="160"/>
      <c r="BS918" s="160"/>
    </row>
    <row r="919" spans="1:71" x14ac:dyDescent="0.25">
      <c r="A919" s="154"/>
      <c r="B919" s="155"/>
      <c r="C919" s="155"/>
      <c r="D919" s="155"/>
      <c r="E919" s="156"/>
      <c r="F919" s="156"/>
      <c r="G919" s="155"/>
      <c r="H919" s="155"/>
      <c r="I919" s="155"/>
      <c r="J919" s="157"/>
      <c r="K919" s="157"/>
      <c r="L919" s="155"/>
      <c r="M919" s="155"/>
      <c r="N919" s="155"/>
      <c r="O919" s="156"/>
      <c r="P919" s="156"/>
      <c r="Q919" s="155"/>
      <c r="R919" s="155"/>
      <c r="S919" s="155"/>
      <c r="T919" s="156"/>
      <c r="U919" s="156"/>
      <c r="V919" s="155"/>
      <c r="W919" s="155"/>
      <c r="X919" s="155"/>
      <c r="Y919" s="155"/>
      <c r="Z919" s="155"/>
      <c r="AA919" s="156"/>
      <c r="AB919" s="156"/>
      <c r="AC919" s="155"/>
      <c r="AD919" s="155"/>
      <c r="AE919" s="155"/>
      <c r="AF919" s="156"/>
      <c r="AG919" s="156"/>
      <c r="AH919" s="155"/>
      <c r="AI919" s="155"/>
      <c r="AJ919" s="155"/>
      <c r="AK919" s="156"/>
      <c r="AL919" s="156"/>
      <c r="AM919" s="155"/>
      <c r="AN919" s="155"/>
      <c r="AO919" s="155"/>
      <c r="AP919" s="156"/>
      <c r="AQ919" s="156"/>
      <c r="AR919" s="155"/>
      <c r="AS919" s="155"/>
      <c r="AT919" s="155"/>
      <c r="AU919" s="156"/>
      <c r="AV919" s="156"/>
      <c r="AW919" s="155"/>
      <c r="AX919" s="155"/>
      <c r="AY919" s="155"/>
      <c r="AZ919" s="156"/>
      <c r="BA919" s="156"/>
      <c r="BB919" s="155"/>
      <c r="BC919" s="155"/>
      <c r="BD919" s="155"/>
      <c r="BE919" s="155"/>
      <c r="BF919" s="155"/>
      <c r="BG919" s="158"/>
      <c r="BH919" s="158"/>
      <c r="BI919" s="155"/>
      <c r="BJ919" s="155"/>
      <c r="BK919" s="159"/>
      <c r="BL919" s="156"/>
      <c r="BM919" s="156"/>
      <c r="BN919" s="156"/>
      <c r="BO919" s="156"/>
      <c r="BP919" s="160"/>
      <c r="BQ919" s="160"/>
      <c r="BR919" s="160"/>
      <c r="BS919" s="160"/>
    </row>
    <row r="920" spans="1:71" x14ac:dyDescent="0.25">
      <c r="A920" s="154"/>
      <c r="B920" s="155"/>
      <c r="C920" s="155"/>
      <c r="D920" s="155"/>
      <c r="E920" s="156"/>
      <c r="F920" s="156"/>
      <c r="G920" s="155"/>
      <c r="H920" s="155"/>
      <c r="I920" s="155"/>
      <c r="J920" s="157"/>
      <c r="K920" s="157"/>
      <c r="L920" s="155"/>
      <c r="M920" s="155"/>
      <c r="N920" s="155"/>
      <c r="O920" s="156"/>
      <c r="P920" s="156"/>
      <c r="Q920" s="155"/>
      <c r="R920" s="155"/>
      <c r="S920" s="155"/>
      <c r="T920" s="156"/>
      <c r="U920" s="156"/>
      <c r="V920" s="155"/>
      <c r="W920" s="155"/>
      <c r="X920" s="155"/>
      <c r="Y920" s="155"/>
      <c r="Z920" s="155"/>
      <c r="AA920" s="156"/>
      <c r="AB920" s="156"/>
      <c r="AC920" s="155"/>
      <c r="AD920" s="155"/>
      <c r="AE920" s="155"/>
      <c r="AF920" s="156"/>
      <c r="AG920" s="156"/>
      <c r="AH920" s="155"/>
      <c r="AI920" s="155"/>
      <c r="AJ920" s="155"/>
      <c r="AK920" s="156"/>
      <c r="AL920" s="156"/>
      <c r="AM920" s="155"/>
      <c r="AN920" s="155"/>
      <c r="AO920" s="155"/>
      <c r="AP920" s="156"/>
      <c r="AQ920" s="156"/>
      <c r="AR920" s="155"/>
      <c r="AS920" s="155"/>
      <c r="AT920" s="155"/>
      <c r="AU920" s="156"/>
      <c r="AV920" s="156"/>
      <c r="AW920" s="155"/>
      <c r="AX920" s="155"/>
      <c r="AY920" s="155"/>
      <c r="AZ920" s="156"/>
      <c r="BA920" s="156"/>
      <c r="BB920" s="155"/>
      <c r="BC920" s="155"/>
      <c r="BD920" s="155"/>
      <c r="BE920" s="155"/>
      <c r="BF920" s="155"/>
      <c r="BG920" s="158"/>
      <c r="BH920" s="158"/>
      <c r="BI920" s="155"/>
      <c r="BJ920" s="155"/>
      <c r="BK920" s="159"/>
      <c r="BL920" s="156"/>
      <c r="BM920" s="156"/>
      <c r="BN920" s="156"/>
      <c r="BO920" s="156"/>
      <c r="BP920" s="160"/>
      <c r="BQ920" s="160"/>
      <c r="BR920" s="160"/>
      <c r="BS920" s="160"/>
    </row>
    <row r="921" spans="1:71" x14ac:dyDescent="0.25">
      <c r="A921" s="154"/>
      <c r="B921" s="155"/>
      <c r="C921" s="155"/>
      <c r="D921" s="155"/>
      <c r="E921" s="156"/>
      <c r="F921" s="156"/>
      <c r="G921" s="155"/>
      <c r="H921" s="155"/>
      <c r="I921" s="155"/>
      <c r="J921" s="157"/>
      <c r="K921" s="157"/>
      <c r="L921" s="155"/>
      <c r="M921" s="155"/>
      <c r="N921" s="155"/>
      <c r="O921" s="156"/>
      <c r="P921" s="156"/>
      <c r="Q921" s="155"/>
      <c r="R921" s="155"/>
      <c r="S921" s="155"/>
      <c r="T921" s="156"/>
      <c r="U921" s="156"/>
      <c r="V921" s="155"/>
      <c r="W921" s="155"/>
      <c r="X921" s="155"/>
      <c r="Y921" s="155"/>
      <c r="Z921" s="155"/>
      <c r="AA921" s="156"/>
      <c r="AB921" s="156"/>
      <c r="AC921" s="155"/>
      <c r="AD921" s="155"/>
      <c r="AE921" s="155"/>
      <c r="AF921" s="156"/>
      <c r="AG921" s="156"/>
      <c r="AH921" s="155"/>
      <c r="AI921" s="155"/>
      <c r="AJ921" s="155"/>
      <c r="AK921" s="156"/>
      <c r="AL921" s="156"/>
      <c r="AM921" s="155"/>
      <c r="AN921" s="155"/>
      <c r="AO921" s="155"/>
      <c r="AP921" s="156"/>
      <c r="AQ921" s="156"/>
      <c r="AR921" s="155"/>
      <c r="AS921" s="155"/>
      <c r="AT921" s="155"/>
      <c r="AU921" s="156"/>
      <c r="AV921" s="156"/>
      <c r="AW921" s="155"/>
      <c r="AX921" s="155"/>
      <c r="AY921" s="155"/>
      <c r="AZ921" s="156"/>
      <c r="BA921" s="156"/>
      <c r="BB921" s="155"/>
      <c r="BC921" s="155"/>
      <c r="BD921" s="155"/>
      <c r="BE921" s="155"/>
      <c r="BF921" s="155"/>
      <c r="BG921" s="158"/>
      <c r="BH921" s="158"/>
      <c r="BI921" s="155"/>
      <c r="BJ921" s="155"/>
      <c r="BK921" s="159"/>
      <c r="BL921" s="156"/>
      <c r="BM921" s="156"/>
      <c r="BN921" s="156"/>
      <c r="BO921" s="156"/>
      <c r="BP921" s="160"/>
      <c r="BQ921" s="160"/>
      <c r="BR921" s="160"/>
      <c r="BS921" s="160"/>
    </row>
    <row r="922" spans="1:71" x14ac:dyDescent="0.25">
      <c r="A922" s="154"/>
      <c r="B922" s="155"/>
      <c r="C922" s="155"/>
      <c r="D922" s="155"/>
      <c r="E922" s="156"/>
      <c r="F922" s="156"/>
      <c r="G922" s="155"/>
      <c r="H922" s="155"/>
      <c r="I922" s="155"/>
      <c r="J922" s="157"/>
      <c r="K922" s="157"/>
      <c r="L922" s="155"/>
      <c r="M922" s="155"/>
      <c r="N922" s="155"/>
      <c r="O922" s="156"/>
      <c r="P922" s="156"/>
      <c r="Q922" s="155"/>
      <c r="R922" s="155"/>
      <c r="S922" s="155"/>
      <c r="T922" s="156"/>
      <c r="U922" s="156"/>
      <c r="V922" s="155"/>
      <c r="W922" s="155"/>
      <c r="X922" s="155"/>
      <c r="Y922" s="155"/>
      <c r="Z922" s="155"/>
      <c r="AA922" s="156"/>
      <c r="AB922" s="156"/>
      <c r="AC922" s="155"/>
      <c r="AD922" s="155"/>
      <c r="AE922" s="155"/>
      <c r="AF922" s="156"/>
      <c r="AG922" s="156"/>
      <c r="AH922" s="155"/>
      <c r="AI922" s="155"/>
      <c r="AJ922" s="155"/>
      <c r="AK922" s="156"/>
      <c r="AL922" s="156"/>
      <c r="AM922" s="155"/>
      <c r="AN922" s="155"/>
      <c r="AO922" s="155"/>
      <c r="AP922" s="156"/>
      <c r="AQ922" s="156"/>
      <c r="AR922" s="155"/>
      <c r="AS922" s="155"/>
      <c r="AT922" s="155"/>
      <c r="AU922" s="156"/>
      <c r="AV922" s="156"/>
      <c r="AW922" s="155"/>
      <c r="AX922" s="155"/>
      <c r="AY922" s="155"/>
      <c r="AZ922" s="156"/>
      <c r="BA922" s="156"/>
      <c r="BB922" s="155"/>
      <c r="BC922" s="155"/>
      <c r="BD922" s="155"/>
      <c r="BE922" s="155"/>
      <c r="BF922" s="155"/>
      <c r="BG922" s="158"/>
      <c r="BH922" s="158"/>
      <c r="BI922" s="155"/>
      <c r="BJ922" s="155"/>
      <c r="BK922" s="159"/>
      <c r="BL922" s="156"/>
      <c r="BM922" s="156"/>
      <c r="BN922" s="156"/>
      <c r="BO922" s="156"/>
      <c r="BP922" s="160"/>
      <c r="BQ922" s="160"/>
      <c r="BR922" s="160"/>
      <c r="BS922" s="160"/>
    </row>
    <row r="923" spans="1:71" x14ac:dyDescent="0.25">
      <c r="A923" s="154"/>
      <c r="B923" s="155"/>
      <c r="C923" s="155"/>
      <c r="D923" s="155"/>
      <c r="E923" s="156"/>
      <c r="F923" s="156"/>
      <c r="G923" s="155"/>
      <c r="H923" s="155"/>
      <c r="I923" s="155"/>
      <c r="J923" s="157"/>
      <c r="K923" s="157"/>
      <c r="L923" s="155"/>
      <c r="M923" s="155"/>
      <c r="N923" s="155"/>
      <c r="O923" s="156"/>
      <c r="P923" s="156"/>
      <c r="Q923" s="155"/>
      <c r="R923" s="155"/>
      <c r="S923" s="155"/>
      <c r="T923" s="156"/>
      <c r="U923" s="156"/>
      <c r="V923" s="155"/>
      <c r="W923" s="155"/>
      <c r="X923" s="155"/>
      <c r="Y923" s="155"/>
      <c r="Z923" s="155"/>
      <c r="AA923" s="156"/>
      <c r="AB923" s="156"/>
      <c r="AC923" s="155"/>
      <c r="AD923" s="155"/>
      <c r="AE923" s="155"/>
      <c r="AF923" s="156"/>
      <c r="AG923" s="156"/>
      <c r="AH923" s="155"/>
      <c r="AI923" s="155"/>
      <c r="AJ923" s="155"/>
      <c r="AK923" s="156"/>
      <c r="AL923" s="156"/>
      <c r="AM923" s="155"/>
      <c r="AN923" s="155"/>
      <c r="AO923" s="155"/>
      <c r="AP923" s="156"/>
      <c r="AQ923" s="156"/>
      <c r="AR923" s="155"/>
      <c r="AS923" s="155"/>
      <c r="AT923" s="155"/>
      <c r="AU923" s="156"/>
      <c r="AV923" s="156"/>
      <c r="AW923" s="155"/>
      <c r="AX923" s="155"/>
      <c r="AY923" s="155"/>
      <c r="AZ923" s="156"/>
      <c r="BA923" s="156"/>
      <c r="BB923" s="155"/>
      <c r="BC923" s="155"/>
      <c r="BD923" s="155"/>
      <c r="BE923" s="155"/>
      <c r="BF923" s="155"/>
      <c r="BG923" s="158"/>
      <c r="BH923" s="158"/>
      <c r="BI923" s="155"/>
      <c r="BJ923" s="155"/>
      <c r="BK923" s="159"/>
      <c r="BL923" s="156"/>
      <c r="BM923" s="156"/>
      <c r="BN923" s="156"/>
      <c r="BO923" s="156"/>
      <c r="BP923" s="160"/>
      <c r="BQ923" s="160"/>
      <c r="BR923" s="160"/>
      <c r="BS923" s="160"/>
    </row>
    <row r="924" spans="1:71" x14ac:dyDescent="0.25">
      <c r="A924" s="154"/>
      <c r="B924" s="155"/>
      <c r="C924" s="155"/>
      <c r="D924" s="155"/>
      <c r="E924" s="156"/>
      <c r="F924" s="156"/>
      <c r="G924" s="155"/>
      <c r="H924" s="155"/>
      <c r="I924" s="155"/>
      <c r="J924" s="157"/>
      <c r="K924" s="157"/>
      <c r="L924" s="155"/>
      <c r="M924" s="155"/>
      <c r="N924" s="155"/>
      <c r="O924" s="156"/>
      <c r="P924" s="156"/>
      <c r="Q924" s="155"/>
      <c r="R924" s="155"/>
      <c r="S924" s="155"/>
      <c r="T924" s="156"/>
      <c r="U924" s="156"/>
      <c r="V924" s="155"/>
      <c r="W924" s="155"/>
      <c r="X924" s="155"/>
      <c r="Y924" s="155"/>
      <c r="Z924" s="155"/>
      <c r="AA924" s="156"/>
      <c r="AB924" s="156"/>
      <c r="AC924" s="155"/>
      <c r="AD924" s="155"/>
      <c r="AE924" s="155"/>
      <c r="AF924" s="156"/>
      <c r="AG924" s="156"/>
      <c r="AH924" s="155"/>
      <c r="AI924" s="155"/>
      <c r="AJ924" s="155"/>
      <c r="AK924" s="156"/>
      <c r="AL924" s="156"/>
      <c r="AM924" s="155"/>
      <c r="AN924" s="155"/>
      <c r="AO924" s="155"/>
      <c r="AP924" s="156"/>
      <c r="AQ924" s="156"/>
      <c r="AR924" s="155"/>
      <c r="AS924" s="155"/>
      <c r="AT924" s="155"/>
      <c r="AU924" s="156"/>
      <c r="AV924" s="156"/>
      <c r="AW924" s="155"/>
      <c r="AX924" s="155"/>
      <c r="AY924" s="155"/>
      <c r="AZ924" s="156"/>
      <c r="BA924" s="156"/>
      <c r="BB924" s="155"/>
      <c r="BC924" s="155"/>
      <c r="BD924" s="155"/>
      <c r="BE924" s="155"/>
      <c r="BF924" s="155"/>
      <c r="BG924" s="158"/>
      <c r="BH924" s="158"/>
      <c r="BI924" s="155"/>
      <c r="BJ924" s="155"/>
      <c r="BK924" s="159"/>
      <c r="BL924" s="156"/>
      <c r="BM924" s="156"/>
      <c r="BN924" s="156"/>
      <c r="BO924" s="156"/>
      <c r="BP924" s="160"/>
      <c r="BQ924" s="160"/>
      <c r="BR924" s="160"/>
      <c r="BS924" s="160"/>
    </row>
    <row r="925" spans="1:71" x14ac:dyDescent="0.25">
      <c r="A925" s="154"/>
      <c r="B925" s="155"/>
      <c r="C925" s="155"/>
      <c r="D925" s="155"/>
      <c r="E925" s="156"/>
      <c r="F925" s="156"/>
      <c r="G925" s="155"/>
      <c r="H925" s="155"/>
      <c r="I925" s="155"/>
      <c r="J925" s="157"/>
      <c r="K925" s="157"/>
      <c r="L925" s="155"/>
      <c r="M925" s="155"/>
      <c r="N925" s="155"/>
      <c r="O925" s="156"/>
      <c r="P925" s="156"/>
      <c r="Q925" s="155"/>
      <c r="R925" s="155"/>
      <c r="S925" s="155"/>
      <c r="T925" s="156"/>
      <c r="U925" s="156"/>
      <c r="V925" s="155"/>
      <c r="W925" s="155"/>
      <c r="X925" s="155"/>
      <c r="Y925" s="155"/>
      <c r="Z925" s="155"/>
      <c r="AA925" s="156"/>
      <c r="AB925" s="156"/>
      <c r="AC925" s="155"/>
      <c r="AD925" s="155"/>
      <c r="AE925" s="155"/>
      <c r="AF925" s="156"/>
      <c r="AG925" s="156"/>
      <c r="AH925" s="155"/>
      <c r="AI925" s="155"/>
      <c r="AJ925" s="155"/>
      <c r="AK925" s="156"/>
      <c r="AL925" s="156"/>
      <c r="AM925" s="155"/>
      <c r="AN925" s="155"/>
      <c r="AO925" s="155"/>
      <c r="AP925" s="156"/>
      <c r="AQ925" s="156"/>
      <c r="AR925" s="155"/>
      <c r="AS925" s="155"/>
      <c r="AT925" s="155"/>
      <c r="AU925" s="156"/>
      <c r="AV925" s="156"/>
      <c r="AW925" s="155"/>
      <c r="AX925" s="155"/>
      <c r="AY925" s="155"/>
      <c r="AZ925" s="156"/>
      <c r="BA925" s="156"/>
      <c r="BB925" s="155"/>
      <c r="BC925" s="155"/>
      <c r="BD925" s="155"/>
      <c r="BE925" s="155"/>
      <c r="BF925" s="155"/>
      <c r="BG925" s="158"/>
      <c r="BH925" s="158"/>
      <c r="BI925" s="155"/>
      <c r="BJ925" s="155"/>
      <c r="BK925" s="159"/>
      <c r="BL925" s="156"/>
      <c r="BM925" s="156"/>
      <c r="BN925" s="156"/>
      <c r="BO925" s="156"/>
      <c r="BP925" s="160"/>
      <c r="BQ925" s="160"/>
      <c r="BR925" s="160"/>
      <c r="BS925" s="160"/>
    </row>
    <row r="926" spans="1:71" x14ac:dyDescent="0.25">
      <c r="A926" s="154"/>
      <c r="B926" s="155"/>
      <c r="C926" s="155"/>
      <c r="D926" s="155"/>
      <c r="E926" s="156"/>
      <c r="F926" s="156"/>
      <c r="G926" s="155"/>
      <c r="H926" s="155"/>
      <c r="I926" s="155"/>
      <c r="J926" s="157"/>
      <c r="K926" s="157"/>
      <c r="L926" s="155"/>
      <c r="M926" s="155"/>
      <c r="N926" s="155"/>
      <c r="O926" s="156"/>
      <c r="P926" s="156"/>
      <c r="Q926" s="155"/>
      <c r="R926" s="155"/>
      <c r="S926" s="155"/>
      <c r="T926" s="156"/>
      <c r="U926" s="156"/>
      <c r="V926" s="155"/>
      <c r="W926" s="155"/>
      <c r="X926" s="155"/>
      <c r="Y926" s="155"/>
      <c r="Z926" s="155"/>
      <c r="AA926" s="156"/>
      <c r="AB926" s="156"/>
      <c r="AC926" s="155"/>
      <c r="AD926" s="155"/>
      <c r="AE926" s="155"/>
      <c r="AF926" s="156"/>
      <c r="AG926" s="156"/>
      <c r="AH926" s="155"/>
      <c r="AI926" s="155"/>
      <c r="AJ926" s="155"/>
      <c r="AK926" s="156"/>
      <c r="AL926" s="156"/>
      <c r="AM926" s="155"/>
      <c r="AN926" s="155"/>
      <c r="AO926" s="155"/>
      <c r="AP926" s="156"/>
      <c r="AQ926" s="156"/>
      <c r="AR926" s="155"/>
      <c r="AS926" s="155"/>
      <c r="AT926" s="155"/>
      <c r="AU926" s="156"/>
      <c r="AV926" s="156"/>
      <c r="AW926" s="155"/>
      <c r="AX926" s="155"/>
      <c r="AY926" s="155"/>
      <c r="AZ926" s="156"/>
      <c r="BA926" s="156"/>
      <c r="BB926" s="155"/>
      <c r="BC926" s="155"/>
      <c r="BD926" s="155"/>
      <c r="BE926" s="155"/>
      <c r="BF926" s="155"/>
      <c r="BG926" s="158"/>
      <c r="BH926" s="158"/>
      <c r="BI926" s="155"/>
      <c r="BJ926" s="155"/>
      <c r="BK926" s="159"/>
      <c r="BL926" s="156"/>
      <c r="BM926" s="156"/>
      <c r="BN926" s="156"/>
      <c r="BO926" s="156"/>
      <c r="BP926" s="160"/>
      <c r="BQ926" s="160"/>
      <c r="BR926" s="160"/>
      <c r="BS926" s="160"/>
    </row>
    <row r="927" spans="1:71" x14ac:dyDescent="0.25">
      <c r="A927" s="154"/>
      <c r="B927" s="155"/>
      <c r="C927" s="155"/>
      <c r="D927" s="155"/>
      <c r="E927" s="156"/>
      <c r="F927" s="156"/>
      <c r="G927" s="155"/>
      <c r="H927" s="155"/>
      <c r="I927" s="155"/>
      <c r="J927" s="157"/>
      <c r="K927" s="157"/>
      <c r="L927" s="155"/>
      <c r="M927" s="155"/>
      <c r="N927" s="155"/>
      <c r="O927" s="156"/>
      <c r="P927" s="156"/>
      <c r="Q927" s="155"/>
      <c r="R927" s="155"/>
      <c r="S927" s="155"/>
      <c r="T927" s="156"/>
      <c r="U927" s="156"/>
      <c r="V927" s="155"/>
      <c r="W927" s="155"/>
      <c r="X927" s="155"/>
      <c r="Y927" s="155"/>
      <c r="Z927" s="155"/>
      <c r="AA927" s="156"/>
      <c r="AB927" s="156"/>
      <c r="AC927" s="155"/>
      <c r="AD927" s="155"/>
      <c r="AE927" s="155"/>
      <c r="AF927" s="156"/>
      <c r="AG927" s="156"/>
      <c r="AH927" s="155"/>
      <c r="AI927" s="155"/>
      <c r="AJ927" s="155"/>
      <c r="AK927" s="156"/>
      <c r="AL927" s="156"/>
      <c r="AM927" s="155"/>
      <c r="AN927" s="155"/>
      <c r="AO927" s="155"/>
      <c r="AP927" s="156"/>
      <c r="AQ927" s="156"/>
      <c r="AR927" s="155"/>
      <c r="AS927" s="155"/>
      <c r="AT927" s="155"/>
      <c r="AU927" s="156"/>
      <c r="AV927" s="156"/>
      <c r="AW927" s="155"/>
      <c r="AX927" s="155"/>
      <c r="AY927" s="155"/>
      <c r="AZ927" s="156"/>
      <c r="BA927" s="156"/>
      <c r="BB927" s="155"/>
      <c r="BC927" s="155"/>
      <c r="BD927" s="155"/>
      <c r="BE927" s="155"/>
      <c r="BF927" s="155"/>
      <c r="BG927" s="158"/>
      <c r="BH927" s="158"/>
      <c r="BI927" s="155"/>
      <c r="BJ927" s="155"/>
      <c r="BK927" s="159"/>
      <c r="BL927" s="156"/>
      <c r="BM927" s="156"/>
      <c r="BN927" s="156"/>
      <c r="BO927" s="156"/>
      <c r="BP927" s="160"/>
      <c r="BQ927" s="160"/>
      <c r="BR927" s="160"/>
      <c r="BS927" s="160"/>
    </row>
    <row r="928" spans="1:71" x14ac:dyDescent="0.25">
      <c r="A928" s="154"/>
      <c r="B928" s="155"/>
      <c r="C928" s="155"/>
      <c r="D928" s="155"/>
      <c r="E928" s="156"/>
      <c r="F928" s="156"/>
      <c r="G928" s="155"/>
      <c r="H928" s="155"/>
      <c r="I928" s="155"/>
      <c r="J928" s="157"/>
      <c r="K928" s="157"/>
      <c r="L928" s="155"/>
      <c r="M928" s="155"/>
      <c r="N928" s="155"/>
      <c r="O928" s="156"/>
      <c r="P928" s="156"/>
      <c r="Q928" s="155"/>
      <c r="R928" s="155"/>
      <c r="S928" s="155"/>
      <c r="T928" s="156"/>
      <c r="U928" s="156"/>
      <c r="V928" s="155"/>
      <c r="W928" s="155"/>
      <c r="X928" s="155"/>
      <c r="Y928" s="155"/>
      <c r="Z928" s="155"/>
      <c r="AA928" s="156"/>
      <c r="AB928" s="156"/>
      <c r="AC928" s="155"/>
      <c r="AD928" s="155"/>
      <c r="AE928" s="155"/>
      <c r="AF928" s="156"/>
      <c r="AG928" s="156"/>
      <c r="AH928" s="155"/>
      <c r="AI928" s="155"/>
      <c r="AJ928" s="155"/>
      <c r="AK928" s="156"/>
      <c r="AL928" s="156"/>
      <c r="AM928" s="155"/>
      <c r="AN928" s="155"/>
      <c r="AO928" s="155"/>
      <c r="AP928" s="156"/>
      <c r="AQ928" s="156"/>
      <c r="AR928" s="155"/>
      <c r="AS928" s="155"/>
      <c r="AT928" s="155"/>
      <c r="AU928" s="156"/>
      <c r="AV928" s="156"/>
      <c r="AW928" s="155"/>
      <c r="AX928" s="155"/>
      <c r="AY928" s="155"/>
      <c r="AZ928" s="156"/>
      <c r="BA928" s="156"/>
      <c r="BB928" s="155"/>
      <c r="BC928" s="155"/>
      <c r="BD928" s="155"/>
      <c r="BE928" s="155"/>
      <c r="BF928" s="155"/>
      <c r="BG928" s="158"/>
      <c r="BH928" s="158"/>
      <c r="BI928" s="155"/>
      <c r="BJ928" s="155"/>
      <c r="BK928" s="159"/>
      <c r="BL928" s="156"/>
      <c r="BM928" s="156"/>
      <c r="BN928" s="156"/>
      <c r="BO928" s="156"/>
      <c r="BP928" s="160"/>
      <c r="BQ928" s="160"/>
      <c r="BR928" s="160"/>
      <c r="BS928" s="160"/>
    </row>
    <row r="929" spans="1:71" x14ac:dyDescent="0.25">
      <c r="A929" s="154"/>
      <c r="B929" s="155"/>
      <c r="C929" s="155"/>
      <c r="D929" s="155"/>
      <c r="E929" s="156"/>
      <c r="F929" s="156"/>
      <c r="G929" s="155"/>
      <c r="H929" s="155"/>
      <c r="I929" s="155"/>
      <c r="J929" s="157"/>
      <c r="K929" s="157"/>
      <c r="L929" s="155"/>
      <c r="M929" s="155"/>
      <c r="N929" s="155"/>
      <c r="O929" s="156"/>
      <c r="P929" s="156"/>
      <c r="Q929" s="155"/>
      <c r="R929" s="155"/>
      <c r="S929" s="155"/>
      <c r="T929" s="156"/>
      <c r="U929" s="156"/>
      <c r="V929" s="155"/>
      <c r="W929" s="155"/>
      <c r="X929" s="155"/>
      <c r="Y929" s="155"/>
      <c r="Z929" s="155"/>
      <c r="AA929" s="156"/>
      <c r="AB929" s="156"/>
      <c r="AC929" s="155"/>
      <c r="AD929" s="155"/>
      <c r="AE929" s="155"/>
      <c r="AF929" s="156"/>
      <c r="AG929" s="156"/>
      <c r="AH929" s="155"/>
      <c r="AI929" s="155"/>
      <c r="AJ929" s="155"/>
      <c r="AK929" s="156"/>
      <c r="AL929" s="156"/>
      <c r="AM929" s="155"/>
      <c r="AN929" s="155"/>
      <c r="AO929" s="155"/>
      <c r="AP929" s="156"/>
      <c r="AQ929" s="156"/>
      <c r="AR929" s="155"/>
      <c r="AS929" s="155"/>
      <c r="AT929" s="155"/>
      <c r="AU929" s="156"/>
      <c r="AV929" s="156"/>
      <c r="AW929" s="155"/>
      <c r="AX929" s="155"/>
      <c r="AY929" s="155"/>
      <c r="AZ929" s="156"/>
      <c r="BA929" s="156"/>
      <c r="BB929" s="155"/>
      <c r="BC929" s="155"/>
      <c r="BD929" s="155"/>
      <c r="BE929" s="155"/>
      <c r="BF929" s="155"/>
      <c r="BG929" s="158"/>
      <c r="BH929" s="158"/>
      <c r="BI929" s="155"/>
      <c r="BJ929" s="155"/>
      <c r="BK929" s="159"/>
      <c r="BL929" s="156"/>
      <c r="BM929" s="156"/>
      <c r="BN929" s="156"/>
      <c r="BO929" s="156"/>
      <c r="BP929" s="160"/>
      <c r="BQ929" s="160"/>
      <c r="BR929" s="160"/>
      <c r="BS929" s="160"/>
    </row>
    <row r="930" spans="1:71" x14ac:dyDescent="0.25">
      <c r="A930" s="154"/>
      <c r="B930" s="155"/>
      <c r="C930" s="155"/>
      <c r="D930" s="155"/>
      <c r="E930" s="156"/>
      <c r="F930" s="156"/>
      <c r="G930" s="155"/>
      <c r="H930" s="155"/>
      <c r="I930" s="155"/>
      <c r="J930" s="157"/>
      <c r="K930" s="157"/>
      <c r="L930" s="155"/>
      <c r="M930" s="155"/>
      <c r="N930" s="155"/>
      <c r="O930" s="156"/>
      <c r="P930" s="156"/>
      <c r="Q930" s="155"/>
      <c r="R930" s="155"/>
      <c r="S930" s="155"/>
      <c r="T930" s="156"/>
      <c r="U930" s="156"/>
      <c r="V930" s="155"/>
      <c r="W930" s="155"/>
      <c r="X930" s="155"/>
      <c r="Y930" s="155"/>
      <c r="Z930" s="155"/>
      <c r="AA930" s="156"/>
      <c r="AB930" s="156"/>
      <c r="AC930" s="155"/>
      <c r="AD930" s="155"/>
      <c r="AE930" s="155"/>
      <c r="AF930" s="156"/>
      <c r="AG930" s="156"/>
      <c r="AH930" s="155"/>
      <c r="AI930" s="155"/>
      <c r="AJ930" s="155"/>
      <c r="AK930" s="156"/>
      <c r="AL930" s="156"/>
      <c r="AM930" s="155"/>
      <c r="AN930" s="155"/>
      <c r="AO930" s="155"/>
      <c r="AP930" s="156"/>
      <c r="AQ930" s="156"/>
      <c r="AR930" s="155"/>
      <c r="AS930" s="155"/>
      <c r="AT930" s="155"/>
      <c r="AU930" s="156"/>
      <c r="AV930" s="156"/>
      <c r="AW930" s="155"/>
      <c r="AX930" s="155"/>
      <c r="AY930" s="155"/>
      <c r="AZ930" s="156"/>
      <c r="BA930" s="156"/>
      <c r="BB930" s="155"/>
      <c r="BC930" s="155"/>
      <c r="BD930" s="155"/>
      <c r="BE930" s="155"/>
      <c r="BF930" s="155"/>
      <c r="BG930" s="158"/>
      <c r="BH930" s="158"/>
      <c r="BI930" s="155"/>
      <c r="BJ930" s="155"/>
      <c r="BK930" s="159"/>
      <c r="BL930" s="156"/>
      <c r="BM930" s="156"/>
      <c r="BN930" s="156"/>
      <c r="BO930" s="156"/>
      <c r="BP930" s="160"/>
      <c r="BQ930" s="160"/>
      <c r="BR930" s="160"/>
      <c r="BS930" s="160"/>
    </row>
    <row r="931" spans="1:71" x14ac:dyDescent="0.25">
      <c r="A931" s="154"/>
      <c r="B931" s="155"/>
      <c r="C931" s="155"/>
      <c r="D931" s="155"/>
      <c r="E931" s="156"/>
      <c r="F931" s="156"/>
      <c r="G931" s="155"/>
      <c r="H931" s="155"/>
      <c r="I931" s="155"/>
      <c r="J931" s="157"/>
      <c r="K931" s="157"/>
      <c r="L931" s="155"/>
      <c r="M931" s="155"/>
      <c r="N931" s="155"/>
      <c r="O931" s="156"/>
      <c r="P931" s="156"/>
      <c r="Q931" s="155"/>
      <c r="R931" s="155"/>
      <c r="S931" s="155"/>
      <c r="T931" s="156"/>
      <c r="U931" s="156"/>
      <c r="V931" s="155"/>
      <c r="W931" s="155"/>
      <c r="X931" s="155"/>
      <c r="Y931" s="155"/>
      <c r="Z931" s="155"/>
      <c r="AA931" s="156"/>
      <c r="AB931" s="156"/>
      <c r="AC931" s="155"/>
      <c r="AD931" s="155"/>
      <c r="AE931" s="155"/>
      <c r="AF931" s="156"/>
      <c r="AG931" s="156"/>
      <c r="AH931" s="155"/>
      <c r="AI931" s="155"/>
      <c r="AJ931" s="155"/>
      <c r="AK931" s="156"/>
      <c r="AL931" s="156"/>
      <c r="AM931" s="155"/>
      <c r="AN931" s="155"/>
      <c r="AO931" s="155"/>
      <c r="AP931" s="156"/>
      <c r="AQ931" s="156"/>
      <c r="AR931" s="155"/>
      <c r="AS931" s="155"/>
      <c r="AT931" s="155"/>
      <c r="AU931" s="156"/>
      <c r="AV931" s="156"/>
      <c r="AW931" s="155"/>
      <c r="AX931" s="155"/>
      <c r="AY931" s="155"/>
      <c r="AZ931" s="156"/>
      <c r="BA931" s="156"/>
      <c r="BB931" s="155"/>
      <c r="BC931" s="155"/>
      <c r="BD931" s="155"/>
      <c r="BE931" s="155"/>
      <c r="BF931" s="155"/>
      <c r="BG931" s="158"/>
      <c r="BH931" s="158"/>
      <c r="BI931" s="155"/>
      <c r="BJ931" s="155"/>
      <c r="BK931" s="159"/>
      <c r="BL931" s="156"/>
      <c r="BM931" s="156"/>
      <c r="BN931" s="156"/>
      <c r="BO931" s="156"/>
      <c r="BP931" s="160"/>
      <c r="BQ931" s="160"/>
      <c r="BR931" s="160"/>
      <c r="BS931" s="160"/>
    </row>
    <row r="932" spans="1:71" x14ac:dyDescent="0.25">
      <c r="A932" s="154"/>
      <c r="B932" s="155"/>
      <c r="C932" s="155"/>
      <c r="D932" s="155"/>
      <c r="E932" s="156"/>
      <c r="F932" s="156"/>
      <c r="G932" s="155"/>
      <c r="H932" s="155"/>
      <c r="I932" s="155"/>
      <c r="J932" s="157"/>
      <c r="K932" s="157"/>
      <c r="L932" s="155"/>
      <c r="M932" s="155"/>
      <c r="N932" s="155"/>
      <c r="O932" s="156"/>
      <c r="P932" s="156"/>
      <c r="Q932" s="155"/>
      <c r="R932" s="155"/>
      <c r="S932" s="155"/>
      <c r="T932" s="156"/>
      <c r="U932" s="156"/>
      <c r="V932" s="155"/>
      <c r="W932" s="155"/>
      <c r="X932" s="155"/>
      <c r="Y932" s="155"/>
      <c r="Z932" s="155"/>
      <c r="AA932" s="156"/>
      <c r="AB932" s="156"/>
      <c r="AC932" s="155"/>
      <c r="AD932" s="155"/>
      <c r="AE932" s="155"/>
      <c r="AF932" s="156"/>
      <c r="AG932" s="156"/>
      <c r="AH932" s="155"/>
      <c r="AI932" s="155"/>
      <c r="AJ932" s="155"/>
      <c r="AK932" s="156"/>
      <c r="AL932" s="156"/>
      <c r="AM932" s="155"/>
      <c r="AN932" s="155"/>
      <c r="AO932" s="155"/>
      <c r="AP932" s="156"/>
      <c r="AQ932" s="156"/>
      <c r="AR932" s="155"/>
      <c r="AS932" s="155"/>
      <c r="AT932" s="155"/>
      <c r="AU932" s="156"/>
      <c r="AV932" s="156"/>
      <c r="AW932" s="155"/>
      <c r="AX932" s="155"/>
      <c r="AY932" s="155"/>
      <c r="AZ932" s="156"/>
      <c r="BA932" s="156"/>
      <c r="BB932" s="155"/>
      <c r="BC932" s="155"/>
      <c r="BD932" s="155"/>
      <c r="BE932" s="155"/>
      <c r="BF932" s="155"/>
      <c r="BG932" s="158"/>
      <c r="BH932" s="158"/>
      <c r="BI932" s="155"/>
      <c r="BJ932" s="155"/>
      <c r="BK932" s="159"/>
      <c r="BL932" s="156"/>
      <c r="BM932" s="156"/>
      <c r="BN932" s="156"/>
      <c r="BO932" s="156"/>
      <c r="BP932" s="160"/>
      <c r="BQ932" s="160"/>
      <c r="BR932" s="160"/>
      <c r="BS932" s="160"/>
    </row>
    <row r="933" spans="1:71" x14ac:dyDescent="0.25">
      <c r="A933" s="154"/>
      <c r="B933" s="155"/>
      <c r="C933" s="155"/>
      <c r="D933" s="155"/>
      <c r="E933" s="156"/>
      <c r="F933" s="156"/>
      <c r="G933" s="155"/>
      <c r="H933" s="155"/>
      <c r="I933" s="155"/>
      <c r="J933" s="157"/>
      <c r="K933" s="157"/>
      <c r="L933" s="155"/>
      <c r="M933" s="155"/>
      <c r="N933" s="155"/>
      <c r="O933" s="156"/>
      <c r="P933" s="156"/>
      <c r="Q933" s="155"/>
      <c r="R933" s="155"/>
      <c r="S933" s="155"/>
      <c r="T933" s="156"/>
      <c r="U933" s="156"/>
      <c r="V933" s="155"/>
      <c r="W933" s="155"/>
      <c r="X933" s="155"/>
      <c r="Y933" s="155"/>
      <c r="Z933" s="155"/>
      <c r="AA933" s="156"/>
      <c r="AB933" s="156"/>
      <c r="AC933" s="155"/>
      <c r="AD933" s="155"/>
      <c r="AE933" s="155"/>
      <c r="AF933" s="156"/>
      <c r="AG933" s="156"/>
      <c r="AH933" s="155"/>
      <c r="AI933" s="155"/>
      <c r="AJ933" s="155"/>
      <c r="AK933" s="156"/>
      <c r="AL933" s="156"/>
      <c r="AM933" s="155"/>
      <c r="AN933" s="155"/>
      <c r="AO933" s="155"/>
      <c r="AP933" s="156"/>
      <c r="AQ933" s="156"/>
      <c r="AR933" s="155"/>
      <c r="AS933" s="155"/>
      <c r="AT933" s="155"/>
      <c r="AU933" s="156"/>
      <c r="AV933" s="156"/>
      <c r="AW933" s="155"/>
      <c r="AX933" s="155"/>
      <c r="AY933" s="155"/>
      <c r="AZ933" s="156"/>
      <c r="BA933" s="156"/>
      <c r="BB933" s="155"/>
      <c r="BC933" s="155"/>
      <c r="BD933" s="155"/>
      <c r="BE933" s="155"/>
      <c r="BF933" s="155"/>
      <c r="BG933" s="158"/>
      <c r="BH933" s="158"/>
      <c r="BI933" s="155"/>
      <c r="BJ933" s="155"/>
      <c r="BK933" s="159"/>
      <c r="BL933" s="156"/>
      <c r="BM933" s="156"/>
      <c r="BN933" s="156"/>
      <c r="BO933" s="156"/>
      <c r="BP933" s="160"/>
      <c r="BQ933" s="160"/>
      <c r="BR933" s="160"/>
      <c r="BS933" s="160"/>
    </row>
    <row r="934" spans="1:71" x14ac:dyDescent="0.25">
      <c r="A934" s="154"/>
      <c r="B934" s="155"/>
      <c r="C934" s="155"/>
      <c r="D934" s="155"/>
      <c r="E934" s="156"/>
      <c r="F934" s="156"/>
      <c r="G934" s="155"/>
      <c r="H934" s="155"/>
      <c r="I934" s="155"/>
      <c r="J934" s="157"/>
      <c r="K934" s="157"/>
      <c r="L934" s="155"/>
      <c r="M934" s="155"/>
      <c r="N934" s="155"/>
      <c r="O934" s="156"/>
      <c r="P934" s="156"/>
      <c r="Q934" s="155"/>
      <c r="R934" s="155"/>
      <c r="S934" s="155"/>
      <c r="T934" s="156"/>
      <c r="U934" s="156"/>
      <c r="V934" s="155"/>
      <c r="W934" s="155"/>
      <c r="X934" s="155"/>
      <c r="Y934" s="155"/>
      <c r="Z934" s="155"/>
      <c r="AA934" s="156"/>
      <c r="AB934" s="156"/>
      <c r="AC934" s="155"/>
      <c r="AD934" s="155"/>
      <c r="AE934" s="155"/>
      <c r="AF934" s="156"/>
      <c r="AG934" s="156"/>
      <c r="AH934" s="155"/>
      <c r="AI934" s="155"/>
      <c r="AJ934" s="155"/>
      <c r="AK934" s="156"/>
      <c r="AL934" s="156"/>
      <c r="AM934" s="155"/>
      <c r="AN934" s="155"/>
      <c r="AO934" s="155"/>
      <c r="AP934" s="156"/>
      <c r="AQ934" s="156"/>
      <c r="AR934" s="155"/>
      <c r="AS934" s="155"/>
      <c r="AT934" s="155"/>
      <c r="AU934" s="156"/>
      <c r="AV934" s="156"/>
      <c r="AW934" s="155"/>
      <c r="AX934" s="155"/>
      <c r="AY934" s="155"/>
      <c r="AZ934" s="156"/>
      <c r="BA934" s="156"/>
      <c r="BB934" s="155"/>
      <c r="BC934" s="155"/>
      <c r="BD934" s="155"/>
      <c r="BE934" s="155"/>
      <c r="BF934" s="155"/>
      <c r="BG934" s="158"/>
      <c r="BH934" s="158"/>
      <c r="BI934" s="155"/>
      <c r="BJ934" s="155"/>
      <c r="BK934" s="159"/>
      <c r="BL934" s="156"/>
      <c r="BM934" s="156"/>
      <c r="BN934" s="156"/>
      <c r="BO934" s="156"/>
      <c r="BP934" s="160"/>
      <c r="BQ934" s="160"/>
      <c r="BR934" s="160"/>
      <c r="BS934" s="160"/>
    </row>
    <row r="935" spans="1:71" x14ac:dyDescent="0.25">
      <c r="A935" s="154"/>
      <c r="B935" s="155"/>
      <c r="C935" s="155"/>
      <c r="D935" s="155"/>
      <c r="E935" s="156"/>
      <c r="F935" s="156"/>
      <c r="G935" s="155"/>
      <c r="H935" s="155"/>
      <c r="I935" s="155"/>
      <c r="J935" s="157"/>
      <c r="K935" s="157"/>
      <c r="L935" s="155"/>
      <c r="M935" s="155"/>
      <c r="N935" s="155"/>
      <c r="O935" s="156"/>
      <c r="P935" s="156"/>
      <c r="Q935" s="155"/>
      <c r="R935" s="155"/>
      <c r="S935" s="155"/>
      <c r="T935" s="156"/>
      <c r="U935" s="156"/>
      <c r="V935" s="155"/>
      <c r="W935" s="155"/>
      <c r="X935" s="155"/>
      <c r="Y935" s="155"/>
      <c r="Z935" s="155"/>
      <c r="AA935" s="156"/>
      <c r="AB935" s="156"/>
      <c r="AC935" s="155"/>
      <c r="AD935" s="155"/>
      <c r="AE935" s="155"/>
      <c r="AF935" s="156"/>
      <c r="AG935" s="156"/>
      <c r="AH935" s="155"/>
      <c r="AI935" s="155"/>
      <c r="AJ935" s="155"/>
      <c r="AK935" s="156"/>
      <c r="AL935" s="156"/>
      <c r="AM935" s="155"/>
      <c r="AN935" s="155"/>
      <c r="AO935" s="155"/>
      <c r="AP935" s="156"/>
      <c r="AQ935" s="156"/>
      <c r="AR935" s="155"/>
      <c r="AS935" s="155"/>
      <c r="AT935" s="155"/>
      <c r="AU935" s="156"/>
      <c r="AV935" s="156"/>
      <c r="AW935" s="155"/>
      <c r="AX935" s="155"/>
      <c r="AY935" s="155"/>
      <c r="AZ935" s="156"/>
      <c r="BA935" s="156"/>
      <c r="BB935" s="155"/>
      <c r="BC935" s="155"/>
      <c r="BD935" s="155"/>
      <c r="BE935" s="155"/>
      <c r="BF935" s="155"/>
      <c r="BG935" s="158"/>
      <c r="BH935" s="158"/>
      <c r="BI935" s="155"/>
      <c r="BJ935" s="155"/>
      <c r="BK935" s="159"/>
      <c r="BL935" s="156"/>
      <c r="BM935" s="156"/>
      <c r="BN935" s="156"/>
      <c r="BO935" s="156"/>
      <c r="BP935" s="160"/>
      <c r="BQ935" s="160"/>
      <c r="BR935" s="160"/>
      <c r="BS935" s="160"/>
    </row>
    <row r="936" spans="1:71" x14ac:dyDescent="0.25">
      <c r="A936" s="154"/>
      <c r="B936" s="155"/>
      <c r="C936" s="155"/>
      <c r="D936" s="155"/>
      <c r="E936" s="156"/>
      <c r="F936" s="156"/>
      <c r="G936" s="155"/>
      <c r="H936" s="155"/>
      <c r="I936" s="155"/>
      <c r="J936" s="157"/>
      <c r="K936" s="157"/>
      <c r="L936" s="155"/>
      <c r="M936" s="155"/>
      <c r="N936" s="155"/>
      <c r="O936" s="156"/>
      <c r="P936" s="156"/>
      <c r="Q936" s="155"/>
      <c r="R936" s="155"/>
      <c r="S936" s="155"/>
      <c r="T936" s="156"/>
      <c r="U936" s="156"/>
      <c r="V936" s="155"/>
      <c r="W936" s="155"/>
      <c r="X936" s="155"/>
      <c r="Y936" s="155"/>
      <c r="Z936" s="155"/>
      <c r="AA936" s="156"/>
      <c r="AB936" s="156"/>
      <c r="AC936" s="155"/>
      <c r="AD936" s="155"/>
      <c r="AE936" s="155"/>
      <c r="AF936" s="156"/>
      <c r="AG936" s="156"/>
      <c r="AH936" s="155"/>
      <c r="AI936" s="155"/>
      <c r="AJ936" s="155"/>
      <c r="AK936" s="156"/>
      <c r="AL936" s="156"/>
      <c r="AM936" s="155"/>
      <c r="AN936" s="155"/>
      <c r="AO936" s="155"/>
      <c r="AP936" s="156"/>
      <c r="AQ936" s="156"/>
      <c r="AR936" s="155"/>
      <c r="AS936" s="155"/>
      <c r="AT936" s="155"/>
      <c r="AU936" s="156"/>
      <c r="AV936" s="156"/>
      <c r="AW936" s="155"/>
      <c r="AX936" s="155"/>
      <c r="AY936" s="155"/>
      <c r="AZ936" s="156"/>
      <c r="BA936" s="156"/>
      <c r="BB936" s="155"/>
      <c r="BC936" s="155"/>
      <c r="BD936" s="155"/>
      <c r="BE936" s="155"/>
      <c r="BF936" s="155"/>
      <c r="BG936" s="158"/>
      <c r="BH936" s="158"/>
      <c r="BI936" s="155"/>
      <c r="BJ936" s="155"/>
      <c r="BK936" s="159"/>
      <c r="BL936" s="156"/>
      <c r="BM936" s="156"/>
      <c r="BN936" s="156"/>
      <c r="BO936" s="156"/>
      <c r="BP936" s="160"/>
      <c r="BQ936" s="160"/>
      <c r="BR936" s="160"/>
      <c r="BS936" s="160"/>
    </row>
    <row r="937" spans="1:71" x14ac:dyDescent="0.25">
      <c r="A937" s="154"/>
      <c r="B937" s="155"/>
      <c r="C937" s="155"/>
      <c r="D937" s="155"/>
      <c r="E937" s="156"/>
      <c r="F937" s="156"/>
      <c r="G937" s="155"/>
      <c r="H937" s="155"/>
      <c r="I937" s="155"/>
      <c r="J937" s="157"/>
      <c r="K937" s="157"/>
      <c r="L937" s="155"/>
      <c r="M937" s="155"/>
      <c r="N937" s="155"/>
      <c r="O937" s="156"/>
      <c r="P937" s="156"/>
      <c r="Q937" s="155"/>
      <c r="R937" s="155"/>
      <c r="S937" s="155"/>
      <c r="T937" s="156"/>
      <c r="U937" s="156"/>
      <c r="V937" s="155"/>
      <c r="W937" s="155"/>
      <c r="X937" s="155"/>
      <c r="Y937" s="155"/>
      <c r="Z937" s="155"/>
      <c r="AA937" s="156"/>
      <c r="AB937" s="156"/>
      <c r="AC937" s="155"/>
      <c r="AD937" s="155"/>
      <c r="AE937" s="155"/>
      <c r="AF937" s="156"/>
      <c r="AG937" s="156"/>
      <c r="AH937" s="155"/>
      <c r="AI937" s="155"/>
      <c r="AJ937" s="155"/>
      <c r="AK937" s="156"/>
      <c r="AL937" s="156"/>
      <c r="AM937" s="155"/>
      <c r="AN937" s="155"/>
      <c r="AO937" s="155"/>
      <c r="AP937" s="156"/>
      <c r="AQ937" s="156"/>
      <c r="AR937" s="155"/>
      <c r="AS937" s="155"/>
      <c r="AT937" s="155"/>
      <c r="AU937" s="156"/>
      <c r="AV937" s="156"/>
      <c r="AW937" s="155"/>
      <c r="AX937" s="155"/>
      <c r="AY937" s="155"/>
      <c r="AZ937" s="156"/>
      <c r="BA937" s="156"/>
      <c r="BB937" s="155"/>
      <c r="BC937" s="155"/>
      <c r="BD937" s="155"/>
      <c r="BE937" s="155"/>
      <c r="BF937" s="155"/>
      <c r="BG937" s="158"/>
      <c r="BH937" s="158"/>
      <c r="BI937" s="155"/>
      <c r="BJ937" s="155"/>
      <c r="BK937" s="159"/>
      <c r="BL937" s="156"/>
      <c r="BM937" s="156"/>
      <c r="BN937" s="156"/>
      <c r="BO937" s="156"/>
      <c r="BP937" s="160"/>
      <c r="BQ937" s="160"/>
      <c r="BR937" s="160"/>
      <c r="BS937" s="160"/>
    </row>
    <row r="938" spans="1:71" x14ac:dyDescent="0.25">
      <c r="A938" s="154"/>
      <c r="B938" s="155"/>
      <c r="C938" s="155"/>
      <c r="D938" s="155"/>
      <c r="E938" s="156"/>
      <c r="F938" s="156"/>
      <c r="G938" s="155"/>
      <c r="H938" s="155"/>
      <c r="I938" s="155"/>
      <c r="J938" s="157"/>
      <c r="K938" s="157"/>
      <c r="L938" s="155"/>
      <c r="M938" s="155"/>
      <c r="N938" s="155"/>
      <c r="O938" s="156"/>
      <c r="P938" s="156"/>
      <c r="Q938" s="155"/>
      <c r="R938" s="155"/>
      <c r="S938" s="155"/>
      <c r="T938" s="156"/>
      <c r="U938" s="156"/>
      <c r="V938" s="155"/>
      <c r="W938" s="155"/>
      <c r="X938" s="155"/>
      <c r="Y938" s="155"/>
      <c r="Z938" s="155"/>
      <c r="AA938" s="156"/>
      <c r="AB938" s="156"/>
      <c r="AC938" s="155"/>
      <c r="AD938" s="155"/>
      <c r="AE938" s="155"/>
      <c r="AF938" s="156"/>
      <c r="AG938" s="156"/>
      <c r="AH938" s="155"/>
      <c r="AI938" s="155"/>
      <c r="AJ938" s="155"/>
      <c r="AK938" s="156"/>
      <c r="AL938" s="156"/>
      <c r="AM938" s="155"/>
      <c r="AN938" s="155"/>
      <c r="AO938" s="155"/>
      <c r="AP938" s="156"/>
      <c r="AQ938" s="156"/>
      <c r="AR938" s="155"/>
      <c r="AS938" s="155"/>
      <c r="AT938" s="155"/>
      <c r="AU938" s="156"/>
      <c r="AV938" s="156"/>
      <c r="AW938" s="155"/>
      <c r="AX938" s="155"/>
      <c r="AY938" s="155"/>
      <c r="AZ938" s="156"/>
      <c r="BA938" s="156"/>
      <c r="BB938" s="155"/>
      <c r="BC938" s="155"/>
      <c r="BD938" s="155"/>
      <c r="BE938" s="155"/>
      <c r="BF938" s="155"/>
      <c r="BG938" s="158"/>
      <c r="BH938" s="158"/>
      <c r="BI938" s="155"/>
      <c r="BJ938" s="155"/>
      <c r="BK938" s="159"/>
      <c r="BL938" s="156"/>
      <c r="BM938" s="156"/>
      <c r="BN938" s="156"/>
      <c r="BO938" s="156"/>
      <c r="BP938" s="160"/>
      <c r="BQ938" s="160"/>
      <c r="BR938" s="160"/>
      <c r="BS938" s="160"/>
    </row>
    <row r="939" spans="1:71" x14ac:dyDescent="0.25">
      <c r="A939" s="154"/>
      <c r="B939" s="155"/>
      <c r="C939" s="155"/>
      <c r="D939" s="155"/>
      <c r="E939" s="156"/>
      <c r="F939" s="156"/>
      <c r="G939" s="155"/>
      <c r="H939" s="155"/>
      <c r="I939" s="155"/>
      <c r="J939" s="157"/>
      <c r="K939" s="157"/>
      <c r="L939" s="155"/>
      <c r="M939" s="155"/>
      <c r="N939" s="155"/>
      <c r="O939" s="156"/>
      <c r="P939" s="156"/>
      <c r="Q939" s="155"/>
      <c r="R939" s="155"/>
      <c r="S939" s="155"/>
      <c r="T939" s="156"/>
      <c r="U939" s="156"/>
      <c r="V939" s="155"/>
      <c r="W939" s="155"/>
      <c r="X939" s="155"/>
      <c r="Y939" s="155"/>
      <c r="Z939" s="155"/>
      <c r="AA939" s="156"/>
      <c r="AB939" s="156"/>
      <c r="AC939" s="155"/>
      <c r="AD939" s="155"/>
      <c r="AE939" s="155"/>
      <c r="AF939" s="156"/>
      <c r="AG939" s="156"/>
      <c r="AH939" s="155"/>
      <c r="AI939" s="155"/>
      <c r="AJ939" s="155"/>
      <c r="AK939" s="156"/>
      <c r="AL939" s="156"/>
      <c r="AM939" s="155"/>
      <c r="AN939" s="155"/>
      <c r="AO939" s="155"/>
      <c r="AP939" s="156"/>
      <c r="AQ939" s="156"/>
      <c r="AR939" s="155"/>
      <c r="AS939" s="155"/>
      <c r="AT939" s="155"/>
      <c r="AU939" s="156"/>
      <c r="AV939" s="156"/>
      <c r="AW939" s="155"/>
      <c r="AX939" s="155"/>
      <c r="AY939" s="155"/>
      <c r="AZ939" s="156"/>
      <c r="BA939" s="156"/>
      <c r="BB939" s="155"/>
      <c r="BC939" s="155"/>
      <c r="BD939" s="155"/>
      <c r="BE939" s="155"/>
      <c r="BF939" s="155"/>
      <c r="BG939" s="158"/>
      <c r="BH939" s="158"/>
      <c r="BI939" s="155"/>
      <c r="BJ939" s="155"/>
      <c r="BK939" s="159"/>
      <c r="BL939" s="156"/>
      <c r="BM939" s="156"/>
      <c r="BN939" s="156"/>
      <c r="BO939" s="156"/>
      <c r="BP939" s="160"/>
      <c r="BQ939" s="160"/>
      <c r="BR939" s="160"/>
      <c r="BS939" s="160"/>
    </row>
    <row r="940" spans="1:71" x14ac:dyDescent="0.25">
      <c r="A940" s="154"/>
      <c r="B940" s="155"/>
      <c r="C940" s="155"/>
      <c r="D940" s="155"/>
      <c r="E940" s="156"/>
      <c r="F940" s="156"/>
      <c r="G940" s="155"/>
      <c r="H940" s="155"/>
      <c r="I940" s="155"/>
      <c r="J940" s="157"/>
      <c r="K940" s="157"/>
      <c r="L940" s="155"/>
      <c r="M940" s="155"/>
      <c r="N940" s="155"/>
      <c r="O940" s="156"/>
      <c r="P940" s="156"/>
      <c r="Q940" s="155"/>
      <c r="R940" s="155"/>
      <c r="S940" s="155"/>
      <c r="T940" s="156"/>
      <c r="U940" s="156"/>
      <c r="V940" s="155"/>
      <c r="W940" s="155"/>
      <c r="X940" s="155"/>
      <c r="Y940" s="155"/>
      <c r="Z940" s="155"/>
      <c r="AA940" s="156"/>
      <c r="AB940" s="156"/>
      <c r="AC940" s="155"/>
      <c r="AD940" s="155"/>
      <c r="AE940" s="155"/>
      <c r="AF940" s="156"/>
      <c r="AG940" s="156"/>
      <c r="AH940" s="155"/>
      <c r="AI940" s="155"/>
      <c r="AJ940" s="155"/>
      <c r="AK940" s="156"/>
      <c r="AL940" s="156"/>
      <c r="AM940" s="155"/>
      <c r="AN940" s="155"/>
      <c r="AO940" s="155"/>
      <c r="AP940" s="156"/>
      <c r="AQ940" s="156"/>
      <c r="AR940" s="155"/>
      <c r="AS940" s="155"/>
      <c r="AT940" s="155"/>
      <c r="AU940" s="156"/>
      <c r="AV940" s="156"/>
      <c r="AW940" s="155"/>
      <c r="AX940" s="155"/>
      <c r="AY940" s="155"/>
      <c r="AZ940" s="156"/>
      <c r="BA940" s="156"/>
      <c r="BB940" s="155"/>
      <c r="BC940" s="155"/>
      <c r="BD940" s="155"/>
      <c r="BE940" s="155"/>
      <c r="BF940" s="155"/>
      <c r="BG940" s="158"/>
      <c r="BH940" s="158"/>
      <c r="BI940" s="155"/>
      <c r="BJ940" s="155"/>
      <c r="BK940" s="159"/>
      <c r="BL940" s="156"/>
      <c r="BM940" s="156"/>
      <c r="BN940" s="156"/>
      <c r="BO940" s="156"/>
      <c r="BP940" s="160"/>
      <c r="BQ940" s="160"/>
      <c r="BR940" s="160"/>
      <c r="BS940" s="160"/>
    </row>
    <row r="941" spans="1:71" x14ac:dyDescent="0.25">
      <c r="A941" s="154"/>
      <c r="B941" s="155"/>
      <c r="C941" s="155"/>
      <c r="D941" s="155"/>
      <c r="E941" s="156"/>
      <c r="F941" s="156"/>
      <c r="G941" s="155"/>
      <c r="H941" s="155"/>
      <c r="I941" s="155"/>
      <c r="J941" s="157"/>
      <c r="K941" s="157"/>
      <c r="L941" s="155"/>
      <c r="M941" s="155"/>
      <c r="N941" s="155"/>
      <c r="O941" s="156"/>
      <c r="P941" s="156"/>
      <c r="Q941" s="155"/>
      <c r="R941" s="155"/>
      <c r="S941" s="155"/>
      <c r="T941" s="156"/>
      <c r="U941" s="156"/>
      <c r="V941" s="155"/>
      <c r="W941" s="155"/>
      <c r="X941" s="155"/>
      <c r="Y941" s="155"/>
      <c r="Z941" s="155"/>
      <c r="AA941" s="156"/>
      <c r="AB941" s="156"/>
      <c r="AC941" s="155"/>
      <c r="AD941" s="155"/>
      <c r="AE941" s="155"/>
      <c r="AF941" s="156"/>
      <c r="AG941" s="156"/>
      <c r="AH941" s="155"/>
      <c r="AI941" s="155"/>
      <c r="AJ941" s="155"/>
      <c r="AK941" s="156"/>
      <c r="AL941" s="156"/>
      <c r="AM941" s="155"/>
      <c r="AN941" s="155"/>
      <c r="AO941" s="155"/>
      <c r="AP941" s="156"/>
      <c r="AQ941" s="156"/>
      <c r="AR941" s="155"/>
      <c r="AS941" s="155"/>
      <c r="AT941" s="155"/>
      <c r="AU941" s="156"/>
      <c r="AV941" s="156"/>
      <c r="AW941" s="155"/>
      <c r="AX941" s="155"/>
      <c r="AY941" s="155"/>
      <c r="AZ941" s="156"/>
      <c r="BA941" s="156"/>
      <c r="BB941" s="155"/>
      <c r="BC941" s="155"/>
      <c r="BD941" s="155"/>
      <c r="BE941" s="155"/>
      <c r="BF941" s="155"/>
      <c r="BG941" s="158"/>
      <c r="BH941" s="158"/>
      <c r="BI941" s="155"/>
      <c r="BJ941" s="155"/>
      <c r="BK941" s="159"/>
      <c r="BL941" s="156"/>
      <c r="BM941" s="156"/>
      <c r="BN941" s="156"/>
      <c r="BO941" s="156"/>
      <c r="BP941" s="160"/>
      <c r="BQ941" s="160"/>
      <c r="BR941" s="160"/>
      <c r="BS941" s="160"/>
    </row>
    <row r="942" spans="1:71" x14ac:dyDescent="0.25">
      <c r="A942" s="154"/>
      <c r="B942" s="155"/>
      <c r="C942" s="155"/>
      <c r="D942" s="155"/>
      <c r="E942" s="156"/>
      <c r="F942" s="156"/>
      <c r="G942" s="155"/>
      <c r="H942" s="155"/>
      <c r="I942" s="155"/>
      <c r="J942" s="157"/>
      <c r="K942" s="157"/>
      <c r="L942" s="155"/>
      <c r="M942" s="155"/>
      <c r="N942" s="155"/>
      <c r="O942" s="156"/>
      <c r="P942" s="156"/>
      <c r="Q942" s="155"/>
      <c r="R942" s="155"/>
      <c r="S942" s="155"/>
      <c r="T942" s="156"/>
      <c r="U942" s="156"/>
      <c r="V942" s="155"/>
      <c r="W942" s="155"/>
      <c r="X942" s="155"/>
      <c r="Y942" s="155"/>
      <c r="Z942" s="155"/>
      <c r="AA942" s="156"/>
      <c r="AB942" s="156"/>
      <c r="AC942" s="155"/>
      <c r="AD942" s="155"/>
      <c r="AE942" s="155"/>
      <c r="AF942" s="156"/>
      <c r="AG942" s="156"/>
      <c r="AH942" s="155"/>
      <c r="AI942" s="155"/>
      <c r="AJ942" s="155"/>
      <c r="AK942" s="156"/>
      <c r="AL942" s="156"/>
      <c r="AM942" s="155"/>
      <c r="AN942" s="155"/>
      <c r="AO942" s="155"/>
      <c r="AP942" s="156"/>
      <c r="AQ942" s="156"/>
      <c r="AR942" s="155"/>
      <c r="AS942" s="155"/>
      <c r="AT942" s="155"/>
      <c r="AU942" s="156"/>
      <c r="AV942" s="156"/>
      <c r="AW942" s="155"/>
      <c r="AX942" s="155"/>
      <c r="AY942" s="155"/>
      <c r="AZ942" s="156"/>
      <c r="BA942" s="156"/>
      <c r="BB942" s="155"/>
      <c r="BC942" s="155"/>
      <c r="BD942" s="155"/>
      <c r="BE942" s="155"/>
      <c r="BF942" s="155"/>
      <c r="BG942" s="158"/>
      <c r="BH942" s="158"/>
      <c r="BI942" s="155"/>
      <c r="BJ942" s="155"/>
      <c r="BK942" s="159"/>
      <c r="BL942" s="156"/>
      <c r="BM942" s="156"/>
      <c r="BN942" s="156"/>
      <c r="BO942" s="156"/>
      <c r="BP942" s="160"/>
      <c r="BQ942" s="160"/>
      <c r="BR942" s="160"/>
      <c r="BS942" s="160"/>
    </row>
    <row r="943" spans="1:71" x14ac:dyDescent="0.25">
      <c r="A943" s="154"/>
      <c r="B943" s="155"/>
      <c r="C943" s="155"/>
      <c r="D943" s="155"/>
      <c r="E943" s="156"/>
      <c r="F943" s="156"/>
      <c r="G943" s="155"/>
      <c r="H943" s="155"/>
      <c r="I943" s="155"/>
      <c r="J943" s="157"/>
      <c r="K943" s="157"/>
      <c r="L943" s="155"/>
      <c r="M943" s="155"/>
      <c r="N943" s="155"/>
      <c r="O943" s="156"/>
      <c r="P943" s="156"/>
      <c r="Q943" s="155"/>
      <c r="R943" s="155"/>
      <c r="S943" s="155"/>
      <c r="T943" s="156"/>
      <c r="U943" s="156"/>
      <c r="V943" s="155"/>
      <c r="W943" s="155"/>
      <c r="X943" s="155"/>
      <c r="Y943" s="155"/>
      <c r="Z943" s="155"/>
      <c r="AA943" s="156"/>
      <c r="AB943" s="156"/>
      <c r="AC943" s="155"/>
      <c r="AD943" s="155"/>
      <c r="AE943" s="155"/>
      <c r="AF943" s="156"/>
      <c r="AG943" s="156"/>
      <c r="AH943" s="155"/>
      <c r="AI943" s="155"/>
      <c r="AJ943" s="155"/>
      <c r="AK943" s="156"/>
      <c r="AL943" s="156"/>
      <c r="AM943" s="155"/>
      <c r="AN943" s="155"/>
      <c r="AO943" s="155"/>
      <c r="AP943" s="156"/>
      <c r="AQ943" s="156"/>
      <c r="AR943" s="155"/>
      <c r="AS943" s="155"/>
      <c r="AT943" s="155"/>
      <c r="AU943" s="156"/>
      <c r="AV943" s="156"/>
      <c r="AW943" s="155"/>
      <c r="AX943" s="155"/>
      <c r="AY943" s="155"/>
      <c r="AZ943" s="156"/>
      <c r="BA943" s="156"/>
      <c r="BB943" s="155"/>
      <c r="BC943" s="155"/>
      <c r="BD943" s="155"/>
      <c r="BE943" s="155"/>
      <c r="BF943" s="155"/>
      <c r="BG943" s="158"/>
      <c r="BH943" s="158"/>
      <c r="BI943" s="155"/>
      <c r="BJ943" s="155"/>
      <c r="BK943" s="159"/>
      <c r="BL943" s="156"/>
      <c r="BM943" s="156"/>
      <c r="BN943" s="156"/>
      <c r="BO943" s="156"/>
      <c r="BP943" s="160"/>
      <c r="BQ943" s="160"/>
      <c r="BR943" s="160"/>
      <c r="BS943" s="160"/>
    </row>
    <row r="944" spans="1:71" x14ac:dyDescent="0.25">
      <c r="A944" s="154"/>
      <c r="B944" s="155"/>
      <c r="C944" s="155"/>
      <c r="D944" s="155"/>
      <c r="E944" s="156"/>
      <c r="F944" s="156"/>
      <c r="G944" s="155"/>
      <c r="H944" s="155"/>
      <c r="I944" s="155"/>
      <c r="J944" s="157"/>
      <c r="K944" s="157"/>
      <c r="L944" s="155"/>
      <c r="M944" s="155"/>
      <c r="N944" s="155"/>
      <c r="O944" s="156"/>
      <c r="P944" s="156"/>
      <c r="Q944" s="155"/>
      <c r="R944" s="155"/>
      <c r="S944" s="155"/>
      <c r="T944" s="156"/>
      <c r="U944" s="156"/>
      <c r="V944" s="155"/>
      <c r="W944" s="155"/>
      <c r="X944" s="155"/>
      <c r="Y944" s="155"/>
      <c r="Z944" s="155"/>
      <c r="AA944" s="156"/>
      <c r="AB944" s="156"/>
      <c r="AC944" s="155"/>
      <c r="AD944" s="155"/>
      <c r="AE944" s="155"/>
      <c r="AF944" s="156"/>
      <c r="AG944" s="156"/>
      <c r="AH944" s="155"/>
      <c r="AI944" s="155"/>
      <c r="AJ944" s="155"/>
      <c r="AK944" s="156"/>
      <c r="AL944" s="156"/>
      <c r="AM944" s="155"/>
      <c r="AN944" s="155"/>
      <c r="AO944" s="155"/>
      <c r="AP944" s="156"/>
      <c r="AQ944" s="156"/>
      <c r="AR944" s="155"/>
      <c r="AS944" s="155"/>
      <c r="AT944" s="155"/>
      <c r="AU944" s="156"/>
      <c r="AV944" s="156"/>
      <c r="AW944" s="155"/>
      <c r="AX944" s="155"/>
      <c r="AY944" s="155"/>
      <c r="AZ944" s="156"/>
      <c r="BA944" s="156"/>
      <c r="BB944" s="155"/>
      <c r="BC944" s="155"/>
      <c r="BD944" s="155"/>
      <c r="BE944" s="155"/>
      <c r="BF944" s="155"/>
      <c r="BG944" s="158"/>
      <c r="BH944" s="158"/>
      <c r="BI944" s="155"/>
      <c r="BJ944" s="155"/>
      <c r="BK944" s="159"/>
      <c r="BL944" s="156"/>
      <c r="BM944" s="156"/>
      <c r="BN944" s="156"/>
      <c r="BO944" s="156"/>
      <c r="BP944" s="160"/>
      <c r="BQ944" s="160"/>
      <c r="BR944" s="160"/>
      <c r="BS944" s="160"/>
    </row>
    <row r="945" spans="1:71" x14ac:dyDescent="0.25">
      <c r="A945" s="154"/>
      <c r="B945" s="155"/>
      <c r="C945" s="155"/>
      <c r="D945" s="155"/>
      <c r="E945" s="156"/>
      <c r="F945" s="156"/>
      <c r="G945" s="155"/>
      <c r="H945" s="155"/>
      <c r="I945" s="155"/>
      <c r="J945" s="157"/>
      <c r="K945" s="157"/>
      <c r="L945" s="155"/>
      <c r="M945" s="155"/>
      <c r="N945" s="155"/>
      <c r="O945" s="156"/>
      <c r="P945" s="156"/>
      <c r="Q945" s="155"/>
      <c r="R945" s="155"/>
      <c r="S945" s="155"/>
      <c r="T945" s="156"/>
      <c r="U945" s="156"/>
      <c r="V945" s="155"/>
      <c r="W945" s="155"/>
      <c r="X945" s="155"/>
      <c r="Y945" s="155"/>
      <c r="Z945" s="155"/>
      <c r="AA945" s="156"/>
      <c r="AB945" s="156"/>
      <c r="AC945" s="155"/>
      <c r="AD945" s="155"/>
      <c r="AE945" s="155"/>
      <c r="AF945" s="156"/>
      <c r="AG945" s="156"/>
      <c r="AH945" s="155"/>
      <c r="AI945" s="155"/>
      <c r="AJ945" s="155"/>
      <c r="AK945" s="156"/>
      <c r="AL945" s="156"/>
      <c r="AM945" s="155"/>
      <c r="AN945" s="155"/>
      <c r="AO945" s="155"/>
      <c r="AP945" s="156"/>
      <c r="AQ945" s="156"/>
      <c r="AR945" s="155"/>
      <c r="AS945" s="155"/>
      <c r="AT945" s="155"/>
      <c r="AU945" s="156"/>
      <c r="AV945" s="156"/>
      <c r="AW945" s="155"/>
      <c r="AX945" s="155"/>
      <c r="AY945" s="155"/>
      <c r="AZ945" s="156"/>
      <c r="BA945" s="156"/>
      <c r="BB945" s="155"/>
      <c r="BC945" s="155"/>
      <c r="BD945" s="155"/>
      <c r="BE945" s="155"/>
      <c r="BF945" s="155"/>
      <c r="BG945" s="158"/>
      <c r="BH945" s="158"/>
      <c r="BI945" s="155"/>
      <c r="BJ945" s="155"/>
      <c r="BK945" s="159"/>
      <c r="BL945" s="156"/>
      <c r="BM945" s="156"/>
      <c r="BN945" s="156"/>
      <c r="BO945" s="156"/>
      <c r="BP945" s="160"/>
      <c r="BQ945" s="160"/>
      <c r="BR945" s="160"/>
      <c r="BS945" s="160"/>
    </row>
    <row r="946" spans="1:71" x14ac:dyDescent="0.25">
      <c r="A946" s="154"/>
      <c r="B946" s="155"/>
      <c r="C946" s="155"/>
      <c r="D946" s="155"/>
      <c r="E946" s="156"/>
      <c r="F946" s="156"/>
      <c r="G946" s="155"/>
      <c r="H946" s="155"/>
      <c r="I946" s="155"/>
      <c r="J946" s="157"/>
      <c r="K946" s="157"/>
      <c r="L946" s="155"/>
      <c r="M946" s="155"/>
      <c r="N946" s="155"/>
      <c r="O946" s="156"/>
      <c r="P946" s="156"/>
      <c r="Q946" s="155"/>
      <c r="R946" s="155"/>
      <c r="S946" s="155"/>
      <c r="T946" s="156"/>
      <c r="U946" s="156"/>
      <c r="V946" s="155"/>
      <c r="W946" s="155"/>
      <c r="X946" s="155"/>
      <c r="Y946" s="155"/>
      <c r="Z946" s="155"/>
      <c r="AA946" s="156"/>
      <c r="AB946" s="156"/>
      <c r="AC946" s="155"/>
      <c r="AD946" s="155"/>
      <c r="AE946" s="155"/>
      <c r="AF946" s="156"/>
      <c r="AG946" s="156"/>
      <c r="AH946" s="155"/>
      <c r="AI946" s="155"/>
      <c r="AJ946" s="155"/>
      <c r="AK946" s="156"/>
      <c r="AL946" s="156"/>
      <c r="AM946" s="155"/>
      <c r="AN946" s="155"/>
      <c r="AO946" s="155"/>
      <c r="AP946" s="156"/>
      <c r="AQ946" s="156"/>
      <c r="AR946" s="155"/>
      <c r="AS946" s="155"/>
      <c r="AT946" s="155"/>
      <c r="AU946" s="156"/>
      <c r="AV946" s="156"/>
      <c r="AW946" s="155"/>
      <c r="AX946" s="155"/>
      <c r="AY946" s="155"/>
      <c r="AZ946" s="156"/>
      <c r="BA946" s="156"/>
      <c r="BB946" s="155"/>
      <c r="BC946" s="155"/>
      <c r="BD946" s="155"/>
      <c r="BE946" s="155"/>
      <c r="BF946" s="155"/>
      <c r="BG946" s="158"/>
      <c r="BH946" s="158"/>
      <c r="BI946" s="155"/>
      <c r="BJ946" s="155"/>
      <c r="BK946" s="159"/>
      <c r="BL946" s="156"/>
      <c r="BM946" s="156"/>
      <c r="BN946" s="156"/>
      <c r="BO946" s="156"/>
      <c r="BP946" s="160"/>
      <c r="BQ946" s="160"/>
      <c r="BR946" s="160"/>
      <c r="BS946" s="160"/>
    </row>
    <row r="947" spans="1:71" x14ac:dyDescent="0.25">
      <c r="A947" s="154"/>
      <c r="B947" s="155"/>
      <c r="C947" s="155"/>
      <c r="D947" s="155"/>
      <c r="E947" s="156"/>
      <c r="F947" s="156"/>
      <c r="G947" s="155"/>
      <c r="H947" s="155"/>
      <c r="I947" s="155"/>
      <c r="J947" s="157"/>
      <c r="K947" s="157"/>
      <c r="L947" s="155"/>
      <c r="M947" s="155"/>
      <c r="N947" s="155"/>
      <c r="O947" s="156"/>
      <c r="P947" s="156"/>
      <c r="Q947" s="155"/>
      <c r="R947" s="155"/>
      <c r="S947" s="155"/>
      <c r="T947" s="156"/>
      <c r="U947" s="156"/>
      <c r="V947" s="155"/>
      <c r="W947" s="155"/>
      <c r="X947" s="155"/>
      <c r="Y947" s="155"/>
      <c r="Z947" s="155"/>
      <c r="AA947" s="156"/>
      <c r="AB947" s="156"/>
      <c r="AC947" s="155"/>
      <c r="AD947" s="155"/>
      <c r="AE947" s="155"/>
      <c r="AF947" s="156"/>
      <c r="AG947" s="156"/>
      <c r="AH947" s="155"/>
      <c r="AI947" s="155"/>
      <c r="AJ947" s="155"/>
      <c r="AK947" s="156"/>
      <c r="AL947" s="156"/>
      <c r="AM947" s="155"/>
      <c r="AN947" s="155"/>
      <c r="AO947" s="155"/>
      <c r="AP947" s="156"/>
      <c r="AQ947" s="156"/>
      <c r="AR947" s="155"/>
      <c r="AS947" s="155"/>
      <c r="AT947" s="155"/>
      <c r="AU947" s="156"/>
      <c r="AV947" s="156"/>
      <c r="AW947" s="155"/>
      <c r="AX947" s="155"/>
      <c r="AY947" s="155"/>
      <c r="AZ947" s="156"/>
      <c r="BA947" s="156"/>
      <c r="BB947" s="155"/>
      <c r="BC947" s="155"/>
      <c r="BD947" s="155"/>
      <c r="BE947" s="155"/>
      <c r="BF947" s="155"/>
      <c r="BG947" s="158"/>
      <c r="BH947" s="158"/>
      <c r="BI947" s="155"/>
      <c r="BJ947" s="155"/>
      <c r="BK947" s="159"/>
      <c r="BL947" s="156"/>
      <c r="BM947" s="156"/>
      <c r="BN947" s="156"/>
      <c r="BO947" s="156"/>
      <c r="BP947" s="160"/>
      <c r="BQ947" s="160"/>
      <c r="BR947" s="160"/>
      <c r="BS947" s="160"/>
    </row>
    <row r="948" spans="1:71" x14ac:dyDescent="0.25">
      <c r="A948" s="154"/>
      <c r="B948" s="155"/>
      <c r="C948" s="155"/>
      <c r="D948" s="155"/>
      <c r="E948" s="156"/>
      <c r="F948" s="156"/>
      <c r="G948" s="155"/>
      <c r="H948" s="155"/>
      <c r="I948" s="155"/>
      <c r="J948" s="157"/>
      <c r="K948" s="157"/>
      <c r="L948" s="155"/>
      <c r="M948" s="155"/>
      <c r="N948" s="155"/>
      <c r="O948" s="156"/>
      <c r="P948" s="156"/>
      <c r="Q948" s="155"/>
      <c r="R948" s="155"/>
      <c r="S948" s="155"/>
      <c r="T948" s="156"/>
      <c r="U948" s="156"/>
      <c r="V948" s="155"/>
      <c r="W948" s="155"/>
      <c r="X948" s="155"/>
      <c r="Y948" s="155"/>
      <c r="Z948" s="155"/>
      <c r="AA948" s="156"/>
      <c r="AB948" s="156"/>
      <c r="AC948" s="155"/>
      <c r="AD948" s="155"/>
      <c r="AE948" s="155"/>
      <c r="AF948" s="156"/>
      <c r="AG948" s="156"/>
      <c r="AH948" s="155"/>
      <c r="AI948" s="155"/>
      <c r="AJ948" s="155"/>
      <c r="AK948" s="156"/>
      <c r="AL948" s="156"/>
      <c r="AM948" s="155"/>
      <c r="AN948" s="155"/>
      <c r="AO948" s="155"/>
      <c r="AP948" s="156"/>
      <c r="AQ948" s="156"/>
      <c r="AR948" s="155"/>
      <c r="AS948" s="155"/>
      <c r="AT948" s="155"/>
      <c r="AU948" s="156"/>
      <c r="AV948" s="156"/>
      <c r="AW948" s="155"/>
      <c r="AX948" s="155"/>
      <c r="AY948" s="155"/>
      <c r="AZ948" s="156"/>
      <c r="BA948" s="156"/>
      <c r="BB948" s="155"/>
      <c r="BC948" s="155"/>
      <c r="BD948" s="155"/>
      <c r="BE948" s="155"/>
      <c r="BF948" s="155"/>
      <c r="BG948" s="158"/>
      <c r="BH948" s="158"/>
      <c r="BI948" s="155"/>
      <c r="BJ948" s="155"/>
      <c r="BK948" s="159"/>
      <c r="BL948" s="156"/>
      <c r="BM948" s="156"/>
      <c r="BN948" s="156"/>
      <c r="BO948" s="156"/>
      <c r="BP948" s="160"/>
      <c r="BQ948" s="160"/>
      <c r="BR948" s="160"/>
      <c r="BS948" s="160"/>
    </row>
    <row r="949" spans="1:71" x14ac:dyDescent="0.25">
      <c r="A949" s="154"/>
      <c r="B949" s="155"/>
      <c r="C949" s="155"/>
      <c r="D949" s="155"/>
      <c r="E949" s="156"/>
      <c r="F949" s="156"/>
      <c r="G949" s="155"/>
      <c r="H949" s="155"/>
      <c r="I949" s="155"/>
      <c r="J949" s="157"/>
      <c r="K949" s="157"/>
      <c r="L949" s="155"/>
      <c r="M949" s="155"/>
      <c r="N949" s="155"/>
      <c r="O949" s="156"/>
      <c r="P949" s="156"/>
      <c r="Q949" s="155"/>
      <c r="R949" s="155"/>
      <c r="S949" s="155"/>
      <c r="T949" s="156"/>
      <c r="U949" s="156"/>
      <c r="V949" s="155"/>
      <c r="W949" s="155"/>
      <c r="X949" s="155"/>
      <c r="Y949" s="155"/>
      <c r="Z949" s="155"/>
      <c r="AA949" s="156"/>
      <c r="AB949" s="156"/>
      <c r="AC949" s="155"/>
      <c r="AD949" s="155"/>
      <c r="AE949" s="155"/>
      <c r="AF949" s="156"/>
      <c r="AG949" s="156"/>
      <c r="AH949" s="155"/>
      <c r="AI949" s="155"/>
      <c r="AJ949" s="155"/>
      <c r="AK949" s="156"/>
      <c r="AL949" s="156"/>
      <c r="AM949" s="155"/>
      <c r="AN949" s="155"/>
      <c r="AO949" s="155"/>
      <c r="AP949" s="156"/>
      <c r="AQ949" s="156"/>
      <c r="AR949" s="155"/>
      <c r="AS949" s="155"/>
      <c r="AT949" s="155"/>
      <c r="AU949" s="156"/>
      <c r="AV949" s="156"/>
      <c r="AW949" s="155"/>
      <c r="AX949" s="155"/>
      <c r="AY949" s="155"/>
      <c r="AZ949" s="156"/>
      <c r="BA949" s="156"/>
      <c r="BB949" s="155"/>
      <c r="BC949" s="155"/>
      <c r="BD949" s="155"/>
      <c r="BE949" s="155"/>
      <c r="BF949" s="155"/>
      <c r="BG949" s="158"/>
      <c r="BH949" s="158"/>
      <c r="BI949" s="155"/>
      <c r="BJ949" s="155"/>
      <c r="BK949" s="159"/>
      <c r="BL949" s="156"/>
      <c r="BM949" s="156"/>
      <c r="BN949" s="156"/>
      <c r="BO949" s="156"/>
      <c r="BP949" s="160"/>
      <c r="BQ949" s="160"/>
      <c r="BR949" s="160"/>
      <c r="BS949" s="160"/>
    </row>
    <row r="950" spans="1:71" x14ac:dyDescent="0.25">
      <c r="A950" s="154"/>
      <c r="B950" s="155"/>
      <c r="C950" s="155"/>
      <c r="D950" s="155"/>
      <c r="E950" s="156"/>
      <c r="F950" s="156"/>
      <c r="G950" s="155"/>
      <c r="H950" s="155"/>
      <c r="I950" s="155"/>
      <c r="J950" s="157"/>
      <c r="K950" s="157"/>
      <c r="L950" s="155"/>
      <c r="M950" s="155"/>
      <c r="N950" s="155"/>
      <c r="O950" s="156"/>
      <c r="P950" s="156"/>
      <c r="Q950" s="155"/>
      <c r="R950" s="155"/>
      <c r="S950" s="155"/>
      <c r="T950" s="156"/>
      <c r="U950" s="156"/>
      <c r="V950" s="155"/>
      <c r="W950" s="155"/>
      <c r="X950" s="155"/>
      <c r="Y950" s="155"/>
      <c r="Z950" s="155"/>
      <c r="AA950" s="156"/>
      <c r="AB950" s="156"/>
      <c r="AC950" s="155"/>
      <c r="AD950" s="155"/>
      <c r="AE950" s="155"/>
      <c r="AF950" s="156"/>
      <c r="AG950" s="156"/>
      <c r="AH950" s="155"/>
      <c r="AI950" s="155"/>
      <c r="AJ950" s="155"/>
      <c r="AK950" s="156"/>
      <c r="AL950" s="156"/>
      <c r="AM950" s="155"/>
      <c r="AN950" s="155"/>
      <c r="AO950" s="155"/>
      <c r="AP950" s="156"/>
      <c r="AQ950" s="156"/>
      <c r="AR950" s="155"/>
      <c r="AS950" s="155"/>
      <c r="AT950" s="155"/>
      <c r="AU950" s="156"/>
      <c r="AV950" s="156"/>
      <c r="AW950" s="155"/>
      <c r="AX950" s="155"/>
      <c r="AY950" s="155"/>
      <c r="AZ950" s="156"/>
      <c r="BA950" s="156"/>
      <c r="BB950" s="155"/>
      <c r="BC950" s="155"/>
      <c r="BD950" s="155"/>
      <c r="BE950" s="155"/>
      <c r="BF950" s="155"/>
      <c r="BG950" s="158"/>
      <c r="BH950" s="158"/>
      <c r="BI950" s="155"/>
      <c r="BJ950" s="155"/>
      <c r="BK950" s="159"/>
      <c r="BL950" s="156"/>
      <c r="BM950" s="156"/>
      <c r="BN950" s="156"/>
      <c r="BO950" s="156"/>
      <c r="BP950" s="160"/>
      <c r="BQ950" s="160"/>
      <c r="BR950" s="160"/>
      <c r="BS950" s="160"/>
    </row>
    <row r="951" spans="1:71" x14ac:dyDescent="0.25">
      <c r="A951" s="154"/>
      <c r="B951" s="155"/>
      <c r="C951" s="155"/>
      <c r="D951" s="155"/>
      <c r="E951" s="156"/>
      <c r="F951" s="156"/>
      <c r="G951" s="155"/>
      <c r="H951" s="155"/>
      <c r="I951" s="155"/>
      <c r="J951" s="157"/>
      <c r="K951" s="157"/>
      <c r="L951" s="155"/>
      <c r="M951" s="155"/>
      <c r="N951" s="155"/>
      <c r="O951" s="156"/>
      <c r="P951" s="156"/>
      <c r="Q951" s="155"/>
      <c r="R951" s="155"/>
      <c r="S951" s="155"/>
      <c r="T951" s="156"/>
      <c r="U951" s="156"/>
      <c r="V951" s="155"/>
      <c r="W951" s="155"/>
      <c r="X951" s="155"/>
      <c r="Y951" s="155"/>
      <c r="Z951" s="155"/>
      <c r="AA951" s="156"/>
      <c r="AB951" s="156"/>
      <c r="AC951" s="155"/>
      <c r="AD951" s="155"/>
      <c r="AE951" s="155"/>
      <c r="AF951" s="156"/>
      <c r="AG951" s="156"/>
      <c r="AH951" s="155"/>
      <c r="AI951" s="155"/>
      <c r="AJ951" s="155"/>
      <c r="AK951" s="156"/>
      <c r="AL951" s="156"/>
      <c r="AM951" s="155"/>
      <c r="AN951" s="155"/>
      <c r="AO951" s="155"/>
      <c r="AP951" s="156"/>
      <c r="AQ951" s="156"/>
      <c r="AR951" s="155"/>
      <c r="AS951" s="155"/>
      <c r="AT951" s="155"/>
      <c r="AU951" s="156"/>
      <c r="AV951" s="156"/>
      <c r="AW951" s="155"/>
      <c r="AX951" s="155"/>
      <c r="AY951" s="155"/>
      <c r="AZ951" s="156"/>
      <c r="BA951" s="156"/>
      <c r="BB951" s="155"/>
      <c r="BC951" s="155"/>
      <c r="BD951" s="155"/>
      <c r="BE951" s="155"/>
      <c r="BF951" s="155"/>
      <c r="BG951" s="158"/>
      <c r="BH951" s="158"/>
      <c r="BI951" s="155"/>
      <c r="BJ951" s="155"/>
      <c r="BK951" s="159"/>
      <c r="BL951" s="156"/>
      <c r="BM951" s="156"/>
      <c r="BN951" s="156"/>
      <c r="BO951" s="156"/>
      <c r="BP951" s="160"/>
      <c r="BQ951" s="160"/>
      <c r="BR951" s="160"/>
      <c r="BS951" s="160"/>
    </row>
    <row r="952" spans="1:71" x14ac:dyDescent="0.25">
      <c r="A952" s="154"/>
      <c r="B952" s="155"/>
      <c r="C952" s="155"/>
      <c r="D952" s="155"/>
      <c r="E952" s="156"/>
      <c r="F952" s="156"/>
      <c r="G952" s="155"/>
      <c r="H952" s="155"/>
      <c r="I952" s="155"/>
      <c r="J952" s="157"/>
      <c r="K952" s="157"/>
      <c r="L952" s="155"/>
      <c r="M952" s="155"/>
      <c r="N952" s="155"/>
      <c r="O952" s="156"/>
      <c r="P952" s="156"/>
      <c r="Q952" s="155"/>
      <c r="R952" s="155"/>
      <c r="S952" s="155"/>
      <c r="T952" s="156"/>
      <c r="U952" s="156"/>
      <c r="V952" s="155"/>
      <c r="W952" s="155"/>
      <c r="X952" s="155"/>
      <c r="Y952" s="155"/>
      <c r="Z952" s="155"/>
      <c r="AA952" s="156"/>
      <c r="AB952" s="156"/>
      <c r="AC952" s="155"/>
      <c r="AD952" s="155"/>
      <c r="AE952" s="155"/>
      <c r="AF952" s="156"/>
      <c r="AG952" s="156"/>
      <c r="AH952" s="155"/>
      <c r="AI952" s="155"/>
      <c r="AJ952" s="155"/>
      <c r="AK952" s="156"/>
      <c r="AL952" s="156"/>
      <c r="AM952" s="155"/>
      <c r="AN952" s="155"/>
      <c r="AO952" s="155"/>
      <c r="AP952" s="156"/>
      <c r="AQ952" s="156"/>
      <c r="AR952" s="155"/>
      <c r="AS952" s="155"/>
      <c r="AT952" s="155"/>
      <c r="AU952" s="156"/>
      <c r="AV952" s="156"/>
      <c r="AW952" s="155"/>
      <c r="AX952" s="155"/>
      <c r="AY952" s="155"/>
      <c r="AZ952" s="156"/>
      <c r="BA952" s="156"/>
      <c r="BB952" s="155"/>
      <c r="BC952" s="155"/>
      <c r="BD952" s="155"/>
      <c r="BE952" s="155"/>
      <c r="BF952" s="155"/>
      <c r="BG952" s="158"/>
      <c r="BH952" s="158"/>
      <c r="BI952" s="155"/>
      <c r="BJ952" s="155"/>
      <c r="BK952" s="159"/>
      <c r="BL952" s="156"/>
      <c r="BM952" s="156"/>
      <c r="BN952" s="156"/>
      <c r="BO952" s="156"/>
      <c r="BP952" s="160"/>
      <c r="BQ952" s="160"/>
      <c r="BR952" s="160"/>
      <c r="BS952" s="160"/>
    </row>
    <row r="953" spans="1:71" x14ac:dyDescent="0.25">
      <c r="A953" s="154"/>
      <c r="B953" s="155"/>
      <c r="C953" s="155"/>
      <c r="D953" s="155"/>
      <c r="E953" s="156"/>
      <c r="F953" s="156"/>
      <c r="G953" s="155"/>
      <c r="H953" s="155"/>
      <c r="I953" s="155"/>
      <c r="J953" s="157"/>
      <c r="K953" s="157"/>
      <c r="L953" s="155"/>
      <c r="M953" s="155"/>
      <c r="N953" s="155"/>
      <c r="O953" s="156"/>
      <c r="P953" s="156"/>
      <c r="Q953" s="155"/>
      <c r="R953" s="155"/>
      <c r="S953" s="155"/>
      <c r="T953" s="156"/>
      <c r="U953" s="156"/>
      <c r="V953" s="155"/>
      <c r="W953" s="155"/>
      <c r="X953" s="155"/>
      <c r="Y953" s="155"/>
      <c r="Z953" s="155"/>
      <c r="AA953" s="156"/>
      <c r="AB953" s="156"/>
      <c r="AC953" s="155"/>
      <c r="AD953" s="155"/>
      <c r="AE953" s="155"/>
      <c r="AF953" s="156"/>
      <c r="AG953" s="156"/>
      <c r="AH953" s="155"/>
      <c r="AI953" s="155"/>
      <c r="AJ953" s="155"/>
      <c r="AK953" s="156"/>
      <c r="AL953" s="156"/>
      <c r="AM953" s="155"/>
      <c r="AN953" s="155"/>
      <c r="AO953" s="155"/>
      <c r="AP953" s="156"/>
      <c r="AQ953" s="156"/>
      <c r="AR953" s="155"/>
      <c r="AS953" s="155"/>
      <c r="AT953" s="155"/>
      <c r="AU953" s="156"/>
      <c r="AV953" s="156"/>
      <c r="AW953" s="155"/>
      <c r="AX953" s="155"/>
      <c r="AY953" s="155"/>
      <c r="AZ953" s="156"/>
      <c r="BA953" s="156"/>
      <c r="BB953" s="155"/>
      <c r="BC953" s="155"/>
      <c r="BD953" s="155"/>
      <c r="BE953" s="155"/>
      <c r="BF953" s="155"/>
      <c r="BG953" s="158"/>
      <c r="BH953" s="158"/>
      <c r="BI953" s="155"/>
      <c r="BJ953" s="155"/>
      <c r="BK953" s="159"/>
      <c r="BL953" s="156"/>
      <c r="BM953" s="156"/>
      <c r="BN953" s="156"/>
      <c r="BO953" s="156"/>
      <c r="BP953" s="160"/>
      <c r="BQ953" s="160"/>
      <c r="BR953" s="160"/>
      <c r="BS953" s="160"/>
    </row>
    <row r="954" spans="1:71" x14ac:dyDescent="0.25">
      <c r="A954" s="154"/>
      <c r="B954" s="155"/>
      <c r="C954" s="155"/>
      <c r="D954" s="155"/>
      <c r="E954" s="156"/>
      <c r="F954" s="156"/>
      <c r="G954" s="155"/>
      <c r="H954" s="155"/>
      <c r="I954" s="155"/>
      <c r="J954" s="157"/>
      <c r="K954" s="157"/>
      <c r="L954" s="155"/>
      <c r="M954" s="155"/>
      <c r="N954" s="155"/>
      <c r="O954" s="156"/>
      <c r="P954" s="156"/>
      <c r="Q954" s="155"/>
      <c r="R954" s="155"/>
      <c r="S954" s="155"/>
      <c r="T954" s="156"/>
      <c r="U954" s="156"/>
      <c r="V954" s="155"/>
      <c r="W954" s="155"/>
      <c r="X954" s="155"/>
      <c r="Y954" s="155"/>
      <c r="Z954" s="155"/>
      <c r="AA954" s="156"/>
      <c r="AB954" s="156"/>
      <c r="AC954" s="155"/>
      <c r="AD954" s="155"/>
      <c r="AE954" s="155"/>
      <c r="AF954" s="156"/>
      <c r="AG954" s="156"/>
      <c r="AH954" s="155"/>
      <c r="AI954" s="155"/>
      <c r="AJ954" s="155"/>
      <c r="AK954" s="156"/>
      <c r="AL954" s="156"/>
      <c r="AM954" s="155"/>
      <c r="AN954" s="155"/>
      <c r="AO954" s="155"/>
      <c r="AP954" s="156"/>
      <c r="AQ954" s="156"/>
      <c r="AR954" s="155"/>
      <c r="AS954" s="155"/>
      <c r="AT954" s="155"/>
      <c r="AU954" s="156"/>
      <c r="AV954" s="156"/>
      <c r="AW954" s="155"/>
      <c r="AX954" s="155"/>
      <c r="AY954" s="155"/>
      <c r="AZ954" s="156"/>
      <c r="BA954" s="156"/>
      <c r="BB954" s="155"/>
      <c r="BC954" s="155"/>
      <c r="BD954" s="155"/>
      <c r="BE954" s="155"/>
      <c r="BF954" s="155"/>
      <c r="BG954" s="158"/>
      <c r="BH954" s="158"/>
      <c r="BI954" s="155"/>
      <c r="BJ954" s="155"/>
      <c r="BK954" s="159"/>
      <c r="BL954" s="156"/>
      <c r="BM954" s="156"/>
      <c r="BN954" s="156"/>
      <c r="BO954" s="156"/>
      <c r="BP954" s="160"/>
      <c r="BQ954" s="160"/>
      <c r="BR954" s="160"/>
      <c r="BS954" s="160"/>
    </row>
    <row r="955" spans="1:71" x14ac:dyDescent="0.25">
      <c r="A955" s="154"/>
      <c r="B955" s="155"/>
      <c r="C955" s="155"/>
      <c r="D955" s="155"/>
      <c r="E955" s="156"/>
      <c r="F955" s="156"/>
      <c r="G955" s="155"/>
      <c r="H955" s="155"/>
      <c r="I955" s="155"/>
      <c r="J955" s="157"/>
      <c r="K955" s="157"/>
      <c r="L955" s="155"/>
      <c r="M955" s="155"/>
      <c r="N955" s="155"/>
      <c r="O955" s="156"/>
      <c r="P955" s="156"/>
      <c r="Q955" s="155"/>
      <c r="R955" s="155"/>
      <c r="S955" s="155"/>
      <c r="T955" s="156"/>
      <c r="U955" s="156"/>
      <c r="V955" s="155"/>
      <c r="W955" s="155"/>
      <c r="X955" s="155"/>
      <c r="Y955" s="155"/>
      <c r="Z955" s="155"/>
      <c r="AA955" s="156"/>
      <c r="AB955" s="156"/>
      <c r="AC955" s="155"/>
      <c r="AD955" s="155"/>
      <c r="AE955" s="155"/>
      <c r="AF955" s="156"/>
      <c r="AG955" s="156"/>
      <c r="AH955" s="155"/>
      <c r="AI955" s="155"/>
      <c r="AJ955" s="155"/>
      <c r="AK955" s="156"/>
      <c r="AL955" s="156"/>
      <c r="AM955" s="155"/>
      <c r="AN955" s="155"/>
      <c r="AO955" s="155"/>
      <c r="AP955" s="156"/>
      <c r="AQ955" s="156"/>
      <c r="AR955" s="155"/>
      <c r="AS955" s="155"/>
      <c r="AT955" s="155"/>
      <c r="AU955" s="156"/>
      <c r="AV955" s="156"/>
      <c r="AW955" s="155"/>
      <c r="AX955" s="155"/>
      <c r="AY955" s="155"/>
      <c r="AZ955" s="156"/>
      <c r="BA955" s="156"/>
      <c r="BB955" s="155"/>
      <c r="BC955" s="155"/>
      <c r="BD955" s="155"/>
      <c r="BE955" s="155"/>
      <c r="BF955" s="155"/>
      <c r="BG955" s="158"/>
      <c r="BH955" s="158"/>
      <c r="BI955" s="155"/>
      <c r="BJ955" s="155"/>
      <c r="BK955" s="159"/>
      <c r="BL955" s="156"/>
      <c r="BM955" s="156"/>
      <c r="BN955" s="156"/>
      <c r="BO955" s="156"/>
      <c r="BP955" s="160"/>
      <c r="BQ955" s="160"/>
      <c r="BR955" s="160"/>
      <c r="BS955" s="160"/>
    </row>
    <row r="956" spans="1:71" x14ac:dyDescent="0.25">
      <c r="A956" s="154"/>
      <c r="B956" s="155"/>
      <c r="C956" s="155"/>
      <c r="D956" s="155"/>
      <c r="E956" s="156"/>
      <c r="F956" s="156"/>
      <c r="G956" s="155"/>
      <c r="H956" s="155"/>
      <c r="I956" s="155"/>
      <c r="J956" s="157"/>
      <c r="K956" s="157"/>
      <c r="L956" s="155"/>
      <c r="M956" s="155"/>
      <c r="N956" s="155"/>
      <c r="O956" s="156"/>
      <c r="P956" s="156"/>
      <c r="Q956" s="155"/>
      <c r="R956" s="155"/>
      <c r="S956" s="155"/>
      <c r="T956" s="156"/>
      <c r="U956" s="156"/>
      <c r="V956" s="155"/>
      <c r="W956" s="155"/>
      <c r="X956" s="155"/>
      <c r="Y956" s="155"/>
      <c r="Z956" s="155"/>
      <c r="AA956" s="156"/>
      <c r="AB956" s="156"/>
      <c r="AC956" s="155"/>
      <c r="AD956" s="155"/>
      <c r="AE956" s="155"/>
      <c r="AF956" s="156"/>
      <c r="AG956" s="156"/>
      <c r="AH956" s="155"/>
      <c r="AI956" s="155"/>
      <c r="AJ956" s="155"/>
      <c r="AK956" s="156"/>
      <c r="AL956" s="156"/>
      <c r="AM956" s="155"/>
      <c r="AN956" s="155"/>
      <c r="AO956" s="155"/>
      <c r="AP956" s="156"/>
      <c r="AQ956" s="156"/>
      <c r="AR956" s="155"/>
      <c r="AS956" s="155"/>
      <c r="AT956" s="155"/>
      <c r="AU956" s="156"/>
      <c r="AV956" s="156"/>
      <c r="AW956" s="155"/>
      <c r="AX956" s="155"/>
      <c r="AY956" s="155"/>
      <c r="AZ956" s="156"/>
      <c r="BA956" s="156"/>
      <c r="BB956" s="155"/>
      <c r="BC956" s="155"/>
      <c r="BD956" s="155"/>
      <c r="BE956" s="155"/>
      <c r="BF956" s="155"/>
      <c r="BG956" s="158"/>
      <c r="BH956" s="158"/>
      <c r="BI956" s="155"/>
      <c r="BJ956" s="155"/>
      <c r="BK956" s="159"/>
      <c r="BL956" s="156"/>
      <c r="BM956" s="156"/>
      <c r="BN956" s="156"/>
      <c r="BO956" s="156"/>
      <c r="BP956" s="160"/>
      <c r="BQ956" s="160"/>
      <c r="BR956" s="160"/>
      <c r="BS956" s="160"/>
    </row>
    <row r="957" spans="1:71" x14ac:dyDescent="0.25">
      <c r="A957" s="154"/>
      <c r="B957" s="155"/>
      <c r="C957" s="155"/>
      <c r="D957" s="155"/>
      <c r="E957" s="156"/>
      <c r="F957" s="156"/>
      <c r="G957" s="155"/>
      <c r="H957" s="155"/>
      <c r="I957" s="155"/>
      <c r="J957" s="157"/>
      <c r="K957" s="157"/>
      <c r="L957" s="155"/>
      <c r="M957" s="155"/>
      <c r="N957" s="155"/>
      <c r="O957" s="156"/>
      <c r="P957" s="156"/>
      <c r="Q957" s="155"/>
      <c r="R957" s="155"/>
      <c r="S957" s="155"/>
      <c r="T957" s="156"/>
      <c r="U957" s="156"/>
      <c r="V957" s="155"/>
      <c r="W957" s="155"/>
      <c r="X957" s="155"/>
      <c r="Y957" s="155"/>
      <c r="Z957" s="155"/>
      <c r="AA957" s="156"/>
      <c r="AB957" s="156"/>
      <c r="AC957" s="155"/>
      <c r="AD957" s="155"/>
      <c r="AE957" s="155"/>
      <c r="AF957" s="156"/>
      <c r="AG957" s="156"/>
      <c r="AH957" s="155"/>
      <c r="AI957" s="155"/>
      <c r="AJ957" s="155"/>
      <c r="AK957" s="156"/>
      <c r="AL957" s="156"/>
      <c r="AM957" s="155"/>
      <c r="AN957" s="155"/>
      <c r="AO957" s="155"/>
      <c r="AP957" s="156"/>
      <c r="AQ957" s="156"/>
      <c r="AR957" s="155"/>
      <c r="AS957" s="155"/>
      <c r="AT957" s="155"/>
      <c r="AU957" s="156"/>
      <c r="AV957" s="156"/>
      <c r="AW957" s="155"/>
      <c r="AX957" s="155"/>
      <c r="AY957" s="155"/>
      <c r="AZ957" s="156"/>
      <c r="BA957" s="156"/>
      <c r="BB957" s="155"/>
      <c r="BC957" s="155"/>
      <c r="BD957" s="155"/>
      <c r="BE957" s="155"/>
      <c r="BF957" s="155"/>
      <c r="BG957" s="158"/>
      <c r="BH957" s="158"/>
      <c r="BI957" s="155"/>
      <c r="BJ957" s="155"/>
      <c r="BK957" s="159"/>
      <c r="BL957" s="156"/>
      <c r="BM957" s="156"/>
      <c r="BN957" s="156"/>
      <c r="BO957" s="156"/>
      <c r="BP957" s="160"/>
      <c r="BQ957" s="160"/>
      <c r="BR957" s="160"/>
      <c r="BS957" s="160"/>
    </row>
    <row r="958" spans="1:71" x14ac:dyDescent="0.25">
      <c r="A958" s="154"/>
      <c r="B958" s="155"/>
      <c r="C958" s="155"/>
      <c r="D958" s="155"/>
      <c r="E958" s="156"/>
      <c r="F958" s="156"/>
      <c r="G958" s="155"/>
      <c r="H958" s="155"/>
      <c r="I958" s="155"/>
      <c r="J958" s="157"/>
      <c r="K958" s="157"/>
      <c r="L958" s="155"/>
      <c r="M958" s="155"/>
      <c r="N958" s="155"/>
      <c r="O958" s="156"/>
      <c r="P958" s="156"/>
      <c r="Q958" s="155"/>
      <c r="R958" s="155"/>
      <c r="S958" s="155"/>
      <c r="T958" s="156"/>
      <c r="U958" s="156"/>
      <c r="V958" s="155"/>
      <c r="W958" s="155"/>
      <c r="X958" s="155"/>
      <c r="Y958" s="155"/>
      <c r="Z958" s="155"/>
      <c r="AA958" s="156"/>
      <c r="AB958" s="156"/>
      <c r="AC958" s="155"/>
      <c r="AD958" s="155"/>
      <c r="AE958" s="155"/>
      <c r="AF958" s="156"/>
      <c r="AG958" s="156"/>
      <c r="AH958" s="155"/>
      <c r="AI958" s="155"/>
      <c r="AJ958" s="155"/>
      <c r="AK958" s="156"/>
      <c r="AL958" s="156"/>
      <c r="AM958" s="155"/>
      <c r="AN958" s="155"/>
      <c r="AO958" s="155"/>
      <c r="AP958" s="156"/>
      <c r="AQ958" s="156"/>
      <c r="AR958" s="155"/>
      <c r="AS958" s="155"/>
      <c r="AT958" s="155"/>
      <c r="AU958" s="156"/>
      <c r="AV958" s="156"/>
      <c r="AW958" s="155"/>
      <c r="AX958" s="155"/>
      <c r="AY958" s="155"/>
      <c r="AZ958" s="156"/>
      <c r="BA958" s="156"/>
      <c r="BB958" s="155"/>
      <c r="BC958" s="155"/>
      <c r="BD958" s="155"/>
      <c r="BE958" s="155"/>
      <c r="BF958" s="155"/>
      <c r="BG958" s="158"/>
      <c r="BH958" s="158"/>
      <c r="BI958" s="155"/>
      <c r="BJ958" s="155"/>
      <c r="BK958" s="159"/>
      <c r="BL958" s="156"/>
      <c r="BM958" s="156"/>
      <c r="BN958" s="156"/>
      <c r="BO958" s="156"/>
      <c r="BP958" s="160"/>
      <c r="BQ958" s="160"/>
      <c r="BR958" s="160"/>
      <c r="BS958" s="160"/>
    </row>
    <row r="959" spans="1:71" x14ac:dyDescent="0.25">
      <c r="A959" s="154"/>
      <c r="B959" s="155"/>
      <c r="C959" s="155"/>
      <c r="D959" s="155"/>
      <c r="E959" s="156"/>
      <c r="F959" s="156"/>
      <c r="G959" s="155"/>
      <c r="H959" s="155"/>
      <c r="I959" s="155"/>
      <c r="J959" s="157"/>
      <c r="K959" s="157"/>
      <c r="L959" s="155"/>
      <c r="M959" s="155"/>
      <c r="N959" s="155"/>
      <c r="O959" s="156"/>
      <c r="P959" s="156"/>
      <c r="Q959" s="155"/>
      <c r="R959" s="155"/>
      <c r="S959" s="155"/>
      <c r="T959" s="156"/>
      <c r="U959" s="156"/>
      <c r="V959" s="155"/>
      <c r="W959" s="155"/>
      <c r="X959" s="155"/>
      <c r="Y959" s="155"/>
      <c r="Z959" s="155"/>
      <c r="AA959" s="156"/>
      <c r="AB959" s="156"/>
      <c r="AC959" s="155"/>
      <c r="AD959" s="155"/>
      <c r="AE959" s="155"/>
      <c r="AF959" s="156"/>
      <c r="AG959" s="156"/>
      <c r="AH959" s="155"/>
      <c r="AI959" s="155"/>
      <c r="AJ959" s="155"/>
      <c r="AK959" s="156"/>
      <c r="AL959" s="156"/>
      <c r="AM959" s="155"/>
      <c r="AN959" s="155"/>
      <c r="AO959" s="155"/>
      <c r="AP959" s="156"/>
      <c r="AQ959" s="156"/>
      <c r="AR959" s="155"/>
      <c r="AS959" s="155"/>
      <c r="AT959" s="155"/>
      <c r="AU959" s="156"/>
      <c r="AV959" s="156"/>
      <c r="AW959" s="155"/>
      <c r="AX959" s="155"/>
      <c r="AY959" s="155"/>
      <c r="AZ959" s="156"/>
      <c r="BA959" s="156"/>
      <c r="BB959" s="155"/>
      <c r="BC959" s="155"/>
      <c r="BD959" s="155"/>
      <c r="BE959" s="155"/>
      <c r="BF959" s="155"/>
      <c r="BG959" s="158"/>
      <c r="BH959" s="158"/>
      <c r="BI959" s="155"/>
      <c r="BJ959" s="155"/>
      <c r="BK959" s="159"/>
      <c r="BL959" s="156"/>
      <c r="BM959" s="156"/>
      <c r="BN959" s="156"/>
      <c r="BO959" s="156"/>
      <c r="BP959" s="160"/>
      <c r="BQ959" s="160"/>
      <c r="BR959" s="160"/>
      <c r="BS959" s="160"/>
    </row>
    <row r="960" spans="1:71" x14ac:dyDescent="0.25">
      <c r="A960" s="154"/>
      <c r="B960" s="155"/>
      <c r="C960" s="155"/>
      <c r="D960" s="155"/>
      <c r="E960" s="156"/>
      <c r="F960" s="156"/>
      <c r="G960" s="155"/>
      <c r="H960" s="155"/>
      <c r="I960" s="155"/>
      <c r="J960" s="157"/>
      <c r="K960" s="157"/>
      <c r="L960" s="155"/>
      <c r="M960" s="155"/>
      <c r="N960" s="155"/>
      <c r="O960" s="156"/>
      <c r="P960" s="156"/>
      <c r="Q960" s="155"/>
      <c r="R960" s="155"/>
      <c r="S960" s="155"/>
      <c r="T960" s="156"/>
      <c r="U960" s="156"/>
      <c r="V960" s="155"/>
      <c r="W960" s="155"/>
      <c r="X960" s="155"/>
      <c r="Y960" s="155"/>
      <c r="Z960" s="155"/>
      <c r="AA960" s="156"/>
      <c r="AB960" s="156"/>
      <c r="AC960" s="155"/>
      <c r="AD960" s="155"/>
      <c r="AE960" s="155"/>
      <c r="AF960" s="156"/>
      <c r="AG960" s="156"/>
      <c r="AH960" s="155"/>
      <c r="AI960" s="155"/>
      <c r="AJ960" s="155"/>
      <c r="AK960" s="156"/>
      <c r="AL960" s="156"/>
      <c r="AM960" s="155"/>
      <c r="AN960" s="155"/>
      <c r="AO960" s="155"/>
      <c r="AP960" s="156"/>
      <c r="AQ960" s="156"/>
      <c r="AR960" s="155"/>
      <c r="AS960" s="155"/>
      <c r="AT960" s="155"/>
      <c r="AU960" s="156"/>
      <c r="AV960" s="156"/>
      <c r="AW960" s="155"/>
      <c r="AX960" s="155"/>
      <c r="AY960" s="155"/>
      <c r="AZ960" s="156"/>
      <c r="BA960" s="156"/>
      <c r="BB960" s="155"/>
      <c r="BC960" s="155"/>
      <c r="BD960" s="155"/>
      <c r="BE960" s="155"/>
      <c r="BF960" s="155"/>
      <c r="BG960" s="158"/>
      <c r="BH960" s="158"/>
      <c r="BI960" s="155"/>
      <c r="BJ960" s="155"/>
      <c r="BK960" s="159"/>
      <c r="BL960" s="156"/>
      <c r="BM960" s="156"/>
      <c r="BN960" s="156"/>
      <c r="BO960" s="156"/>
      <c r="BP960" s="160"/>
      <c r="BQ960" s="160"/>
      <c r="BR960" s="160"/>
      <c r="BS960" s="160"/>
    </row>
    <row r="961" spans="1:71" x14ac:dyDescent="0.25">
      <c r="A961" s="154"/>
      <c r="B961" s="155"/>
      <c r="C961" s="155"/>
      <c r="D961" s="155"/>
      <c r="E961" s="156"/>
      <c r="F961" s="156"/>
      <c r="G961" s="155"/>
      <c r="H961" s="155"/>
      <c r="I961" s="155"/>
      <c r="J961" s="157"/>
      <c r="K961" s="157"/>
      <c r="L961" s="155"/>
      <c r="M961" s="155"/>
      <c r="N961" s="155"/>
      <c r="O961" s="156"/>
      <c r="P961" s="156"/>
      <c r="Q961" s="155"/>
      <c r="R961" s="155"/>
      <c r="S961" s="155"/>
      <c r="T961" s="156"/>
      <c r="U961" s="156"/>
      <c r="V961" s="155"/>
      <c r="W961" s="155"/>
      <c r="X961" s="155"/>
      <c r="Y961" s="155"/>
      <c r="Z961" s="155"/>
      <c r="AA961" s="156"/>
      <c r="AB961" s="156"/>
      <c r="AC961" s="155"/>
      <c r="AD961" s="155"/>
      <c r="AE961" s="155"/>
      <c r="AF961" s="156"/>
      <c r="AG961" s="156"/>
      <c r="AH961" s="155"/>
      <c r="AI961" s="155"/>
      <c r="AJ961" s="155"/>
      <c r="AK961" s="156"/>
      <c r="AL961" s="156"/>
      <c r="AM961" s="155"/>
      <c r="AN961" s="155"/>
      <c r="AO961" s="155"/>
      <c r="AP961" s="156"/>
      <c r="AQ961" s="156"/>
      <c r="AR961" s="155"/>
      <c r="AS961" s="155"/>
      <c r="AT961" s="155"/>
      <c r="AU961" s="156"/>
      <c r="AV961" s="156"/>
      <c r="AW961" s="155"/>
      <c r="AX961" s="155"/>
      <c r="AY961" s="155"/>
      <c r="AZ961" s="156"/>
      <c r="BA961" s="156"/>
      <c r="BB961" s="155"/>
      <c r="BC961" s="155"/>
      <c r="BD961" s="155"/>
      <c r="BE961" s="155"/>
      <c r="BF961" s="155"/>
      <c r="BG961" s="158"/>
      <c r="BH961" s="158"/>
      <c r="BI961" s="155"/>
      <c r="BJ961" s="155"/>
      <c r="BK961" s="159"/>
      <c r="BL961" s="156"/>
      <c r="BM961" s="156"/>
      <c r="BN961" s="156"/>
      <c r="BO961" s="156"/>
      <c r="BP961" s="160"/>
      <c r="BQ961" s="160"/>
      <c r="BR961" s="160"/>
      <c r="BS961" s="160"/>
    </row>
    <row r="962" spans="1:71" x14ac:dyDescent="0.25">
      <c r="A962" s="154"/>
      <c r="B962" s="155"/>
      <c r="C962" s="155"/>
      <c r="D962" s="155"/>
      <c r="E962" s="156"/>
      <c r="F962" s="156"/>
      <c r="G962" s="155"/>
      <c r="H962" s="155"/>
      <c r="I962" s="155"/>
      <c r="J962" s="157"/>
      <c r="K962" s="157"/>
      <c r="L962" s="155"/>
      <c r="M962" s="155"/>
      <c r="N962" s="155"/>
      <c r="O962" s="156"/>
      <c r="P962" s="156"/>
      <c r="Q962" s="155"/>
      <c r="R962" s="155"/>
      <c r="S962" s="155"/>
      <c r="T962" s="156"/>
      <c r="U962" s="156"/>
      <c r="V962" s="155"/>
      <c r="W962" s="155"/>
      <c r="X962" s="155"/>
      <c r="Y962" s="155"/>
      <c r="Z962" s="155"/>
      <c r="AA962" s="156"/>
      <c r="AB962" s="156"/>
      <c r="AC962" s="155"/>
      <c r="AD962" s="155"/>
      <c r="AE962" s="155"/>
      <c r="AF962" s="156"/>
      <c r="AG962" s="156"/>
      <c r="AH962" s="155"/>
      <c r="AI962" s="155"/>
      <c r="AJ962" s="155"/>
      <c r="AK962" s="156"/>
      <c r="AL962" s="156"/>
      <c r="AM962" s="155"/>
      <c r="AN962" s="155"/>
      <c r="AO962" s="155"/>
      <c r="AP962" s="156"/>
      <c r="AQ962" s="156"/>
      <c r="AR962" s="155"/>
      <c r="AS962" s="155"/>
      <c r="AT962" s="155"/>
      <c r="AU962" s="156"/>
      <c r="AV962" s="156"/>
      <c r="AW962" s="155"/>
      <c r="AX962" s="155"/>
      <c r="AY962" s="155"/>
      <c r="AZ962" s="156"/>
      <c r="BA962" s="156"/>
      <c r="BB962" s="155"/>
      <c r="BC962" s="155"/>
      <c r="BD962" s="155"/>
      <c r="BE962" s="155"/>
      <c r="BF962" s="155"/>
      <c r="BG962" s="158"/>
      <c r="BH962" s="158"/>
      <c r="BI962" s="155"/>
      <c r="BJ962" s="155"/>
      <c r="BK962" s="159"/>
      <c r="BL962" s="156"/>
      <c r="BM962" s="156"/>
      <c r="BN962" s="156"/>
      <c r="BO962" s="156"/>
      <c r="BP962" s="160"/>
      <c r="BQ962" s="160"/>
      <c r="BR962" s="160"/>
      <c r="BS962" s="160"/>
    </row>
    <row r="963" spans="1:71" x14ac:dyDescent="0.25">
      <c r="A963" s="154"/>
      <c r="B963" s="155"/>
      <c r="C963" s="155"/>
      <c r="D963" s="155"/>
      <c r="E963" s="156"/>
      <c r="F963" s="156"/>
      <c r="G963" s="155"/>
      <c r="H963" s="155"/>
      <c r="I963" s="155"/>
      <c r="J963" s="157"/>
      <c r="K963" s="157"/>
      <c r="L963" s="155"/>
      <c r="M963" s="155"/>
      <c r="N963" s="155"/>
      <c r="O963" s="156"/>
      <c r="P963" s="156"/>
      <c r="Q963" s="155"/>
      <c r="R963" s="155"/>
      <c r="S963" s="155"/>
      <c r="T963" s="156"/>
      <c r="U963" s="156"/>
      <c r="V963" s="155"/>
      <c r="W963" s="155"/>
      <c r="X963" s="155"/>
      <c r="Y963" s="155"/>
      <c r="Z963" s="155"/>
      <c r="AA963" s="156"/>
      <c r="AB963" s="156"/>
      <c r="AC963" s="155"/>
      <c r="AD963" s="155"/>
      <c r="AE963" s="155"/>
      <c r="AF963" s="156"/>
      <c r="AG963" s="156"/>
      <c r="AH963" s="155"/>
      <c r="AI963" s="155"/>
      <c r="AJ963" s="155"/>
      <c r="AK963" s="156"/>
      <c r="AL963" s="156"/>
      <c r="AM963" s="155"/>
      <c r="AN963" s="155"/>
      <c r="AO963" s="155"/>
      <c r="AP963" s="156"/>
      <c r="AQ963" s="156"/>
      <c r="AR963" s="155"/>
      <c r="AS963" s="155"/>
      <c r="AT963" s="155"/>
      <c r="AU963" s="156"/>
      <c r="AV963" s="156"/>
      <c r="AW963" s="155"/>
      <c r="AX963" s="155"/>
      <c r="AY963" s="155"/>
      <c r="AZ963" s="156"/>
      <c r="BA963" s="156"/>
      <c r="BB963" s="155"/>
      <c r="BC963" s="155"/>
      <c r="BD963" s="155"/>
      <c r="BE963" s="155"/>
      <c r="BF963" s="155"/>
      <c r="BG963" s="158"/>
      <c r="BH963" s="158"/>
      <c r="BI963" s="155"/>
      <c r="BJ963" s="155"/>
      <c r="BK963" s="159"/>
      <c r="BL963" s="156"/>
      <c r="BM963" s="156"/>
      <c r="BN963" s="156"/>
      <c r="BO963" s="156"/>
      <c r="BP963" s="160"/>
      <c r="BQ963" s="160"/>
      <c r="BR963" s="160"/>
      <c r="BS963" s="160"/>
    </row>
    <row r="964" spans="1:71" x14ac:dyDescent="0.25">
      <c r="A964" s="154"/>
      <c r="B964" s="155"/>
      <c r="C964" s="155"/>
      <c r="D964" s="155"/>
      <c r="E964" s="156"/>
      <c r="F964" s="156"/>
      <c r="G964" s="155"/>
      <c r="H964" s="155"/>
      <c r="I964" s="155"/>
      <c r="J964" s="157"/>
      <c r="K964" s="157"/>
      <c r="L964" s="155"/>
      <c r="M964" s="155"/>
      <c r="N964" s="155"/>
      <c r="O964" s="156"/>
      <c r="P964" s="156"/>
      <c r="Q964" s="155"/>
      <c r="R964" s="155"/>
      <c r="S964" s="155"/>
      <c r="T964" s="156"/>
      <c r="U964" s="156"/>
      <c r="V964" s="155"/>
      <c r="W964" s="155"/>
      <c r="X964" s="155"/>
      <c r="Y964" s="155"/>
      <c r="Z964" s="155"/>
      <c r="AA964" s="156"/>
      <c r="AB964" s="156"/>
      <c r="AC964" s="155"/>
      <c r="AD964" s="155"/>
      <c r="AE964" s="155"/>
      <c r="AF964" s="156"/>
      <c r="AG964" s="156"/>
      <c r="AH964" s="155"/>
      <c r="AI964" s="155"/>
      <c r="AJ964" s="155"/>
      <c r="AK964" s="156"/>
      <c r="AL964" s="156"/>
      <c r="AM964" s="155"/>
      <c r="AN964" s="155"/>
      <c r="AO964" s="155"/>
      <c r="AP964" s="156"/>
      <c r="AQ964" s="156"/>
      <c r="AR964" s="155"/>
      <c r="AS964" s="155"/>
      <c r="AT964" s="155"/>
      <c r="AU964" s="156"/>
      <c r="AV964" s="156"/>
      <c r="AW964" s="155"/>
      <c r="AX964" s="155"/>
      <c r="AY964" s="155"/>
      <c r="AZ964" s="156"/>
      <c r="BA964" s="156"/>
      <c r="BB964" s="155"/>
      <c r="BC964" s="155"/>
      <c r="BD964" s="155"/>
      <c r="BE964" s="155"/>
      <c r="BF964" s="155"/>
      <c r="BG964" s="158"/>
      <c r="BH964" s="158"/>
      <c r="BI964" s="155"/>
      <c r="BJ964" s="155"/>
      <c r="BK964" s="159"/>
      <c r="BL964" s="156"/>
      <c r="BM964" s="156"/>
      <c r="BN964" s="156"/>
      <c r="BO964" s="156"/>
      <c r="BP964" s="160"/>
      <c r="BQ964" s="160"/>
      <c r="BR964" s="160"/>
      <c r="BS964" s="160"/>
    </row>
    <row r="965" spans="1:71" x14ac:dyDescent="0.25">
      <c r="A965" s="154"/>
      <c r="B965" s="155"/>
      <c r="C965" s="155"/>
      <c r="D965" s="155"/>
      <c r="E965" s="156"/>
      <c r="F965" s="156"/>
      <c r="G965" s="155"/>
      <c r="H965" s="155"/>
      <c r="I965" s="155"/>
      <c r="J965" s="157"/>
      <c r="K965" s="157"/>
      <c r="L965" s="155"/>
      <c r="M965" s="155"/>
      <c r="N965" s="155"/>
      <c r="O965" s="156"/>
      <c r="P965" s="156"/>
      <c r="Q965" s="155"/>
      <c r="R965" s="155"/>
      <c r="S965" s="155"/>
      <c r="T965" s="156"/>
      <c r="U965" s="156"/>
      <c r="V965" s="155"/>
      <c r="W965" s="155"/>
      <c r="X965" s="155"/>
      <c r="Y965" s="155"/>
      <c r="Z965" s="155"/>
      <c r="AA965" s="156"/>
      <c r="AB965" s="156"/>
      <c r="AC965" s="155"/>
      <c r="AD965" s="155"/>
      <c r="AE965" s="155"/>
      <c r="AF965" s="156"/>
      <c r="AG965" s="156"/>
      <c r="AH965" s="155"/>
      <c r="AI965" s="155"/>
      <c r="AJ965" s="155"/>
      <c r="AK965" s="156"/>
      <c r="AL965" s="156"/>
      <c r="AM965" s="155"/>
      <c r="AN965" s="155"/>
      <c r="AO965" s="155"/>
      <c r="AP965" s="156"/>
      <c r="AQ965" s="156"/>
      <c r="AR965" s="155"/>
      <c r="AS965" s="155"/>
      <c r="AT965" s="155"/>
      <c r="AU965" s="156"/>
      <c r="AV965" s="156"/>
      <c r="AW965" s="155"/>
      <c r="AX965" s="155"/>
      <c r="AY965" s="155"/>
      <c r="AZ965" s="156"/>
      <c r="BA965" s="156"/>
      <c r="BB965" s="155"/>
      <c r="BC965" s="155"/>
      <c r="BD965" s="155"/>
      <c r="BE965" s="155"/>
      <c r="BF965" s="155"/>
      <c r="BG965" s="158"/>
      <c r="BH965" s="158"/>
      <c r="BI965" s="155"/>
      <c r="BJ965" s="155"/>
      <c r="BK965" s="159"/>
      <c r="BL965" s="156"/>
      <c r="BM965" s="156"/>
      <c r="BN965" s="156"/>
      <c r="BO965" s="156"/>
      <c r="BP965" s="160"/>
      <c r="BQ965" s="160"/>
      <c r="BR965" s="160"/>
      <c r="BS965" s="160"/>
    </row>
    <row r="966" spans="1:71" x14ac:dyDescent="0.25">
      <c r="A966" s="154"/>
      <c r="B966" s="155"/>
      <c r="C966" s="155"/>
      <c r="D966" s="155"/>
      <c r="E966" s="156"/>
      <c r="F966" s="156"/>
      <c r="G966" s="155"/>
      <c r="H966" s="155"/>
      <c r="I966" s="155"/>
      <c r="J966" s="157"/>
      <c r="K966" s="157"/>
      <c r="L966" s="155"/>
      <c r="M966" s="155"/>
      <c r="N966" s="155"/>
      <c r="O966" s="156"/>
      <c r="P966" s="156"/>
      <c r="Q966" s="155"/>
      <c r="R966" s="155"/>
      <c r="S966" s="155"/>
      <c r="T966" s="156"/>
      <c r="U966" s="156"/>
      <c r="V966" s="155"/>
      <c r="W966" s="155"/>
      <c r="X966" s="155"/>
      <c r="Y966" s="155"/>
      <c r="Z966" s="155"/>
      <c r="AA966" s="156"/>
      <c r="AB966" s="156"/>
      <c r="AC966" s="155"/>
      <c r="AD966" s="155"/>
      <c r="AE966" s="155"/>
      <c r="AF966" s="156"/>
      <c r="AG966" s="156"/>
      <c r="AH966" s="155"/>
      <c r="AI966" s="155"/>
      <c r="AJ966" s="155"/>
      <c r="AK966" s="156"/>
      <c r="AL966" s="156"/>
      <c r="AM966" s="155"/>
      <c r="AN966" s="155"/>
      <c r="AO966" s="155"/>
      <c r="AP966" s="156"/>
      <c r="AQ966" s="156"/>
      <c r="AR966" s="155"/>
      <c r="AS966" s="155"/>
      <c r="AT966" s="155"/>
      <c r="AU966" s="156"/>
      <c r="AV966" s="156"/>
      <c r="AW966" s="155"/>
      <c r="AX966" s="155"/>
      <c r="AY966" s="155"/>
      <c r="AZ966" s="156"/>
      <c r="BA966" s="156"/>
      <c r="BB966" s="155"/>
      <c r="BC966" s="155"/>
      <c r="BD966" s="155"/>
      <c r="BE966" s="155"/>
      <c r="BF966" s="155"/>
      <c r="BG966" s="158"/>
      <c r="BH966" s="158"/>
      <c r="BI966" s="155"/>
      <c r="BJ966" s="155"/>
      <c r="BK966" s="159"/>
      <c r="BL966" s="156"/>
      <c r="BM966" s="156"/>
      <c r="BN966" s="156"/>
      <c r="BO966" s="156"/>
      <c r="BP966" s="160"/>
      <c r="BQ966" s="160"/>
      <c r="BR966" s="160"/>
      <c r="BS966" s="160"/>
    </row>
    <row r="967" spans="1:71" x14ac:dyDescent="0.25">
      <c r="A967" s="154"/>
      <c r="B967" s="155"/>
      <c r="C967" s="155"/>
      <c r="D967" s="155"/>
      <c r="E967" s="156"/>
      <c r="F967" s="156"/>
      <c r="G967" s="155"/>
      <c r="H967" s="155"/>
      <c r="I967" s="155"/>
      <c r="J967" s="157"/>
      <c r="K967" s="157"/>
      <c r="L967" s="155"/>
      <c r="M967" s="155"/>
      <c r="N967" s="155"/>
      <c r="O967" s="156"/>
      <c r="P967" s="156"/>
      <c r="Q967" s="155"/>
      <c r="R967" s="155"/>
      <c r="S967" s="155"/>
      <c r="T967" s="156"/>
      <c r="U967" s="156"/>
      <c r="V967" s="155"/>
      <c r="W967" s="155"/>
      <c r="X967" s="155"/>
      <c r="Y967" s="155"/>
      <c r="Z967" s="155"/>
      <c r="AA967" s="156"/>
      <c r="AB967" s="156"/>
      <c r="AC967" s="155"/>
      <c r="AD967" s="155"/>
      <c r="AE967" s="155"/>
      <c r="AF967" s="156"/>
      <c r="AG967" s="156"/>
      <c r="AH967" s="155"/>
      <c r="AI967" s="155"/>
      <c r="AJ967" s="155"/>
      <c r="AK967" s="156"/>
      <c r="AL967" s="156"/>
      <c r="AM967" s="155"/>
      <c r="AN967" s="155"/>
      <c r="AO967" s="155"/>
      <c r="AP967" s="156"/>
      <c r="AQ967" s="156"/>
      <c r="AR967" s="155"/>
      <c r="AS967" s="155"/>
      <c r="AT967" s="155"/>
      <c r="AU967" s="156"/>
      <c r="AV967" s="156"/>
      <c r="AW967" s="155"/>
      <c r="AX967" s="155"/>
      <c r="AY967" s="155"/>
      <c r="AZ967" s="156"/>
      <c r="BA967" s="156"/>
      <c r="BB967" s="155"/>
      <c r="BC967" s="155"/>
      <c r="BD967" s="155"/>
      <c r="BE967" s="155"/>
      <c r="BF967" s="155"/>
      <c r="BG967" s="158"/>
      <c r="BH967" s="158"/>
      <c r="BI967" s="155"/>
      <c r="BJ967" s="155"/>
      <c r="BK967" s="159"/>
      <c r="BL967" s="156"/>
      <c r="BM967" s="156"/>
      <c r="BN967" s="156"/>
      <c r="BO967" s="156"/>
      <c r="BP967" s="160"/>
      <c r="BQ967" s="160"/>
      <c r="BR967" s="160"/>
      <c r="BS967" s="160"/>
    </row>
    <row r="968" spans="1:71" x14ac:dyDescent="0.25">
      <c r="A968" s="154"/>
      <c r="B968" s="155"/>
      <c r="C968" s="155"/>
      <c r="D968" s="155"/>
      <c r="E968" s="156"/>
      <c r="F968" s="156"/>
      <c r="G968" s="155"/>
      <c r="H968" s="155"/>
      <c r="I968" s="155"/>
      <c r="J968" s="157"/>
      <c r="K968" s="157"/>
      <c r="L968" s="155"/>
      <c r="M968" s="155"/>
      <c r="N968" s="155"/>
      <c r="O968" s="156"/>
      <c r="P968" s="156"/>
      <c r="Q968" s="155"/>
      <c r="R968" s="155"/>
      <c r="S968" s="155"/>
      <c r="T968" s="156"/>
      <c r="U968" s="156"/>
      <c r="V968" s="155"/>
      <c r="W968" s="155"/>
      <c r="X968" s="155"/>
      <c r="Y968" s="155"/>
      <c r="Z968" s="155"/>
      <c r="AA968" s="156"/>
      <c r="AB968" s="156"/>
      <c r="AC968" s="155"/>
      <c r="AD968" s="155"/>
      <c r="AE968" s="155"/>
      <c r="AF968" s="156"/>
      <c r="AG968" s="156"/>
      <c r="AH968" s="155"/>
      <c r="AI968" s="155"/>
      <c r="AJ968" s="155"/>
      <c r="AK968" s="156"/>
      <c r="AL968" s="156"/>
      <c r="AM968" s="155"/>
      <c r="AN968" s="155"/>
      <c r="AO968" s="155"/>
      <c r="AP968" s="156"/>
      <c r="AQ968" s="156"/>
      <c r="AR968" s="155"/>
      <c r="AS968" s="155"/>
      <c r="AT968" s="155"/>
      <c r="AU968" s="156"/>
      <c r="AV968" s="156"/>
      <c r="AW968" s="155"/>
      <c r="AX968" s="155"/>
      <c r="AY968" s="155"/>
      <c r="AZ968" s="156"/>
      <c r="BA968" s="156"/>
      <c r="BB968" s="155"/>
      <c r="BC968" s="155"/>
      <c r="BD968" s="155"/>
      <c r="BE968" s="155"/>
      <c r="BF968" s="155"/>
      <c r="BG968" s="158"/>
      <c r="BH968" s="158"/>
      <c r="BI968" s="155"/>
      <c r="BJ968" s="155"/>
      <c r="BK968" s="159"/>
      <c r="BL968" s="156"/>
      <c r="BM968" s="156"/>
      <c r="BN968" s="156"/>
      <c r="BO968" s="156"/>
      <c r="BP968" s="160"/>
      <c r="BQ968" s="160"/>
      <c r="BR968" s="160"/>
      <c r="BS968" s="160"/>
    </row>
    <row r="969" spans="1:71" x14ac:dyDescent="0.25">
      <c r="A969" s="154"/>
      <c r="B969" s="155"/>
      <c r="C969" s="155"/>
      <c r="D969" s="155"/>
      <c r="E969" s="156"/>
      <c r="F969" s="156"/>
      <c r="G969" s="155"/>
      <c r="H969" s="155"/>
      <c r="I969" s="155"/>
      <c r="J969" s="157"/>
      <c r="K969" s="157"/>
      <c r="L969" s="155"/>
      <c r="M969" s="155"/>
      <c r="N969" s="155"/>
      <c r="O969" s="156"/>
      <c r="P969" s="156"/>
      <c r="Q969" s="155"/>
      <c r="R969" s="155"/>
      <c r="S969" s="155"/>
      <c r="T969" s="156"/>
      <c r="U969" s="156"/>
      <c r="V969" s="155"/>
      <c r="W969" s="155"/>
      <c r="X969" s="155"/>
      <c r="Y969" s="155"/>
      <c r="Z969" s="155"/>
      <c r="AA969" s="156"/>
      <c r="AB969" s="156"/>
      <c r="AC969" s="155"/>
      <c r="AD969" s="155"/>
      <c r="AE969" s="155"/>
      <c r="AF969" s="156"/>
      <c r="AG969" s="156"/>
      <c r="AH969" s="155"/>
      <c r="AI969" s="155"/>
      <c r="AJ969" s="155"/>
      <c r="AK969" s="156"/>
      <c r="AL969" s="156"/>
      <c r="AM969" s="155"/>
      <c r="AN969" s="155"/>
      <c r="AO969" s="155"/>
      <c r="AP969" s="156"/>
      <c r="AQ969" s="156"/>
      <c r="AR969" s="155"/>
      <c r="AS969" s="155"/>
      <c r="AT969" s="155"/>
      <c r="AU969" s="156"/>
      <c r="AV969" s="156"/>
      <c r="AW969" s="155"/>
      <c r="AX969" s="155"/>
      <c r="AY969" s="155"/>
      <c r="AZ969" s="156"/>
      <c r="BA969" s="156"/>
      <c r="BB969" s="155"/>
      <c r="BC969" s="155"/>
      <c r="BD969" s="155"/>
      <c r="BE969" s="155"/>
      <c r="BF969" s="155"/>
      <c r="BG969" s="158"/>
      <c r="BH969" s="158"/>
      <c r="BI969" s="155"/>
      <c r="BJ969" s="155"/>
      <c r="BK969" s="159"/>
      <c r="BL969" s="156"/>
      <c r="BM969" s="156"/>
      <c r="BN969" s="156"/>
      <c r="BO969" s="156"/>
      <c r="BP969" s="160"/>
      <c r="BQ969" s="160"/>
      <c r="BR969" s="160"/>
      <c r="BS969" s="160"/>
    </row>
    <row r="970" spans="1:71" x14ac:dyDescent="0.25">
      <c r="A970" s="154"/>
      <c r="B970" s="155"/>
      <c r="C970" s="155"/>
      <c r="D970" s="155"/>
      <c r="E970" s="156"/>
      <c r="F970" s="156"/>
      <c r="G970" s="155"/>
      <c r="H970" s="155"/>
      <c r="I970" s="155"/>
      <c r="J970" s="157"/>
      <c r="K970" s="157"/>
      <c r="L970" s="155"/>
      <c r="M970" s="155"/>
      <c r="N970" s="155"/>
      <c r="O970" s="156"/>
      <c r="P970" s="156"/>
      <c r="Q970" s="155"/>
      <c r="R970" s="155"/>
      <c r="S970" s="155"/>
      <c r="T970" s="156"/>
      <c r="U970" s="156"/>
      <c r="V970" s="155"/>
      <c r="W970" s="155"/>
      <c r="X970" s="155"/>
      <c r="Y970" s="155"/>
      <c r="Z970" s="155"/>
      <c r="AA970" s="156"/>
      <c r="AB970" s="156"/>
      <c r="AC970" s="155"/>
      <c r="AD970" s="155"/>
      <c r="AE970" s="155"/>
      <c r="AF970" s="156"/>
      <c r="AG970" s="156"/>
      <c r="AH970" s="155"/>
      <c r="AI970" s="155"/>
      <c r="AJ970" s="155"/>
      <c r="AK970" s="156"/>
      <c r="AL970" s="156"/>
      <c r="AM970" s="155"/>
      <c r="AN970" s="155"/>
      <c r="AO970" s="155"/>
      <c r="AP970" s="156"/>
      <c r="AQ970" s="156"/>
      <c r="AR970" s="155"/>
      <c r="AS970" s="155"/>
      <c r="AT970" s="155"/>
      <c r="AU970" s="156"/>
      <c r="AV970" s="156"/>
      <c r="AW970" s="155"/>
      <c r="AX970" s="155"/>
      <c r="AY970" s="155"/>
      <c r="AZ970" s="156"/>
      <c r="BA970" s="156"/>
      <c r="BB970" s="155"/>
      <c r="BC970" s="155"/>
      <c r="BD970" s="155"/>
      <c r="BE970" s="155"/>
      <c r="BF970" s="155"/>
      <c r="BG970" s="158"/>
      <c r="BH970" s="158"/>
      <c r="BI970" s="155"/>
      <c r="BJ970" s="155"/>
      <c r="BK970" s="159"/>
      <c r="BL970" s="156"/>
      <c r="BM970" s="156"/>
      <c r="BN970" s="156"/>
      <c r="BO970" s="156"/>
      <c r="BP970" s="160"/>
      <c r="BQ970" s="160"/>
      <c r="BR970" s="160"/>
      <c r="BS970" s="160"/>
    </row>
    <row r="971" spans="1:71" x14ac:dyDescent="0.25">
      <c r="A971" s="154"/>
      <c r="B971" s="155"/>
      <c r="C971" s="155"/>
      <c r="D971" s="155"/>
      <c r="E971" s="156"/>
      <c r="F971" s="156"/>
      <c r="G971" s="155"/>
      <c r="H971" s="155"/>
      <c r="I971" s="155"/>
      <c r="J971" s="157"/>
      <c r="K971" s="157"/>
      <c r="L971" s="155"/>
      <c r="M971" s="155"/>
      <c r="N971" s="155"/>
      <c r="O971" s="156"/>
      <c r="P971" s="156"/>
      <c r="Q971" s="155"/>
      <c r="R971" s="155"/>
      <c r="S971" s="155"/>
      <c r="T971" s="156"/>
      <c r="U971" s="156"/>
      <c r="V971" s="155"/>
      <c r="W971" s="155"/>
      <c r="X971" s="155"/>
      <c r="Y971" s="155"/>
      <c r="Z971" s="155"/>
      <c r="AA971" s="156"/>
      <c r="AB971" s="156"/>
      <c r="AC971" s="155"/>
      <c r="AD971" s="155"/>
      <c r="AE971" s="155"/>
      <c r="AF971" s="156"/>
      <c r="AG971" s="156"/>
      <c r="AH971" s="155"/>
      <c r="AI971" s="155"/>
      <c r="AJ971" s="155"/>
      <c r="AK971" s="156"/>
      <c r="AL971" s="156"/>
      <c r="AM971" s="155"/>
      <c r="AN971" s="155"/>
      <c r="AO971" s="155"/>
      <c r="AP971" s="156"/>
      <c r="AQ971" s="156"/>
      <c r="AR971" s="155"/>
      <c r="AS971" s="155"/>
      <c r="AT971" s="155"/>
      <c r="AU971" s="156"/>
      <c r="AV971" s="156"/>
      <c r="AW971" s="155"/>
      <c r="AX971" s="155"/>
      <c r="AY971" s="155"/>
      <c r="AZ971" s="156"/>
      <c r="BA971" s="156"/>
      <c r="BB971" s="155"/>
      <c r="BC971" s="155"/>
      <c r="BD971" s="155"/>
      <c r="BE971" s="155"/>
      <c r="BF971" s="155"/>
      <c r="BG971" s="158"/>
      <c r="BH971" s="158"/>
      <c r="BI971" s="155"/>
      <c r="BJ971" s="155"/>
      <c r="BK971" s="159"/>
      <c r="BL971" s="156"/>
      <c r="BM971" s="156"/>
      <c r="BN971" s="156"/>
      <c r="BO971" s="156"/>
      <c r="BP971" s="160"/>
      <c r="BQ971" s="160"/>
      <c r="BR971" s="160"/>
      <c r="BS971" s="160"/>
    </row>
    <row r="972" spans="1:71" x14ac:dyDescent="0.25">
      <c r="A972" s="154"/>
      <c r="B972" s="155"/>
      <c r="C972" s="155"/>
      <c r="D972" s="155"/>
      <c r="E972" s="156"/>
      <c r="F972" s="156"/>
      <c r="G972" s="155"/>
      <c r="H972" s="155"/>
      <c r="I972" s="155"/>
      <c r="J972" s="157"/>
      <c r="K972" s="157"/>
      <c r="L972" s="155"/>
      <c r="M972" s="155"/>
      <c r="N972" s="155"/>
      <c r="O972" s="156"/>
      <c r="P972" s="156"/>
      <c r="Q972" s="155"/>
      <c r="R972" s="155"/>
      <c r="S972" s="155"/>
      <c r="T972" s="156"/>
      <c r="U972" s="156"/>
      <c r="V972" s="155"/>
      <c r="W972" s="155"/>
      <c r="X972" s="155"/>
      <c r="Y972" s="155"/>
      <c r="Z972" s="155"/>
      <c r="AA972" s="156"/>
      <c r="AB972" s="156"/>
      <c r="AC972" s="155"/>
      <c r="AD972" s="155"/>
      <c r="AE972" s="155"/>
      <c r="AF972" s="156"/>
      <c r="AG972" s="156"/>
      <c r="AH972" s="155"/>
      <c r="AI972" s="155"/>
      <c r="AJ972" s="155"/>
      <c r="AK972" s="156"/>
      <c r="AL972" s="156"/>
      <c r="AM972" s="155"/>
      <c r="AN972" s="155"/>
      <c r="AO972" s="155"/>
      <c r="AP972" s="156"/>
      <c r="AQ972" s="156"/>
      <c r="AR972" s="155"/>
      <c r="AS972" s="155"/>
      <c r="AT972" s="155"/>
      <c r="AU972" s="156"/>
      <c r="AV972" s="156"/>
      <c r="AW972" s="155"/>
      <c r="AX972" s="155"/>
      <c r="AY972" s="155"/>
      <c r="AZ972" s="156"/>
      <c r="BA972" s="156"/>
      <c r="BB972" s="155"/>
      <c r="BC972" s="155"/>
      <c r="BD972" s="155"/>
      <c r="BE972" s="155"/>
      <c r="BF972" s="155"/>
      <c r="BG972" s="158"/>
      <c r="BH972" s="158"/>
      <c r="BI972" s="155"/>
      <c r="BJ972" s="155"/>
      <c r="BK972" s="159"/>
      <c r="BL972" s="156"/>
      <c r="BM972" s="156"/>
      <c r="BN972" s="156"/>
      <c r="BO972" s="156"/>
      <c r="BP972" s="160"/>
      <c r="BQ972" s="160"/>
      <c r="BR972" s="160"/>
      <c r="BS972" s="160"/>
    </row>
    <row r="973" spans="1:71" x14ac:dyDescent="0.25">
      <c r="A973" s="154"/>
      <c r="B973" s="155"/>
      <c r="C973" s="155"/>
      <c r="D973" s="155"/>
      <c r="E973" s="156"/>
      <c r="F973" s="156"/>
      <c r="G973" s="155"/>
      <c r="H973" s="155"/>
      <c r="I973" s="155"/>
      <c r="J973" s="157"/>
      <c r="K973" s="157"/>
      <c r="L973" s="155"/>
      <c r="M973" s="155"/>
      <c r="N973" s="155"/>
      <c r="O973" s="156"/>
      <c r="P973" s="156"/>
      <c r="Q973" s="155"/>
      <c r="R973" s="155"/>
      <c r="S973" s="155"/>
      <c r="T973" s="156"/>
      <c r="U973" s="156"/>
      <c r="V973" s="155"/>
      <c r="W973" s="155"/>
      <c r="X973" s="155"/>
      <c r="Y973" s="155"/>
      <c r="Z973" s="155"/>
      <c r="AA973" s="156"/>
      <c r="AB973" s="156"/>
      <c r="AC973" s="155"/>
      <c r="AD973" s="155"/>
      <c r="AE973" s="155"/>
      <c r="AF973" s="156"/>
      <c r="AG973" s="156"/>
      <c r="AH973" s="155"/>
      <c r="AI973" s="155"/>
      <c r="AJ973" s="155"/>
      <c r="AK973" s="156"/>
      <c r="AL973" s="156"/>
      <c r="AM973" s="155"/>
      <c r="AN973" s="155"/>
      <c r="AO973" s="155"/>
      <c r="AP973" s="156"/>
      <c r="AQ973" s="156"/>
      <c r="AR973" s="155"/>
      <c r="AS973" s="155"/>
      <c r="AT973" s="155"/>
      <c r="AU973" s="156"/>
      <c r="AV973" s="156"/>
      <c r="AW973" s="155"/>
      <c r="AX973" s="155"/>
      <c r="AY973" s="155"/>
      <c r="AZ973" s="156"/>
      <c r="BA973" s="156"/>
      <c r="BB973" s="155"/>
      <c r="BC973" s="155"/>
      <c r="BD973" s="155"/>
      <c r="BE973" s="155"/>
      <c r="BF973" s="155"/>
      <c r="BG973" s="158"/>
      <c r="BH973" s="158"/>
      <c r="BI973" s="155"/>
      <c r="BJ973" s="155"/>
      <c r="BK973" s="159"/>
      <c r="BL973" s="156"/>
      <c r="BM973" s="156"/>
      <c r="BN973" s="156"/>
      <c r="BO973" s="156"/>
      <c r="BP973" s="160"/>
      <c r="BQ973" s="160"/>
      <c r="BR973" s="160"/>
      <c r="BS973" s="160"/>
    </row>
    <row r="974" spans="1:71" x14ac:dyDescent="0.25">
      <c r="A974" s="154"/>
      <c r="B974" s="155"/>
      <c r="C974" s="155"/>
      <c r="D974" s="155"/>
      <c r="E974" s="156"/>
      <c r="F974" s="156"/>
      <c r="G974" s="155"/>
      <c r="H974" s="155"/>
      <c r="I974" s="155"/>
      <c r="J974" s="157"/>
      <c r="K974" s="157"/>
      <c r="L974" s="155"/>
      <c r="M974" s="155"/>
      <c r="N974" s="155"/>
      <c r="O974" s="156"/>
      <c r="P974" s="156"/>
      <c r="Q974" s="155"/>
      <c r="R974" s="155"/>
      <c r="S974" s="155"/>
      <c r="T974" s="156"/>
      <c r="U974" s="156"/>
      <c r="V974" s="155"/>
      <c r="W974" s="155"/>
      <c r="X974" s="155"/>
      <c r="Y974" s="155"/>
      <c r="Z974" s="155"/>
      <c r="AA974" s="156"/>
      <c r="AB974" s="156"/>
      <c r="AC974" s="155"/>
      <c r="AD974" s="155"/>
      <c r="AE974" s="155"/>
      <c r="AF974" s="156"/>
      <c r="AG974" s="156"/>
      <c r="AH974" s="155"/>
      <c r="AI974" s="155"/>
      <c r="AJ974" s="155"/>
      <c r="AK974" s="156"/>
      <c r="AL974" s="156"/>
      <c r="AM974" s="155"/>
      <c r="AN974" s="155"/>
      <c r="AO974" s="155"/>
      <c r="AP974" s="156"/>
      <c r="AQ974" s="156"/>
      <c r="AR974" s="155"/>
      <c r="AS974" s="155"/>
      <c r="AT974" s="155"/>
      <c r="AU974" s="156"/>
      <c r="AV974" s="156"/>
      <c r="AW974" s="155"/>
      <c r="AX974" s="155"/>
      <c r="AY974" s="155"/>
      <c r="AZ974" s="156"/>
      <c r="BA974" s="156"/>
      <c r="BB974" s="155"/>
      <c r="BC974" s="155"/>
      <c r="BD974" s="155"/>
      <c r="BE974" s="155"/>
      <c r="BF974" s="155"/>
      <c r="BG974" s="158"/>
      <c r="BH974" s="158"/>
      <c r="BI974" s="155"/>
      <c r="BJ974" s="155"/>
      <c r="BK974" s="159"/>
      <c r="BL974" s="156"/>
      <c r="BM974" s="156"/>
      <c r="BN974" s="156"/>
      <c r="BO974" s="156"/>
      <c r="BP974" s="160"/>
      <c r="BQ974" s="160"/>
      <c r="BR974" s="160"/>
      <c r="BS974" s="160"/>
    </row>
    <row r="975" spans="1:71" x14ac:dyDescent="0.25">
      <c r="A975" s="154"/>
      <c r="B975" s="155"/>
      <c r="C975" s="155"/>
      <c r="D975" s="155"/>
      <c r="E975" s="156"/>
      <c r="F975" s="156"/>
      <c r="G975" s="155"/>
      <c r="H975" s="155"/>
      <c r="I975" s="155"/>
      <c r="J975" s="157"/>
      <c r="K975" s="157"/>
      <c r="L975" s="155"/>
      <c r="M975" s="155"/>
      <c r="N975" s="155"/>
      <c r="O975" s="156"/>
      <c r="P975" s="156"/>
      <c r="Q975" s="155"/>
      <c r="R975" s="155"/>
      <c r="S975" s="155"/>
      <c r="T975" s="156"/>
      <c r="U975" s="156"/>
      <c r="V975" s="155"/>
      <c r="W975" s="155"/>
      <c r="X975" s="155"/>
      <c r="Y975" s="155"/>
      <c r="Z975" s="155"/>
      <c r="AA975" s="156"/>
      <c r="AB975" s="156"/>
      <c r="AC975" s="155"/>
      <c r="AD975" s="155"/>
      <c r="AE975" s="155"/>
      <c r="AF975" s="156"/>
      <c r="AG975" s="156"/>
      <c r="AH975" s="155"/>
      <c r="AI975" s="155"/>
      <c r="AJ975" s="155"/>
      <c r="AK975" s="156"/>
      <c r="AL975" s="156"/>
      <c r="AM975" s="155"/>
      <c r="AN975" s="155"/>
      <c r="AO975" s="155"/>
      <c r="AP975" s="156"/>
      <c r="AQ975" s="156"/>
      <c r="AR975" s="155"/>
      <c r="AS975" s="155"/>
      <c r="AT975" s="155"/>
      <c r="AU975" s="156"/>
      <c r="AV975" s="156"/>
      <c r="AW975" s="155"/>
      <c r="AX975" s="155"/>
      <c r="AY975" s="155"/>
      <c r="AZ975" s="156"/>
      <c r="BA975" s="156"/>
      <c r="BB975" s="155"/>
      <c r="BC975" s="155"/>
      <c r="BD975" s="155"/>
      <c r="BE975" s="155"/>
      <c r="BF975" s="155"/>
      <c r="BG975" s="158"/>
      <c r="BH975" s="158"/>
      <c r="BI975" s="155"/>
      <c r="BJ975" s="155"/>
      <c r="BK975" s="159"/>
      <c r="BL975" s="156"/>
      <c r="BM975" s="156"/>
      <c r="BN975" s="156"/>
      <c r="BO975" s="156"/>
      <c r="BP975" s="160"/>
      <c r="BQ975" s="160"/>
      <c r="BR975" s="160"/>
      <c r="BS975" s="160"/>
    </row>
    <row r="976" spans="1:71" x14ac:dyDescent="0.25">
      <c r="A976" s="154"/>
      <c r="B976" s="155"/>
      <c r="C976" s="155"/>
      <c r="D976" s="155"/>
      <c r="E976" s="156"/>
      <c r="F976" s="156"/>
      <c r="G976" s="155"/>
      <c r="H976" s="155"/>
      <c r="I976" s="155"/>
      <c r="J976" s="157"/>
      <c r="K976" s="157"/>
      <c r="L976" s="155"/>
      <c r="M976" s="155"/>
      <c r="N976" s="155"/>
      <c r="O976" s="156"/>
      <c r="P976" s="156"/>
      <c r="Q976" s="155"/>
      <c r="R976" s="155"/>
      <c r="S976" s="155"/>
      <c r="T976" s="156"/>
      <c r="U976" s="156"/>
      <c r="V976" s="155"/>
      <c r="W976" s="155"/>
      <c r="X976" s="155"/>
      <c r="Y976" s="155"/>
      <c r="Z976" s="155"/>
      <c r="AA976" s="156"/>
      <c r="AB976" s="156"/>
      <c r="AC976" s="155"/>
      <c r="AD976" s="155"/>
      <c r="AE976" s="155"/>
      <c r="AF976" s="156"/>
      <c r="AG976" s="156"/>
      <c r="AH976" s="155"/>
      <c r="AI976" s="155"/>
      <c r="AJ976" s="155"/>
      <c r="AK976" s="156"/>
      <c r="AL976" s="156"/>
      <c r="AM976" s="155"/>
      <c r="AN976" s="155"/>
      <c r="AO976" s="155"/>
      <c r="AP976" s="156"/>
      <c r="AQ976" s="156"/>
      <c r="AR976" s="155"/>
      <c r="AS976" s="155"/>
      <c r="AT976" s="155"/>
      <c r="AU976" s="156"/>
      <c r="AV976" s="156"/>
      <c r="AW976" s="155"/>
      <c r="AX976" s="155"/>
      <c r="AY976" s="155"/>
      <c r="AZ976" s="156"/>
      <c r="BA976" s="156"/>
      <c r="BB976" s="155"/>
      <c r="BC976" s="155"/>
      <c r="BD976" s="155"/>
      <c r="BE976" s="155"/>
      <c r="BF976" s="155"/>
      <c r="BG976" s="158"/>
      <c r="BH976" s="158"/>
      <c r="BI976" s="155"/>
      <c r="BJ976" s="155"/>
      <c r="BK976" s="159"/>
      <c r="BL976" s="156"/>
      <c r="BM976" s="156"/>
      <c r="BN976" s="156"/>
      <c r="BO976" s="156"/>
      <c r="BP976" s="160"/>
      <c r="BQ976" s="160"/>
      <c r="BR976" s="160"/>
      <c r="BS976" s="160"/>
    </row>
    <row r="977" spans="1:71" x14ac:dyDescent="0.25">
      <c r="A977" s="154"/>
      <c r="B977" s="155"/>
      <c r="C977" s="155"/>
      <c r="D977" s="155"/>
      <c r="E977" s="156"/>
      <c r="F977" s="156"/>
      <c r="G977" s="155"/>
      <c r="H977" s="155"/>
      <c r="I977" s="155"/>
      <c r="J977" s="157"/>
      <c r="K977" s="157"/>
      <c r="L977" s="155"/>
      <c r="M977" s="155"/>
      <c r="N977" s="155"/>
      <c r="O977" s="156"/>
      <c r="P977" s="156"/>
      <c r="Q977" s="155"/>
      <c r="R977" s="155"/>
      <c r="S977" s="155"/>
      <c r="T977" s="156"/>
      <c r="U977" s="156"/>
      <c r="V977" s="155"/>
      <c r="W977" s="155"/>
      <c r="X977" s="155"/>
      <c r="Y977" s="155"/>
      <c r="Z977" s="155"/>
      <c r="AA977" s="156"/>
      <c r="AB977" s="156"/>
      <c r="AC977" s="155"/>
      <c r="AD977" s="155"/>
      <c r="AE977" s="155"/>
      <c r="AF977" s="156"/>
      <c r="AG977" s="156"/>
      <c r="AH977" s="155"/>
      <c r="AI977" s="155"/>
      <c r="AJ977" s="155"/>
      <c r="AK977" s="156"/>
      <c r="AL977" s="156"/>
      <c r="AM977" s="155"/>
      <c r="AN977" s="155"/>
      <c r="AO977" s="155"/>
      <c r="AP977" s="156"/>
      <c r="AQ977" s="156"/>
      <c r="AR977" s="155"/>
      <c r="AS977" s="155"/>
      <c r="AT977" s="155"/>
      <c r="AU977" s="156"/>
      <c r="AV977" s="156"/>
      <c r="AW977" s="155"/>
      <c r="AX977" s="155"/>
      <c r="AY977" s="155"/>
      <c r="AZ977" s="156"/>
      <c r="BA977" s="156"/>
      <c r="BB977" s="155"/>
      <c r="BC977" s="155"/>
      <c r="BD977" s="155"/>
      <c r="BE977" s="155"/>
      <c r="BF977" s="155"/>
      <c r="BG977" s="158"/>
      <c r="BH977" s="158"/>
      <c r="BI977" s="155"/>
      <c r="BJ977" s="155"/>
      <c r="BK977" s="159"/>
      <c r="BL977" s="156"/>
      <c r="BM977" s="156"/>
      <c r="BN977" s="156"/>
      <c r="BO977" s="156"/>
      <c r="BP977" s="160"/>
      <c r="BQ977" s="160"/>
      <c r="BR977" s="160"/>
      <c r="BS977" s="160"/>
    </row>
    <row r="978" spans="1:71" x14ac:dyDescent="0.25">
      <c r="A978" s="154"/>
      <c r="B978" s="155"/>
      <c r="C978" s="155"/>
      <c r="D978" s="155"/>
      <c r="E978" s="156"/>
      <c r="F978" s="156"/>
      <c r="G978" s="155"/>
      <c r="H978" s="155"/>
      <c r="I978" s="155"/>
      <c r="J978" s="157"/>
      <c r="K978" s="157"/>
      <c r="L978" s="155"/>
      <c r="M978" s="155"/>
      <c r="N978" s="155"/>
      <c r="O978" s="156"/>
      <c r="P978" s="156"/>
      <c r="Q978" s="155"/>
      <c r="R978" s="155"/>
      <c r="S978" s="155"/>
      <c r="T978" s="156"/>
      <c r="U978" s="156"/>
      <c r="V978" s="155"/>
      <c r="W978" s="155"/>
      <c r="X978" s="155"/>
      <c r="Y978" s="155"/>
      <c r="Z978" s="155"/>
      <c r="AA978" s="156"/>
      <c r="AB978" s="156"/>
      <c r="AC978" s="155"/>
      <c r="AD978" s="155"/>
      <c r="AE978" s="155"/>
      <c r="AF978" s="156"/>
      <c r="AG978" s="156"/>
      <c r="AH978" s="155"/>
      <c r="AI978" s="155"/>
      <c r="AJ978" s="155"/>
      <c r="AK978" s="156"/>
      <c r="AL978" s="156"/>
      <c r="AM978" s="155"/>
      <c r="AN978" s="155"/>
      <c r="AO978" s="155"/>
      <c r="AP978" s="156"/>
      <c r="AQ978" s="156"/>
      <c r="AR978" s="155"/>
      <c r="AS978" s="155"/>
      <c r="AT978" s="155"/>
      <c r="AU978" s="156"/>
      <c r="AV978" s="156"/>
      <c r="AW978" s="155"/>
      <c r="AX978" s="155"/>
      <c r="AY978" s="155"/>
      <c r="AZ978" s="156"/>
      <c r="BA978" s="156"/>
      <c r="BB978" s="155"/>
      <c r="BC978" s="155"/>
      <c r="BD978" s="155"/>
      <c r="BE978" s="155"/>
      <c r="BF978" s="155"/>
      <c r="BG978" s="158"/>
      <c r="BH978" s="158"/>
      <c r="BI978" s="155"/>
      <c r="BJ978" s="155"/>
      <c r="BK978" s="159"/>
      <c r="BL978" s="156"/>
      <c r="BM978" s="156"/>
      <c r="BN978" s="156"/>
      <c r="BO978" s="156"/>
      <c r="BP978" s="160"/>
      <c r="BQ978" s="160"/>
      <c r="BR978" s="160"/>
      <c r="BS978" s="160"/>
    </row>
    <row r="979" spans="1:71" x14ac:dyDescent="0.25">
      <c r="A979" s="154"/>
      <c r="B979" s="155"/>
      <c r="C979" s="155"/>
      <c r="D979" s="155"/>
      <c r="E979" s="156"/>
      <c r="F979" s="156"/>
      <c r="G979" s="155"/>
      <c r="H979" s="155"/>
      <c r="I979" s="155"/>
      <c r="J979" s="157"/>
      <c r="K979" s="157"/>
      <c r="L979" s="155"/>
      <c r="M979" s="155"/>
      <c r="N979" s="155"/>
      <c r="O979" s="156"/>
      <c r="P979" s="156"/>
      <c r="Q979" s="155"/>
      <c r="R979" s="155"/>
      <c r="S979" s="155"/>
      <c r="T979" s="156"/>
      <c r="U979" s="156"/>
      <c r="V979" s="155"/>
      <c r="W979" s="155"/>
      <c r="X979" s="155"/>
      <c r="Y979" s="155"/>
      <c r="Z979" s="155"/>
      <c r="AA979" s="156"/>
      <c r="AB979" s="156"/>
      <c r="AC979" s="155"/>
      <c r="AD979" s="155"/>
      <c r="AE979" s="155"/>
      <c r="AF979" s="156"/>
      <c r="AG979" s="156"/>
      <c r="AH979" s="155"/>
      <c r="AI979" s="155"/>
      <c r="AJ979" s="155"/>
      <c r="AK979" s="156"/>
      <c r="AL979" s="156"/>
      <c r="AM979" s="155"/>
      <c r="AN979" s="155"/>
      <c r="AO979" s="155"/>
      <c r="AP979" s="156"/>
      <c r="AQ979" s="156"/>
      <c r="AR979" s="155"/>
      <c r="AS979" s="155"/>
      <c r="AT979" s="155"/>
      <c r="AU979" s="156"/>
      <c r="AV979" s="156"/>
      <c r="AW979" s="155"/>
      <c r="AX979" s="155"/>
      <c r="AY979" s="155"/>
      <c r="AZ979" s="156"/>
      <c r="BA979" s="156"/>
      <c r="BB979" s="155"/>
      <c r="BC979" s="155"/>
      <c r="BD979" s="155"/>
      <c r="BE979" s="155"/>
      <c r="BF979" s="155"/>
      <c r="BG979" s="158"/>
      <c r="BH979" s="158"/>
      <c r="BI979" s="155"/>
      <c r="BJ979" s="155"/>
      <c r="BK979" s="159"/>
      <c r="BL979" s="156"/>
      <c r="BM979" s="156"/>
      <c r="BN979" s="156"/>
      <c r="BO979" s="156"/>
      <c r="BP979" s="160"/>
      <c r="BQ979" s="160"/>
      <c r="BR979" s="160"/>
      <c r="BS979" s="160"/>
    </row>
    <row r="980" spans="1:71" x14ac:dyDescent="0.25">
      <c r="A980" s="154"/>
      <c r="B980" s="155"/>
      <c r="C980" s="155"/>
      <c r="D980" s="155"/>
      <c r="E980" s="156"/>
      <c r="F980" s="156"/>
      <c r="G980" s="155"/>
      <c r="H980" s="155"/>
      <c r="I980" s="155"/>
      <c r="J980" s="157"/>
      <c r="K980" s="157"/>
      <c r="L980" s="155"/>
      <c r="M980" s="155"/>
      <c r="N980" s="155"/>
      <c r="O980" s="156"/>
      <c r="P980" s="156"/>
      <c r="Q980" s="155"/>
      <c r="R980" s="155"/>
      <c r="S980" s="155"/>
      <c r="T980" s="156"/>
      <c r="U980" s="156"/>
      <c r="V980" s="155"/>
      <c r="W980" s="155"/>
      <c r="X980" s="155"/>
      <c r="Y980" s="155"/>
      <c r="Z980" s="155"/>
      <c r="AA980" s="156"/>
      <c r="AB980" s="156"/>
      <c r="AC980" s="155"/>
      <c r="AD980" s="155"/>
      <c r="AE980" s="155"/>
      <c r="AF980" s="156"/>
      <c r="AG980" s="156"/>
      <c r="AH980" s="155"/>
      <c r="AI980" s="155"/>
      <c r="AJ980" s="155"/>
      <c r="AK980" s="156"/>
      <c r="AL980" s="156"/>
      <c r="AM980" s="155"/>
      <c r="AN980" s="155"/>
      <c r="AO980" s="155"/>
      <c r="AP980" s="156"/>
      <c r="AQ980" s="156"/>
      <c r="AR980" s="155"/>
      <c r="AS980" s="155"/>
      <c r="AT980" s="155"/>
      <c r="AU980" s="156"/>
      <c r="AV980" s="156"/>
      <c r="AW980" s="155"/>
      <c r="AX980" s="155"/>
      <c r="AY980" s="155"/>
      <c r="AZ980" s="156"/>
      <c r="BA980" s="156"/>
      <c r="BB980" s="155"/>
      <c r="BC980" s="155"/>
      <c r="BD980" s="155"/>
      <c r="BE980" s="155"/>
      <c r="BF980" s="155"/>
      <c r="BG980" s="158"/>
      <c r="BH980" s="158"/>
      <c r="BI980" s="155"/>
      <c r="BJ980" s="155"/>
      <c r="BK980" s="159"/>
      <c r="BL980" s="156"/>
      <c r="BM980" s="156"/>
      <c r="BN980" s="156"/>
      <c r="BO980" s="156"/>
      <c r="BP980" s="160"/>
      <c r="BQ980" s="160"/>
      <c r="BR980" s="160"/>
      <c r="BS980" s="160"/>
    </row>
    <row r="981" spans="1:71" x14ac:dyDescent="0.25">
      <c r="A981" s="154"/>
      <c r="B981" s="155"/>
      <c r="C981" s="155"/>
      <c r="D981" s="155"/>
      <c r="E981" s="156"/>
      <c r="F981" s="156"/>
      <c r="G981" s="155"/>
      <c r="H981" s="155"/>
      <c r="I981" s="155"/>
      <c r="J981" s="157"/>
      <c r="K981" s="157"/>
      <c r="L981" s="155"/>
      <c r="M981" s="155"/>
      <c r="N981" s="155"/>
      <c r="O981" s="156"/>
      <c r="P981" s="156"/>
      <c r="Q981" s="155"/>
      <c r="R981" s="155"/>
      <c r="S981" s="155"/>
      <c r="T981" s="156"/>
      <c r="U981" s="156"/>
      <c r="V981" s="155"/>
      <c r="W981" s="155"/>
      <c r="X981" s="155"/>
      <c r="Y981" s="155"/>
      <c r="Z981" s="155"/>
      <c r="AA981" s="156"/>
      <c r="AB981" s="156"/>
      <c r="AC981" s="155"/>
      <c r="AD981" s="155"/>
      <c r="AE981" s="155"/>
      <c r="AF981" s="156"/>
      <c r="AG981" s="156"/>
      <c r="AH981" s="155"/>
      <c r="AI981" s="155"/>
      <c r="AJ981" s="155"/>
      <c r="AK981" s="156"/>
      <c r="AL981" s="156"/>
      <c r="AM981" s="155"/>
      <c r="AN981" s="155"/>
      <c r="AO981" s="155"/>
      <c r="AP981" s="156"/>
      <c r="AQ981" s="156"/>
      <c r="AR981" s="155"/>
      <c r="AS981" s="155"/>
      <c r="AT981" s="155"/>
      <c r="AU981" s="156"/>
      <c r="AV981" s="156"/>
      <c r="AW981" s="155"/>
      <c r="AX981" s="155"/>
      <c r="AY981" s="155"/>
      <c r="AZ981" s="156"/>
      <c r="BA981" s="156"/>
      <c r="BB981" s="155"/>
      <c r="BC981" s="155"/>
      <c r="BD981" s="155"/>
      <c r="BE981" s="155"/>
      <c r="BF981" s="155"/>
      <c r="BG981" s="158"/>
      <c r="BH981" s="158"/>
      <c r="BI981" s="155"/>
      <c r="BJ981" s="155"/>
      <c r="BK981" s="159"/>
      <c r="BL981" s="156"/>
      <c r="BM981" s="156"/>
      <c r="BN981" s="156"/>
      <c r="BO981" s="156"/>
      <c r="BP981" s="160"/>
      <c r="BQ981" s="160"/>
      <c r="BR981" s="160"/>
      <c r="BS981" s="160"/>
    </row>
    <row r="982" spans="1:71" x14ac:dyDescent="0.25">
      <c r="A982" s="154"/>
      <c r="B982" s="155"/>
      <c r="C982" s="155"/>
      <c r="D982" s="155"/>
      <c r="E982" s="156"/>
      <c r="F982" s="156"/>
      <c r="G982" s="155"/>
      <c r="H982" s="155"/>
      <c r="I982" s="155"/>
      <c r="J982" s="157"/>
      <c r="K982" s="157"/>
      <c r="L982" s="155"/>
      <c r="M982" s="155"/>
      <c r="N982" s="155"/>
      <c r="O982" s="156"/>
      <c r="P982" s="156"/>
      <c r="Q982" s="155"/>
      <c r="R982" s="155"/>
      <c r="S982" s="155"/>
      <c r="T982" s="156"/>
      <c r="U982" s="156"/>
      <c r="V982" s="155"/>
      <c r="W982" s="155"/>
      <c r="X982" s="155"/>
      <c r="Y982" s="155"/>
      <c r="Z982" s="155"/>
      <c r="AA982" s="156"/>
      <c r="AB982" s="156"/>
      <c r="AC982" s="155"/>
      <c r="AD982" s="155"/>
      <c r="AE982" s="155"/>
      <c r="AF982" s="156"/>
      <c r="AG982" s="156"/>
      <c r="AH982" s="155"/>
      <c r="AI982" s="155"/>
      <c r="AJ982" s="155"/>
      <c r="AK982" s="156"/>
      <c r="AL982" s="156"/>
      <c r="AM982" s="155"/>
      <c r="AN982" s="155"/>
      <c r="AO982" s="155"/>
      <c r="AP982" s="156"/>
      <c r="AQ982" s="156"/>
      <c r="AR982" s="155"/>
      <c r="AS982" s="155"/>
      <c r="AT982" s="155"/>
      <c r="AU982" s="156"/>
      <c r="AV982" s="156"/>
      <c r="AW982" s="155"/>
      <c r="AX982" s="155"/>
      <c r="AY982" s="155"/>
      <c r="AZ982" s="156"/>
      <c r="BA982" s="156"/>
      <c r="BB982" s="155"/>
      <c r="BC982" s="155"/>
      <c r="BD982" s="155"/>
      <c r="BE982" s="155"/>
      <c r="BF982" s="155"/>
      <c r="BG982" s="158"/>
      <c r="BH982" s="158"/>
      <c r="BI982" s="155"/>
      <c r="BJ982" s="155"/>
      <c r="BK982" s="159"/>
      <c r="BL982" s="156"/>
      <c r="BM982" s="156"/>
      <c r="BN982" s="156"/>
      <c r="BO982" s="156"/>
      <c r="BP982" s="160"/>
      <c r="BQ982" s="160"/>
      <c r="BR982" s="160"/>
      <c r="BS982" s="160"/>
    </row>
    <row r="983" spans="1:71" x14ac:dyDescent="0.25">
      <c r="A983" s="154"/>
      <c r="B983" s="155"/>
      <c r="C983" s="155"/>
      <c r="D983" s="155"/>
      <c r="E983" s="156"/>
      <c r="F983" s="156"/>
      <c r="G983" s="155"/>
      <c r="H983" s="155"/>
      <c r="I983" s="155"/>
      <c r="J983" s="157"/>
      <c r="K983" s="157"/>
      <c r="L983" s="155"/>
      <c r="M983" s="155"/>
      <c r="N983" s="155"/>
      <c r="O983" s="156"/>
      <c r="P983" s="156"/>
      <c r="Q983" s="155"/>
      <c r="R983" s="155"/>
      <c r="S983" s="155"/>
      <c r="T983" s="156"/>
      <c r="U983" s="156"/>
      <c r="V983" s="155"/>
      <c r="W983" s="155"/>
      <c r="X983" s="155"/>
      <c r="Y983" s="155"/>
      <c r="Z983" s="155"/>
      <c r="AA983" s="156"/>
      <c r="AB983" s="156"/>
      <c r="AC983" s="155"/>
      <c r="AD983" s="155"/>
      <c r="AE983" s="155"/>
      <c r="AF983" s="156"/>
      <c r="AG983" s="156"/>
      <c r="AH983" s="155"/>
      <c r="AI983" s="155"/>
      <c r="AJ983" s="155"/>
      <c r="AK983" s="156"/>
      <c r="AL983" s="156"/>
      <c r="AM983" s="155"/>
      <c r="AN983" s="155"/>
      <c r="AO983" s="155"/>
      <c r="AP983" s="156"/>
      <c r="AQ983" s="156"/>
      <c r="AR983" s="155"/>
      <c r="AS983" s="155"/>
      <c r="AT983" s="155"/>
      <c r="AU983" s="156"/>
      <c r="AV983" s="156"/>
      <c r="AW983" s="155"/>
      <c r="AX983" s="155"/>
      <c r="AY983" s="155"/>
      <c r="AZ983" s="156"/>
      <c r="BA983" s="156"/>
      <c r="BB983" s="155"/>
      <c r="BC983" s="155"/>
      <c r="BD983" s="155"/>
      <c r="BE983" s="155"/>
      <c r="BF983" s="155"/>
      <c r="BG983" s="158"/>
      <c r="BH983" s="158"/>
      <c r="BI983" s="155"/>
      <c r="BJ983" s="155"/>
      <c r="BK983" s="159"/>
      <c r="BL983" s="156"/>
      <c r="BM983" s="156"/>
      <c r="BN983" s="156"/>
      <c r="BO983" s="156"/>
      <c r="BP983" s="160"/>
      <c r="BQ983" s="160"/>
      <c r="BR983" s="160"/>
      <c r="BS983" s="160"/>
    </row>
    <row r="984" spans="1:71" x14ac:dyDescent="0.25">
      <c r="A984" s="154"/>
      <c r="B984" s="155"/>
      <c r="C984" s="155"/>
      <c r="D984" s="155"/>
      <c r="E984" s="156"/>
      <c r="F984" s="156"/>
      <c r="G984" s="155"/>
      <c r="H984" s="155"/>
      <c r="I984" s="155"/>
      <c r="J984" s="157"/>
      <c r="K984" s="157"/>
      <c r="L984" s="155"/>
      <c r="M984" s="155"/>
      <c r="N984" s="155"/>
      <c r="O984" s="156"/>
      <c r="P984" s="156"/>
      <c r="Q984" s="155"/>
      <c r="R984" s="155"/>
      <c r="S984" s="155"/>
      <c r="T984" s="156"/>
      <c r="U984" s="156"/>
      <c r="V984" s="155"/>
      <c r="W984" s="155"/>
      <c r="X984" s="155"/>
      <c r="Y984" s="155"/>
      <c r="Z984" s="155"/>
      <c r="AA984" s="156"/>
      <c r="AB984" s="156"/>
      <c r="AC984" s="155"/>
      <c r="AD984" s="155"/>
      <c r="AE984" s="155"/>
      <c r="AF984" s="156"/>
      <c r="AG984" s="156"/>
      <c r="AH984" s="155"/>
      <c r="AI984" s="155"/>
      <c r="AJ984" s="155"/>
      <c r="AK984" s="156"/>
      <c r="AL984" s="156"/>
      <c r="AM984" s="155"/>
      <c r="AN984" s="155"/>
      <c r="AO984" s="155"/>
      <c r="AP984" s="156"/>
      <c r="AQ984" s="156"/>
      <c r="AR984" s="155"/>
      <c r="AS984" s="155"/>
      <c r="AT984" s="155"/>
      <c r="AU984" s="156"/>
      <c r="AV984" s="156"/>
      <c r="AW984" s="155"/>
      <c r="AX984" s="155"/>
      <c r="AY984" s="155"/>
      <c r="AZ984" s="156"/>
      <c r="BA984" s="156"/>
      <c r="BB984" s="155"/>
      <c r="BC984" s="155"/>
      <c r="BD984" s="155"/>
      <c r="BE984" s="155"/>
      <c r="BF984" s="155"/>
      <c r="BG984" s="158"/>
      <c r="BH984" s="158"/>
      <c r="BI984" s="155"/>
      <c r="BJ984" s="155"/>
      <c r="BK984" s="159"/>
      <c r="BL984" s="156"/>
      <c r="BM984" s="156"/>
      <c r="BN984" s="156"/>
      <c r="BO984" s="156"/>
      <c r="BP984" s="160"/>
      <c r="BQ984" s="160"/>
      <c r="BR984" s="160"/>
      <c r="BS984" s="160"/>
    </row>
    <row r="985" spans="1:71" x14ac:dyDescent="0.25">
      <c r="A985" s="154"/>
      <c r="B985" s="155"/>
      <c r="C985" s="155"/>
      <c r="D985" s="155"/>
      <c r="E985" s="156"/>
      <c r="F985" s="156"/>
      <c r="G985" s="155"/>
      <c r="H985" s="155"/>
      <c r="I985" s="155"/>
      <c r="J985" s="157"/>
      <c r="K985" s="157"/>
      <c r="L985" s="155"/>
      <c r="M985" s="155"/>
      <c r="N985" s="155"/>
      <c r="O985" s="156"/>
      <c r="P985" s="156"/>
      <c r="Q985" s="155"/>
      <c r="R985" s="155"/>
      <c r="S985" s="155"/>
      <c r="T985" s="156"/>
      <c r="U985" s="156"/>
      <c r="V985" s="155"/>
      <c r="W985" s="155"/>
      <c r="X985" s="155"/>
      <c r="Y985" s="155"/>
      <c r="Z985" s="155"/>
      <c r="AA985" s="156"/>
      <c r="AB985" s="156"/>
      <c r="AC985" s="155"/>
      <c r="AD985" s="155"/>
      <c r="AE985" s="155"/>
      <c r="AF985" s="156"/>
      <c r="AG985" s="156"/>
      <c r="AH985" s="155"/>
      <c r="AI985" s="155"/>
      <c r="AJ985" s="155"/>
      <c r="AK985" s="156"/>
      <c r="AL985" s="156"/>
      <c r="AM985" s="155"/>
      <c r="AN985" s="155"/>
      <c r="AO985" s="155"/>
      <c r="AP985" s="156"/>
      <c r="AQ985" s="156"/>
      <c r="AR985" s="155"/>
      <c r="AS985" s="155"/>
      <c r="AT985" s="155"/>
      <c r="AU985" s="156"/>
      <c r="AV985" s="156"/>
      <c r="AW985" s="155"/>
      <c r="AX985" s="155"/>
      <c r="AY985" s="155"/>
      <c r="AZ985" s="156"/>
      <c r="BA985" s="156"/>
      <c r="BB985" s="155"/>
      <c r="BC985" s="155"/>
      <c r="BD985" s="155"/>
      <c r="BE985" s="155"/>
      <c r="BF985" s="155"/>
      <c r="BG985" s="158"/>
      <c r="BH985" s="158"/>
      <c r="BI985" s="155"/>
      <c r="BJ985" s="155"/>
      <c r="BK985" s="159"/>
      <c r="BL985" s="156"/>
      <c r="BM985" s="156"/>
      <c r="BN985" s="156"/>
      <c r="BO985" s="156"/>
      <c r="BP985" s="160"/>
      <c r="BQ985" s="160"/>
      <c r="BR985" s="160"/>
      <c r="BS985" s="160"/>
    </row>
    <row r="986" spans="1:71" x14ac:dyDescent="0.25">
      <c r="A986" s="154"/>
      <c r="B986" s="155"/>
      <c r="C986" s="155"/>
      <c r="D986" s="155"/>
      <c r="E986" s="156"/>
      <c r="F986" s="156"/>
      <c r="G986" s="155"/>
      <c r="H986" s="155"/>
      <c r="I986" s="155"/>
      <c r="J986" s="157"/>
      <c r="K986" s="157"/>
      <c r="L986" s="155"/>
      <c r="M986" s="155"/>
      <c r="N986" s="155"/>
      <c r="O986" s="156"/>
      <c r="P986" s="156"/>
      <c r="Q986" s="155"/>
      <c r="R986" s="155"/>
      <c r="S986" s="155"/>
      <c r="T986" s="156"/>
      <c r="U986" s="156"/>
      <c r="V986" s="155"/>
      <c r="W986" s="155"/>
      <c r="X986" s="155"/>
      <c r="Y986" s="155"/>
      <c r="Z986" s="155"/>
      <c r="AA986" s="156"/>
      <c r="AB986" s="156"/>
      <c r="AC986" s="155"/>
      <c r="AD986" s="155"/>
      <c r="AE986" s="155"/>
      <c r="AF986" s="156"/>
      <c r="AG986" s="156"/>
      <c r="AH986" s="155"/>
      <c r="AI986" s="155"/>
      <c r="AJ986" s="155"/>
      <c r="AK986" s="156"/>
      <c r="AL986" s="156"/>
      <c r="AM986" s="155"/>
      <c r="AN986" s="155"/>
      <c r="AO986" s="155"/>
      <c r="AP986" s="156"/>
      <c r="AQ986" s="156"/>
      <c r="AR986" s="155"/>
      <c r="AS986" s="155"/>
      <c r="AT986" s="155"/>
      <c r="AU986" s="156"/>
      <c r="AV986" s="156"/>
      <c r="AW986" s="155"/>
      <c r="AX986" s="155"/>
      <c r="AY986" s="155"/>
      <c r="AZ986" s="156"/>
      <c r="BA986" s="156"/>
      <c r="BB986" s="155"/>
      <c r="BC986" s="155"/>
      <c r="BD986" s="155"/>
      <c r="BE986" s="155"/>
      <c r="BF986" s="155"/>
      <c r="BG986" s="158"/>
      <c r="BH986" s="158"/>
      <c r="BI986" s="155"/>
      <c r="BJ986" s="155"/>
      <c r="BK986" s="159"/>
      <c r="BL986" s="156"/>
      <c r="BM986" s="156"/>
      <c r="BN986" s="156"/>
      <c r="BO986" s="156"/>
      <c r="BP986" s="160"/>
      <c r="BQ986" s="160"/>
      <c r="BR986" s="160"/>
      <c r="BS986" s="160"/>
    </row>
    <row r="987" spans="1:71" x14ac:dyDescent="0.25">
      <c r="A987" s="154"/>
      <c r="B987" s="155"/>
      <c r="C987" s="155"/>
      <c r="D987" s="155"/>
      <c r="E987" s="156"/>
      <c r="F987" s="156"/>
      <c r="G987" s="155"/>
      <c r="H987" s="155"/>
      <c r="I987" s="155"/>
      <c r="J987" s="157"/>
      <c r="K987" s="157"/>
      <c r="L987" s="155"/>
      <c r="M987" s="155"/>
      <c r="N987" s="155"/>
      <c r="O987" s="156"/>
      <c r="P987" s="156"/>
      <c r="Q987" s="155"/>
      <c r="R987" s="155"/>
      <c r="S987" s="155"/>
      <c r="T987" s="156"/>
      <c r="U987" s="156"/>
      <c r="V987" s="155"/>
      <c r="W987" s="155"/>
      <c r="X987" s="155"/>
      <c r="Y987" s="155"/>
      <c r="Z987" s="155"/>
      <c r="AA987" s="156"/>
      <c r="AB987" s="156"/>
      <c r="AC987" s="155"/>
      <c r="AD987" s="155"/>
      <c r="AE987" s="155"/>
      <c r="AF987" s="156"/>
      <c r="AG987" s="156"/>
      <c r="AH987" s="155"/>
      <c r="AI987" s="155"/>
      <c r="AJ987" s="155"/>
      <c r="AK987" s="156"/>
      <c r="AL987" s="156"/>
      <c r="AM987" s="155"/>
      <c r="AN987" s="155"/>
      <c r="AO987" s="155"/>
      <c r="AP987" s="156"/>
      <c r="AQ987" s="156"/>
      <c r="AR987" s="155"/>
      <c r="AS987" s="155"/>
      <c r="AT987" s="155"/>
      <c r="AU987" s="156"/>
      <c r="AV987" s="156"/>
      <c r="AW987" s="155"/>
      <c r="AX987" s="155"/>
      <c r="AY987" s="155"/>
      <c r="AZ987" s="156"/>
      <c r="BA987" s="156"/>
      <c r="BB987" s="155"/>
      <c r="BC987" s="155"/>
      <c r="BD987" s="155"/>
      <c r="BE987" s="155"/>
      <c r="BF987" s="155"/>
      <c r="BG987" s="158"/>
      <c r="BH987" s="158"/>
      <c r="BI987" s="155"/>
      <c r="BJ987" s="155"/>
      <c r="BK987" s="159"/>
      <c r="BL987" s="156"/>
      <c r="BM987" s="156"/>
      <c r="BN987" s="156"/>
      <c r="BO987" s="156"/>
      <c r="BP987" s="160"/>
      <c r="BQ987" s="160"/>
      <c r="BR987" s="160"/>
      <c r="BS987" s="160"/>
    </row>
    <row r="988" spans="1:71" x14ac:dyDescent="0.25">
      <c r="A988" s="154"/>
      <c r="B988" s="155"/>
      <c r="C988" s="155"/>
      <c r="D988" s="155"/>
      <c r="E988" s="156"/>
      <c r="F988" s="156"/>
      <c r="G988" s="155"/>
      <c r="H988" s="155"/>
      <c r="I988" s="155"/>
      <c r="J988" s="157"/>
      <c r="K988" s="157"/>
      <c r="L988" s="155"/>
      <c r="M988" s="155"/>
      <c r="N988" s="155"/>
      <c r="O988" s="156"/>
      <c r="P988" s="156"/>
      <c r="Q988" s="155"/>
      <c r="R988" s="155"/>
      <c r="S988" s="155"/>
      <c r="T988" s="156"/>
      <c r="U988" s="156"/>
      <c r="V988" s="155"/>
      <c r="W988" s="155"/>
      <c r="X988" s="155"/>
      <c r="Y988" s="155"/>
      <c r="Z988" s="155"/>
      <c r="AA988" s="156"/>
      <c r="AB988" s="156"/>
      <c r="AC988" s="155"/>
      <c r="AD988" s="155"/>
      <c r="AE988" s="155"/>
      <c r="AF988" s="156"/>
      <c r="AG988" s="156"/>
      <c r="AH988" s="155"/>
      <c r="AI988" s="155"/>
      <c r="AJ988" s="155"/>
      <c r="AK988" s="156"/>
      <c r="AL988" s="156"/>
      <c r="AM988" s="155"/>
      <c r="AN988" s="155"/>
      <c r="AO988" s="155"/>
      <c r="AP988" s="156"/>
      <c r="AQ988" s="156"/>
      <c r="AR988" s="155"/>
      <c r="AS988" s="155"/>
      <c r="AT988" s="155"/>
      <c r="AU988" s="156"/>
      <c r="AV988" s="156"/>
      <c r="AW988" s="155"/>
      <c r="AX988" s="155"/>
      <c r="AY988" s="155"/>
      <c r="AZ988" s="156"/>
      <c r="BA988" s="156"/>
      <c r="BB988" s="155"/>
      <c r="BC988" s="155"/>
      <c r="BD988" s="155"/>
      <c r="BE988" s="155"/>
      <c r="BF988" s="155"/>
      <c r="BG988" s="158"/>
      <c r="BH988" s="158"/>
      <c r="BI988" s="155"/>
      <c r="BJ988" s="155"/>
      <c r="BK988" s="159"/>
      <c r="BL988" s="156"/>
      <c r="BM988" s="156"/>
      <c r="BN988" s="156"/>
      <c r="BO988" s="156"/>
      <c r="BP988" s="160"/>
      <c r="BQ988" s="160"/>
      <c r="BR988" s="160"/>
      <c r="BS988" s="160"/>
    </row>
  </sheetData>
  <mergeCells count="22">
    <mergeCell ref="BI4:BM4"/>
    <mergeCell ref="BN4:BN5"/>
    <mergeCell ref="BO4:BO5"/>
    <mergeCell ref="BP4:BQ4"/>
    <mergeCell ref="A3:A5"/>
    <mergeCell ref="B3:AB3"/>
    <mergeCell ref="AH3:BH3"/>
    <mergeCell ref="BP3:BS3"/>
    <mergeCell ref="B4:F4"/>
    <mergeCell ref="G4:K4"/>
    <mergeCell ref="L4:P4"/>
    <mergeCell ref="BR4:BS4"/>
    <mergeCell ref="AM4:AQ4"/>
    <mergeCell ref="AR4:AV4"/>
    <mergeCell ref="AW4:BA4"/>
    <mergeCell ref="BB4:BC4"/>
    <mergeCell ref="BD4:BH4"/>
    <mergeCell ref="Q4:U4"/>
    <mergeCell ref="V4:W4"/>
    <mergeCell ref="X4:AB4"/>
    <mergeCell ref="AC4:AG4"/>
    <mergeCell ref="AH4:AL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F707-4017-4D28-A66F-3339D46F52CF}">
  <dimension ref="A1:F180"/>
  <sheetViews>
    <sheetView workbookViewId="0">
      <selection activeCell="F2" sqref="F2:F179"/>
    </sheetView>
  </sheetViews>
  <sheetFormatPr defaultRowHeight="13.2" x14ac:dyDescent="0.25"/>
  <cols>
    <col min="1" max="1" width="13.44140625" bestFit="1" customWidth="1"/>
    <col min="2" max="2" width="12.33203125" customWidth="1"/>
    <col min="3" max="3" width="14" customWidth="1"/>
    <col min="4" max="4" width="20.21875" customWidth="1"/>
    <col min="5" max="5" width="19.21875" customWidth="1"/>
  </cols>
  <sheetData>
    <row r="1" spans="1:6" x14ac:dyDescent="0.25">
      <c r="A1" s="214" t="s">
        <v>0</v>
      </c>
      <c r="B1" s="219" t="s">
        <v>362</v>
      </c>
      <c r="C1" s="219" t="s">
        <v>363</v>
      </c>
      <c r="D1" s="219" t="s">
        <v>513</v>
      </c>
      <c r="E1" s="219" t="s">
        <v>514</v>
      </c>
    </row>
    <row r="2" spans="1:6" ht="15" x14ac:dyDescent="0.25">
      <c r="A2" s="215">
        <v>44260</v>
      </c>
      <c r="B2" s="220">
        <v>2413615</v>
      </c>
      <c r="C2" s="220">
        <v>1114537</v>
      </c>
      <c r="D2" s="220"/>
      <c r="E2" s="220"/>
      <c r="F2" s="85">
        <v>0.3064421052631579</v>
      </c>
    </row>
    <row r="3" spans="1:6" ht="15" x14ac:dyDescent="0.25">
      <c r="A3" s="216">
        <v>44261</v>
      </c>
      <c r="B3" s="220">
        <v>2552265</v>
      </c>
      <c r="C3" s="220">
        <v>1130524</v>
      </c>
      <c r="D3" s="220">
        <f>B3-B2</f>
        <v>138650</v>
      </c>
      <c r="E3" s="220">
        <f>C3-C2</f>
        <v>15987</v>
      </c>
      <c r="F3" s="85">
        <v>0.30173332042219425</v>
      </c>
    </row>
    <row r="4" spans="1:6" ht="15" x14ac:dyDescent="0.25">
      <c r="A4" s="216">
        <v>44262</v>
      </c>
      <c r="B4" s="220">
        <v>2888757</v>
      </c>
      <c r="C4" s="220">
        <v>1133787</v>
      </c>
      <c r="D4" s="220">
        <f t="shared" ref="D4:D67" si="0">B4-B3</f>
        <v>336492</v>
      </c>
      <c r="E4" s="220">
        <f t="shared" ref="E4:E67" si="1">C4-C3</f>
        <v>3263</v>
      </c>
      <c r="F4" s="221">
        <v>0.24835164835164836</v>
      </c>
    </row>
    <row r="5" spans="1:6" ht="15" x14ac:dyDescent="0.25">
      <c r="A5" s="216">
        <v>44263</v>
      </c>
      <c r="B5" s="220">
        <v>3098025</v>
      </c>
      <c r="C5" s="220">
        <v>1158432</v>
      </c>
      <c r="D5" s="220">
        <f t="shared" si="0"/>
        <v>209268</v>
      </c>
      <c r="E5" s="220">
        <f t="shared" si="1"/>
        <v>24645</v>
      </c>
      <c r="F5" s="221">
        <v>0.22063752875451856</v>
      </c>
    </row>
    <row r="6" spans="1:6" ht="15" x14ac:dyDescent="0.25">
      <c r="A6" s="216">
        <v>44264</v>
      </c>
      <c r="B6" s="220">
        <v>3337026</v>
      </c>
      <c r="C6" s="220">
        <v>1197772</v>
      </c>
      <c r="D6" s="220">
        <f t="shared" si="0"/>
        <v>239001</v>
      </c>
      <c r="E6" s="220">
        <f t="shared" si="1"/>
        <v>39340</v>
      </c>
      <c r="F6" s="221">
        <v>0.24693658591676548</v>
      </c>
    </row>
    <row r="7" spans="1:6" ht="15" x14ac:dyDescent="0.25">
      <c r="A7" s="216">
        <v>44265</v>
      </c>
      <c r="B7" s="220">
        <v>3572519</v>
      </c>
      <c r="C7" s="220">
        <v>1249822</v>
      </c>
      <c r="D7" s="220">
        <f t="shared" si="0"/>
        <v>235493</v>
      </c>
      <c r="E7" s="220">
        <f t="shared" si="1"/>
        <v>52050</v>
      </c>
      <c r="F7" s="221">
        <v>0.23554533508541392</v>
      </c>
    </row>
    <row r="8" spans="1:6" ht="15" x14ac:dyDescent="0.25">
      <c r="A8" s="216">
        <v>44266</v>
      </c>
      <c r="B8" s="220">
        <v>3696059</v>
      </c>
      <c r="C8" s="220">
        <v>1295615</v>
      </c>
      <c r="D8" s="220">
        <f t="shared" si="0"/>
        <v>123540</v>
      </c>
      <c r="E8" s="220">
        <f t="shared" si="1"/>
        <v>45793</v>
      </c>
      <c r="F8" s="221">
        <v>0.18651280201947348</v>
      </c>
    </row>
    <row r="9" spans="1:6" ht="15" x14ac:dyDescent="0.25">
      <c r="A9" s="216">
        <v>44267</v>
      </c>
      <c r="B9" s="220">
        <v>3696059</v>
      </c>
      <c r="C9" s="220">
        <v>1295615</v>
      </c>
      <c r="D9" s="220">
        <f t="shared" si="0"/>
        <v>0</v>
      </c>
      <c r="E9" s="220">
        <f t="shared" si="1"/>
        <v>0</v>
      </c>
      <c r="F9" s="221">
        <v>0.22763713080168776</v>
      </c>
    </row>
    <row r="10" spans="1:6" ht="15" x14ac:dyDescent="0.25">
      <c r="A10" s="216">
        <v>44268</v>
      </c>
      <c r="B10" s="220">
        <v>3985596</v>
      </c>
      <c r="C10" s="220">
        <v>1454836</v>
      </c>
      <c r="D10" s="220">
        <f t="shared" si="0"/>
        <v>289537</v>
      </c>
      <c r="E10" s="220">
        <f t="shared" si="1"/>
        <v>159221</v>
      </c>
      <c r="F10" s="221">
        <v>0.29382165605095539</v>
      </c>
    </row>
    <row r="11" spans="1:6" ht="15" x14ac:dyDescent="0.25">
      <c r="A11" s="216">
        <v>44269</v>
      </c>
      <c r="B11" s="220">
        <v>4020124</v>
      </c>
      <c r="C11" s="220">
        <v>1460222</v>
      </c>
      <c r="D11" s="220">
        <f t="shared" si="0"/>
        <v>34528</v>
      </c>
      <c r="E11" s="220">
        <f t="shared" si="1"/>
        <v>5386</v>
      </c>
      <c r="F11" s="221">
        <v>0.18213986404693175</v>
      </c>
    </row>
    <row r="12" spans="1:6" ht="15" x14ac:dyDescent="0.25">
      <c r="A12" s="216">
        <v>44270</v>
      </c>
      <c r="B12" s="220">
        <v>4166862</v>
      </c>
      <c r="C12" s="220">
        <v>1572786</v>
      </c>
      <c r="D12" s="220">
        <f t="shared" si="0"/>
        <v>146738</v>
      </c>
      <c r="E12" s="220">
        <f t="shared" si="1"/>
        <v>112564</v>
      </c>
      <c r="F12" s="221">
        <v>0.20746495879048768</v>
      </c>
    </row>
    <row r="13" spans="1:6" ht="15" x14ac:dyDescent="0.25">
      <c r="A13" s="216">
        <v>44271</v>
      </c>
      <c r="B13" s="220">
        <v>4468829</v>
      </c>
      <c r="C13" s="220">
        <v>1716747</v>
      </c>
      <c r="D13" s="220">
        <f t="shared" si="0"/>
        <v>301967</v>
      </c>
      <c r="E13" s="220">
        <f t="shared" si="1"/>
        <v>143961</v>
      </c>
      <c r="F13" s="221">
        <v>0.34826479131631249</v>
      </c>
    </row>
    <row r="14" spans="1:6" ht="15" x14ac:dyDescent="0.25">
      <c r="A14" s="216">
        <v>44272</v>
      </c>
      <c r="B14" s="220">
        <v>4705248</v>
      </c>
      <c r="C14" s="220">
        <v>1876140</v>
      </c>
      <c r="D14" s="220">
        <f t="shared" si="0"/>
        <v>236419</v>
      </c>
      <c r="E14" s="220">
        <f t="shared" si="1"/>
        <v>159393</v>
      </c>
      <c r="F14" s="221">
        <v>0.215791145943656</v>
      </c>
    </row>
    <row r="15" spans="1:6" ht="15" x14ac:dyDescent="0.25">
      <c r="A15" s="216">
        <v>44273</v>
      </c>
      <c r="B15" s="220">
        <v>4959063</v>
      </c>
      <c r="C15" s="220">
        <v>2068400</v>
      </c>
      <c r="D15" s="220">
        <f t="shared" si="0"/>
        <v>253815</v>
      </c>
      <c r="E15" s="220">
        <f t="shared" si="1"/>
        <v>192260</v>
      </c>
      <c r="F15" s="221">
        <v>0.21590592819370999</v>
      </c>
    </row>
    <row r="16" spans="1:6" ht="15" x14ac:dyDescent="0.25">
      <c r="A16" s="216">
        <v>44274</v>
      </c>
      <c r="B16" s="220">
        <v>5124948</v>
      </c>
      <c r="C16" s="220">
        <v>2221200</v>
      </c>
      <c r="D16" s="220">
        <f t="shared" si="0"/>
        <v>165885</v>
      </c>
      <c r="E16" s="220">
        <f t="shared" si="1"/>
        <v>152800</v>
      </c>
      <c r="F16" s="221">
        <v>0.21640615533745305</v>
      </c>
    </row>
    <row r="17" spans="1:6" ht="15" x14ac:dyDescent="0.25">
      <c r="A17" s="216">
        <v>44275</v>
      </c>
      <c r="B17" s="220">
        <v>5124948</v>
      </c>
      <c r="C17" s="220">
        <v>2221200</v>
      </c>
      <c r="D17" s="220">
        <f t="shared" si="0"/>
        <v>0</v>
      </c>
      <c r="E17" s="220">
        <f t="shared" si="1"/>
        <v>0</v>
      </c>
      <c r="F17" s="221">
        <v>0.23693353474320242</v>
      </c>
    </row>
    <row r="18" spans="1:6" ht="15" x14ac:dyDescent="0.25">
      <c r="A18" s="216">
        <v>44276</v>
      </c>
      <c r="B18" s="220">
        <v>5567280</v>
      </c>
      <c r="C18" s="220">
        <v>2312596</v>
      </c>
      <c r="D18" s="220">
        <f t="shared" si="0"/>
        <v>442332</v>
      </c>
      <c r="E18" s="220">
        <f t="shared" si="1"/>
        <v>91396</v>
      </c>
      <c r="F18" s="221">
        <v>0.19182476399963339</v>
      </c>
    </row>
    <row r="19" spans="1:6" ht="15" x14ac:dyDescent="0.25">
      <c r="A19" s="216">
        <v>44277</v>
      </c>
      <c r="B19" s="220">
        <v>5683199</v>
      </c>
      <c r="C19" s="220">
        <v>2491550</v>
      </c>
      <c r="D19" s="220">
        <f t="shared" si="0"/>
        <v>115919</v>
      </c>
      <c r="E19" s="220">
        <f t="shared" si="1"/>
        <v>178954</v>
      </c>
      <c r="F19" s="221">
        <v>0.22669814194334451</v>
      </c>
    </row>
    <row r="20" spans="1:6" ht="15" x14ac:dyDescent="0.25">
      <c r="A20" s="216">
        <v>44278</v>
      </c>
      <c r="B20" s="220">
        <v>5978251</v>
      </c>
      <c r="C20" s="220">
        <v>2709545</v>
      </c>
      <c r="D20" s="220">
        <f t="shared" si="0"/>
        <v>295052</v>
      </c>
      <c r="E20" s="220">
        <f t="shared" si="1"/>
        <v>217995</v>
      </c>
      <c r="F20" s="221">
        <v>0.20541749502982107</v>
      </c>
    </row>
    <row r="21" spans="1:6" ht="15" x14ac:dyDescent="0.25">
      <c r="A21" s="216">
        <v>44279</v>
      </c>
      <c r="B21" s="220">
        <v>6389837</v>
      </c>
      <c r="C21" s="220">
        <v>2941016</v>
      </c>
      <c r="D21" s="220">
        <f t="shared" si="0"/>
        <v>411586</v>
      </c>
      <c r="E21" s="220">
        <f t="shared" si="1"/>
        <v>231471</v>
      </c>
      <c r="F21" s="221">
        <v>0.20881466599698645</v>
      </c>
    </row>
    <row r="22" spans="1:6" ht="15" x14ac:dyDescent="0.25">
      <c r="A22" s="216">
        <v>44280</v>
      </c>
      <c r="B22" s="220">
        <v>6730456</v>
      </c>
      <c r="C22" s="220">
        <v>3015190</v>
      </c>
      <c r="D22" s="220">
        <f t="shared" si="0"/>
        <v>340619</v>
      </c>
      <c r="E22" s="220">
        <f t="shared" si="1"/>
        <v>74174</v>
      </c>
      <c r="F22" s="221">
        <v>0.1874006116207951</v>
      </c>
    </row>
    <row r="23" spans="1:6" ht="15" x14ac:dyDescent="0.25">
      <c r="A23" s="216">
        <v>44281</v>
      </c>
      <c r="B23" s="220">
        <v>6990082</v>
      </c>
      <c r="C23" s="220">
        <v>3152612</v>
      </c>
      <c r="D23" s="220">
        <f t="shared" si="0"/>
        <v>259626</v>
      </c>
      <c r="E23" s="220">
        <f t="shared" si="1"/>
        <v>137422</v>
      </c>
      <c r="F23" s="221">
        <v>0.19498623908100993</v>
      </c>
    </row>
    <row r="24" spans="1:6" ht="15" x14ac:dyDescent="0.25">
      <c r="A24" s="216">
        <v>44282</v>
      </c>
      <c r="B24" s="220">
        <v>7136337</v>
      </c>
      <c r="C24" s="220">
        <v>3223782</v>
      </c>
      <c r="D24" s="220">
        <f t="shared" si="0"/>
        <v>146255</v>
      </c>
      <c r="E24" s="220">
        <f t="shared" si="1"/>
        <v>71170</v>
      </c>
      <c r="F24" s="221">
        <v>0.16400911161731208</v>
      </c>
    </row>
    <row r="25" spans="1:6" ht="15" x14ac:dyDescent="0.25">
      <c r="A25" s="216">
        <v>44283</v>
      </c>
      <c r="B25" s="220">
        <v>7251039</v>
      </c>
      <c r="C25" s="220">
        <v>3246809</v>
      </c>
      <c r="D25" s="220">
        <f t="shared" si="0"/>
        <v>114702</v>
      </c>
      <c r="E25" s="220">
        <f t="shared" si="1"/>
        <v>23027</v>
      </c>
      <c r="F25" s="221">
        <v>0.14650021340162186</v>
      </c>
    </row>
    <row r="26" spans="1:6" ht="15" x14ac:dyDescent="0.25">
      <c r="A26" s="216">
        <v>44284</v>
      </c>
      <c r="B26" s="220">
        <v>7435851</v>
      </c>
      <c r="C26" s="220">
        <v>3330639</v>
      </c>
      <c r="D26" s="220">
        <f t="shared" si="0"/>
        <v>184812</v>
      </c>
      <c r="E26" s="220">
        <f t="shared" si="1"/>
        <v>83830</v>
      </c>
      <c r="F26" s="221">
        <v>0.1860306178239475</v>
      </c>
    </row>
    <row r="27" spans="1:6" ht="15" x14ac:dyDescent="0.25">
      <c r="A27" s="216">
        <v>44285</v>
      </c>
      <c r="B27" s="220">
        <v>7840024</v>
      </c>
      <c r="C27" s="220">
        <v>3561192</v>
      </c>
      <c r="D27" s="220">
        <f t="shared" si="0"/>
        <v>404173</v>
      </c>
      <c r="E27" s="220">
        <f t="shared" si="1"/>
        <v>230553</v>
      </c>
      <c r="F27" s="221">
        <v>0.19063912990345838</v>
      </c>
    </row>
    <row r="28" spans="1:6" ht="15" x14ac:dyDescent="0.25">
      <c r="A28" s="216">
        <v>44286</v>
      </c>
      <c r="B28" s="220">
        <v>8115714</v>
      </c>
      <c r="C28" s="220">
        <v>3717081</v>
      </c>
      <c r="D28" s="220">
        <f t="shared" si="0"/>
        <v>275690</v>
      </c>
      <c r="E28" s="220">
        <f t="shared" si="1"/>
        <v>155889</v>
      </c>
      <c r="F28" s="221">
        <v>0.18619688572182633</v>
      </c>
    </row>
    <row r="29" spans="1:6" ht="15" x14ac:dyDescent="0.25">
      <c r="A29" s="216">
        <v>44287</v>
      </c>
      <c r="B29" s="220">
        <v>8371577</v>
      </c>
      <c r="C29" s="220">
        <v>3854451</v>
      </c>
      <c r="D29" s="220">
        <f t="shared" si="0"/>
        <v>255863</v>
      </c>
      <c r="E29" s="220">
        <f t="shared" si="1"/>
        <v>137370</v>
      </c>
      <c r="F29" s="221">
        <v>0.17843038701802255</v>
      </c>
    </row>
    <row r="30" spans="1:6" ht="15" x14ac:dyDescent="0.25">
      <c r="A30" s="216">
        <v>44288</v>
      </c>
      <c r="B30" s="220">
        <v>8424729</v>
      </c>
      <c r="C30" s="220">
        <v>3867762</v>
      </c>
      <c r="D30" s="220">
        <f t="shared" si="0"/>
        <v>53152</v>
      </c>
      <c r="E30" s="220">
        <f t="shared" si="1"/>
        <v>13311</v>
      </c>
      <c r="F30" s="221">
        <v>0.15730097914005961</v>
      </c>
    </row>
    <row r="31" spans="1:6" ht="15" x14ac:dyDescent="0.25">
      <c r="A31" s="216">
        <v>44289</v>
      </c>
      <c r="B31" s="220">
        <v>8544910</v>
      </c>
      <c r="C31" s="220">
        <v>3954343</v>
      </c>
      <c r="D31" s="220">
        <f t="shared" si="0"/>
        <v>120181</v>
      </c>
      <c r="E31" s="220">
        <f t="shared" si="1"/>
        <v>86581</v>
      </c>
      <c r="F31" s="221">
        <v>0.17226392730146187</v>
      </c>
    </row>
    <row r="32" spans="1:6" ht="15" x14ac:dyDescent="0.25">
      <c r="A32" s="216">
        <v>44290</v>
      </c>
      <c r="B32" s="220">
        <v>8629182</v>
      </c>
      <c r="C32" s="220">
        <v>4014401</v>
      </c>
      <c r="D32" s="220">
        <f t="shared" si="0"/>
        <v>84272</v>
      </c>
      <c r="E32" s="220">
        <f t="shared" si="1"/>
        <v>60058</v>
      </c>
      <c r="F32" s="221">
        <v>0.18255266925751687</v>
      </c>
    </row>
    <row r="33" spans="1:6" ht="15" x14ac:dyDescent="0.25">
      <c r="A33" s="216">
        <v>44291</v>
      </c>
      <c r="B33" s="220">
        <v>8856373</v>
      </c>
      <c r="C33" s="220">
        <v>4230800</v>
      </c>
      <c r="D33" s="220">
        <f t="shared" si="0"/>
        <v>227191</v>
      </c>
      <c r="E33" s="220">
        <f t="shared" si="1"/>
        <v>216399</v>
      </c>
      <c r="F33" s="221">
        <v>0.17881592292089249</v>
      </c>
    </row>
    <row r="34" spans="1:6" ht="15" x14ac:dyDescent="0.25">
      <c r="A34" s="216">
        <v>44292</v>
      </c>
      <c r="B34" s="220">
        <v>9021106</v>
      </c>
      <c r="C34" s="220">
        <v>4431504</v>
      </c>
      <c r="D34" s="220">
        <f t="shared" si="0"/>
        <v>164733</v>
      </c>
      <c r="E34" s="220">
        <f t="shared" si="1"/>
        <v>200704</v>
      </c>
      <c r="F34" s="221">
        <v>0.16886543535620052</v>
      </c>
    </row>
    <row r="35" spans="1:6" ht="15" x14ac:dyDescent="0.25">
      <c r="A35" s="216">
        <v>44293</v>
      </c>
      <c r="B35" s="220">
        <v>9196299</v>
      </c>
      <c r="C35" s="220">
        <v>4554695</v>
      </c>
      <c r="D35" s="220">
        <f t="shared" si="0"/>
        <v>175193</v>
      </c>
      <c r="E35" s="220">
        <f t="shared" si="1"/>
        <v>123191</v>
      </c>
      <c r="F35" s="221">
        <v>0.17351083032490974</v>
      </c>
    </row>
    <row r="36" spans="1:6" ht="15" x14ac:dyDescent="0.25">
      <c r="A36" s="216">
        <v>44294</v>
      </c>
      <c r="B36" s="220">
        <v>9373590</v>
      </c>
      <c r="C36" s="220">
        <v>4697396</v>
      </c>
      <c r="D36" s="220">
        <f t="shared" si="0"/>
        <v>177291</v>
      </c>
      <c r="E36" s="220">
        <f t="shared" si="1"/>
        <v>142701</v>
      </c>
      <c r="F36" s="221">
        <v>0.14142925544649271</v>
      </c>
    </row>
    <row r="37" spans="1:6" ht="15" x14ac:dyDescent="0.25">
      <c r="A37" s="216">
        <v>44295</v>
      </c>
      <c r="B37" s="220">
        <v>9808744</v>
      </c>
      <c r="C37" s="220">
        <v>4952219</v>
      </c>
      <c r="D37" s="220">
        <f t="shared" si="0"/>
        <v>435154</v>
      </c>
      <c r="E37" s="220">
        <f t="shared" si="1"/>
        <v>254823</v>
      </c>
      <c r="F37" s="221">
        <v>0.14536031589338599</v>
      </c>
    </row>
    <row r="38" spans="1:6" ht="15" x14ac:dyDescent="0.25">
      <c r="A38" s="216">
        <v>44296</v>
      </c>
      <c r="B38" s="220">
        <v>10002327</v>
      </c>
      <c r="C38" s="220">
        <v>5079048</v>
      </c>
      <c r="D38" s="220">
        <f t="shared" si="0"/>
        <v>193583</v>
      </c>
      <c r="E38" s="220">
        <f t="shared" si="1"/>
        <v>126829</v>
      </c>
      <c r="F38" s="221">
        <v>0.12762372762372762</v>
      </c>
    </row>
    <row r="39" spans="1:6" ht="15" x14ac:dyDescent="0.25">
      <c r="A39" s="216">
        <v>44297</v>
      </c>
      <c r="B39" s="220">
        <v>10048814</v>
      </c>
      <c r="C39" s="220">
        <v>5101921</v>
      </c>
      <c r="D39" s="220">
        <f t="shared" si="0"/>
        <v>46487</v>
      </c>
      <c r="E39" s="220">
        <f t="shared" si="1"/>
        <v>22873</v>
      </c>
      <c r="F39" s="221">
        <v>0.13356088967187843</v>
      </c>
    </row>
    <row r="40" spans="1:6" ht="15" x14ac:dyDescent="0.25">
      <c r="A40" s="216">
        <v>44298</v>
      </c>
      <c r="B40" s="220">
        <v>10279346</v>
      </c>
      <c r="C40" s="220">
        <v>5322501</v>
      </c>
      <c r="D40" s="220">
        <f t="shared" si="0"/>
        <v>230532</v>
      </c>
      <c r="E40" s="220">
        <f t="shared" si="1"/>
        <v>220580</v>
      </c>
      <c r="F40" s="221">
        <v>0.16269759094360461</v>
      </c>
    </row>
    <row r="41" spans="1:6" ht="15" x14ac:dyDescent="0.25">
      <c r="A41" s="216">
        <v>44299</v>
      </c>
      <c r="B41" s="220">
        <v>10377007</v>
      </c>
      <c r="C41" s="220">
        <v>5432855</v>
      </c>
      <c r="D41" s="220">
        <f t="shared" si="0"/>
        <v>97661</v>
      </c>
      <c r="E41" s="220">
        <f t="shared" si="1"/>
        <v>110354</v>
      </c>
      <c r="F41" s="221">
        <v>0.17201093711160825</v>
      </c>
    </row>
    <row r="42" spans="1:6" ht="15" x14ac:dyDescent="0.25">
      <c r="A42" s="216">
        <v>44300</v>
      </c>
      <c r="B42" s="220">
        <v>10481178</v>
      </c>
      <c r="C42" s="220">
        <v>5572859</v>
      </c>
      <c r="D42" s="220">
        <f t="shared" si="0"/>
        <v>104171</v>
      </c>
      <c r="E42" s="220">
        <f t="shared" si="1"/>
        <v>140004</v>
      </c>
      <c r="F42" s="221">
        <v>0.16967846460618147</v>
      </c>
    </row>
    <row r="43" spans="1:6" ht="15" x14ac:dyDescent="0.25">
      <c r="A43" s="216">
        <v>44301</v>
      </c>
      <c r="B43" s="220">
        <v>10599742</v>
      </c>
      <c r="C43" s="220">
        <v>5715813</v>
      </c>
      <c r="D43" s="220">
        <f t="shared" si="0"/>
        <v>118564</v>
      </c>
      <c r="E43" s="220">
        <f t="shared" si="1"/>
        <v>142954</v>
      </c>
      <c r="F43" s="221">
        <v>0.1569870193186666</v>
      </c>
    </row>
    <row r="44" spans="1:6" ht="15" x14ac:dyDescent="0.25">
      <c r="A44" s="216">
        <v>44302</v>
      </c>
      <c r="B44" s="220">
        <v>10708889</v>
      </c>
      <c r="C44" s="220">
        <v>5821888</v>
      </c>
      <c r="D44" s="220">
        <f t="shared" si="0"/>
        <v>109147</v>
      </c>
      <c r="E44" s="220">
        <f t="shared" si="1"/>
        <v>106075</v>
      </c>
      <c r="F44" s="221">
        <v>0.14635665351878763</v>
      </c>
    </row>
    <row r="45" spans="1:6" ht="15" x14ac:dyDescent="0.25">
      <c r="A45" s="216">
        <v>44303</v>
      </c>
      <c r="B45" s="220">
        <v>10803824</v>
      </c>
      <c r="C45" s="220">
        <v>5890790</v>
      </c>
      <c r="D45" s="220">
        <f t="shared" si="0"/>
        <v>94935</v>
      </c>
      <c r="E45" s="220">
        <f t="shared" si="1"/>
        <v>68902</v>
      </c>
      <c r="F45" s="221">
        <v>0.16582235731171902</v>
      </c>
    </row>
    <row r="46" spans="1:6" ht="15" x14ac:dyDescent="0.25">
      <c r="A46" s="216">
        <v>44304</v>
      </c>
      <c r="B46" s="220">
        <v>10827994</v>
      </c>
      <c r="C46" s="220">
        <v>5911343</v>
      </c>
      <c r="D46" s="220">
        <f t="shared" si="0"/>
        <v>24170</v>
      </c>
      <c r="E46" s="220">
        <f t="shared" si="1"/>
        <v>20553</v>
      </c>
      <c r="F46" s="221">
        <v>0.13974231912784935</v>
      </c>
    </row>
    <row r="47" spans="1:6" ht="15" x14ac:dyDescent="0.25">
      <c r="A47" s="216">
        <v>44305</v>
      </c>
      <c r="B47" s="220">
        <v>10971604</v>
      </c>
      <c r="C47" s="220">
        <v>6052612</v>
      </c>
      <c r="D47" s="220">
        <f t="shared" si="0"/>
        <v>143610</v>
      </c>
      <c r="E47" s="220">
        <f t="shared" si="1"/>
        <v>141269</v>
      </c>
      <c r="F47" s="221">
        <v>0.15215485756026298</v>
      </c>
    </row>
    <row r="48" spans="1:6" ht="15" x14ac:dyDescent="0.25">
      <c r="A48" s="216">
        <v>44306</v>
      </c>
      <c r="B48" s="220">
        <v>11115514</v>
      </c>
      <c r="C48" s="220">
        <v>6158748</v>
      </c>
      <c r="D48" s="220">
        <f t="shared" si="0"/>
        <v>143910</v>
      </c>
      <c r="E48" s="220">
        <f t="shared" si="1"/>
        <v>106136</v>
      </c>
      <c r="F48" s="221">
        <v>0.17122203098106711</v>
      </c>
    </row>
    <row r="49" spans="1:6" ht="15" x14ac:dyDescent="0.25">
      <c r="A49" s="216">
        <v>44307</v>
      </c>
      <c r="B49" s="220">
        <v>11301555</v>
      </c>
      <c r="C49" s="220">
        <v>6341931</v>
      </c>
      <c r="D49" s="220">
        <f t="shared" si="0"/>
        <v>186041</v>
      </c>
      <c r="E49" s="220">
        <f t="shared" si="1"/>
        <v>183183</v>
      </c>
      <c r="F49" s="221">
        <v>0.13761397594054095</v>
      </c>
    </row>
    <row r="50" spans="1:6" ht="15" x14ac:dyDescent="0.25">
      <c r="A50" s="216">
        <v>44308</v>
      </c>
      <c r="B50" s="220">
        <v>11431972</v>
      </c>
      <c r="C50" s="220">
        <v>6488197</v>
      </c>
      <c r="D50" s="220">
        <f t="shared" si="0"/>
        <v>130417</v>
      </c>
      <c r="E50" s="220">
        <f t="shared" si="1"/>
        <v>146266</v>
      </c>
      <c r="F50" s="221">
        <v>0.1481641780278439</v>
      </c>
    </row>
    <row r="51" spans="1:6" ht="15" x14ac:dyDescent="0.25">
      <c r="A51" s="216">
        <v>44309</v>
      </c>
      <c r="B51" s="220">
        <v>11587140</v>
      </c>
      <c r="C51" s="220">
        <v>6677148</v>
      </c>
      <c r="D51" s="220">
        <f t="shared" si="0"/>
        <v>155168</v>
      </c>
      <c r="E51" s="220">
        <f t="shared" si="1"/>
        <v>188951</v>
      </c>
      <c r="F51" s="221">
        <v>0.16601616950097575</v>
      </c>
    </row>
    <row r="52" spans="1:6" ht="15" x14ac:dyDescent="0.25">
      <c r="A52" s="216">
        <v>44310</v>
      </c>
      <c r="B52" s="220">
        <v>11717806</v>
      </c>
      <c r="C52" s="220">
        <v>6798241</v>
      </c>
      <c r="D52" s="220">
        <f t="shared" si="0"/>
        <v>130666</v>
      </c>
      <c r="E52" s="220">
        <f t="shared" si="1"/>
        <v>121093</v>
      </c>
      <c r="F52" s="221">
        <v>0.16058655221745349</v>
      </c>
    </row>
    <row r="53" spans="1:6" ht="15" x14ac:dyDescent="0.25">
      <c r="A53" s="216">
        <v>44311</v>
      </c>
      <c r="B53" s="220">
        <v>11740819</v>
      </c>
      <c r="C53" s="220">
        <v>6829415</v>
      </c>
      <c r="D53" s="220">
        <f t="shared" si="0"/>
        <v>23013</v>
      </c>
      <c r="E53" s="220">
        <f t="shared" si="1"/>
        <v>31174</v>
      </c>
      <c r="F53" s="221">
        <v>0.17293760224351484</v>
      </c>
    </row>
    <row r="54" spans="1:6" ht="15" x14ac:dyDescent="0.25">
      <c r="A54" s="216">
        <v>44312</v>
      </c>
      <c r="B54" s="220">
        <v>11871858</v>
      </c>
      <c r="C54" s="220">
        <v>7023351</v>
      </c>
      <c r="D54" s="220">
        <f t="shared" si="0"/>
        <v>131039</v>
      </c>
      <c r="E54" s="220">
        <f t="shared" si="1"/>
        <v>193936</v>
      </c>
      <c r="F54" s="221">
        <v>0.15278719652787195</v>
      </c>
    </row>
    <row r="55" spans="1:6" ht="15" x14ac:dyDescent="0.25">
      <c r="A55" s="216">
        <v>44313</v>
      </c>
      <c r="B55" s="220">
        <v>12015172</v>
      </c>
      <c r="C55" s="220">
        <v>7214534</v>
      </c>
      <c r="D55" s="220">
        <f t="shared" si="0"/>
        <v>143314</v>
      </c>
      <c r="E55" s="220">
        <f t="shared" si="1"/>
        <v>191183</v>
      </c>
      <c r="F55" s="221">
        <v>0.15508271077908217</v>
      </c>
    </row>
    <row r="56" spans="1:6" ht="15" x14ac:dyDescent="0.25">
      <c r="A56" s="216">
        <v>44314</v>
      </c>
      <c r="B56" s="220">
        <v>12149637</v>
      </c>
      <c r="C56" s="220">
        <v>7411095</v>
      </c>
      <c r="D56" s="220">
        <f t="shared" si="0"/>
        <v>134465</v>
      </c>
      <c r="E56" s="220">
        <f t="shared" si="1"/>
        <v>196561</v>
      </c>
      <c r="F56" s="221">
        <v>0.15371287128712871</v>
      </c>
    </row>
    <row r="57" spans="1:6" ht="15" x14ac:dyDescent="0.25">
      <c r="A57" s="216">
        <v>44315</v>
      </c>
      <c r="B57" s="220">
        <v>12306015</v>
      </c>
      <c r="C57" s="220">
        <v>7583443</v>
      </c>
      <c r="D57" s="220">
        <f t="shared" si="0"/>
        <v>156378</v>
      </c>
      <c r="E57" s="220">
        <f t="shared" si="1"/>
        <v>172348</v>
      </c>
      <c r="F57" s="221">
        <v>0.17837541163556531</v>
      </c>
    </row>
    <row r="58" spans="1:6" ht="15" x14ac:dyDescent="0.25">
      <c r="A58" s="216">
        <v>44316</v>
      </c>
      <c r="B58" s="220">
        <v>12421513</v>
      </c>
      <c r="C58" s="220">
        <v>7646284</v>
      </c>
      <c r="D58" s="220">
        <f t="shared" si="0"/>
        <v>115498</v>
      </c>
      <c r="E58" s="220">
        <f t="shared" si="1"/>
        <v>62841</v>
      </c>
      <c r="F58" s="221">
        <v>0.12687705302674801</v>
      </c>
    </row>
    <row r="59" spans="1:6" ht="15" x14ac:dyDescent="0.25">
      <c r="A59" s="216">
        <v>44317</v>
      </c>
      <c r="B59" s="220">
        <v>12456424</v>
      </c>
      <c r="C59" s="220">
        <v>7678485</v>
      </c>
      <c r="D59" s="220">
        <f t="shared" si="0"/>
        <v>34911</v>
      </c>
      <c r="E59" s="220">
        <f t="shared" si="1"/>
        <v>32201</v>
      </c>
      <c r="F59" s="221">
        <v>0.18360655737704917</v>
      </c>
    </row>
    <row r="60" spans="1:6" ht="15" x14ac:dyDescent="0.25">
      <c r="A60" s="216">
        <v>44318</v>
      </c>
      <c r="B60" s="220">
        <v>12468666</v>
      </c>
      <c r="C60" s="220">
        <v>7703110</v>
      </c>
      <c r="D60" s="220">
        <f t="shared" si="0"/>
        <v>12242</v>
      </c>
      <c r="E60" s="220">
        <f t="shared" si="1"/>
        <v>24625</v>
      </c>
      <c r="F60" s="221">
        <v>9.8447893569844791E-2</v>
      </c>
    </row>
    <row r="61" spans="1:6" ht="15" x14ac:dyDescent="0.25">
      <c r="A61" s="216">
        <v>44319</v>
      </c>
      <c r="B61" s="220">
        <v>12571371</v>
      </c>
      <c r="C61" s="220">
        <v>7850407</v>
      </c>
      <c r="D61" s="220">
        <f t="shared" si="0"/>
        <v>102705</v>
      </c>
      <c r="E61" s="220">
        <f t="shared" si="1"/>
        <v>147297</v>
      </c>
      <c r="F61" s="221">
        <v>0.13318112633181126</v>
      </c>
    </row>
    <row r="62" spans="1:6" ht="15" x14ac:dyDescent="0.25">
      <c r="A62" s="216">
        <v>44320</v>
      </c>
      <c r="B62" s="220">
        <v>12698828</v>
      </c>
      <c r="C62" s="220">
        <v>8002236</v>
      </c>
      <c r="D62" s="220">
        <f t="shared" si="0"/>
        <v>127457</v>
      </c>
      <c r="E62" s="220">
        <f t="shared" si="1"/>
        <v>151829</v>
      </c>
      <c r="F62" s="221">
        <v>0.14162568701185999</v>
      </c>
    </row>
    <row r="63" spans="1:6" ht="15" x14ac:dyDescent="0.25">
      <c r="A63" s="216">
        <v>44321</v>
      </c>
      <c r="B63" s="220">
        <v>12851144</v>
      </c>
      <c r="C63" s="220">
        <v>8165862</v>
      </c>
      <c r="D63" s="220">
        <f t="shared" si="0"/>
        <v>152316</v>
      </c>
      <c r="E63" s="220">
        <f t="shared" si="1"/>
        <v>163626</v>
      </c>
      <c r="F63" s="221">
        <v>0.13213644524236984</v>
      </c>
    </row>
    <row r="64" spans="1:6" ht="15" x14ac:dyDescent="0.25">
      <c r="A64" s="216">
        <v>44322</v>
      </c>
      <c r="B64" s="220">
        <v>12994969</v>
      </c>
      <c r="C64" s="220">
        <v>8317406</v>
      </c>
      <c r="D64" s="220">
        <f t="shared" si="0"/>
        <v>143825</v>
      </c>
      <c r="E64" s="220">
        <f t="shared" si="1"/>
        <v>151544</v>
      </c>
      <c r="F64" s="221">
        <v>0.11911872429142954</v>
      </c>
    </row>
    <row r="65" spans="1:6" ht="15" x14ac:dyDescent="0.25">
      <c r="A65" s="216">
        <v>44323</v>
      </c>
      <c r="B65" s="220">
        <v>13179997</v>
      </c>
      <c r="C65" s="220">
        <v>8485360</v>
      </c>
      <c r="D65" s="220">
        <f t="shared" si="0"/>
        <v>185028</v>
      </c>
      <c r="E65" s="220">
        <f t="shared" si="1"/>
        <v>167954</v>
      </c>
      <c r="F65" s="221">
        <v>0.1419246429263879</v>
      </c>
    </row>
    <row r="66" spans="1:6" ht="15" x14ac:dyDescent="0.25">
      <c r="A66" s="216">
        <v>44324</v>
      </c>
      <c r="B66" s="220">
        <v>13320686</v>
      </c>
      <c r="C66" s="220">
        <v>8611464</v>
      </c>
      <c r="D66" s="220">
        <f t="shared" si="0"/>
        <v>140689</v>
      </c>
      <c r="E66" s="220">
        <f t="shared" si="1"/>
        <v>126104</v>
      </c>
      <c r="F66" s="221">
        <v>0.14833798145775232</v>
      </c>
    </row>
    <row r="67" spans="1:6" ht="15" x14ac:dyDescent="0.25">
      <c r="A67" s="216">
        <v>44325</v>
      </c>
      <c r="B67" s="220">
        <v>13348652</v>
      </c>
      <c r="C67" s="220">
        <v>8643136</v>
      </c>
      <c r="D67" s="220">
        <f t="shared" si="0"/>
        <v>27966</v>
      </c>
      <c r="E67" s="220">
        <f t="shared" si="1"/>
        <v>31672</v>
      </c>
      <c r="F67" s="221">
        <v>0.20299837925445705</v>
      </c>
    </row>
    <row r="68" spans="1:6" ht="15" x14ac:dyDescent="0.25">
      <c r="A68" s="216">
        <v>44326</v>
      </c>
      <c r="B68" s="220">
        <v>13512789</v>
      </c>
      <c r="C68" s="220">
        <v>8804267</v>
      </c>
      <c r="D68" s="220">
        <f t="shared" ref="D68:D131" si="2">B68-B67</f>
        <v>164137</v>
      </c>
      <c r="E68" s="220">
        <f t="shared" ref="E68:E131" si="3">C68-C67</f>
        <v>161131</v>
      </c>
      <c r="F68" s="221">
        <v>0.17115134540362109</v>
      </c>
    </row>
    <row r="69" spans="1:6" ht="15" x14ac:dyDescent="0.25">
      <c r="A69" s="216">
        <v>44327</v>
      </c>
      <c r="B69" s="220">
        <v>13646960</v>
      </c>
      <c r="C69" s="220">
        <v>8887835</v>
      </c>
      <c r="D69" s="220">
        <f t="shared" si="2"/>
        <v>134171</v>
      </c>
      <c r="E69" s="220">
        <f t="shared" si="3"/>
        <v>83568</v>
      </c>
      <c r="F69" s="221">
        <v>0.14030284883223543</v>
      </c>
    </row>
    <row r="70" spans="1:6" ht="15" x14ac:dyDescent="0.25">
      <c r="A70" s="216">
        <v>44328</v>
      </c>
      <c r="B70" s="220">
        <v>13691060</v>
      </c>
      <c r="C70" s="220">
        <v>8918090</v>
      </c>
      <c r="D70" s="220">
        <f t="shared" si="2"/>
        <v>44100</v>
      </c>
      <c r="E70" s="220">
        <f t="shared" si="3"/>
        <v>30255</v>
      </c>
      <c r="F70" s="221">
        <v>0.14714638087947607</v>
      </c>
    </row>
    <row r="71" spans="1:6" ht="15" x14ac:dyDescent="0.25">
      <c r="A71" s="216">
        <v>44329</v>
      </c>
      <c r="B71" s="220">
        <v>13696439</v>
      </c>
      <c r="C71" s="220">
        <v>8919255</v>
      </c>
      <c r="D71" s="220">
        <f t="shared" si="2"/>
        <v>5379</v>
      </c>
      <c r="E71" s="220">
        <f t="shared" si="3"/>
        <v>1165</v>
      </c>
      <c r="F71" s="221">
        <v>0.15079235419049175</v>
      </c>
    </row>
    <row r="72" spans="1:6" ht="15" x14ac:dyDescent="0.25">
      <c r="A72" s="216">
        <v>44330</v>
      </c>
      <c r="B72" s="220">
        <v>13698576</v>
      </c>
      <c r="C72" s="220">
        <v>8920737</v>
      </c>
      <c r="D72" s="220">
        <f t="shared" si="2"/>
        <v>2137</v>
      </c>
      <c r="E72" s="220">
        <f t="shared" si="3"/>
        <v>1482</v>
      </c>
      <c r="F72" s="221">
        <v>0.15059445178335534</v>
      </c>
    </row>
    <row r="73" spans="1:6" ht="15" x14ac:dyDescent="0.25">
      <c r="A73" s="216">
        <v>44331</v>
      </c>
      <c r="B73" s="220">
        <v>13724327</v>
      </c>
      <c r="C73" s="220">
        <v>8959382</v>
      </c>
      <c r="D73" s="220">
        <f t="shared" si="2"/>
        <v>25751</v>
      </c>
      <c r="E73" s="220">
        <f t="shared" si="3"/>
        <v>38645</v>
      </c>
      <c r="F73" s="221">
        <v>0.14334319526627218</v>
      </c>
    </row>
    <row r="74" spans="1:6" ht="15" x14ac:dyDescent="0.25">
      <c r="A74" s="216">
        <v>44332</v>
      </c>
      <c r="B74" s="220">
        <v>13744343</v>
      </c>
      <c r="C74" s="220">
        <v>8975243</v>
      </c>
      <c r="D74" s="220">
        <f t="shared" si="2"/>
        <v>20016</v>
      </c>
      <c r="E74" s="220">
        <f t="shared" si="3"/>
        <v>15861</v>
      </c>
      <c r="F74" s="221">
        <v>0.1492776886035313</v>
      </c>
    </row>
    <row r="75" spans="1:6" ht="15" x14ac:dyDescent="0.25">
      <c r="A75" s="216">
        <v>44333</v>
      </c>
      <c r="B75" s="220">
        <v>13827284</v>
      </c>
      <c r="C75" s="220">
        <v>9093271</v>
      </c>
      <c r="D75" s="220">
        <f t="shared" si="2"/>
        <v>82941</v>
      </c>
      <c r="E75" s="220">
        <f t="shared" si="3"/>
        <v>118028</v>
      </c>
      <c r="F75" s="221">
        <v>0.12334801762114538</v>
      </c>
    </row>
    <row r="76" spans="1:6" ht="15" x14ac:dyDescent="0.25">
      <c r="A76" s="216">
        <v>44334</v>
      </c>
      <c r="B76" s="220">
        <v>13977997</v>
      </c>
      <c r="C76" s="220">
        <v>9275493</v>
      </c>
      <c r="D76" s="220">
        <f t="shared" si="2"/>
        <v>150713</v>
      </c>
      <c r="E76" s="220">
        <f t="shared" si="3"/>
        <v>182222</v>
      </c>
      <c r="F76" s="221">
        <v>8.7902849135917796E-2</v>
      </c>
    </row>
    <row r="77" spans="1:6" ht="15" x14ac:dyDescent="0.25">
      <c r="A77" s="216">
        <v>44335</v>
      </c>
      <c r="B77" s="220">
        <v>14194333</v>
      </c>
      <c r="C77" s="220">
        <v>9427529</v>
      </c>
      <c r="D77" s="220">
        <f t="shared" si="2"/>
        <v>216336</v>
      </c>
      <c r="E77" s="220">
        <f t="shared" si="3"/>
        <v>152036</v>
      </c>
      <c r="F77" s="221">
        <v>0.17791756642568773</v>
      </c>
    </row>
    <row r="78" spans="1:6" ht="15" x14ac:dyDescent="0.25">
      <c r="A78" s="216">
        <v>44336</v>
      </c>
      <c r="B78" s="220">
        <v>14447581</v>
      </c>
      <c r="C78" s="220">
        <v>9579852</v>
      </c>
      <c r="D78" s="220">
        <f t="shared" si="2"/>
        <v>253248</v>
      </c>
      <c r="E78" s="220">
        <f t="shared" si="3"/>
        <v>152323</v>
      </c>
      <c r="F78" s="221">
        <v>0.15716604602310705</v>
      </c>
    </row>
    <row r="79" spans="1:6" ht="15" x14ac:dyDescent="0.25">
      <c r="A79" s="216">
        <v>44337</v>
      </c>
      <c r="B79" s="220">
        <v>14676181</v>
      </c>
      <c r="C79" s="220">
        <v>9745828</v>
      </c>
      <c r="D79" s="220">
        <f t="shared" si="2"/>
        <v>228600</v>
      </c>
      <c r="E79" s="220">
        <f t="shared" si="3"/>
        <v>165976</v>
      </c>
      <c r="F79" s="221">
        <v>0.10716914470778743</v>
      </c>
    </row>
    <row r="80" spans="1:6" ht="15" x14ac:dyDescent="0.25">
      <c r="A80" s="216">
        <v>44338</v>
      </c>
      <c r="B80" s="220">
        <v>14857871</v>
      </c>
      <c r="C80" s="220">
        <v>9852744</v>
      </c>
      <c r="D80" s="220">
        <f t="shared" si="2"/>
        <v>181690</v>
      </c>
      <c r="E80" s="220">
        <f t="shared" si="3"/>
        <v>106916</v>
      </c>
      <c r="F80" s="221">
        <v>0.11114477910429671</v>
      </c>
    </row>
    <row r="81" spans="1:6" ht="15" x14ac:dyDescent="0.25">
      <c r="A81" s="216">
        <v>44339</v>
      </c>
      <c r="B81" s="220">
        <v>14895944</v>
      </c>
      <c r="C81" s="220">
        <v>9880317</v>
      </c>
      <c r="D81" s="220">
        <f t="shared" si="2"/>
        <v>38073</v>
      </c>
      <c r="E81" s="220">
        <f t="shared" si="3"/>
        <v>27573</v>
      </c>
      <c r="F81" s="221">
        <v>8.9398806792106475E-2</v>
      </c>
    </row>
    <row r="82" spans="1:6" ht="15" x14ac:dyDescent="0.25">
      <c r="A82" s="216">
        <v>44340</v>
      </c>
      <c r="B82" s="220">
        <v>14905485</v>
      </c>
      <c r="C82" s="220">
        <v>9896275</v>
      </c>
      <c r="D82" s="220">
        <f t="shared" si="2"/>
        <v>9541</v>
      </c>
      <c r="E82" s="220">
        <f t="shared" si="3"/>
        <v>15958</v>
      </c>
      <c r="F82" s="221">
        <v>0.13780301375846254</v>
      </c>
    </row>
    <row r="83" spans="1:6" ht="15" x14ac:dyDescent="0.25">
      <c r="A83" s="216">
        <v>44341</v>
      </c>
      <c r="B83" s="220">
        <v>15311917</v>
      </c>
      <c r="C83" s="220">
        <v>10124773</v>
      </c>
      <c r="D83" s="220">
        <f t="shared" si="2"/>
        <v>406432</v>
      </c>
      <c r="E83" s="220">
        <f t="shared" si="3"/>
        <v>228498</v>
      </c>
      <c r="F83" s="221">
        <v>0.11261375768976561</v>
      </c>
    </row>
    <row r="84" spans="1:6" ht="15" x14ac:dyDescent="0.25">
      <c r="A84" s="216">
        <v>44342</v>
      </c>
      <c r="B84" s="220">
        <v>15514310</v>
      </c>
      <c r="C84" s="220">
        <v>10224126</v>
      </c>
      <c r="D84" s="220">
        <f t="shared" si="2"/>
        <v>202393</v>
      </c>
      <c r="E84" s="220">
        <f t="shared" si="3"/>
        <v>99353</v>
      </c>
      <c r="F84" s="221">
        <v>0.10232358003442341</v>
      </c>
    </row>
    <row r="85" spans="1:6" ht="15" x14ac:dyDescent="0.25">
      <c r="A85" s="216">
        <v>44343</v>
      </c>
      <c r="B85" s="220">
        <v>15514310</v>
      </c>
      <c r="C85" s="220">
        <v>10224126</v>
      </c>
      <c r="D85" s="220">
        <f t="shared" si="2"/>
        <v>0</v>
      </c>
      <c r="E85" s="220">
        <f t="shared" si="3"/>
        <v>0</v>
      </c>
      <c r="F85" s="221">
        <v>0.12045917982025527</v>
      </c>
    </row>
    <row r="86" spans="1:6" ht="15" x14ac:dyDescent="0.25">
      <c r="A86" s="216">
        <v>44344</v>
      </c>
      <c r="B86" s="220">
        <v>16059712</v>
      </c>
      <c r="C86" s="220">
        <v>10511733</v>
      </c>
      <c r="D86" s="220">
        <f t="shared" si="2"/>
        <v>545402</v>
      </c>
      <c r="E86" s="220">
        <f t="shared" si="3"/>
        <v>287607</v>
      </c>
      <c r="F86" s="221">
        <v>0.12887282776212999</v>
      </c>
    </row>
    <row r="87" spans="1:6" ht="15" x14ac:dyDescent="0.25">
      <c r="A87" s="216">
        <v>44345</v>
      </c>
      <c r="B87" s="220">
        <v>16256748</v>
      </c>
      <c r="C87" s="220">
        <v>10570680</v>
      </c>
      <c r="D87" s="220">
        <f t="shared" si="2"/>
        <v>197036</v>
      </c>
      <c r="E87" s="220">
        <f t="shared" si="3"/>
        <v>58947</v>
      </c>
      <c r="F87" s="221">
        <v>0.12439939445797407</v>
      </c>
    </row>
    <row r="88" spans="1:6" ht="15" x14ac:dyDescent="0.25">
      <c r="A88" s="216">
        <v>44346</v>
      </c>
      <c r="B88" s="220">
        <v>16258209</v>
      </c>
      <c r="C88" s="220">
        <v>10571375</v>
      </c>
      <c r="D88" s="220">
        <f t="shared" si="2"/>
        <v>1461</v>
      </c>
      <c r="E88" s="220">
        <f t="shared" si="3"/>
        <v>695</v>
      </c>
      <c r="F88" s="221">
        <v>0.1027075011096316</v>
      </c>
    </row>
    <row r="89" spans="1:6" ht="15" x14ac:dyDescent="0.25">
      <c r="A89" s="216">
        <v>44347</v>
      </c>
      <c r="B89" s="220">
        <v>16521846</v>
      </c>
      <c r="C89" s="220">
        <v>10697145</v>
      </c>
      <c r="D89" s="220">
        <f t="shared" si="2"/>
        <v>263637</v>
      </c>
      <c r="E89" s="220">
        <f t="shared" si="3"/>
        <v>125770</v>
      </c>
      <c r="F89" s="221">
        <v>0.1381620132715663</v>
      </c>
    </row>
    <row r="90" spans="1:6" ht="15" x14ac:dyDescent="0.25">
      <c r="A90" s="216">
        <v>44348</v>
      </c>
      <c r="B90" s="220">
        <v>16567890</v>
      </c>
      <c r="C90" s="220">
        <v>10720371</v>
      </c>
      <c r="D90" s="220">
        <f t="shared" si="2"/>
        <v>46044</v>
      </c>
      <c r="E90" s="220">
        <f t="shared" si="3"/>
        <v>23226</v>
      </c>
      <c r="F90" s="221">
        <v>0.12619854721549637</v>
      </c>
    </row>
    <row r="91" spans="1:6" ht="15" x14ac:dyDescent="0.25">
      <c r="A91" s="216">
        <v>44349</v>
      </c>
      <c r="B91" s="220">
        <v>16809187</v>
      </c>
      <c r="C91" s="220">
        <v>10876402</v>
      </c>
      <c r="D91" s="220">
        <f t="shared" si="2"/>
        <v>241297</v>
      </c>
      <c r="E91" s="220">
        <f t="shared" si="3"/>
        <v>156031</v>
      </c>
      <c r="F91" s="221">
        <v>0.15330041037768657</v>
      </c>
    </row>
    <row r="92" spans="1:6" ht="15" x14ac:dyDescent="0.25">
      <c r="A92" s="216">
        <v>44350</v>
      </c>
      <c r="B92" s="220">
        <v>17104081</v>
      </c>
      <c r="C92" s="220">
        <v>11002445</v>
      </c>
      <c r="D92" s="220">
        <f t="shared" si="2"/>
        <v>294894</v>
      </c>
      <c r="E92" s="220">
        <f t="shared" si="3"/>
        <v>126043</v>
      </c>
      <c r="F92" s="221">
        <v>0.14789329344303168</v>
      </c>
    </row>
    <row r="93" spans="1:6" ht="15" x14ac:dyDescent="0.25">
      <c r="A93" s="216">
        <v>44351</v>
      </c>
      <c r="B93" s="220">
        <v>17366272</v>
      </c>
      <c r="C93" s="220">
        <v>11069682</v>
      </c>
      <c r="D93" s="220">
        <f t="shared" si="2"/>
        <v>262191</v>
      </c>
      <c r="E93" s="220">
        <f t="shared" si="3"/>
        <v>67237</v>
      </c>
      <c r="F93" s="221">
        <v>0.14120386222009176</v>
      </c>
    </row>
    <row r="94" spans="1:6" ht="15" x14ac:dyDescent="0.25">
      <c r="A94" s="216">
        <v>44352</v>
      </c>
      <c r="B94" s="220">
        <v>17593079</v>
      </c>
      <c r="C94" s="220">
        <v>11126050</v>
      </c>
      <c r="D94" s="220">
        <f t="shared" si="2"/>
        <v>226807</v>
      </c>
      <c r="E94" s="220">
        <f t="shared" si="3"/>
        <v>56368</v>
      </c>
      <c r="F94" s="221">
        <v>0.19688080207946529</v>
      </c>
    </row>
    <row r="95" spans="1:6" ht="15" x14ac:dyDescent="0.25">
      <c r="A95" s="216">
        <v>44353</v>
      </c>
      <c r="B95" s="220">
        <v>17593079</v>
      </c>
      <c r="C95" s="220">
        <v>11126050</v>
      </c>
      <c r="D95" s="220">
        <f t="shared" si="2"/>
        <v>0</v>
      </c>
      <c r="E95" s="220">
        <f t="shared" si="3"/>
        <v>0</v>
      </c>
      <c r="F95" s="221">
        <v>0.1502073758547248</v>
      </c>
    </row>
    <row r="96" spans="1:6" ht="15" x14ac:dyDescent="0.25">
      <c r="A96" s="216">
        <v>44354</v>
      </c>
      <c r="B96" s="220">
        <v>17753205</v>
      </c>
      <c r="C96" s="220">
        <v>11230614</v>
      </c>
      <c r="D96" s="220">
        <f t="shared" si="2"/>
        <v>160126</v>
      </c>
      <c r="E96" s="220">
        <f t="shared" si="3"/>
        <v>104564</v>
      </c>
      <c r="F96" s="221">
        <v>0.20280799197716579</v>
      </c>
    </row>
    <row r="97" spans="1:6" ht="15" x14ac:dyDescent="0.25">
      <c r="A97" s="216">
        <v>44355</v>
      </c>
      <c r="B97" s="220">
        <v>18405809</v>
      </c>
      <c r="C97" s="220">
        <v>11396021</v>
      </c>
      <c r="D97" s="220">
        <f t="shared" si="2"/>
        <v>652604</v>
      </c>
      <c r="E97" s="220">
        <f t="shared" si="3"/>
        <v>165407</v>
      </c>
      <c r="F97" s="221">
        <v>0.22345911949685535</v>
      </c>
    </row>
    <row r="98" spans="1:6" ht="15" x14ac:dyDescent="0.25">
      <c r="A98" s="216">
        <v>44356</v>
      </c>
      <c r="B98" s="220">
        <v>18865980</v>
      </c>
      <c r="C98" s="220">
        <v>11449908</v>
      </c>
      <c r="D98" s="220">
        <f t="shared" si="2"/>
        <v>460171</v>
      </c>
      <c r="E98" s="220">
        <f t="shared" si="3"/>
        <v>53887</v>
      </c>
      <c r="F98" s="221">
        <v>0.22342091526013572</v>
      </c>
    </row>
    <row r="99" spans="1:6" ht="15" x14ac:dyDescent="0.25">
      <c r="A99" s="216">
        <v>44357</v>
      </c>
      <c r="B99" s="220">
        <v>19367990</v>
      </c>
      <c r="C99" s="220">
        <v>11495383</v>
      </c>
      <c r="D99" s="220">
        <f t="shared" si="2"/>
        <v>502010</v>
      </c>
      <c r="E99" s="220">
        <f t="shared" si="3"/>
        <v>45475</v>
      </c>
      <c r="F99" s="221">
        <v>0.23719186640917869</v>
      </c>
    </row>
    <row r="100" spans="1:6" ht="15" x14ac:dyDescent="0.25">
      <c r="A100" s="216">
        <v>44358</v>
      </c>
      <c r="B100" s="220">
        <v>19759205</v>
      </c>
      <c r="C100" s="220">
        <v>11524042</v>
      </c>
      <c r="D100" s="220">
        <f t="shared" si="2"/>
        <v>391215</v>
      </c>
      <c r="E100" s="220">
        <f t="shared" si="3"/>
        <v>28659</v>
      </c>
      <c r="F100" s="221">
        <v>0.26297577854671278</v>
      </c>
    </row>
    <row r="101" spans="1:6" ht="15" x14ac:dyDescent="0.25">
      <c r="A101" s="216">
        <v>44359</v>
      </c>
      <c r="B101" s="220">
        <v>20078025</v>
      </c>
      <c r="C101" s="220">
        <v>11554724</v>
      </c>
      <c r="D101" s="220">
        <f t="shared" si="2"/>
        <v>318820</v>
      </c>
      <c r="E101" s="220">
        <f t="shared" si="3"/>
        <v>30682</v>
      </c>
      <c r="F101" s="221">
        <v>0.27469478357380689</v>
      </c>
    </row>
    <row r="102" spans="1:6" ht="15" x14ac:dyDescent="0.25">
      <c r="A102" s="216">
        <v>44360</v>
      </c>
      <c r="B102" s="220">
        <v>20079784</v>
      </c>
      <c r="C102" s="220">
        <v>11555542</v>
      </c>
      <c r="D102" s="220">
        <f t="shared" si="2"/>
        <v>1759</v>
      </c>
      <c r="E102" s="220">
        <f t="shared" si="3"/>
        <v>818</v>
      </c>
      <c r="F102" s="221">
        <v>0.23527089706898252</v>
      </c>
    </row>
    <row r="103" spans="1:6" ht="15" x14ac:dyDescent="0.25">
      <c r="A103" s="216">
        <v>44361</v>
      </c>
      <c r="B103" s="220">
        <v>20586259</v>
      </c>
      <c r="C103" s="220">
        <v>11620545</v>
      </c>
      <c r="D103" s="220">
        <f t="shared" si="2"/>
        <v>506475</v>
      </c>
      <c r="E103" s="220">
        <f t="shared" si="3"/>
        <v>65003</v>
      </c>
      <c r="F103" s="221">
        <v>0.31248673505482844</v>
      </c>
    </row>
    <row r="104" spans="1:6" ht="15" x14ac:dyDescent="0.25">
      <c r="A104" s="216">
        <v>44362</v>
      </c>
      <c r="B104" s="220">
        <v>20821502</v>
      </c>
      <c r="C104" s="220">
        <v>11681559</v>
      </c>
      <c r="D104" s="220">
        <f t="shared" si="2"/>
        <v>235243</v>
      </c>
      <c r="E104" s="220">
        <f t="shared" si="3"/>
        <v>61014</v>
      </c>
      <c r="F104" s="221">
        <v>0.33825646741907017</v>
      </c>
    </row>
    <row r="105" spans="1:6" ht="15" x14ac:dyDescent="0.25">
      <c r="A105" s="216">
        <v>44363</v>
      </c>
      <c r="B105" s="220">
        <v>21619220</v>
      </c>
      <c r="C105" s="220">
        <v>11839394</v>
      </c>
      <c r="D105" s="220">
        <f t="shared" si="2"/>
        <v>797718</v>
      </c>
      <c r="E105" s="220">
        <f t="shared" si="3"/>
        <v>157835</v>
      </c>
      <c r="F105" s="221">
        <v>0.3216544607190413</v>
      </c>
    </row>
    <row r="106" spans="1:6" ht="15" x14ac:dyDescent="0.25">
      <c r="A106" s="216">
        <v>44364</v>
      </c>
      <c r="B106" s="220">
        <v>21619220</v>
      </c>
      <c r="C106" s="220">
        <v>11839394</v>
      </c>
      <c r="D106" s="220">
        <f t="shared" si="2"/>
        <v>0</v>
      </c>
      <c r="E106" s="220">
        <f t="shared" si="3"/>
        <v>0</v>
      </c>
      <c r="F106" s="221">
        <v>0.33999090270024396</v>
      </c>
    </row>
    <row r="107" spans="1:6" ht="15" x14ac:dyDescent="0.25">
      <c r="A107" s="217">
        <v>44365</v>
      </c>
      <c r="B107" s="220">
        <v>21908435</v>
      </c>
      <c r="C107" s="220">
        <v>11941072</v>
      </c>
      <c r="D107" s="220">
        <f t="shared" si="2"/>
        <v>289215</v>
      </c>
      <c r="E107" s="220">
        <f t="shared" si="3"/>
        <v>101678</v>
      </c>
      <c r="F107" s="221">
        <v>0.34733030920970492</v>
      </c>
    </row>
    <row r="108" spans="1:6" ht="15" x14ac:dyDescent="0.25">
      <c r="A108" s="216">
        <v>44366</v>
      </c>
      <c r="B108" s="220">
        <v>22360872</v>
      </c>
      <c r="C108" s="220">
        <v>12070731</v>
      </c>
      <c r="D108" s="220">
        <f t="shared" si="2"/>
        <v>452437</v>
      </c>
      <c r="E108" s="220">
        <f t="shared" si="3"/>
        <v>129659</v>
      </c>
      <c r="F108" s="221">
        <v>0.40794782512573924</v>
      </c>
    </row>
    <row r="109" spans="1:6" ht="15" x14ac:dyDescent="0.25">
      <c r="A109" s="216">
        <v>44367</v>
      </c>
      <c r="B109" s="220">
        <v>22898275</v>
      </c>
      <c r="C109" s="220">
        <v>12202738</v>
      </c>
      <c r="D109" s="220">
        <f t="shared" si="2"/>
        <v>537403</v>
      </c>
      <c r="E109" s="220">
        <f t="shared" si="3"/>
        <v>132007</v>
      </c>
      <c r="F109" s="221">
        <v>0.32705468291729128</v>
      </c>
    </row>
    <row r="110" spans="1:6" ht="15" x14ac:dyDescent="0.25">
      <c r="A110" s="216">
        <v>44368</v>
      </c>
      <c r="B110" s="220">
        <v>22940700</v>
      </c>
      <c r="C110" s="220">
        <v>12208344</v>
      </c>
      <c r="D110" s="220">
        <f t="shared" si="2"/>
        <v>42425</v>
      </c>
      <c r="E110" s="220">
        <f t="shared" si="3"/>
        <v>5606</v>
      </c>
      <c r="F110" s="221">
        <v>0.39319927914255903</v>
      </c>
    </row>
    <row r="111" spans="1:6" ht="15" x14ac:dyDescent="0.25">
      <c r="A111" s="216">
        <v>44369</v>
      </c>
      <c r="B111" s="220">
        <v>23423398</v>
      </c>
      <c r="C111" s="220">
        <v>12363230</v>
      </c>
      <c r="D111" s="220">
        <f t="shared" si="2"/>
        <v>482698</v>
      </c>
      <c r="E111" s="220">
        <f t="shared" si="3"/>
        <v>154886</v>
      </c>
      <c r="F111" s="221">
        <v>0.41989954045099925</v>
      </c>
    </row>
    <row r="112" spans="1:6" ht="15" x14ac:dyDescent="0.25">
      <c r="A112" s="216">
        <v>44370</v>
      </c>
      <c r="B112" s="220">
        <v>23886601</v>
      </c>
      <c r="C112" s="220">
        <v>12545626</v>
      </c>
      <c r="D112" s="220">
        <f t="shared" si="2"/>
        <v>463203</v>
      </c>
      <c r="E112" s="220">
        <f t="shared" si="3"/>
        <v>182396</v>
      </c>
      <c r="F112" s="221">
        <v>0.41129184435973881</v>
      </c>
    </row>
    <row r="113" spans="1:6" ht="15" x14ac:dyDescent="0.25">
      <c r="A113" s="216">
        <v>44371</v>
      </c>
      <c r="B113" s="220">
        <v>24547308</v>
      </c>
      <c r="C113" s="220">
        <v>12632708</v>
      </c>
      <c r="D113" s="220">
        <f t="shared" si="2"/>
        <v>660707</v>
      </c>
      <c r="E113" s="220">
        <f t="shared" si="3"/>
        <v>87082</v>
      </c>
      <c r="F113" s="221">
        <v>0.42348266885874775</v>
      </c>
    </row>
    <row r="114" spans="1:6" ht="15" x14ac:dyDescent="0.25">
      <c r="A114" s="216">
        <v>44372</v>
      </c>
      <c r="B114" s="220">
        <v>25356083</v>
      </c>
      <c r="C114" s="220">
        <v>12868880</v>
      </c>
      <c r="D114" s="220">
        <f t="shared" si="2"/>
        <v>808775</v>
      </c>
      <c r="E114" s="220">
        <f t="shared" si="3"/>
        <v>236172</v>
      </c>
      <c r="F114" s="221">
        <v>0.46782597777638268</v>
      </c>
    </row>
    <row r="115" spans="1:6" ht="15" x14ac:dyDescent="0.25">
      <c r="A115" s="216">
        <v>44373</v>
      </c>
      <c r="B115" s="220">
        <v>25607320</v>
      </c>
      <c r="C115" s="220">
        <v>12911878</v>
      </c>
      <c r="D115" s="220">
        <f t="shared" si="2"/>
        <v>251237</v>
      </c>
      <c r="E115" s="220">
        <f t="shared" si="3"/>
        <v>42998</v>
      </c>
      <c r="F115" s="221">
        <v>0.4536359458408456</v>
      </c>
    </row>
    <row r="116" spans="1:6" ht="15" x14ac:dyDescent="0.25">
      <c r="A116" s="216">
        <v>44374</v>
      </c>
      <c r="B116" s="220">
        <v>26325000</v>
      </c>
      <c r="C116" s="220">
        <v>13020134</v>
      </c>
      <c r="D116" s="220">
        <f t="shared" si="2"/>
        <v>717680</v>
      </c>
      <c r="E116" s="220">
        <f t="shared" si="3"/>
        <v>108256</v>
      </c>
      <c r="F116" s="221">
        <v>0.44014718233811945</v>
      </c>
    </row>
    <row r="117" spans="1:6" ht="15" x14ac:dyDescent="0.25">
      <c r="A117" s="216">
        <v>44375</v>
      </c>
      <c r="B117" s="220">
        <v>27061850</v>
      </c>
      <c r="C117" s="220">
        <v>13063004</v>
      </c>
      <c r="D117" s="220">
        <f t="shared" si="2"/>
        <v>736850</v>
      </c>
      <c r="E117" s="220">
        <f t="shared" si="3"/>
        <v>42870</v>
      </c>
      <c r="F117" s="221">
        <v>0.46068878310026778</v>
      </c>
    </row>
    <row r="118" spans="1:6" ht="15" x14ac:dyDescent="0.25">
      <c r="A118" s="216">
        <v>44376</v>
      </c>
      <c r="B118" s="220">
        <v>27648794</v>
      </c>
      <c r="C118" s="220">
        <v>13203708</v>
      </c>
      <c r="D118" s="220">
        <f t="shared" si="2"/>
        <v>586944</v>
      </c>
      <c r="E118" s="220">
        <f t="shared" si="3"/>
        <v>140704</v>
      </c>
      <c r="F118" s="221">
        <v>0.46834195614683422</v>
      </c>
    </row>
    <row r="119" spans="1:6" ht="15" x14ac:dyDescent="0.25">
      <c r="A119" s="216">
        <v>44377</v>
      </c>
      <c r="B119" s="220">
        <v>28158749</v>
      </c>
      <c r="C119" s="220">
        <v>13273706</v>
      </c>
      <c r="D119" s="220">
        <f t="shared" si="2"/>
        <v>509955</v>
      </c>
      <c r="E119" s="220">
        <f t="shared" si="3"/>
        <v>69998</v>
      </c>
      <c r="F119" s="221">
        <v>0.48584983362435347</v>
      </c>
    </row>
    <row r="120" spans="1:6" ht="15" x14ac:dyDescent="0.25">
      <c r="A120" s="216">
        <v>44378</v>
      </c>
      <c r="B120" s="220">
        <v>29556053</v>
      </c>
      <c r="C120" s="220">
        <v>13528655</v>
      </c>
      <c r="D120" s="220">
        <f t="shared" si="2"/>
        <v>1397304</v>
      </c>
      <c r="E120" s="220">
        <f t="shared" si="3"/>
        <v>254949</v>
      </c>
      <c r="F120" s="221">
        <v>0.47243470575686464</v>
      </c>
    </row>
    <row r="121" spans="1:6" ht="15" x14ac:dyDescent="0.25">
      <c r="A121" s="216">
        <v>44379</v>
      </c>
      <c r="B121" s="220">
        <v>30184392</v>
      </c>
      <c r="C121" s="220">
        <v>13624157</v>
      </c>
      <c r="D121" s="220">
        <f t="shared" si="2"/>
        <v>628339</v>
      </c>
      <c r="E121" s="220">
        <f t="shared" si="3"/>
        <v>95502</v>
      </c>
      <c r="F121" s="221">
        <v>0.49213723057391001</v>
      </c>
    </row>
    <row r="122" spans="1:6" ht="15" x14ac:dyDescent="0.25">
      <c r="A122" s="216">
        <v>44380</v>
      </c>
      <c r="B122" s="220">
        <v>31573240</v>
      </c>
      <c r="C122" s="220">
        <v>13922732</v>
      </c>
      <c r="D122" s="220">
        <f t="shared" si="2"/>
        <v>1388848</v>
      </c>
      <c r="E122" s="220">
        <f t="shared" si="3"/>
        <v>298575</v>
      </c>
      <c r="F122" s="221">
        <v>0.51653538661238463</v>
      </c>
    </row>
    <row r="123" spans="1:6" ht="15" x14ac:dyDescent="0.25">
      <c r="A123" s="216">
        <v>44381</v>
      </c>
      <c r="B123" s="220">
        <v>31961064</v>
      </c>
      <c r="C123" s="220">
        <v>13970538</v>
      </c>
      <c r="D123" s="220">
        <f t="shared" si="2"/>
        <v>387824</v>
      </c>
      <c r="E123" s="220">
        <f t="shared" si="3"/>
        <v>47806</v>
      </c>
      <c r="F123" s="221">
        <v>0.48449976514795678</v>
      </c>
    </row>
    <row r="124" spans="1:6" ht="15" x14ac:dyDescent="0.25">
      <c r="A124" s="216">
        <v>44382</v>
      </c>
      <c r="B124" s="220">
        <v>32063745</v>
      </c>
      <c r="C124" s="220">
        <v>13979564</v>
      </c>
      <c r="D124" s="220">
        <f t="shared" si="2"/>
        <v>102681</v>
      </c>
      <c r="E124" s="220">
        <f t="shared" si="3"/>
        <v>9026</v>
      </c>
      <c r="F124" s="221">
        <v>0.46421387864565872</v>
      </c>
    </row>
    <row r="125" spans="1:6" ht="15" x14ac:dyDescent="0.25">
      <c r="A125" s="216">
        <v>44383</v>
      </c>
      <c r="B125" s="220">
        <v>32302268</v>
      </c>
      <c r="C125" s="220">
        <v>14035934</v>
      </c>
      <c r="D125" s="220">
        <f t="shared" si="2"/>
        <v>238523</v>
      </c>
      <c r="E125" s="220">
        <f t="shared" si="3"/>
        <v>56370</v>
      </c>
      <c r="F125" s="221">
        <v>0.51640003786444533</v>
      </c>
    </row>
    <row r="126" spans="1:6" ht="15" x14ac:dyDescent="0.25">
      <c r="A126" s="218">
        <v>44384</v>
      </c>
      <c r="B126" s="220">
        <v>33488253</v>
      </c>
      <c r="C126" s="220">
        <v>14357113</v>
      </c>
      <c r="D126" s="220">
        <f t="shared" si="2"/>
        <v>1185985</v>
      </c>
      <c r="E126" s="220">
        <f t="shared" si="3"/>
        <v>321179</v>
      </c>
      <c r="F126" s="221">
        <v>0.48981001727115719</v>
      </c>
    </row>
    <row r="127" spans="1:6" ht="15" x14ac:dyDescent="0.25">
      <c r="A127" s="218">
        <v>44385</v>
      </c>
      <c r="B127" s="220">
        <v>34249444</v>
      </c>
      <c r="C127" s="220">
        <v>14516938</v>
      </c>
      <c r="D127" s="220">
        <f t="shared" si="2"/>
        <v>761191</v>
      </c>
      <c r="E127" s="220">
        <f t="shared" si="3"/>
        <v>159825</v>
      </c>
      <c r="F127" s="221">
        <v>0.49313131313131314</v>
      </c>
    </row>
    <row r="128" spans="1:6" ht="15" x14ac:dyDescent="0.25">
      <c r="A128" s="218">
        <v>44386</v>
      </c>
      <c r="B128" s="220">
        <v>34959051</v>
      </c>
      <c r="C128" s="220">
        <v>14659369</v>
      </c>
      <c r="D128" s="220">
        <f t="shared" si="2"/>
        <v>709607</v>
      </c>
      <c r="E128" s="220">
        <f t="shared" si="3"/>
        <v>142431</v>
      </c>
      <c r="F128" s="221">
        <v>0.47087767733891439</v>
      </c>
    </row>
    <row r="129" spans="1:6" ht="15" x14ac:dyDescent="0.25">
      <c r="A129" s="218">
        <v>44387</v>
      </c>
      <c r="B129" s="220">
        <v>35775567</v>
      </c>
      <c r="C129" s="220">
        <v>14868577</v>
      </c>
      <c r="D129" s="220">
        <f t="shared" si="2"/>
        <v>816516</v>
      </c>
      <c r="E129" s="220">
        <f t="shared" si="3"/>
        <v>209208</v>
      </c>
      <c r="F129" s="221">
        <v>0.47204968944099379</v>
      </c>
    </row>
    <row r="130" spans="1:6" ht="15" x14ac:dyDescent="0.25">
      <c r="A130" s="218">
        <v>44388</v>
      </c>
      <c r="B130" s="220">
        <v>36193076</v>
      </c>
      <c r="C130" s="220">
        <v>14969330</v>
      </c>
      <c r="D130" s="220">
        <f t="shared" si="2"/>
        <v>417509</v>
      </c>
      <c r="E130" s="220">
        <f t="shared" si="3"/>
        <v>100753</v>
      </c>
      <c r="F130" s="221">
        <v>0.43676898222940225</v>
      </c>
    </row>
    <row r="131" spans="1:6" ht="15" x14ac:dyDescent="0.25">
      <c r="A131" s="218">
        <v>44389</v>
      </c>
      <c r="B131" s="220">
        <v>36278606</v>
      </c>
      <c r="C131" s="220">
        <v>15016402</v>
      </c>
      <c r="D131" s="220">
        <f t="shared" si="2"/>
        <v>85530</v>
      </c>
      <c r="E131" s="220">
        <f t="shared" si="3"/>
        <v>47072</v>
      </c>
      <c r="F131" s="221">
        <v>0.42528936340051887</v>
      </c>
    </row>
    <row r="132" spans="1:6" ht="15" x14ac:dyDescent="0.25">
      <c r="A132" s="218">
        <v>44390</v>
      </c>
      <c r="B132" s="220">
        <v>36395019</v>
      </c>
      <c r="C132" s="220">
        <v>15038548</v>
      </c>
      <c r="D132" s="220">
        <f t="shared" ref="D132:D180" si="4">B132-B131</f>
        <v>116413</v>
      </c>
      <c r="E132" s="220">
        <f t="shared" ref="E132:E180" si="5">C132-C131</f>
        <v>22146</v>
      </c>
      <c r="F132" s="221">
        <v>0.43569338998397994</v>
      </c>
    </row>
    <row r="133" spans="1:6" ht="15" x14ac:dyDescent="0.25">
      <c r="A133" s="218">
        <v>44391</v>
      </c>
      <c r="B133" s="220">
        <v>37031826</v>
      </c>
      <c r="C133" s="220">
        <v>15254221</v>
      </c>
      <c r="D133" s="220">
        <f t="shared" si="4"/>
        <v>636807</v>
      </c>
      <c r="E133" s="220">
        <f t="shared" si="5"/>
        <v>215673</v>
      </c>
      <c r="F133" s="221">
        <v>0.43773107975552705</v>
      </c>
    </row>
    <row r="134" spans="1:6" ht="15" x14ac:dyDescent="0.25">
      <c r="A134" s="218">
        <v>44392</v>
      </c>
      <c r="B134" s="220">
        <v>39278153</v>
      </c>
      <c r="C134" s="220">
        <v>15685534</v>
      </c>
      <c r="D134" s="220">
        <f t="shared" si="4"/>
        <v>2246327</v>
      </c>
      <c r="E134" s="220">
        <f t="shared" si="5"/>
        <v>431313</v>
      </c>
      <c r="F134" s="221">
        <v>0.43646366768832456</v>
      </c>
    </row>
    <row r="135" spans="1:6" ht="15" x14ac:dyDescent="0.25">
      <c r="A135" s="218">
        <v>44393</v>
      </c>
      <c r="B135" s="220">
        <v>39943004</v>
      </c>
      <c r="C135" s="220">
        <v>15876777</v>
      </c>
      <c r="D135" s="220">
        <f t="shared" si="4"/>
        <v>664851</v>
      </c>
      <c r="E135" s="220">
        <f t="shared" si="5"/>
        <v>191243</v>
      </c>
      <c r="F135" s="221">
        <v>0.41217322801998468</v>
      </c>
    </row>
    <row r="136" spans="1:6" ht="15" x14ac:dyDescent="0.25">
      <c r="A136" s="218">
        <v>44394</v>
      </c>
      <c r="B136" s="220">
        <v>40912440</v>
      </c>
      <c r="C136" s="220">
        <v>16098999</v>
      </c>
      <c r="D136" s="220">
        <f t="shared" si="4"/>
        <v>969436</v>
      </c>
      <c r="E136" s="220">
        <f t="shared" si="5"/>
        <v>222222</v>
      </c>
      <c r="F136" s="221">
        <v>0.39926241788636624</v>
      </c>
    </row>
    <row r="137" spans="1:6" ht="15" x14ac:dyDescent="0.25">
      <c r="A137" s="218">
        <v>44395</v>
      </c>
      <c r="B137" s="220">
        <v>41268627</v>
      </c>
      <c r="C137" s="220">
        <v>16217855</v>
      </c>
      <c r="D137" s="220">
        <f t="shared" si="4"/>
        <v>356187</v>
      </c>
      <c r="E137" s="220">
        <f t="shared" si="5"/>
        <v>118856</v>
      </c>
      <c r="F137" s="221">
        <v>0.37674938051861934</v>
      </c>
    </row>
    <row r="138" spans="1:6" ht="15" x14ac:dyDescent="0.25">
      <c r="A138" s="218">
        <v>44396</v>
      </c>
      <c r="B138" s="220">
        <v>41778063</v>
      </c>
      <c r="C138" s="220">
        <v>16283343</v>
      </c>
      <c r="D138" s="220">
        <f t="shared" si="4"/>
        <v>509436</v>
      </c>
      <c r="E138" s="220">
        <f t="shared" si="5"/>
        <v>65488</v>
      </c>
      <c r="F138" s="221">
        <v>0.36421568627450979</v>
      </c>
    </row>
    <row r="139" spans="1:6" ht="15" x14ac:dyDescent="0.25">
      <c r="A139" s="218">
        <v>44397</v>
      </c>
      <c r="B139" s="220">
        <v>42313731</v>
      </c>
      <c r="C139" s="220">
        <v>16444462</v>
      </c>
      <c r="D139" s="220">
        <f t="shared" si="4"/>
        <v>535668</v>
      </c>
      <c r="E139" s="220">
        <f t="shared" si="5"/>
        <v>161119</v>
      </c>
      <c r="F139" s="221">
        <v>0.40911629638823382</v>
      </c>
    </row>
    <row r="140" spans="1:6" ht="15" x14ac:dyDescent="0.25">
      <c r="A140" s="218">
        <v>44398</v>
      </c>
      <c r="B140" s="220">
        <v>42344675</v>
      </c>
      <c r="C140" s="220">
        <v>16451288</v>
      </c>
      <c r="D140" s="220">
        <f t="shared" si="4"/>
        <v>30944</v>
      </c>
      <c r="E140" s="220">
        <f t="shared" si="5"/>
        <v>6826</v>
      </c>
      <c r="F140" s="221">
        <v>0.39449633423722003</v>
      </c>
    </row>
    <row r="141" spans="1:6" ht="15" x14ac:dyDescent="0.25">
      <c r="A141" s="218">
        <v>44399</v>
      </c>
      <c r="B141" s="220">
        <v>42868023</v>
      </c>
      <c r="C141" s="220">
        <v>16713406</v>
      </c>
      <c r="D141" s="220">
        <f t="shared" si="4"/>
        <v>523348</v>
      </c>
      <c r="E141" s="220">
        <f t="shared" si="5"/>
        <v>262118</v>
      </c>
      <c r="F141" s="221">
        <v>0.38201352964584162</v>
      </c>
    </row>
    <row r="142" spans="1:6" ht="15" x14ac:dyDescent="0.25">
      <c r="A142" s="218">
        <v>44400</v>
      </c>
      <c r="B142" s="220">
        <v>43155795</v>
      </c>
      <c r="C142" s="220">
        <v>16896200</v>
      </c>
      <c r="D142" s="220">
        <f t="shared" si="4"/>
        <v>287772</v>
      </c>
      <c r="E142" s="220">
        <f t="shared" si="5"/>
        <v>182794</v>
      </c>
      <c r="F142" s="221">
        <v>0.35513796384395813</v>
      </c>
    </row>
    <row r="143" spans="1:6" ht="15" x14ac:dyDescent="0.25">
      <c r="A143" s="218">
        <v>44401</v>
      </c>
      <c r="B143" s="220">
        <v>43932287</v>
      </c>
      <c r="C143" s="220">
        <v>17253709</v>
      </c>
      <c r="D143" s="220">
        <f t="shared" si="4"/>
        <v>776492</v>
      </c>
      <c r="E143" s="220">
        <f t="shared" si="5"/>
        <v>357509</v>
      </c>
      <c r="F143" s="221">
        <v>0.34885634359058748</v>
      </c>
    </row>
    <row r="144" spans="1:6" ht="15" x14ac:dyDescent="0.25">
      <c r="A144" s="218">
        <v>44402</v>
      </c>
      <c r="B144" s="220">
        <v>44342198</v>
      </c>
      <c r="C144" s="220">
        <v>17798139</v>
      </c>
      <c r="D144" s="220">
        <f t="shared" si="4"/>
        <v>409911</v>
      </c>
      <c r="E144" s="220">
        <f t="shared" si="5"/>
        <v>544430</v>
      </c>
      <c r="F144" s="221">
        <v>0.30675062750451365</v>
      </c>
    </row>
    <row r="145" spans="1:6" ht="15" x14ac:dyDescent="0.25">
      <c r="A145" s="218">
        <v>44403</v>
      </c>
      <c r="B145" s="220">
        <v>44551337</v>
      </c>
      <c r="C145" s="220">
        <v>17933565</v>
      </c>
      <c r="D145" s="220">
        <f t="shared" si="4"/>
        <v>209139</v>
      </c>
      <c r="E145" s="220">
        <f t="shared" si="5"/>
        <v>135426</v>
      </c>
      <c r="F145" s="221">
        <v>0.3097204258282758</v>
      </c>
    </row>
    <row r="146" spans="1:6" ht="15" x14ac:dyDescent="0.25">
      <c r="A146" s="218">
        <v>44404</v>
      </c>
      <c r="B146" s="220">
        <v>45012649</v>
      </c>
      <c r="C146" s="220">
        <v>18367098</v>
      </c>
      <c r="D146" s="220">
        <f t="shared" si="4"/>
        <v>461312</v>
      </c>
      <c r="E146" s="220">
        <f t="shared" si="5"/>
        <v>433533</v>
      </c>
      <c r="F146" s="221">
        <v>0.30204152852905253</v>
      </c>
    </row>
    <row r="147" spans="1:6" ht="15" x14ac:dyDescent="0.25">
      <c r="A147" s="218">
        <v>44405</v>
      </c>
      <c r="B147" s="220">
        <v>45534183</v>
      </c>
      <c r="C147" s="220">
        <v>18857251</v>
      </c>
      <c r="D147" s="220">
        <f t="shared" si="4"/>
        <v>521534</v>
      </c>
      <c r="E147" s="220">
        <f t="shared" si="5"/>
        <v>490153</v>
      </c>
      <c r="F147" s="221">
        <v>0.28850486036105538</v>
      </c>
    </row>
    <row r="148" spans="1:6" ht="15" x14ac:dyDescent="0.25">
      <c r="A148" s="218">
        <v>44406</v>
      </c>
      <c r="B148" s="220">
        <v>46053004</v>
      </c>
      <c r="C148" s="220">
        <v>19354329</v>
      </c>
      <c r="D148" s="220">
        <f t="shared" si="4"/>
        <v>518821</v>
      </c>
      <c r="E148" s="220">
        <f t="shared" si="5"/>
        <v>497078</v>
      </c>
      <c r="F148" s="221">
        <v>0.2806345910521364</v>
      </c>
    </row>
    <row r="149" spans="1:6" ht="15" x14ac:dyDescent="0.25">
      <c r="A149" s="218">
        <v>44407</v>
      </c>
      <c r="B149" s="220">
        <v>46567370</v>
      </c>
      <c r="C149" s="220">
        <v>19867271</v>
      </c>
      <c r="D149" s="220">
        <f t="shared" si="4"/>
        <v>514366</v>
      </c>
      <c r="E149" s="220">
        <f t="shared" si="5"/>
        <v>512942</v>
      </c>
      <c r="F149" s="221">
        <v>0.26543209876543211</v>
      </c>
    </row>
    <row r="150" spans="1:6" ht="15" x14ac:dyDescent="0.25">
      <c r="A150" s="218">
        <v>44408</v>
      </c>
      <c r="B150" s="220">
        <v>47014920</v>
      </c>
      <c r="C150" s="220">
        <v>20302847</v>
      </c>
      <c r="D150" s="220">
        <f t="shared" si="4"/>
        <v>447550</v>
      </c>
      <c r="E150" s="220">
        <f t="shared" si="5"/>
        <v>435576</v>
      </c>
      <c r="F150" s="221">
        <v>0.26673291220100787</v>
      </c>
    </row>
    <row r="151" spans="1:6" ht="15" x14ac:dyDescent="0.25">
      <c r="A151" s="218">
        <v>44409</v>
      </c>
      <c r="B151" s="220">
        <v>47390494</v>
      </c>
      <c r="C151" s="220">
        <v>20621294</v>
      </c>
      <c r="D151" s="220">
        <f t="shared" si="4"/>
        <v>375574</v>
      </c>
      <c r="E151" s="220">
        <f t="shared" si="5"/>
        <v>318447</v>
      </c>
      <c r="F151" s="221">
        <v>0.22186940707811328</v>
      </c>
    </row>
    <row r="152" spans="1:6" ht="15" x14ac:dyDescent="0.25">
      <c r="A152" s="218">
        <v>44410</v>
      </c>
      <c r="B152" s="220">
        <v>47562344</v>
      </c>
      <c r="C152" s="220">
        <v>20707102</v>
      </c>
      <c r="D152" s="220">
        <f t="shared" si="4"/>
        <v>171850</v>
      </c>
      <c r="E152" s="220">
        <f t="shared" si="5"/>
        <v>85808</v>
      </c>
      <c r="F152" s="221">
        <v>0.21294538390215903</v>
      </c>
    </row>
    <row r="153" spans="1:6" ht="15" x14ac:dyDescent="0.25">
      <c r="A153" s="218">
        <v>44411</v>
      </c>
      <c r="B153" s="220">
        <v>47847179</v>
      </c>
      <c r="C153" s="220">
        <v>21071096</v>
      </c>
      <c r="D153" s="220">
        <f t="shared" si="4"/>
        <v>284835</v>
      </c>
      <c r="E153" s="220">
        <f t="shared" si="5"/>
        <v>363994</v>
      </c>
      <c r="F153" s="221">
        <v>0.22019609067632548</v>
      </c>
    </row>
    <row r="154" spans="1:6" ht="15" x14ac:dyDescent="0.25">
      <c r="A154" s="218">
        <v>44412</v>
      </c>
      <c r="B154" s="220">
        <v>48148817</v>
      </c>
      <c r="C154" s="220">
        <v>21496995</v>
      </c>
      <c r="D154" s="220">
        <f t="shared" si="4"/>
        <v>301638</v>
      </c>
      <c r="E154" s="220">
        <f t="shared" si="5"/>
        <v>425899</v>
      </c>
      <c r="F154" s="221">
        <v>0.21734403119376125</v>
      </c>
    </row>
    <row r="155" spans="1:6" ht="15" x14ac:dyDescent="0.25">
      <c r="A155" s="218">
        <v>44413</v>
      </c>
      <c r="B155" s="220">
        <v>48494768</v>
      </c>
      <c r="C155" s="220">
        <v>21976626</v>
      </c>
      <c r="D155" s="220">
        <f t="shared" si="4"/>
        <v>345951</v>
      </c>
      <c r="E155" s="220">
        <f t="shared" si="5"/>
        <v>479631</v>
      </c>
      <c r="F155" s="221">
        <v>0.2026370299553856</v>
      </c>
    </row>
    <row r="156" spans="1:6" ht="15" x14ac:dyDescent="0.25">
      <c r="A156" s="218">
        <v>44414</v>
      </c>
      <c r="B156" s="220">
        <v>48856419</v>
      </c>
      <c r="C156" s="220">
        <v>22283984</v>
      </c>
      <c r="D156" s="220">
        <f t="shared" si="4"/>
        <v>361651</v>
      </c>
      <c r="E156" s="220">
        <f t="shared" si="5"/>
        <v>307358</v>
      </c>
      <c r="F156" s="221">
        <v>0.18458856081567676</v>
      </c>
    </row>
    <row r="157" spans="1:6" ht="15" x14ac:dyDescent="0.25">
      <c r="A157" s="218">
        <v>44415</v>
      </c>
      <c r="B157" s="220">
        <v>49542688</v>
      </c>
      <c r="C157" s="220">
        <v>23082021</v>
      </c>
      <c r="D157" s="220">
        <f t="shared" si="4"/>
        <v>686269</v>
      </c>
      <c r="E157" s="220">
        <f t="shared" si="5"/>
        <v>798037</v>
      </c>
      <c r="F157" s="221">
        <v>0.17422920302501455</v>
      </c>
    </row>
    <row r="158" spans="1:6" ht="15" x14ac:dyDescent="0.25">
      <c r="A158" s="217">
        <v>44416</v>
      </c>
      <c r="B158" s="220">
        <v>49964745</v>
      </c>
      <c r="C158" s="220">
        <v>23528130</v>
      </c>
      <c r="D158" s="220">
        <f t="shared" si="4"/>
        <v>422057</v>
      </c>
      <c r="E158" s="220">
        <f t="shared" si="5"/>
        <v>446109</v>
      </c>
      <c r="F158" s="221">
        <v>0.16060314404876483</v>
      </c>
    </row>
    <row r="159" spans="1:6" ht="15" x14ac:dyDescent="0.25">
      <c r="A159" s="217">
        <v>44417</v>
      </c>
      <c r="B159" s="220">
        <v>50561571</v>
      </c>
      <c r="C159" s="220">
        <v>24047214</v>
      </c>
      <c r="D159" s="220">
        <f t="shared" si="4"/>
        <v>596826</v>
      </c>
      <c r="E159" s="220">
        <f t="shared" si="5"/>
        <v>519084</v>
      </c>
      <c r="F159" s="221">
        <v>0.17383545346389678</v>
      </c>
    </row>
    <row r="160" spans="1:6" ht="15" x14ac:dyDescent="0.25">
      <c r="A160" s="217">
        <v>44418</v>
      </c>
      <c r="B160" s="220">
        <v>50837608</v>
      </c>
      <c r="C160" s="220">
        <v>24615964</v>
      </c>
      <c r="D160" s="220">
        <f t="shared" si="4"/>
        <v>276037</v>
      </c>
      <c r="E160" s="220">
        <f t="shared" si="5"/>
        <v>568750</v>
      </c>
      <c r="F160" s="221">
        <v>0.17197543721047151</v>
      </c>
    </row>
    <row r="161" spans="1:6" ht="15" x14ac:dyDescent="0.25">
      <c r="A161" s="217">
        <v>44419</v>
      </c>
      <c r="B161" s="220">
        <v>51443042</v>
      </c>
      <c r="C161" s="220">
        <v>25249992</v>
      </c>
      <c r="D161" s="220">
        <f t="shared" si="4"/>
        <v>605434</v>
      </c>
      <c r="E161" s="220">
        <f t="shared" si="5"/>
        <v>634028</v>
      </c>
      <c r="F161" s="221">
        <v>0.13194311891582364</v>
      </c>
    </row>
    <row r="162" spans="1:6" ht="15" x14ac:dyDescent="0.25">
      <c r="A162" s="217">
        <v>44420</v>
      </c>
      <c r="B162" s="220">
        <v>51894566</v>
      </c>
      <c r="C162" s="220">
        <v>25502849</v>
      </c>
      <c r="D162" s="220">
        <f t="shared" si="4"/>
        <v>451524</v>
      </c>
      <c r="E162" s="220">
        <f t="shared" si="5"/>
        <v>252857</v>
      </c>
      <c r="F162" s="221">
        <v>0.1357045862718472</v>
      </c>
    </row>
    <row r="163" spans="1:6" ht="15" x14ac:dyDescent="0.25">
      <c r="A163" s="217">
        <v>44421</v>
      </c>
      <c r="B163" s="220">
        <v>52026916</v>
      </c>
      <c r="C163" s="220">
        <v>26144162</v>
      </c>
      <c r="D163" s="220">
        <f t="shared" si="4"/>
        <v>132350</v>
      </c>
      <c r="E163" s="220">
        <f t="shared" si="5"/>
        <v>641313</v>
      </c>
      <c r="F163" s="221">
        <v>0.13845963143541856</v>
      </c>
    </row>
    <row r="164" spans="1:6" ht="15" x14ac:dyDescent="0.25">
      <c r="A164" s="217">
        <v>44422</v>
      </c>
      <c r="B164" s="220">
        <v>53291307</v>
      </c>
      <c r="C164" s="220">
        <v>27362915</v>
      </c>
      <c r="D164" s="220">
        <f t="shared" si="4"/>
        <v>1264391</v>
      </c>
      <c r="E164" s="220">
        <f t="shared" si="5"/>
        <v>1218753</v>
      </c>
      <c r="F164" s="221">
        <v>0.13540996267215857</v>
      </c>
    </row>
    <row r="165" spans="1:6" ht="15" x14ac:dyDescent="0.25">
      <c r="A165" s="217">
        <v>44423</v>
      </c>
      <c r="B165" s="220">
        <v>53992005</v>
      </c>
      <c r="C165" s="220">
        <v>28223026</v>
      </c>
      <c r="D165" s="220">
        <f t="shared" si="4"/>
        <v>700698</v>
      </c>
      <c r="E165" s="220">
        <f t="shared" si="5"/>
        <v>860111</v>
      </c>
      <c r="F165" s="221">
        <v>0.11290776152980878</v>
      </c>
    </row>
    <row r="166" spans="1:6" ht="15" x14ac:dyDescent="0.25">
      <c r="A166" s="217">
        <v>44424</v>
      </c>
      <c r="B166" s="220">
        <v>53688122</v>
      </c>
      <c r="C166" s="220">
        <v>28112285</v>
      </c>
      <c r="D166" s="220">
        <f t="shared" si="4"/>
        <v>-303883</v>
      </c>
      <c r="E166" s="220">
        <f t="shared" si="5"/>
        <v>-110741</v>
      </c>
      <c r="F166" s="221">
        <v>0.10568044476673918</v>
      </c>
    </row>
    <row r="167" spans="1:6" ht="15" x14ac:dyDescent="0.25">
      <c r="A167" s="217">
        <v>44425</v>
      </c>
      <c r="B167" s="220">
        <v>54674912</v>
      </c>
      <c r="C167" s="220">
        <v>28944920</v>
      </c>
      <c r="D167" s="220">
        <f t="shared" si="4"/>
        <v>986790</v>
      </c>
      <c r="E167" s="220">
        <f t="shared" si="5"/>
        <v>832635</v>
      </c>
      <c r="F167" s="221">
        <v>0.12590486039296794</v>
      </c>
    </row>
    <row r="168" spans="1:6" ht="15" x14ac:dyDescent="0.25">
      <c r="A168" s="217">
        <v>44426</v>
      </c>
      <c r="B168" s="220">
        <v>55100253</v>
      </c>
      <c r="C168" s="220">
        <v>29193717</v>
      </c>
      <c r="D168" s="220">
        <f t="shared" si="4"/>
        <v>425341</v>
      </c>
      <c r="E168" s="220">
        <f t="shared" si="5"/>
        <v>248797</v>
      </c>
      <c r="F168" s="221">
        <v>0.10733612273361227</v>
      </c>
    </row>
    <row r="169" spans="1:6" ht="15" x14ac:dyDescent="0.25">
      <c r="A169" s="217">
        <v>44427</v>
      </c>
      <c r="B169" s="220">
        <v>55660964</v>
      </c>
      <c r="C169" s="220">
        <v>29877726</v>
      </c>
      <c r="D169" s="220">
        <f t="shared" si="4"/>
        <v>560711</v>
      </c>
      <c r="E169" s="220">
        <f t="shared" si="5"/>
        <v>684009</v>
      </c>
      <c r="F169" s="221">
        <v>0.12039119804400979</v>
      </c>
    </row>
    <row r="170" spans="1:6" ht="15" x14ac:dyDescent="0.25">
      <c r="A170" s="217">
        <v>44428</v>
      </c>
      <c r="B170" s="220">
        <v>56322284</v>
      </c>
      <c r="C170" s="220">
        <v>30590045</v>
      </c>
      <c r="D170" s="220">
        <f t="shared" si="4"/>
        <v>661320</v>
      </c>
      <c r="E170" s="220">
        <f t="shared" si="5"/>
        <v>712319</v>
      </c>
      <c r="F170" s="221">
        <v>0.11841338770322513</v>
      </c>
    </row>
    <row r="171" spans="1:6" ht="15" x14ac:dyDescent="0.25">
      <c r="A171" s="217">
        <v>44429</v>
      </c>
      <c r="B171" s="220">
        <v>56686481</v>
      </c>
      <c r="C171" s="220">
        <v>30948371</v>
      </c>
      <c r="D171" s="220">
        <f t="shared" si="4"/>
        <v>364197</v>
      </c>
      <c r="E171" s="220">
        <f t="shared" si="5"/>
        <v>358326</v>
      </c>
      <c r="F171" s="221">
        <v>9.3939910262963597E-2</v>
      </c>
    </row>
    <row r="172" spans="1:6" ht="15" x14ac:dyDescent="0.25">
      <c r="A172" s="217">
        <v>44430</v>
      </c>
      <c r="B172" s="220">
        <v>57303561</v>
      </c>
      <c r="C172" s="220">
        <v>31587447</v>
      </c>
      <c r="D172" s="220">
        <f t="shared" si="4"/>
        <v>617080</v>
      </c>
      <c r="E172" s="220">
        <f t="shared" si="5"/>
        <v>639076</v>
      </c>
      <c r="F172" s="221">
        <v>8.4896810506566597E-2</v>
      </c>
    </row>
    <row r="173" spans="1:6" ht="15" x14ac:dyDescent="0.25">
      <c r="A173" s="217">
        <v>44431</v>
      </c>
      <c r="B173" s="220">
        <v>57340729</v>
      </c>
      <c r="C173" s="220">
        <v>31602633</v>
      </c>
      <c r="D173" s="220">
        <f t="shared" si="4"/>
        <v>37168</v>
      </c>
      <c r="E173" s="220">
        <f t="shared" si="5"/>
        <v>15186</v>
      </c>
      <c r="F173" s="221">
        <v>8.8742491765161788E-2</v>
      </c>
    </row>
    <row r="174" spans="1:6" ht="15" x14ac:dyDescent="0.25">
      <c r="A174" s="217">
        <v>44432</v>
      </c>
      <c r="B174" s="220">
        <v>58023024</v>
      </c>
      <c r="C174" s="220">
        <v>32247250</v>
      </c>
      <c r="D174" s="220">
        <f t="shared" si="4"/>
        <v>682295</v>
      </c>
      <c r="E174" s="220">
        <f t="shared" si="5"/>
        <v>644617</v>
      </c>
      <c r="F174" s="221">
        <v>8.6482396403614187E-2</v>
      </c>
    </row>
    <row r="175" spans="1:6" ht="15" x14ac:dyDescent="0.25">
      <c r="A175" s="217">
        <v>44433</v>
      </c>
      <c r="B175" s="220">
        <v>58712105</v>
      </c>
      <c r="C175" s="220">
        <v>32799216</v>
      </c>
      <c r="D175" s="220">
        <f t="shared" si="4"/>
        <v>689081</v>
      </c>
      <c r="E175" s="220">
        <f t="shared" si="5"/>
        <v>551966</v>
      </c>
      <c r="F175" s="221">
        <v>7.9773630081079613E-2</v>
      </c>
    </row>
    <row r="176" spans="1:6" ht="15" x14ac:dyDescent="0.25">
      <c r="A176" s="217">
        <v>44434</v>
      </c>
      <c r="B176" s="220">
        <v>59381203</v>
      </c>
      <c r="C176" s="220">
        <v>33344151</v>
      </c>
      <c r="D176" s="220">
        <f t="shared" si="4"/>
        <v>669098</v>
      </c>
      <c r="E176" s="220">
        <f t="shared" si="5"/>
        <v>544935</v>
      </c>
      <c r="F176" s="221">
        <v>7.9996149403157496E-2</v>
      </c>
    </row>
    <row r="177" spans="1:6" ht="15" x14ac:dyDescent="0.25">
      <c r="A177" s="217">
        <v>44435</v>
      </c>
      <c r="B177" s="220">
        <v>59426937</v>
      </c>
      <c r="C177" s="220">
        <v>33357347</v>
      </c>
      <c r="D177" s="220">
        <f t="shared" si="4"/>
        <v>45734</v>
      </c>
      <c r="E177" s="220">
        <f t="shared" si="5"/>
        <v>13196</v>
      </c>
      <c r="F177" s="221">
        <v>7.341656167678387E-2</v>
      </c>
    </row>
    <row r="178" spans="1:6" ht="15" x14ac:dyDescent="0.25">
      <c r="A178" s="217">
        <v>44436</v>
      </c>
      <c r="B178" s="220">
        <v>60791620</v>
      </c>
      <c r="C178" s="220">
        <v>34435705</v>
      </c>
      <c r="D178" s="220">
        <f t="shared" si="4"/>
        <v>1364683</v>
      </c>
      <c r="E178" s="220">
        <f t="shared" si="5"/>
        <v>1078358</v>
      </c>
      <c r="F178" s="221">
        <v>6.5953463492912548E-2</v>
      </c>
    </row>
    <row r="179" spans="1:6" ht="15" x14ac:dyDescent="0.25">
      <c r="A179" s="217">
        <v>44437</v>
      </c>
      <c r="B179" s="220">
        <v>61465338</v>
      </c>
      <c r="C179" s="220">
        <v>34803788</v>
      </c>
      <c r="D179" s="220">
        <f t="shared" si="4"/>
        <v>673718</v>
      </c>
      <c r="E179" s="220">
        <f t="shared" si="5"/>
        <v>368083</v>
      </c>
      <c r="F179" s="221">
        <v>6.0351413292589765E-2</v>
      </c>
    </row>
    <row r="180" spans="1:6" ht="14.4" x14ac:dyDescent="0.25">
      <c r="A180" s="217">
        <v>44438</v>
      </c>
      <c r="B180" s="220">
        <v>61655645</v>
      </c>
      <c r="C180" s="220">
        <v>34858460</v>
      </c>
      <c r="D180" s="220">
        <f t="shared" si="4"/>
        <v>190307</v>
      </c>
      <c r="E180" s="220">
        <f t="shared" si="5"/>
        <v>54672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V909"/>
  <sheetViews>
    <sheetView workbookViewId="0"/>
  </sheetViews>
  <sheetFormatPr defaultColWidth="14.44140625" defaultRowHeight="15.75" customHeight="1" x14ac:dyDescent="0.25"/>
  <cols>
    <col min="1" max="1" width="4" customWidth="1"/>
    <col min="2" max="2" width="20.5546875" customWidth="1"/>
    <col min="3" max="3" width="19.33203125" customWidth="1"/>
    <col min="4" max="4" width="15.33203125" customWidth="1"/>
    <col min="6" max="15" width="21.109375" customWidth="1"/>
    <col min="17" max="17" width="22.5546875" customWidth="1"/>
    <col min="18" max="18" width="23.5546875" customWidth="1"/>
    <col min="20" max="20" width="17.5546875" customWidth="1"/>
    <col min="21" max="21" width="17.44140625" customWidth="1"/>
    <col min="22" max="22" width="18.44140625" customWidth="1"/>
    <col min="23" max="23" width="18.33203125" customWidth="1"/>
    <col min="24" max="24" width="22.109375" customWidth="1"/>
    <col min="25" max="26" width="18.33203125" customWidth="1"/>
    <col min="28" max="28" width="16.44140625" customWidth="1"/>
    <col min="29" max="29" width="18.5546875" customWidth="1"/>
    <col min="32" max="32" width="19" customWidth="1"/>
    <col min="35" max="35" width="18.88671875" customWidth="1"/>
    <col min="38" max="38" width="18.5546875" customWidth="1"/>
    <col min="41" max="41" width="20.109375" customWidth="1"/>
    <col min="44" max="44" width="19.109375" customWidth="1"/>
    <col min="47" max="47" width="19" customWidth="1"/>
    <col min="50" max="50" width="17.33203125" customWidth="1"/>
    <col min="53" max="53" width="17" customWidth="1"/>
    <col min="56" max="56" width="17.5546875" customWidth="1"/>
    <col min="59" max="59" width="20.88671875" customWidth="1"/>
    <col min="62" max="62" width="20.44140625" customWidth="1"/>
    <col min="65" max="65" width="21.5546875" customWidth="1"/>
    <col min="68" max="68" width="19.88671875" customWidth="1"/>
    <col min="71" max="71" width="17.6640625" customWidth="1"/>
    <col min="74" max="74" width="19.44140625" customWidth="1"/>
    <col min="77" max="77" width="17.88671875" customWidth="1"/>
    <col min="80" max="80" width="18.44140625" customWidth="1"/>
    <col min="83" max="83" width="20" customWidth="1"/>
    <col min="84" max="84" width="19.33203125" customWidth="1"/>
    <col min="86" max="86" width="21.109375" customWidth="1"/>
    <col min="89" max="89" width="20.109375" customWidth="1"/>
    <col min="92" max="92" width="17.6640625" customWidth="1"/>
    <col min="95" max="95" width="19.109375" customWidth="1"/>
    <col min="98" max="98" width="18.109375" customWidth="1"/>
    <col min="101" max="101" width="19.6640625" customWidth="1"/>
    <col min="104" max="104" width="20.109375" customWidth="1"/>
    <col min="107" max="107" width="19.33203125" customWidth="1"/>
    <col min="110" max="110" width="19" customWidth="1"/>
    <col min="113" max="113" width="19.44140625" customWidth="1"/>
    <col min="116" max="117" width="18.6640625" customWidth="1"/>
    <col min="119" max="119" width="18.6640625" customWidth="1"/>
    <col min="122" max="122" width="18.88671875" customWidth="1"/>
    <col min="125" max="125" width="18" customWidth="1"/>
    <col min="128" max="128" width="17.6640625" customWidth="1"/>
    <col min="131" max="131" width="18.44140625" customWidth="1"/>
    <col min="134" max="134" width="18.109375" customWidth="1"/>
    <col min="137" max="137" width="19.6640625" customWidth="1"/>
    <col min="140" max="140" width="19.33203125" customWidth="1"/>
    <col min="143" max="143" width="18.33203125" customWidth="1"/>
    <col min="146" max="146" width="16.5546875" customWidth="1"/>
    <col min="149" max="149" width="17.44140625" customWidth="1"/>
    <col min="152" max="152" width="16.5546875" customWidth="1"/>
    <col min="155" max="155" width="18.109375" customWidth="1"/>
    <col min="158" max="158" width="16.6640625" customWidth="1"/>
    <col min="161" max="161" width="16.6640625" customWidth="1"/>
    <col min="164" max="164" width="18.33203125" customWidth="1"/>
    <col min="167" max="167" width="18.6640625" customWidth="1"/>
    <col min="168" max="168" width="20.44140625" customWidth="1"/>
    <col min="170" max="170" width="23.5546875" customWidth="1"/>
    <col min="173" max="173" width="18.109375" customWidth="1"/>
    <col min="176" max="176" width="16.88671875" customWidth="1"/>
    <col min="179" max="179" width="19.109375" customWidth="1"/>
    <col min="182" max="182" width="18.33203125" customWidth="1"/>
    <col min="185" max="185" width="17.88671875" customWidth="1"/>
    <col min="188" max="188" width="17.44140625" customWidth="1"/>
    <col min="191" max="191" width="20.5546875" customWidth="1"/>
    <col min="194" max="194" width="19.44140625" customWidth="1"/>
    <col min="197" max="197" width="17.88671875" customWidth="1"/>
    <col min="200" max="200" width="16" customWidth="1"/>
    <col min="203" max="203" width="18.33203125" customWidth="1"/>
    <col min="206" max="206" width="18.5546875" customWidth="1"/>
    <col min="209" max="209" width="17.33203125" customWidth="1"/>
    <col min="212" max="212" width="16.88671875" customWidth="1"/>
    <col min="215" max="215" width="19.109375" customWidth="1"/>
    <col min="218" max="218" width="17.109375" customWidth="1"/>
    <col min="221" max="221" width="18.44140625" customWidth="1"/>
    <col min="224" max="224" width="19" customWidth="1"/>
    <col min="227" max="227" width="17" customWidth="1"/>
    <col min="230" max="230" width="16" customWidth="1"/>
    <col min="233" max="233" width="17.109375" customWidth="1"/>
    <col min="236" max="236" width="16.33203125" customWidth="1"/>
    <col min="239" max="239" width="17.88671875" customWidth="1"/>
    <col min="242" max="242" width="16.6640625" customWidth="1"/>
    <col min="245" max="245" width="17.44140625" customWidth="1"/>
    <col min="248" max="248" width="16.44140625" customWidth="1"/>
  </cols>
  <sheetData>
    <row r="1" spans="1:256" ht="28.8" x14ac:dyDescent="0.3">
      <c r="A1" s="161" t="s">
        <v>60</v>
      </c>
      <c r="B1" s="161" t="s">
        <v>367</v>
      </c>
      <c r="C1" s="161" t="s">
        <v>368</v>
      </c>
      <c r="D1" s="161" t="s">
        <v>369</v>
      </c>
      <c r="E1" s="162" t="s">
        <v>370</v>
      </c>
      <c r="F1" s="234" t="s">
        <v>371</v>
      </c>
      <c r="G1" s="226"/>
      <c r="H1" s="227"/>
      <c r="I1" s="234" t="s">
        <v>372</v>
      </c>
      <c r="J1" s="226"/>
      <c r="K1" s="227"/>
      <c r="L1" s="234" t="s">
        <v>373</v>
      </c>
      <c r="M1" s="226"/>
      <c r="N1" s="227"/>
      <c r="O1" s="234" t="s">
        <v>374</v>
      </c>
      <c r="P1" s="226"/>
      <c r="Q1" s="227"/>
      <c r="R1" s="234" t="s">
        <v>375</v>
      </c>
      <c r="S1" s="226"/>
      <c r="T1" s="227"/>
      <c r="U1" s="234" t="s">
        <v>376</v>
      </c>
      <c r="V1" s="226"/>
      <c r="W1" s="227"/>
      <c r="X1" s="234" t="s">
        <v>377</v>
      </c>
      <c r="Y1" s="226"/>
      <c r="Z1" s="227"/>
      <c r="AA1" s="234" t="s">
        <v>378</v>
      </c>
      <c r="AB1" s="226"/>
      <c r="AC1" s="227"/>
      <c r="AD1" s="234" t="s">
        <v>379</v>
      </c>
      <c r="AE1" s="226"/>
      <c r="AF1" s="227"/>
      <c r="AG1" s="234" t="s">
        <v>380</v>
      </c>
      <c r="AH1" s="226"/>
      <c r="AI1" s="227"/>
      <c r="AJ1" s="234" t="s">
        <v>381</v>
      </c>
      <c r="AK1" s="226"/>
      <c r="AL1" s="227"/>
      <c r="AM1" s="234" t="s">
        <v>382</v>
      </c>
      <c r="AN1" s="226"/>
      <c r="AO1" s="227"/>
      <c r="AP1" s="234" t="s">
        <v>383</v>
      </c>
      <c r="AQ1" s="226"/>
      <c r="AR1" s="227"/>
      <c r="AS1" s="234" t="s">
        <v>384</v>
      </c>
      <c r="AT1" s="226"/>
      <c r="AU1" s="227"/>
      <c r="AV1" s="234" t="s">
        <v>385</v>
      </c>
      <c r="AW1" s="226"/>
      <c r="AX1" s="227"/>
      <c r="AY1" s="234" t="s">
        <v>386</v>
      </c>
      <c r="AZ1" s="226"/>
      <c r="BA1" s="227"/>
      <c r="BB1" s="234" t="s">
        <v>387</v>
      </c>
      <c r="BC1" s="226"/>
      <c r="BD1" s="227"/>
      <c r="BE1" s="234" t="s">
        <v>388</v>
      </c>
      <c r="BF1" s="226"/>
      <c r="BG1" s="227"/>
      <c r="BH1" s="234" t="s">
        <v>389</v>
      </c>
      <c r="BI1" s="226"/>
      <c r="BJ1" s="227"/>
      <c r="BK1" s="234" t="s">
        <v>390</v>
      </c>
      <c r="BL1" s="226"/>
      <c r="BM1" s="227"/>
      <c r="BN1" s="234" t="s">
        <v>391</v>
      </c>
      <c r="BO1" s="226"/>
      <c r="BP1" s="227"/>
      <c r="BQ1" s="234" t="s">
        <v>392</v>
      </c>
      <c r="BR1" s="226"/>
      <c r="BS1" s="227"/>
      <c r="BT1" s="234" t="s">
        <v>393</v>
      </c>
      <c r="BU1" s="226"/>
      <c r="BV1" s="227"/>
      <c r="BW1" s="234" t="s">
        <v>394</v>
      </c>
      <c r="BX1" s="226"/>
      <c r="BY1" s="227"/>
      <c r="BZ1" s="234" t="s">
        <v>395</v>
      </c>
      <c r="CA1" s="226"/>
      <c r="CB1" s="227"/>
      <c r="CC1" s="234" t="s">
        <v>396</v>
      </c>
      <c r="CD1" s="226"/>
      <c r="CE1" s="227"/>
      <c r="CF1" s="234" t="s">
        <v>397</v>
      </c>
      <c r="CG1" s="226"/>
      <c r="CH1" s="227"/>
      <c r="CI1" s="234" t="s">
        <v>398</v>
      </c>
      <c r="CJ1" s="226"/>
      <c r="CK1" s="227"/>
      <c r="CL1" s="234" t="s">
        <v>399</v>
      </c>
      <c r="CM1" s="226"/>
      <c r="CN1" s="227"/>
      <c r="CO1" s="234" t="s">
        <v>400</v>
      </c>
      <c r="CP1" s="226"/>
      <c r="CQ1" s="227"/>
      <c r="CR1" s="234" t="s">
        <v>401</v>
      </c>
      <c r="CS1" s="226"/>
      <c r="CT1" s="227"/>
      <c r="CU1" s="234" t="s">
        <v>402</v>
      </c>
      <c r="CV1" s="226"/>
      <c r="CW1" s="227"/>
      <c r="CX1" s="234" t="s">
        <v>403</v>
      </c>
      <c r="CY1" s="226"/>
      <c r="CZ1" s="227"/>
      <c r="DA1" s="234" t="s">
        <v>404</v>
      </c>
      <c r="DB1" s="226"/>
      <c r="DC1" s="227"/>
      <c r="DD1" s="234" t="s">
        <v>405</v>
      </c>
      <c r="DE1" s="226"/>
      <c r="DF1" s="227"/>
      <c r="DG1" s="234" t="s">
        <v>406</v>
      </c>
      <c r="DH1" s="226"/>
      <c r="DI1" s="227"/>
      <c r="DJ1" s="234" t="s">
        <v>407</v>
      </c>
      <c r="DK1" s="226"/>
      <c r="DL1" s="227"/>
      <c r="DM1" s="234" t="s">
        <v>408</v>
      </c>
      <c r="DN1" s="226"/>
      <c r="DO1" s="227"/>
      <c r="DP1" s="234" t="s">
        <v>409</v>
      </c>
      <c r="DQ1" s="226"/>
      <c r="DR1" s="227"/>
      <c r="DS1" s="234" t="s">
        <v>410</v>
      </c>
      <c r="DT1" s="226"/>
      <c r="DU1" s="227"/>
      <c r="DV1" s="234" t="s">
        <v>411</v>
      </c>
      <c r="DW1" s="226"/>
      <c r="DX1" s="227"/>
      <c r="DY1" s="234" t="s">
        <v>412</v>
      </c>
      <c r="DZ1" s="226"/>
      <c r="EA1" s="227"/>
      <c r="EB1" s="234" t="s">
        <v>413</v>
      </c>
      <c r="EC1" s="226"/>
      <c r="ED1" s="227"/>
      <c r="EE1" s="234" t="s">
        <v>414</v>
      </c>
      <c r="EF1" s="226"/>
      <c r="EG1" s="227"/>
      <c r="EH1" s="234" t="s">
        <v>415</v>
      </c>
      <c r="EI1" s="226"/>
      <c r="EJ1" s="227"/>
      <c r="EK1" s="234" t="s">
        <v>416</v>
      </c>
      <c r="EL1" s="226"/>
      <c r="EM1" s="227"/>
      <c r="EN1" s="234" t="s">
        <v>417</v>
      </c>
      <c r="EO1" s="226"/>
      <c r="EP1" s="227"/>
      <c r="EQ1" s="234" t="s">
        <v>418</v>
      </c>
      <c r="ER1" s="226"/>
      <c r="ES1" s="227"/>
      <c r="ET1" s="234" t="s">
        <v>419</v>
      </c>
      <c r="EU1" s="226"/>
      <c r="EV1" s="227"/>
      <c r="EW1" s="234" t="s">
        <v>420</v>
      </c>
      <c r="EX1" s="226"/>
      <c r="EY1" s="227"/>
      <c r="EZ1" s="234" t="s">
        <v>421</v>
      </c>
      <c r="FA1" s="226"/>
      <c r="FB1" s="227"/>
      <c r="FC1" s="234" t="s">
        <v>422</v>
      </c>
      <c r="FD1" s="226"/>
      <c r="FE1" s="227"/>
      <c r="FF1" s="234" t="s">
        <v>423</v>
      </c>
      <c r="FG1" s="226"/>
      <c r="FH1" s="227"/>
      <c r="FI1" s="234" t="s">
        <v>424</v>
      </c>
      <c r="FJ1" s="226"/>
      <c r="FK1" s="227"/>
      <c r="FL1" s="234" t="s">
        <v>425</v>
      </c>
      <c r="FM1" s="226"/>
      <c r="FN1" s="227"/>
      <c r="FO1" s="234" t="s">
        <v>426</v>
      </c>
      <c r="FP1" s="226"/>
      <c r="FQ1" s="227"/>
      <c r="FR1" s="234" t="s">
        <v>427</v>
      </c>
      <c r="FS1" s="226"/>
      <c r="FT1" s="227"/>
      <c r="FU1" s="234" t="s">
        <v>428</v>
      </c>
      <c r="FV1" s="226"/>
      <c r="FW1" s="227"/>
      <c r="FX1" s="234" t="s">
        <v>429</v>
      </c>
      <c r="FY1" s="226"/>
      <c r="FZ1" s="227"/>
      <c r="GA1" s="234" t="s">
        <v>430</v>
      </c>
      <c r="GB1" s="226"/>
      <c r="GC1" s="227"/>
      <c r="GD1" s="234" t="s">
        <v>431</v>
      </c>
      <c r="GE1" s="226"/>
      <c r="GF1" s="227"/>
      <c r="GG1" s="234" t="s">
        <v>432</v>
      </c>
      <c r="GH1" s="226"/>
      <c r="GI1" s="227"/>
      <c r="GJ1" s="235" t="s">
        <v>433</v>
      </c>
      <c r="GK1" s="226"/>
      <c r="GL1" s="227"/>
      <c r="GM1" s="235" t="s">
        <v>434</v>
      </c>
      <c r="GN1" s="226"/>
      <c r="GO1" s="227"/>
      <c r="GP1" s="235" t="s">
        <v>435</v>
      </c>
      <c r="GQ1" s="226"/>
      <c r="GR1" s="227"/>
      <c r="GS1" s="235" t="s">
        <v>436</v>
      </c>
      <c r="GT1" s="226"/>
      <c r="GU1" s="227"/>
      <c r="GV1" s="235" t="s">
        <v>437</v>
      </c>
      <c r="GW1" s="226"/>
      <c r="GX1" s="227"/>
      <c r="GY1" s="235" t="s">
        <v>438</v>
      </c>
      <c r="GZ1" s="226"/>
      <c r="HA1" s="227"/>
      <c r="HB1" s="235" t="s">
        <v>439</v>
      </c>
      <c r="HC1" s="226"/>
      <c r="HD1" s="227"/>
      <c r="HE1" s="235" t="s">
        <v>440</v>
      </c>
      <c r="HF1" s="226"/>
      <c r="HG1" s="227"/>
      <c r="HH1" s="235" t="s">
        <v>441</v>
      </c>
      <c r="HI1" s="226"/>
      <c r="HJ1" s="227"/>
      <c r="HK1" s="235" t="s">
        <v>442</v>
      </c>
      <c r="HL1" s="226"/>
      <c r="HM1" s="227"/>
      <c r="HN1" s="235" t="s">
        <v>443</v>
      </c>
      <c r="HO1" s="226"/>
      <c r="HP1" s="227"/>
      <c r="HQ1" s="235" t="s">
        <v>444</v>
      </c>
      <c r="HR1" s="226"/>
      <c r="HS1" s="227"/>
      <c r="HT1" s="235" t="s">
        <v>445</v>
      </c>
      <c r="HU1" s="226"/>
      <c r="HV1" s="227"/>
      <c r="HW1" s="235" t="s">
        <v>446</v>
      </c>
      <c r="HX1" s="226"/>
      <c r="HY1" s="227"/>
      <c r="HZ1" s="235" t="s">
        <v>447</v>
      </c>
      <c r="IA1" s="226"/>
      <c r="IB1" s="227"/>
      <c r="IC1" s="235" t="s">
        <v>448</v>
      </c>
      <c r="ID1" s="226"/>
      <c r="IE1" s="227"/>
      <c r="IF1" s="235" t="s">
        <v>449</v>
      </c>
      <c r="IG1" s="226"/>
      <c r="IH1" s="227"/>
      <c r="II1" s="235" t="s">
        <v>450</v>
      </c>
      <c r="IJ1" s="226"/>
      <c r="IK1" s="227"/>
      <c r="IL1" s="235" t="s">
        <v>451</v>
      </c>
      <c r="IM1" s="226"/>
      <c r="IN1" s="227"/>
      <c r="IO1" s="163"/>
      <c r="IP1" s="163"/>
      <c r="IQ1" s="163"/>
      <c r="IR1" s="163"/>
      <c r="IS1" s="163"/>
      <c r="IT1" s="163"/>
      <c r="IU1" s="163"/>
      <c r="IV1" s="163"/>
    </row>
    <row r="2" spans="1:256" ht="50.25" customHeight="1" x14ac:dyDescent="0.3">
      <c r="A2" s="161" t="s">
        <v>60</v>
      </c>
      <c r="B2" s="161" t="s">
        <v>367</v>
      </c>
      <c r="C2" s="161" t="s">
        <v>368</v>
      </c>
      <c r="D2" s="161" t="s">
        <v>369</v>
      </c>
      <c r="E2" s="162" t="s">
        <v>370</v>
      </c>
      <c r="F2" s="164" t="s">
        <v>452</v>
      </c>
      <c r="G2" s="164" t="s">
        <v>453</v>
      </c>
      <c r="H2" s="164" t="s">
        <v>454</v>
      </c>
      <c r="I2" s="164" t="s">
        <v>452</v>
      </c>
      <c r="J2" s="164" t="s">
        <v>453</v>
      </c>
      <c r="K2" s="164" t="s">
        <v>454</v>
      </c>
      <c r="L2" s="164" t="s">
        <v>452</v>
      </c>
      <c r="M2" s="164" t="s">
        <v>453</v>
      </c>
      <c r="N2" s="164" t="s">
        <v>454</v>
      </c>
      <c r="O2" s="164" t="s">
        <v>452</v>
      </c>
      <c r="P2" s="164" t="s">
        <v>453</v>
      </c>
      <c r="Q2" s="164" t="s">
        <v>454</v>
      </c>
      <c r="R2" s="164" t="s">
        <v>452</v>
      </c>
      <c r="S2" s="164" t="s">
        <v>453</v>
      </c>
      <c r="T2" s="164" t="s">
        <v>454</v>
      </c>
      <c r="U2" s="164" t="s">
        <v>452</v>
      </c>
      <c r="V2" s="164" t="s">
        <v>453</v>
      </c>
      <c r="W2" s="164" t="s">
        <v>454</v>
      </c>
      <c r="X2" s="164" t="s">
        <v>452</v>
      </c>
      <c r="Y2" s="165" t="s">
        <v>453</v>
      </c>
      <c r="Z2" s="165" t="s">
        <v>454</v>
      </c>
      <c r="AA2" s="164" t="s">
        <v>452</v>
      </c>
      <c r="AB2" s="165" t="s">
        <v>453</v>
      </c>
      <c r="AC2" s="165" t="s">
        <v>454</v>
      </c>
      <c r="AD2" s="164" t="s">
        <v>452</v>
      </c>
      <c r="AE2" s="165" t="s">
        <v>453</v>
      </c>
      <c r="AF2" s="165" t="s">
        <v>454</v>
      </c>
      <c r="AG2" s="164" t="s">
        <v>452</v>
      </c>
      <c r="AH2" s="165" t="s">
        <v>453</v>
      </c>
      <c r="AI2" s="165" t="s">
        <v>454</v>
      </c>
      <c r="AJ2" s="164" t="s">
        <v>452</v>
      </c>
      <c r="AK2" s="165" t="s">
        <v>453</v>
      </c>
      <c r="AL2" s="165" t="s">
        <v>454</v>
      </c>
      <c r="AM2" s="164" t="s">
        <v>452</v>
      </c>
      <c r="AN2" s="165" t="s">
        <v>453</v>
      </c>
      <c r="AO2" s="165" t="s">
        <v>454</v>
      </c>
      <c r="AP2" s="164" t="s">
        <v>452</v>
      </c>
      <c r="AQ2" s="165" t="s">
        <v>453</v>
      </c>
      <c r="AR2" s="165" t="s">
        <v>454</v>
      </c>
      <c r="AS2" s="164" t="s">
        <v>452</v>
      </c>
      <c r="AT2" s="165" t="s">
        <v>453</v>
      </c>
      <c r="AU2" s="165" t="s">
        <v>454</v>
      </c>
      <c r="AV2" s="164" t="s">
        <v>452</v>
      </c>
      <c r="AW2" s="165" t="s">
        <v>453</v>
      </c>
      <c r="AX2" s="165" t="s">
        <v>454</v>
      </c>
      <c r="AY2" s="164" t="s">
        <v>452</v>
      </c>
      <c r="AZ2" s="165" t="s">
        <v>453</v>
      </c>
      <c r="BA2" s="165" t="s">
        <v>454</v>
      </c>
      <c r="BB2" s="164" t="s">
        <v>452</v>
      </c>
      <c r="BC2" s="165" t="s">
        <v>453</v>
      </c>
      <c r="BD2" s="165" t="s">
        <v>454</v>
      </c>
      <c r="BE2" s="164" t="s">
        <v>452</v>
      </c>
      <c r="BF2" s="165" t="s">
        <v>453</v>
      </c>
      <c r="BG2" s="165" t="s">
        <v>454</v>
      </c>
      <c r="BH2" s="164" t="s">
        <v>452</v>
      </c>
      <c r="BI2" s="165" t="s">
        <v>453</v>
      </c>
      <c r="BJ2" s="165" t="s">
        <v>454</v>
      </c>
      <c r="BK2" s="164" t="s">
        <v>452</v>
      </c>
      <c r="BL2" s="165" t="s">
        <v>453</v>
      </c>
      <c r="BM2" s="165" t="s">
        <v>454</v>
      </c>
      <c r="BN2" s="164" t="s">
        <v>452</v>
      </c>
      <c r="BO2" s="165" t="s">
        <v>453</v>
      </c>
      <c r="BP2" s="165" t="s">
        <v>454</v>
      </c>
      <c r="BQ2" s="164" t="s">
        <v>452</v>
      </c>
      <c r="BR2" s="165" t="s">
        <v>453</v>
      </c>
      <c r="BS2" s="165" t="s">
        <v>454</v>
      </c>
      <c r="BT2" s="164" t="s">
        <v>452</v>
      </c>
      <c r="BU2" s="165" t="s">
        <v>453</v>
      </c>
      <c r="BV2" s="165" t="s">
        <v>454</v>
      </c>
      <c r="BW2" s="164" t="s">
        <v>452</v>
      </c>
      <c r="BX2" s="165" t="s">
        <v>453</v>
      </c>
      <c r="BY2" s="165" t="s">
        <v>454</v>
      </c>
      <c r="BZ2" s="164" t="s">
        <v>452</v>
      </c>
      <c r="CA2" s="165" t="s">
        <v>453</v>
      </c>
      <c r="CB2" s="165" t="s">
        <v>454</v>
      </c>
      <c r="CC2" s="164" t="s">
        <v>452</v>
      </c>
      <c r="CD2" s="165" t="s">
        <v>453</v>
      </c>
      <c r="CE2" s="165" t="s">
        <v>454</v>
      </c>
      <c r="CF2" s="164" t="s">
        <v>452</v>
      </c>
      <c r="CG2" s="165" t="s">
        <v>453</v>
      </c>
      <c r="CH2" s="165" t="s">
        <v>454</v>
      </c>
      <c r="CI2" s="164" t="s">
        <v>452</v>
      </c>
      <c r="CJ2" s="165" t="s">
        <v>453</v>
      </c>
      <c r="CK2" s="165" t="s">
        <v>454</v>
      </c>
      <c r="CL2" s="164" t="s">
        <v>452</v>
      </c>
      <c r="CM2" s="165" t="s">
        <v>453</v>
      </c>
      <c r="CN2" s="165" t="s">
        <v>454</v>
      </c>
      <c r="CO2" s="164" t="s">
        <v>452</v>
      </c>
      <c r="CP2" s="165" t="s">
        <v>453</v>
      </c>
      <c r="CQ2" s="165" t="s">
        <v>454</v>
      </c>
      <c r="CR2" s="164" t="s">
        <v>452</v>
      </c>
      <c r="CS2" s="165" t="s">
        <v>453</v>
      </c>
      <c r="CT2" s="165" t="s">
        <v>454</v>
      </c>
      <c r="CU2" s="164" t="s">
        <v>452</v>
      </c>
      <c r="CV2" s="165" t="s">
        <v>453</v>
      </c>
      <c r="CW2" s="165" t="s">
        <v>454</v>
      </c>
      <c r="CX2" s="164" t="s">
        <v>452</v>
      </c>
      <c r="CY2" s="165" t="s">
        <v>453</v>
      </c>
      <c r="CZ2" s="165" t="s">
        <v>454</v>
      </c>
      <c r="DA2" s="164" t="s">
        <v>452</v>
      </c>
      <c r="DB2" s="165" t="s">
        <v>453</v>
      </c>
      <c r="DC2" s="165" t="s">
        <v>454</v>
      </c>
      <c r="DD2" s="164" t="s">
        <v>452</v>
      </c>
      <c r="DE2" s="165" t="s">
        <v>453</v>
      </c>
      <c r="DF2" s="165" t="s">
        <v>454</v>
      </c>
      <c r="DG2" s="164" t="s">
        <v>452</v>
      </c>
      <c r="DH2" s="165" t="s">
        <v>453</v>
      </c>
      <c r="DI2" s="165" t="s">
        <v>454</v>
      </c>
      <c r="DJ2" s="164" t="s">
        <v>452</v>
      </c>
      <c r="DK2" s="165" t="s">
        <v>453</v>
      </c>
      <c r="DL2" s="165" t="s">
        <v>454</v>
      </c>
      <c r="DM2" s="164" t="s">
        <v>452</v>
      </c>
      <c r="DN2" s="165" t="s">
        <v>453</v>
      </c>
      <c r="DO2" s="165" t="s">
        <v>454</v>
      </c>
      <c r="DP2" s="164" t="s">
        <v>452</v>
      </c>
      <c r="DQ2" s="165" t="s">
        <v>453</v>
      </c>
      <c r="DR2" s="165" t="s">
        <v>454</v>
      </c>
      <c r="DS2" s="164" t="s">
        <v>452</v>
      </c>
      <c r="DT2" s="165" t="s">
        <v>453</v>
      </c>
      <c r="DU2" s="165" t="s">
        <v>454</v>
      </c>
      <c r="DV2" s="164" t="s">
        <v>452</v>
      </c>
      <c r="DW2" s="165" t="s">
        <v>453</v>
      </c>
      <c r="DX2" s="165" t="s">
        <v>454</v>
      </c>
      <c r="DY2" s="164" t="s">
        <v>452</v>
      </c>
      <c r="DZ2" s="165" t="s">
        <v>453</v>
      </c>
      <c r="EA2" s="165" t="s">
        <v>454</v>
      </c>
      <c r="EB2" s="164" t="s">
        <v>452</v>
      </c>
      <c r="EC2" s="165" t="s">
        <v>453</v>
      </c>
      <c r="ED2" s="165" t="s">
        <v>454</v>
      </c>
      <c r="EE2" s="164" t="s">
        <v>452</v>
      </c>
      <c r="EF2" s="165" t="s">
        <v>453</v>
      </c>
      <c r="EG2" s="165" t="s">
        <v>454</v>
      </c>
      <c r="EH2" s="164" t="s">
        <v>452</v>
      </c>
      <c r="EI2" s="165" t="s">
        <v>453</v>
      </c>
      <c r="EJ2" s="165" t="s">
        <v>454</v>
      </c>
      <c r="EK2" s="164" t="s">
        <v>452</v>
      </c>
      <c r="EL2" s="165" t="s">
        <v>453</v>
      </c>
      <c r="EM2" s="165" t="s">
        <v>454</v>
      </c>
      <c r="EN2" s="164" t="s">
        <v>452</v>
      </c>
      <c r="EO2" s="165" t="s">
        <v>453</v>
      </c>
      <c r="EP2" s="165" t="s">
        <v>454</v>
      </c>
      <c r="EQ2" s="164" t="s">
        <v>452</v>
      </c>
      <c r="ER2" s="165" t="s">
        <v>453</v>
      </c>
      <c r="ES2" s="165" t="s">
        <v>454</v>
      </c>
      <c r="ET2" s="164" t="s">
        <v>452</v>
      </c>
      <c r="EU2" s="165" t="s">
        <v>453</v>
      </c>
      <c r="EV2" s="165" t="s">
        <v>454</v>
      </c>
      <c r="EW2" s="164" t="s">
        <v>452</v>
      </c>
      <c r="EX2" s="165" t="s">
        <v>453</v>
      </c>
      <c r="EY2" s="165" t="s">
        <v>454</v>
      </c>
      <c r="EZ2" s="164" t="s">
        <v>452</v>
      </c>
      <c r="FA2" s="165" t="s">
        <v>453</v>
      </c>
      <c r="FB2" s="165" t="s">
        <v>454</v>
      </c>
      <c r="FC2" s="164" t="s">
        <v>452</v>
      </c>
      <c r="FD2" s="165" t="s">
        <v>453</v>
      </c>
      <c r="FE2" s="165" t="s">
        <v>454</v>
      </c>
      <c r="FF2" s="164" t="s">
        <v>452</v>
      </c>
      <c r="FG2" s="165" t="s">
        <v>453</v>
      </c>
      <c r="FH2" s="165" t="s">
        <v>454</v>
      </c>
      <c r="FI2" s="164" t="s">
        <v>452</v>
      </c>
      <c r="FJ2" s="165" t="s">
        <v>453</v>
      </c>
      <c r="FK2" s="165" t="s">
        <v>454</v>
      </c>
      <c r="FL2" s="164" t="s">
        <v>452</v>
      </c>
      <c r="FM2" s="165" t="s">
        <v>453</v>
      </c>
      <c r="FN2" s="165" t="s">
        <v>454</v>
      </c>
      <c r="FO2" s="164" t="s">
        <v>452</v>
      </c>
      <c r="FP2" s="165" t="s">
        <v>453</v>
      </c>
      <c r="FQ2" s="165" t="s">
        <v>454</v>
      </c>
      <c r="FR2" s="164" t="s">
        <v>452</v>
      </c>
      <c r="FS2" s="165" t="s">
        <v>453</v>
      </c>
      <c r="FT2" s="165" t="s">
        <v>454</v>
      </c>
      <c r="FU2" s="164" t="s">
        <v>452</v>
      </c>
      <c r="FV2" s="165" t="s">
        <v>453</v>
      </c>
      <c r="FW2" s="165" t="s">
        <v>454</v>
      </c>
      <c r="FX2" s="164" t="s">
        <v>452</v>
      </c>
      <c r="FY2" s="165" t="s">
        <v>453</v>
      </c>
      <c r="FZ2" s="165" t="s">
        <v>454</v>
      </c>
      <c r="GA2" s="164" t="s">
        <v>452</v>
      </c>
      <c r="GB2" s="165" t="s">
        <v>453</v>
      </c>
      <c r="GC2" s="165" t="s">
        <v>454</v>
      </c>
      <c r="GD2" s="164" t="s">
        <v>452</v>
      </c>
      <c r="GE2" s="165" t="s">
        <v>453</v>
      </c>
      <c r="GF2" s="165" t="s">
        <v>454</v>
      </c>
      <c r="GG2" s="164" t="s">
        <v>452</v>
      </c>
      <c r="GH2" s="165" t="s">
        <v>453</v>
      </c>
      <c r="GI2" s="165" t="s">
        <v>454</v>
      </c>
      <c r="GJ2" s="164" t="s">
        <v>452</v>
      </c>
      <c r="GK2" s="165" t="s">
        <v>453</v>
      </c>
      <c r="GL2" s="165" t="s">
        <v>454</v>
      </c>
      <c r="GM2" s="164" t="s">
        <v>452</v>
      </c>
      <c r="GN2" s="165" t="s">
        <v>453</v>
      </c>
      <c r="GO2" s="165" t="s">
        <v>454</v>
      </c>
      <c r="GP2" s="164" t="s">
        <v>452</v>
      </c>
      <c r="GQ2" s="165" t="s">
        <v>453</v>
      </c>
      <c r="GR2" s="165" t="s">
        <v>454</v>
      </c>
      <c r="GS2" s="164" t="s">
        <v>452</v>
      </c>
      <c r="GT2" s="165" t="s">
        <v>453</v>
      </c>
      <c r="GU2" s="165" t="s">
        <v>454</v>
      </c>
      <c r="GV2" s="164" t="s">
        <v>452</v>
      </c>
      <c r="GW2" s="165" t="s">
        <v>453</v>
      </c>
      <c r="GX2" s="165" t="s">
        <v>454</v>
      </c>
      <c r="GY2" s="164" t="s">
        <v>452</v>
      </c>
      <c r="GZ2" s="165" t="s">
        <v>453</v>
      </c>
      <c r="HA2" s="165" t="s">
        <v>454</v>
      </c>
      <c r="HB2" s="164" t="s">
        <v>452</v>
      </c>
      <c r="HC2" s="165" t="s">
        <v>453</v>
      </c>
      <c r="HD2" s="165" t="s">
        <v>454</v>
      </c>
      <c r="HE2" s="164" t="s">
        <v>452</v>
      </c>
      <c r="HF2" s="165" t="s">
        <v>453</v>
      </c>
      <c r="HG2" s="165" t="s">
        <v>454</v>
      </c>
      <c r="HH2" s="164" t="s">
        <v>452</v>
      </c>
      <c r="HI2" s="165" t="s">
        <v>453</v>
      </c>
      <c r="HJ2" s="165" t="s">
        <v>454</v>
      </c>
      <c r="HK2" s="164" t="s">
        <v>452</v>
      </c>
      <c r="HL2" s="165" t="s">
        <v>453</v>
      </c>
      <c r="HM2" s="165" t="s">
        <v>454</v>
      </c>
      <c r="HN2" s="164" t="s">
        <v>452</v>
      </c>
      <c r="HO2" s="165" t="s">
        <v>453</v>
      </c>
      <c r="HP2" s="165" t="s">
        <v>454</v>
      </c>
      <c r="HQ2" s="164" t="s">
        <v>452</v>
      </c>
      <c r="HR2" s="165" t="s">
        <v>453</v>
      </c>
      <c r="HS2" s="165" t="s">
        <v>454</v>
      </c>
      <c r="HT2" s="164" t="s">
        <v>452</v>
      </c>
      <c r="HU2" s="165" t="s">
        <v>453</v>
      </c>
      <c r="HV2" s="165" t="s">
        <v>454</v>
      </c>
      <c r="HW2" s="164" t="s">
        <v>452</v>
      </c>
      <c r="HX2" s="165" t="s">
        <v>453</v>
      </c>
      <c r="HY2" s="165" t="s">
        <v>454</v>
      </c>
      <c r="HZ2" s="164" t="s">
        <v>452</v>
      </c>
      <c r="IA2" s="165" t="s">
        <v>453</v>
      </c>
      <c r="IB2" s="165" t="s">
        <v>454</v>
      </c>
      <c r="IC2" s="164" t="s">
        <v>452</v>
      </c>
      <c r="ID2" s="165" t="s">
        <v>453</v>
      </c>
      <c r="IE2" s="165" t="s">
        <v>454</v>
      </c>
      <c r="IF2" s="164" t="s">
        <v>452</v>
      </c>
      <c r="IG2" s="165" t="s">
        <v>453</v>
      </c>
      <c r="IH2" s="165" t="s">
        <v>454</v>
      </c>
      <c r="II2" s="164" t="s">
        <v>452</v>
      </c>
      <c r="IJ2" s="165" t="s">
        <v>453</v>
      </c>
      <c r="IK2" s="165" t="s">
        <v>454</v>
      </c>
      <c r="IL2" s="164" t="s">
        <v>452</v>
      </c>
      <c r="IM2" s="165" t="s">
        <v>453</v>
      </c>
      <c r="IN2" s="165" t="s">
        <v>454</v>
      </c>
      <c r="IO2" s="166"/>
      <c r="IP2" s="166"/>
      <c r="IQ2" s="166"/>
      <c r="IR2" s="166"/>
      <c r="IS2" s="166"/>
      <c r="IT2" s="166"/>
      <c r="IU2" s="166"/>
      <c r="IV2" s="166"/>
    </row>
    <row r="3" spans="1:256" ht="15.6" x14ac:dyDescent="0.3">
      <c r="A3" s="167">
        <v>1</v>
      </c>
      <c r="B3" s="168" t="s">
        <v>455</v>
      </c>
      <c r="C3" s="167" t="s">
        <v>456</v>
      </c>
      <c r="D3" s="169">
        <v>451298</v>
      </c>
      <c r="E3" s="167">
        <v>5333</v>
      </c>
      <c r="F3" s="170">
        <v>74966</v>
      </c>
      <c r="G3" s="171" t="s">
        <v>457</v>
      </c>
      <c r="H3" s="170">
        <v>37590</v>
      </c>
      <c r="I3" s="170">
        <v>897</v>
      </c>
      <c r="J3" s="171" t="str">
        <f t="shared" ref="J3:J46" si="0">IF(I3&gt;=E3,"Tercapai","Tidak Tercapai")</f>
        <v>Tidak Tercapai</v>
      </c>
      <c r="K3" s="170">
        <v>0</v>
      </c>
      <c r="L3" s="170">
        <v>0</v>
      </c>
      <c r="M3" s="171" t="str">
        <f t="shared" ref="M3:M46" si="1">IF(L3&gt;=E3,"Tercapai","Tidak Tercapai")</f>
        <v>Tidak Tercapai</v>
      </c>
      <c r="N3" s="170">
        <v>0</v>
      </c>
      <c r="O3" s="167">
        <v>2258</v>
      </c>
      <c r="P3" s="171" t="str">
        <f t="shared" ref="P3:P46" si="2">IF(O3&gt;=E3,"Tercapai","Tidak Tercapai")</f>
        <v>Tidak Tercapai</v>
      </c>
      <c r="Q3" s="172">
        <v>36</v>
      </c>
      <c r="R3" s="167">
        <v>1958</v>
      </c>
      <c r="S3" s="173" t="str">
        <f t="shared" ref="S3:S46" si="3">IF(R3&gt;=E3,"Tercapai","Tidak Tercapai")</f>
        <v>Tidak Tercapai</v>
      </c>
      <c r="T3" s="172">
        <v>37</v>
      </c>
      <c r="U3" s="174">
        <v>2296</v>
      </c>
      <c r="V3" s="173" t="str">
        <f t="shared" ref="V3:V46" si="4">IF(U3&gt;=R3,"Tercapai","Tidak Tercapai")</f>
        <v>Tercapai</v>
      </c>
      <c r="W3" s="175">
        <v>32</v>
      </c>
      <c r="X3" s="175">
        <v>2331</v>
      </c>
      <c r="Y3" s="176" t="str">
        <f t="shared" ref="Y3:Y46" si="5">IF(X3&gt;=E3,"Tercapai","Tidak Tercapai")</f>
        <v>Tidak Tercapai</v>
      </c>
      <c r="Z3" s="177">
        <v>9</v>
      </c>
      <c r="AA3" s="178">
        <v>2961</v>
      </c>
      <c r="AB3" s="179" t="str">
        <f t="shared" ref="AB3:AB46" si="6">IF(AA3&gt;=E3,"Tercapai","Tidak Tercapai")</f>
        <v>Tidak Tercapai</v>
      </c>
      <c r="AC3" s="178">
        <v>52</v>
      </c>
      <c r="AD3" s="178">
        <v>351</v>
      </c>
      <c r="AE3" s="179" t="str">
        <f t="shared" ref="AE3:AE46" si="7">IF(AD3&gt;=E3,"Tercapai","Tidak Tercapai")</f>
        <v>Tidak Tercapai</v>
      </c>
      <c r="AF3" s="178">
        <v>0</v>
      </c>
      <c r="AG3" s="178">
        <v>137</v>
      </c>
      <c r="AH3" s="179" t="str">
        <f t="shared" ref="AH3:AH46" si="8">IF(AG3&gt;=E3,"Tercapai","Tidak Tercapai")</f>
        <v>Tidak Tercapai</v>
      </c>
      <c r="AI3" s="178">
        <v>1</v>
      </c>
      <c r="AJ3" s="178">
        <v>4002</v>
      </c>
      <c r="AK3" s="179" t="str">
        <f t="shared" ref="AK3:AK46" si="9">IF(AJ3&gt;=E3,"Tercapai","Tidak Tercapai")</f>
        <v>Tidak Tercapai</v>
      </c>
      <c r="AL3" s="178">
        <v>15</v>
      </c>
      <c r="AM3" s="178">
        <v>1011</v>
      </c>
      <c r="AN3" s="179" t="str">
        <f t="shared" ref="AN3:AN46" si="10">IF(AM3&gt;=E3,"Tercapai","Tidak Tercapai")</f>
        <v>Tidak Tercapai</v>
      </c>
      <c r="AO3" s="178">
        <v>74</v>
      </c>
      <c r="AP3" s="178">
        <v>3461</v>
      </c>
      <c r="AQ3" s="179" t="str">
        <f t="shared" ref="AQ3:AQ46" si="11">IF(AP3&gt;=E3,"Tercapai","Tidak Tercapai")</f>
        <v>Tidak Tercapai</v>
      </c>
      <c r="AR3" s="178">
        <v>28</v>
      </c>
      <c r="AS3" s="178">
        <v>2517</v>
      </c>
      <c r="AT3" s="179" t="str">
        <f t="shared" ref="AT3:AT46" si="12">IF(AS3&gt;=E3,"Tercapai","Tidak Tercapai")</f>
        <v>Tidak Tercapai</v>
      </c>
      <c r="AU3" s="178">
        <v>19</v>
      </c>
      <c r="AV3" s="170">
        <v>3113</v>
      </c>
      <c r="AW3" s="179" t="str">
        <f t="shared" ref="AW3:AW46" si="13">IF(AV3&gt;=E3,"Tercapai","Tidak Tercapai")</f>
        <v>Tidak Tercapai</v>
      </c>
      <c r="AX3" s="178">
        <v>53</v>
      </c>
      <c r="AY3" s="178">
        <v>565</v>
      </c>
      <c r="AZ3" s="179" t="str">
        <f t="shared" ref="AZ3:AZ46" si="14">IF(AY3&gt;=E3,"Tercapai","Tidak Tercapai")</f>
        <v>Tidak Tercapai</v>
      </c>
      <c r="BA3" s="178">
        <v>1</v>
      </c>
      <c r="BB3" s="180">
        <v>1439</v>
      </c>
      <c r="BC3" s="179" t="str">
        <f t="shared" ref="BC3:BC46" si="15">IF(BB3&gt;=E3,"Tercapai","Tidak Tercapai")</f>
        <v>Tidak Tercapai</v>
      </c>
      <c r="BD3" s="178">
        <v>0</v>
      </c>
      <c r="BE3" s="178">
        <v>2267</v>
      </c>
      <c r="BF3" s="179" t="str">
        <f t="shared" ref="BF3:BF46" si="16">IF(BE3&gt;=E3,"Tercapai","Tidak Tercapai")</f>
        <v>Tidak Tercapai</v>
      </c>
      <c r="BG3" s="170">
        <v>38</v>
      </c>
      <c r="BH3" s="178">
        <v>2014</v>
      </c>
      <c r="BI3" s="179" t="str">
        <f t="shared" ref="BI3:BI46" si="17">IF(BH3&gt;=E3,"Tercapai","Tidak Tercapai")</f>
        <v>Tidak Tercapai</v>
      </c>
      <c r="BJ3" s="178">
        <v>23</v>
      </c>
      <c r="BK3" s="178">
        <v>1960</v>
      </c>
      <c r="BL3" s="179" t="str">
        <f t="shared" ref="BL3:BL46" si="18">IF(BK3&gt;=E3,"Tercapai","Tidak Tercapai")</f>
        <v>Tidak Tercapai</v>
      </c>
      <c r="BM3" s="178">
        <v>27</v>
      </c>
      <c r="BN3" s="178">
        <v>973</v>
      </c>
      <c r="BO3" s="179" t="str">
        <f t="shared" ref="BO3:BO46" si="19">IF(BN3&gt;=E3,"Tercapai","Tidak Tercapai")</f>
        <v>Tidak Tercapai</v>
      </c>
      <c r="BP3" s="178">
        <v>18</v>
      </c>
      <c r="BQ3" s="178">
        <v>891</v>
      </c>
      <c r="BR3" s="179" t="str">
        <f t="shared" ref="BR3:BR46" si="20">IF(BQ3&gt;=E3,"Tercapai","Tidak Tercapai")</f>
        <v>Tidak Tercapai</v>
      </c>
      <c r="BS3" s="178">
        <v>33</v>
      </c>
      <c r="BT3" s="178">
        <v>1133</v>
      </c>
      <c r="BU3" s="179" t="str">
        <f t="shared" ref="BU3:BU46" si="21">IF(BT3&gt;=E3,"Tercapai","Tidak Tercapai")</f>
        <v>Tidak Tercapai</v>
      </c>
      <c r="BV3" s="181">
        <v>38.124000000000002</v>
      </c>
      <c r="BW3" s="178">
        <v>2</v>
      </c>
      <c r="BX3" s="179" t="str">
        <f t="shared" ref="BX3:BX46" si="22">IF(BW3&gt;=E3,"Tercapai","Tidak Tercapai")</f>
        <v>Tidak Tercapai</v>
      </c>
      <c r="BY3" s="178">
        <v>1</v>
      </c>
      <c r="BZ3" s="178">
        <v>1895</v>
      </c>
      <c r="CA3" s="179" t="str">
        <f t="shared" ref="CA3:CA46" si="23">IF(BZ3&gt;=E3,"Tercapai","Tidak Tercapai")</f>
        <v>Tidak Tercapai</v>
      </c>
      <c r="CB3" s="178">
        <v>703</v>
      </c>
      <c r="CC3" s="178">
        <v>3366</v>
      </c>
      <c r="CD3" s="179" t="str">
        <f t="shared" ref="CD3:CD46" si="24">IF(CC3&gt;=E3,"Tercapai","Tidak Tercapai")</f>
        <v>Tidak Tercapai</v>
      </c>
      <c r="CE3" s="178">
        <v>18</v>
      </c>
      <c r="CF3" s="178">
        <v>1359</v>
      </c>
      <c r="CG3" s="179" t="str">
        <f t="shared" ref="CG3:CG46" si="25">IF(CF3&gt;=E3,"Tercapai","Tidak Tercapai")</f>
        <v>Tidak Tercapai</v>
      </c>
      <c r="CH3" s="178">
        <v>22</v>
      </c>
      <c r="CI3" s="178">
        <v>1837</v>
      </c>
      <c r="CJ3" s="179" t="str">
        <f t="shared" ref="CJ3:CJ46" si="26">IF(CI3&gt;=E3,"Tercapai","Tidak Tercapai")</f>
        <v>Tidak Tercapai</v>
      </c>
      <c r="CK3" s="178">
        <v>52</v>
      </c>
      <c r="CL3" s="178">
        <v>498</v>
      </c>
      <c r="CM3" s="179" t="str">
        <f t="shared" ref="CM3:CM46" si="27">IF(CL3&gt;=E3,"Tercapai","Tidak Tercapai")</f>
        <v>Tidak Tercapai</v>
      </c>
      <c r="CN3" s="178">
        <v>12</v>
      </c>
      <c r="CO3" s="178">
        <v>6</v>
      </c>
      <c r="CP3" s="179" t="str">
        <f t="shared" ref="CP3:CP46" si="28">IF(CO3&gt;=E3,"Tercapai","Tidak Tercapai")</f>
        <v>Tidak Tercapai</v>
      </c>
      <c r="CQ3" s="178">
        <v>0</v>
      </c>
      <c r="CR3" s="178">
        <v>1</v>
      </c>
      <c r="CS3" s="179" t="str">
        <f t="shared" ref="CS3:CS46" si="29">IF(CR3&gt;=E3,"Tercapai","Tidak Tercapai")</f>
        <v>Tidak Tercapai</v>
      </c>
      <c r="CT3" s="178">
        <v>1</v>
      </c>
      <c r="CU3" s="178">
        <v>1154</v>
      </c>
      <c r="CV3" s="179" t="str">
        <f t="shared" ref="CV3:CV46" si="30">IF(CU3&gt;=E3,"Tercapai","Tidak Tercapai")</f>
        <v>Tidak Tercapai</v>
      </c>
      <c r="CW3" s="178">
        <v>18</v>
      </c>
      <c r="CX3" s="178">
        <v>6591</v>
      </c>
      <c r="CY3" s="179" t="str">
        <f t="shared" ref="CY3:CY46" si="31">IF(CX3&gt;=E3,"Tercapai","Tidak Tercapai")</f>
        <v>Tercapai</v>
      </c>
      <c r="CZ3" s="178">
        <v>64</v>
      </c>
      <c r="DA3" s="178">
        <v>2851</v>
      </c>
      <c r="DB3" s="179" t="str">
        <f t="shared" ref="DB3:DB46" si="32">IF(DA3&gt;=E3,"Tercapai","Tidak Tercapai")</f>
        <v>Tidak Tercapai</v>
      </c>
      <c r="DC3" s="178">
        <v>32</v>
      </c>
      <c r="DD3" s="178">
        <v>3315</v>
      </c>
      <c r="DE3" s="179" t="str">
        <f t="shared" ref="DE3:DE46" si="33">IF(DD3&gt;=E3,"Tercapai","Tidak Tercapai")</f>
        <v>Tidak Tercapai</v>
      </c>
      <c r="DF3" s="178">
        <v>55</v>
      </c>
      <c r="DG3" s="178">
        <v>3598</v>
      </c>
      <c r="DH3" s="179" t="str">
        <f t="shared" ref="DH3:DH46" si="34">IF(DG3&gt;=E3,"Tercapai","Tidak Tercapai")</f>
        <v>Tidak Tercapai</v>
      </c>
      <c r="DI3" s="178">
        <v>98</v>
      </c>
      <c r="DJ3" s="178">
        <v>1716</v>
      </c>
      <c r="DK3" s="179" t="str">
        <f t="shared" ref="DK3:DK46" si="35">IF(DJ3&gt;=E3,"Tercapai","Tidak Tercapai")</f>
        <v>Tidak Tercapai</v>
      </c>
      <c r="DL3" s="178">
        <v>185</v>
      </c>
      <c r="DM3" s="178">
        <v>806</v>
      </c>
      <c r="DN3" s="179" t="str">
        <f t="shared" ref="DN3:DN46" si="36">IF(DM3&gt;=E3,"Tercapai","Tidak Tercapai")</f>
        <v>Tidak Tercapai</v>
      </c>
      <c r="DO3" s="178">
        <v>0</v>
      </c>
      <c r="DP3" s="178">
        <v>2513</v>
      </c>
      <c r="DQ3" s="179" t="str">
        <f t="shared" ref="DQ3:DQ46" si="37">IF(DP3&gt;=E3,"Tercapai","Tidak Tercapai")</f>
        <v>Tidak Tercapai</v>
      </c>
      <c r="DR3" s="178">
        <v>172</v>
      </c>
      <c r="DS3" s="178">
        <v>82</v>
      </c>
      <c r="DT3" s="179" t="str">
        <f t="shared" ref="DT3:DT46" si="38">IF(DS3&gt;=E3,"Tercapai","Tidak Tercapai")</f>
        <v>Tidak Tercapai</v>
      </c>
      <c r="DU3" s="178">
        <v>2</v>
      </c>
      <c r="DV3" s="178">
        <v>2189</v>
      </c>
      <c r="DW3" s="179" t="str">
        <f t="shared" ref="DW3:DW46" si="39">IF(DV3&gt;=E3,"Tercapai","Tidak Tercapai")</f>
        <v>Tidak Tercapai</v>
      </c>
      <c r="DX3" s="178">
        <v>751</v>
      </c>
      <c r="DY3" s="178">
        <v>2204</v>
      </c>
      <c r="DZ3" s="179" t="str">
        <f t="shared" ref="DZ3:DZ46" si="40">IF(DY3&gt;=E3,"Tercapai","Tidak Tercapai")</f>
        <v>Tidak Tercapai</v>
      </c>
      <c r="EA3" s="178">
        <v>1185</v>
      </c>
      <c r="EB3" s="178">
        <v>2980</v>
      </c>
      <c r="EC3" s="179" t="str">
        <f t="shared" ref="EC3:EC46" si="41">IF(EB3&gt;=E3,"Tercapai","Tidak Tercapai")</f>
        <v>Tidak Tercapai</v>
      </c>
      <c r="ED3" s="178">
        <v>1983</v>
      </c>
      <c r="EE3" s="178">
        <v>518</v>
      </c>
      <c r="EF3" s="179" t="str">
        <f t="shared" ref="EF3:EF46" si="42">IF(EE3&gt;=E3,"Tercapai","Tidak Tercapai")</f>
        <v>Tidak Tercapai</v>
      </c>
      <c r="EG3" s="178">
        <v>355</v>
      </c>
      <c r="EH3" s="178">
        <v>439</v>
      </c>
      <c r="EI3" s="179" t="str">
        <f t="shared" ref="EI3:EI46" si="43">IF(EH3&gt;=E3,"Tercapai","Tidak Tercapai")</f>
        <v>Tidak Tercapai</v>
      </c>
      <c r="EJ3" s="178">
        <v>1</v>
      </c>
      <c r="EK3" s="178">
        <v>2922</v>
      </c>
      <c r="EL3" s="179" t="str">
        <f t="shared" ref="EL3:EL46" si="44">IF(EK3&gt;=E3,"Tercapai","Tidak Tercapai")</f>
        <v>Tidak Tercapai</v>
      </c>
      <c r="EM3" s="178">
        <v>1686</v>
      </c>
      <c r="EN3" s="178">
        <v>2370</v>
      </c>
      <c r="EO3" s="179" t="str">
        <f t="shared" ref="EO3:EO46" si="45">IF(EN3&gt;=E3,"Tercapai","Tidak Tercapai")</f>
        <v>Tidak Tercapai</v>
      </c>
      <c r="EP3" s="178">
        <v>1605</v>
      </c>
      <c r="EQ3" s="178">
        <v>2522</v>
      </c>
      <c r="ER3" s="179" t="str">
        <f t="shared" ref="ER3:ER46" si="46">IF(EQ3&gt;=E3,"Tercapai","Tidak Tercapai")</f>
        <v>Tidak Tercapai</v>
      </c>
      <c r="ES3" s="178">
        <v>1981</v>
      </c>
      <c r="ET3" s="178">
        <v>1960</v>
      </c>
      <c r="EU3" s="179" t="str">
        <f t="shared" ref="EU3:EU46" si="47">IF(ET3&gt;=E3,"Tercapai","Tidak Tercapai")</f>
        <v>Tidak Tercapai</v>
      </c>
      <c r="EV3" s="178">
        <v>1900</v>
      </c>
      <c r="EW3" s="178">
        <v>2726</v>
      </c>
      <c r="EX3" s="179" t="str">
        <f t="shared" ref="EX3:EX46" si="48">IF(EW3&gt;=E3,"Tercapai","Tidak Tercapai")</f>
        <v>Tidak Tercapai</v>
      </c>
      <c r="EY3" s="178">
        <v>2284</v>
      </c>
      <c r="EZ3" s="178">
        <v>727</v>
      </c>
      <c r="FA3" s="179" t="str">
        <f t="shared" ref="FA3:FA46" si="49">IF(EZ3&gt;=E3,"Tercapai","Tidak Tercapai")</f>
        <v>Tidak Tercapai</v>
      </c>
      <c r="FB3" s="178">
        <v>57</v>
      </c>
      <c r="FC3" s="178">
        <v>1092</v>
      </c>
      <c r="FD3" s="179" t="str">
        <f t="shared" ref="FD3:FD46" si="50">IF(FC3&gt;=E3,"Tercapai","Tidak Tercapai")</f>
        <v>Tidak Tercapai</v>
      </c>
      <c r="FE3" s="178">
        <v>6</v>
      </c>
      <c r="FF3" s="178">
        <v>2877</v>
      </c>
      <c r="FG3" s="179" t="str">
        <f t="shared" ref="FG3:FG46" si="51">IF(FF3&gt;=E3,"Tercapai","Tidak Tercapai")</f>
        <v>Tidak Tercapai</v>
      </c>
      <c r="FH3" s="178">
        <v>2658</v>
      </c>
      <c r="FI3" s="178">
        <v>1841</v>
      </c>
      <c r="FJ3" s="179" t="str">
        <f t="shared" ref="FJ3:FJ46" si="52">IF(FI3&gt;=E3,"Tercapai","Tidak Tercapai")</f>
        <v>Tidak Tercapai</v>
      </c>
      <c r="FK3" s="178">
        <v>2430</v>
      </c>
      <c r="FL3" s="182">
        <v>2335</v>
      </c>
      <c r="FM3" s="179" t="str">
        <f t="shared" ref="FM3:FM46" si="53">IF(FL3&gt;=E3,"Tercapai","Tidak Tercapai")</f>
        <v>Tidak Tercapai</v>
      </c>
      <c r="FN3" s="178">
        <v>2146</v>
      </c>
      <c r="FO3" s="178">
        <v>879</v>
      </c>
      <c r="FP3" s="179" t="str">
        <f t="shared" ref="FP3:FP46" si="54">IF(FO3&gt;=E3,"Tercapai","Tidak Tercapai")</f>
        <v>Tidak Tercapai</v>
      </c>
      <c r="FQ3" s="178">
        <v>9</v>
      </c>
      <c r="FR3" s="178">
        <v>2553</v>
      </c>
      <c r="FS3" s="179" t="str">
        <f t="shared" ref="FS3:FS46" si="55">IF(FR3&gt;=E3,"Tercapai","Tidak Tercapai")</f>
        <v>Tidak Tercapai</v>
      </c>
      <c r="FT3" s="178">
        <v>1665</v>
      </c>
      <c r="FU3" s="178">
        <v>5979</v>
      </c>
      <c r="FV3" s="179" t="str">
        <f t="shared" ref="FV3:FV46" si="56">IF(FU3&gt;=E3,"Tercapai","Tidak Tercapai")</f>
        <v>Tercapai</v>
      </c>
      <c r="FW3" s="178">
        <v>4766</v>
      </c>
      <c r="FX3" s="178">
        <v>6868</v>
      </c>
      <c r="FY3" s="179" t="str">
        <f t="shared" ref="FY3:FY46" si="57">IF(FX3&gt;=E3,"Tercapai","Tidak Tercapai")</f>
        <v>Tercapai</v>
      </c>
      <c r="FZ3" s="178">
        <v>1856</v>
      </c>
      <c r="GA3" s="178">
        <v>3086</v>
      </c>
      <c r="GB3" s="179" t="str">
        <f t="shared" ref="GB3:GB46" si="58">IF(GA3&gt;=E3,"Tercapai","Tidak Tercapai")</f>
        <v>Tidak Tercapai</v>
      </c>
      <c r="GC3" s="178">
        <v>3193</v>
      </c>
      <c r="GD3" s="178">
        <v>2714</v>
      </c>
      <c r="GE3" s="179" t="str">
        <f t="shared" ref="GE3:GE46" si="59">IF(GD3&gt;=E3,"Tercapai","Tidak Tercapai")</f>
        <v>Tidak Tercapai</v>
      </c>
      <c r="GF3" s="178">
        <v>1833</v>
      </c>
      <c r="GG3" s="178">
        <v>632</v>
      </c>
      <c r="GH3" s="179" t="str">
        <f t="shared" ref="GH3:GH46" si="60">IF(GG3&gt;=E3,"Tercapai","Tidak Tercapai")</f>
        <v>Tidak Tercapai</v>
      </c>
      <c r="GI3" s="178">
        <v>53</v>
      </c>
      <c r="GJ3" s="178">
        <v>1301</v>
      </c>
      <c r="GK3" s="179" t="str">
        <f t="shared" ref="GK3:GK46" si="61">IF(GJ3&gt;=E3,"Tercapai","Tidak Tercapai")</f>
        <v>Tidak Tercapai</v>
      </c>
      <c r="GL3" s="178">
        <v>3771</v>
      </c>
      <c r="GM3" s="178">
        <v>1870</v>
      </c>
      <c r="GN3" s="179" t="str">
        <f t="shared" ref="GN3:GN46" si="62">IF(GM3&gt;=E3,"Tercapai","Tidak Tercapai")</f>
        <v>Tidak Tercapai</v>
      </c>
      <c r="GO3" s="178">
        <v>3755</v>
      </c>
      <c r="GP3" s="178">
        <v>1053</v>
      </c>
      <c r="GQ3" s="179" t="str">
        <f t="shared" ref="GQ3:GQ46" si="63">IF(GP3&gt;=E3,"Tercapai","Tidak Tercapai")</f>
        <v>Tidak Tercapai</v>
      </c>
      <c r="GR3" s="178">
        <v>900</v>
      </c>
      <c r="GS3" s="178">
        <v>789</v>
      </c>
      <c r="GT3" s="179" t="str">
        <f t="shared" ref="GT3:GT46" si="64">IF(GS3&gt;=E3,"Tercapai","Tidak Tercapai")</f>
        <v>Tidak Tercapai</v>
      </c>
      <c r="GU3" s="178">
        <v>804</v>
      </c>
      <c r="GV3" s="178">
        <v>1789</v>
      </c>
      <c r="GW3" s="179" t="str">
        <f t="shared" ref="GW3:GW46" si="65">IF(GV3&gt;=E3,"Tercapai","Tidak Tercapai")</f>
        <v>Tidak Tercapai</v>
      </c>
      <c r="GX3" s="178">
        <v>3668</v>
      </c>
      <c r="GY3" s="178">
        <v>436</v>
      </c>
      <c r="GZ3" s="179" t="str">
        <f t="shared" ref="GZ3:GZ46" si="66">IF(GY3&gt;=E3,"Tercapai","Tidak Tercapai")</f>
        <v>Tidak Tercapai</v>
      </c>
      <c r="HA3" s="178">
        <v>52</v>
      </c>
      <c r="HB3" s="178">
        <v>1022</v>
      </c>
      <c r="HC3" s="179" t="str">
        <f t="shared" ref="HC3:HC46" si="67">IF(HB3&gt;=E3,"Tercapai","Tidak Tercapai")</f>
        <v>Tidak Tercapai</v>
      </c>
      <c r="HD3" s="178">
        <v>3184</v>
      </c>
      <c r="HE3" s="178">
        <v>1112</v>
      </c>
      <c r="HF3" s="179" t="str">
        <f t="shared" ref="HF3:HF46" si="68">IF(HE3&gt;=E3,"Tercapai","Tidak Tercapai")</f>
        <v>Tidak Tercapai</v>
      </c>
      <c r="HG3" s="178">
        <v>3759</v>
      </c>
      <c r="HH3" s="178">
        <v>1104</v>
      </c>
      <c r="HI3" s="179" t="str">
        <f t="shared" ref="HI3:HI46" si="69">IF(HH3&gt;=E3,"Tercapai","Tidak Tercapai")</f>
        <v>Tidak Tercapai</v>
      </c>
      <c r="HJ3" s="178">
        <v>3626</v>
      </c>
      <c r="HK3" s="178">
        <v>95</v>
      </c>
      <c r="HL3" s="179" t="str">
        <f t="shared" ref="HL3:HL46" si="70">IF(HK3&gt;=E3,"Tercapai","Tidak Tercapai")</f>
        <v>Tidak Tercapai</v>
      </c>
      <c r="HM3" s="178">
        <v>1357</v>
      </c>
      <c r="HN3" s="178">
        <v>53</v>
      </c>
      <c r="HO3" s="179" t="str">
        <f t="shared" ref="HO3:HO46" si="71">IF(HN3&gt;=E3,"Tercapai","Tidak Tercapai")</f>
        <v>Tidak Tercapai</v>
      </c>
      <c r="HP3" s="178">
        <v>806</v>
      </c>
      <c r="HQ3" s="178">
        <v>1011</v>
      </c>
      <c r="HR3" s="179" t="str">
        <f t="shared" ref="HR3:HR46" si="72">IF(HQ3&gt;=E3,"Tercapai","Tidak Tercapai")</f>
        <v>Tidak Tercapai</v>
      </c>
      <c r="HS3" s="178">
        <v>2862</v>
      </c>
      <c r="HT3" s="178">
        <v>1109</v>
      </c>
      <c r="HU3" s="179" t="str">
        <f t="shared" ref="HU3:HU46" si="73">IF(HT3&gt;=E3,"Tercapai","Tidak Tercapai")</f>
        <v>Tidak Tercapai</v>
      </c>
      <c r="HV3" s="178">
        <v>2065</v>
      </c>
      <c r="HW3" s="178">
        <v>1195</v>
      </c>
      <c r="HX3" s="179" t="str">
        <f t="shared" ref="HX3:HX46" si="74">IF(HW3&gt;=E3,"Tercapai","Tidak Tercapai")</f>
        <v>Tidak Tercapai</v>
      </c>
      <c r="HY3" s="178">
        <v>3693</v>
      </c>
      <c r="HZ3" s="178">
        <v>1193</v>
      </c>
      <c r="IA3" s="179" t="str">
        <f t="shared" ref="IA3:IA46" si="75">IF(HZ3&gt;=E3,"Tercapai","Tidak Tercapai")</f>
        <v>Tidak Tercapai</v>
      </c>
      <c r="IB3" s="178">
        <v>3458</v>
      </c>
      <c r="IC3" s="178">
        <v>1157</v>
      </c>
      <c r="ID3" s="179" t="str">
        <f t="shared" ref="ID3:ID46" si="76">IF(IC3&gt;=E3,"Tercapai","Tidak Tercapai")</f>
        <v>Tidak Tercapai</v>
      </c>
      <c r="IE3" s="178">
        <v>5761</v>
      </c>
      <c r="IF3" s="178">
        <v>41</v>
      </c>
      <c r="IG3" s="179" t="str">
        <f t="shared" ref="IG3:IG46" si="77">IF(IF3&gt;=E3,"Tercapai","Tidak Tercapai")</f>
        <v>Tidak Tercapai</v>
      </c>
      <c r="IH3" s="178">
        <v>554</v>
      </c>
      <c r="II3" s="178">
        <v>8</v>
      </c>
      <c r="IJ3" s="179" t="str">
        <f t="shared" ref="IJ3:IJ46" si="78">IF(II3&gt;=E3,"Tercapai","Tidak Tercapai")</f>
        <v>Tidak Tercapai</v>
      </c>
      <c r="IK3" s="178">
        <v>3</v>
      </c>
      <c r="IL3" s="42"/>
      <c r="IM3" s="42"/>
      <c r="IN3" s="42"/>
      <c r="IO3" s="42"/>
      <c r="IP3" s="42"/>
      <c r="IQ3" s="42"/>
      <c r="IR3" s="42"/>
      <c r="IS3" s="42"/>
      <c r="IT3" s="42"/>
      <c r="IU3" s="42"/>
      <c r="IV3" s="42"/>
    </row>
    <row r="4" spans="1:256" ht="15.6" x14ac:dyDescent="0.3">
      <c r="A4" s="167">
        <v>2</v>
      </c>
      <c r="B4" s="168" t="s">
        <v>458</v>
      </c>
      <c r="C4" s="167" t="s">
        <v>459</v>
      </c>
      <c r="D4" s="169">
        <v>456111</v>
      </c>
      <c r="E4" s="167">
        <v>5041</v>
      </c>
      <c r="F4" s="170">
        <v>85668</v>
      </c>
      <c r="G4" s="171" t="s">
        <v>457</v>
      </c>
      <c r="H4" s="170">
        <v>47581</v>
      </c>
      <c r="I4" s="170">
        <v>429</v>
      </c>
      <c r="J4" s="171" t="str">
        <f t="shared" si="0"/>
        <v>Tidak Tercapai</v>
      </c>
      <c r="K4" s="170">
        <v>1</v>
      </c>
      <c r="L4" s="170">
        <v>0</v>
      </c>
      <c r="M4" s="171" t="str">
        <f t="shared" si="1"/>
        <v>Tidak Tercapai</v>
      </c>
      <c r="N4" s="170">
        <v>0</v>
      </c>
      <c r="O4" s="167">
        <v>3144</v>
      </c>
      <c r="P4" s="171" t="str">
        <f t="shared" si="2"/>
        <v>Tidak Tercapai</v>
      </c>
      <c r="Q4" s="172">
        <v>0</v>
      </c>
      <c r="R4" s="167">
        <v>3480</v>
      </c>
      <c r="S4" s="173" t="str">
        <f t="shared" si="3"/>
        <v>Tidak Tercapai</v>
      </c>
      <c r="T4" s="172">
        <v>21</v>
      </c>
      <c r="U4" s="174">
        <v>3275</v>
      </c>
      <c r="V4" s="173" t="str">
        <f t="shared" si="4"/>
        <v>Tidak Tercapai</v>
      </c>
      <c r="W4" s="175">
        <v>2</v>
      </c>
      <c r="X4" s="175">
        <v>3965</v>
      </c>
      <c r="Y4" s="176" t="str">
        <f t="shared" si="5"/>
        <v>Tidak Tercapai</v>
      </c>
      <c r="Z4" s="177">
        <v>15</v>
      </c>
      <c r="AA4" s="178">
        <v>3884</v>
      </c>
      <c r="AB4" s="179" t="str">
        <f t="shared" si="6"/>
        <v>Tidak Tercapai</v>
      </c>
      <c r="AC4" s="178">
        <v>0</v>
      </c>
      <c r="AD4" s="178">
        <v>2405</v>
      </c>
      <c r="AE4" s="179" t="str">
        <f t="shared" si="7"/>
        <v>Tidak Tercapai</v>
      </c>
      <c r="AF4" s="178">
        <v>0</v>
      </c>
      <c r="AG4" s="178">
        <v>2318</v>
      </c>
      <c r="AH4" s="179" t="str">
        <f t="shared" si="8"/>
        <v>Tidak Tercapai</v>
      </c>
      <c r="AI4" s="178">
        <v>0</v>
      </c>
      <c r="AJ4" s="178">
        <v>3075</v>
      </c>
      <c r="AK4" s="179" t="str">
        <f t="shared" si="9"/>
        <v>Tidak Tercapai</v>
      </c>
      <c r="AL4" s="178">
        <v>0</v>
      </c>
      <c r="AM4" s="178">
        <v>1814</v>
      </c>
      <c r="AN4" s="179" t="str">
        <f t="shared" si="10"/>
        <v>Tidak Tercapai</v>
      </c>
      <c r="AO4" s="178">
        <v>24</v>
      </c>
      <c r="AP4" s="178">
        <v>5686</v>
      </c>
      <c r="AQ4" s="179" t="str">
        <f t="shared" si="11"/>
        <v>Tercapai</v>
      </c>
      <c r="AR4" s="178">
        <v>9</v>
      </c>
      <c r="AS4" s="178">
        <v>3770</v>
      </c>
      <c r="AT4" s="179" t="str">
        <f t="shared" si="12"/>
        <v>Tidak Tercapai</v>
      </c>
      <c r="AU4" s="178">
        <v>19</v>
      </c>
      <c r="AV4" s="170">
        <v>3055</v>
      </c>
      <c r="AW4" s="179" t="str">
        <f t="shared" si="13"/>
        <v>Tidak Tercapai</v>
      </c>
      <c r="AX4" s="178">
        <v>9</v>
      </c>
      <c r="AY4" s="178">
        <v>2051</v>
      </c>
      <c r="AZ4" s="179" t="str">
        <f t="shared" si="14"/>
        <v>Tidak Tercapai</v>
      </c>
      <c r="BA4" s="178">
        <v>4</v>
      </c>
      <c r="BB4" s="183">
        <v>786</v>
      </c>
      <c r="BC4" s="179" t="str">
        <f t="shared" si="15"/>
        <v>Tidak Tercapai</v>
      </c>
      <c r="BD4" s="178">
        <v>2</v>
      </c>
      <c r="BE4" s="184">
        <v>3272</v>
      </c>
      <c r="BF4" s="179" t="str">
        <f t="shared" si="16"/>
        <v>Tidak Tercapai</v>
      </c>
      <c r="BG4" s="170">
        <v>8</v>
      </c>
      <c r="BH4" s="184">
        <v>3669</v>
      </c>
      <c r="BI4" s="179" t="str">
        <f t="shared" si="17"/>
        <v>Tidak Tercapai</v>
      </c>
      <c r="BJ4" s="184">
        <v>7</v>
      </c>
      <c r="BK4" s="184">
        <v>3262</v>
      </c>
      <c r="BL4" s="179" t="str">
        <f t="shared" si="18"/>
        <v>Tidak Tercapai</v>
      </c>
      <c r="BM4" s="184">
        <v>16</v>
      </c>
      <c r="BN4" s="184">
        <v>2892</v>
      </c>
      <c r="BO4" s="179" t="str">
        <f t="shared" si="19"/>
        <v>Tidak Tercapai</v>
      </c>
      <c r="BP4" s="184">
        <v>13</v>
      </c>
      <c r="BQ4" s="184">
        <v>2233</v>
      </c>
      <c r="BR4" s="179" t="str">
        <f t="shared" si="20"/>
        <v>Tidak Tercapai</v>
      </c>
      <c r="BS4" s="184">
        <v>15</v>
      </c>
      <c r="BT4" s="184">
        <v>2513</v>
      </c>
      <c r="BU4" s="179" t="str">
        <f t="shared" si="21"/>
        <v>Tidak Tercapai</v>
      </c>
      <c r="BV4" s="185">
        <v>47.759</v>
      </c>
      <c r="BW4" s="184">
        <v>0</v>
      </c>
      <c r="BX4" s="179" t="str">
        <f t="shared" si="22"/>
        <v>Tidak Tercapai</v>
      </c>
      <c r="BY4" s="184">
        <v>0</v>
      </c>
      <c r="BZ4" s="184">
        <v>2413</v>
      </c>
      <c r="CA4" s="179" t="str">
        <f t="shared" si="23"/>
        <v>Tidak Tercapai</v>
      </c>
      <c r="CB4" s="184">
        <v>1523</v>
      </c>
      <c r="CC4" s="184">
        <v>4049</v>
      </c>
      <c r="CD4" s="179" t="str">
        <f t="shared" si="24"/>
        <v>Tidak Tercapai</v>
      </c>
      <c r="CE4" s="184">
        <v>8</v>
      </c>
      <c r="CF4" s="184">
        <v>1780</v>
      </c>
      <c r="CG4" s="179" t="str">
        <f t="shared" si="25"/>
        <v>Tidak Tercapai</v>
      </c>
      <c r="CH4" s="184">
        <v>2</v>
      </c>
      <c r="CI4" s="184">
        <v>3128</v>
      </c>
      <c r="CJ4" s="179" t="str">
        <f t="shared" si="26"/>
        <v>Tidak Tercapai</v>
      </c>
      <c r="CK4" s="184">
        <v>12</v>
      </c>
      <c r="CL4" s="184">
        <v>634</v>
      </c>
      <c r="CM4" s="179" t="str">
        <f t="shared" si="27"/>
        <v>Tidak Tercapai</v>
      </c>
      <c r="CN4" s="184">
        <v>2</v>
      </c>
      <c r="CO4" s="184">
        <v>2</v>
      </c>
      <c r="CP4" s="179" t="str">
        <f t="shared" si="28"/>
        <v>Tidak Tercapai</v>
      </c>
      <c r="CQ4" s="184">
        <v>1</v>
      </c>
      <c r="CR4" s="184">
        <v>0</v>
      </c>
      <c r="CS4" s="179" t="str">
        <f t="shared" si="29"/>
        <v>Tidak Tercapai</v>
      </c>
      <c r="CT4" s="184">
        <v>0</v>
      </c>
      <c r="CU4" s="184">
        <v>789</v>
      </c>
      <c r="CV4" s="179" t="str">
        <f t="shared" si="30"/>
        <v>Tidak Tercapai</v>
      </c>
      <c r="CW4" s="184">
        <v>11</v>
      </c>
      <c r="CX4" s="184">
        <v>7150</v>
      </c>
      <c r="CY4" s="179" t="str">
        <f t="shared" si="31"/>
        <v>Tercapai</v>
      </c>
      <c r="CZ4" s="184">
        <v>24</v>
      </c>
      <c r="DA4" s="184">
        <v>2175</v>
      </c>
      <c r="DB4" s="179" t="str">
        <f t="shared" si="32"/>
        <v>Tidak Tercapai</v>
      </c>
      <c r="DC4" s="184">
        <v>8</v>
      </c>
      <c r="DD4" s="184">
        <v>3156</v>
      </c>
      <c r="DE4" s="179" t="str">
        <f t="shared" si="33"/>
        <v>Tidak Tercapai</v>
      </c>
      <c r="DF4" s="184">
        <v>15</v>
      </c>
      <c r="DG4" s="184">
        <v>2260</v>
      </c>
      <c r="DH4" s="179" t="str">
        <f t="shared" si="34"/>
        <v>Tidak Tercapai</v>
      </c>
      <c r="DI4" s="184">
        <v>6</v>
      </c>
      <c r="DJ4" s="184">
        <v>622</v>
      </c>
      <c r="DK4" s="179" t="str">
        <f t="shared" si="35"/>
        <v>Tidak Tercapai</v>
      </c>
      <c r="DL4" s="184">
        <v>0</v>
      </c>
      <c r="DM4" s="184">
        <v>789</v>
      </c>
      <c r="DN4" s="179" t="str">
        <f t="shared" si="36"/>
        <v>Tidak Tercapai</v>
      </c>
      <c r="DO4" s="184">
        <v>1</v>
      </c>
      <c r="DP4" s="184">
        <v>2262</v>
      </c>
      <c r="DQ4" s="179" t="str">
        <f t="shared" si="37"/>
        <v>Tidak Tercapai</v>
      </c>
      <c r="DR4" s="184">
        <v>1044</v>
      </c>
      <c r="DS4" s="184">
        <v>6</v>
      </c>
      <c r="DT4" s="179" t="str">
        <f t="shared" si="38"/>
        <v>Tidak Tercapai</v>
      </c>
      <c r="DU4" s="184">
        <v>0</v>
      </c>
      <c r="DV4" s="184">
        <v>1614</v>
      </c>
      <c r="DW4" s="179" t="str">
        <f t="shared" si="39"/>
        <v>Tidak Tercapai</v>
      </c>
      <c r="DX4" s="184">
        <v>2114</v>
      </c>
      <c r="DY4" s="184">
        <v>2107</v>
      </c>
      <c r="DZ4" s="179" t="str">
        <f t="shared" si="40"/>
        <v>Tidak Tercapai</v>
      </c>
      <c r="EA4" s="184">
        <v>3377</v>
      </c>
      <c r="EB4" s="184">
        <v>2313</v>
      </c>
      <c r="EC4" s="179" t="str">
        <f t="shared" si="41"/>
        <v>Tidak Tercapai</v>
      </c>
      <c r="ED4" s="184">
        <v>2940</v>
      </c>
      <c r="EE4" s="184">
        <v>1142</v>
      </c>
      <c r="EF4" s="179" t="str">
        <f t="shared" si="42"/>
        <v>Tidak Tercapai</v>
      </c>
      <c r="EG4" s="184">
        <v>520</v>
      </c>
      <c r="EH4" s="184">
        <v>871</v>
      </c>
      <c r="EI4" s="179" t="str">
        <f t="shared" si="43"/>
        <v>Tidak Tercapai</v>
      </c>
      <c r="EJ4" s="184">
        <v>427</v>
      </c>
      <c r="EK4" s="184">
        <v>1204</v>
      </c>
      <c r="EL4" s="179" t="str">
        <f t="shared" si="44"/>
        <v>Tidak Tercapai</v>
      </c>
      <c r="EM4" s="184">
        <v>3798</v>
      </c>
      <c r="EN4" s="184">
        <v>1941</v>
      </c>
      <c r="EO4" s="179" t="str">
        <f t="shared" si="45"/>
        <v>Tidak Tercapai</v>
      </c>
      <c r="EP4" s="184">
        <v>2843</v>
      </c>
      <c r="EQ4" s="184">
        <v>1885</v>
      </c>
      <c r="ER4" s="179" t="str">
        <f t="shared" si="46"/>
        <v>Tidak Tercapai</v>
      </c>
      <c r="ES4" s="178">
        <v>3344</v>
      </c>
      <c r="ET4" s="184">
        <v>1923</v>
      </c>
      <c r="EU4" s="179" t="str">
        <f t="shared" si="47"/>
        <v>Tidak Tercapai</v>
      </c>
      <c r="EV4" s="184">
        <v>3675</v>
      </c>
      <c r="EW4" s="184">
        <v>1742</v>
      </c>
      <c r="EX4" s="179" t="str">
        <f t="shared" si="48"/>
        <v>Tidak Tercapai</v>
      </c>
      <c r="EY4" s="184">
        <v>4423</v>
      </c>
      <c r="EZ4" s="184">
        <v>1183</v>
      </c>
      <c r="FA4" s="179" t="str">
        <f t="shared" si="49"/>
        <v>Tidak Tercapai</v>
      </c>
      <c r="FB4" s="184">
        <v>964</v>
      </c>
      <c r="FC4" s="184">
        <v>2547</v>
      </c>
      <c r="FD4" s="179" t="str">
        <f t="shared" si="50"/>
        <v>Tidak Tercapai</v>
      </c>
      <c r="FE4" s="184">
        <v>440</v>
      </c>
      <c r="FF4" s="184">
        <v>4576</v>
      </c>
      <c r="FG4" s="179" t="str">
        <f t="shared" si="51"/>
        <v>Tidak Tercapai</v>
      </c>
      <c r="FH4" s="184">
        <v>3674</v>
      </c>
      <c r="FI4" s="184">
        <v>3354</v>
      </c>
      <c r="FJ4" s="179" t="str">
        <f t="shared" si="52"/>
        <v>Tidak Tercapai</v>
      </c>
      <c r="FK4" s="184">
        <v>3991</v>
      </c>
      <c r="FL4" s="186">
        <v>2703</v>
      </c>
      <c r="FM4" s="179" t="str">
        <f t="shared" si="53"/>
        <v>Tidak Tercapai</v>
      </c>
      <c r="FN4" s="184">
        <v>2046</v>
      </c>
      <c r="FO4" s="184">
        <v>1871</v>
      </c>
      <c r="FP4" s="179" t="str">
        <f t="shared" si="54"/>
        <v>Tidak Tercapai</v>
      </c>
      <c r="FQ4" s="184">
        <v>270</v>
      </c>
      <c r="FR4" s="184">
        <v>2173</v>
      </c>
      <c r="FS4" s="179" t="str">
        <f t="shared" si="55"/>
        <v>Tidak Tercapai</v>
      </c>
      <c r="FT4" s="184">
        <v>2054</v>
      </c>
      <c r="FU4" s="184">
        <v>4489</v>
      </c>
      <c r="FV4" s="179" t="str">
        <f t="shared" si="56"/>
        <v>Tidak Tercapai</v>
      </c>
      <c r="FW4" s="184">
        <v>2994</v>
      </c>
      <c r="FX4" s="184">
        <v>6947</v>
      </c>
      <c r="FY4" s="179" t="str">
        <f t="shared" si="57"/>
        <v>Tercapai</v>
      </c>
      <c r="FZ4" s="184">
        <v>2565</v>
      </c>
      <c r="GA4" s="184">
        <v>4188</v>
      </c>
      <c r="GB4" s="179" t="str">
        <f t="shared" si="58"/>
        <v>Tidak Tercapai</v>
      </c>
      <c r="GC4" s="184">
        <v>3210</v>
      </c>
      <c r="GD4" s="184">
        <v>2627</v>
      </c>
      <c r="GE4" s="179" t="str">
        <f t="shared" si="59"/>
        <v>Tidak Tercapai</v>
      </c>
      <c r="GF4" s="184">
        <v>2607</v>
      </c>
      <c r="GG4" s="184">
        <v>2519</v>
      </c>
      <c r="GH4" s="179" t="str">
        <f t="shared" si="60"/>
        <v>Tidak Tercapai</v>
      </c>
      <c r="GI4" s="184">
        <v>1007</v>
      </c>
      <c r="GJ4" s="184">
        <v>2905</v>
      </c>
      <c r="GK4" s="179" t="str">
        <f t="shared" si="61"/>
        <v>Tidak Tercapai</v>
      </c>
      <c r="GL4" s="184">
        <v>5867</v>
      </c>
      <c r="GM4" s="184">
        <v>3575</v>
      </c>
      <c r="GN4" s="179" t="str">
        <f t="shared" si="62"/>
        <v>Tidak Tercapai</v>
      </c>
      <c r="GO4" s="184">
        <v>5772</v>
      </c>
      <c r="GP4" s="184">
        <v>2999</v>
      </c>
      <c r="GQ4" s="179" t="str">
        <f t="shared" si="63"/>
        <v>Tidak Tercapai</v>
      </c>
      <c r="GR4" s="184">
        <v>1145</v>
      </c>
      <c r="GS4" s="184">
        <v>2118</v>
      </c>
      <c r="GT4" s="179" t="str">
        <f t="shared" si="64"/>
        <v>Tidak Tercapai</v>
      </c>
      <c r="GU4" s="184">
        <v>1375</v>
      </c>
      <c r="GV4" s="184">
        <v>3752</v>
      </c>
      <c r="GW4" s="179" t="str">
        <f t="shared" si="65"/>
        <v>Tidak Tercapai</v>
      </c>
      <c r="GX4" s="184">
        <v>4626</v>
      </c>
      <c r="GY4" s="184">
        <v>2369</v>
      </c>
      <c r="GZ4" s="179" t="str">
        <f t="shared" si="66"/>
        <v>Tidak Tercapai</v>
      </c>
      <c r="HA4" s="184">
        <v>1283</v>
      </c>
      <c r="HB4" s="184">
        <v>1579</v>
      </c>
      <c r="HC4" s="179" t="str">
        <f t="shared" si="67"/>
        <v>Tidak Tercapai</v>
      </c>
      <c r="HD4" s="184">
        <v>3405</v>
      </c>
      <c r="HE4" s="184">
        <v>1573</v>
      </c>
      <c r="HF4" s="179" t="str">
        <f t="shared" si="68"/>
        <v>Tidak Tercapai</v>
      </c>
      <c r="HG4" s="184">
        <v>3191</v>
      </c>
      <c r="HH4" s="184">
        <v>1222</v>
      </c>
      <c r="HI4" s="179" t="str">
        <f t="shared" si="69"/>
        <v>Tidak Tercapai</v>
      </c>
      <c r="HJ4" s="184">
        <v>3445</v>
      </c>
      <c r="HK4" s="184">
        <v>647</v>
      </c>
      <c r="HL4" s="179" t="str">
        <f t="shared" si="70"/>
        <v>Tidak Tercapai</v>
      </c>
      <c r="HM4" s="184">
        <v>1115</v>
      </c>
      <c r="HN4" s="184">
        <v>156</v>
      </c>
      <c r="HO4" s="179" t="str">
        <f t="shared" si="71"/>
        <v>Tidak Tercapai</v>
      </c>
      <c r="HP4" s="184">
        <v>34</v>
      </c>
      <c r="HQ4" s="184">
        <v>2056</v>
      </c>
      <c r="HR4" s="179" t="str">
        <f t="shared" si="72"/>
        <v>Tidak Tercapai</v>
      </c>
      <c r="HS4" s="184">
        <v>1721</v>
      </c>
      <c r="HT4" s="184">
        <v>1592</v>
      </c>
      <c r="HU4" s="179" t="str">
        <f t="shared" si="73"/>
        <v>Tidak Tercapai</v>
      </c>
      <c r="HV4" s="184">
        <v>1312</v>
      </c>
      <c r="HW4" s="184">
        <v>1707</v>
      </c>
      <c r="HX4" s="179" t="str">
        <f t="shared" si="74"/>
        <v>Tidak Tercapai</v>
      </c>
      <c r="HY4" s="184">
        <v>1002</v>
      </c>
      <c r="HZ4" s="184">
        <v>1045</v>
      </c>
      <c r="IA4" s="179" t="str">
        <f t="shared" si="75"/>
        <v>Tidak Tercapai</v>
      </c>
      <c r="IB4" s="184">
        <v>2626</v>
      </c>
      <c r="IC4" s="184">
        <v>2000</v>
      </c>
      <c r="ID4" s="179" t="str">
        <f t="shared" si="76"/>
        <v>Tidak Tercapai</v>
      </c>
      <c r="IE4" s="184">
        <v>2129</v>
      </c>
      <c r="IF4" s="184">
        <v>524</v>
      </c>
      <c r="IG4" s="179" t="str">
        <f t="shared" si="77"/>
        <v>Tidak Tercapai</v>
      </c>
      <c r="IH4" s="184">
        <v>67</v>
      </c>
      <c r="II4" s="184">
        <v>43</v>
      </c>
      <c r="IJ4" s="179" t="str">
        <f t="shared" si="78"/>
        <v>Tidak Tercapai</v>
      </c>
      <c r="IK4" s="184">
        <v>15</v>
      </c>
      <c r="IL4" s="42"/>
      <c r="IM4" s="42"/>
      <c r="IN4" s="42"/>
      <c r="IO4" s="42"/>
      <c r="IP4" s="42"/>
      <c r="IQ4" s="42"/>
      <c r="IR4" s="42"/>
      <c r="IS4" s="42"/>
      <c r="IT4" s="42"/>
      <c r="IU4" s="42"/>
      <c r="IV4" s="42"/>
    </row>
    <row r="5" spans="1:256" ht="15.6" x14ac:dyDescent="0.3">
      <c r="A5" s="167">
        <v>3</v>
      </c>
      <c r="B5" s="168" t="s">
        <v>460</v>
      </c>
      <c r="C5" s="167" t="s">
        <v>459</v>
      </c>
      <c r="D5" s="169">
        <v>356818</v>
      </c>
      <c r="E5" s="167">
        <v>4295</v>
      </c>
      <c r="F5" s="187">
        <v>42991</v>
      </c>
      <c r="G5" s="171" t="s">
        <v>457</v>
      </c>
      <c r="H5" s="187">
        <v>23222</v>
      </c>
      <c r="I5" s="187">
        <v>162</v>
      </c>
      <c r="J5" s="171" t="str">
        <f t="shared" si="0"/>
        <v>Tidak Tercapai</v>
      </c>
      <c r="K5" s="187">
        <v>24</v>
      </c>
      <c r="L5" s="187">
        <v>0</v>
      </c>
      <c r="M5" s="171" t="str">
        <f t="shared" si="1"/>
        <v>Tidak Tercapai</v>
      </c>
      <c r="N5" s="187">
        <v>0</v>
      </c>
      <c r="O5" s="167">
        <v>1680</v>
      </c>
      <c r="P5" s="171" t="str">
        <f t="shared" si="2"/>
        <v>Tidak Tercapai</v>
      </c>
      <c r="Q5" s="172">
        <v>26</v>
      </c>
      <c r="R5" s="167">
        <v>2107</v>
      </c>
      <c r="S5" s="173" t="str">
        <f t="shared" si="3"/>
        <v>Tidak Tercapai</v>
      </c>
      <c r="T5" s="172">
        <v>8</v>
      </c>
      <c r="U5" s="174">
        <v>2347</v>
      </c>
      <c r="V5" s="173" t="str">
        <f t="shared" si="4"/>
        <v>Tercapai</v>
      </c>
      <c r="W5" s="175">
        <v>21</v>
      </c>
      <c r="X5" s="188">
        <v>2880</v>
      </c>
      <c r="Y5" s="176" t="str">
        <f t="shared" si="5"/>
        <v>Tidak Tercapai</v>
      </c>
      <c r="Z5" s="177">
        <v>23</v>
      </c>
      <c r="AA5" s="178">
        <v>3405</v>
      </c>
      <c r="AB5" s="179" t="str">
        <f t="shared" si="6"/>
        <v>Tidak Tercapai</v>
      </c>
      <c r="AC5" s="178">
        <v>39</v>
      </c>
      <c r="AD5" s="184">
        <v>1192</v>
      </c>
      <c r="AE5" s="179" t="str">
        <f t="shared" si="7"/>
        <v>Tidak Tercapai</v>
      </c>
      <c r="AF5" s="178">
        <v>0</v>
      </c>
      <c r="AG5" s="178">
        <v>801</v>
      </c>
      <c r="AH5" s="179" t="str">
        <f t="shared" si="8"/>
        <v>Tidak Tercapai</v>
      </c>
      <c r="AI5" s="178">
        <v>0</v>
      </c>
      <c r="AJ5" s="184">
        <v>3112</v>
      </c>
      <c r="AK5" s="179" t="str">
        <f t="shared" si="9"/>
        <v>Tidak Tercapai</v>
      </c>
      <c r="AL5" s="184">
        <v>4</v>
      </c>
      <c r="AM5" s="184">
        <v>2946</v>
      </c>
      <c r="AN5" s="179" t="str">
        <f t="shared" si="10"/>
        <v>Tidak Tercapai</v>
      </c>
      <c r="AO5" s="184">
        <v>3</v>
      </c>
      <c r="AP5" s="178">
        <v>3616</v>
      </c>
      <c r="AQ5" s="179" t="str">
        <f t="shared" si="11"/>
        <v>Tidak Tercapai</v>
      </c>
      <c r="AR5" s="178">
        <v>4</v>
      </c>
      <c r="AS5" s="178">
        <v>3972</v>
      </c>
      <c r="AT5" s="179" t="str">
        <f t="shared" si="12"/>
        <v>Tidak Tercapai</v>
      </c>
      <c r="AU5" s="178">
        <v>26</v>
      </c>
      <c r="AV5" s="170">
        <v>4526</v>
      </c>
      <c r="AW5" s="179" t="str">
        <f t="shared" si="13"/>
        <v>Tercapai</v>
      </c>
      <c r="AX5" s="178">
        <v>14</v>
      </c>
      <c r="AY5" s="178">
        <v>1331</v>
      </c>
      <c r="AZ5" s="179" t="str">
        <f t="shared" si="14"/>
        <v>Tidak Tercapai</v>
      </c>
      <c r="BA5" s="178">
        <v>9</v>
      </c>
      <c r="BB5" s="183">
        <v>1590</v>
      </c>
      <c r="BC5" s="179" t="str">
        <f t="shared" si="15"/>
        <v>Tidak Tercapai</v>
      </c>
      <c r="BD5" s="178">
        <v>1</v>
      </c>
      <c r="BE5" s="184">
        <v>4314</v>
      </c>
      <c r="BF5" s="179" t="str">
        <f t="shared" si="16"/>
        <v>Tercapai</v>
      </c>
      <c r="BG5" s="170">
        <v>23</v>
      </c>
      <c r="BH5" s="184">
        <v>4678</v>
      </c>
      <c r="BI5" s="179" t="str">
        <f t="shared" si="17"/>
        <v>Tercapai</v>
      </c>
      <c r="BJ5" s="184">
        <v>16</v>
      </c>
      <c r="BK5" s="184">
        <v>4371</v>
      </c>
      <c r="BL5" s="179" t="str">
        <f t="shared" si="18"/>
        <v>Tercapai</v>
      </c>
      <c r="BM5" s="184">
        <v>25</v>
      </c>
      <c r="BN5" s="184">
        <v>2264</v>
      </c>
      <c r="BO5" s="179" t="str">
        <f t="shared" si="19"/>
        <v>Tidak Tercapai</v>
      </c>
      <c r="BP5" s="184">
        <v>12</v>
      </c>
      <c r="BQ5" s="184">
        <v>1919</v>
      </c>
      <c r="BR5" s="179" t="str">
        <f t="shared" si="20"/>
        <v>Tidak Tercapai</v>
      </c>
      <c r="BS5" s="184">
        <v>8</v>
      </c>
      <c r="BT5" s="184">
        <v>1511</v>
      </c>
      <c r="BU5" s="179" t="str">
        <f t="shared" si="21"/>
        <v>Tidak Tercapai</v>
      </c>
      <c r="BV5" s="185">
        <v>23.576000000000001</v>
      </c>
      <c r="BW5" s="184">
        <v>80</v>
      </c>
      <c r="BX5" s="179" t="str">
        <f t="shared" si="22"/>
        <v>Tidak Tercapai</v>
      </c>
      <c r="BY5" s="184">
        <v>0</v>
      </c>
      <c r="BZ5" s="184">
        <v>2308</v>
      </c>
      <c r="CA5" s="179" t="str">
        <f t="shared" si="23"/>
        <v>Tidak Tercapai</v>
      </c>
      <c r="CB5" s="184">
        <v>528</v>
      </c>
      <c r="CC5" s="184">
        <v>4389</v>
      </c>
      <c r="CD5" s="179" t="str">
        <f t="shared" si="24"/>
        <v>Tercapai</v>
      </c>
      <c r="CE5" s="184">
        <v>27</v>
      </c>
      <c r="CF5" s="184">
        <v>1841</v>
      </c>
      <c r="CG5" s="179" t="str">
        <f t="shared" si="25"/>
        <v>Tidak Tercapai</v>
      </c>
      <c r="CH5" s="184">
        <v>7</v>
      </c>
      <c r="CI5" s="184">
        <v>4346</v>
      </c>
      <c r="CJ5" s="179" t="str">
        <f t="shared" si="26"/>
        <v>Tercapai</v>
      </c>
      <c r="CK5" s="184">
        <v>21</v>
      </c>
      <c r="CL5" s="184">
        <v>2392</v>
      </c>
      <c r="CM5" s="179" t="str">
        <f t="shared" si="27"/>
        <v>Tidak Tercapai</v>
      </c>
      <c r="CN5" s="184">
        <v>7</v>
      </c>
      <c r="CO5" s="184">
        <v>392</v>
      </c>
      <c r="CP5" s="179" t="str">
        <f t="shared" si="28"/>
        <v>Tidak Tercapai</v>
      </c>
      <c r="CQ5" s="184">
        <v>0</v>
      </c>
      <c r="CR5" s="184">
        <v>11</v>
      </c>
      <c r="CS5" s="179" t="str">
        <f t="shared" si="29"/>
        <v>Tidak Tercapai</v>
      </c>
      <c r="CT5" s="184">
        <v>0</v>
      </c>
      <c r="CU5" s="184">
        <v>1184</v>
      </c>
      <c r="CV5" s="179" t="str">
        <f t="shared" si="30"/>
        <v>Tidak Tercapai</v>
      </c>
      <c r="CW5" s="184">
        <v>2</v>
      </c>
      <c r="CX5" s="184">
        <v>5913</v>
      </c>
      <c r="CY5" s="179" t="str">
        <f t="shared" si="31"/>
        <v>Tercapai</v>
      </c>
      <c r="CZ5" s="184">
        <v>40</v>
      </c>
      <c r="DA5" s="184">
        <v>2373</v>
      </c>
      <c r="DB5" s="179" t="str">
        <f t="shared" si="32"/>
        <v>Tidak Tercapai</v>
      </c>
      <c r="DC5" s="184">
        <v>15</v>
      </c>
      <c r="DD5" s="184">
        <v>3200</v>
      </c>
      <c r="DE5" s="179" t="str">
        <f t="shared" si="33"/>
        <v>Tidak Tercapai</v>
      </c>
      <c r="DF5" s="184">
        <v>18</v>
      </c>
      <c r="DG5" s="184">
        <v>2467</v>
      </c>
      <c r="DH5" s="179" t="str">
        <f t="shared" si="34"/>
        <v>Tidak Tercapai</v>
      </c>
      <c r="DI5" s="184">
        <v>22</v>
      </c>
      <c r="DJ5" s="184">
        <v>1386</v>
      </c>
      <c r="DK5" s="179" t="str">
        <f t="shared" si="35"/>
        <v>Tidak Tercapai</v>
      </c>
      <c r="DL5" s="184">
        <v>4</v>
      </c>
      <c r="DM5" s="184">
        <v>1924</v>
      </c>
      <c r="DN5" s="179" t="str">
        <f t="shared" si="36"/>
        <v>Tidak Tercapai</v>
      </c>
      <c r="DO5" s="184">
        <v>3</v>
      </c>
      <c r="DP5" s="184">
        <v>2510</v>
      </c>
      <c r="DQ5" s="179" t="str">
        <f t="shared" si="37"/>
        <v>Tidak Tercapai</v>
      </c>
      <c r="DR5" s="184">
        <v>9</v>
      </c>
      <c r="DS5" s="184">
        <v>3</v>
      </c>
      <c r="DT5" s="179" t="str">
        <f t="shared" si="38"/>
        <v>Tidak Tercapai</v>
      </c>
      <c r="DU5" s="184">
        <v>1</v>
      </c>
      <c r="DV5" s="184">
        <v>2161</v>
      </c>
      <c r="DW5" s="179" t="str">
        <f t="shared" si="39"/>
        <v>Tidak Tercapai</v>
      </c>
      <c r="DX5" s="184">
        <v>1591</v>
      </c>
      <c r="DY5" s="184">
        <v>2338</v>
      </c>
      <c r="DZ5" s="179" t="str">
        <f t="shared" si="40"/>
        <v>Tidak Tercapai</v>
      </c>
      <c r="EA5" s="184">
        <v>2066</v>
      </c>
      <c r="EB5" s="184">
        <v>2364</v>
      </c>
      <c r="EC5" s="179" t="str">
        <f t="shared" si="41"/>
        <v>Tidak Tercapai</v>
      </c>
      <c r="ED5" s="184">
        <v>2426</v>
      </c>
      <c r="EE5" s="184">
        <v>1493</v>
      </c>
      <c r="EF5" s="179" t="str">
        <f t="shared" si="42"/>
        <v>Tidak Tercapai</v>
      </c>
      <c r="EG5" s="184">
        <v>771</v>
      </c>
      <c r="EH5" s="184">
        <v>1688</v>
      </c>
      <c r="EI5" s="179" t="str">
        <f t="shared" si="43"/>
        <v>Tidak Tercapai</v>
      </c>
      <c r="EJ5" s="184">
        <v>638</v>
      </c>
      <c r="EK5" s="184">
        <v>3820</v>
      </c>
      <c r="EL5" s="179" t="str">
        <f t="shared" si="44"/>
        <v>Tidak Tercapai</v>
      </c>
      <c r="EM5" s="184">
        <v>2961</v>
      </c>
      <c r="EN5" s="184">
        <v>2407</v>
      </c>
      <c r="EO5" s="179" t="str">
        <f t="shared" si="45"/>
        <v>Tidak Tercapai</v>
      </c>
      <c r="EP5" s="184">
        <v>3414</v>
      </c>
      <c r="EQ5" s="184">
        <v>3626</v>
      </c>
      <c r="ER5" s="179" t="str">
        <f t="shared" si="46"/>
        <v>Tidak Tercapai</v>
      </c>
      <c r="ES5" s="178">
        <v>3886</v>
      </c>
      <c r="ET5" s="184">
        <v>3907</v>
      </c>
      <c r="EU5" s="179" t="str">
        <f t="shared" si="47"/>
        <v>Tidak Tercapai</v>
      </c>
      <c r="EV5" s="184">
        <v>2711</v>
      </c>
      <c r="EW5" s="184">
        <v>3502</v>
      </c>
      <c r="EX5" s="179" t="str">
        <f t="shared" si="48"/>
        <v>Tidak Tercapai</v>
      </c>
      <c r="EY5" s="184">
        <v>2708</v>
      </c>
      <c r="EZ5" s="184">
        <v>2585</v>
      </c>
      <c r="FA5" s="179" t="str">
        <f t="shared" si="49"/>
        <v>Tidak Tercapai</v>
      </c>
      <c r="FB5" s="184">
        <v>141</v>
      </c>
      <c r="FC5" s="184">
        <v>2395</v>
      </c>
      <c r="FD5" s="179" t="str">
        <f t="shared" si="50"/>
        <v>Tidak Tercapai</v>
      </c>
      <c r="FE5" s="184">
        <v>10</v>
      </c>
      <c r="FF5" s="184">
        <v>4212</v>
      </c>
      <c r="FG5" s="179" t="str">
        <f t="shared" si="51"/>
        <v>Tidak Tercapai</v>
      </c>
      <c r="FH5" s="184">
        <v>3127</v>
      </c>
      <c r="FI5" s="184">
        <v>4961</v>
      </c>
      <c r="FJ5" s="179" t="str">
        <f t="shared" si="52"/>
        <v>Tercapai</v>
      </c>
      <c r="FK5" s="184">
        <v>2590</v>
      </c>
      <c r="FL5" s="186">
        <v>1860</v>
      </c>
      <c r="FM5" s="179" t="str">
        <f t="shared" si="53"/>
        <v>Tidak Tercapai</v>
      </c>
      <c r="FN5" s="184">
        <v>2153</v>
      </c>
      <c r="FO5" s="184">
        <v>2126</v>
      </c>
      <c r="FP5" s="179" t="str">
        <f t="shared" si="54"/>
        <v>Tidak Tercapai</v>
      </c>
      <c r="FQ5" s="184">
        <v>628</v>
      </c>
      <c r="FR5" s="184">
        <v>2717</v>
      </c>
      <c r="FS5" s="179" t="str">
        <f t="shared" si="55"/>
        <v>Tidak Tercapai</v>
      </c>
      <c r="FT5" s="184">
        <v>1287</v>
      </c>
      <c r="FU5" s="184">
        <v>8195</v>
      </c>
      <c r="FV5" s="179" t="str">
        <f t="shared" si="56"/>
        <v>Tercapai</v>
      </c>
      <c r="FW5" s="184">
        <v>7039</v>
      </c>
      <c r="FX5" s="184">
        <v>5173</v>
      </c>
      <c r="FY5" s="179" t="str">
        <f t="shared" si="57"/>
        <v>Tercapai</v>
      </c>
      <c r="FZ5" s="184">
        <v>1336</v>
      </c>
      <c r="GA5" s="184">
        <v>3791</v>
      </c>
      <c r="GB5" s="179" t="str">
        <f t="shared" si="58"/>
        <v>Tidak Tercapai</v>
      </c>
      <c r="GC5" s="184">
        <v>3310</v>
      </c>
      <c r="GD5" s="184">
        <v>2206</v>
      </c>
      <c r="GE5" s="179" t="str">
        <f t="shared" si="59"/>
        <v>Tidak Tercapai</v>
      </c>
      <c r="GF5" s="184">
        <v>1862</v>
      </c>
      <c r="GG5" s="184">
        <v>1140</v>
      </c>
      <c r="GH5" s="179" t="str">
        <f t="shared" si="60"/>
        <v>Tidak Tercapai</v>
      </c>
      <c r="GI5" s="184">
        <v>742</v>
      </c>
      <c r="GJ5" s="184">
        <v>2016</v>
      </c>
      <c r="GK5" s="179" t="str">
        <f t="shared" si="61"/>
        <v>Tidak Tercapai</v>
      </c>
      <c r="GL5" s="184">
        <v>4531</v>
      </c>
      <c r="GM5" s="184">
        <v>2874</v>
      </c>
      <c r="GN5" s="179" t="str">
        <f t="shared" si="62"/>
        <v>Tidak Tercapai</v>
      </c>
      <c r="GO5" s="184">
        <v>3494</v>
      </c>
      <c r="GP5" s="184">
        <v>2523</v>
      </c>
      <c r="GQ5" s="179" t="str">
        <f t="shared" si="63"/>
        <v>Tidak Tercapai</v>
      </c>
      <c r="GR5" s="184">
        <v>1204</v>
      </c>
      <c r="GS5" s="184">
        <v>1856</v>
      </c>
      <c r="GT5" s="179" t="str">
        <f t="shared" si="64"/>
        <v>Tidak Tercapai</v>
      </c>
      <c r="GU5" s="184">
        <v>1116</v>
      </c>
      <c r="GV5" s="184">
        <v>2158</v>
      </c>
      <c r="GW5" s="179" t="str">
        <f t="shared" si="65"/>
        <v>Tidak Tercapai</v>
      </c>
      <c r="GX5" s="184">
        <v>3361</v>
      </c>
      <c r="GY5" s="184">
        <v>1670</v>
      </c>
      <c r="GZ5" s="179" t="str">
        <f t="shared" si="66"/>
        <v>Tidak Tercapai</v>
      </c>
      <c r="HA5" s="184">
        <v>236</v>
      </c>
      <c r="HB5" s="184">
        <v>826</v>
      </c>
      <c r="HC5" s="179" t="str">
        <f t="shared" si="67"/>
        <v>Tidak Tercapai</v>
      </c>
      <c r="HD5" s="184">
        <v>2411</v>
      </c>
      <c r="HE5" s="184">
        <v>724</v>
      </c>
      <c r="HF5" s="179" t="str">
        <f t="shared" si="68"/>
        <v>Tidak Tercapai</v>
      </c>
      <c r="HG5" s="184">
        <v>2876</v>
      </c>
      <c r="HH5" s="184">
        <v>582</v>
      </c>
      <c r="HI5" s="179" t="str">
        <f t="shared" si="69"/>
        <v>Tidak Tercapai</v>
      </c>
      <c r="HJ5" s="184">
        <v>1961</v>
      </c>
      <c r="HK5" s="184">
        <v>341</v>
      </c>
      <c r="HL5" s="179" t="str">
        <f t="shared" si="70"/>
        <v>Tidak Tercapai</v>
      </c>
      <c r="HM5" s="184">
        <v>2519</v>
      </c>
      <c r="HN5" s="184">
        <v>314</v>
      </c>
      <c r="HO5" s="179" t="str">
        <f t="shared" si="71"/>
        <v>Tidak Tercapai</v>
      </c>
      <c r="HP5" s="184">
        <v>1471</v>
      </c>
      <c r="HQ5" s="184">
        <v>1008</v>
      </c>
      <c r="HR5" s="179" t="str">
        <f t="shared" si="72"/>
        <v>Tidak Tercapai</v>
      </c>
      <c r="HS5" s="184">
        <v>2774</v>
      </c>
      <c r="HT5" s="184">
        <v>904</v>
      </c>
      <c r="HU5" s="179" t="str">
        <f t="shared" si="73"/>
        <v>Tidak Tercapai</v>
      </c>
      <c r="HV5" s="184">
        <v>2683</v>
      </c>
      <c r="HW5" s="184">
        <v>909</v>
      </c>
      <c r="HX5" s="179" t="str">
        <f t="shared" si="74"/>
        <v>Tidak Tercapai</v>
      </c>
      <c r="HY5" s="184">
        <v>2599</v>
      </c>
      <c r="HZ5" s="184">
        <v>568</v>
      </c>
      <c r="IA5" s="179" t="str">
        <f t="shared" si="75"/>
        <v>Tidak Tercapai</v>
      </c>
      <c r="IB5" s="184">
        <v>2844</v>
      </c>
      <c r="IC5" s="184">
        <v>1041</v>
      </c>
      <c r="ID5" s="179" t="str">
        <f t="shared" si="76"/>
        <v>Tidak Tercapai</v>
      </c>
      <c r="IE5" s="184">
        <v>4391</v>
      </c>
      <c r="IF5" s="184">
        <v>74</v>
      </c>
      <c r="IG5" s="179" t="str">
        <f t="shared" si="77"/>
        <v>Tidak Tercapai</v>
      </c>
      <c r="IH5" s="184">
        <v>460</v>
      </c>
      <c r="II5" s="184">
        <v>3</v>
      </c>
      <c r="IJ5" s="179" t="str">
        <f t="shared" si="78"/>
        <v>Tidak Tercapai</v>
      </c>
      <c r="IK5" s="184">
        <v>6</v>
      </c>
      <c r="IL5" s="42"/>
      <c r="IM5" s="42"/>
      <c r="IN5" s="42"/>
      <c r="IO5" s="42"/>
      <c r="IP5" s="42"/>
      <c r="IQ5" s="42"/>
      <c r="IR5" s="42"/>
      <c r="IS5" s="42"/>
      <c r="IT5" s="42"/>
      <c r="IU5" s="42"/>
      <c r="IV5" s="42"/>
    </row>
    <row r="6" spans="1:256" ht="15.6" x14ac:dyDescent="0.3">
      <c r="A6" s="167">
        <v>4</v>
      </c>
      <c r="B6" s="168" t="s">
        <v>461</v>
      </c>
      <c r="C6" s="167" t="s">
        <v>462</v>
      </c>
      <c r="D6" s="169">
        <v>340707</v>
      </c>
      <c r="E6" s="167">
        <v>4073</v>
      </c>
      <c r="F6" s="170">
        <v>41494</v>
      </c>
      <c r="G6" s="171" t="s">
        <v>457</v>
      </c>
      <c r="H6" s="170">
        <v>22305</v>
      </c>
      <c r="I6" s="170">
        <v>17</v>
      </c>
      <c r="J6" s="171" t="str">
        <f t="shared" si="0"/>
        <v>Tidak Tercapai</v>
      </c>
      <c r="K6" s="170">
        <v>1</v>
      </c>
      <c r="L6" s="170">
        <v>0</v>
      </c>
      <c r="M6" s="171" t="str">
        <f t="shared" si="1"/>
        <v>Tidak Tercapai</v>
      </c>
      <c r="N6" s="170">
        <v>0</v>
      </c>
      <c r="O6" s="167">
        <v>2239</v>
      </c>
      <c r="P6" s="171" t="str">
        <f t="shared" si="2"/>
        <v>Tidak Tercapai</v>
      </c>
      <c r="Q6" s="172">
        <v>26</v>
      </c>
      <c r="R6" s="167">
        <v>3023</v>
      </c>
      <c r="S6" s="173" t="str">
        <f t="shared" si="3"/>
        <v>Tidak Tercapai</v>
      </c>
      <c r="T6" s="172">
        <v>4</v>
      </c>
      <c r="U6" s="174">
        <v>2995</v>
      </c>
      <c r="V6" s="173" t="str">
        <f t="shared" si="4"/>
        <v>Tidak Tercapai</v>
      </c>
      <c r="W6" s="175">
        <v>8</v>
      </c>
      <c r="X6" s="175">
        <v>2335</v>
      </c>
      <c r="Y6" s="176" t="str">
        <f t="shared" si="5"/>
        <v>Tidak Tercapai</v>
      </c>
      <c r="Z6" s="177">
        <v>3</v>
      </c>
      <c r="AA6" s="178">
        <v>3876</v>
      </c>
      <c r="AB6" s="179" t="str">
        <f t="shared" si="6"/>
        <v>Tidak Tercapai</v>
      </c>
      <c r="AC6" s="178">
        <v>23</v>
      </c>
      <c r="AD6" s="178">
        <v>402</v>
      </c>
      <c r="AE6" s="179" t="str">
        <f t="shared" si="7"/>
        <v>Tidak Tercapai</v>
      </c>
      <c r="AF6" s="178">
        <v>1</v>
      </c>
      <c r="AG6" s="178">
        <v>528</v>
      </c>
      <c r="AH6" s="179" t="str">
        <f t="shared" si="8"/>
        <v>Tidak Tercapai</v>
      </c>
      <c r="AI6" s="178">
        <v>0</v>
      </c>
      <c r="AJ6" s="178">
        <v>2464</v>
      </c>
      <c r="AK6" s="179" t="str">
        <f t="shared" si="9"/>
        <v>Tidak Tercapai</v>
      </c>
      <c r="AL6" s="178">
        <v>1</v>
      </c>
      <c r="AM6" s="178">
        <v>851</v>
      </c>
      <c r="AN6" s="179" t="str">
        <f t="shared" si="10"/>
        <v>Tidak Tercapai</v>
      </c>
      <c r="AO6" s="178">
        <v>20</v>
      </c>
      <c r="AP6" s="178">
        <v>5691</v>
      </c>
      <c r="AQ6" s="179" t="str">
        <f t="shared" si="11"/>
        <v>Tercapai</v>
      </c>
      <c r="AR6" s="178">
        <v>2</v>
      </c>
      <c r="AS6" s="178">
        <v>3020</v>
      </c>
      <c r="AT6" s="179" t="str">
        <f t="shared" si="12"/>
        <v>Tidak Tercapai</v>
      </c>
      <c r="AU6" s="178">
        <v>15</v>
      </c>
      <c r="AV6" s="170">
        <v>3520</v>
      </c>
      <c r="AW6" s="179" t="str">
        <f t="shared" si="13"/>
        <v>Tidak Tercapai</v>
      </c>
      <c r="AX6" s="178">
        <v>43</v>
      </c>
      <c r="AY6" s="178">
        <v>1159</v>
      </c>
      <c r="AZ6" s="179" t="str">
        <f t="shared" si="14"/>
        <v>Tidak Tercapai</v>
      </c>
      <c r="BA6" s="178">
        <v>5</v>
      </c>
      <c r="BB6" s="183">
        <v>710</v>
      </c>
      <c r="BC6" s="179" t="str">
        <f t="shared" si="15"/>
        <v>Tidak Tercapai</v>
      </c>
      <c r="BD6" s="178">
        <v>0</v>
      </c>
      <c r="BE6" s="184">
        <v>3648</v>
      </c>
      <c r="BF6" s="179" t="str">
        <f t="shared" si="16"/>
        <v>Tidak Tercapai</v>
      </c>
      <c r="BG6" s="170">
        <v>27</v>
      </c>
      <c r="BH6" s="184">
        <v>3777</v>
      </c>
      <c r="BI6" s="179" t="str">
        <f t="shared" si="17"/>
        <v>Tidak Tercapai</v>
      </c>
      <c r="BJ6" s="184">
        <v>21</v>
      </c>
      <c r="BK6" s="184">
        <v>4126</v>
      </c>
      <c r="BL6" s="179" t="str">
        <f t="shared" si="18"/>
        <v>Tercapai</v>
      </c>
      <c r="BM6" s="184">
        <v>24</v>
      </c>
      <c r="BN6" s="184">
        <v>1277</v>
      </c>
      <c r="BO6" s="179" t="str">
        <f t="shared" si="19"/>
        <v>Tidak Tercapai</v>
      </c>
      <c r="BP6" s="184">
        <v>5</v>
      </c>
      <c r="BQ6" s="184">
        <v>2107</v>
      </c>
      <c r="BR6" s="179" t="str">
        <f t="shared" si="20"/>
        <v>Tidak Tercapai</v>
      </c>
      <c r="BS6" s="184">
        <v>9</v>
      </c>
      <c r="BT6" s="184">
        <v>4729</v>
      </c>
      <c r="BU6" s="179" t="str">
        <f t="shared" si="21"/>
        <v>Tercapai</v>
      </c>
      <c r="BV6" s="185">
        <v>22.56</v>
      </c>
      <c r="BW6" s="184">
        <v>639</v>
      </c>
      <c r="BX6" s="179" t="str">
        <f t="shared" si="22"/>
        <v>Tidak Tercapai</v>
      </c>
      <c r="BY6" s="184">
        <v>3</v>
      </c>
      <c r="BZ6" s="184">
        <v>1949</v>
      </c>
      <c r="CA6" s="179" t="str">
        <f t="shared" si="23"/>
        <v>Tidak Tercapai</v>
      </c>
      <c r="CB6" s="184">
        <v>834</v>
      </c>
      <c r="CC6" s="184">
        <v>5196</v>
      </c>
      <c r="CD6" s="179" t="str">
        <f t="shared" si="24"/>
        <v>Tercapai</v>
      </c>
      <c r="CE6" s="184">
        <v>24</v>
      </c>
      <c r="CF6" s="184">
        <v>2161</v>
      </c>
      <c r="CG6" s="179" t="str">
        <f t="shared" si="25"/>
        <v>Tidak Tercapai</v>
      </c>
      <c r="CH6" s="184">
        <v>5</v>
      </c>
      <c r="CI6" s="184">
        <v>0</v>
      </c>
      <c r="CJ6" s="179" t="str">
        <f t="shared" si="26"/>
        <v>Tidak Tercapai</v>
      </c>
      <c r="CK6" s="184">
        <v>21</v>
      </c>
      <c r="CL6" s="184">
        <v>664</v>
      </c>
      <c r="CM6" s="179" t="str">
        <f t="shared" si="27"/>
        <v>Tidak Tercapai</v>
      </c>
      <c r="CN6" s="184">
        <v>1</v>
      </c>
      <c r="CO6" s="184">
        <v>6</v>
      </c>
      <c r="CP6" s="179" t="str">
        <f t="shared" si="28"/>
        <v>Tidak Tercapai</v>
      </c>
      <c r="CQ6" s="184">
        <v>0</v>
      </c>
      <c r="CR6" s="184">
        <v>99</v>
      </c>
      <c r="CS6" s="179" t="str">
        <f t="shared" si="29"/>
        <v>Tidak Tercapai</v>
      </c>
      <c r="CT6" s="184">
        <v>1</v>
      </c>
      <c r="CU6" s="184">
        <v>106</v>
      </c>
      <c r="CV6" s="179" t="str">
        <f t="shared" si="30"/>
        <v>Tidak Tercapai</v>
      </c>
      <c r="CW6" s="184">
        <v>0</v>
      </c>
      <c r="CX6" s="184">
        <v>13909</v>
      </c>
      <c r="CY6" s="179" t="str">
        <f t="shared" si="31"/>
        <v>Tercapai</v>
      </c>
      <c r="CZ6" s="184">
        <v>103</v>
      </c>
      <c r="DA6" s="184">
        <v>3351</v>
      </c>
      <c r="DB6" s="179" t="str">
        <f t="shared" si="32"/>
        <v>Tidak Tercapai</v>
      </c>
      <c r="DC6" s="184">
        <v>23</v>
      </c>
      <c r="DD6" s="184">
        <v>3558</v>
      </c>
      <c r="DE6" s="179" t="str">
        <f t="shared" si="33"/>
        <v>Tidak Tercapai</v>
      </c>
      <c r="DF6" s="184">
        <v>44</v>
      </c>
      <c r="DG6" s="184">
        <v>3033</v>
      </c>
      <c r="DH6" s="179" t="str">
        <f t="shared" si="34"/>
        <v>Tidak Tercapai</v>
      </c>
      <c r="DI6" s="184">
        <v>59</v>
      </c>
      <c r="DJ6" s="184">
        <v>1652</v>
      </c>
      <c r="DK6" s="179" t="str">
        <f t="shared" si="35"/>
        <v>Tidak Tercapai</v>
      </c>
      <c r="DL6" s="184">
        <v>9</v>
      </c>
      <c r="DM6" s="184">
        <v>0</v>
      </c>
      <c r="DN6" s="179" t="str">
        <f t="shared" si="36"/>
        <v>Tidak Tercapai</v>
      </c>
      <c r="DO6" s="184">
        <v>1</v>
      </c>
      <c r="DP6" s="184">
        <v>1432</v>
      </c>
      <c r="DQ6" s="179" t="str">
        <f t="shared" si="37"/>
        <v>Tidak Tercapai</v>
      </c>
      <c r="DR6" s="184">
        <v>69</v>
      </c>
      <c r="DS6" s="184">
        <v>0</v>
      </c>
      <c r="DT6" s="179" t="str">
        <f t="shared" si="38"/>
        <v>Tidak Tercapai</v>
      </c>
      <c r="DU6" s="184">
        <v>1</v>
      </c>
      <c r="DV6" s="184">
        <v>1930</v>
      </c>
      <c r="DW6" s="179" t="str">
        <f t="shared" si="39"/>
        <v>Tidak Tercapai</v>
      </c>
      <c r="DX6" s="184">
        <v>65</v>
      </c>
      <c r="DY6" s="184">
        <v>1951</v>
      </c>
      <c r="DZ6" s="179" t="str">
        <f t="shared" si="40"/>
        <v>Tidak Tercapai</v>
      </c>
      <c r="EA6" s="184">
        <v>1107</v>
      </c>
      <c r="EB6" s="184">
        <v>1605</v>
      </c>
      <c r="EC6" s="179" t="str">
        <f t="shared" si="41"/>
        <v>Tidak Tercapai</v>
      </c>
      <c r="ED6" s="184">
        <v>1418</v>
      </c>
      <c r="EE6" s="184">
        <v>1071</v>
      </c>
      <c r="EF6" s="179" t="str">
        <f t="shared" si="42"/>
        <v>Tidak Tercapai</v>
      </c>
      <c r="EG6" s="184">
        <v>158</v>
      </c>
      <c r="EH6" s="184">
        <v>176</v>
      </c>
      <c r="EI6" s="179" t="str">
        <f t="shared" si="43"/>
        <v>Tidak Tercapai</v>
      </c>
      <c r="EJ6" s="184">
        <v>18</v>
      </c>
      <c r="EK6" s="184">
        <v>1814</v>
      </c>
      <c r="EL6" s="179" t="str">
        <f t="shared" si="44"/>
        <v>Tidak Tercapai</v>
      </c>
      <c r="EM6" s="184">
        <v>2075</v>
      </c>
      <c r="EN6" s="184">
        <v>1843</v>
      </c>
      <c r="EO6" s="179" t="str">
        <f t="shared" si="45"/>
        <v>Tidak Tercapai</v>
      </c>
      <c r="EP6" s="184">
        <v>2186</v>
      </c>
      <c r="EQ6" s="184">
        <v>1748</v>
      </c>
      <c r="ER6" s="179" t="str">
        <f t="shared" si="46"/>
        <v>Tidak Tercapai</v>
      </c>
      <c r="ES6" s="178">
        <v>3062</v>
      </c>
      <c r="ET6" s="184">
        <v>2069</v>
      </c>
      <c r="EU6" s="179" t="str">
        <f t="shared" si="47"/>
        <v>Tidak Tercapai</v>
      </c>
      <c r="EV6" s="184">
        <v>2598</v>
      </c>
      <c r="EW6" s="184">
        <v>2519</v>
      </c>
      <c r="EX6" s="179" t="str">
        <f t="shared" si="48"/>
        <v>Tidak Tercapai</v>
      </c>
      <c r="EY6" s="184">
        <v>2922</v>
      </c>
      <c r="EZ6" s="184">
        <v>1049</v>
      </c>
      <c r="FA6" s="179" t="str">
        <f t="shared" si="49"/>
        <v>Tidak Tercapai</v>
      </c>
      <c r="FB6" s="184">
        <v>1734</v>
      </c>
      <c r="FC6" s="184">
        <v>316</v>
      </c>
      <c r="FD6" s="179" t="str">
        <f t="shared" si="50"/>
        <v>Tidak Tercapai</v>
      </c>
      <c r="FE6" s="184">
        <v>49</v>
      </c>
      <c r="FF6" s="184">
        <v>2223</v>
      </c>
      <c r="FG6" s="179" t="str">
        <f t="shared" si="51"/>
        <v>Tidak Tercapai</v>
      </c>
      <c r="FH6" s="184">
        <v>2920</v>
      </c>
      <c r="FI6" s="184">
        <v>1551</v>
      </c>
      <c r="FJ6" s="179" t="str">
        <f t="shared" si="52"/>
        <v>Tidak Tercapai</v>
      </c>
      <c r="FK6" s="184">
        <v>2695</v>
      </c>
      <c r="FL6" s="186">
        <v>0</v>
      </c>
      <c r="FM6" s="179" t="str">
        <f t="shared" si="53"/>
        <v>Tidak Tercapai</v>
      </c>
      <c r="FN6" s="184">
        <v>1895</v>
      </c>
      <c r="FO6" s="184">
        <v>1071</v>
      </c>
      <c r="FP6" s="179" t="str">
        <f t="shared" si="54"/>
        <v>Tidak Tercapai</v>
      </c>
      <c r="FQ6" s="184">
        <v>530</v>
      </c>
      <c r="FR6" s="184">
        <v>761</v>
      </c>
      <c r="FS6" s="179" t="str">
        <f t="shared" si="55"/>
        <v>Tidak Tercapai</v>
      </c>
      <c r="FT6" s="184">
        <v>1475</v>
      </c>
      <c r="FU6" s="184">
        <v>3683</v>
      </c>
      <c r="FV6" s="179" t="str">
        <f t="shared" si="56"/>
        <v>Tidak Tercapai</v>
      </c>
      <c r="FW6" s="184">
        <v>8940</v>
      </c>
      <c r="FX6" s="184">
        <v>3005</v>
      </c>
      <c r="FY6" s="179" t="str">
        <f t="shared" si="57"/>
        <v>Tidak Tercapai</v>
      </c>
      <c r="FZ6" s="184">
        <v>60</v>
      </c>
      <c r="GA6" s="184">
        <v>1412</v>
      </c>
      <c r="GB6" s="179" t="str">
        <f t="shared" si="58"/>
        <v>Tidak Tercapai</v>
      </c>
      <c r="GC6" s="184">
        <v>3760</v>
      </c>
      <c r="GD6" s="184">
        <v>1106</v>
      </c>
      <c r="GE6" s="179" t="str">
        <f t="shared" si="59"/>
        <v>Tidak Tercapai</v>
      </c>
      <c r="GF6" s="184">
        <v>3044</v>
      </c>
      <c r="GG6" s="184">
        <v>34</v>
      </c>
      <c r="GH6" s="179" t="str">
        <f t="shared" si="60"/>
        <v>Tidak Tercapai</v>
      </c>
      <c r="GI6" s="184">
        <v>80</v>
      </c>
      <c r="GJ6" s="184">
        <v>1374</v>
      </c>
      <c r="GK6" s="179" t="str">
        <f t="shared" si="61"/>
        <v>Tidak Tercapai</v>
      </c>
      <c r="GL6" s="184">
        <v>4084</v>
      </c>
      <c r="GM6" s="184">
        <v>1201</v>
      </c>
      <c r="GN6" s="179" t="str">
        <f t="shared" si="62"/>
        <v>Tidak Tercapai</v>
      </c>
      <c r="GO6" s="184">
        <v>3710</v>
      </c>
      <c r="GP6" s="184">
        <v>926</v>
      </c>
      <c r="GQ6" s="179" t="str">
        <f t="shared" si="63"/>
        <v>Tidak Tercapai</v>
      </c>
      <c r="GR6" s="184">
        <v>1389</v>
      </c>
      <c r="GS6" s="184">
        <v>522</v>
      </c>
      <c r="GT6" s="179" t="str">
        <f t="shared" si="64"/>
        <v>Tidak Tercapai</v>
      </c>
      <c r="GU6" s="184">
        <v>72</v>
      </c>
      <c r="GV6" s="184">
        <v>1984</v>
      </c>
      <c r="GW6" s="179" t="str">
        <f t="shared" si="65"/>
        <v>Tidak Tercapai</v>
      </c>
      <c r="GX6" s="184">
        <v>2797</v>
      </c>
      <c r="GY6" s="184">
        <v>119</v>
      </c>
      <c r="GZ6" s="179" t="str">
        <f t="shared" si="66"/>
        <v>Tidak Tercapai</v>
      </c>
      <c r="HA6" s="184">
        <v>42</v>
      </c>
      <c r="HB6" s="184">
        <v>1361</v>
      </c>
      <c r="HC6" s="179" t="str">
        <f t="shared" si="67"/>
        <v>Tidak Tercapai</v>
      </c>
      <c r="HD6" s="184">
        <v>2574</v>
      </c>
      <c r="HE6" s="184">
        <v>1321</v>
      </c>
      <c r="HF6" s="179" t="str">
        <f t="shared" si="68"/>
        <v>Tidak Tercapai</v>
      </c>
      <c r="HG6" s="184">
        <v>2351</v>
      </c>
      <c r="HH6" s="184">
        <v>455</v>
      </c>
      <c r="HI6" s="179" t="str">
        <f t="shared" si="69"/>
        <v>Tidak Tercapai</v>
      </c>
      <c r="HJ6" s="184">
        <v>143</v>
      </c>
      <c r="HK6" s="184">
        <v>1145</v>
      </c>
      <c r="HL6" s="179" t="str">
        <f t="shared" si="70"/>
        <v>Tidak Tercapai</v>
      </c>
      <c r="HM6" s="184">
        <v>3250</v>
      </c>
      <c r="HN6" s="184">
        <v>135</v>
      </c>
      <c r="HO6" s="179" t="str">
        <f t="shared" si="71"/>
        <v>Tidak Tercapai</v>
      </c>
      <c r="HP6" s="184">
        <v>42</v>
      </c>
      <c r="HQ6" s="184">
        <v>1040</v>
      </c>
      <c r="HR6" s="179" t="str">
        <f t="shared" si="72"/>
        <v>Tidak Tercapai</v>
      </c>
      <c r="HS6" s="184">
        <v>1794</v>
      </c>
      <c r="HT6" s="184">
        <v>1300</v>
      </c>
      <c r="HU6" s="179" t="str">
        <f t="shared" si="73"/>
        <v>Tidak Tercapai</v>
      </c>
      <c r="HV6" s="184">
        <v>1972</v>
      </c>
      <c r="HW6" s="184">
        <v>951</v>
      </c>
      <c r="HX6" s="179" t="str">
        <f t="shared" si="74"/>
        <v>Tidak Tercapai</v>
      </c>
      <c r="HY6" s="184">
        <v>2028</v>
      </c>
      <c r="HZ6" s="184">
        <v>968</v>
      </c>
      <c r="IA6" s="179" t="str">
        <f t="shared" si="75"/>
        <v>Tidak Tercapai</v>
      </c>
      <c r="IB6" s="184">
        <v>2259</v>
      </c>
      <c r="IC6" s="184">
        <v>1535</v>
      </c>
      <c r="ID6" s="179" t="str">
        <f t="shared" si="76"/>
        <v>Tidak Tercapai</v>
      </c>
      <c r="IE6" s="184">
        <v>3414</v>
      </c>
      <c r="IF6" s="184">
        <v>164</v>
      </c>
      <c r="IG6" s="179" t="str">
        <f t="shared" si="77"/>
        <v>Tidak Tercapai</v>
      </c>
      <c r="IH6" s="184">
        <v>315</v>
      </c>
      <c r="II6" s="184">
        <v>6</v>
      </c>
      <c r="IJ6" s="179" t="str">
        <f t="shared" si="78"/>
        <v>Tidak Tercapai</v>
      </c>
      <c r="IK6" s="184">
        <v>8</v>
      </c>
      <c r="IL6" s="42"/>
      <c r="IM6" s="42"/>
      <c r="IN6" s="42"/>
      <c r="IO6" s="42"/>
      <c r="IP6" s="42"/>
      <c r="IQ6" s="42"/>
      <c r="IR6" s="42"/>
      <c r="IS6" s="42"/>
      <c r="IT6" s="42"/>
      <c r="IU6" s="42"/>
      <c r="IV6" s="42"/>
    </row>
    <row r="7" spans="1:256" ht="15.6" x14ac:dyDescent="0.3">
      <c r="A7" s="167">
        <v>5</v>
      </c>
      <c r="B7" s="168" t="s">
        <v>463</v>
      </c>
      <c r="C7" s="167" t="s">
        <v>456</v>
      </c>
      <c r="D7" s="169">
        <v>358527</v>
      </c>
      <c r="E7" s="167">
        <v>4006</v>
      </c>
      <c r="F7" s="187">
        <v>41413</v>
      </c>
      <c r="G7" s="171" t="s">
        <v>457</v>
      </c>
      <c r="H7" s="187">
        <v>28993</v>
      </c>
      <c r="I7" s="187">
        <v>7</v>
      </c>
      <c r="J7" s="171" t="str">
        <f t="shared" si="0"/>
        <v>Tidak Tercapai</v>
      </c>
      <c r="K7" s="187">
        <v>4</v>
      </c>
      <c r="L7" s="187">
        <v>0</v>
      </c>
      <c r="M7" s="171" t="str">
        <f t="shared" si="1"/>
        <v>Tidak Tercapai</v>
      </c>
      <c r="N7" s="187">
        <v>1</v>
      </c>
      <c r="O7" s="167">
        <v>1688</v>
      </c>
      <c r="P7" s="171" t="str">
        <f t="shared" si="2"/>
        <v>Tidak Tercapai</v>
      </c>
      <c r="Q7" s="172">
        <v>49</v>
      </c>
      <c r="R7" s="167">
        <v>1662</v>
      </c>
      <c r="S7" s="173" t="str">
        <f t="shared" si="3"/>
        <v>Tidak Tercapai</v>
      </c>
      <c r="T7" s="172">
        <v>42</v>
      </c>
      <c r="U7" s="174">
        <v>1518</v>
      </c>
      <c r="V7" s="173" t="str">
        <f t="shared" si="4"/>
        <v>Tidak Tercapai</v>
      </c>
      <c r="W7" s="175">
        <v>46</v>
      </c>
      <c r="X7" s="188">
        <v>1650</v>
      </c>
      <c r="Y7" s="176" t="str">
        <f t="shared" si="5"/>
        <v>Tidak Tercapai</v>
      </c>
      <c r="Z7" s="177">
        <v>38</v>
      </c>
      <c r="AA7" s="178">
        <v>1927</v>
      </c>
      <c r="AB7" s="179" t="str">
        <f t="shared" si="6"/>
        <v>Tidak Tercapai</v>
      </c>
      <c r="AC7" s="178">
        <v>92</v>
      </c>
      <c r="AD7" s="184">
        <v>1049</v>
      </c>
      <c r="AE7" s="179" t="str">
        <f t="shared" si="7"/>
        <v>Tidak Tercapai</v>
      </c>
      <c r="AF7" s="178">
        <v>2</v>
      </c>
      <c r="AG7" s="178">
        <v>363</v>
      </c>
      <c r="AH7" s="179" t="str">
        <f t="shared" si="8"/>
        <v>Tidak Tercapai</v>
      </c>
      <c r="AI7" s="178">
        <v>0</v>
      </c>
      <c r="AJ7" s="184">
        <v>2311</v>
      </c>
      <c r="AK7" s="179" t="str">
        <f t="shared" si="9"/>
        <v>Tidak Tercapai</v>
      </c>
      <c r="AL7" s="184">
        <v>67</v>
      </c>
      <c r="AM7" s="184">
        <v>934</v>
      </c>
      <c r="AN7" s="179" t="str">
        <f t="shared" si="10"/>
        <v>Tidak Tercapai</v>
      </c>
      <c r="AO7" s="184">
        <v>34</v>
      </c>
      <c r="AP7" s="178">
        <v>4618</v>
      </c>
      <c r="AQ7" s="179" t="str">
        <f t="shared" si="11"/>
        <v>Tercapai</v>
      </c>
      <c r="AR7" s="178">
        <v>20</v>
      </c>
      <c r="AS7" s="178">
        <v>3169</v>
      </c>
      <c r="AT7" s="179" t="str">
        <f t="shared" si="12"/>
        <v>Tidak Tercapai</v>
      </c>
      <c r="AU7" s="178">
        <v>582</v>
      </c>
      <c r="AV7" s="170">
        <v>2310</v>
      </c>
      <c r="AW7" s="179" t="str">
        <f t="shared" si="13"/>
        <v>Tidak Tercapai</v>
      </c>
      <c r="AX7" s="178">
        <v>49</v>
      </c>
      <c r="AY7" s="178">
        <v>1091</v>
      </c>
      <c r="AZ7" s="179" t="str">
        <f t="shared" si="14"/>
        <v>Tidak Tercapai</v>
      </c>
      <c r="BA7" s="178">
        <v>11</v>
      </c>
      <c r="BB7" s="183">
        <v>1</v>
      </c>
      <c r="BC7" s="179" t="str">
        <f t="shared" si="15"/>
        <v>Tidak Tercapai</v>
      </c>
      <c r="BD7" s="178">
        <v>0</v>
      </c>
      <c r="BE7" s="184">
        <v>2863</v>
      </c>
      <c r="BF7" s="179" t="str">
        <f t="shared" si="16"/>
        <v>Tidak Tercapai</v>
      </c>
      <c r="BG7" s="170">
        <v>49</v>
      </c>
      <c r="BH7" s="184">
        <v>2954</v>
      </c>
      <c r="BI7" s="179" t="str">
        <f t="shared" si="17"/>
        <v>Tidak Tercapai</v>
      </c>
      <c r="BJ7" s="184">
        <v>27</v>
      </c>
      <c r="BK7" s="184">
        <v>2495</v>
      </c>
      <c r="BL7" s="179" t="str">
        <f t="shared" si="18"/>
        <v>Tidak Tercapai</v>
      </c>
      <c r="BM7" s="184">
        <v>61</v>
      </c>
      <c r="BN7" s="184">
        <v>2928</v>
      </c>
      <c r="BO7" s="179" t="str">
        <f t="shared" si="19"/>
        <v>Tidak Tercapai</v>
      </c>
      <c r="BP7" s="184">
        <v>33</v>
      </c>
      <c r="BQ7" s="184">
        <v>2088</v>
      </c>
      <c r="BR7" s="179" t="str">
        <f t="shared" si="20"/>
        <v>Tidak Tercapai</v>
      </c>
      <c r="BS7" s="184">
        <v>54</v>
      </c>
      <c r="BT7" s="184">
        <v>1636</v>
      </c>
      <c r="BU7" s="179" t="str">
        <f t="shared" si="21"/>
        <v>Tidak Tercapai</v>
      </c>
      <c r="BV7" s="185">
        <v>29.739000000000001</v>
      </c>
      <c r="BW7" s="184">
        <v>251</v>
      </c>
      <c r="BX7" s="179" t="str">
        <f t="shared" si="22"/>
        <v>Tidak Tercapai</v>
      </c>
      <c r="BY7" s="184">
        <v>0</v>
      </c>
      <c r="BZ7" s="184">
        <v>1500</v>
      </c>
      <c r="CA7" s="179" t="str">
        <f t="shared" si="23"/>
        <v>Tidak Tercapai</v>
      </c>
      <c r="CB7" s="184">
        <v>1455</v>
      </c>
      <c r="CC7" s="184">
        <v>2830</v>
      </c>
      <c r="CD7" s="179" t="str">
        <f t="shared" si="24"/>
        <v>Tidak Tercapai</v>
      </c>
      <c r="CE7" s="184">
        <v>62</v>
      </c>
      <c r="CF7" s="184">
        <v>1480</v>
      </c>
      <c r="CG7" s="179" t="str">
        <f t="shared" si="25"/>
        <v>Tidak Tercapai</v>
      </c>
      <c r="CH7" s="184">
        <v>14</v>
      </c>
      <c r="CI7" s="184">
        <v>2742</v>
      </c>
      <c r="CJ7" s="179" t="str">
        <f t="shared" si="26"/>
        <v>Tidak Tercapai</v>
      </c>
      <c r="CK7" s="184">
        <v>106</v>
      </c>
      <c r="CL7" s="184">
        <v>233</v>
      </c>
      <c r="CM7" s="179" t="str">
        <f t="shared" si="27"/>
        <v>Tidak Tercapai</v>
      </c>
      <c r="CN7" s="184">
        <v>9</v>
      </c>
      <c r="CO7" s="184">
        <v>1</v>
      </c>
      <c r="CP7" s="179" t="str">
        <f t="shared" si="28"/>
        <v>Tidak Tercapai</v>
      </c>
      <c r="CQ7" s="184">
        <v>0</v>
      </c>
      <c r="CR7" s="184">
        <v>0</v>
      </c>
      <c r="CS7" s="179" t="str">
        <f t="shared" si="29"/>
        <v>Tidak Tercapai</v>
      </c>
      <c r="CT7" s="184">
        <v>0</v>
      </c>
      <c r="CU7" s="184">
        <v>1076</v>
      </c>
      <c r="CV7" s="179" t="str">
        <f t="shared" si="30"/>
        <v>Tidak Tercapai</v>
      </c>
      <c r="CW7" s="184">
        <v>51</v>
      </c>
      <c r="CX7" s="184">
        <v>4143</v>
      </c>
      <c r="CY7" s="179" t="str">
        <f t="shared" si="31"/>
        <v>Tercapai</v>
      </c>
      <c r="CZ7" s="184">
        <v>166</v>
      </c>
      <c r="DA7" s="184">
        <v>1522</v>
      </c>
      <c r="DB7" s="179" t="str">
        <f t="shared" si="32"/>
        <v>Tidak Tercapai</v>
      </c>
      <c r="DC7" s="184">
        <v>96</v>
      </c>
      <c r="DD7" s="184">
        <v>1851</v>
      </c>
      <c r="DE7" s="179" t="str">
        <f t="shared" si="33"/>
        <v>Tidak Tercapai</v>
      </c>
      <c r="DF7" s="184">
        <v>88</v>
      </c>
      <c r="DG7" s="184">
        <v>1852</v>
      </c>
      <c r="DH7" s="179" t="str">
        <f t="shared" si="34"/>
        <v>Tidak Tercapai</v>
      </c>
      <c r="DI7" s="184">
        <v>78</v>
      </c>
      <c r="DJ7" s="184">
        <v>583</v>
      </c>
      <c r="DK7" s="179" t="str">
        <f t="shared" si="35"/>
        <v>Tidak Tercapai</v>
      </c>
      <c r="DL7" s="184">
        <v>8</v>
      </c>
      <c r="DM7" s="184">
        <v>250</v>
      </c>
      <c r="DN7" s="179" t="str">
        <f t="shared" si="36"/>
        <v>Tidak Tercapai</v>
      </c>
      <c r="DO7" s="184">
        <v>0</v>
      </c>
      <c r="DP7" s="184">
        <v>1806</v>
      </c>
      <c r="DQ7" s="179" t="str">
        <f t="shared" si="37"/>
        <v>Tidak Tercapai</v>
      </c>
      <c r="DR7" s="184">
        <v>80</v>
      </c>
      <c r="DS7" s="184">
        <v>0</v>
      </c>
      <c r="DT7" s="179" t="str">
        <f t="shared" si="38"/>
        <v>Tidak Tercapai</v>
      </c>
      <c r="DU7" s="184">
        <v>1</v>
      </c>
      <c r="DV7" s="184">
        <v>1525</v>
      </c>
      <c r="DW7" s="179" t="str">
        <f t="shared" si="39"/>
        <v>Tidak Tercapai</v>
      </c>
      <c r="DX7" s="184">
        <v>379</v>
      </c>
      <c r="DY7" s="184">
        <v>1264</v>
      </c>
      <c r="DZ7" s="179" t="str">
        <f t="shared" si="40"/>
        <v>Tidak Tercapai</v>
      </c>
      <c r="EA7" s="184">
        <v>1867</v>
      </c>
      <c r="EB7" s="184">
        <v>1476</v>
      </c>
      <c r="EC7" s="179" t="str">
        <f t="shared" si="41"/>
        <v>Tidak Tercapai</v>
      </c>
      <c r="ED7" s="184">
        <v>1423</v>
      </c>
      <c r="EE7" s="184">
        <v>226</v>
      </c>
      <c r="EF7" s="179" t="str">
        <f t="shared" si="42"/>
        <v>Tidak Tercapai</v>
      </c>
      <c r="EG7" s="184">
        <v>32</v>
      </c>
      <c r="EH7" s="184">
        <v>689</v>
      </c>
      <c r="EI7" s="179" t="str">
        <f t="shared" si="43"/>
        <v>Tidak Tercapai</v>
      </c>
      <c r="EJ7" s="184">
        <v>74</v>
      </c>
      <c r="EK7" s="184">
        <v>1515</v>
      </c>
      <c r="EL7" s="179" t="str">
        <f t="shared" si="44"/>
        <v>Tidak Tercapai</v>
      </c>
      <c r="EM7" s="184">
        <v>1824</v>
      </c>
      <c r="EN7" s="184">
        <v>1817</v>
      </c>
      <c r="EO7" s="179" t="str">
        <f t="shared" si="45"/>
        <v>Tidak Tercapai</v>
      </c>
      <c r="EP7" s="184">
        <v>1623</v>
      </c>
      <c r="EQ7" s="184">
        <v>1652</v>
      </c>
      <c r="ER7" s="179" t="str">
        <f t="shared" si="46"/>
        <v>Tidak Tercapai</v>
      </c>
      <c r="ES7" s="178">
        <v>2084</v>
      </c>
      <c r="ET7" s="184">
        <v>1332</v>
      </c>
      <c r="EU7" s="179" t="str">
        <f t="shared" si="47"/>
        <v>Tidak Tercapai</v>
      </c>
      <c r="EV7" s="184">
        <v>2349</v>
      </c>
      <c r="EW7" s="184">
        <v>1457</v>
      </c>
      <c r="EX7" s="179" t="str">
        <f t="shared" si="48"/>
        <v>Tidak Tercapai</v>
      </c>
      <c r="EY7" s="184">
        <v>2658</v>
      </c>
      <c r="EZ7" s="184">
        <v>123</v>
      </c>
      <c r="FA7" s="179" t="str">
        <f t="shared" si="49"/>
        <v>Tidak Tercapai</v>
      </c>
      <c r="FB7" s="184">
        <v>564</v>
      </c>
      <c r="FC7" s="184">
        <v>761</v>
      </c>
      <c r="FD7" s="179" t="str">
        <f t="shared" si="50"/>
        <v>Tidak Tercapai</v>
      </c>
      <c r="FE7" s="184">
        <v>269</v>
      </c>
      <c r="FF7" s="184">
        <v>2304</v>
      </c>
      <c r="FG7" s="179" t="str">
        <f t="shared" si="51"/>
        <v>Tidak Tercapai</v>
      </c>
      <c r="FH7" s="184">
        <v>2495</v>
      </c>
      <c r="FI7" s="184">
        <v>2810</v>
      </c>
      <c r="FJ7" s="179" t="str">
        <f t="shared" si="52"/>
        <v>Tidak Tercapai</v>
      </c>
      <c r="FK7" s="184">
        <v>2056</v>
      </c>
      <c r="FL7" s="186">
        <v>520</v>
      </c>
      <c r="FM7" s="179" t="str">
        <f t="shared" si="53"/>
        <v>Tidak Tercapai</v>
      </c>
      <c r="FN7" s="184">
        <v>1314</v>
      </c>
      <c r="FO7" s="184">
        <v>61</v>
      </c>
      <c r="FP7" s="179" t="str">
        <f t="shared" si="54"/>
        <v>Tidak Tercapai</v>
      </c>
      <c r="FQ7" s="184">
        <v>0</v>
      </c>
      <c r="FR7" s="184">
        <v>3270</v>
      </c>
      <c r="FS7" s="179" t="str">
        <f t="shared" si="55"/>
        <v>Tidak Tercapai</v>
      </c>
      <c r="FT7" s="184">
        <v>2236</v>
      </c>
      <c r="FU7" s="184">
        <v>4137</v>
      </c>
      <c r="FV7" s="179" t="str">
        <f t="shared" si="56"/>
        <v>Tercapai</v>
      </c>
      <c r="FW7" s="184">
        <v>3493</v>
      </c>
      <c r="FX7" s="184">
        <v>5523</v>
      </c>
      <c r="FY7" s="179" t="str">
        <f t="shared" si="57"/>
        <v>Tercapai</v>
      </c>
      <c r="FZ7" s="184">
        <v>682</v>
      </c>
      <c r="GA7" s="184">
        <v>3207</v>
      </c>
      <c r="GB7" s="179" t="str">
        <f t="shared" si="58"/>
        <v>Tidak Tercapai</v>
      </c>
      <c r="GC7" s="184">
        <v>2167</v>
      </c>
      <c r="GD7" s="184">
        <v>2329</v>
      </c>
      <c r="GE7" s="179" t="str">
        <f t="shared" si="59"/>
        <v>Tidak Tercapai</v>
      </c>
      <c r="GF7" s="184">
        <v>1532</v>
      </c>
      <c r="GG7" s="184">
        <v>1542</v>
      </c>
      <c r="GH7" s="179" t="str">
        <f t="shared" si="60"/>
        <v>Tidak Tercapai</v>
      </c>
      <c r="GI7" s="184">
        <v>535</v>
      </c>
      <c r="GJ7" s="184">
        <v>1781</v>
      </c>
      <c r="GK7" s="179" t="str">
        <f t="shared" si="61"/>
        <v>Tidak Tercapai</v>
      </c>
      <c r="GL7" s="184">
        <v>2477</v>
      </c>
      <c r="GM7" s="184">
        <v>2294</v>
      </c>
      <c r="GN7" s="179" t="str">
        <f t="shared" si="62"/>
        <v>Tidak Tercapai</v>
      </c>
      <c r="GO7" s="184">
        <v>2012</v>
      </c>
      <c r="GP7" s="184">
        <v>1695</v>
      </c>
      <c r="GQ7" s="179" t="str">
        <f t="shared" si="63"/>
        <v>Tidak Tercapai</v>
      </c>
      <c r="GR7" s="184">
        <v>472</v>
      </c>
      <c r="GS7" s="184">
        <v>1108</v>
      </c>
      <c r="GT7" s="179" t="str">
        <f t="shared" si="64"/>
        <v>Tidak Tercapai</v>
      </c>
      <c r="GU7" s="184">
        <v>283</v>
      </c>
      <c r="GV7" s="184">
        <v>2826</v>
      </c>
      <c r="GW7" s="179" t="str">
        <f t="shared" si="65"/>
        <v>Tidak Tercapai</v>
      </c>
      <c r="GX7" s="184">
        <v>2074</v>
      </c>
      <c r="GY7" s="184">
        <v>828</v>
      </c>
      <c r="GZ7" s="179" t="str">
        <f t="shared" si="66"/>
        <v>Tidak Tercapai</v>
      </c>
      <c r="HA7" s="184">
        <v>57</v>
      </c>
      <c r="HB7" s="184">
        <v>1363</v>
      </c>
      <c r="HC7" s="179" t="str">
        <f t="shared" si="67"/>
        <v>Tidak Tercapai</v>
      </c>
      <c r="HD7" s="184">
        <v>1801</v>
      </c>
      <c r="HE7" s="184">
        <v>1125</v>
      </c>
      <c r="HF7" s="179" t="str">
        <f t="shared" si="68"/>
        <v>Tidak Tercapai</v>
      </c>
      <c r="HG7" s="184">
        <v>1675</v>
      </c>
      <c r="HH7" s="184">
        <v>922</v>
      </c>
      <c r="HI7" s="179" t="str">
        <f t="shared" si="69"/>
        <v>Tidak Tercapai</v>
      </c>
      <c r="HJ7" s="184">
        <v>1394</v>
      </c>
      <c r="HK7" s="184">
        <v>800</v>
      </c>
      <c r="HL7" s="179" t="str">
        <f t="shared" si="70"/>
        <v>Tidak Tercapai</v>
      </c>
      <c r="HM7" s="184">
        <v>415</v>
      </c>
      <c r="HN7" s="184">
        <v>18</v>
      </c>
      <c r="HO7" s="179" t="str">
        <f t="shared" si="71"/>
        <v>Tidak Tercapai</v>
      </c>
      <c r="HP7" s="184">
        <v>6</v>
      </c>
      <c r="HQ7" s="184">
        <v>902</v>
      </c>
      <c r="HR7" s="179" t="str">
        <f t="shared" si="72"/>
        <v>Tidak Tercapai</v>
      </c>
      <c r="HS7" s="184">
        <v>1719</v>
      </c>
      <c r="HT7" s="184">
        <v>961</v>
      </c>
      <c r="HU7" s="179" t="str">
        <f t="shared" si="73"/>
        <v>Tidak Tercapai</v>
      </c>
      <c r="HV7" s="184">
        <v>1898</v>
      </c>
      <c r="HW7" s="184">
        <v>1046</v>
      </c>
      <c r="HX7" s="179" t="str">
        <f t="shared" si="74"/>
        <v>Tidak Tercapai</v>
      </c>
      <c r="HY7" s="184">
        <v>1763</v>
      </c>
      <c r="HZ7" s="184">
        <v>743</v>
      </c>
      <c r="IA7" s="179" t="str">
        <f t="shared" si="75"/>
        <v>Tidak Tercapai</v>
      </c>
      <c r="IB7" s="184">
        <v>1869</v>
      </c>
      <c r="IC7" s="184">
        <v>928</v>
      </c>
      <c r="ID7" s="179" t="str">
        <f t="shared" si="76"/>
        <v>Tidak Tercapai</v>
      </c>
      <c r="IE7" s="184">
        <v>1712</v>
      </c>
      <c r="IF7" s="184">
        <v>26</v>
      </c>
      <c r="IG7" s="179" t="str">
        <f t="shared" si="77"/>
        <v>Tidak Tercapai</v>
      </c>
      <c r="IH7" s="184">
        <v>50</v>
      </c>
      <c r="II7" s="184">
        <v>0</v>
      </c>
      <c r="IJ7" s="179" t="str">
        <f t="shared" si="78"/>
        <v>Tidak Tercapai</v>
      </c>
      <c r="IK7" s="184">
        <v>6</v>
      </c>
      <c r="IL7" s="42"/>
      <c r="IM7" s="42"/>
      <c r="IN7" s="42"/>
      <c r="IO7" s="42"/>
      <c r="IP7" s="42"/>
      <c r="IQ7" s="42"/>
      <c r="IR7" s="42"/>
      <c r="IS7" s="42"/>
      <c r="IT7" s="42"/>
      <c r="IU7" s="42"/>
      <c r="IV7" s="42"/>
    </row>
    <row r="8" spans="1:256" ht="15.6" x14ac:dyDescent="0.3">
      <c r="A8" s="167">
        <v>6</v>
      </c>
      <c r="B8" s="168" t="s">
        <v>464</v>
      </c>
      <c r="C8" s="167" t="s">
        <v>462</v>
      </c>
      <c r="D8" s="169">
        <v>333750</v>
      </c>
      <c r="E8" s="167">
        <v>3728</v>
      </c>
      <c r="F8" s="187">
        <v>81521</v>
      </c>
      <c r="G8" s="171" t="s">
        <v>457</v>
      </c>
      <c r="H8" s="187">
        <v>51856</v>
      </c>
      <c r="I8" s="187">
        <v>1031</v>
      </c>
      <c r="J8" s="171" t="str">
        <f t="shared" si="0"/>
        <v>Tidak Tercapai</v>
      </c>
      <c r="K8" s="187">
        <v>32</v>
      </c>
      <c r="L8" s="187">
        <v>59</v>
      </c>
      <c r="M8" s="171" t="str">
        <f t="shared" si="1"/>
        <v>Tidak Tercapai</v>
      </c>
      <c r="N8" s="187">
        <v>0</v>
      </c>
      <c r="O8" s="167">
        <v>4074</v>
      </c>
      <c r="P8" s="171" t="str">
        <f t="shared" si="2"/>
        <v>Tercapai</v>
      </c>
      <c r="Q8" s="172">
        <v>133</v>
      </c>
      <c r="R8" s="167">
        <v>3138</v>
      </c>
      <c r="S8" s="173" t="str">
        <f t="shared" si="3"/>
        <v>Tidak Tercapai</v>
      </c>
      <c r="T8" s="172">
        <v>51</v>
      </c>
      <c r="U8" s="174">
        <v>3270</v>
      </c>
      <c r="V8" s="173" t="str">
        <f t="shared" si="4"/>
        <v>Tercapai</v>
      </c>
      <c r="W8" s="175">
        <v>30</v>
      </c>
      <c r="X8" s="188">
        <v>5302</v>
      </c>
      <c r="Y8" s="176" t="str">
        <f t="shared" si="5"/>
        <v>Tercapai</v>
      </c>
      <c r="Z8" s="177">
        <v>50</v>
      </c>
      <c r="AA8" s="178">
        <v>5123</v>
      </c>
      <c r="AB8" s="179" t="str">
        <f t="shared" si="6"/>
        <v>Tercapai</v>
      </c>
      <c r="AC8" s="178">
        <v>72</v>
      </c>
      <c r="AD8" s="184">
        <v>1919</v>
      </c>
      <c r="AE8" s="179" t="str">
        <f t="shared" si="7"/>
        <v>Tidak Tercapai</v>
      </c>
      <c r="AF8" s="178">
        <v>2</v>
      </c>
      <c r="AG8" s="178">
        <v>22</v>
      </c>
      <c r="AH8" s="179" t="str">
        <f t="shared" si="8"/>
        <v>Tidak Tercapai</v>
      </c>
      <c r="AI8" s="178">
        <v>4</v>
      </c>
      <c r="AJ8" s="184">
        <v>5031</v>
      </c>
      <c r="AK8" s="179" t="str">
        <f t="shared" si="9"/>
        <v>Tercapai</v>
      </c>
      <c r="AL8" s="184">
        <v>108</v>
      </c>
      <c r="AM8" s="184">
        <v>3245</v>
      </c>
      <c r="AN8" s="179" t="str">
        <f t="shared" si="10"/>
        <v>Tidak Tercapai</v>
      </c>
      <c r="AO8" s="184">
        <v>43</v>
      </c>
      <c r="AP8" s="178">
        <v>7475</v>
      </c>
      <c r="AQ8" s="179" t="str">
        <f t="shared" si="11"/>
        <v>Tercapai</v>
      </c>
      <c r="AR8" s="178">
        <v>64</v>
      </c>
      <c r="AS8" s="178">
        <v>4713</v>
      </c>
      <c r="AT8" s="179" t="str">
        <f t="shared" si="12"/>
        <v>Tercapai</v>
      </c>
      <c r="AU8" s="178">
        <v>22</v>
      </c>
      <c r="AV8" s="170">
        <v>5283</v>
      </c>
      <c r="AW8" s="179" t="str">
        <f t="shared" si="13"/>
        <v>Tercapai</v>
      </c>
      <c r="AX8" s="178">
        <v>54</v>
      </c>
      <c r="AY8" s="178">
        <v>1511</v>
      </c>
      <c r="AZ8" s="179" t="str">
        <f t="shared" si="14"/>
        <v>Tidak Tercapai</v>
      </c>
      <c r="BA8" s="178">
        <v>32</v>
      </c>
      <c r="BB8" s="183">
        <v>0</v>
      </c>
      <c r="BC8" s="179" t="str">
        <f t="shared" si="15"/>
        <v>Tidak Tercapai</v>
      </c>
      <c r="BD8" s="178">
        <v>12</v>
      </c>
      <c r="BE8" s="184">
        <v>5628</v>
      </c>
      <c r="BF8" s="179" t="str">
        <f t="shared" si="16"/>
        <v>Tercapai</v>
      </c>
      <c r="BG8" s="170">
        <v>43</v>
      </c>
      <c r="BH8" s="184">
        <v>6199</v>
      </c>
      <c r="BI8" s="179" t="str">
        <f t="shared" si="17"/>
        <v>Tercapai</v>
      </c>
      <c r="BJ8" s="184">
        <v>44</v>
      </c>
      <c r="BK8" s="184">
        <v>5199</v>
      </c>
      <c r="BL8" s="179" t="str">
        <f t="shared" si="18"/>
        <v>Tercapai</v>
      </c>
      <c r="BM8" s="184">
        <v>76</v>
      </c>
      <c r="BN8" s="184">
        <v>5564</v>
      </c>
      <c r="BO8" s="179" t="str">
        <f t="shared" si="19"/>
        <v>Tercapai</v>
      </c>
      <c r="BP8" s="184">
        <v>88</v>
      </c>
      <c r="BQ8" s="184">
        <v>3557</v>
      </c>
      <c r="BR8" s="179" t="str">
        <f t="shared" si="20"/>
        <v>Tidak Tercapai</v>
      </c>
      <c r="BS8" s="184">
        <v>18</v>
      </c>
      <c r="BT8" s="184">
        <v>7027</v>
      </c>
      <c r="BU8" s="179" t="str">
        <f t="shared" si="21"/>
        <v>Tercapai</v>
      </c>
      <c r="BV8" s="185">
        <v>52.911999999999999</v>
      </c>
      <c r="BW8" s="184">
        <v>335</v>
      </c>
      <c r="BX8" s="179" t="str">
        <f t="shared" si="22"/>
        <v>Tidak Tercapai</v>
      </c>
      <c r="BY8" s="184">
        <v>2</v>
      </c>
      <c r="BZ8" s="184">
        <v>4594</v>
      </c>
      <c r="CA8" s="179" t="str">
        <f t="shared" si="23"/>
        <v>Tercapai</v>
      </c>
      <c r="CB8" s="184">
        <v>4785</v>
      </c>
      <c r="CC8" s="184">
        <v>9078</v>
      </c>
      <c r="CD8" s="179" t="str">
        <f t="shared" si="24"/>
        <v>Tercapai</v>
      </c>
      <c r="CE8" s="184">
        <v>352</v>
      </c>
      <c r="CF8" s="184">
        <v>4828</v>
      </c>
      <c r="CG8" s="179" t="str">
        <f t="shared" si="25"/>
        <v>Tercapai</v>
      </c>
      <c r="CH8" s="184">
        <v>66</v>
      </c>
      <c r="CI8" s="184">
        <v>5352</v>
      </c>
      <c r="CJ8" s="179" t="str">
        <f t="shared" si="26"/>
        <v>Tercapai</v>
      </c>
      <c r="CK8" s="184">
        <v>258</v>
      </c>
      <c r="CL8" s="184">
        <v>4006</v>
      </c>
      <c r="CM8" s="179" t="str">
        <f t="shared" si="27"/>
        <v>Tercapai</v>
      </c>
      <c r="CN8" s="184">
        <v>36</v>
      </c>
      <c r="CO8" s="184">
        <v>97</v>
      </c>
      <c r="CP8" s="179" t="str">
        <f t="shared" si="28"/>
        <v>Tidak Tercapai</v>
      </c>
      <c r="CQ8" s="184">
        <v>1</v>
      </c>
      <c r="CR8" s="184">
        <v>779</v>
      </c>
      <c r="CS8" s="179" t="str">
        <f t="shared" si="29"/>
        <v>Tidak Tercapai</v>
      </c>
      <c r="CT8" s="184">
        <v>0</v>
      </c>
      <c r="CU8" s="184">
        <v>4344</v>
      </c>
      <c r="CV8" s="179" t="str">
        <f t="shared" si="30"/>
        <v>Tercapai</v>
      </c>
      <c r="CW8" s="184">
        <v>62</v>
      </c>
      <c r="CX8" s="184">
        <v>16418</v>
      </c>
      <c r="CY8" s="179" t="str">
        <f t="shared" si="31"/>
        <v>Tercapai</v>
      </c>
      <c r="CZ8" s="184">
        <v>492</v>
      </c>
      <c r="DA8" s="184">
        <v>5244</v>
      </c>
      <c r="DB8" s="179" t="str">
        <f t="shared" si="32"/>
        <v>Tercapai</v>
      </c>
      <c r="DC8" s="184">
        <v>303</v>
      </c>
      <c r="DD8" s="184">
        <v>5447</v>
      </c>
      <c r="DE8" s="179" t="str">
        <f t="shared" si="33"/>
        <v>Tercapai</v>
      </c>
      <c r="DF8" s="184">
        <v>179</v>
      </c>
      <c r="DG8" s="184">
        <v>5185</v>
      </c>
      <c r="DH8" s="179" t="str">
        <f t="shared" si="34"/>
        <v>Tercapai</v>
      </c>
      <c r="DI8" s="184">
        <v>122</v>
      </c>
      <c r="DJ8" s="184">
        <v>2006</v>
      </c>
      <c r="DK8" s="179" t="str">
        <f t="shared" si="35"/>
        <v>Tidak Tercapai</v>
      </c>
      <c r="DL8" s="184">
        <v>36</v>
      </c>
      <c r="DM8" s="184">
        <v>578</v>
      </c>
      <c r="DN8" s="179" t="str">
        <f t="shared" si="36"/>
        <v>Tidak Tercapai</v>
      </c>
      <c r="DO8" s="184">
        <v>4</v>
      </c>
      <c r="DP8" s="184">
        <v>3130</v>
      </c>
      <c r="DQ8" s="179" t="str">
        <f t="shared" si="37"/>
        <v>Tidak Tercapai</v>
      </c>
      <c r="DR8" s="184">
        <v>231</v>
      </c>
      <c r="DS8" s="184">
        <v>66</v>
      </c>
      <c r="DT8" s="179" t="str">
        <f t="shared" si="38"/>
        <v>Tidak Tercapai</v>
      </c>
      <c r="DU8" s="184">
        <v>3</v>
      </c>
      <c r="DV8" s="184">
        <v>2758</v>
      </c>
      <c r="DW8" s="179" t="str">
        <f t="shared" si="39"/>
        <v>Tidak Tercapai</v>
      </c>
      <c r="DX8" s="184">
        <v>1470</v>
      </c>
      <c r="DY8" s="184">
        <v>2229</v>
      </c>
      <c r="DZ8" s="179" t="str">
        <f t="shared" si="40"/>
        <v>Tidak Tercapai</v>
      </c>
      <c r="EA8" s="184">
        <v>1927</v>
      </c>
      <c r="EB8" s="184">
        <v>2486</v>
      </c>
      <c r="EC8" s="179" t="str">
        <f t="shared" si="41"/>
        <v>Tidak Tercapai</v>
      </c>
      <c r="ED8" s="184">
        <v>1437</v>
      </c>
      <c r="EE8" s="184">
        <v>952</v>
      </c>
      <c r="EF8" s="179" t="str">
        <f t="shared" si="42"/>
        <v>Tidak Tercapai</v>
      </c>
      <c r="EG8" s="184">
        <v>74</v>
      </c>
      <c r="EH8" s="184">
        <v>1065</v>
      </c>
      <c r="EI8" s="179" t="str">
        <f t="shared" si="43"/>
        <v>Tidak Tercapai</v>
      </c>
      <c r="EJ8" s="184">
        <v>2</v>
      </c>
      <c r="EK8" s="184">
        <v>3371</v>
      </c>
      <c r="EL8" s="179" t="str">
        <f t="shared" si="44"/>
        <v>Tidak Tercapai</v>
      </c>
      <c r="EM8" s="184">
        <v>2774</v>
      </c>
      <c r="EN8" s="184">
        <v>2645</v>
      </c>
      <c r="EO8" s="179" t="str">
        <f t="shared" si="45"/>
        <v>Tidak Tercapai</v>
      </c>
      <c r="EP8" s="184">
        <v>3545</v>
      </c>
      <c r="EQ8" s="184">
        <v>4019</v>
      </c>
      <c r="ER8" s="179" t="str">
        <f t="shared" si="46"/>
        <v>Tercapai</v>
      </c>
      <c r="ES8" s="178">
        <v>3923</v>
      </c>
      <c r="ET8" s="184">
        <v>2883</v>
      </c>
      <c r="EU8" s="179" t="str">
        <f t="shared" si="47"/>
        <v>Tidak Tercapai</v>
      </c>
      <c r="EV8" s="184">
        <v>4835</v>
      </c>
      <c r="EW8" s="184">
        <v>2586</v>
      </c>
      <c r="EX8" s="179" t="str">
        <f t="shared" si="48"/>
        <v>Tidak Tercapai</v>
      </c>
      <c r="EY8" s="184">
        <v>5026</v>
      </c>
      <c r="EZ8" s="184">
        <v>2347</v>
      </c>
      <c r="FA8" s="179" t="str">
        <f t="shared" si="49"/>
        <v>Tidak Tercapai</v>
      </c>
      <c r="FB8" s="184">
        <v>1186</v>
      </c>
      <c r="FC8" s="184">
        <v>1224</v>
      </c>
      <c r="FD8" s="179" t="str">
        <f t="shared" si="50"/>
        <v>Tidak Tercapai</v>
      </c>
      <c r="FE8" s="184">
        <v>561</v>
      </c>
      <c r="FF8" s="184">
        <v>2750</v>
      </c>
      <c r="FG8" s="179" t="str">
        <f t="shared" si="51"/>
        <v>Tidak Tercapai</v>
      </c>
      <c r="FH8" s="184">
        <v>5685</v>
      </c>
      <c r="FI8" s="184">
        <v>2202</v>
      </c>
      <c r="FJ8" s="179" t="str">
        <f t="shared" si="52"/>
        <v>Tidak Tercapai</v>
      </c>
      <c r="FK8" s="184">
        <v>4655</v>
      </c>
      <c r="FL8" s="186">
        <v>0</v>
      </c>
      <c r="FM8" s="179" t="str">
        <f t="shared" si="53"/>
        <v>Tidak Tercapai</v>
      </c>
      <c r="FN8" s="184">
        <v>3364</v>
      </c>
      <c r="FO8" s="184">
        <v>1321</v>
      </c>
      <c r="FP8" s="179" t="str">
        <f t="shared" si="54"/>
        <v>Tidak Tercapai</v>
      </c>
      <c r="FQ8" s="184">
        <v>904</v>
      </c>
      <c r="FR8" s="184">
        <v>1341</v>
      </c>
      <c r="FS8" s="179" t="str">
        <f t="shared" si="55"/>
        <v>Tidak Tercapai</v>
      </c>
      <c r="FT8" s="184">
        <v>3080</v>
      </c>
      <c r="FU8" s="184">
        <v>5707</v>
      </c>
      <c r="FV8" s="179" t="str">
        <f t="shared" si="56"/>
        <v>Tercapai</v>
      </c>
      <c r="FW8" s="184">
        <v>12167</v>
      </c>
      <c r="FX8" s="184">
        <v>4022</v>
      </c>
      <c r="FY8" s="179" t="str">
        <f t="shared" si="57"/>
        <v>Tercapai</v>
      </c>
      <c r="FZ8" s="184">
        <v>1085</v>
      </c>
      <c r="GA8" s="186">
        <v>2221</v>
      </c>
      <c r="GB8" s="179" t="str">
        <f t="shared" si="58"/>
        <v>Tidak Tercapai</v>
      </c>
      <c r="GC8" s="184">
        <v>695</v>
      </c>
      <c r="GD8" s="184">
        <v>1849</v>
      </c>
      <c r="GE8" s="179" t="str">
        <f t="shared" si="59"/>
        <v>Tidak Tercapai</v>
      </c>
      <c r="GF8" s="184">
        <v>3110</v>
      </c>
      <c r="GG8" s="184">
        <v>1233</v>
      </c>
      <c r="GH8" s="179" t="str">
        <f t="shared" si="60"/>
        <v>Tidak Tercapai</v>
      </c>
      <c r="GI8" s="184">
        <v>1095</v>
      </c>
      <c r="GJ8" s="184">
        <v>1848</v>
      </c>
      <c r="GK8" s="179" t="str">
        <f t="shared" si="61"/>
        <v>Tidak Tercapai</v>
      </c>
      <c r="GL8" s="184">
        <v>5802</v>
      </c>
      <c r="GM8" s="184">
        <v>2054</v>
      </c>
      <c r="GN8" s="179" t="str">
        <f t="shared" si="62"/>
        <v>Tidak Tercapai</v>
      </c>
      <c r="GO8" s="184">
        <v>4756</v>
      </c>
      <c r="GP8" s="184">
        <v>1586</v>
      </c>
      <c r="GQ8" s="179" t="str">
        <f t="shared" si="63"/>
        <v>Tidak Tercapai</v>
      </c>
      <c r="GR8" s="184">
        <v>2348</v>
      </c>
      <c r="GS8" s="184">
        <v>1484</v>
      </c>
      <c r="GT8" s="179" t="str">
        <f t="shared" si="64"/>
        <v>Tidak Tercapai</v>
      </c>
      <c r="GU8" s="184">
        <v>1555</v>
      </c>
      <c r="GV8" s="184">
        <v>3468</v>
      </c>
      <c r="GW8" s="179" t="str">
        <f t="shared" si="65"/>
        <v>Tidak Tercapai</v>
      </c>
      <c r="GX8" s="184">
        <v>4307</v>
      </c>
      <c r="GY8" s="184">
        <v>651</v>
      </c>
      <c r="GZ8" s="179" t="str">
        <f t="shared" si="66"/>
        <v>Tidak Tercapai</v>
      </c>
      <c r="HA8" s="184">
        <v>558</v>
      </c>
      <c r="HB8" s="184">
        <v>1875</v>
      </c>
      <c r="HC8" s="179" t="str">
        <f t="shared" si="67"/>
        <v>Tidak Tercapai</v>
      </c>
      <c r="HD8" s="184">
        <v>3473</v>
      </c>
      <c r="HE8" s="184">
        <v>1503</v>
      </c>
      <c r="HF8" s="179" t="str">
        <f t="shared" si="68"/>
        <v>Tidak Tercapai</v>
      </c>
      <c r="HG8" s="184">
        <v>3401</v>
      </c>
      <c r="HH8" s="184">
        <v>685</v>
      </c>
      <c r="HI8" s="179" t="str">
        <f t="shared" si="69"/>
        <v>Tidak Tercapai</v>
      </c>
      <c r="HJ8" s="184">
        <v>853</v>
      </c>
      <c r="HK8" s="184">
        <v>1998</v>
      </c>
      <c r="HL8" s="179" t="str">
        <f t="shared" si="70"/>
        <v>Tidak Tercapai</v>
      </c>
      <c r="HM8" s="184">
        <v>3765</v>
      </c>
      <c r="HN8" s="184">
        <v>758</v>
      </c>
      <c r="HO8" s="179" t="str">
        <f t="shared" si="71"/>
        <v>Tidak Tercapai</v>
      </c>
      <c r="HP8" s="184">
        <v>969</v>
      </c>
      <c r="HQ8" s="184">
        <v>1331</v>
      </c>
      <c r="HR8" s="179" t="str">
        <f t="shared" si="72"/>
        <v>Tidak Tercapai</v>
      </c>
      <c r="HS8" s="184">
        <v>3099</v>
      </c>
      <c r="HT8" s="184">
        <v>1788</v>
      </c>
      <c r="HU8" s="179" t="str">
        <f t="shared" si="73"/>
        <v>Tidak Tercapai</v>
      </c>
      <c r="HV8" s="184">
        <v>2954</v>
      </c>
      <c r="HW8" s="184">
        <v>1210</v>
      </c>
      <c r="HX8" s="179" t="str">
        <f t="shared" si="74"/>
        <v>Tidak Tercapai</v>
      </c>
      <c r="HY8" s="184">
        <v>4050</v>
      </c>
      <c r="HZ8" s="184">
        <v>1337</v>
      </c>
      <c r="IA8" s="179" t="str">
        <f t="shared" si="75"/>
        <v>Tidak Tercapai</v>
      </c>
      <c r="IB8" s="184">
        <v>4462</v>
      </c>
      <c r="IC8" s="184">
        <v>2593</v>
      </c>
      <c r="ID8" s="179" t="str">
        <f t="shared" si="76"/>
        <v>Tidak Tercapai</v>
      </c>
      <c r="IE8" s="184">
        <v>5058</v>
      </c>
      <c r="IF8" s="184">
        <v>261</v>
      </c>
      <c r="IG8" s="179" t="str">
        <f t="shared" si="77"/>
        <v>Tidak Tercapai</v>
      </c>
      <c r="IH8" s="184">
        <v>163</v>
      </c>
      <c r="II8" s="184">
        <v>31</v>
      </c>
      <c r="IJ8" s="179" t="str">
        <f t="shared" si="78"/>
        <v>Tidak Tercapai</v>
      </c>
      <c r="IK8" s="184">
        <v>37</v>
      </c>
      <c r="IL8" s="42"/>
      <c r="IM8" s="42"/>
      <c r="IN8" s="42"/>
      <c r="IO8" s="42"/>
      <c r="IP8" s="42"/>
      <c r="IQ8" s="42"/>
      <c r="IR8" s="42"/>
      <c r="IS8" s="42"/>
      <c r="IT8" s="42"/>
      <c r="IU8" s="42"/>
      <c r="IV8" s="42"/>
    </row>
    <row r="9" spans="1:256" ht="15.6" x14ac:dyDescent="0.3">
      <c r="A9" s="167">
        <v>7</v>
      </c>
      <c r="B9" s="168" t="s">
        <v>465</v>
      </c>
      <c r="C9" s="167" t="s">
        <v>466</v>
      </c>
      <c r="D9" s="169">
        <v>291101</v>
      </c>
      <c r="E9" s="167">
        <v>3291</v>
      </c>
      <c r="F9" s="187">
        <v>33493</v>
      </c>
      <c r="G9" s="171" t="s">
        <v>457</v>
      </c>
      <c r="H9" s="187">
        <v>21193</v>
      </c>
      <c r="I9" s="187">
        <v>39</v>
      </c>
      <c r="J9" s="171" t="str">
        <f t="shared" si="0"/>
        <v>Tidak Tercapai</v>
      </c>
      <c r="K9" s="187">
        <v>2</v>
      </c>
      <c r="L9" s="187">
        <v>0</v>
      </c>
      <c r="M9" s="171" t="str">
        <f t="shared" si="1"/>
        <v>Tidak Tercapai</v>
      </c>
      <c r="N9" s="187">
        <v>1</v>
      </c>
      <c r="O9" s="167">
        <v>1415</v>
      </c>
      <c r="P9" s="171" t="str">
        <f t="shared" si="2"/>
        <v>Tidak Tercapai</v>
      </c>
      <c r="Q9" s="172">
        <v>31</v>
      </c>
      <c r="R9" s="167">
        <v>1703</v>
      </c>
      <c r="S9" s="173" t="str">
        <f t="shared" si="3"/>
        <v>Tidak Tercapai</v>
      </c>
      <c r="T9" s="172">
        <v>11</v>
      </c>
      <c r="U9" s="174">
        <v>1888</v>
      </c>
      <c r="V9" s="173" t="str">
        <f t="shared" si="4"/>
        <v>Tercapai</v>
      </c>
      <c r="W9" s="175">
        <v>11</v>
      </c>
      <c r="X9" s="188">
        <v>1565</v>
      </c>
      <c r="Y9" s="176" t="str">
        <f t="shared" si="5"/>
        <v>Tidak Tercapai</v>
      </c>
      <c r="Z9" s="177">
        <v>5</v>
      </c>
      <c r="AA9" s="178">
        <v>2339</v>
      </c>
      <c r="AB9" s="179" t="str">
        <f t="shared" si="6"/>
        <v>Tidak Tercapai</v>
      </c>
      <c r="AC9" s="178">
        <v>44</v>
      </c>
      <c r="AD9" s="184">
        <v>100</v>
      </c>
      <c r="AE9" s="179" t="str">
        <f t="shared" si="7"/>
        <v>Tidak Tercapai</v>
      </c>
      <c r="AF9" s="178">
        <v>8</v>
      </c>
      <c r="AG9" s="178">
        <v>25</v>
      </c>
      <c r="AH9" s="179" t="str">
        <f t="shared" si="8"/>
        <v>Tidak Tercapai</v>
      </c>
      <c r="AI9" s="178">
        <v>1</v>
      </c>
      <c r="AJ9" s="184">
        <v>2436</v>
      </c>
      <c r="AK9" s="179" t="str">
        <f t="shared" si="9"/>
        <v>Tidak Tercapai</v>
      </c>
      <c r="AL9" s="184">
        <v>22</v>
      </c>
      <c r="AM9" s="184">
        <v>1516</v>
      </c>
      <c r="AN9" s="179" t="str">
        <f t="shared" si="10"/>
        <v>Tidak Tercapai</v>
      </c>
      <c r="AO9" s="184">
        <v>32</v>
      </c>
      <c r="AP9" s="178">
        <v>4073</v>
      </c>
      <c r="AQ9" s="179" t="str">
        <f t="shared" si="11"/>
        <v>Tercapai</v>
      </c>
      <c r="AR9" s="178">
        <v>26</v>
      </c>
      <c r="AS9" s="178">
        <v>3082</v>
      </c>
      <c r="AT9" s="179" t="str">
        <f t="shared" si="12"/>
        <v>Tidak Tercapai</v>
      </c>
      <c r="AU9" s="178">
        <v>105</v>
      </c>
      <c r="AV9" s="170">
        <v>2824</v>
      </c>
      <c r="AW9" s="179" t="str">
        <f t="shared" si="13"/>
        <v>Tidak Tercapai</v>
      </c>
      <c r="AX9" s="178">
        <v>46</v>
      </c>
      <c r="AY9" s="178">
        <v>481</v>
      </c>
      <c r="AZ9" s="179" t="str">
        <f t="shared" si="14"/>
        <v>Tidak Tercapai</v>
      </c>
      <c r="BA9" s="178">
        <v>12</v>
      </c>
      <c r="BB9" s="183">
        <v>0</v>
      </c>
      <c r="BC9" s="179" t="str">
        <f t="shared" si="15"/>
        <v>Tidak Tercapai</v>
      </c>
      <c r="BD9" s="178">
        <v>0</v>
      </c>
      <c r="BE9" s="184">
        <v>3458</v>
      </c>
      <c r="BF9" s="179" t="str">
        <f t="shared" si="16"/>
        <v>Tercapai</v>
      </c>
      <c r="BG9" s="170">
        <v>34</v>
      </c>
      <c r="BH9" s="184">
        <v>3116</v>
      </c>
      <c r="BI9" s="179" t="str">
        <f t="shared" si="17"/>
        <v>Tidak Tercapai</v>
      </c>
      <c r="BJ9" s="184">
        <v>17</v>
      </c>
      <c r="BK9" s="184">
        <v>3331</v>
      </c>
      <c r="BL9" s="179" t="str">
        <f t="shared" si="18"/>
        <v>Tercapai</v>
      </c>
      <c r="BM9" s="184">
        <v>24</v>
      </c>
      <c r="BN9" s="184">
        <v>2849</v>
      </c>
      <c r="BO9" s="179" t="str">
        <f t="shared" si="19"/>
        <v>Tidak Tercapai</v>
      </c>
      <c r="BP9" s="184">
        <v>26</v>
      </c>
      <c r="BQ9" s="184">
        <v>1764</v>
      </c>
      <c r="BR9" s="179" t="str">
        <f t="shared" si="20"/>
        <v>Tidak Tercapai</v>
      </c>
      <c r="BS9" s="184">
        <v>17</v>
      </c>
      <c r="BT9" s="184">
        <v>2518</v>
      </c>
      <c r="BU9" s="179" t="str">
        <f t="shared" si="21"/>
        <v>Tidak Tercapai</v>
      </c>
      <c r="BV9" s="185">
        <v>21.600999999999999</v>
      </c>
      <c r="BW9" s="184">
        <v>205</v>
      </c>
      <c r="BX9" s="179" t="str">
        <f t="shared" si="22"/>
        <v>Tidak Tercapai</v>
      </c>
      <c r="BY9" s="184">
        <v>0</v>
      </c>
      <c r="BZ9" s="184">
        <v>2844</v>
      </c>
      <c r="CA9" s="179" t="str">
        <f t="shared" si="23"/>
        <v>Tidak Tercapai</v>
      </c>
      <c r="CB9" s="184">
        <v>810</v>
      </c>
      <c r="CC9" s="184">
        <v>4960</v>
      </c>
      <c r="CD9" s="179" t="str">
        <f t="shared" si="24"/>
        <v>Tercapai</v>
      </c>
      <c r="CE9" s="184">
        <v>30</v>
      </c>
      <c r="CF9" s="184">
        <v>2727</v>
      </c>
      <c r="CG9" s="179" t="str">
        <f t="shared" si="25"/>
        <v>Tidak Tercapai</v>
      </c>
      <c r="CH9" s="184">
        <v>16</v>
      </c>
      <c r="CI9" s="184">
        <v>2906</v>
      </c>
      <c r="CJ9" s="179" t="str">
        <f t="shared" si="26"/>
        <v>Tidak Tercapai</v>
      </c>
      <c r="CK9" s="184">
        <v>33</v>
      </c>
      <c r="CL9" s="184">
        <v>618</v>
      </c>
      <c r="CM9" s="179" t="str">
        <f t="shared" si="27"/>
        <v>Tidak Tercapai</v>
      </c>
      <c r="CN9" s="184">
        <v>6</v>
      </c>
      <c r="CO9" s="184">
        <v>11</v>
      </c>
      <c r="CP9" s="179" t="str">
        <f t="shared" si="28"/>
        <v>Tidak Tercapai</v>
      </c>
      <c r="CQ9" s="184">
        <v>0</v>
      </c>
      <c r="CR9" s="184">
        <v>0</v>
      </c>
      <c r="CS9" s="179" t="str">
        <f t="shared" si="29"/>
        <v>Tidak Tercapai</v>
      </c>
      <c r="CT9" s="184">
        <v>0</v>
      </c>
      <c r="CU9" s="184">
        <v>1255</v>
      </c>
      <c r="CV9" s="179" t="str">
        <f t="shared" si="30"/>
        <v>Tidak Tercapai</v>
      </c>
      <c r="CW9" s="184">
        <v>18</v>
      </c>
      <c r="CX9" s="184">
        <v>4609</v>
      </c>
      <c r="CY9" s="179" t="str">
        <f t="shared" si="31"/>
        <v>Tercapai</v>
      </c>
      <c r="CZ9" s="184">
        <v>88</v>
      </c>
      <c r="DA9" s="184">
        <v>2064</v>
      </c>
      <c r="DB9" s="179" t="str">
        <f t="shared" si="32"/>
        <v>Tidak Tercapai</v>
      </c>
      <c r="DC9" s="184">
        <v>94</v>
      </c>
      <c r="DD9" s="184">
        <v>2373</v>
      </c>
      <c r="DE9" s="179" t="str">
        <f t="shared" si="33"/>
        <v>Tidak Tercapai</v>
      </c>
      <c r="DF9" s="184">
        <v>25</v>
      </c>
      <c r="DG9" s="184">
        <v>2132</v>
      </c>
      <c r="DH9" s="179" t="str">
        <f t="shared" si="34"/>
        <v>Tidak Tercapai</v>
      </c>
      <c r="DI9" s="184">
        <v>43</v>
      </c>
      <c r="DJ9" s="184">
        <v>287</v>
      </c>
      <c r="DK9" s="179" t="str">
        <f t="shared" si="35"/>
        <v>Tidak Tercapai</v>
      </c>
      <c r="DL9" s="184">
        <v>9</v>
      </c>
      <c r="DM9" s="184">
        <v>55</v>
      </c>
      <c r="DN9" s="179" t="str">
        <f t="shared" si="36"/>
        <v>Tidak Tercapai</v>
      </c>
      <c r="DO9" s="184">
        <v>2</v>
      </c>
      <c r="DP9" s="184">
        <v>1465</v>
      </c>
      <c r="DQ9" s="179" t="str">
        <f t="shared" si="37"/>
        <v>Tidak Tercapai</v>
      </c>
      <c r="DR9" s="184">
        <v>865</v>
      </c>
      <c r="DS9" s="184">
        <v>56</v>
      </c>
      <c r="DT9" s="179" t="str">
        <f t="shared" si="38"/>
        <v>Tidak Tercapai</v>
      </c>
      <c r="DU9" s="184">
        <v>1</v>
      </c>
      <c r="DV9" s="184">
        <v>1175</v>
      </c>
      <c r="DW9" s="179" t="str">
        <f t="shared" si="39"/>
        <v>Tidak Tercapai</v>
      </c>
      <c r="DX9" s="184">
        <v>2340</v>
      </c>
      <c r="DY9" s="184">
        <v>1372</v>
      </c>
      <c r="DZ9" s="179" t="str">
        <f t="shared" si="40"/>
        <v>Tidak Tercapai</v>
      </c>
      <c r="EA9" s="184">
        <v>2482</v>
      </c>
      <c r="EB9" s="184">
        <v>1450</v>
      </c>
      <c r="EC9" s="179" t="str">
        <f t="shared" si="41"/>
        <v>Tidak Tercapai</v>
      </c>
      <c r="ED9" s="184">
        <v>2480</v>
      </c>
      <c r="EE9" s="184">
        <v>366</v>
      </c>
      <c r="EF9" s="179" t="str">
        <f t="shared" si="42"/>
        <v>Tidak Tercapai</v>
      </c>
      <c r="EG9" s="184">
        <v>172</v>
      </c>
      <c r="EH9" s="184">
        <v>349</v>
      </c>
      <c r="EI9" s="179" t="str">
        <f t="shared" si="43"/>
        <v>Tidak Tercapai</v>
      </c>
      <c r="EJ9" s="184">
        <v>23</v>
      </c>
      <c r="EK9" s="184">
        <v>1182</v>
      </c>
      <c r="EL9" s="179" t="str">
        <f t="shared" si="44"/>
        <v>Tidak Tercapai</v>
      </c>
      <c r="EM9" s="184">
        <v>3250</v>
      </c>
      <c r="EN9" s="184">
        <v>1517</v>
      </c>
      <c r="EO9" s="179" t="str">
        <f t="shared" si="45"/>
        <v>Tidak Tercapai</v>
      </c>
      <c r="EP9" s="184">
        <v>3162</v>
      </c>
      <c r="EQ9" s="184">
        <v>1949</v>
      </c>
      <c r="ER9" s="179" t="str">
        <f t="shared" si="46"/>
        <v>Tidak Tercapai</v>
      </c>
      <c r="ES9" s="178">
        <v>3505</v>
      </c>
      <c r="ET9" s="184">
        <v>2601</v>
      </c>
      <c r="EU9" s="179" t="str">
        <f t="shared" si="47"/>
        <v>Tidak Tercapai</v>
      </c>
      <c r="EV9" s="184">
        <v>3028</v>
      </c>
      <c r="EW9" s="184">
        <v>1994</v>
      </c>
      <c r="EX9" s="179" t="str">
        <f t="shared" si="48"/>
        <v>Tidak Tercapai</v>
      </c>
      <c r="EY9" s="184">
        <v>2523</v>
      </c>
      <c r="EZ9" s="184">
        <v>1172</v>
      </c>
      <c r="FA9" s="179" t="str">
        <f t="shared" si="49"/>
        <v>Tidak Tercapai</v>
      </c>
      <c r="FB9" s="184">
        <v>207</v>
      </c>
      <c r="FC9" s="184">
        <v>482</v>
      </c>
      <c r="FD9" s="179" t="str">
        <f t="shared" si="50"/>
        <v>Tidak Tercapai</v>
      </c>
      <c r="FE9" s="184">
        <v>120</v>
      </c>
      <c r="FF9" s="184">
        <v>2360</v>
      </c>
      <c r="FG9" s="179" t="str">
        <f t="shared" si="51"/>
        <v>Tidak Tercapai</v>
      </c>
      <c r="FH9" s="184">
        <v>3494</v>
      </c>
      <c r="FI9" s="184">
        <v>1561</v>
      </c>
      <c r="FJ9" s="179" t="str">
        <f t="shared" si="52"/>
        <v>Tidak Tercapai</v>
      </c>
      <c r="FK9" s="184">
        <v>3370</v>
      </c>
      <c r="FL9" s="186">
        <v>0</v>
      </c>
      <c r="FM9" s="179" t="str">
        <f t="shared" si="53"/>
        <v>Tidak Tercapai</v>
      </c>
      <c r="FN9" s="184">
        <v>1908</v>
      </c>
      <c r="FO9" s="184">
        <v>734</v>
      </c>
      <c r="FP9" s="179" t="str">
        <f t="shared" si="54"/>
        <v>Tidak Tercapai</v>
      </c>
      <c r="FQ9" s="184">
        <v>494</v>
      </c>
      <c r="FR9" s="184">
        <v>1149</v>
      </c>
      <c r="FS9" s="179" t="str">
        <f t="shared" si="55"/>
        <v>Tidak Tercapai</v>
      </c>
      <c r="FT9" s="184">
        <v>1707</v>
      </c>
      <c r="FU9" s="184">
        <v>3779</v>
      </c>
      <c r="FV9" s="179" t="str">
        <f t="shared" si="56"/>
        <v>Tercapai</v>
      </c>
      <c r="FW9" s="184">
        <v>4499</v>
      </c>
      <c r="FX9" s="184">
        <v>579</v>
      </c>
      <c r="FY9" s="179" t="str">
        <f t="shared" si="57"/>
        <v>Tidak Tercapai</v>
      </c>
      <c r="FZ9" s="184">
        <v>618</v>
      </c>
      <c r="GA9" s="184">
        <v>1352</v>
      </c>
      <c r="GB9" s="179" t="str">
        <f t="shared" si="58"/>
        <v>Tidak Tercapai</v>
      </c>
      <c r="GC9" s="184">
        <v>2022</v>
      </c>
      <c r="GD9" s="184">
        <v>848</v>
      </c>
      <c r="GE9" s="179" t="str">
        <f t="shared" si="59"/>
        <v>Tidak Tercapai</v>
      </c>
      <c r="GF9" s="184">
        <v>1592</v>
      </c>
      <c r="GG9" s="184">
        <v>70</v>
      </c>
      <c r="GH9" s="179" t="str">
        <f t="shared" si="60"/>
        <v>Tidak Tercapai</v>
      </c>
      <c r="GI9" s="184">
        <v>88</v>
      </c>
      <c r="GJ9" s="184">
        <v>1250</v>
      </c>
      <c r="GK9" s="179" t="str">
        <f t="shared" si="61"/>
        <v>Tidak Tercapai</v>
      </c>
      <c r="GL9" s="184">
        <v>2942</v>
      </c>
      <c r="GM9" s="184">
        <v>1228</v>
      </c>
      <c r="GN9" s="179" t="str">
        <f t="shared" si="62"/>
        <v>Tidak Tercapai</v>
      </c>
      <c r="GO9" s="184">
        <v>2740</v>
      </c>
      <c r="GP9" s="184">
        <v>1271</v>
      </c>
      <c r="GQ9" s="179" t="str">
        <f t="shared" si="63"/>
        <v>Tidak Tercapai</v>
      </c>
      <c r="GR9" s="184">
        <v>413</v>
      </c>
      <c r="GS9" s="184">
        <v>750</v>
      </c>
      <c r="GT9" s="179" t="str">
        <f t="shared" si="64"/>
        <v>Tidak Tercapai</v>
      </c>
      <c r="GU9" s="184">
        <v>118</v>
      </c>
      <c r="GV9" s="184">
        <v>1449</v>
      </c>
      <c r="GW9" s="179" t="str">
        <f t="shared" si="65"/>
        <v>Tidak Tercapai</v>
      </c>
      <c r="GX9" s="184">
        <v>2301</v>
      </c>
      <c r="GY9" s="184">
        <v>30</v>
      </c>
      <c r="GZ9" s="179" t="str">
        <f t="shared" si="66"/>
        <v>Tidak Tercapai</v>
      </c>
      <c r="HA9" s="184">
        <v>67</v>
      </c>
      <c r="HB9" s="184">
        <v>1042</v>
      </c>
      <c r="HC9" s="179" t="str">
        <f t="shared" si="67"/>
        <v>Tidak Tercapai</v>
      </c>
      <c r="HD9" s="184">
        <v>1889</v>
      </c>
      <c r="HE9" s="184">
        <v>59</v>
      </c>
      <c r="HF9" s="179" t="str">
        <f t="shared" si="68"/>
        <v>Tidak Tercapai</v>
      </c>
      <c r="HG9" s="184">
        <v>726</v>
      </c>
      <c r="HH9" s="184">
        <v>1541</v>
      </c>
      <c r="HI9" s="179" t="str">
        <f t="shared" si="69"/>
        <v>Tidak Tercapai</v>
      </c>
      <c r="HJ9" s="184">
        <v>2181</v>
      </c>
      <c r="HK9" s="184">
        <v>540</v>
      </c>
      <c r="HL9" s="179" t="str">
        <f t="shared" si="70"/>
        <v>Tidak Tercapai</v>
      </c>
      <c r="HM9" s="184">
        <v>233</v>
      </c>
      <c r="HN9" s="184">
        <v>286</v>
      </c>
      <c r="HO9" s="179" t="str">
        <f t="shared" si="71"/>
        <v>Tidak Tercapai</v>
      </c>
      <c r="HP9" s="184">
        <v>52</v>
      </c>
      <c r="HQ9" s="184">
        <v>723</v>
      </c>
      <c r="HR9" s="179" t="str">
        <f t="shared" si="72"/>
        <v>Tidak Tercapai</v>
      </c>
      <c r="HS9" s="184">
        <v>1065</v>
      </c>
      <c r="HT9" s="184">
        <v>735</v>
      </c>
      <c r="HU9" s="179" t="str">
        <f t="shared" si="73"/>
        <v>Tidak Tercapai</v>
      </c>
      <c r="HV9" s="184">
        <v>1070</v>
      </c>
      <c r="HW9" s="184">
        <v>629</v>
      </c>
      <c r="HX9" s="179" t="str">
        <f t="shared" si="74"/>
        <v>Tidak Tercapai</v>
      </c>
      <c r="HY9" s="184">
        <v>1344</v>
      </c>
      <c r="HZ9" s="184">
        <v>549</v>
      </c>
      <c r="IA9" s="179" t="str">
        <f t="shared" si="75"/>
        <v>Tidak Tercapai</v>
      </c>
      <c r="IB9" s="184">
        <v>1676</v>
      </c>
      <c r="IC9" s="184">
        <v>863</v>
      </c>
      <c r="ID9" s="179" t="str">
        <f t="shared" si="76"/>
        <v>Tidak Tercapai</v>
      </c>
      <c r="IE9" s="184">
        <v>2338</v>
      </c>
      <c r="IF9" s="184">
        <v>0</v>
      </c>
      <c r="IG9" s="179" t="str">
        <f t="shared" si="77"/>
        <v>Tidak Tercapai</v>
      </c>
      <c r="IH9" s="184">
        <v>23</v>
      </c>
      <c r="II9" s="184">
        <v>0</v>
      </c>
      <c r="IJ9" s="179" t="str">
        <f t="shared" si="78"/>
        <v>Tidak Tercapai</v>
      </c>
      <c r="IK9" s="184">
        <v>2</v>
      </c>
      <c r="IL9" s="42"/>
      <c r="IM9" s="42"/>
      <c r="IN9" s="42"/>
      <c r="IO9" s="42"/>
      <c r="IP9" s="42"/>
      <c r="IQ9" s="42"/>
      <c r="IR9" s="42"/>
      <c r="IS9" s="42"/>
      <c r="IT9" s="42"/>
      <c r="IU9" s="42"/>
      <c r="IV9" s="42"/>
    </row>
    <row r="10" spans="1:256" ht="15.6" x14ac:dyDescent="0.3">
      <c r="A10" s="167">
        <v>8</v>
      </c>
      <c r="B10" s="168" t="s">
        <v>467</v>
      </c>
      <c r="C10" s="167" t="s">
        <v>459</v>
      </c>
      <c r="D10" s="169">
        <v>290818</v>
      </c>
      <c r="E10" s="167">
        <v>3285</v>
      </c>
      <c r="F10" s="187">
        <v>53785</v>
      </c>
      <c r="G10" s="171" t="s">
        <v>457</v>
      </c>
      <c r="H10" s="187">
        <v>38086</v>
      </c>
      <c r="I10" s="187">
        <v>366</v>
      </c>
      <c r="J10" s="171" t="str">
        <f t="shared" si="0"/>
        <v>Tidak Tercapai</v>
      </c>
      <c r="K10" s="187">
        <v>0</v>
      </c>
      <c r="L10" s="187">
        <v>0</v>
      </c>
      <c r="M10" s="171" t="str">
        <f t="shared" si="1"/>
        <v>Tidak Tercapai</v>
      </c>
      <c r="N10" s="187">
        <v>0</v>
      </c>
      <c r="O10" s="167">
        <v>2900</v>
      </c>
      <c r="P10" s="171" t="str">
        <f t="shared" si="2"/>
        <v>Tidak Tercapai</v>
      </c>
      <c r="Q10" s="172">
        <v>22</v>
      </c>
      <c r="R10" s="167">
        <v>3436</v>
      </c>
      <c r="S10" s="173" t="str">
        <f t="shared" si="3"/>
        <v>Tercapai</v>
      </c>
      <c r="T10" s="172">
        <v>60</v>
      </c>
      <c r="U10" s="174">
        <v>3346</v>
      </c>
      <c r="V10" s="173" t="str">
        <f t="shared" si="4"/>
        <v>Tidak Tercapai</v>
      </c>
      <c r="W10" s="175">
        <v>36</v>
      </c>
      <c r="X10" s="188">
        <v>3312</v>
      </c>
      <c r="Y10" s="176" t="str">
        <f t="shared" si="5"/>
        <v>Tercapai</v>
      </c>
      <c r="Z10" s="177">
        <v>32</v>
      </c>
      <c r="AA10" s="178">
        <v>3949</v>
      </c>
      <c r="AB10" s="179" t="str">
        <f t="shared" si="6"/>
        <v>Tercapai</v>
      </c>
      <c r="AC10" s="178">
        <v>22</v>
      </c>
      <c r="AD10" s="184">
        <v>564</v>
      </c>
      <c r="AE10" s="179" t="str">
        <f t="shared" si="7"/>
        <v>Tidak Tercapai</v>
      </c>
      <c r="AF10" s="178">
        <v>1</v>
      </c>
      <c r="AG10" s="178">
        <v>0</v>
      </c>
      <c r="AH10" s="179" t="str">
        <f t="shared" si="8"/>
        <v>Tidak Tercapai</v>
      </c>
      <c r="AI10" s="178">
        <v>1</v>
      </c>
      <c r="AJ10" s="184">
        <v>3341</v>
      </c>
      <c r="AK10" s="179" t="str">
        <f t="shared" si="9"/>
        <v>Tercapai</v>
      </c>
      <c r="AL10" s="184">
        <v>62</v>
      </c>
      <c r="AM10" s="184">
        <v>1937</v>
      </c>
      <c r="AN10" s="179" t="str">
        <f t="shared" si="10"/>
        <v>Tidak Tercapai</v>
      </c>
      <c r="AO10" s="184">
        <v>59</v>
      </c>
      <c r="AP10" s="178">
        <v>4794</v>
      </c>
      <c r="AQ10" s="179" t="str">
        <f t="shared" si="11"/>
        <v>Tercapai</v>
      </c>
      <c r="AR10" s="178">
        <v>21</v>
      </c>
      <c r="AS10" s="178">
        <v>4170</v>
      </c>
      <c r="AT10" s="179" t="str">
        <f t="shared" si="12"/>
        <v>Tercapai</v>
      </c>
      <c r="AU10" s="178">
        <v>86</v>
      </c>
      <c r="AV10" s="170">
        <v>4598</v>
      </c>
      <c r="AW10" s="179" t="str">
        <f t="shared" si="13"/>
        <v>Tercapai</v>
      </c>
      <c r="AX10" s="178">
        <v>29</v>
      </c>
      <c r="AY10" s="178">
        <v>1054</v>
      </c>
      <c r="AZ10" s="179" t="str">
        <f t="shared" si="14"/>
        <v>Tidak Tercapai</v>
      </c>
      <c r="BA10" s="178">
        <v>1</v>
      </c>
      <c r="BB10" s="183">
        <v>0</v>
      </c>
      <c r="BC10" s="179" t="str">
        <f t="shared" si="15"/>
        <v>Tidak Tercapai</v>
      </c>
      <c r="BD10" s="178">
        <v>0</v>
      </c>
      <c r="BE10" s="184">
        <v>3815</v>
      </c>
      <c r="BF10" s="179" t="str">
        <f t="shared" si="16"/>
        <v>Tercapai</v>
      </c>
      <c r="BG10" s="170">
        <v>11</v>
      </c>
      <c r="BH10" s="184">
        <v>3646</v>
      </c>
      <c r="BI10" s="179" t="str">
        <f t="shared" si="17"/>
        <v>Tercapai</v>
      </c>
      <c r="BJ10" s="184">
        <v>8</v>
      </c>
      <c r="BK10" s="184">
        <v>3732</v>
      </c>
      <c r="BL10" s="179" t="str">
        <f t="shared" si="18"/>
        <v>Tercapai</v>
      </c>
      <c r="BM10" s="184">
        <v>15</v>
      </c>
      <c r="BN10" s="184">
        <v>2591</v>
      </c>
      <c r="BO10" s="179" t="str">
        <f t="shared" si="19"/>
        <v>Tidak Tercapai</v>
      </c>
      <c r="BP10" s="184">
        <v>19</v>
      </c>
      <c r="BQ10" s="184">
        <v>1730</v>
      </c>
      <c r="BR10" s="179" t="str">
        <f t="shared" si="20"/>
        <v>Tidak Tercapai</v>
      </c>
      <c r="BS10" s="184">
        <v>22</v>
      </c>
      <c r="BT10" s="184">
        <v>1288</v>
      </c>
      <c r="BU10" s="179" t="str">
        <f t="shared" si="21"/>
        <v>Tidak Tercapai</v>
      </c>
      <c r="BV10" s="185">
        <v>38.564</v>
      </c>
      <c r="BW10" s="184">
        <v>3</v>
      </c>
      <c r="BX10" s="179" t="str">
        <f t="shared" si="22"/>
        <v>Tidak Tercapai</v>
      </c>
      <c r="BY10" s="184">
        <v>0</v>
      </c>
      <c r="BZ10" s="184">
        <v>1339</v>
      </c>
      <c r="CA10" s="179" t="str">
        <f t="shared" si="23"/>
        <v>Tidak Tercapai</v>
      </c>
      <c r="CB10" s="184">
        <v>614</v>
      </c>
      <c r="CC10" s="184">
        <v>2425</v>
      </c>
      <c r="CD10" s="179" t="str">
        <f t="shared" si="24"/>
        <v>Tidak Tercapai</v>
      </c>
      <c r="CE10" s="184">
        <v>69</v>
      </c>
      <c r="CF10" s="184">
        <v>2067</v>
      </c>
      <c r="CG10" s="179" t="str">
        <f t="shared" si="25"/>
        <v>Tidak Tercapai</v>
      </c>
      <c r="CH10" s="184">
        <v>51</v>
      </c>
      <c r="CI10" s="184">
        <v>804</v>
      </c>
      <c r="CJ10" s="179" t="str">
        <f t="shared" si="26"/>
        <v>Tidak Tercapai</v>
      </c>
      <c r="CK10" s="184">
        <v>0</v>
      </c>
      <c r="CL10" s="184">
        <v>859</v>
      </c>
      <c r="CM10" s="179" t="str">
        <f t="shared" si="27"/>
        <v>Tidak Tercapai</v>
      </c>
      <c r="CN10" s="184">
        <v>5</v>
      </c>
      <c r="CO10" s="184">
        <v>0</v>
      </c>
      <c r="CP10" s="179" t="str">
        <f t="shared" si="28"/>
        <v>Tidak Tercapai</v>
      </c>
      <c r="CQ10" s="184">
        <v>0</v>
      </c>
      <c r="CR10" s="184">
        <v>0</v>
      </c>
      <c r="CS10" s="179" t="str">
        <f t="shared" si="29"/>
        <v>Tidak Tercapai</v>
      </c>
      <c r="CT10" s="184">
        <v>0</v>
      </c>
      <c r="CU10" s="184">
        <v>264</v>
      </c>
      <c r="CV10" s="179" t="str">
        <f t="shared" si="30"/>
        <v>Tidak Tercapai</v>
      </c>
      <c r="CW10" s="184">
        <v>15</v>
      </c>
      <c r="CX10" s="184">
        <v>7309</v>
      </c>
      <c r="CY10" s="179" t="str">
        <f t="shared" si="31"/>
        <v>Tercapai</v>
      </c>
      <c r="CZ10" s="184">
        <v>178</v>
      </c>
      <c r="DA10" s="184">
        <v>1909</v>
      </c>
      <c r="DB10" s="179" t="str">
        <f t="shared" si="32"/>
        <v>Tidak Tercapai</v>
      </c>
      <c r="DC10" s="184">
        <v>46</v>
      </c>
      <c r="DD10" s="184">
        <v>2505</v>
      </c>
      <c r="DE10" s="179" t="str">
        <f t="shared" si="33"/>
        <v>Tidak Tercapai</v>
      </c>
      <c r="DF10" s="184">
        <v>35</v>
      </c>
      <c r="DG10" s="184">
        <v>2175</v>
      </c>
      <c r="DH10" s="179" t="str">
        <f t="shared" si="34"/>
        <v>Tidak Tercapai</v>
      </c>
      <c r="DI10" s="184">
        <v>35</v>
      </c>
      <c r="DJ10" s="184">
        <v>1186</v>
      </c>
      <c r="DK10" s="179" t="str">
        <f t="shared" si="35"/>
        <v>Tidak Tercapai</v>
      </c>
      <c r="DL10" s="184">
        <v>24</v>
      </c>
      <c r="DM10" s="184">
        <v>244</v>
      </c>
      <c r="DN10" s="179" t="str">
        <f t="shared" si="36"/>
        <v>Tidak Tercapai</v>
      </c>
      <c r="DO10" s="184">
        <v>0</v>
      </c>
      <c r="DP10" s="184">
        <v>1237</v>
      </c>
      <c r="DQ10" s="179" t="str">
        <f t="shared" si="37"/>
        <v>Tidak Tercapai</v>
      </c>
      <c r="DR10" s="184">
        <v>78</v>
      </c>
      <c r="DS10" s="184">
        <v>0</v>
      </c>
      <c r="DT10" s="179" t="str">
        <f t="shared" si="38"/>
        <v>Tidak Tercapai</v>
      </c>
      <c r="DU10" s="184">
        <v>0</v>
      </c>
      <c r="DV10" s="184">
        <v>1708</v>
      </c>
      <c r="DW10" s="179" t="str">
        <f t="shared" si="39"/>
        <v>Tidak Tercapai</v>
      </c>
      <c r="DX10" s="184">
        <v>165</v>
      </c>
      <c r="DY10" s="184">
        <v>1993</v>
      </c>
      <c r="DZ10" s="179" t="str">
        <f t="shared" si="40"/>
        <v>Tidak Tercapai</v>
      </c>
      <c r="EA10" s="184">
        <v>238</v>
      </c>
      <c r="EB10" s="184">
        <v>2763</v>
      </c>
      <c r="EC10" s="179" t="str">
        <f t="shared" si="41"/>
        <v>Tidak Tercapai</v>
      </c>
      <c r="ED10" s="184">
        <v>261</v>
      </c>
      <c r="EE10" s="184">
        <v>1479</v>
      </c>
      <c r="EF10" s="179" t="str">
        <f t="shared" si="42"/>
        <v>Tidak Tercapai</v>
      </c>
      <c r="EG10" s="184">
        <v>145</v>
      </c>
      <c r="EH10" s="184">
        <v>615</v>
      </c>
      <c r="EI10" s="179" t="str">
        <f t="shared" si="43"/>
        <v>Tidak Tercapai</v>
      </c>
      <c r="EJ10" s="184">
        <v>12</v>
      </c>
      <c r="EK10" s="184">
        <v>1922</v>
      </c>
      <c r="EL10" s="179" t="str">
        <f t="shared" si="44"/>
        <v>Tidak Tercapai</v>
      </c>
      <c r="EM10" s="184">
        <v>669</v>
      </c>
      <c r="EN10" s="184">
        <v>3379</v>
      </c>
      <c r="EO10" s="179" t="str">
        <f t="shared" si="45"/>
        <v>Tercapai</v>
      </c>
      <c r="EP10" s="184">
        <v>1418</v>
      </c>
      <c r="EQ10" s="184">
        <v>3221</v>
      </c>
      <c r="ER10" s="179" t="str">
        <f t="shared" si="46"/>
        <v>Tidak Tercapai</v>
      </c>
      <c r="ES10" s="178">
        <v>2353</v>
      </c>
      <c r="ET10" s="184">
        <v>3280</v>
      </c>
      <c r="EU10" s="179" t="str">
        <f t="shared" si="47"/>
        <v>Tidak Tercapai</v>
      </c>
      <c r="EV10" s="184">
        <v>2007</v>
      </c>
      <c r="EW10" s="184">
        <v>2778</v>
      </c>
      <c r="EX10" s="179" t="str">
        <f t="shared" si="48"/>
        <v>Tidak Tercapai</v>
      </c>
      <c r="EY10" s="184">
        <v>2168</v>
      </c>
      <c r="EZ10" s="184">
        <v>1595</v>
      </c>
      <c r="FA10" s="179" t="str">
        <f t="shared" si="49"/>
        <v>Tidak Tercapai</v>
      </c>
      <c r="FB10" s="184">
        <v>272</v>
      </c>
      <c r="FC10" s="184">
        <v>1314</v>
      </c>
      <c r="FD10" s="179" t="str">
        <f t="shared" si="50"/>
        <v>Tidak Tercapai</v>
      </c>
      <c r="FE10" s="184">
        <v>46</v>
      </c>
      <c r="FF10" s="184">
        <v>3284</v>
      </c>
      <c r="FG10" s="179" t="str">
        <f t="shared" si="51"/>
        <v>Tidak Tercapai</v>
      </c>
      <c r="FH10" s="184">
        <v>1383</v>
      </c>
      <c r="FI10" s="184">
        <v>2551</v>
      </c>
      <c r="FJ10" s="179" t="str">
        <f t="shared" si="52"/>
        <v>Tidak Tercapai</v>
      </c>
      <c r="FK10" s="184">
        <v>1696</v>
      </c>
      <c r="FL10" s="186">
        <v>0</v>
      </c>
      <c r="FM10" s="179" t="str">
        <f t="shared" si="53"/>
        <v>Tidak Tercapai</v>
      </c>
      <c r="FN10" s="184">
        <v>1765</v>
      </c>
      <c r="FO10" s="184">
        <v>0</v>
      </c>
      <c r="FP10" s="179" t="str">
        <f t="shared" si="54"/>
        <v>Tidak Tercapai</v>
      </c>
      <c r="FQ10" s="184">
        <v>0</v>
      </c>
      <c r="FR10" s="184">
        <v>2568</v>
      </c>
      <c r="FS10" s="179" t="str">
        <f t="shared" si="55"/>
        <v>Tidak Tercapai</v>
      </c>
      <c r="FT10" s="184">
        <v>2028</v>
      </c>
      <c r="FU10" s="184">
        <v>1866</v>
      </c>
      <c r="FV10" s="179" t="str">
        <f t="shared" si="56"/>
        <v>Tidak Tercapai</v>
      </c>
      <c r="FW10" s="184">
        <v>1509</v>
      </c>
      <c r="FX10" s="184">
        <v>7897</v>
      </c>
      <c r="FY10" s="179" t="str">
        <f t="shared" si="57"/>
        <v>Tercapai</v>
      </c>
      <c r="FZ10" s="184">
        <v>5994</v>
      </c>
      <c r="GA10" s="184">
        <v>2296</v>
      </c>
      <c r="GB10" s="179" t="str">
        <f t="shared" si="58"/>
        <v>Tidak Tercapai</v>
      </c>
      <c r="GC10" s="184">
        <v>1720</v>
      </c>
      <c r="GD10" s="184">
        <v>1492</v>
      </c>
      <c r="GE10" s="179" t="str">
        <f t="shared" si="59"/>
        <v>Tidak Tercapai</v>
      </c>
      <c r="GF10" s="184">
        <v>1614</v>
      </c>
      <c r="GG10" s="184">
        <v>1706</v>
      </c>
      <c r="GH10" s="179" t="str">
        <f t="shared" si="60"/>
        <v>Tidak Tercapai</v>
      </c>
      <c r="GI10" s="184">
        <v>52</v>
      </c>
      <c r="GJ10" s="184">
        <v>2158</v>
      </c>
      <c r="GK10" s="179" t="str">
        <f t="shared" si="61"/>
        <v>Tidak Tercapai</v>
      </c>
      <c r="GL10" s="184">
        <v>2609</v>
      </c>
      <c r="GM10" s="184">
        <v>2623</v>
      </c>
      <c r="GN10" s="179" t="str">
        <f t="shared" si="62"/>
        <v>Tidak Tercapai</v>
      </c>
      <c r="GO10" s="184">
        <v>2837</v>
      </c>
      <c r="GP10" s="184">
        <v>1985</v>
      </c>
      <c r="GQ10" s="179" t="str">
        <f t="shared" si="63"/>
        <v>Tidak Tercapai</v>
      </c>
      <c r="GR10" s="184">
        <v>1491</v>
      </c>
      <c r="GS10" s="184">
        <v>1332</v>
      </c>
      <c r="GT10" s="179" t="str">
        <f t="shared" si="64"/>
        <v>Tidak Tercapai</v>
      </c>
      <c r="GU10" s="184">
        <v>328</v>
      </c>
      <c r="GV10" s="184">
        <v>1969</v>
      </c>
      <c r="GW10" s="179" t="str">
        <f t="shared" si="65"/>
        <v>Tidak Tercapai</v>
      </c>
      <c r="GX10" s="184">
        <v>1498</v>
      </c>
      <c r="GY10" s="184">
        <v>1553</v>
      </c>
      <c r="GZ10" s="179" t="str">
        <f t="shared" si="66"/>
        <v>Tidak Tercapai</v>
      </c>
      <c r="HA10" s="184">
        <v>210</v>
      </c>
      <c r="HB10" s="184">
        <v>732</v>
      </c>
      <c r="HC10" s="179" t="str">
        <f t="shared" si="67"/>
        <v>Tidak Tercapai</v>
      </c>
      <c r="HD10" s="184">
        <v>1771</v>
      </c>
      <c r="HE10" s="184">
        <v>751</v>
      </c>
      <c r="HF10" s="179" t="str">
        <f t="shared" si="68"/>
        <v>Tidak Tercapai</v>
      </c>
      <c r="HG10" s="184">
        <v>1763</v>
      </c>
      <c r="HH10" s="184">
        <v>498</v>
      </c>
      <c r="HI10" s="179" t="str">
        <f t="shared" si="69"/>
        <v>Tidak Tercapai</v>
      </c>
      <c r="HJ10" s="184">
        <v>307</v>
      </c>
      <c r="HK10" s="184">
        <v>487</v>
      </c>
      <c r="HL10" s="179" t="str">
        <f t="shared" si="70"/>
        <v>Tidak Tercapai</v>
      </c>
      <c r="HM10" s="184">
        <v>2526</v>
      </c>
      <c r="HN10" s="184">
        <v>160</v>
      </c>
      <c r="HO10" s="179" t="str">
        <f t="shared" si="71"/>
        <v>Tidak Tercapai</v>
      </c>
      <c r="HP10" s="184">
        <v>135</v>
      </c>
      <c r="HQ10" s="184">
        <v>692</v>
      </c>
      <c r="HR10" s="179" t="str">
        <f t="shared" si="72"/>
        <v>Tidak Tercapai</v>
      </c>
      <c r="HS10" s="184">
        <v>1154</v>
      </c>
      <c r="HT10" s="184">
        <v>776</v>
      </c>
      <c r="HU10" s="179" t="str">
        <f t="shared" si="73"/>
        <v>Tidak Tercapai</v>
      </c>
      <c r="HV10" s="184">
        <v>3195</v>
      </c>
      <c r="HW10" s="184">
        <v>712</v>
      </c>
      <c r="HX10" s="179" t="str">
        <f t="shared" si="74"/>
        <v>Tidak Tercapai</v>
      </c>
      <c r="HY10" s="184">
        <v>2644</v>
      </c>
      <c r="HZ10" s="184">
        <v>792</v>
      </c>
      <c r="IA10" s="179" t="str">
        <f t="shared" si="75"/>
        <v>Tidak Tercapai</v>
      </c>
      <c r="IB10" s="184">
        <v>2510</v>
      </c>
      <c r="IC10" s="184">
        <v>1234</v>
      </c>
      <c r="ID10" s="179" t="str">
        <f t="shared" si="76"/>
        <v>Tidak Tercapai</v>
      </c>
      <c r="IE10" s="184">
        <v>4446</v>
      </c>
      <c r="IF10" s="184">
        <v>55</v>
      </c>
      <c r="IG10" s="179" t="str">
        <f t="shared" si="77"/>
        <v>Tidak Tercapai</v>
      </c>
      <c r="IH10" s="184">
        <v>242</v>
      </c>
      <c r="II10" s="184">
        <v>3</v>
      </c>
      <c r="IJ10" s="179" t="str">
        <f t="shared" si="78"/>
        <v>Tidak Tercapai</v>
      </c>
      <c r="IK10" s="184">
        <v>8</v>
      </c>
      <c r="IL10" s="42"/>
      <c r="IM10" s="42"/>
      <c r="IN10" s="42"/>
      <c r="IO10" s="42"/>
      <c r="IP10" s="42"/>
      <c r="IQ10" s="42"/>
      <c r="IR10" s="42"/>
      <c r="IS10" s="42"/>
      <c r="IT10" s="42"/>
      <c r="IU10" s="42"/>
      <c r="IV10" s="42"/>
    </row>
    <row r="11" spans="1:256" ht="15.6" x14ac:dyDescent="0.3">
      <c r="A11" s="167">
        <v>9</v>
      </c>
      <c r="B11" s="168" t="s">
        <v>468</v>
      </c>
      <c r="C11" s="167" t="s">
        <v>462</v>
      </c>
      <c r="D11" s="169">
        <v>270619</v>
      </c>
      <c r="E11" s="167">
        <v>3253</v>
      </c>
      <c r="F11" s="187">
        <v>40095</v>
      </c>
      <c r="G11" s="171" t="s">
        <v>457</v>
      </c>
      <c r="H11" s="187">
        <v>23217</v>
      </c>
      <c r="I11" s="187">
        <v>188</v>
      </c>
      <c r="J11" s="171" t="str">
        <f t="shared" si="0"/>
        <v>Tidak Tercapai</v>
      </c>
      <c r="K11" s="187">
        <v>5</v>
      </c>
      <c r="L11" s="187">
        <v>0</v>
      </c>
      <c r="M11" s="171" t="str">
        <f t="shared" si="1"/>
        <v>Tidak Tercapai</v>
      </c>
      <c r="N11" s="187">
        <v>0</v>
      </c>
      <c r="O11" s="167">
        <v>1201</v>
      </c>
      <c r="P11" s="171" t="str">
        <f t="shared" si="2"/>
        <v>Tidak Tercapai</v>
      </c>
      <c r="Q11" s="172">
        <v>8</v>
      </c>
      <c r="R11" s="167">
        <v>1485</v>
      </c>
      <c r="S11" s="173" t="str">
        <f t="shared" si="3"/>
        <v>Tidak Tercapai</v>
      </c>
      <c r="T11" s="172">
        <v>26</v>
      </c>
      <c r="U11" s="174">
        <v>2589</v>
      </c>
      <c r="V11" s="173" t="str">
        <f t="shared" si="4"/>
        <v>Tercapai</v>
      </c>
      <c r="W11" s="175">
        <v>2</v>
      </c>
      <c r="X11" s="188">
        <v>1432</v>
      </c>
      <c r="Y11" s="176" t="str">
        <f t="shared" si="5"/>
        <v>Tidak Tercapai</v>
      </c>
      <c r="Z11" s="177">
        <v>11</v>
      </c>
      <c r="AA11" s="178">
        <v>1661</v>
      </c>
      <c r="AB11" s="179" t="str">
        <f t="shared" si="6"/>
        <v>Tidak Tercapai</v>
      </c>
      <c r="AC11" s="178">
        <v>7</v>
      </c>
      <c r="AD11" s="184">
        <v>909</v>
      </c>
      <c r="AE11" s="179" t="str">
        <f t="shared" si="7"/>
        <v>Tidak Tercapai</v>
      </c>
      <c r="AF11" s="178">
        <v>13</v>
      </c>
      <c r="AG11" s="178">
        <v>2</v>
      </c>
      <c r="AH11" s="179" t="str">
        <f t="shared" si="8"/>
        <v>Tidak Tercapai</v>
      </c>
      <c r="AI11" s="178">
        <v>0</v>
      </c>
      <c r="AJ11" s="184">
        <v>2514</v>
      </c>
      <c r="AK11" s="179" t="str">
        <f t="shared" si="9"/>
        <v>Tidak Tercapai</v>
      </c>
      <c r="AL11" s="184">
        <v>12</v>
      </c>
      <c r="AM11" s="184">
        <v>1111</v>
      </c>
      <c r="AN11" s="179" t="str">
        <f t="shared" si="10"/>
        <v>Tidak Tercapai</v>
      </c>
      <c r="AO11" s="184">
        <v>25</v>
      </c>
      <c r="AP11" s="178">
        <v>3307</v>
      </c>
      <c r="AQ11" s="179" t="str">
        <f t="shared" si="11"/>
        <v>Tercapai</v>
      </c>
      <c r="AR11" s="178">
        <v>10</v>
      </c>
      <c r="AS11" s="178">
        <v>1549</v>
      </c>
      <c r="AT11" s="179" t="str">
        <f t="shared" si="12"/>
        <v>Tidak Tercapai</v>
      </c>
      <c r="AU11" s="178">
        <v>42</v>
      </c>
      <c r="AV11" s="170">
        <v>2722</v>
      </c>
      <c r="AW11" s="179" t="str">
        <f t="shared" si="13"/>
        <v>Tidak Tercapai</v>
      </c>
      <c r="AX11" s="178">
        <v>56</v>
      </c>
      <c r="AY11" s="178">
        <v>2586</v>
      </c>
      <c r="AZ11" s="179" t="str">
        <f t="shared" si="14"/>
        <v>Tidak Tercapai</v>
      </c>
      <c r="BA11" s="178">
        <v>17</v>
      </c>
      <c r="BB11" s="183">
        <v>146</v>
      </c>
      <c r="BC11" s="179" t="str">
        <f t="shared" si="15"/>
        <v>Tidak Tercapai</v>
      </c>
      <c r="BD11" s="178">
        <v>0</v>
      </c>
      <c r="BE11" s="184">
        <v>2993</v>
      </c>
      <c r="BF11" s="179" t="str">
        <f t="shared" si="16"/>
        <v>Tidak Tercapai</v>
      </c>
      <c r="BG11" s="170">
        <v>37</v>
      </c>
      <c r="BH11" s="184">
        <v>3356</v>
      </c>
      <c r="BI11" s="179" t="str">
        <f t="shared" si="17"/>
        <v>Tercapai</v>
      </c>
      <c r="BJ11" s="184">
        <v>40</v>
      </c>
      <c r="BK11" s="184">
        <v>3448</v>
      </c>
      <c r="BL11" s="179" t="str">
        <f t="shared" si="18"/>
        <v>Tercapai</v>
      </c>
      <c r="BM11" s="184">
        <v>21</v>
      </c>
      <c r="BN11" s="184">
        <v>2066</v>
      </c>
      <c r="BO11" s="179" t="str">
        <f t="shared" si="19"/>
        <v>Tidak Tercapai</v>
      </c>
      <c r="BP11" s="184">
        <v>15</v>
      </c>
      <c r="BQ11" s="184">
        <v>1534</v>
      </c>
      <c r="BR11" s="179" t="str">
        <f t="shared" si="20"/>
        <v>Tidak Tercapai</v>
      </c>
      <c r="BS11" s="184">
        <v>22</v>
      </c>
      <c r="BT11" s="184">
        <v>4182</v>
      </c>
      <c r="BU11" s="179" t="str">
        <f t="shared" si="21"/>
        <v>Tercapai</v>
      </c>
      <c r="BV11" s="185">
        <v>23.6</v>
      </c>
      <c r="BW11" s="184">
        <v>1133</v>
      </c>
      <c r="BX11" s="179" t="str">
        <f t="shared" si="22"/>
        <v>Tidak Tercapai</v>
      </c>
      <c r="BY11" s="184">
        <v>3</v>
      </c>
      <c r="BZ11" s="184">
        <v>2125</v>
      </c>
      <c r="CA11" s="179" t="str">
        <f t="shared" si="23"/>
        <v>Tidak Tercapai</v>
      </c>
      <c r="CB11" s="184">
        <v>1235</v>
      </c>
      <c r="CC11" s="184">
        <v>5992</v>
      </c>
      <c r="CD11" s="179" t="str">
        <f t="shared" si="24"/>
        <v>Tercapai</v>
      </c>
      <c r="CE11" s="184">
        <v>37</v>
      </c>
      <c r="CF11" s="184">
        <v>3495</v>
      </c>
      <c r="CG11" s="179" t="str">
        <f t="shared" si="25"/>
        <v>Tercapai</v>
      </c>
      <c r="CH11" s="184">
        <v>14</v>
      </c>
      <c r="CI11" s="184">
        <v>3974</v>
      </c>
      <c r="CJ11" s="179" t="str">
        <f t="shared" si="26"/>
        <v>Tercapai</v>
      </c>
      <c r="CK11" s="184">
        <v>43</v>
      </c>
      <c r="CL11" s="184">
        <v>2659</v>
      </c>
      <c r="CM11" s="179" t="str">
        <f t="shared" si="27"/>
        <v>Tidak Tercapai</v>
      </c>
      <c r="CN11" s="184">
        <v>15</v>
      </c>
      <c r="CO11" s="184">
        <v>181</v>
      </c>
      <c r="CP11" s="179" t="str">
        <f t="shared" si="28"/>
        <v>Tidak Tercapai</v>
      </c>
      <c r="CQ11" s="184">
        <v>4</v>
      </c>
      <c r="CR11" s="184">
        <v>214</v>
      </c>
      <c r="CS11" s="179" t="str">
        <f t="shared" si="29"/>
        <v>Tidak Tercapai</v>
      </c>
      <c r="CT11" s="184">
        <v>0</v>
      </c>
      <c r="CU11" s="184">
        <v>3186</v>
      </c>
      <c r="CV11" s="179" t="str">
        <f t="shared" si="30"/>
        <v>Tidak Tercapai</v>
      </c>
      <c r="CW11" s="184">
        <v>5</v>
      </c>
      <c r="CX11" s="184">
        <v>14235</v>
      </c>
      <c r="CY11" s="179" t="str">
        <f t="shared" si="31"/>
        <v>Tercapai</v>
      </c>
      <c r="CZ11" s="184">
        <v>83</v>
      </c>
      <c r="DA11" s="184">
        <v>3637</v>
      </c>
      <c r="DB11" s="179" t="str">
        <f t="shared" si="32"/>
        <v>Tercapai</v>
      </c>
      <c r="DC11" s="184">
        <v>28</v>
      </c>
      <c r="DD11" s="184">
        <v>4467</v>
      </c>
      <c r="DE11" s="179" t="str">
        <f t="shared" si="33"/>
        <v>Tercapai</v>
      </c>
      <c r="DF11" s="184">
        <v>47</v>
      </c>
      <c r="DG11" s="184">
        <v>3553</v>
      </c>
      <c r="DH11" s="179" t="str">
        <f t="shared" si="34"/>
        <v>Tercapai</v>
      </c>
      <c r="DI11" s="184">
        <v>70</v>
      </c>
      <c r="DJ11" s="184">
        <v>4088</v>
      </c>
      <c r="DK11" s="179" t="str">
        <f t="shared" si="35"/>
        <v>Tercapai</v>
      </c>
      <c r="DL11" s="184">
        <v>332</v>
      </c>
      <c r="DM11" s="184">
        <v>3771</v>
      </c>
      <c r="DN11" s="179" t="str">
        <f t="shared" si="36"/>
        <v>Tercapai</v>
      </c>
      <c r="DO11" s="184">
        <v>13</v>
      </c>
      <c r="DP11" s="184">
        <v>3498</v>
      </c>
      <c r="DQ11" s="179" t="str">
        <f t="shared" si="37"/>
        <v>Tercapai</v>
      </c>
      <c r="DR11" s="184">
        <v>111</v>
      </c>
      <c r="DS11" s="184">
        <v>581</v>
      </c>
      <c r="DT11" s="179" t="str">
        <f t="shared" si="38"/>
        <v>Tidak Tercapai</v>
      </c>
      <c r="DU11" s="184">
        <v>7</v>
      </c>
      <c r="DV11" s="184">
        <v>3412</v>
      </c>
      <c r="DW11" s="179" t="str">
        <f t="shared" si="39"/>
        <v>Tercapai</v>
      </c>
      <c r="DX11" s="184">
        <v>128</v>
      </c>
      <c r="DY11" s="184">
        <v>3522</v>
      </c>
      <c r="DZ11" s="179" t="str">
        <f t="shared" si="40"/>
        <v>Tercapai</v>
      </c>
      <c r="EA11" s="184">
        <v>147</v>
      </c>
      <c r="EB11" s="184">
        <v>3158</v>
      </c>
      <c r="EC11" s="179" t="str">
        <f t="shared" si="41"/>
        <v>Tidak Tercapai</v>
      </c>
      <c r="ED11" s="184">
        <v>1607</v>
      </c>
      <c r="EE11" s="184">
        <v>1928</v>
      </c>
      <c r="EF11" s="179" t="str">
        <f t="shared" si="42"/>
        <v>Tidak Tercapai</v>
      </c>
      <c r="EG11" s="184">
        <v>1699</v>
      </c>
      <c r="EH11" s="184">
        <v>1639</v>
      </c>
      <c r="EI11" s="179" t="str">
        <f t="shared" si="43"/>
        <v>Tidak Tercapai</v>
      </c>
      <c r="EJ11" s="184">
        <v>873</v>
      </c>
      <c r="EK11" s="184">
        <v>3014</v>
      </c>
      <c r="EL11" s="179" t="str">
        <f t="shared" si="44"/>
        <v>Tidak Tercapai</v>
      </c>
      <c r="EM11" s="184">
        <v>2244</v>
      </c>
      <c r="EN11" s="184">
        <v>3297</v>
      </c>
      <c r="EO11" s="179" t="str">
        <f t="shared" si="45"/>
        <v>Tercapai</v>
      </c>
      <c r="EP11" s="184">
        <v>2708</v>
      </c>
      <c r="EQ11" s="184">
        <v>3119</v>
      </c>
      <c r="ER11" s="179" t="str">
        <f t="shared" si="46"/>
        <v>Tidak Tercapai</v>
      </c>
      <c r="ES11" s="178">
        <v>2670</v>
      </c>
      <c r="ET11" s="184">
        <v>2935</v>
      </c>
      <c r="EU11" s="179" t="str">
        <f t="shared" si="47"/>
        <v>Tidak Tercapai</v>
      </c>
      <c r="EV11" s="184">
        <v>2163</v>
      </c>
      <c r="EW11" s="184">
        <v>2844</v>
      </c>
      <c r="EX11" s="179" t="str">
        <f t="shared" si="48"/>
        <v>Tidak Tercapai</v>
      </c>
      <c r="EY11" s="184">
        <v>2345</v>
      </c>
      <c r="EZ11" s="184">
        <v>3015</v>
      </c>
      <c r="FA11" s="179" t="str">
        <f t="shared" si="49"/>
        <v>Tidak Tercapai</v>
      </c>
      <c r="FB11" s="184">
        <v>1244</v>
      </c>
      <c r="FC11" s="184">
        <v>2693</v>
      </c>
      <c r="FD11" s="179" t="str">
        <f t="shared" si="50"/>
        <v>Tidak Tercapai</v>
      </c>
      <c r="FE11" s="184">
        <v>751</v>
      </c>
      <c r="FF11" s="184">
        <v>4403</v>
      </c>
      <c r="FG11" s="179" t="str">
        <f t="shared" si="51"/>
        <v>Tercapai</v>
      </c>
      <c r="FH11" s="184">
        <v>2130</v>
      </c>
      <c r="FI11" s="184">
        <v>4480</v>
      </c>
      <c r="FJ11" s="179" t="str">
        <f t="shared" si="52"/>
        <v>Tercapai</v>
      </c>
      <c r="FK11" s="184">
        <v>2692</v>
      </c>
      <c r="FL11" s="186">
        <v>606</v>
      </c>
      <c r="FM11" s="179" t="str">
        <f t="shared" si="53"/>
        <v>Tidak Tercapai</v>
      </c>
      <c r="FN11" s="184">
        <v>2362</v>
      </c>
      <c r="FO11" s="184">
        <v>2795</v>
      </c>
      <c r="FP11" s="179" t="str">
        <f t="shared" si="54"/>
        <v>Tidak Tercapai</v>
      </c>
      <c r="FQ11" s="184">
        <v>698</v>
      </c>
      <c r="FR11" s="184">
        <v>3527</v>
      </c>
      <c r="FS11" s="179" t="str">
        <f t="shared" si="55"/>
        <v>Tercapai</v>
      </c>
      <c r="FT11" s="184">
        <v>2115</v>
      </c>
      <c r="FU11" s="184">
        <v>14818</v>
      </c>
      <c r="FV11" s="179" t="str">
        <f t="shared" si="56"/>
        <v>Tercapai</v>
      </c>
      <c r="FW11" s="184">
        <v>16031</v>
      </c>
      <c r="FX11" s="184">
        <v>8306</v>
      </c>
      <c r="FY11" s="179" t="str">
        <f t="shared" si="57"/>
        <v>Tercapai</v>
      </c>
      <c r="FZ11" s="184">
        <v>4088</v>
      </c>
      <c r="GA11" s="184">
        <v>6387</v>
      </c>
      <c r="GB11" s="179" t="str">
        <f t="shared" si="58"/>
        <v>Tercapai</v>
      </c>
      <c r="GC11" s="184">
        <v>5565</v>
      </c>
      <c r="GD11" s="184">
        <v>5211</v>
      </c>
      <c r="GE11" s="179" t="str">
        <f t="shared" si="59"/>
        <v>Tercapai</v>
      </c>
      <c r="GF11" s="184">
        <v>4951</v>
      </c>
      <c r="GG11" s="184">
        <v>4654</v>
      </c>
      <c r="GH11" s="179" t="str">
        <f t="shared" si="60"/>
        <v>Tercapai</v>
      </c>
      <c r="GI11" s="184">
        <v>3327</v>
      </c>
      <c r="GJ11" s="184">
        <v>6706</v>
      </c>
      <c r="GK11" s="179" t="str">
        <f t="shared" si="61"/>
        <v>Tercapai</v>
      </c>
      <c r="GL11" s="184">
        <v>6810</v>
      </c>
      <c r="GM11" s="184">
        <v>3504</v>
      </c>
      <c r="GN11" s="179" t="str">
        <f t="shared" si="62"/>
        <v>Tercapai</v>
      </c>
      <c r="GO11" s="184">
        <v>3551</v>
      </c>
      <c r="GP11" s="184">
        <v>1653</v>
      </c>
      <c r="GQ11" s="179" t="str">
        <f t="shared" si="63"/>
        <v>Tidak Tercapai</v>
      </c>
      <c r="GR11" s="184">
        <v>2191</v>
      </c>
      <c r="GS11" s="184">
        <v>1760</v>
      </c>
      <c r="GT11" s="179" t="str">
        <f t="shared" si="64"/>
        <v>Tidak Tercapai</v>
      </c>
      <c r="GU11" s="184">
        <v>1719</v>
      </c>
      <c r="GV11" s="184">
        <v>2298</v>
      </c>
      <c r="GW11" s="179" t="str">
        <f t="shared" si="65"/>
        <v>Tidak Tercapai</v>
      </c>
      <c r="GX11" s="184">
        <v>4045</v>
      </c>
      <c r="GY11" s="184">
        <v>6568</v>
      </c>
      <c r="GZ11" s="179" t="str">
        <f t="shared" si="66"/>
        <v>Tercapai</v>
      </c>
      <c r="HA11" s="184">
        <v>1859</v>
      </c>
      <c r="HB11" s="184">
        <v>1395</v>
      </c>
      <c r="HC11" s="179" t="str">
        <f t="shared" si="67"/>
        <v>Tidak Tercapai</v>
      </c>
      <c r="HD11" s="184">
        <v>2682</v>
      </c>
      <c r="HE11" s="184">
        <v>1446</v>
      </c>
      <c r="HF11" s="179" t="str">
        <f t="shared" si="68"/>
        <v>Tidak Tercapai</v>
      </c>
      <c r="HG11" s="184">
        <v>3351</v>
      </c>
      <c r="HH11" s="184">
        <v>712</v>
      </c>
      <c r="HI11" s="179" t="str">
        <f t="shared" si="69"/>
        <v>Tidak Tercapai</v>
      </c>
      <c r="HJ11" s="184">
        <v>1641</v>
      </c>
      <c r="HK11" s="184">
        <v>1687</v>
      </c>
      <c r="HL11" s="179" t="str">
        <f t="shared" si="70"/>
        <v>Tidak Tercapai</v>
      </c>
      <c r="HM11" s="184">
        <v>2341</v>
      </c>
      <c r="HN11" s="184">
        <v>1213</v>
      </c>
      <c r="HO11" s="179" t="str">
        <f t="shared" si="71"/>
        <v>Tidak Tercapai</v>
      </c>
      <c r="HP11" s="184">
        <v>1712</v>
      </c>
      <c r="HQ11" s="184">
        <v>1659</v>
      </c>
      <c r="HR11" s="179" t="str">
        <f t="shared" si="72"/>
        <v>Tidak Tercapai</v>
      </c>
      <c r="HS11" s="184">
        <v>1900</v>
      </c>
      <c r="HT11" s="184">
        <v>1859</v>
      </c>
      <c r="HU11" s="179" t="str">
        <f t="shared" si="73"/>
        <v>Tidak Tercapai</v>
      </c>
      <c r="HV11" s="184">
        <v>2504</v>
      </c>
      <c r="HW11" s="184">
        <v>1961</v>
      </c>
      <c r="HX11" s="179" t="str">
        <f t="shared" si="74"/>
        <v>Tidak Tercapai</v>
      </c>
      <c r="HY11" s="184">
        <v>2753</v>
      </c>
      <c r="HZ11" s="184">
        <v>1876</v>
      </c>
      <c r="IA11" s="179" t="str">
        <f t="shared" si="75"/>
        <v>Tidak Tercapai</v>
      </c>
      <c r="IB11" s="184">
        <v>2676</v>
      </c>
      <c r="IC11" s="184">
        <v>3473</v>
      </c>
      <c r="ID11" s="179" t="str">
        <f t="shared" si="76"/>
        <v>Tercapai</v>
      </c>
      <c r="IE11" s="184">
        <v>4027</v>
      </c>
      <c r="IF11" s="184">
        <v>343</v>
      </c>
      <c r="IG11" s="179" t="str">
        <f t="shared" si="77"/>
        <v>Tidak Tercapai</v>
      </c>
      <c r="IH11" s="184">
        <v>373</v>
      </c>
      <c r="II11" s="184">
        <v>17</v>
      </c>
      <c r="IJ11" s="179" t="str">
        <f t="shared" si="78"/>
        <v>Tidak Tercapai</v>
      </c>
      <c r="IK11" s="184">
        <v>26</v>
      </c>
      <c r="IL11" s="42"/>
      <c r="IM11" s="42"/>
      <c r="IN11" s="42"/>
      <c r="IO11" s="42"/>
      <c r="IP11" s="42"/>
      <c r="IQ11" s="42"/>
      <c r="IR11" s="42"/>
      <c r="IS11" s="42"/>
      <c r="IT11" s="42"/>
      <c r="IU11" s="42"/>
      <c r="IV11" s="42"/>
    </row>
    <row r="12" spans="1:256" ht="15.6" x14ac:dyDescent="0.3">
      <c r="A12" s="167">
        <v>10</v>
      </c>
      <c r="B12" s="168" t="s">
        <v>469</v>
      </c>
      <c r="C12" s="167" t="s">
        <v>466</v>
      </c>
      <c r="D12" s="169">
        <v>266485</v>
      </c>
      <c r="E12" s="167">
        <v>3018</v>
      </c>
      <c r="F12" s="187">
        <v>50278</v>
      </c>
      <c r="G12" s="171" t="s">
        <v>457</v>
      </c>
      <c r="H12" s="187">
        <v>39551</v>
      </c>
      <c r="I12" s="187">
        <v>150</v>
      </c>
      <c r="J12" s="171" t="str">
        <f t="shared" si="0"/>
        <v>Tidak Tercapai</v>
      </c>
      <c r="K12" s="187">
        <v>0</v>
      </c>
      <c r="L12" s="187">
        <v>1</v>
      </c>
      <c r="M12" s="171" t="str">
        <f t="shared" si="1"/>
        <v>Tidak Tercapai</v>
      </c>
      <c r="N12" s="187">
        <v>2</v>
      </c>
      <c r="O12" s="167">
        <v>1004</v>
      </c>
      <c r="P12" s="171" t="str">
        <f t="shared" si="2"/>
        <v>Tidak Tercapai</v>
      </c>
      <c r="Q12" s="172">
        <v>24</v>
      </c>
      <c r="R12" s="167">
        <v>1243</v>
      </c>
      <c r="S12" s="173" t="str">
        <f t="shared" si="3"/>
        <v>Tidak Tercapai</v>
      </c>
      <c r="T12" s="172">
        <v>54</v>
      </c>
      <c r="U12" s="174">
        <v>1602</v>
      </c>
      <c r="V12" s="173" t="str">
        <f t="shared" si="4"/>
        <v>Tercapai</v>
      </c>
      <c r="W12" s="175">
        <v>44</v>
      </c>
      <c r="X12" s="188">
        <v>1454</v>
      </c>
      <c r="Y12" s="176" t="str">
        <f t="shared" si="5"/>
        <v>Tidak Tercapai</v>
      </c>
      <c r="Z12" s="177">
        <v>55</v>
      </c>
      <c r="AA12" s="178">
        <v>2013</v>
      </c>
      <c r="AB12" s="179" t="str">
        <f t="shared" si="6"/>
        <v>Tidak Tercapai</v>
      </c>
      <c r="AC12" s="178">
        <v>110</v>
      </c>
      <c r="AD12" s="184">
        <v>306</v>
      </c>
      <c r="AE12" s="179" t="str">
        <f t="shared" si="7"/>
        <v>Tidak Tercapai</v>
      </c>
      <c r="AF12" s="178">
        <v>2</v>
      </c>
      <c r="AG12" s="178">
        <v>204</v>
      </c>
      <c r="AH12" s="179" t="str">
        <f t="shared" si="8"/>
        <v>Tidak Tercapai</v>
      </c>
      <c r="AI12" s="178">
        <v>0</v>
      </c>
      <c r="AJ12" s="184">
        <v>1800</v>
      </c>
      <c r="AK12" s="179" t="str">
        <f t="shared" si="9"/>
        <v>Tidak Tercapai</v>
      </c>
      <c r="AL12" s="184">
        <v>40</v>
      </c>
      <c r="AM12" s="184">
        <v>2263</v>
      </c>
      <c r="AN12" s="179" t="str">
        <f t="shared" si="10"/>
        <v>Tidak Tercapai</v>
      </c>
      <c r="AO12" s="184">
        <v>145</v>
      </c>
      <c r="AP12" s="178">
        <v>1810</v>
      </c>
      <c r="AQ12" s="179" t="str">
        <f t="shared" si="11"/>
        <v>Tidak Tercapai</v>
      </c>
      <c r="AR12" s="178">
        <v>33</v>
      </c>
      <c r="AS12" s="178">
        <v>1992</v>
      </c>
      <c r="AT12" s="179" t="str">
        <f t="shared" si="12"/>
        <v>Tidak Tercapai</v>
      </c>
      <c r="AU12" s="178">
        <v>18</v>
      </c>
      <c r="AV12" s="170">
        <v>2037</v>
      </c>
      <c r="AW12" s="179" t="str">
        <f t="shared" si="13"/>
        <v>Tidak Tercapai</v>
      </c>
      <c r="AX12" s="178">
        <v>27</v>
      </c>
      <c r="AY12" s="178">
        <v>1201</v>
      </c>
      <c r="AZ12" s="179" t="str">
        <f t="shared" si="14"/>
        <v>Tidak Tercapai</v>
      </c>
      <c r="BA12" s="178">
        <v>1</v>
      </c>
      <c r="BB12" s="183">
        <v>869</v>
      </c>
      <c r="BC12" s="179" t="str">
        <f t="shared" si="15"/>
        <v>Tidak Tercapai</v>
      </c>
      <c r="BD12" s="178">
        <v>2</v>
      </c>
      <c r="BE12" s="184">
        <v>4949</v>
      </c>
      <c r="BF12" s="179" t="str">
        <f t="shared" si="16"/>
        <v>Tercapai</v>
      </c>
      <c r="BG12" s="170">
        <v>51</v>
      </c>
      <c r="BH12" s="184">
        <v>2526</v>
      </c>
      <c r="BI12" s="179" t="str">
        <f t="shared" si="17"/>
        <v>Tidak Tercapai</v>
      </c>
      <c r="BJ12" s="184">
        <v>33</v>
      </c>
      <c r="BK12" s="184">
        <v>1673</v>
      </c>
      <c r="BL12" s="179" t="str">
        <f t="shared" si="18"/>
        <v>Tidak Tercapai</v>
      </c>
      <c r="BM12" s="184">
        <v>36</v>
      </c>
      <c r="BN12" s="184">
        <v>1402</v>
      </c>
      <c r="BO12" s="179" t="str">
        <f t="shared" si="19"/>
        <v>Tidak Tercapai</v>
      </c>
      <c r="BP12" s="184">
        <v>284</v>
      </c>
      <c r="BQ12" s="184">
        <v>879</v>
      </c>
      <c r="BR12" s="179" t="str">
        <f t="shared" si="20"/>
        <v>Tidak Tercapai</v>
      </c>
      <c r="BS12" s="184">
        <v>55</v>
      </c>
      <c r="BT12" s="184">
        <v>2045</v>
      </c>
      <c r="BU12" s="179" t="str">
        <f t="shared" si="21"/>
        <v>Tidak Tercapai</v>
      </c>
      <c r="BV12" s="185">
        <v>42.106999999999999</v>
      </c>
      <c r="BW12" s="184">
        <v>664</v>
      </c>
      <c r="BX12" s="179" t="str">
        <f t="shared" si="22"/>
        <v>Tidak Tercapai</v>
      </c>
      <c r="BY12" s="184">
        <v>2</v>
      </c>
      <c r="BZ12" s="184">
        <v>882</v>
      </c>
      <c r="CA12" s="179" t="str">
        <f t="shared" si="23"/>
        <v>Tidak Tercapai</v>
      </c>
      <c r="CB12" s="184">
        <v>1235</v>
      </c>
      <c r="CC12" s="184">
        <v>2419</v>
      </c>
      <c r="CD12" s="179" t="str">
        <f t="shared" si="24"/>
        <v>Tidak Tercapai</v>
      </c>
      <c r="CE12" s="184">
        <v>498</v>
      </c>
      <c r="CF12" s="184">
        <v>1125</v>
      </c>
      <c r="CG12" s="179" t="str">
        <f t="shared" si="25"/>
        <v>Tidak Tercapai</v>
      </c>
      <c r="CH12" s="184">
        <v>58</v>
      </c>
      <c r="CI12" s="184">
        <v>2030</v>
      </c>
      <c r="CJ12" s="179" t="str">
        <f t="shared" si="26"/>
        <v>Tidak Tercapai</v>
      </c>
      <c r="CK12" s="184">
        <v>536</v>
      </c>
      <c r="CL12" s="184">
        <v>664</v>
      </c>
      <c r="CM12" s="179" t="str">
        <f t="shared" si="27"/>
        <v>Tidak Tercapai</v>
      </c>
      <c r="CN12" s="184">
        <v>6</v>
      </c>
      <c r="CO12" s="184">
        <v>31</v>
      </c>
      <c r="CP12" s="179" t="str">
        <f t="shared" si="28"/>
        <v>Tidak Tercapai</v>
      </c>
      <c r="CQ12" s="184">
        <v>0</v>
      </c>
      <c r="CR12" s="184">
        <v>0</v>
      </c>
      <c r="CS12" s="179" t="str">
        <f t="shared" si="29"/>
        <v>Tidak Tercapai</v>
      </c>
      <c r="CT12" s="184">
        <v>0</v>
      </c>
      <c r="CU12" s="184">
        <v>761</v>
      </c>
      <c r="CV12" s="179" t="str">
        <f t="shared" si="30"/>
        <v>Tidak Tercapai</v>
      </c>
      <c r="CW12" s="184">
        <v>40</v>
      </c>
      <c r="CX12" s="184">
        <v>5965</v>
      </c>
      <c r="CY12" s="179" t="str">
        <f t="shared" si="31"/>
        <v>Tercapai</v>
      </c>
      <c r="CZ12" s="184">
        <v>83</v>
      </c>
      <c r="DA12" s="184">
        <v>2082</v>
      </c>
      <c r="DB12" s="179" t="str">
        <f t="shared" si="32"/>
        <v>Tidak Tercapai</v>
      </c>
      <c r="DC12" s="184">
        <v>34</v>
      </c>
      <c r="DD12" s="184">
        <v>2708</v>
      </c>
      <c r="DE12" s="179" t="str">
        <f t="shared" si="33"/>
        <v>Tidak Tercapai</v>
      </c>
      <c r="DF12" s="184">
        <v>71</v>
      </c>
      <c r="DG12" s="184">
        <v>2538</v>
      </c>
      <c r="DH12" s="179" t="str">
        <f t="shared" si="34"/>
        <v>Tidak Tercapai</v>
      </c>
      <c r="DI12" s="184">
        <v>59</v>
      </c>
      <c r="DJ12" s="184">
        <v>899</v>
      </c>
      <c r="DK12" s="179" t="str">
        <f t="shared" si="35"/>
        <v>Tidak Tercapai</v>
      </c>
      <c r="DL12" s="184">
        <v>5</v>
      </c>
      <c r="DM12" s="184">
        <v>803</v>
      </c>
      <c r="DN12" s="179" t="str">
        <f t="shared" si="36"/>
        <v>Tidak Tercapai</v>
      </c>
      <c r="DO12" s="184">
        <v>0</v>
      </c>
      <c r="DP12" s="184">
        <v>931</v>
      </c>
      <c r="DQ12" s="179" t="str">
        <f t="shared" si="37"/>
        <v>Tidak Tercapai</v>
      </c>
      <c r="DR12" s="184">
        <v>19</v>
      </c>
      <c r="DS12" s="184">
        <v>0</v>
      </c>
      <c r="DT12" s="179" t="str">
        <f t="shared" si="38"/>
        <v>Tidak Tercapai</v>
      </c>
      <c r="DU12" s="184">
        <v>0</v>
      </c>
      <c r="DV12" s="184">
        <v>1413</v>
      </c>
      <c r="DW12" s="179" t="str">
        <f t="shared" si="39"/>
        <v>Tidak Tercapai</v>
      </c>
      <c r="DX12" s="184">
        <v>66</v>
      </c>
      <c r="DY12" s="184">
        <v>1836</v>
      </c>
      <c r="DZ12" s="179" t="str">
        <f t="shared" si="40"/>
        <v>Tidak Tercapai</v>
      </c>
      <c r="EA12" s="184">
        <v>531</v>
      </c>
      <c r="EB12" s="184">
        <v>2023</v>
      </c>
      <c r="EC12" s="179" t="str">
        <f t="shared" si="41"/>
        <v>Tidak Tercapai</v>
      </c>
      <c r="ED12" s="184">
        <v>1074</v>
      </c>
      <c r="EE12" s="184">
        <v>1750</v>
      </c>
      <c r="EF12" s="179" t="str">
        <f t="shared" si="42"/>
        <v>Tidak Tercapai</v>
      </c>
      <c r="EG12" s="184">
        <v>338</v>
      </c>
      <c r="EH12" s="184">
        <v>1251</v>
      </c>
      <c r="EI12" s="179" t="str">
        <f t="shared" si="43"/>
        <v>Tidak Tercapai</v>
      </c>
      <c r="EJ12" s="184">
        <v>1429</v>
      </c>
      <c r="EK12" s="184">
        <v>1120</v>
      </c>
      <c r="EL12" s="179" t="str">
        <f t="shared" si="44"/>
        <v>Tidak Tercapai</v>
      </c>
      <c r="EM12" s="184">
        <v>1263</v>
      </c>
      <c r="EN12" s="184">
        <v>1370</v>
      </c>
      <c r="EO12" s="179" t="str">
        <f t="shared" si="45"/>
        <v>Tidak Tercapai</v>
      </c>
      <c r="EP12" s="184">
        <v>2037</v>
      </c>
      <c r="EQ12" s="184">
        <v>1848</v>
      </c>
      <c r="ER12" s="179" t="str">
        <f t="shared" si="46"/>
        <v>Tidak Tercapai</v>
      </c>
      <c r="ES12" s="178">
        <v>1998</v>
      </c>
      <c r="ET12" s="184">
        <v>1967</v>
      </c>
      <c r="EU12" s="179" t="str">
        <f t="shared" si="47"/>
        <v>Tidak Tercapai</v>
      </c>
      <c r="EV12" s="184">
        <v>2179</v>
      </c>
      <c r="EW12" s="184">
        <v>2149</v>
      </c>
      <c r="EX12" s="179" t="str">
        <f t="shared" si="48"/>
        <v>Tidak Tercapai</v>
      </c>
      <c r="EY12" s="184">
        <v>2116</v>
      </c>
      <c r="EZ12" s="184">
        <v>1548</v>
      </c>
      <c r="FA12" s="179" t="str">
        <f t="shared" si="49"/>
        <v>Tidak Tercapai</v>
      </c>
      <c r="FB12" s="184">
        <v>915</v>
      </c>
      <c r="FC12" s="184">
        <v>1648</v>
      </c>
      <c r="FD12" s="179" t="str">
        <f t="shared" si="50"/>
        <v>Tidak Tercapai</v>
      </c>
      <c r="FE12" s="184">
        <v>557</v>
      </c>
      <c r="FF12" s="184">
        <v>1948</v>
      </c>
      <c r="FG12" s="179" t="str">
        <f t="shared" si="51"/>
        <v>Tidak Tercapai</v>
      </c>
      <c r="FH12" s="184">
        <v>1765</v>
      </c>
      <c r="FI12" s="184">
        <v>1146</v>
      </c>
      <c r="FJ12" s="179" t="str">
        <f t="shared" si="52"/>
        <v>Tidak Tercapai</v>
      </c>
      <c r="FK12" s="184">
        <v>1736</v>
      </c>
      <c r="FL12" s="186">
        <v>0</v>
      </c>
      <c r="FM12" s="179" t="str">
        <f t="shared" si="53"/>
        <v>Tidak Tercapai</v>
      </c>
      <c r="FN12" s="184">
        <v>824</v>
      </c>
      <c r="FO12" s="184">
        <v>405</v>
      </c>
      <c r="FP12" s="179" t="str">
        <f t="shared" si="54"/>
        <v>Tidak Tercapai</v>
      </c>
      <c r="FQ12" s="184">
        <v>264</v>
      </c>
      <c r="FR12" s="184">
        <v>740</v>
      </c>
      <c r="FS12" s="179" t="str">
        <f t="shared" si="55"/>
        <v>Tidak Tercapai</v>
      </c>
      <c r="FT12" s="184">
        <v>1134</v>
      </c>
      <c r="FU12" s="184">
        <v>1713</v>
      </c>
      <c r="FV12" s="179" t="str">
        <f t="shared" si="56"/>
        <v>Tidak Tercapai</v>
      </c>
      <c r="FW12" s="184">
        <v>2769</v>
      </c>
      <c r="FX12" s="184">
        <v>764</v>
      </c>
      <c r="FY12" s="179" t="str">
        <f t="shared" si="57"/>
        <v>Tidak Tercapai</v>
      </c>
      <c r="FZ12" s="184">
        <v>1899</v>
      </c>
      <c r="GA12" s="184">
        <v>661</v>
      </c>
      <c r="GB12" s="179" t="str">
        <f t="shared" si="58"/>
        <v>Tidak Tercapai</v>
      </c>
      <c r="GC12" s="184">
        <v>976</v>
      </c>
      <c r="GD12" s="184">
        <v>610</v>
      </c>
      <c r="GE12" s="179" t="str">
        <f t="shared" si="59"/>
        <v>Tidak Tercapai</v>
      </c>
      <c r="GF12" s="184">
        <v>1578</v>
      </c>
      <c r="GG12" s="184">
        <v>651</v>
      </c>
      <c r="GH12" s="179" t="str">
        <f t="shared" si="60"/>
        <v>Tidak Tercapai</v>
      </c>
      <c r="GI12" s="184">
        <v>774</v>
      </c>
      <c r="GJ12" s="184">
        <v>870</v>
      </c>
      <c r="GK12" s="179" t="str">
        <f t="shared" si="61"/>
        <v>Tidak Tercapai</v>
      </c>
      <c r="GL12" s="184">
        <v>2707</v>
      </c>
      <c r="GM12" s="184">
        <v>704</v>
      </c>
      <c r="GN12" s="179" t="str">
        <f t="shared" si="62"/>
        <v>Tidak Tercapai</v>
      </c>
      <c r="GO12" s="184">
        <v>2502</v>
      </c>
      <c r="GP12" s="184">
        <v>580</v>
      </c>
      <c r="GQ12" s="179" t="str">
        <f t="shared" si="63"/>
        <v>Tidak Tercapai</v>
      </c>
      <c r="GR12" s="184">
        <v>1065</v>
      </c>
      <c r="GS12" s="184">
        <v>592</v>
      </c>
      <c r="GT12" s="179" t="str">
        <f t="shared" si="64"/>
        <v>Tidak Tercapai</v>
      </c>
      <c r="GU12" s="184">
        <v>749</v>
      </c>
      <c r="GV12" s="184">
        <v>645</v>
      </c>
      <c r="GW12" s="179" t="str">
        <f t="shared" si="65"/>
        <v>Tidak Tercapai</v>
      </c>
      <c r="GX12" s="184">
        <v>1306</v>
      </c>
      <c r="GY12" s="184">
        <v>289</v>
      </c>
      <c r="GZ12" s="179" t="str">
        <f t="shared" si="66"/>
        <v>Tidak Tercapai</v>
      </c>
      <c r="HA12" s="184">
        <v>75</v>
      </c>
      <c r="HB12" s="184">
        <v>924</v>
      </c>
      <c r="HC12" s="179" t="str">
        <f t="shared" si="67"/>
        <v>Tidak Tercapai</v>
      </c>
      <c r="HD12" s="184">
        <v>1795</v>
      </c>
      <c r="HE12" s="184">
        <v>1088</v>
      </c>
      <c r="HF12" s="179" t="str">
        <f t="shared" si="68"/>
        <v>Tidak Tercapai</v>
      </c>
      <c r="HG12" s="184">
        <v>2144</v>
      </c>
      <c r="HH12" s="184">
        <v>1027</v>
      </c>
      <c r="HI12" s="179" t="str">
        <f t="shared" si="69"/>
        <v>Tidak Tercapai</v>
      </c>
      <c r="HJ12" s="184">
        <v>1811</v>
      </c>
      <c r="HK12" s="184">
        <v>506</v>
      </c>
      <c r="HL12" s="179" t="str">
        <f t="shared" si="70"/>
        <v>Tidak Tercapai</v>
      </c>
      <c r="HM12" s="184">
        <v>1335</v>
      </c>
      <c r="HN12" s="184">
        <v>271</v>
      </c>
      <c r="HO12" s="179" t="str">
        <f t="shared" si="71"/>
        <v>Tidak Tercapai</v>
      </c>
      <c r="HP12" s="184">
        <v>1114</v>
      </c>
      <c r="HQ12" s="184">
        <v>965</v>
      </c>
      <c r="HR12" s="179" t="str">
        <f t="shared" si="72"/>
        <v>Tidak Tercapai</v>
      </c>
      <c r="HS12" s="184">
        <v>964</v>
      </c>
      <c r="HT12" s="184">
        <v>695</v>
      </c>
      <c r="HU12" s="179" t="str">
        <f t="shared" si="73"/>
        <v>Tidak Tercapai</v>
      </c>
      <c r="HV12" s="184">
        <v>1118</v>
      </c>
      <c r="HW12" s="184">
        <v>938</v>
      </c>
      <c r="HX12" s="179" t="str">
        <f t="shared" si="74"/>
        <v>Tidak Tercapai</v>
      </c>
      <c r="HY12" s="184">
        <v>1608</v>
      </c>
      <c r="HZ12" s="184">
        <v>1056</v>
      </c>
      <c r="IA12" s="179" t="str">
        <f t="shared" si="75"/>
        <v>Tidak Tercapai</v>
      </c>
      <c r="IB12" s="184">
        <v>1849</v>
      </c>
      <c r="IC12" s="184">
        <v>2087</v>
      </c>
      <c r="ID12" s="179" t="str">
        <f t="shared" si="76"/>
        <v>Tidak Tercapai</v>
      </c>
      <c r="IE12" s="184">
        <v>3173</v>
      </c>
      <c r="IF12" s="184">
        <v>519</v>
      </c>
      <c r="IG12" s="179" t="str">
        <f t="shared" si="77"/>
        <v>Tidak Tercapai</v>
      </c>
      <c r="IH12" s="184">
        <v>404</v>
      </c>
      <c r="II12" s="184">
        <v>2</v>
      </c>
      <c r="IJ12" s="179" t="str">
        <f t="shared" si="78"/>
        <v>Tidak Tercapai</v>
      </c>
      <c r="IK12" s="184">
        <v>3</v>
      </c>
      <c r="IL12" s="42"/>
      <c r="IM12" s="42"/>
      <c r="IN12" s="42"/>
      <c r="IO12" s="42"/>
      <c r="IP12" s="42"/>
      <c r="IQ12" s="42"/>
      <c r="IR12" s="42"/>
      <c r="IS12" s="42"/>
      <c r="IT12" s="42"/>
      <c r="IU12" s="42"/>
      <c r="IV12" s="42"/>
    </row>
    <row r="13" spans="1:256" ht="15.6" x14ac:dyDescent="0.3">
      <c r="A13" s="167">
        <v>11</v>
      </c>
      <c r="B13" s="168" t="s">
        <v>470</v>
      </c>
      <c r="C13" s="167" t="s">
        <v>456</v>
      </c>
      <c r="D13" s="169">
        <v>262190</v>
      </c>
      <c r="E13" s="167">
        <v>3010</v>
      </c>
      <c r="F13" s="187">
        <v>63222</v>
      </c>
      <c r="G13" s="171" t="s">
        <v>457</v>
      </c>
      <c r="H13" s="187">
        <v>37131</v>
      </c>
      <c r="I13" s="187">
        <v>1053</v>
      </c>
      <c r="J13" s="171" t="str">
        <f t="shared" si="0"/>
        <v>Tidak Tercapai</v>
      </c>
      <c r="K13" s="187">
        <v>66</v>
      </c>
      <c r="L13" s="187">
        <v>2</v>
      </c>
      <c r="M13" s="171" t="str">
        <f t="shared" si="1"/>
        <v>Tidak Tercapai</v>
      </c>
      <c r="N13" s="187">
        <v>0</v>
      </c>
      <c r="O13" s="167">
        <v>3105</v>
      </c>
      <c r="P13" s="171" t="str">
        <f t="shared" si="2"/>
        <v>Tercapai</v>
      </c>
      <c r="Q13" s="172">
        <v>49</v>
      </c>
      <c r="R13" s="167">
        <v>2698</v>
      </c>
      <c r="S13" s="173" t="str">
        <f t="shared" si="3"/>
        <v>Tidak Tercapai</v>
      </c>
      <c r="T13" s="172">
        <v>16</v>
      </c>
      <c r="U13" s="174">
        <v>3304</v>
      </c>
      <c r="V13" s="173" t="str">
        <f t="shared" si="4"/>
        <v>Tercapai</v>
      </c>
      <c r="W13" s="175">
        <v>44</v>
      </c>
      <c r="X13" s="188">
        <v>2073</v>
      </c>
      <c r="Y13" s="176" t="str">
        <f t="shared" si="5"/>
        <v>Tidak Tercapai</v>
      </c>
      <c r="Z13" s="177">
        <v>21</v>
      </c>
      <c r="AA13" s="178">
        <v>1946</v>
      </c>
      <c r="AB13" s="179" t="str">
        <f t="shared" si="6"/>
        <v>Tidak Tercapai</v>
      </c>
      <c r="AC13" s="178">
        <v>33</v>
      </c>
      <c r="AD13" s="184">
        <v>1259</v>
      </c>
      <c r="AE13" s="179" t="str">
        <f t="shared" si="7"/>
        <v>Tidak Tercapai</v>
      </c>
      <c r="AF13" s="178">
        <v>24</v>
      </c>
      <c r="AG13" s="178">
        <v>330</v>
      </c>
      <c r="AH13" s="179" t="str">
        <f t="shared" si="8"/>
        <v>Tidak Tercapai</v>
      </c>
      <c r="AI13" s="178">
        <v>0</v>
      </c>
      <c r="AJ13" s="184">
        <v>2107</v>
      </c>
      <c r="AK13" s="179" t="str">
        <f t="shared" si="9"/>
        <v>Tidak Tercapai</v>
      </c>
      <c r="AL13" s="184">
        <v>25</v>
      </c>
      <c r="AM13" s="184">
        <v>1070</v>
      </c>
      <c r="AN13" s="179" t="str">
        <f t="shared" si="10"/>
        <v>Tidak Tercapai</v>
      </c>
      <c r="AO13" s="184">
        <v>55</v>
      </c>
      <c r="AP13" s="178">
        <v>3034</v>
      </c>
      <c r="AQ13" s="179" t="str">
        <f t="shared" si="11"/>
        <v>Tercapai</v>
      </c>
      <c r="AR13" s="178">
        <v>16</v>
      </c>
      <c r="AS13" s="178">
        <v>2292</v>
      </c>
      <c r="AT13" s="179" t="str">
        <f t="shared" si="12"/>
        <v>Tidak Tercapai</v>
      </c>
      <c r="AU13" s="178">
        <v>37</v>
      </c>
      <c r="AV13" s="170">
        <v>2143</v>
      </c>
      <c r="AW13" s="179" t="str">
        <f t="shared" si="13"/>
        <v>Tidak Tercapai</v>
      </c>
      <c r="AX13" s="178">
        <v>45</v>
      </c>
      <c r="AY13" s="178">
        <v>1374</v>
      </c>
      <c r="AZ13" s="179" t="str">
        <f t="shared" si="14"/>
        <v>Tidak Tercapai</v>
      </c>
      <c r="BA13" s="178">
        <v>7</v>
      </c>
      <c r="BB13" s="183">
        <v>27</v>
      </c>
      <c r="BC13" s="179" t="str">
        <f t="shared" si="15"/>
        <v>Tidak Tercapai</v>
      </c>
      <c r="BD13" s="178">
        <v>1</v>
      </c>
      <c r="BE13" s="184">
        <v>3320</v>
      </c>
      <c r="BF13" s="179" t="str">
        <f t="shared" si="16"/>
        <v>Tercapai</v>
      </c>
      <c r="BG13" s="170">
        <v>45</v>
      </c>
      <c r="BH13" s="184">
        <v>2686</v>
      </c>
      <c r="BI13" s="179" t="str">
        <f t="shared" si="17"/>
        <v>Tidak Tercapai</v>
      </c>
      <c r="BJ13" s="184">
        <v>28</v>
      </c>
      <c r="BK13" s="184">
        <v>3445</v>
      </c>
      <c r="BL13" s="179" t="str">
        <f t="shared" si="18"/>
        <v>Tercapai</v>
      </c>
      <c r="BM13" s="184">
        <v>58</v>
      </c>
      <c r="BN13" s="184">
        <v>2099</v>
      </c>
      <c r="BO13" s="179" t="str">
        <f t="shared" si="19"/>
        <v>Tidak Tercapai</v>
      </c>
      <c r="BP13" s="184">
        <v>30</v>
      </c>
      <c r="BQ13" s="184">
        <v>1762</v>
      </c>
      <c r="BR13" s="179" t="str">
        <f t="shared" si="20"/>
        <v>Tidak Tercapai</v>
      </c>
      <c r="BS13" s="184">
        <v>29</v>
      </c>
      <c r="BT13" s="184">
        <v>1955</v>
      </c>
      <c r="BU13" s="179" t="str">
        <f t="shared" si="21"/>
        <v>Tidak Tercapai</v>
      </c>
      <c r="BV13" s="185">
        <v>37.808</v>
      </c>
      <c r="BW13" s="184">
        <v>1217</v>
      </c>
      <c r="BX13" s="179" t="str">
        <f t="shared" si="22"/>
        <v>Tidak Tercapai</v>
      </c>
      <c r="BY13" s="184">
        <v>1</v>
      </c>
      <c r="BZ13" s="184">
        <v>1823</v>
      </c>
      <c r="CA13" s="179" t="str">
        <f t="shared" si="23"/>
        <v>Tidak Tercapai</v>
      </c>
      <c r="CB13" s="184">
        <v>1604</v>
      </c>
      <c r="CC13" s="184">
        <v>3337</v>
      </c>
      <c r="CD13" s="179" t="str">
        <f t="shared" si="24"/>
        <v>Tercapai</v>
      </c>
      <c r="CE13" s="184">
        <v>43</v>
      </c>
      <c r="CF13" s="184">
        <v>2347</v>
      </c>
      <c r="CG13" s="179" t="str">
        <f t="shared" si="25"/>
        <v>Tidak Tercapai</v>
      </c>
      <c r="CH13" s="184">
        <v>10</v>
      </c>
      <c r="CI13" s="184">
        <v>4014</v>
      </c>
      <c r="CJ13" s="179" t="str">
        <f t="shared" si="26"/>
        <v>Tercapai</v>
      </c>
      <c r="CK13" s="184">
        <v>44</v>
      </c>
      <c r="CL13" s="184">
        <v>762</v>
      </c>
      <c r="CM13" s="179" t="str">
        <f t="shared" si="27"/>
        <v>Tidak Tercapai</v>
      </c>
      <c r="CN13" s="184">
        <v>8</v>
      </c>
      <c r="CO13" s="184">
        <v>139</v>
      </c>
      <c r="CP13" s="179" t="str">
        <f t="shared" si="28"/>
        <v>Tidak Tercapai</v>
      </c>
      <c r="CQ13" s="184">
        <v>0</v>
      </c>
      <c r="CR13" s="184">
        <v>67</v>
      </c>
      <c r="CS13" s="179" t="str">
        <f t="shared" si="29"/>
        <v>Tidak Tercapai</v>
      </c>
      <c r="CT13" s="184">
        <v>0</v>
      </c>
      <c r="CU13" s="184">
        <v>2754</v>
      </c>
      <c r="CV13" s="179" t="str">
        <f t="shared" si="30"/>
        <v>Tidak Tercapai</v>
      </c>
      <c r="CW13" s="184">
        <v>21</v>
      </c>
      <c r="CX13" s="184">
        <v>6350</v>
      </c>
      <c r="CY13" s="179" t="str">
        <f t="shared" si="31"/>
        <v>Tercapai</v>
      </c>
      <c r="CZ13" s="184">
        <v>141</v>
      </c>
      <c r="DA13" s="184">
        <v>2215</v>
      </c>
      <c r="DB13" s="179" t="str">
        <f t="shared" si="32"/>
        <v>Tidak Tercapai</v>
      </c>
      <c r="DC13" s="184">
        <v>30</v>
      </c>
      <c r="DD13" s="184">
        <v>2493</v>
      </c>
      <c r="DE13" s="179" t="str">
        <f t="shared" si="33"/>
        <v>Tidak Tercapai</v>
      </c>
      <c r="DF13" s="184">
        <v>30</v>
      </c>
      <c r="DG13" s="184">
        <v>2352</v>
      </c>
      <c r="DH13" s="179" t="str">
        <f t="shared" si="34"/>
        <v>Tidak Tercapai</v>
      </c>
      <c r="DI13" s="184">
        <v>82</v>
      </c>
      <c r="DJ13" s="184">
        <v>280</v>
      </c>
      <c r="DK13" s="179" t="str">
        <f t="shared" si="35"/>
        <v>Tidak Tercapai</v>
      </c>
      <c r="DL13" s="184">
        <v>413</v>
      </c>
      <c r="DM13" s="184">
        <v>850</v>
      </c>
      <c r="DN13" s="179" t="str">
        <f t="shared" si="36"/>
        <v>Tidak Tercapai</v>
      </c>
      <c r="DO13" s="184">
        <v>2</v>
      </c>
      <c r="DP13" s="184">
        <v>2519</v>
      </c>
      <c r="DQ13" s="179" t="str">
        <f t="shared" si="37"/>
        <v>Tidak Tercapai</v>
      </c>
      <c r="DR13" s="184">
        <v>564</v>
      </c>
      <c r="DS13" s="184">
        <v>2</v>
      </c>
      <c r="DT13" s="179" t="str">
        <f t="shared" si="38"/>
        <v>Tidak Tercapai</v>
      </c>
      <c r="DU13" s="184">
        <v>0</v>
      </c>
      <c r="DV13" s="184">
        <v>2672</v>
      </c>
      <c r="DW13" s="179" t="str">
        <f t="shared" si="39"/>
        <v>Tidak Tercapai</v>
      </c>
      <c r="DX13" s="184">
        <v>198</v>
      </c>
      <c r="DY13" s="184">
        <v>2622</v>
      </c>
      <c r="DZ13" s="179" t="str">
        <f t="shared" si="40"/>
        <v>Tidak Tercapai</v>
      </c>
      <c r="EA13" s="184">
        <v>216</v>
      </c>
      <c r="EB13" s="184">
        <v>2490</v>
      </c>
      <c r="EC13" s="179" t="str">
        <f t="shared" si="41"/>
        <v>Tidak Tercapai</v>
      </c>
      <c r="ED13" s="184">
        <v>219</v>
      </c>
      <c r="EE13" s="184">
        <v>1219</v>
      </c>
      <c r="EF13" s="179" t="str">
        <f t="shared" si="42"/>
        <v>Tidak Tercapai</v>
      </c>
      <c r="EG13" s="184">
        <v>133</v>
      </c>
      <c r="EH13" s="184">
        <v>916</v>
      </c>
      <c r="EI13" s="179" t="str">
        <f t="shared" si="43"/>
        <v>Tidak Tercapai</v>
      </c>
      <c r="EJ13" s="184">
        <v>30</v>
      </c>
      <c r="EK13" s="184">
        <v>2832</v>
      </c>
      <c r="EL13" s="179" t="str">
        <f t="shared" si="44"/>
        <v>Tidak Tercapai</v>
      </c>
      <c r="EM13" s="184">
        <v>1502</v>
      </c>
      <c r="EN13" s="184">
        <v>2354</v>
      </c>
      <c r="EO13" s="179" t="str">
        <f t="shared" si="45"/>
        <v>Tidak Tercapai</v>
      </c>
      <c r="EP13" s="184">
        <v>1416</v>
      </c>
      <c r="EQ13" s="184">
        <v>2498</v>
      </c>
      <c r="ER13" s="179" t="str">
        <f t="shared" si="46"/>
        <v>Tidak Tercapai</v>
      </c>
      <c r="ES13" s="178">
        <v>2671</v>
      </c>
      <c r="ET13" s="184">
        <v>2569</v>
      </c>
      <c r="EU13" s="179" t="str">
        <f t="shared" si="47"/>
        <v>Tidak Tercapai</v>
      </c>
      <c r="EV13" s="184">
        <v>2544</v>
      </c>
      <c r="EW13" s="184">
        <v>2315</v>
      </c>
      <c r="EX13" s="179" t="str">
        <f t="shared" si="48"/>
        <v>Tidak Tercapai</v>
      </c>
      <c r="EY13" s="184">
        <v>3247</v>
      </c>
      <c r="EZ13" s="184">
        <v>897</v>
      </c>
      <c r="FA13" s="179" t="str">
        <f t="shared" si="49"/>
        <v>Tidak Tercapai</v>
      </c>
      <c r="FB13" s="184">
        <v>554</v>
      </c>
      <c r="FC13" s="184">
        <v>934</v>
      </c>
      <c r="FD13" s="179" t="str">
        <f t="shared" si="50"/>
        <v>Tidak Tercapai</v>
      </c>
      <c r="FE13" s="184">
        <v>137</v>
      </c>
      <c r="FF13" s="184">
        <v>3231</v>
      </c>
      <c r="FG13" s="179" t="str">
        <f t="shared" si="51"/>
        <v>Tercapai</v>
      </c>
      <c r="FH13" s="184">
        <v>2366</v>
      </c>
      <c r="FI13" s="184">
        <v>3234</v>
      </c>
      <c r="FJ13" s="179" t="str">
        <f t="shared" si="52"/>
        <v>Tercapai</v>
      </c>
      <c r="FK13" s="184">
        <v>2071</v>
      </c>
      <c r="FL13" s="186">
        <v>2148</v>
      </c>
      <c r="FM13" s="179" t="str">
        <f t="shared" si="53"/>
        <v>Tidak Tercapai</v>
      </c>
      <c r="FN13" s="184">
        <v>2000</v>
      </c>
      <c r="FO13" s="184">
        <v>1456</v>
      </c>
      <c r="FP13" s="179" t="str">
        <f t="shared" si="54"/>
        <v>Tidak Tercapai</v>
      </c>
      <c r="FQ13" s="184">
        <v>606</v>
      </c>
      <c r="FR13" s="184">
        <v>2010</v>
      </c>
      <c r="FS13" s="179" t="str">
        <f t="shared" si="55"/>
        <v>Tidak Tercapai</v>
      </c>
      <c r="FT13" s="184">
        <v>1172</v>
      </c>
      <c r="FU13" s="184">
        <v>6888</v>
      </c>
      <c r="FV13" s="179" t="str">
        <f t="shared" si="56"/>
        <v>Tercapai</v>
      </c>
      <c r="FW13" s="184">
        <v>3487</v>
      </c>
      <c r="FX13" s="184">
        <v>1459</v>
      </c>
      <c r="FY13" s="179" t="str">
        <f t="shared" si="57"/>
        <v>Tidak Tercapai</v>
      </c>
      <c r="FZ13" s="184">
        <v>2163</v>
      </c>
      <c r="GA13" s="184">
        <v>2788</v>
      </c>
      <c r="GB13" s="179" t="str">
        <f t="shared" si="58"/>
        <v>Tidak Tercapai</v>
      </c>
      <c r="GC13" s="184">
        <v>1842</v>
      </c>
      <c r="GD13" s="184">
        <v>1740</v>
      </c>
      <c r="GE13" s="179" t="str">
        <f t="shared" si="59"/>
        <v>Tidak Tercapai</v>
      </c>
      <c r="GF13" s="184">
        <v>1279</v>
      </c>
      <c r="GG13" s="184">
        <v>876</v>
      </c>
      <c r="GH13" s="179" t="str">
        <f t="shared" si="60"/>
        <v>Tidak Tercapai</v>
      </c>
      <c r="GI13" s="184">
        <v>438</v>
      </c>
      <c r="GJ13" s="184">
        <v>2430</v>
      </c>
      <c r="GK13" s="179" t="str">
        <f t="shared" si="61"/>
        <v>Tidak Tercapai</v>
      </c>
      <c r="GL13" s="184">
        <v>3164</v>
      </c>
      <c r="GM13" s="184">
        <v>2839</v>
      </c>
      <c r="GN13" s="179" t="str">
        <f t="shared" si="62"/>
        <v>Tidak Tercapai</v>
      </c>
      <c r="GO13" s="184">
        <v>3313</v>
      </c>
      <c r="GP13" s="184">
        <v>1439</v>
      </c>
      <c r="GQ13" s="179" t="str">
        <f t="shared" si="63"/>
        <v>Tidak Tercapai</v>
      </c>
      <c r="GR13" s="184">
        <v>215</v>
      </c>
      <c r="GS13" s="184">
        <v>1255</v>
      </c>
      <c r="GT13" s="179" t="str">
        <f t="shared" si="64"/>
        <v>Tidak Tercapai</v>
      </c>
      <c r="GU13" s="184">
        <v>308</v>
      </c>
      <c r="GV13" s="184">
        <v>2268</v>
      </c>
      <c r="GW13" s="179" t="str">
        <f t="shared" si="65"/>
        <v>Tidak Tercapai</v>
      </c>
      <c r="GX13" s="184">
        <v>2598</v>
      </c>
      <c r="GY13" s="184">
        <v>1050</v>
      </c>
      <c r="GZ13" s="179" t="str">
        <f t="shared" si="66"/>
        <v>Tidak Tercapai</v>
      </c>
      <c r="HA13" s="184">
        <v>196</v>
      </c>
      <c r="HB13" s="184">
        <v>1015</v>
      </c>
      <c r="HC13" s="179" t="str">
        <f t="shared" si="67"/>
        <v>Tidak Tercapai</v>
      </c>
      <c r="HD13" s="184">
        <v>2023</v>
      </c>
      <c r="HE13" s="184">
        <v>868</v>
      </c>
      <c r="HF13" s="179" t="str">
        <f t="shared" si="68"/>
        <v>Tidak Tercapai</v>
      </c>
      <c r="HG13" s="184">
        <v>1833</v>
      </c>
      <c r="HH13" s="184">
        <v>738</v>
      </c>
      <c r="HI13" s="179" t="str">
        <f t="shared" si="69"/>
        <v>Tidak Tercapai</v>
      </c>
      <c r="HJ13" s="184">
        <v>1899</v>
      </c>
      <c r="HK13" s="184">
        <v>627</v>
      </c>
      <c r="HL13" s="179" t="str">
        <f t="shared" si="70"/>
        <v>Tidak Tercapai</v>
      </c>
      <c r="HM13" s="184">
        <v>1590</v>
      </c>
      <c r="HN13" s="184">
        <v>275</v>
      </c>
      <c r="HO13" s="179" t="str">
        <f t="shared" si="71"/>
        <v>Tidak Tercapai</v>
      </c>
      <c r="HP13" s="184">
        <v>1122</v>
      </c>
      <c r="HQ13" s="184">
        <v>857</v>
      </c>
      <c r="HR13" s="179" t="str">
        <f t="shared" si="72"/>
        <v>Tidak Tercapai</v>
      </c>
      <c r="HS13" s="184">
        <v>1916</v>
      </c>
      <c r="HT13" s="184">
        <v>886</v>
      </c>
      <c r="HU13" s="179" t="str">
        <f t="shared" si="73"/>
        <v>Tidak Tercapai</v>
      </c>
      <c r="HV13" s="184">
        <v>2505</v>
      </c>
      <c r="HW13" s="184">
        <v>807</v>
      </c>
      <c r="HX13" s="179" t="str">
        <f t="shared" si="74"/>
        <v>Tidak Tercapai</v>
      </c>
      <c r="HY13" s="184">
        <v>2649</v>
      </c>
      <c r="HZ13" s="184">
        <v>668</v>
      </c>
      <c r="IA13" s="179" t="str">
        <f t="shared" si="75"/>
        <v>Tidak Tercapai</v>
      </c>
      <c r="IB13" s="184">
        <v>2753</v>
      </c>
      <c r="IC13" s="184">
        <v>1441</v>
      </c>
      <c r="ID13" s="179" t="str">
        <f t="shared" si="76"/>
        <v>Tidak Tercapai</v>
      </c>
      <c r="IE13" s="184">
        <v>3081</v>
      </c>
      <c r="IF13" s="184">
        <v>57</v>
      </c>
      <c r="IG13" s="179" t="str">
        <f t="shared" si="77"/>
        <v>Tidak Tercapai</v>
      </c>
      <c r="IH13" s="184">
        <v>53</v>
      </c>
      <c r="II13" s="184">
        <v>0</v>
      </c>
      <c r="IJ13" s="179" t="str">
        <f t="shared" si="78"/>
        <v>Tidak Tercapai</v>
      </c>
      <c r="IK13" s="184">
        <v>1</v>
      </c>
      <c r="IL13" s="42"/>
      <c r="IM13" s="42"/>
      <c r="IN13" s="42"/>
      <c r="IO13" s="42"/>
      <c r="IP13" s="42"/>
      <c r="IQ13" s="42"/>
      <c r="IR13" s="42"/>
      <c r="IS13" s="42"/>
      <c r="IT13" s="42"/>
      <c r="IU13" s="42"/>
      <c r="IV13" s="42"/>
    </row>
    <row r="14" spans="1:256" ht="15.6" x14ac:dyDescent="0.3">
      <c r="A14" s="167">
        <v>12</v>
      </c>
      <c r="B14" s="168" t="s">
        <v>471</v>
      </c>
      <c r="C14" s="167" t="s">
        <v>456</v>
      </c>
      <c r="D14" s="169">
        <v>252661</v>
      </c>
      <c r="E14" s="167">
        <v>2939</v>
      </c>
      <c r="F14" s="187">
        <v>52251</v>
      </c>
      <c r="G14" s="171" t="s">
        <v>457</v>
      </c>
      <c r="H14" s="187">
        <v>36077</v>
      </c>
      <c r="I14" s="187">
        <v>271</v>
      </c>
      <c r="J14" s="171" t="str">
        <f t="shared" si="0"/>
        <v>Tidak Tercapai</v>
      </c>
      <c r="K14" s="187">
        <v>0</v>
      </c>
      <c r="L14" s="187">
        <v>0</v>
      </c>
      <c r="M14" s="171" t="str">
        <f t="shared" si="1"/>
        <v>Tidak Tercapai</v>
      </c>
      <c r="N14" s="187">
        <v>0</v>
      </c>
      <c r="O14" s="167">
        <v>1175</v>
      </c>
      <c r="P14" s="171" t="str">
        <f t="shared" si="2"/>
        <v>Tidak Tercapai</v>
      </c>
      <c r="Q14" s="172">
        <v>115</v>
      </c>
      <c r="R14" s="167">
        <v>876</v>
      </c>
      <c r="S14" s="173" t="str">
        <f t="shared" si="3"/>
        <v>Tidak Tercapai</v>
      </c>
      <c r="T14" s="172">
        <v>88</v>
      </c>
      <c r="U14" s="174">
        <v>1091</v>
      </c>
      <c r="V14" s="173" t="str">
        <f t="shared" si="4"/>
        <v>Tercapai</v>
      </c>
      <c r="W14" s="175">
        <v>136</v>
      </c>
      <c r="X14" s="188">
        <v>1106</v>
      </c>
      <c r="Y14" s="176" t="str">
        <f t="shared" si="5"/>
        <v>Tidak Tercapai</v>
      </c>
      <c r="Z14" s="177">
        <v>188</v>
      </c>
      <c r="AA14" s="178">
        <v>1157</v>
      </c>
      <c r="AB14" s="179" t="str">
        <f t="shared" si="6"/>
        <v>Tidak Tercapai</v>
      </c>
      <c r="AC14" s="178">
        <v>253</v>
      </c>
      <c r="AD14" s="184">
        <v>138</v>
      </c>
      <c r="AE14" s="179" t="str">
        <f t="shared" si="7"/>
        <v>Tidak Tercapai</v>
      </c>
      <c r="AF14" s="178">
        <v>0</v>
      </c>
      <c r="AG14" s="178">
        <v>33</v>
      </c>
      <c r="AH14" s="179" t="str">
        <f t="shared" si="8"/>
        <v>Tidak Tercapai</v>
      </c>
      <c r="AI14" s="178">
        <v>0</v>
      </c>
      <c r="AJ14" s="184">
        <v>2333</v>
      </c>
      <c r="AK14" s="179" t="str">
        <f t="shared" si="9"/>
        <v>Tidak Tercapai</v>
      </c>
      <c r="AL14" s="184">
        <v>222</v>
      </c>
      <c r="AM14" s="184">
        <v>737</v>
      </c>
      <c r="AN14" s="179" t="str">
        <f t="shared" si="10"/>
        <v>Tidak Tercapai</v>
      </c>
      <c r="AO14" s="184">
        <v>215</v>
      </c>
      <c r="AP14" s="178">
        <v>2557</v>
      </c>
      <c r="AQ14" s="179" t="str">
        <f t="shared" si="11"/>
        <v>Tidak Tercapai</v>
      </c>
      <c r="AR14" s="178">
        <v>53</v>
      </c>
      <c r="AS14" s="178">
        <v>1676</v>
      </c>
      <c r="AT14" s="179" t="str">
        <f t="shared" si="12"/>
        <v>Tidak Tercapai</v>
      </c>
      <c r="AU14" s="178">
        <v>46</v>
      </c>
      <c r="AV14" s="170">
        <v>2030</v>
      </c>
      <c r="AW14" s="179" t="str">
        <f t="shared" si="13"/>
        <v>Tidak Tercapai</v>
      </c>
      <c r="AX14" s="178">
        <v>124</v>
      </c>
      <c r="AY14" s="178">
        <v>898</v>
      </c>
      <c r="AZ14" s="179" t="str">
        <f t="shared" si="14"/>
        <v>Tidak Tercapai</v>
      </c>
      <c r="BA14" s="178">
        <v>8</v>
      </c>
      <c r="BB14" s="183">
        <v>892</v>
      </c>
      <c r="BC14" s="179" t="str">
        <f t="shared" si="15"/>
        <v>Tidak Tercapai</v>
      </c>
      <c r="BD14" s="178">
        <v>1</v>
      </c>
      <c r="BE14" s="184">
        <v>3592</v>
      </c>
      <c r="BF14" s="179" t="str">
        <f t="shared" si="16"/>
        <v>Tercapai</v>
      </c>
      <c r="BG14" s="170">
        <v>154</v>
      </c>
      <c r="BH14" s="184">
        <v>3710</v>
      </c>
      <c r="BI14" s="179" t="str">
        <f t="shared" si="17"/>
        <v>Tercapai</v>
      </c>
      <c r="BJ14" s="184">
        <v>64</v>
      </c>
      <c r="BK14" s="184">
        <v>3508</v>
      </c>
      <c r="BL14" s="179" t="str">
        <f t="shared" si="18"/>
        <v>Tercapai</v>
      </c>
      <c r="BM14" s="184">
        <v>97</v>
      </c>
      <c r="BN14" s="184">
        <v>2831</v>
      </c>
      <c r="BO14" s="179" t="str">
        <f t="shared" si="19"/>
        <v>Tidak Tercapai</v>
      </c>
      <c r="BP14" s="184">
        <v>78</v>
      </c>
      <c r="BQ14" s="184">
        <v>1282</v>
      </c>
      <c r="BR14" s="179" t="str">
        <f t="shared" si="20"/>
        <v>Tidak Tercapai</v>
      </c>
      <c r="BS14" s="184">
        <v>63</v>
      </c>
      <c r="BT14" s="184">
        <v>2737</v>
      </c>
      <c r="BU14" s="179" t="str">
        <f t="shared" si="21"/>
        <v>Tidak Tercapai</v>
      </c>
      <c r="BV14" s="185">
        <v>38.073999999999998</v>
      </c>
      <c r="BW14" s="184">
        <v>832</v>
      </c>
      <c r="BX14" s="179" t="str">
        <f t="shared" si="22"/>
        <v>Tidak Tercapai</v>
      </c>
      <c r="BY14" s="184">
        <v>1</v>
      </c>
      <c r="BZ14" s="184">
        <v>2225</v>
      </c>
      <c r="CA14" s="179" t="str">
        <f t="shared" si="23"/>
        <v>Tidak Tercapai</v>
      </c>
      <c r="CB14" s="184">
        <v>5979</v>
      </c>
      <c r="CC14" s="184">
        <v>3562</v>
      </c>
      <c r="CD14" s="179" t="str">
        <f t="shared" si="24"/>
        <v>Tercapai</v>
      </c>
      <c r="CE14" s="184">
        <v>157</v>
      </c>
      <c r="CF14" s="184">
        <v>1682</v>
      </c>
      <c r="CG14" s="179" t="str">
        <f t="shared" si="25"/>
        <v>Tidak Tercapai</v>
      </c>
      <c r="CH14" s="184">
        <v>48</v>
      </c>
      <c r="CI14" s="184">
        <v>2029</v>
      </c>
      <c r="CJ14" s="179" t="str">
        <f t="shared" si="26"/>
        <v>Tidak Tercapai</v>
      </c>
      <c r="CK14" s="184">
        <v>128</v>
      </c>
      <c r="CL14" s="184">
        <v>540</v>
      </c>
      <c r="CM14" s="179" t="str">
        <f t="shared" si="27"/>
        <v>Tidak Tercapai</v>
      </c>
      <c r="CN14" s="184">
        <v>70</v>
      </c>
      <c r="CO14" s="184">
        <v>32</v>
      </c>
      <c r="CP14" s="179" t="str">
        <f t="shared" si="28"/>
        <v>Tidak Tercapai</v>
      </c>
      <c r="CQ14" s="184">
        <v>1</v>
      </c>
      <c r="CR14" s="184">
        <v>5</v>
      </c>
      <c r="CS14" s="179" t="str">
        <f t="shared" si="29"/>
        <v>Tidak Tercapai</v>
      </c>
      <c r="CT14" s="184">
        <v>0</v>
      </c>
      <c r="CU14" s="184">
        <v>681</v>
      </c>
      <c r="CV14" s="179" t="str">
        <f t="shared" si="30"/>
        <v>Tidak Tercapai</v>
      </c>
      <c r="CW14" s="184">
        <v>66</v>
      </c>
      <c r="CX14" s="184">
        <v>4407</v>
      </c>
      <c r="CY14" s="179" t="str">
        <f t="shared" si="31"/>
        <v>Tercapai</v>
      </c>
      <c r="CZ14" s="184">
        <v>423</v>
      </c>
      <c r="DA14" s="184">
        <v>1062</v>
      </c>
      <c r="DB14" s="179" t="str">
        <f t="shared" si="32"/>
        <v>Tidak Tercapai</v>
      </c>
      <c r="DC14" s="184">
        <v>181</v>
      </c>
      <c r="DD14" s="184">
        <v>1585</v>
      </c>
      <c r="DE14" s="179" t="str">
        <f t="shared" si="33"/>
        <v>Tidak Tercapai</v>
      </c>
      <c r="DF14" s="184">
        <v>155</v>
      </c>
      <c r="DG14" s="184">
        <v>1578</v>
      </c>
      <c r="DH14" s="179" t="str">
        <f t="shared" si="34"/>
        <v>Tidak Tercapai</v>
      </c>
      <c r="DI14" s="184">
        <v>217</v>
      </c>
      <c r="DJ14" s="184">
        <v>682</v>
      </c>
      <c r="DK14" s="179" t="str">
        <f t="shared" si="35"/>
        <v>Tidak Tercapai</v>
      </c>
      <c r="DL14" s="184">
        <v>13</v>
      </c>
      <c r="DM14" s="184">
        <v>196</v>
      </c>
      <c r="DN14" s="179" t="str">
        <f t="shared" si="36"/>
        <v>Tidak Tercapai</v>
      </c>
      <c r="DO14" s="184">
        <v>0</v>
      </c>
      <c r="DP14" s="184">
        <v>1292</v>
      </c>
      <c r="DQ14" s="179" t="str">
        <f t="shared" si="37"/>
        <v>Tidak Tercapai</v>
      </c>
      <c r="DR14" s="184">
        <v>174</v>
      </c>
      <c r="DS14" s="184">
        <v>14</v>
      </c>
      <c r="DT14" s="179" t="str">
        <f t="shared" si="38"/>
        <v>Tidak Tercapai</v>
      </c>
      <c r="DU14" s="184">
        <v>3</v>
      </c>
      <c r="DV14" s="184">
        <v>942</v>
      </c>
      <c r="DW14" s="179" t="str">
        <f t="shared" si="39"/>
        <v>Tidak Tercapai</v>
      </c>
      <c r="DX14" s="184">
        <v>292</v>
      </c>
      <c r="DY14" s="184">
        <v>1075</v>
      </c>
      <c r="DZ14" s="179" t="str">
        <f t="shared" si="40"/>
        <v>Tidak Tercapai</v>
      </c>
      <c r="EA14" s="184">
        <v>459</v>
      </c>
      <c r="EB14" s="184">
        <v>1164</v>
      </c>
      <c r="EC14" s="179" t="str">
        <f t="shared" si="41"/>
        <v>Tidak Tercapai</v>
      </c>
      <c r="ED14" s="184">
        <v>797</v>
      </c>
      <c r="EE14" s="184">
        <v>589</v>
      </c>
      <c r="EF14" s="179" t="str">
        <f t="shared" si="42"/>
        <v>Tidak Tercapai</v>
      </c>
      <c r="EG14" s="184">
        <v>376</v>
      </c>
      <c r="EH14" s="184">
        <v>582</v>
      </c>
      <c r="EI14" s="179" t="str">
        <f t="shared" si="43"/>
        <v>Tidak Tercapai</v>
      </c>
      <c r="EJ14" s="184">
        <v>568</v>
      </c>
      <c r="EK14" s="184">
        <v>1411</v>
      </c>
      <c r="EL14" s="179" t="str">
        <f t="shared" si="44"/>
        <v>Tidak Tercapai</v>
      </c>
      <c r="EM14" s="184">
        <v>1465</v>
      </c>
      <c r="EN14" s="184">
        <v>1321</v>
      </c>
      <c r="EO14" s="179" t="str">
        <f t="shared" si="45"/>
        <v>Tidak Tercapai</v>
      </c>
      <c r="EP14" s="184">
        <v>1844</v>
      </c>
      <c r="EQ14" s="184">
        <v>1345</v>
      </c>
      <c r="ER14" s="179" t="str">
        <f t="shared" si="46"/>
        <v>Tidak Tercapai</v>
      </c>
      <c r="ES14" s="178">
        <v>2152</v>
      </c>
      <c r="ET14" s="184">
        <v>1659</v>
      </c>
      <c r="EU14" s="179" t="str">
        <f t="shared" si="47"/>
        <v>Tidak Tercapai</v>
      </c>
      <c r="EV14" s="184">
        <v>3034</v>
      </c>
      <c r="EW14" s="184">
        <v>1541</v>
      </c>
      <c r="EX14" s="179" t="str">
        <f t="shared" si="48"/>
        <v>Tidak Tercapai</v>
      </c>
      <c r="EY14" s="184">
        <v>3199</v>
      </c>
      <c r="EZ14" s="184">
        <v>881</v>
      </c>
      <c r="FA14" s="179" t="str">
        <f t="shared" si="49"/>
        <v>Tidak Tercapai</v>
      </c>
      <c r="FB14" s="184">
        <v>2025</v>
      </c>
      <c r="FC14" s="184">
        <v>1325</v>
      </c>
      <c r="FD14" s="179" t="str">
        <f t="shared" si="50"/>
        <v>Tidak Tercapai</v>
      </c>
      <c r="FE14" s="184">
        <v>615</v>
      </c>
      <c r="FF14" s="184">
        <v>2675</v>
      </c>
      <c r="FG14" s="179" t="str">
        <f t="shared" si="51"/>
        <v>Tidak Tercapai</v>
      </c>
      <c r="FH14" s="184">
        <v>2137</v>
      </c>
      <c r="FI14" s="184">
        <v>2517</v>
      </c>
      <c r="FJ14" s="179" t="str">
        <f t="shared" si="52"/>
        <v>Tidak Tercapai</v>
      </c>
      <c r="FK14" s="184">
        <v>1898</v>
      </c>
      <c r="FL14" s="186">
        <v>812</v>
      </c>
      <c r="FM14" s="179" t="str">
        <f t="shared" si="53"/>
        <v>Tidak Tercapai</v>
      </c>
      <c r="FN14" s="184">
        <v>1845</v>
      </c>
      <c r="FO14" s="184">
        <v>1640</v>
      </c>
      <c r="FP14" s="179" t="str">
        <f t="shared" si="54"/>
        <v>Tidak Tercapai</v>
      </c>
      <c r="FQ14" s="184">
        <v>752</v>
      </c>
      <c r="FR14" s="184">
        <v>1446</v>
      </c>
      <c r="FS14" s="179" t="str">
        <f t="shared" si="55"/>
        <v>Tidak Tercapai</v>
      </c>
      <c r="FT14" s="184">
        <v>1091</v>
      </c>
      <c r="FU14" s="184">
        <v>2747</v>
      </c>
      <c r="FV14" s="179" t="str">
        <f t="shared" si="56"/>
        <v>Tidak Tercapai</v>
      </c>
      <c r="FW14" s="184">
        <v>2674</v>
      </c>
      <c r="FX14" s="184">
        <v>6088</v>
      </c>
      <c r="FY14" s="179" t="str">
        <f t="shared" si="57"/>
        <v>Tercapai</v>
      </c>
      <c r="FZ14" s="184">
        <v>1772</v>
      </c>
      <c r="GA14" s="184">
        <v>3014</v>
      </c>
      <c r="GB14" s="179" t="str">
        <f t="shared" si="58"/>
        <v>Tercapai</v>
      </c>
      <c r="GC14" s="184">
        <v>2267</v>
      </c>
      <c r="GD14" s="184">
        <v>2076</v>
      </c>
      <c r="GE14" s="179" t="str">
        <f t="shared" si="59"/>
        <v>Tidak Tercapai</v>
      </c>
      <c r="GF14" s="184">
        <v>1721</v>
      </c>
      <c r="GG14" s="184">
        <v>1165</v>
      </c>
      <c r="GH14" s="179" t="str">
        <f t="shared" si="60"/>
        <v>Tidak Tercapai</v>
      </c>
      <c r="GI14" s="184">
        <v>392</v>
      </c>
      <c r="GJ14" s="184">
        <v>2164</v>
      </c>
      <c r="GK14" s="179" t="str">
        <f t="shared" si="61"/>
        <v>Tidak Tercapai</v>
      </c>
      <c r="GL14" s="184">
        <v>2952</v>
      </c>
      <c r="GM14" s="184">
        <v>2332</v>
      </c>
      <c r="GN14" s="179" t="str">
        <f t="shared" si="62"/>
        <v>Tidak Tercapai</v>
      </c>
      <c r="GO14" s="184">
        <v>2778</v>
      </c>
      <c r="GP14" s="184">
        <v>1776</v>
      </c>
      <c r="GQ14" s="179" t="str">
        <f t="shared" si="63"/>
        <v>Tidak Tercapai</v>
      </c>
      <c r="GR14" s="184">
        <v>445</v>
      </c>
      <c r="GS14" s="184">
        <v>790</v>
      </c>
      <c r="GT14" s="179" t="str">
        <f t="shared" si="64"/>
        <v>Tidak Tercapai</v>
      </c>
      <c r="GU14" s="184">
        <v>97</v>
      </c>
      <c r="GV14" s="184">
        <v>3188</v>
      </c>
      <c r="GW14" s="179" t="str">
        <f t="shared" si="65"/>
        <v>Tercapai</v>
      </c>
      <c r="GX14" s="184">
        <v>2165</v>
      </c>
      <c r="GY14" s="184">
        <v>1174</v>
      </c>
      <c r="GZ14" s="179" t="str">
        <f t="shared" si="66"/>
        <v>Tidak Tercapai</v>
      </c>
      <c r="HA14" s="184">
        <v>182</v>
      </c>
      <c r="HB14" s="184">
        <v>1536</v>
      </c>
      <c r="HC14" s="179" t="str">
        <f t="shared" si="67"/>
        <v>Tidak Tercapai</v>
      </c>
      <c r="HD14" s="184">
        <v>1712</v>
      </c>
      <c r="HE14" s="184">
        <v>1018</v>
      </c>
      <c r="HF14" s="179" t="str">
        <f t="shared" si="68"/>
        <v>Tidak Tercapai</v>
      </c>
      <c r="HG14" s="184">
        <v>1719</v>
      </c>
      <c r="HH14" s="184">
        <v>830</v>
      </c>
      <c r="HI14" s="179" t="str">
        <f t="shared" si="69"/>
        <v>Tidak Tercapai</v>
      </c>
      <c r="HJ14" s="184">
        <v>1089</v>
      </c>
      <c r="HK14" s="184">
        <v>1046</v>
      </c>
      <c r="HL14" s="179" t="str">
        <f t="shared" si="70"/>
        <v>Tidak Tercapai</v>
      </c>
      <c r="HM14" s="184">
        <v>917</v>
      </c>
      <c r="HN14" s="184">
        <v>501</v>
      </c>
      <c r="HO14" s="179" t="str">
        <f t="shared" si="71"/>
        <v>Tidak Tercapai</v>
      </c>
      <c r="HP14" s="184">
        <v>39</v>
      </c>
      <c r="HQ14" s="184">
        <v>981</v>
      </c>
      <c r="HR14" s="179" t="str">
        <f t="shared" si="72"/>
        <v>Tidak Tercapai</v>
      </c>
      <c r="HS14" s="184">
        <v>1623</v>
      </c>
      <c r="HT14" s="184">
        <v>932</v>
      </c>
      <c r="HU14" s="179" t="str">
        <f t="shared" si="73"/>
        <v>Tidak Tercapai</v>
      </c>
      <c r="HV14" s="184">
        <v>1833</v>
      </c>
      <c r="HW14" s="184">
        <v>1245</v>
      </c>
      <c r="HX14" s="179" t="str">
        <f t="shared" si="74"/>
        <v>Tidak Tercapai</v>
      </c>
      <c r="HY14" s="184">
        <v>1954</v>
      </c>
      <c r="HZ14" s="184">
        <v>893</v>
      </c>
      <c r="IA14" s="179" t="str">
        <f t="shared" si="75"/>
        <v>Tidak Tercapai</v>
      </c>
      <c r="IB14" s="184">
        <v>2316</v>
      </c>
      <c r="IC14" s="184">
        <v>1312</v>
      </c>
      <c r="ID14" s="179" t="str">
        <f t="shared" si="76"/>
        <v>Tidak Tercapai</v>
      </c>
      <c r="IE14" s="184">
        <v>4407</v>
      </c>
      <c r="IF14" s="184">
        <v>36</v>
      </c>
      <c r="IG14" s="179" t="str">
        <f t="shared" si="77"/>
        <v>Tidak Tercapai</v>
      </c>
      <c r="IH14" s="184">
        <v>234</v>
      </c>
      <c r="II14" s="184">
        <v>17</v>
      </c>
      <c r="IJ14" s="179" t="str">
        <f t="shared" si="78"/>
        <v>Tidak Tercapai</v>
      </c>
      <c r="IK14" s="184">
        <v>10</v>
      </c>
      <c r="IL14" s="42"/>
      <c r="IM14" s="42"/>
      <c r="IN14" s="42"/>
      <c r="IO14" s="42"/>
      <c r="IP14" s="42"/>
      <c r="IQ14" s="42"/>
      <c r="IR14" s="42"/>
      <c r="IS14" s="42"/>
      <c r="IT14" s="42"/>
      <c r="IU14" s="42"/>
      <c r="IV14" s="42"/>
    </row>
    <row r="15" spans="1:256" ht="15.6" x14ac:dyDescent="0.3">
      <c r="A15" s="167">
        <v>13</v>
      </c>
      <c r="B15" s="168" t="s">
        <v>472</v>
      </c>
      <c r="C15" s="167" t="s">
        <v>466</v>
      </c>
      <c r="D15" s="169">
        <v>266638</v>
      </c>
      <c r="E15" s="167">
        <v>2937</v>
      </c>
      <c r="F15" s="187">
        <v>43323</v>
      </c>
      <c r="G15" s="171" t="s">
        <v>457</v>
      </c>
      <c r="H15" s="187">
        <v>27425</v>
      </c>
      <c r="I15" s="187">
        <v>107</v>
      </c>
      <c r="J15" s="171" t="str">
        <f t="shared" si="0"/>
        <v>Tidak Tercapai</v>
      </c>
      <c r="K15" s="187">
        <v>25</v>
      </c>
      <c r="L15" s="187">
        <v>5</v>
      </c>
      <c r="M15" s="171" t="str">
        <f t="shared" si="1"/>
        <v>Tidak Tercapai</v>
      </c>
      <c r="N15" s="187">
        <v>5</v>
      </c>
      <c r="O15" s="167">
        <v>1308</v>
      </c>
      <c r="P15" s="171" t="str">
        <f t="shared" si="2"/>
        <v>Tidak Tercapai</v>
      </c>
      <c r="Q15" s="172">
        <v>49</v>
      </c>
      <c r="R15" s="167">
        <v>1397</v>
      </c>
      <c r="S15" s="173" t="str">
        <f t="shared" si="3"/>
        <v>Tidak Tercapai</v>
      </c>
      <c r="T15" s="172">
        <v>48</v>
      </c>
      <c r="U15" s="174">
        <v>1594</v>
      </c>
      <c r="V15" s="173" t="str">
        <f t="shared" si="4"/>
        <v>Tercapai</v>
      </c>
      <c r="W15" s="175">
        <v>42</v>
      </c>
      <c r="X15" s="188">
        <v>1617</v>
      </c>
      <c r="Y15" s="176" t="str">
        <f t="shared" si="5"/>
        <v>Tidak Tercapai</v>
      </c>
      <c r="Z15" s="177">
        <v>42</v>
      </c>
      <c r="AA15" s="178">
        <v>2174</v>
      </c>
      <c r="AB15" s="179" t="str">
        <f t="shared" si="6"/>
        <v>Tidak Tercapai</v>
      </c>
      <c r="AC15" s="178">
        <v>68</v>
      </c>
      <c r="AD15" s="184">
        <v>173</v>
      </c>
      <c r="AE15" s="179" t="str">
        <f t="shared" si="7"/>
        <v>Tidak Tercapai</v>
      </c>
      <c r="AF15" s="178">
        <v>33</v>
      </c>
      <c r="AG15" s="178">
        <v>2</v>
      </c>
      <c r="AH15" s="179" t="str">
        <f t="shared" si="8"/>
        <v>Tidak Tercapai</v>
      </c>
      <c r="AI15" s="178">
        <v>0</v>
      </c>
      <c r="AJ15" s="184">
        <v>2105</v>
      </c>
      <c r="AK15" s="179" t="str">
        <f t="shared" si="9"/>
        <v>Tidak Tercapai</v>
      </c>
      <c r="AL15" s="184">
        <v>61</v>
      </c>
      <c r="AM15" s="184">
        <v>2942</v>
      </c>
      <c r="AN15" s="179" t="str">
        <f t="shared" si="10"/>
        <v>Tercapai</v>
      </c>
      <c r="AO15" s="184">
        <v>63</v>
      </c>
      <c r="AP15" s="178">
        <v>3633</v>
      </c>
      <c r="AQ15" s="179" t="str">
        <f t="shared" si="11"/>
        <v>Tercapai</v>
      </c>
      <c r="AR15" s="178">
        <v>37</v>
      </c>
      <c r="AS15" s="178">
        <v>3811</v>
      </c>
      <c r="AT15" s="179" t="str">
        <f t="shared" si="12"/>
        <v>Tercapai</v>
      </c>
      <c r="AU15" s="178">
        <v>242</v>
      </c>
      <c r="AV15" s="170">
        <v>3020</v>
      </c>
      <c r="AW15" s="179" t="str">
        <f t="shared" si="13"/>
        <v>Tercapai</v>
      </c>
      <c r="AX15" s="178">
        <v>66</v>
      </c>
      <c r="AY15" s="178">
        <v>606</v>
      </c>
      <c r="AZ15" s="179" t="str">
        <f t="shared" si="14"/>
        <v>Tidak Tercapai</v>
      </c>
      <c r="BA15" s="178">
        <v>8</v>
      </c>
      <c r="BB15" s="183">
        <v>151</v>
      </c>
      <c r="BC15" s="179" t="str">
        <f t="shared" si="15"/>
        <v>Tidak Tercapai</v>
      </c>
      <c r="BD15" s="178">
        <v>7</v>
      </c>
      <c r="BE15" s="184">
        <v>3250</v>
      </c>
      <c r="BF15" s="179" t="str">
        <f t="shared" si="16"/>
        <v>Tercapai</v>
      </c>
      <c r="BG15" s="170">
        <v>62</v>
      </c>
      <c r="BH15" s="184">
        <v>2894</v>
      </c>
      <c r="BI15" s="179" t="str">
        <f t="shared" si="17"/>
        <v>Tidak Tercapai</v>
      </c>
      <c r="BJ15" s="184">
        <v>32</v>
      </c>
      <c r="BK15" s="184">
        <v>2595</v>
      </c>
      <c r="BL15" s="179" t="str">
        <f t="shared" si="18"/>
        <v>Tidak Tercapai</v>
      </c>
      <c r="BM15" s="184">
        <v>51</v>
      </c>
      <c r="BN15" s="184">
        <v>2252</v>
      </c>
      <c r="BO15" s="179" t="str">
        <f t="shared" si="19"/>
        <v>Tidak Tercapai</v>
      </c>
      <c r="BP15" s="184">
        <v>66</v>
      </c>
      <c r="BQ15" s="184">
        <v>1505</v>
      </c>
      <c r="BR15" s="179" t="str">
        <f t="shared" si="20"/>
        <v>Tidak Tercapai</v>
      </c>
      <c r="BS15" s="184">
        <v>56</v>
      </c>
      <c r="BT15" s="184">
        <v>1565</v>
      </c>
      <c r="BU15" s="179" t="str">
        <f t="shared" si="21"/>
        <v>Tidak Tercapai</v>
      </c>
      <c r="BV15" s="185">
        <v>28.341000000000001</v>
      </c>
      <c r="BW15" s="184">
        <v>9</v>
      </c>
      <c r="BX15" s="179" t="str">
        <f t="shared" si="22"/>
        <v>Tidak Tercapai</v>
      </c>
      <c r="BY15" s="184">
        <v>0</v>
      </c>
      <c r="BZ15" s="184">
        <v>1537</v>
      </c>
      <c r="CA15" s="179" t="str">
        <f t="shared" si="23"/>
        <v>Tidak Tercapai</v>
      </c>
      <c r="CB15" s="184">
        <v>1506</v>
      </c>
      <c r="CC15" s="184">
        <v>2731</v>
      </c>
      <c r="CD15" s="179" t="str">
        <f t="shared" si="24"/>
        <v>Tidak Tercapai</v>
      </c>
      <c r="CE15" s="184">
        <v>94</v>
      </c>
      <c r="CF15" s="184">
        <v>1800</v>
      </c>
      <c r="CG15" s="179" t="str">
        <f t="shared" si="25"/>
        <v>Tidak Tercapai</v>
      </c>
      <c r="CH15" s="184">
        <v>35</v>
      </c>
      <c r="CI15" s="184">
        <v>2330</v>
      </c>
      <c r="CJ15" s="179" t="str">
        <f t="shared" si="26"/>
        <v>Tidak Tercapai</v>
      </c>
      <c r="CK15" s="184">
        <v>55</v>
      </c>
      <c r="CL15" s="184">
        <v>742</v>
      </c>
      <c r="CM15" s="179" t="str">
        <f t="shared" si="27"/>
        <v>Tidak Tercapai</v>
      </c>
      <c r="CN15" s="184">
        <v>37</v>
      </c>
      <c r="CO15" s="184">
        <v>6</v>
      </c>
      <c r="CP15" s="179" t="str">
        <f t="shared" si="28"/>
        <v>Tidak Tercapai</v>
      </c>
      <c r="CQ15" s="184">
        <v>1</v>
      </c>
      <c r="CR15" s="184">
        <v>11</v>
      </c>
      <c r="CS15" s="179" t="str">
        <f t="shared" si="29"/>
        <v>Tidak Tercapai</v>
      </c>
      <c r="CT15" s="184">
        <v>0</v>
      </c>
      <c r="CU15" s="184">
        <v>1112</v>
      </c>
      <c r="CV15" s="179" t="str">
        <f t="shared" si="30"/>
        <v>Tidak Tercapai</v>
      </c>
      <c r="CW15" s="184">
        <v>82</v>
      </c>
      <c r="CX15" s="184">
        <v>5057</v>
      </c>
      <c r="CY15" s="179" t="str">
        <f t="shared" si="31"/>
        <v>Tercapai</v>
      </c>
      <c r="CZ15" s="184">
        <v>302</v>
      </c>
      <c r="DA15" s="184">
        <v>3011</v>
      </c>
      <c r="DB15" s="179" t="str">
        <f t="shared" si="32"/>
        <v>Tercapai</v>
      </c>
      <c r="DC15" s="184">
        <v>163</v>
      </c>
      <c r="DD15" s="184">
        <v>3015</v>
      </c>
      <c r="DE15" s="179" t="str">
        <f t="shared" si="33"/>
        <v>Tercapai</v>
      </c>
      <c r="DF15" s="184">
        <v>132</v>
      </c>
      <c r="DG15" s="184">
        <v>3153</v>
      </c>
      <c r="DH15" s="179" t="str">
        <f t="shared" si="34"/>
        <v>Tercapai</v>
      </c>
      <c r="DI15" s="184">
        <v>100</v>
      </c>
      <c r="DJ15" s="184">
        <v>828</v>
      </c>
      <c r="DK15" s="179" t="str">
        <f t="shared" si="35"/>
        <v>Tidak Tercapai</v>
      </c>
      <c r="DL15" s="184">
        <v>58</v>
      </c>
      <c r="DM15" s="184">
        <v>839</v>
      </c>
      <c r="DN15" s="179" t="str">
        <f t="shared" si="36"/>
        <v>Tidak Tercapai</v>
      </c>
      <c r="DO15" s="184">
        <v>0</v>
      </c>
      <c r="DP15" s="184">
        <v>1586</v>
      </c>
      <c r="DQ15" s="179" t="str">
        <f t="shared" si="37"/>
        <v>Tidak Tercapai</v>
      </c>
      <c r="DR15" s="184">
        <v>1557</v>
      </c>
      <c r="DS15" s="184">
        <v>69</v>
      </c>
      <c r="DT15" s="179" t="str">
        <f t="shared" si="38"/>
        <v>Tidak Tercapai</v>
      </c>
      <c r="DU15" s="184">
        <v>13</v>
      </c>
      <c r="DV15" s="184">
        <v>2066</v>
      </c>
      <c r="DW15" s="179" t="str">
        <f t="shared" si="39"/>
        <v>Tidak Tercapai</v>
      </c>
      <c r="DX15" s="184">
        <v>2156</v>
      </c>
      <c r="DY15" s="184">
        <v>2038</v>
      </c>
      <c r="DZ15" s="179" t="str">
        <f t="shared" si="40"/>
        <v>Tidak Tercapai</v>
      </c>
      <c r="EA15" s="184">
        <v>2504</v>
      </c>
      <c r="EB15" s="184">
        <v>2154</v>
      </c>
      <c r="EC15" s="179" t="str">
        <f t="shared" si="41"/>
        <v>Tidak Tercapai</v>
      </c>
      <c r="ED15" s="184">
        <v>2583</v>
      </c>
      <c r="EE15" s="184">
        <v>966</v>
      </c>
      <c r="EF15" s="179" t="str">
        <f t="shared" si="42"/>
        <v>Tidak Tercapai</v>
      </c>
      <c r="EG15" s="184">
        <v>707</v>
      </c>
      <c r="EH15" s="184">
        <v>947</v>
      </c>
      <c r="EI15" s="179" t="str">
        <f t="shared" si="43"/>
        <v>Tidak Tercapai</v>
      </c>
      <c r="EJ15" s="184">
        <v>37</v>
      </c>
      <c r="EK15" s="184">
        <v>1193</v>
      </c>
      <c r="EL15" s="179" t="str">
        <f t="shared" si="44"/>
        <v>Tidak Tercapai</v>
      </c>
      <c r="EM15" s="184">
        <v>2396</v>
      </c>
      <c r="EN15" s="184">
        <v>1371</v>
      </c>
      <c r="EO15" s="179" t="str">
        <f t="shared" si="45"/>
        <v>Tidak Tercapai</v>
      </c>
      <c r="EP15" s="184">
        <v>2194</v>
      </c>
      <c r="EQ15" s="184">
        <v>2147</v>
      </c>
      <c r="ER15" s="179" t="str">
        <f t="shared" si="46"/>
        <v>Tidak Tercapai</v>
      </c>
      <c r="ES15" s="178">
        <v>2631</v>
      </c>
      <c r="ET15" s="184">
        <v>2278</v>
      </c>
      <c r="EU15" s="179" t="str">
        <f t="shared" si="47"/>
        <v>Tidak Tercapai</v>
      </c>
      <c r="EV15" s="184">
        <v>2801</v>
      </c>
      <c r="EW15" s="184">
        <v>2066</v>
      </c>
      <c r="EX15" s="179" t="str">
        <f t="shared" si="48"/>
        <v>Tidak Tercapai</v>
      </c>
      <c r="EY15" s="184">
        <v>2787</v>
      </c>
      <c r="EZ15" s="184">
        <v>1195</v>
      </c>
      <c r="FA15" s="179" t="str">
        <f t="shared" si="49"/>
        <v>Tidak Tercapai</v>
      </c>
      <c r="FB15" s="184">
        <v>574</v>
      </c>
      <c r="FC15" s="184">
        <v>1178</v>
      </c>
      <c r="FD15" s="179" t="str">
        <f t="shared" si="50"/>
        <v>Tidak Tercapai</v>
      </c>
      <c r="FE15" s="184">
        <v>34</v>
      </c>
      <c r="FF15" s="184">
        <v>1696</v>
      </c>
      <c r="FG15" s="179" t="str">
        <f t="shared" si="51"/>
        <v>Tidak Tercapai</v>
      </c>
      <c r="FH15" s="184">
        <v>1860</v>
      </c>
      <c r="FI15" s="184">
        <v>1340</v>
      </c>
      <c r="FJ15" s="179" t="str">
        <f t="shared" si="52"/>
        <v>Tidak Tercapai</v>
      </c>
      <c r="FK15" s="184">
        <v>1919</v>
      </c>
      <c r="FL15" s="186">
        <v>0</v>
      </c>
      <c r="FM15" s="179" t="str">
        <f t="shared" si="53"/>
        <v>Tidak Tercapai</v>
      </c>
      <c r="FN15" s="184">
        <v>1766</v>
      </c>
      <c r="FO15" s="184">
        <v>732</v>
      </c>
      <c r="FP15" s="179" t="str">
        <f t="shared" si="54"/>
        <v>Tidak Tercapai</v>
      </c>
      <c r="FQ15" s="184">
        <v>492</v>
      </c>
      <c r="FR15" s="184">
        <v>948</v>
      </c>
      <c r="FS15" s="179" t="str">
        <f t="shared" si="55"/>
        <v>Tidak Tercapai</v>
      </c>
      <c r="FT15" s="184">
        <v>1339</v>
      </c>
      <c r="FU15" s="184">
        <v>2257</v>
      </c>
      <c r="FV15" s="179" t="str">
        <f t="shared" si="56"/>
        <v>Tidak Tercapai</v>
      </c>
      <c r="FW15" s="184">
        <v>2742</v>
      </c>
      <c r="FX15" s="184">
        <v>1687</v>
      </c>
      <c r="FY15" s="179" t="str">
        <f t="shared" si="57"/>
        <v>Tidak Tercapai</v>
      </c>
      <c r="FZ15" s="184">
        <v>3064</v>
      </c>
      <c r="GA15" s="184">
        <v>939</v>
      </c>
      <c r="GB15" s="179" t="str">
        <f t="shared" si="58"/>
        <v>Tidak Tercapai</v>
      </c>
      <c r="GC15" s="184">
        <v>1822</v>
      </c>
      <c r="GD15" s="184">
        <v>840</v>
      </c>
      <c r="GE15" s="179" t="str">
        <f t="shared" si="59"/>
        <v>Tidak Tercapai</v>
      </c>
      <c r="GF15" s="184">
        <v>1474</v>
      </c>
      <c r="GG15" s="184">
        <v>285</v>
      </c>
      <c r="GH15" s="179" t="str">
        <f t="shared" si="60"/>
        <v>Tidak Tercapai</v>
      </c>
      <c r="GI15" s="184">
        <v>1054</v>
      </c>
      <c r="GJ15" s="184">
        <v>1119</v>
      </c>
      <c r="GK15" s="179" t="str">
        <f t="shared" si="61"/>
        <v>Tidak Tercapai</v>
      </c>
      <c r="GL15" s="184">
        <v>3248</v>
      </c>
      <c r="GM15" s="184">
        <v>1419</v>
      </c>
      <c r="GN15" s="179" t="str">
        <f t="shared" si="62"/>
        <v>Tidak Tercapai</v>
      </c>
      <c r="GO15" s="184">
        <v>2981</v>
      </c>
      <c r="GP15" s="184">
        <v>444</v>
      </c>
      <c r="GQ15" s="179" t="str">
        <f t="shared" si="63"/>
        <v>Tidak Tercapai</v>
      </c>
      <c r="GR15" s="184">
        <v>875</v>
      </c>
      <c r="GS15" s="184">
        <v>2024</v>
      </c>
      <c r="GT15" s="179" t="str">
        <f t="shared" si="64"/>
        <v>Tidak Tercapai</v>
      </c>
      <c r="GU15" s="184">
        <v>926</v>
      </c>
      <c r="GV15" s="184">
        <v>1090</v>
      </c>
      <c r="GW15" s="179" t="str">
        <f t="shared" si="65"/>
        <v>Tidak Tercapai</v>
      </c>
      <c r="GX15" s="184">
        <v>1656</v>
      </c>
      <c r="GY15" s="184">
        <v>149</v>
      </c>
      <c r="GZ15" s="179" t="str">
        <f t="shared" si="66"/>
        <v>Tidak Tercapai</v>
      </c>
      <c r="HA15" s="184">
        <v>114</v>
      </c>
      <c r="HB15" s="184">
        <v>1160</v>
      </c>
      <c r="HC15" s="179" t="str">
        <f t="shared" si="67"/>
        <v>Tidak Tercapai</v>
      </c>
      <c r="HD15" s="184">
        <v>2765</v>
      </c>
      <c r="HE15" s="184">
        <v>1404</v>
      </c>
      <c r="HF15" s="179" t="str">
        <f t="shared" si="68"/>
        <v>Tidak Tercapai</v>
      </c>
      <c r="HG15" s="184">
        <v>2458</v>
      </c>
      <c r="HH15" s="184">
        <v>791</v>
      </c>
      <c r="HI15" s="179" t="str">
        <f t="shared" si="69"/>
        <v>Tidak Tercapai</v>
      </c>
      <c r="HJ15" s="184">
        <v>2660</v>
      </c>
      <c r="HK15" s="184">
        <v>367</v>
      </c>
      <c r="HL15" s="179" t="str">
        <f t="shared" si="70"/>
        <v>Tidak Tercapai</v>
      </c>
      <c r="HM15" s="184">
        <v>962</v>
      </c>
      <c r="HN15" s="184">
        <v>279</v>
      </c>
      <c r="HO15" s="179" t="str">
        <f t="shared" si="71"/>
        <v>Tidak Tercapai</v>
      </c>
      <c r="HP15" s="184">
        <v>762</v>
      </c>
      <c r="HQ15" s="184">
        <v>743</v>
      </c>
      <c r="HR15" s="179" t="str">
        <f t="shared" si="72"/>
        <v>Tidak Tercapai</v>
      </c>
      <c r="HS15" s="184">
        <v>1273</v>
      </c>
      <c r="HT15" s="184">
        <v>827</v>
      </c>
      <c r="HU15" s="179" t="str">
        <f t="shared" si="73"/>
        <v>Tidak Tercapai</v>
      </c>
      <c r="HV15" s="184">
        <v>1180</v>
      </c>
      <c r="HW15" s="184">
        <v>834</v>
      </c>
      <c r="HX15" s="179" t="str">
        <f t="shared" si="74"/>
        <v>Tidak Tercapai</v>
      </c>
      <c r="HY15" s="184">
        <v>2314</v>
      </c>
      <c r="HZ15" s="184">
        <v>617</v>
      </c>
      <c r="IA15" s="179" t="str">
        <f t="shared" si="75"/>
        <v>Tidak Tercapai</v>
      </c>
      <c r="IB15" s="184">
        <v>2605</v>
      </c>
      <c r="IC15" s="184">
        <v>1246</v>
      </c>
      <c r="ID15" s="179" t="str">
        <f t="shared" si="76"/>
        <v>Tidak Tercapai</v>
      </c>
      <c r="IE15" s="184">
        <v>3322</v>
      </c>
      <c r="IF15" s="184">
        <v>107</v>
      </c>
      <c r="IG15" s="179" t="str">
        <f t="shared" si="77"/>
        <v>Tidak Tercapai</v>
      </c>
      <c r="IH15" s="184">
        <v>147</v>
      </c>
      <c r="II15" s="184">
        <v>20</v>
      </c>
      <c r="IJ15" s="179" t="str">
        <f t="shared" si="78"/>
        <v>Tidak Tercapai</v>
      </c>
      <c r="IK15" s="184">
        <v>17</v>
      </c>
      <c r="IL15" s="42"/>
      <c r="IM15" s="42"/>
      <c r="IN15" s="42"/>
      <c r="IO15" s="42"/>
      <c r="IP15" s="42"/>
      <c r="IQ15" s="42"/>
      <c r="IR15" s="42"/>
      <c r="IS15" s="42"/>
      <c r="IT15" s="42"/>
      <c r="IU15" s="42"/>
      <c r="IV15" s="42"/>
    </row>
    <row r="16" spans="1:256" ht="15.6" x14ac:dyDescent="0.3">
      <c r="A16" s="167">
        <v>14</v>
      </c>
      <c r="B16" s="189" t="s">
        <v>473</v>
      </c>
      <c r="C16" s="167" t="s">
        <v>462</v>
      </c>
      <c r="D16" s="169">
        <v>259380</v>
      </c>
      <c r="E16" s="167">
        <v>2860</v>
      </c>
      <c r="F16" s="187">
        <v>90895</v>
      </c>
      <c r="G16" s="171" t="s">
        <v>457</v>
      </c>
      <c r="H16" s="187">
        <v>46467</v>
      </c>
      <c r="I16" s="187">
        <v>994</v>
      </c>
      <c r="J16" s="171" t="str">
        <f t="shared" si="0"/>
        <v>Tidak Tercapai</v>
      </c>
      <c r="K16" s="187">
        <v>1</v>
      </c>
      <c r="L16" s="187">
        <v>0</v>
      </c>
      <c r="M16" s="171" t="str">
        <f t="shared" si="1"/>
        <v>Tidak Tercapai</v>
      </c>
      <c r="N16" s="187">
        <v>0</v>
      </c>
      <c r="O16" s="167">
        <v>3287</v>
      </c>
      <c r="P16" s="171" t="str">
        <f t="shared" si="2"/>
        <v>Tercapai</v>
      </c>
      <c r="Q16" s="172">
        <v>3</v>
      </c>
      <c r="R16" s="167">
        <v>2102</v>
      </c>
      <c r="S16" s="173" t="str">
        <f t="shared" si="3"/>
        <v>Tidak Tercapai</v>
      </c>
      <c r="T16" s="172">
        <v>246</v>
      </c>
      <c r="U16" s="174">
        <v>2463</v>
      </c>
      <c r="V16" s="173" t="str">
        <f t="shared" si="4"/>
        <v>Tercapai</v>
      </c>
      <c r="W16" s="175">
        <v>13</v>
      </c>
      <c r="X16" s="188">
        <v>3189</v>
      </c>
      <c r="Y16" s="176" t="str">
        <f t="shared" si="5"/>
        <v>Tercapai</v>
      </c>
      <c r="Z16" s="177">
        <v>13</v>
      </c>
      <c r="AA16" s="178">
        <v>4701</v>
      </c>
      <c r="AB16" s="179" t="str">
        <f t="shared" si="6"/>
        <v>Tercapai</v>
      </c>
      <c r="AC16" s="178">
        <v>8</v>
      </c>
      <c r="AD16" s="184">
        <v>2632</v>
      </c>
      <c r="AE16" s="179" t="str">
        <f t="shared" si="7"/>
        <v>Tidak Tercapai</v>
      </c>
      <c r="AF16" s="178">
        <v>1</v>
      </c>
      <c r="AG16" s="178">
        <v>793</v>
      </c>
      <c r="AH16" s="179" t="str">
        <f t="shared" si="8"/>
        <v>Tidak Tercapai</v>
      </c>
      <c r="AI16" s="178">
        <v>1</v>
      </c>
      <c r="AJ16" s="184">
        <v>4264</v>
      </c>
      <c r="AK16" s="179" t="str">
        <f t="shared" si="9"/>
        <v>Tercapai</v>
      </c>
      <c r="AL16" s="184">
        <v>1</v>
      </c>
      <c r="AM16" s="184">
        <v>2994</v>
      </c>
      <c r="AN16" s="179" t="str">
        <f t="shared" si="10"/>
        <v>Tercapai</v>
      </c>
      <c r="AO16" s="184">
        <v>23</v>
      </c>
      <c r="AP16" s="178">
        <v>6260</v>
      </c>
      <c r="AQ16" s="179" t="str">
        <f t="shared" si="11"/>
        <v>Tercapai</v>
      </c>
      <c r="AR16" s="178">
        <v>32</v>
      </c>
      <c r="AS16" s="178">
        <v>5834</v>
      </c>
      <c r="AT16" s="179" t="str">
        <f t="shared" si="12"/>
        <v>Tercapai</v>
      </c>
      <c r="AU16" s="178">
        <v>11</v>
      </c>
      <c r="AV16" s="170">
        <v>6244</v>
      </c>
      <c r="AW16" s="179" t="str">
        <f t="shared" si="13"/>
        <v>Tercapai</v>
      </c>
      <c r="AX16" s="178">
        <v>7</v>
      </c>
      <c r="AY16" s="178">
        <v>3643</v>
      </c>
      <c r="AZ16" s="179" t="str">
        <f t="shared" si="14"/>
        <v>Tercapai</v>
      </c>
      <c r="BA16" s="178">
        <v>10</v>
      </c>
      <c r="BB16" s="183">
        <v>348</v>
      </c>
      <c r="BC16" s="179" t="str">
        <f t="shared" si="15"/>
        <v>Tidak Tercapai</v>
      </c>
      <c r="BD16" s="178">
        <v>1</v>
      </c>
      <c r="BE16" s="184">
        <v>4130</v>
      </c>
      <c r="BF16" s="179" t="str">
        <f t="shared" si="16"/>
        <v>Tercapai</v>
      </c>
      <c r="BG16" s="170">
        <v>17</v>
      </c>
      <c r="BH16" s="184">
        <v>4512</v>
      </c>
      <c r="BI16" s="179" t="str">
        <f t="shared" si="17"/>
        <v>Tercapai</v>
      </c>
      <c r="BJ16" s="184">
        <v>18</v>
      </c>
      <c r="BK16" s="184">
        <v>5903</v>
      </c>
      <c r="BL16" s="179" t="str">
        <f t="shared" si="18"/>
        <v>Tercapai</v>
      </c>
      <c r="BM16" s="184">
        <v>44</v>
      </c>
      <c r="BN16" s="184">
        <v>4920</v>
      </c>
      <c r="BO16" s="179" t="str">
        <f t="shared" si="19"/>
        <v>Tercapai</v>
      </c>
      <c r="BP16" s="184">
        <v>14</v>
      </c>
      <c r="BQ16" s="184">
        <v>3144</v>
      </c>
      <c r="BR16" s="179" t="str">
        <f t="shared" si="20"/>
        <v>Tercapai</v>
      </c>
      <c r="BS16" s="184">
        <v>12</v>
      </c>
      <c r="BT16" s="184">
        <v>6444</v>
      </c>
      <c r="BU16" s="179" t="str">
        <f t="shared" si="21"/>
        <v>Tercapai</v>
      </c>
      <c r="BV16" s="185">
        <v>47.003999999999998</v>
      </c>
      <c r="BW16" s="184">
        <v>948</v>
      </c>
      <c r="BX16" s="179" t="str">
        <f t="shared" si="22"/>
        <v>Tidak Tercapai</v>
      </c>
      <c r="BY16" s="184">
        <v>1</v>
      </c>
      <c r="BZ16" s="184">
        <v>2682</v>
      </c>
      <c r="CA16" s="179" t="str">
        <f t="shared" si="23"/>
        <v>Tidak Tercapai</v>
      </c>
      <c r="CB16" s="184">
        <v>1135</v>
      </c>
      <c r="CC16" s="184">
        <v>5112</v>
      </c>
      <c r="CD16" s="179" t="str">
        <f t="shared" si="24"/>
        <v>Tercapai</v>
      </c>
      <c r="CE16" s="184">
        <v>31</v>
      </c>
      <c r="CF16" s="184">
        <v>2556</v>
      </c>
      <c r="CG16" s="179" t="str">
        <f t="shared" si="25"/>
        <v>Tidak Tercapai</v>
      </c>
      <c r="CH16" s="184">
        <v>9</v>
      </c>
      <c r="CI16" s="184">
        <v>2262</v>
      </c>
      <c r="CJ16" s="179" t="str">
        <f t="shared" si="26"/>
        <v>Tidak Tercapai</v>
      </c>
      <c r="CK16" s="184">
        <v>65</v>
      </c>
      <c r="CL16" s="184">
        <v>1333</v>
      </c>
      <c r="CM16" s="179" t="str">
        <f t="shared" si="27"/>
        <v>Tidak Tercapai</v>
      </c>
      <c r="CN16" s="184">
        <v>3</v>
      </c>
      <c r="CO16" s="184">
        <v>2</v>
      </c>
      <c r="CP16" s="179" t="str">
        <f t="shared" si="28"/>
        <v>Tidak Tercapai</v>
      </c>
      <c r="CQ16" s="184">
        <v>0</v>
      </c>
      <c r="CR16" s="184">
        <v>8</v>
      </c>
      <c r="CS16" s="179" t="str">
        <f t="shared" si="29"/>
        <v>Tidak Tercapai</v>
      </c>
      <c r="CT16" s="184">
        <v>1</v>
      </c>
      <c r="CU16" s="184">
        <v>1118</v>
      </c>
      <c r="CV16" s="179" t="str">
        <f t="shared" si="30"/>
        <v>Tidak Tercapai</v>
      </c>
      <c r="CW16" s="184">
        <v>17</v>
      </c>
      <c r="CX16" s="184">
        <v>9473</v>
      </c>
      <c r="CY16" s="179" t="str">
        <f t="shared" si="31"/>
        <v>Tercapai</v>
      </c>
      <c r="CZ16" s="184">
        <v>127</v>
      </c>
      <c r="DA16" s="184">
        <v>2863</v>
      </c>
      <c r="DB16" s="179" t="str">
        <f t="shared" si="32"/>
        <v>Tercapai</v>
      </c>
      <c r="DC16" s="184">
        <v>43</v>
      </c>
      <c r="DD16" s="184">
        <v>3200</v>
      </c>
      <c r="DE16" s="179" t="str">
        <f t="shared" si="33"/>
        <v>Tercapai</v>
      </c>
      <c r="DF16" s="184">
        <v>67</v>
      </c>
      <c r="DG16" s="184">
        <v>3180</v>
      </c>
      <c r="DH16" s="179" t="str">
        <f t="shared" si="34"/>
        <v>Tercapai</v>
      </c>
      <c r="DI16" s="184">
        <v>81</v>
      </c>
      <c r="DJ16" s="184">
        <v>247</v>
      </c>
      <c r="DK16" s="179" t="str">
        <f t="shared" si="35"/>
        <v>Tidak Tercapai</v>
      </c>
      <c r="DL16" s="184">
        <v>846</v>
      </c>
      <c r="DM16" s="184">
        <v>553</v>
      </c>
      <c r="DN16" s="179" t="str">
        <f t="shared" si="36"/>
        <v>Tidak Tercapai</v>
      </c>
      <c r="DO16" s="184">
        <v>887</v>
      </c>
      <c r="DP16" s="184">
        <v>1635</v>
      </c>
      <c r="DQ16" s="179" t="str">
        <f t="shared" si="37"/>
        <v>Tidak Tercapai</v>
      </c>
      <c r="DR16" s="184">
        <v>65</v>
      </c>
      <c r="DS16" s="184">
        <v>1</v>
      </c>
      <c r="DT16" s="179" t="str">
        <f t="shared" si="38"/>
        <v>Tidak Tercapai</v>
      </c>
      <c r="DU16" s="184">
        <v>0</v>
      </c>
      <c r="DV16" s="184">
        <v>1840</v>
      </c>
      <c r="DW16" s="179" t="str">
        <f t="shared" si="39"/>
        <v>Tidak Tercapai</v>
      </c>
      <c r="DX16" s="184">
        <v>1532</v>
      </c>
      <c r="DY16" s="184">
        <v>1149</v>
      </c>
      <c r="DZ16" s="179" t="str">
        <f t="shared" si="40"/>
        <v>Tidak Tercapai</v>
      </c>
      <c r="EA16" s="184">
        <v>1398</v>
      </c>
      <c r="EB16" s="184">
        <v>1348</v>
      </c>
      <c r="EC16" s="179" t="str">
        <f t="shared" si="41"/>
        <v>Tidak Tercapai</v>
      </c>
      <c r="ED16" s="184">
        <v>3047</v>
      </c>
      <c r="EE16" s="184">
        <v>377</v>
      </c>
      <c r="EF16" s="179" t="str">
        <f t="shared" si="42"/>
        <v>Tidak Tercapai</v>
      </c>
      <c r="EG16" s="184">
        <v>2502</v>
      </c>
      <c r="EH16" s="184">
        <v>188</v>
      </c>
      <c r="EI16" s="179" t="str">
        <f t="shared" si="43"/>
        <v>Tidak Tercapai</v>
      </c>
      <c r="EJ16" s="184">
        <v>887</v>
      </c>
      <c r="EK16" s="184">
        <v>894</v>
      </c>
      <c r="EL16" s="179" t="str">
        <f t="shared" si="44"/>
        <v>Tidak Tercapai</v>
      </c>
      <c r="EM16" s="184">
        <v>3642</v>
      </c>
      <c r="EN16" s="184">
        <v>1161</v>
      </c>
      <c r="EO16" s="179" t="str">
        <f t="shared" si="45"/>
        <v>Tidak Tercapai</v>
      </c>
      <c r="EP16" s="184">
        <v>3693</v>
      </c>
      <c r="EQ16" s="184">
        <v>1290</v>
      </c>
      <c r="ER16" s="179" t="str">
        <f t="shared" si="46"/>
        <v>Tidak Tercapai</v>
      </c>
      <c r="ES16" s="178">
        <v>4151</v>
      </c>
      <c r="ET16" s="184">
        <v>1576</v>
      </c>
      <c r="EU16" s="179" t="str">
        <f t="shared" si="47"/>
        <v>Tidak Tercapai</v>
      </c>
      <c r="EV16" s="184">
        <v>4854</v>
      </c>
      <c r="EW16" s="184">
        <v>1502</v>
      </c>
      <c r="EX16" s="179" t="str">
        <f t="shared" si="48"/>
        <v>Tidak Tercapai</v>
      </c>
      <c r="EY16" s="184">
        <v>6822</v>
      </c>
      <c r="EZ16" s="184">
        <v>353</v>
      </c>
      <c r="FA16" s="179" t="str">
        <f t="shared" si="49"/>
        <v>Tidak Tercapai</v>
      </c>
      <c r="FB16" s="184">
        <v>1152</v>
      </c>
      <c r="FC16" s="184">
        <v>7</v>
      </c>
      <c r="FD16" s="179" t="str">
        <f t="shared" si="50"/>
        <v>Tidak Tercapai</v>
      </c>
      <c r="FE16" s="184">
        <v>1109</v>
      </c>
      <c r="FF16" s="184">
        <v>1407</v>
      </c>
      <c r="FG16" s="179" t="str">
        <f t="shared" si="51"/>
        <v>Tidak Tercapai</v>
      </c>
      <c r="FH16" s="184">
        <v>2915</v>
      </c>
      <c r="FI16" s="184">
        <v>1044</v>
      </c>
      <c r="FJ16" s="179" t="str">
        <f t="shared" si="52"/>
        <v>Tidak Tercapai</v>
      </c>
      <c r="FK16" s="184">
        <v>3462</v>
      </c>
      <c r="FL16" s="186">
        <v>0</v>
      </c>
      <c r="FM16" s="179" t="str">
        <f t="shared" si="53"/>
        <v>Tidak Tercapai</v>
      </c>
      <c r="FN16" s="184">
        <v>2212</v>
      </c>
      <c r="FO16" s="184">
        <v>811</v>
      </c>
      <c r="FP16" s="179" t="str">
        <f t="shared" si="54"/>
        <v>Tidak Tercapai</v>
      </c>
      <c r="FQ16" s="184">
        <v>522</v>
      </c>
      <c r="FR16" s="184">
        <v>749</v>
      </c>
      <c r="FS16" s="179" t="str">
        <f t="shared" si="55"/>
        <v>Tidak Tercapai</v>
      </c>
      <c r="FT16" s="184">
        <v>1731</v>
      </c>
      <c r="FU16" s="184">
        <v>3085</v>
      </c>
      <c r="FV16" s="179" t="str">
        <f t="shared" si="56"/>
        <v>Tercapai</v>
      </c>
      <c r="FW16" s="184">
        <v>7735</v>
      </c>
      <c r="FX16" s="184">
        <v>5212</v>
      </c>
      <c r="FY16" s="179" t="str">
        <f t="shared" si="57"/>
        <v>Tercapai</v>
      </c>
      <c r="FZ16" s="184">
        <v>2691</v>
      </c>
      <c r="GA16" s="184">
        <v>7780</v>
      </c>
      <c r="GB16" s="179" t="str">
        <f t="shared" si="58"/>
        <v>Tercapai</v>
      </c>
      <c r="GC16" s="184">
        <v>6071</v>
      </c>
      <c r="GD16" s="184">
        <v>887</v>
      </c>
      <c r="GE16" s="179" t="str">
        <f t="shared" si="59"/>
        <v>Tidak Tercapai</v>
      </c>
      <c r="GF16" s="184">
        <v>1973</v>
      </c>
      <c r="GG16" s="184">
        <v>7</v>
      </c>
      <c r="GH16" s="179" t="str">
        <f t="shared" si="60"/>
        <v>Tidak Tercapai</v>
      </c>
      <c r="GI16" s="184">
        <v>20</v>
      </c>
      <c r="GJ16" s="184">
        <v>1376</v>
      </c>
      <c r="GK16" s="179" t="str">
        <f t="shared" si="61"/>
        <v>Tidak Tercapai</v>
      </c>
      <c r="GL16" s="184">
        <v>3422</v>
      </c>
      <c r="GM16" s="184">
        <v>1273</v>
      </c>
      <c r="GN16" s="179" t="str">
        <f t="shared" si="62"/>
        <v>Tidak Tercapai</v>
      </c>
      <c r="GO16" s="184">
        <v>3536</v>
      </c>
      <c r="GP16" s="184">
        <v>831</v>
      </c>
      <c r="GQ16" s="179" t="str">
        <f t="shared" si="63"/>
        <v>Tidak Tercapai</v>
      </c>
      <c r="GR16" s="184">
        <v>1785</v>
      </c>
      <c r="GS16" s="184">
        <v>759</v>
      </c>
      <c r="GT16" s="179" t="str">
        <f t="shared" si="64"/>
        <v>Tidak Tercapai</v>
      </c>
      <c r="GU16" s="184">
        <v>1360</v>
      </c>
      <c r="GV16" s="184">
        <v>1399</v>
      </c>
      <c r="GW16" s="179" t="str">
        <f t="shared" si="65"/>
        <v>Tidak Tercapai</v>
      </c>
      <c r="GX16" s="184">
        <v>3008</v>
      </c>
      <c r="GY16" s="184">
        <v>196</v>
      </c>
      <c r="GZ16" s="179" t="str">
        <f t="shared" si="66"/>
        <v>Tidak Tercapai</v>
      </c>
      <c r="HA16" s="184">
        <v>81</v>
      </c>
      <c r="HB16" s="184">
        <v>994</v>
      </c>
      <c r="HC16" s="179" t="str">
        <f t="shared" si="67"/>
        <v>Tidak Tercapai</v>
      </c>
      <c r="HD16" s="184">
        <v>2890</v>
      </c>
      <c r="HE16" s="184">
        <v>1040</v>
      </c>
      <c r="HF16" s="179" t="str">
        <f t="shared" si="68"/>
        <v>Tidak Tercapai</v>
      </c>
      <c r="HG16" s="184">
        <v>3056</v>
      </c>
      <c r="HH16" s="184">
        <v>545</v>
      </c>
      <c r="HI16" s="179" t="str">
        <f t="shared" si="69"/>
        <v>Tidak Tercapai</v>
      </c>
      <c r="HJ16" s="184">
        <v>429</v>
      </c>
      <c r="HK16" s="184">
        <v>1539</v>
      </c>
      <c r="HL16" s="179" t="str">
        <f t="shared" si="70"/>
        <v>Tidak Tercapai</v>
      </c>
      <c r="HM16" s="184">
        <v>3079</v>
      </c>
      <c r="HN16" s="184">
        <v>330</v>
      </c>
      <c r="HO16" s="179" t="str">
        <f t="shared" si="71"/>
        <v>Tidak Tercapai</v>
      </c>
      <c r="HP16" s="184">
        <v>552</v>
      </c>
      <c r="HQ16" s="184">
        <v>1086</v>
      </c>
      <c r="HR16" s="179" t="str">
        <f t="shared" si="72"/>
        <v>Tidak Tercapai</v>
      </c>
      <c r="HS16" s="184">
        <v>2703</v>
      </c>
      <c r="HT16" s="184">
        <v>864</v>
      </c>
      <c r="HU16" s="179" t="str">
        <f t="shared" si="73"/>
        <v>Tidak Tercapai</v>
      </c>
      <c r="HV16" s="184">
        <v>1399</v>
      </c>
      <c r="HW16" s="184">
        <v>922</v>
      </c>
      <c r="HX16" s="179" t="str">
        <f t="shared" si="74"/>
        <v>Tidak Tercapai</v>
      </c>
      <c r="HY16" s="184">
        <v>3078</v>
      </c>
      <c r="HZ16" s="184">
        <v>1037</v>
      </c>
      <c r="IA16" s="179" t="str">
        <f t="shared" si="75"/>
        <v>Tidak Tercapai</v>
      </c>
      <c r="IB16" s="184">
        <v>4054</v>
      </c>
      <c r="IC16" s="184">
        <v>1615</v>
      </c>
      <c r="ID16" s="179" t="str">
        <f t="shared" si="76"/>
        <v>Tidak Tercapai</v>
      </c>
      <c r="IE16" s="184">
        <v>5216</v>
      </c>
      <c r="IF16" s="184">
        <v>350</v>
      </c>
      <c r="IG16" s="179" t="str">
        <f t="shared" si="77"/>
        <v>Tidak Tercapai</v>
      </c>
      <c r="IH16" s="184">
        <v>185</v>
      </c>
      <c r="II16" s="184">
        <v>18</v>
      </c>
      <c r="IJ16" s="179" t="str">
        <f t="shared" si="78"/>
        <v>Tidak Tercapai</v>
      </c>
      <c r="IK16" s="184">
        <v>2</v>
      </c>
      <c r="IL16" s="42"/>
      <c r="IM16" s="42"/>
      <c r="IN16" s="42"/>
      <c r="IO16" s="42"/>
      <c r="IP16" s="42"/>
      <c r="IQ16" s="42"/>
      <c r="IR16" s="42"/>
      <c r="IS16" s="42"/>
      <c r="IT16" s="42"/>
      <c r="IU16" s="42"/>
      <c r="IV16" s="42"/>
    </row>
    <row r="17" spans="1:256" ht="15.6" x14ac:dyDescent="0.3">
      <c r="A17" s="167">
        <v>15</v>
      </c>
      <c r="B17" s="168" t="s">
        <v>474</v>
      </c>
      <c r="C17" s="167" t="s">
        <v>456</v>
      </c>
      <c r="D17" s="169">
        <v>252861</v>
      </c>
      <c r="E17" s="167">
        <v>2800</v>
      </c>
      <c r="F17" s="187">
        <v>32047</v>
      </c>
      <c r="G17" s="171" t="s">
        <v>457</v>
      </c>
      <c r="H17" s="187">
        <v>20888</v>
      </c>
      <c r="I17" s="187">
        <v>59</v>
      </c>
      <c r="J17" s="171" t="str">
        <f t="shared" si="0"/>
        <v>Tidak Tercapai</v>
      </c>
      <c r="K17" s="187">
        <v>29</v>
      </c>
      <c r="L17" s="187">
        <v>0</v>
      </c>
      <c r="M17" s="171" t="str">
        <f t="shared" si="1"/>
        <v>Tidak Tercapai</v>
      </c>
      <c r="N17" s="187">
        <v>0</v>
      </c>
      <c r="O17" s="167">
        <v>608</v>
      </c>
      <c r="P17" s="171" t="str">
        <f t="shared" si="2"/>
        <v>Tidak Tercapai</v>
      </c>
      <c r="Q17" s="172">
        <v>8</v>
      </c>
      <c r="R17" s="167">
        <v>609</v>
      </c>
      <c r="S17" s="173" t="str">
        <f t="shared" si="3"/>
        <v>Tidak Tercapai</v>
      </c>
      <c r="T17" s="172">
        <v>3</v>
      </c>
      <c r="U17" s="174">
        <v>1192</v>
      </c>
      <c r="V17" s="173" t="str">
        <f t="shared" si="4"/>
        <v>Tercapai</v>
      </c>
      <c r="W17" s="175">
        <v>20</v>
      </c>
      <c r="X17" s="188">
        <v>945</v>
      </c>
      <c r="Y17" s="176" t="str">
        <f t="shared" si="5"/>
        <v>Tidak Tercapai</v>
      </c>
      <c r="Z17" s="177">
        <v>15</v>
      </c>
      <c r="AA17" s="178">
        <v>1618</v>
      </c>
      <c r="AB17" s="179" t="str">
        <f t="shared" si="6"/>
        <v>Tidak Tercapai</v>
      </c>
      <c r="AC17" s="178">
        <v>24</v>
      </c>
      <c r="AD17" s="184">
        <v>698</v>
      </c>
      <c r="AE17" s="179" t="str">
        <f t="shared" si="7"/>
        <v>Tidak Tercapai</v>
      </c>
      <c r="AF17" s="178">
        <v>4</v>
      </c>
      <c r="AG17" s="178">
        <v>473</v>
      </c>
      <c r="AH17" s="179" t="str">
        <f t="shared" si="8"/>
        <v>Tidak Tercapai</v>
      </c>
      <c r="AI17" s="178">
        <v>4</v>
      </c>
      <c r="AJ17" s="184">
        <v>1583</v>
      </c>
      <c r="AK17" s="179" t="str">
        <f t="shared" si="9"/>
        <v>Tidak Tercapai</v>
      </c>
      <c r="AL17" s="184">
        <v>20</v>
      </c>
      <c r="AM17" s="184">
        <v>665</v>
      </c>
      <c r="AN17" s="179" t="str">
        <f t="shared" si="10"/>
        <v>Tidak Tercapai</v>
      </c>
      <c r="AO17" s="184">
        <v>45</v>
      </c>
      <c r="AP17" s="178">
        <v>2680</v>
      </c>
      <c r="AQ17" s="179" t="str">
        <f t="shared" si="11"/>
        <v>Tidak Tercapai</v>
      </c>
      <c r="AR17" s="178">
        <v>11</v>
      </c>
      <c r="AS17" s="178">
        <v>1760</v>
      </c>
      <c r="AT17" s="179" t="str">
        <f t="shared" si="12"/>
        <v>Tidak Tercapai</v>
      </c>
      <c r="AU17" s="178">
        <v>50</v>
      </c>
      <c r="AV17" s="170">
        <v>2143</v>
      </c>
      <c r="AW17" s="179" t="str">
        <f t="shared" si="13"/>
        <v>Tidak Tercapai</v>
      </c>
      <c r="AX17" s="178">
        <v>12</v>
      </c>
      <c r="AY17" s="178">
        <v>761</v>
      </c>
      <c r="AZ17" s="179" t="str">
        <f t="shared" si="14"/>
        <v>Tidak Tercapai</v>
      </c>
      <c r="BA17" s="178">
        <v>5</v>
      </c>
      <c r="BB17" s="183">
        <v>928</v>
      </c>
      <c r="BC17" s="179" t="str">
        <f t="shared" si="15"/>
        <v>Tidak Tercapai</v>
      </c>
      <c r="BD17" s="178">
        <v>7</v>
      </c>
      <c r="BE17" s="184">
        <v>2047</v>
      </c>
      <c r="BF17" s="179" t="str">
        <f t="shared" si="16"/>
        <v>Tidak Tercapai</v>
      </c>
      <c r="BG17" s="170">
        <v>15</v>
      </c>
      <c r="BH17" s="184">
        <v>2123</v>
      </c>
      <c r="BI17" s="179" t="str">
        <f t="shared" si="17"/>
        <v>Tidak Tercapai</v>
      </c>
      <c r="BJ17" s="184">
        <v>20</v>
      </c>
      <c r="BK17" s="184">
        <v>2245</v>
      </c>
      <c r="BL17" s="179" t="str">
        <f t="shared" si="18"/>
        <v>Tidak Tercapai</v>
      </c>
      <c r="BM17" s="184">
        <v>22</v>
      </c>
      <c r="BN17" s="184">
        <v>1795</v>
      </c>
      <c r="BO17" s="179" t="str">
        <f t="shared" si="19"/>
        <v>Tidak Tercapai</v>
      </c>
      <c r="BP17" s="184">
        <v>16</v>
      </c>
      <c r="BQ17" s="184">
        <v>1350</v>
      </c>
      <c r="BR17" s="179" t="str">
        <f t="shared" si="20"/>
        <v>Tidak Tercapai</v>
      </c>
      <c r="BS17" s="184">
        <v>8</v>
      </c>
      <c r="BT17" s="184">
        <v>2186</v>
      </c>
      <c r="BU17" s="179" t="str">
        <f t="shared" si="21"/>
        <v>Tidak Tercapai</v>
      </c>
      <c r="BV17" s="185">
        <v>21.231999999999999</v>
      </c>
      <c r="BW17" s="184">
        <v>86</v>
      </c>
      <c r="BX17" s="179" t="str">
        <f t="shared" si="22"/>
        <v>Tidak Tercapai</v>
      </c>
      <c r="BY17" s="184">
        <v>1</v>
      </c>
      <c r="BZ17" s="184">
        <v>1313</v>
      </c>
      <c r="CA17" s="179" t="str">
        <f t="shared" si="23"/>
        <v>Tidak Tercapai</v>
      </c>
      <c r="CB17" s="184">
        <v>1520</v>
      </c>
      <c r="CC17" s="184">
        <v>2722</v>
      </c>
      <c r="CD17" s="179" t="str">
        <f t="shared" si="24"/>
        <v>Tidak Tercapai</v>
      </c>
      <c r="CE17" s="184">
        <v>28</v>
      </c>
      <c r="CF17" s="184">
        <v>1549</v>
      </c>
      <c r="CG17" s="179" t="str">
        <f t="shared" si="25"/>
        <v>Tidak Tercapai</v>
      </c>
      <c r="CH17" s="184">
        <v>21</v>
      </c>
      <c r="CI17" s="184">
        <v>1405</v>
      </c>
      <c r="CJ17" s="179" t="str">
        <f t="shared" si="26"/>
        <v>Tidak Tercapai</v>
      </c>
      <c r="CK17" s="184">
        <v>94</v>
      </c>
      <c r="CL17" s="184">
        <v>360</v>
      </c>
      <c r="CM17" s="179" t="str">
        <f t="shared" si="27"/>
        <v>Tidak Tercapai</v>
      </c>
      <c r="CN17" s="184">
        <v>4</v>
      </c>
      <c r="CO17" s="184">
        <v>27</v>
      </c>
      <c r="CP17" s="179" t="str">
        <f t="shared" si="28"/>
        <v>Tidak Tercapai</v>
      </c>
      <c r="CQ17" s="184">
        <v>0</v>
      </c>
      <c r="CR17" s="184">
        <v>11</v>
      </c>
      <c r="CS17" s="179" t="str">
        <f t="shared" si="29"/>
        <v>Tidak Tercapai</v>
      </c>
      <c r="CT17" s="184">
        <v>0</v>
      </c>
      <c r="CU17" s="184">
        <v>369</v>
      </c>
      <c r="CV17" s="179" t="str">
        <f t="shared" si="30"/>
        <v>Tidak Tercapai</v>
      </c>
      <c r="CW17" s="184">
        <v>4</v>
      </c>
      <c r="CX17" s="184">
        <v>6877</v>
      </c>
      <c r="CY17" s="179" t="str">
        <f t="shared" si="31"/>
        <v>Tercapai</v>
      </c>
      <c r="CZ17" s="184">
        <v>187</v>
      </c>
      <c r="DA17" s="184">
        <v>1988</v>
      </c>
      <c r="DB17" s="179" t="str">
        <f t="shared" si="32"/>
        <v>Tidak Tercapai</v>
      </c>
      <c r="DC17" s="184">
        <v>61</v>
      </c>
      <c r="DD17" s="184">
        <v>1757</v>
      </c>
      <c r="DE17" s="179" t="str">
        <f t="shared" si="33"/>
        <v>Tidak Tercapai</v>
      </c>
      <c r="DF17" s="184">
        <v>36</v>
      </c>
      <c r="DG17" s="184">
        <v>1890</v>
      </c>
      <c r="DH17" s="179" t="str">
        <f t="shared" si="34"/>
        <v>Tidak Tercapai</v>
      </c>
      <c r="DI17" s="184">
        <v>157</v>
      </c>
      <c r="DJ17" s="184">
        <v>1226</v>
      </c>
      <c r="DK17" s="179" t="str">
        <f t="shared" si="35"/>
        <v>Tidak Tercapai</v>
      </c>
      <c r="DL17" s="184">
        <v>19</v>
      </c>
      <c r="DM17" s="184">
        <v>1137</v>
      </c>
      <c r="DN17" s="179" t="str">
        <f t="shared" si="36"/>
        <v>Tidak Tercapai</v>
      </c>
      <c r="DO17" s="184">
        <v>15</v>
      </c>
      <c r="DP17" s="184">
        <v>1349</v>
      </c>
      <c r="DQ17" s="179" t="str">
        <f t="shared" si="37"/>
        <v>Tidak Tercapai</v>
      </c>
      <c r="DR17" s="184">
        <v>157</v>
      </c>
      <c r="DS17" s="184">
        <v>49</v>
      </c>
      <c r="DT17" s="179" t="str">
        <f t="shared" si="38"/>
        <v>Tidak Tercapai</v>
      </c>
      <c r="DU17" s="184">
        <v>11</v>
      </c>
      <c r="DV17" s="184">
        <v>1489</v>
      </c>
      <c r="DW17" s="179" t="str">
        <f t="shared" si="39"/>
        <v>Tidak Tercapai</v>
      </c>
      <c r="DX17" s="184">
        <v>562</v>
      </c>
      <c r="DY17" s="184">
        <v>1079</v>
      </c>
      <c r="DZ17" s="179" t="str">
        <f t="shared" si="40"/>
        <v>Tidak Tercapai</v>
      </c>
      <c r="EA17" s="184">
        <v>668</v>
      </c>
      <c r="EB17" s="184">
        <v>1226</v>
      </c>
      <c r="EC17" s="179" t="str">
        <f t="shared" si="41"/>
        <v>Tidak Tercapai</v>
      </c>
      <c r="ED17" s="184">
        <v>882</v>
      </c>
      <c r="EE17" s="184">
        <v>923</v>
      </c>
      <c r="EF17" s="179" t="str">
        <f t="shared" si="42"/>
        <v>Tidak Tercapai</v>
      </c>
      <c r="EG17" s="184">
        <v>497</v>
      </c>
      <c r="EH17" s="184">
        <v>1016</v>
      </c>
      <c r="EI17" s="179" t="str">
        <f t="shared" si="43"/>
        <v>Tidak Tercapai</v>
      </c>
      <c r="EJ17" s="184">
        <v>665</v>
      </c>
      <c r="EK17" s="184">
        <v>1277</v>
      </c>
      <c r="EL17" s="179" t="str">
        <f t="shared" si="44"/>
        <v>Tidak Tercapai</v>
      </c>
      <c r="EM17" s="184">
        <v>1300</v>
      </c>
      <c r="EN17" s="184">
        <v>1906</v>
      </c>
      <c r="EO17" s="179" t="str">
        <f t="shared" si="45"/>
        <v>Tidak Tercapai</v>
      </c>
      <c r="EP17" s="184">
        <v>1236</v>
      </c>
      <c r="EQ17" s="184">
        <v>1647</v>
      </c>
      <c r="ER17" s="179" t="str">
        <f t="shared" si="46"/>
        <v>Tidak Tercapai</v>
      </c>
      <c r="ES17" s="178">
        <v>1572</v>
      </c>
      <c r="ET17" s="184">
        <v>1729</v>
      </c>
      <c r="EU17" s="179" t="str">
        <f t="shared" si="47"/>
        <v>Tidak Tercapai</v>
      </c>
      <c r="EV17" s="184">
        <v>1815</v>
      </c>
      <c r="EW17" s="184">
        <v>1683</v>
      </c>
      <c r="EX17" s="179" t="str">
        <f t="shared" si="48"/>
        <v>Tidak Tercapai</v>
      </c>
      <c r="EY17" s="184">
        <v>2169</v>
      </c>
      <c r="EZ17" s="184">
        <v>1061</v>
      </c>
      <c r="FA17" s="179" t="str">
        <f t="shared" si="49"/>
        <v>Tidak Tercapai</v>
      </c>
      <c r="FB17" s="184">
        <v>539</v>
      </c>
      <c r="FC17" s="184">
        <v>1428</v>
      </c>
      <c r="FD17" s="179" t="str">
        <f t="shared" si="50"/>
        <v>Tidak Tercapai</v>
      </c>
      <c r="FE17" s="184">
        <v>164</v>
      </c>
      <c r="FF17" s="184">
        <v>2158</v>
      </c>
      <c r="FG17" s="179" t="str">
        <f t="shared" si="51"/>
        <v>Tidak Tercapai</v>
      </c>
      <c r="FH17" s="184">
        <v>1730</v>
      </c>
      <c r="FI17" s="184">
        <v>1472</v>
      </c>
      <c r="FJ17" s="179" t="str">
        <f t="shared" si="52"/>
        <v>Tidak Tercapai</v>
      </c>
      <c r="FK17" s="184">
        <v>2198</v>
      </c>
      <c r="FL17" s="186">
        <v>1175</v>
      </c>
      <c r="FM17" s="179" t="str">
        <f t="shared" si="53"/>
        <v>Tidak Tercapai</v>
      </c>
      <c r="FN17" s="184">
        <v>1107</v>
      </c>
      <c r="FO17" s="184">
        <v>1037</v>
      </c>
      <c r="FP17" s="179" t="str">
        <f t="shared" si="54"/>
        <v>Tidak Tercapai</v>
      </c>
      <c r="FQ17" s="184">
        <v>367</v>
      </c>
      <c r="FR17" s="184">
        <v>961</v>
      </c>
      <c r="FS17" s="179" t="str">
        <f t="shared" si="55"/>
        <v>Tidak Tercapai</v>
      </c>
      <c r="FT17" s="184">
        <v>725</v>
      </c>
      <c r="FU17" s="184">
        <v>3618</v>
      </c>
      <c r="FV17" s="179" t="str">
        <f t="shared" si="56"/>
        <v>Tercapai</v>
      </c>
      <c r="FW17" s="184">
        <v>3403</v>
      </c>
      <c r="FX17" s="184">
        <v>5583</v>
      </c>
      <c r="FY17" s="179" t="str">
        <f t="shared" si="57"/>
        <v>Tercapai</v>
      </c>
      <c r="FZ17" s="184">
        <v>2390</v>
      </c>
      <c r="GA17" s="184">
        <v>2318</v>
      </c>
      <c r="GB17" s="179" t="str">
        <f t="shared" si="58"/>
        <v>Tidak Tercapai</v>
      </c>
      <c r="GC17" s="184">
        <v>2111</v>
      </c>
      <c r="GD17" s="184">
        <v>2118</v>
      </c>
      <c r="GE17" s="179" t="str">
        <f t="shared" si="59"/>
        <v>Tidak Tercapai</v>
      </c>
      <c r="GF17" s="184">
        <v>1324</v>
      </c>
      <c r="GG17" s="184">
        <v>610</v>
      </c>
      <c r="GH17" s="179" t="str">
        <f t="shared" si="60"/>
        <v>Tidak Tercapai</v>
      </c>
      <c r="GI17" s="184">
        <v>79</v>
      </c>
      <c r="GJ17" s="184">
        <v>1351</v>
      </c>
      <c r="GK17" s="179" t="str">
        <f t="shared" si="61"/>
        <v>Tidak Tercapai</v>
      </c>
      <c r="GL17" s="184">
        <v>1547</v>
      </c>
      <c r="GM17" s="184">
        <v>1885</v>
      </c>
      <c r="GN17" s="179" t="str">
        <f t="shared" si="62"/>
        <v>Tidak Tercapai</v>
      </c>
      <c r="GO17" s="184">
        <v>2040</v>
      </c>
      <c r="GP17" s="184">
        <v>843</v>
      </c>
      <c r="GQ17" s="179" t="str">
        <f t="shared" si="63"/>
        <v>Tidak Tercapai</v>
      </c>
      <c r="GR17" s="184">
        <v>771</v>
      </c>
      <c r="GS17" s="184">
        <v>1055</v>
      </c>
      <c r="GT17" s="179" t="str">
        <f t="shared" si="64"/>
        <v>Tidak Tercapai</v>
      </c>
      <c r="GU17" s="184">
        <v>1328</v>
      </c>
      <c r="GV17" s="184">
        <v>1458</v>
      </c>
      <c r="GW17" s="179" t="str">
        <f t="shared" si="65"/>
        <v>Tidak Tercapai</v>
      </c>
      <c r="GX17" s="184">
        <v>1356</v>
      </c>
      <c r="GY17" s="184">
        <v>490</v>
      </c>
      <c r="GZ17" s="179" t="str">
        <f t="shared" si="66"/>
        <v>Tidak Tercapai</v>
      </c>
      <c r="HA17" s="184">
        <v>199</v>
      </c>
      <c r="HB17" s="184">
        <v>990</v>
      </c>
      <c r="HC17" s="179" t="str">
        <f t="shared" si="67"/>
        <v>Tidak Tercapai</v>
      </c>
      <c r="HD17" s="184">
        <v>1723</v>
      </c>
      <c r="HE17" s="184">
        <v>1496</v>
      </c>
      <c r="HF17" s="179" t="str">
        <f t="shared" si="68"/>
        <v>Tidak Tercapai</v>
      </c>
      <c r="HG17" s="184">
        <v>1734</v>
      </c>
      <c r="HH17" s="184">
        <v>568</v>
      </c>
      <c r="HI17" s="179" t="str">
        <f t="shared" si="69"/>
        <v>Tidak Tercapai</v>
      </c>
      <c r="HJ17" s="184">
        <v>831</v>
      </c>
      <c r="HK17" s="184">
        <v>462</v>
      </c>
      <c r="HL17" s="179" t="str">
        <f t="shared" si="70"/>
        <v>Tidak Tercapai</v>
      </c>
      <c r="HM17" s="184">
        <v>665</v>
      </c>
      <c r="HN17" s="184">
        <v>58</v>
      </c>
      <c r="HO17" s="179" t="str">
        <f t="shared" si="71"/>
        <v>Tidak Tercapai</v>
      </c>
      <c r="HP17" s="184">
        <v>203</v>
      </c>
      <c r="HQ17" s="184">
        <v>847</v>
      </c>
      <c r="HR17" s="179" t="str">
        <f t="shared" si="72"/>
        <v>Tidak Tercapai</v>
      </c>
      <c r="HS17" s="184">
        <v>1227</v>
      </c>
      <c r="HT17" s="184">
        <v>866</v>
      </c>
      <c r="HU17" s="179" t="str">
        <f t="shared" si="73"/>
        <v>Tidak Tercapai</v>
      </c>
      <c r="HV17" s="184">
        <v>1660</v>
      </c>
      <c r="HW17" s="184">
        <v>638</v>
      </c>
      <c r="HX17" s="179" t="str">
        <f t="shared" si="74"/>
        <v>Tidak Tercapai</v>
      </c>
      <c r="HY17" s="184">
        <v>1227</v>
      </c>
      <c r="HZ17" s="184">
        <v>707</v>
      </c>
      <c r="IA17" s="179" t="str">
        <f t="shared" si="75"/>
        <v>Tidak Tercapai</v>
      </c>
      <c r="IB17" s="184">
        <v>1762</v>
      </c>
      <c r="IC17" s="184">
        <v>858</v>
      </c>
      <c r="ID17" s="179" t="str">
        <f t="shared" si="76"/>
        <v>Tidak Tercapai</v>
      </c>
      <c r="IE17" s="184">
        <v>1962</v>
      </c>
      <c r="IF17" s="184">
        <v>90</v>
      </c>
      <c r="IG17" s="179" t="str">
        <f t="shared" si="77"/>
        <v>Tidak Tercapai</v>
      </c>
      <c r="IH17" s="184">
        <v>95</v>
      </c>
      <c r="II17" s="184">
        <v>0</v>
      </c>
      <c r="IJ17" s="179" t="str">
        <f t="shared" si="78"/>
        <v>Tidak Tercapai</v>
      </c>
      <c r="IK17" s="184">
        <v>1</v>
      </c>
      <c r="IL17" s="42"/>
      <c r="IM17" s="42"/>
      <c r="IN17" s="42"/>
      <c r="IO17" s="42"/>
      <c r="IP17" s="42"/>
      <c r="IQ17" s="42"/>
      <c r="IR17" s="42"/>
      <c r="IS17" s="42"/>
      <c r="IT17" s="42"/>
      <c r="IU17" s="42"/>
      <c r="IV17" s="42"/>
    </row>
    <row r="18" spans="1:256" ht="15.6" x14ac:dyDescent="0.3">
      <c r="A18" s="167">
        <v>16</v>
      </c>
      <c r="B18" s="168" t="s">
        <v>475</v>
      </c>
      <c r="C18" s="167" t="s">
        <v>456</v>
      </c>
      <c r="D18" s="169">
        <v>250436</v>
      </c>
      <c r="E18" s="167">
        <v>2779</v>
      </c>
      <c r="F18" s="187">
        <v>48208</v>
      </c>
      <c r="G18" s="171" t="s">
        <v>457</v>
      </c>
      <c r="H18" s="187">
        <v>30966</v>
      </c>
      <c r="I18" s="187">
        <v>0</v>
      </c>
      <c r="J18" s="171" t="str">
        <f t="shared" si="0"/>
        <v>Tidak Tercapai</v>
      </c>
      <c r="K18" s="187">
        <v>1</v>
      </c>
      <c r="L18" s="187">
        <v>0</v>
      </c>
      <c r="M18" s="171" t="str">
        <f t="shared" si="1"/>
        <v>Tidak Tercapai</v>
      </c>
      <c r="N18" s="187">
        <v>0</v>
      </c>
      <c r="O18" s="167">
        <v>736</v>
      </c>
      <c r="P18" s="171" t="str">
        <f t="shared" si="2"/>
        <v>Tidak Tercapai</v>
      </c>
      <c r="Q18" s="172">
        <v>27</v>
      </c>
      <c r="R18" s="167">
        <v>1206</v>
      </c>
      <c r="S18" s="173" t="str">
        <f t="shared" si="3"/>
        <v>Tidak Tercapai</v>
      </c>
      <c r="T18" s="172">
        <v>29</v>
      </c>
      <c r="U18" s="174">
        <v>1257</v>
      </c>
      <c r="V18" s="173" t="str">
        <f t="shared" si="4"/>
        <v>Tercapai</v>
      </c>
      <c r="W18" s="175">
        <v>28</v>
      </c>
      <c r="X18" s="188">
        <v>1214</v>
      </c>
      <c r="Y18" s="176" t="str">
        <f t="shared" si="5"/>
        <v>Tidak Tercapai</v>
      </c>
      <c r="Z18" s="177">
        <v>31</v>
      </c>
      <c r="AA18" s="178">
        <v>1355</v>
      </c>
      <c r="AB18" s="179" t="str">
        <f t="shared" si="6"/>
        <v>Tidak Tercapai</v>
      </c>
      <c r="AC18" s="178">
        <v>47</v>
      </c>
      <c r="AD18" s="184">
        <v>1079</v>
      </c>
      <c r="AE18" s="179" t="str">
        <f t="shared" si="7"/>
        <v>Tidak Tercapai</v>
      </c>
      <c r="AF18" s="178">
        <v>1</v>
      </c>
      <c r="AG18" s="178">
        <v>55</v>
      </c>
      <c r="AH18" s="179" t="str">
        <f t="shared" si="8"/>
        <v>Tidak Tercapai</v>
      </c>
      <c r="AI18" s="178">
        <v>0</v>
      </c>
      <c r="AJ18" s="184">
        <v>2216</v>
      </c>
      <c r="AK18" s="179" t="str">
        <f t="shared" si="9"/>
        <v>Tidak Tercapai</v>
      </c>
      <c r="AL18" s="184">
        <v>70</v>
      </c>
      <c r="AM18" s="184">
        <v>1264</v>
      </c>
      <c r="AN18" s="179" t="str">
        <f t="shared" si="10"/>
        <v>Tidak Tercapai</v>
      </c>
      <c r="AO18" s="184">
        <v>75</v>
      </c>
      <c r="AP18" s="178">
        <v>4571</v>
      </c>
      <c r="AQ18" s="179" t="str">
        <f t="shared" si="11"/>
        <v>Tercapai</v>
      </c>
      <c r="AR18" s="178">
        <v>11</v>
      </c>
      <c r="AS18" s="178">
        <v>3279</v>
      </c>
      <c r="AT18" s="179" t="str">
        <f t="shared" si="12"/>
        <v>Tercapai</v>
      </c>
      <c r="AU18" s="178">
        <v>126</v>
      </c>
      <c r="AV18" s="170">
        <v>3251</v>
      </c>
      <c r="AW18" s="179" t="str">
        <f t="shared" si="13"/>
        <v>Tercapai</v>
      </c>
      <c r="AX18" s="178">
        <v>84</v>
      </c>
      <c r="AY18" s="178">
        <v>436</v>
      </c>
      <c r="AZ18" s="179" t="str">
        <f t="shared" si="14"/>
        <v>Tidak Tercapai</v>
      </c>
      <c r="BA18" s="178">
        <v>2</v>
      </c>
      <c r="BB18" s="183">
        <v>0</v>
      </c>
      <c r="BC18" s="179" t="str">
        <f t="shared" si="15"/>
        <v>Tidak Tercapai</v>
      </c>
      <c r="BD18" s="178">
        <v>0</v>
      </c>
      <c r="BE18" s="184">
        <v>3589</v>
      </c>
      <c r="BF18" s="179" t="str">
        <f t="shared" si="16"/>
        <v>Tercapai</v>
      </c>
      <c r="BG18" s="170">
        <v>29</v>
      </c>
      <c r="BH18" s="184">
        <v>4375</v>
      </c>
      <c r="BI18" s="179" t="str">
        <f t="shared" si="17"/>
        <v>Tercapai</v>
      </c>
      <c r="BJ18" s="184">
        <v>13</v>
      </c>
      <c r="BK18" s="184">
        <v>3996</v>
      </c>
      <c r="BL18" s="179" t="str">
        <f t="shared" si="18"/>
        <v>Tercapai</v>
      </c>
      <c r="BM18" s="184">
        <v>27</v>
      </c>
      <c r="BN18" s="184">
        <v>3304</v>
      </c>
      <c r="BO18" s="179" t="str">
        <f t="shared" si="19"/>
        <v>Tercapai</v>
      </c>
      <c r="BP18" s="184">
        <v>41</v>
      </c>
      <c r="BQ18" s="184">
        <v>2401</v>
      </c>
      <c r="BR18" s="179" t="str">
        <f t="shared" si="20"/>
        <v>Tidak Tercapai</v>
      </c>
      <c r="BS18" s="184">
        <v>75</v>
      </c>
      <c r="BT18" s="184">
        <v>1656</v>
      </c>
      <c r="BU18" s="179" t="str">
        <f t="shared" si="21"/>
        <v>Tidak Tercapai</v>
      </c>
      <c r="BV18" s="185">
        <v>31.616</v>
      </c>
      <c r="BW18" s="184">
        <v>0</v>
      </c>
      <c r="BX18" s="179" t="str">
        <f t="shared" si="22"/>
        <v>Tidak Tercapai</v>
      </c>
      <c r="BY18" s="184">
        <v>0</v>
      </c>
      <c r="BZ18" s="184">
        <v>1693</v>
      </c>
      <c r="CA18" s="179" t="str">
        <f t="shared" si="23"/>
        <v>Tidak Tercapai</v>
      </c>
      <c r="CB18" s="184">
        <v>3265</v>
      </c>
      <c r="CC18" s="184">
        <v>3503</v>
      </c>
      <c r="CD18" s="179" t="str">
        <f t="shared" si="24"/>
        <v>Tercapai</v>
      </c>
      <c r="CE18" s="184">
        <v>84</v>
      </c>
      <c r="CF18" s="184">
        <v>1831</v>
      </c>
      <c r="CG18" s="179" t="str">
        <f t="shared" si="25"/>
        <v>Tidak Tercapai</v>
      </c>
      <c r="CH18" s="184">
        <v>30</v>
      </c>
      <c r="CI18" s="184">
        <v>2830</v>
      </c>
      <c r="CJ18" s="179" t="str">
        <f t="shared" si="26"/>
        <v>Tercapai</v>
      </c>
      <c r="CK18" s="184">
        <v>50</v>
      </c>
      <c r="CL18" s="184">
        <v>388</v>
      </c>
      <c r="CM18" s="179" t="str">
        <f t="shared" si="27"/>
        <v>Tidak Tercapai</v>
      </c>
      <c r="CN18" s="184">
        <v>24</v>
      </c>
      <c r="CO18" s="184">
        <v>1</v>
      </c>
      <c r="CP18" s="179" t="str">
        <f t="shared" si="28"/>
        <v>Tidak Tercapai</v>
      </c>
      <c r="CQ18" s="184">
        <v>0</v>
      </c>
      <c r="CR18" s="184">
        <v>0</v>
      </c>
      <c r="CS18" s="179" t="str">
        <f t="shared" si="29"/>
        <v>Tidak Tercapai</v>
      </c>
      <c r="CT18" s="184">
        <v>0</v>
      </c>
      <c r="CU18" s="184">
        <v>751</v>
      </c>
      <c r="CV18" s="179" t="str">
        <f t="shared" si="30"/>
        <v>Tidak Tercapai</v>
      </c>
      <c r="CW18" s="184">
        <v>61</v>
      </c>
      <c r="CX18" s="184">
        <v>3781</v>
      </c>
      <c r="CY18" s="179" t="str">
        <f t="shared" si="31"/>
        <v>Tercapai</v>
      </c>
      <c r="CZ18" s="184">
        <v>327</v>
      </c>
      <c r="DA18" s="184">
        <v>1460</v>
      </c>
      <c r="DB18" s="179" t="str">
        <f t="shared" si="32"/>
        <v>Tidak Tercapai</v>
      </c>
      <c r="DC18" s="184">
        <v>109</v>
      </c>
      <c r="DD18" s="184">
        <v>2033</v>
      </c>
      <c r="DE18" s="179" t="str">
        <f t="shared" si="33"/>
        <v>Tidak Tercapai</v>
      </c>
      <c r="DF18" s="184">
        <v>179</v>
      </c>
      <c r="DG18" s="184">
        <v>1450</v>
      </c>
      <c r="DH18" s="179" t="str">
        <f t="shared" si="34"/>
        <v>Tidak Tercapai</v>
      </c>
      <c r="DI18" s="184">
        <v>151</v>
      </c>
      <c r="DJ18" s="184">
        <v>424</v>
      </c>
      <c r="DK18" s="179" t="str">
        <f t="shared" si="35"/>
        <v>Tidak Tercapai</v>
      </c>
      <c r="DL18" s="184">
        <v>5</v>
      </c>
      <c r="DM18" s="184">
        <v>162</v>
      </c>
      <c r="DN18" s="179" t="str">
        <f t="shared" si="36"/>
        <v>Tidak Tercapai</v>
      </c>
      <c r="DO18" s="184">
        <v>4</v>
      </c>
      <c r="DP18" s="184">
        <v>1238</v>
      </c>
      <c r="DQ18" s="179" t="str">
        <f t="shared" si="37"/>
        <v>Tidak Tercapai</v>
      </c>
      <c r="DR18" s="184">
        <v>163</v>
      </c>
      <c r="DS18" s="184">
        <v>1</v>
      </c>
      <c r="DT18" s="179" t="str">
        <f t="shared" si="38"/>
        <v>Tidak Tercapai</v>
      </c>
      <c r="DU18" s="184">
        <v>0</v>
      </c>
      <c r="DV18" s="184">
        <v>787</v>
      </c>
      <c r="DW18" s="179" t="str">
        <f t="shared" si="39"/>
        <v>Tidak Tercapai</v>
      </c>
      <c r="DX18" s="184">
        <v>1422</v>
      </c>
      <c r="DY18" s="184">
        <v>1257</v>
      </c>
      <c r="DZ18" s="179" t="str">
        <f t="shared" si="40"/>
        <v>Tidak Tercapai</v>
      </c>
      <c r="EA18" s="184">
        <v>1733</v>
      </c>
      <c r="EB18" s="184">
        <v>935</v>
      </c>
      <c r="EC18" s="179" t="str">
        <f t="shared" si="41"/>
        <v>Tidak Tercapai</v>
      </c>
      <c r="ED18" s="184">
        <v>1700</v>
      </c>
      <c r="EE18" s="184">
        <v>120</v>
      </c>
      <c r="EF18" s="179" t="str">
        <f t="shared" si="42"/>
        <v>Tidak Tercapai</v>
      </c>
      <c r="EG18" s="184">
        <v>20</v>
      </c>
      <c r="EH18" s="184">
        <v>449</v>
      </c>
      <c r="EI18" s="179" t="str">
        <f t="shared" si="43"/>
        <v>Tidak Tercapai</v>
      </c>
      <c r="EJ18" s="184">
        <v>42</v>
      </c>
      <c r="EK18" s="184">
        <v>971</v>
      </c>
      <c r="EL18" s="179" t="str">
        <f t="shared" si="44"/>
        <v>Tidak Tercapai</v>
      </c>
      <c r="EM18" s="184">
        <v>1693</v>
      </c>
      <c r="EN18" s="184">
        <v>905</v>
      </c>
      <c r="EO18" s="179" t="str">
        <f t="shared" si="45"/>
        <v>Tidak Tercapai</v>
      </c>
      <c r="EP18" s="184">
        <v>2719</v>
      </c>
      <c r="EQ18" s="184">
        <v>1307</v>
      </c>
      <c r="ER18" s="179" t="str">
        <f t="shared" si="46"/>
        <v>Tidak Tercapai</v>
      </c>
      <c r="ES18" s="178">
        <v>3684</v>
      </c>
      <c r="ET18" s="184">
        <v>1055</v>
      </c>
      <c r="EU18" s="179" t="str">
        <f t="shared" si="47"/>
        <v>Tidak Tercapai</v>
      </c>
      <c r="EV18" s="184">
        <v>3785</v>
      </c>
      <c r="EW18" s="184">
        <v>1122</v>
      </c>
      <c r="EX18" s="179" t="str">
        <f t="shared" si="48"/>
        <v>Tidak Tercapai</v>
      </c>
      <c r="EY18" s="184">
        <v>3392</v>
      </c>
      <c r="EZ18" s="184">
        <v>635</v>
      </c>
      <c r="FA18" s="179" t="str">
        <f t="shared" si="49"/>
        <v>Tidak Tercapai</v>
      </c>
      <c r="FB18" s="184">
        <v>391</v>
      </c>
      <c r="FC18" s="184">
        <v>1375</v>
      </c>
      <c r="FD18" s="179" t="str">
        <f t="shared" si="50"/>
        <v>Tidak Tercapai</v>
      </c>
      <c r="FE18" s="184">
        <v>111</v>
      </c>
      <c r="FF18" s="184">
        <v>1674</v>
      </c>
      <c r="FG18" s="179" t="str">
        <f t="shared" si="51"/>
        <v>Tidak Tercapai</v>
      </c>
      <c r="FH18" s="184">
        <v>2768</v>
      </c>
      <c r="FI18" s="184">
        <v>1932</v>
      </c>
      <c r="FJ18" s="179" t="str">
        <f t="shared" si="52"/>
        <v>Tidak Tercapai</v>
      </c>
      <c r="FK18" s="184">
        <v>2513</v>
      </c>
      <c r="FL18" s="186">
        <v>1628</v>
      </c>
      <c r="FM18" s="179" t="str">
        <f t="shared" si="53"/>
        <v>Tidak Tercapai</v>
      </c>
      <c r="FN18" s="184">
        <v>2289</v>
      </c>
      <c r="FO18" s="184">
        <v>0</v>
      </c>
      <c r="FP18" s="179" t="str">
        <f t="shared" si="54"/>
        <v>Tidak Tercapai</v>
      </c>
      <c r="FQ18" s="184">
        <v>140</v>
      </c>
      <c r="FR18" s="184">
        <v>4314</v>
      </c>
      <c r="FS18" s="179" t="str">
        <f t="shared" si="55"/>
        <v>Tercapai</v>
      </c>
      <c r="FT18" s="184">
        <v>2020</v>
      </c>
      <c r="FU18" s="184">
        <v>4074</v>
      </c>
      <c r="FV18" s="179" t="str">
        <f t="shared" si="56"/>
        <v>Tercapai</v>
      </c>
      <c r="FW18" s="184">
        <v>4937</v>
      </c>
      <c r="FX18" s="184">
        <v>5165</v>
      </c>
      <c r="FY18" s="179" t="str">
        <f t="shared" si="57"/>
        <v>Tercapai</v>
      </c>
      <c r="FZ18" s="184">
        <v>397</v>
      </c>
      <c r="GA18" s="184">
        <v>1979</v>
      </c>
      <c r="GB18" s="179" t="str">
        <f t="shared" si="58"/>
        <v>Tidak Tercapai</v>
      </c>
      <c r="GC18" s="184">
        <v>2606</v>
      </c>
      <c r="GD18" s="184">
        <v>1425</v>
      </c>
      <c r="GE18" s="179" t="str">
        <f t="shared" si="59"/>
        <v>Tidak Tercapai</v>
      </c>
      <c r="GF18" s="184">
        <v>1163</v>
      </c>
      <c r="GG18" s="184">
        <v>899</v>
      </c>
      <c r="GH18" s="179" t="str">
        <f t="shared" si="60"/>
        <v>Tidak Tercapai</v>
      </c>
      <c r="GI18" s="184">
        <v>80</v>
      </c>
      <c r="GJ18" s="184">
        <v>1249</v>
      </c>
      <c r="GK18" s="179" t="str">
        <f t="shared" si="61"/>
        <v>Tidak Tercapai</v>
      </c>
      <c r="GL18" s="184">
        <v>2001</v>
      </c>
      <c r="GM18" s="184">
        <v>2416</v>
      </c>
      <c r="GN18" s="179" t="str">
        <f t="shared" si="62"/>
        <v>Tidak Tercapai</v>
      </c>
      <c r="GO18" s="184">
        <v>1746</v>
      </c>
      <c r="GP18" s="184">
        <v>714</v>
      </c>
      <c r="GQ18" s="179" t="str">
        <f t="shared" si="63"/>
        <v>Tidak Tercapai</v>
      </c>
      <c r="GR18" s="184">
        <v>118</v>
      </c>
      <c r="GS18" s="184">
        <v>567</v>
      </c>
      <c r="GT18" s="179" t="str">
        <f t="shared" si="64"/>
        <v>Tidak Tercapai</v>
      </c>
      <c r="GU18" s="184">
        <v>190</v>
      </c>
      <c r="GV18" s="184">
        <v>1388</v>
      </c>
      <c r="GW18" s="179" t="str">
        <f t="shared" si="65"/>
        <v>Tidak Tercapai</v>
      </c>
      <c r="GX18" s="184">
        <v>1504</v>
      </c>
      <c r="GY18" s="184">
        <v>699</v>
      </c>
      <c r="GZ18" s="179" t="str">
        <f t="shared" si="66"/>
        <v>Tidak Tercapai</v>
      </c>
      <c r="HA18" s="184">
        <v>65</v>
      </c>
      <c r="HB18" s="184">
        <v>585</v>
      </c>
      <c r="HC18" s="179" t="str">
        <f t="shared" si="67"/>
        <v>Tidak Tercapai</v>
      </c>
      <c r="HD18" s="184">
        <v>891</v>
      </c>
      <c r="HE18" s="184">
        <v>542</v>
      </c>
      <c r="HF18" s="179" t="str">
        <f t="shared" si="68"/>
        <v>Tidak Tercapai</v>
      </c>
      <c r="HG18" s="184">
        <v>1215</v>
      </c>
      <c r="HH18" s="184">
        <v>415</v>
      </c>
      <c r="HI18" s="179" t="str">
        <f t="shared" si="69"/>
        <v>Tidak Tercapai</v>
      </c>
      <c r="HJ18" s="184">
        <v>749</v>
      </c>
      <c r="HK18" s="184">
        <v>538</v>
      </c>
      <c r="HL18" s="179" t="str">
        <f t="shared" si="70"/>
        <v>Tidak Tercapai</v>
      </c>
      <c r="HM18" s="184">
        <v>355</v>
      </c>
      <c r="HN18" s="184">
        <v>4</v>
      </c>
      <c r="HO18" s="179" t="str">
        <f t="shared" si="71"/>
        <v>Tidak Tercapai</v>
      </c>
      <c r="HP18" s="184">
        <v>0</v>
      </c>
      <c r="HQ18" s="184">
        <v>502</v>
      </c>
      <c r="HR18" s="179" t="str">
        <f t="shared" si="72"/>
        <v>Tidak Tercapai</v>
      </c>
      <c r="HS18" s="184">
        <v>1004</v>
      </c>
      <c r="HT18" s="184">
        <v>475</v>
      </c>
      <c r="HU18" s="179" t="str">
        <f t="shared" si="73"/>
        <v>Tidak Tercapai</v>
      </c>
      <c r="HV18" s="184">
        <v>1050</v>
      </c>
      <c r="HW18" s="184">
        <v>487</v>
      </c>
      <c r="HX18" s="179" t="str">
        <f t="shared" si="74"/>
        <v>Tidak Tercapai</v>
      </c>
      <c r="HY18" s="184">
        <v>1260</v>
      </c>
      <c r="HZ18" s="184">
        <v>640</v>
      </c>
      <c r="IA18" s="179" t="str">
        <f t="shared" si="75"/>
        <v>Tidak Tercapai</v>
      </c>
      <c r="IB18" s="184">
        <v>1215</v>
      </c>
      <c r="IC18" s="184">
        <v>1209</v>
      </c>
      <c r="ID18" s="179" t="str">
        <f t="shared" si="76"/>
        <v>Tidak Tercapai</v>
      </c>
      <c r="IE18" s="184">
        <v>1989</v>
      </c>
      <c r="IF18" s="184">
        <v>47</v>
      </c>
      <c r="IG18" s="179" t="str">
        <f t="shared" si="77"/>
        <v>Tidak Tercapai</v>
      </c>
      <c r="IH18" s="184">
        <v>228</v>
      </c>
      <c r="II18" s="184">
        <v>51</v>
      </c>
      <c r="IJ18" s="179" t="str">
        <f t="shared" si="78"/>
        <v>Tidak Tercapai</v>
      </c>
      <c r="IK18" s="184">
        <v>1</v>
      </c>
      <c r="IL18" s="42"/>
      <c r="IM18" s="42"/>
      <c r="IN18" s="42"/>
      <c r="IO18" s="42"/>
      <c r="IP18" s="42"/>
      <c r="IQ18" s="42"/>
      <c r="IR18" s="42"/>
      <c r="IS18" s="42"/>
      <c r="IT18" s="42"/>
      <c r="IU18" s="42"/>
      <c r="IV18" s="42"/>
    </row>
    <row r="19" spans="1:256" ht="15.6" x14ac:dyDescent="0.3">
      <c r="A19" s="167">
        <v>17</v>
      </c>
      <c r="B19" s="168" t="s">
        <v>476</v>
      </c>
      <c r="C19" s="167" t="s">
        <v>459</v>
      </c>
      <c r="D19" s="169">
        <v>243825</v>
      </c>
      <c r="E19" s="167">
        <v>2686</v>
      </c>
      <c r="F19" s="187">
        <v>51430</v>
      </c>
      <c r="G19" s="171" t="s">
        <v>457</v>
      </c>
      <c r="H19" s="187">
        <v>33548</v>
      </c>
      <c r="I19" s="187">
        <v>276</v>
      </c>
      <c r="J19" s="171" t="str">
        <f t="shared" si="0"/>
        <v>Tidak Tercapai</v>
      </c>
      <c r="K19" s="187">
        <v>0</v>
      </c>
      <c r="L19" s="187">
        <v>7</v>
      </c>
      <c r="M19" s="171" t="str">
        <f t="shared" si="1"/>
        <v>Tidak Tercapai</v>
      </c>
      <c r="N19" s="187">
        <v>3</v>
      </c>
      <c r="O19" s="167">
        <v>2198</v>
      </c>
      <c r="P19" s="171" t="str">
        <f t="shared" si="2"/>
        <v>Tidak Tercapai</v>
      </c>
      <c r="Q19" s="172">
        <v>27</v>
      </c>
      <c r="R19" s="167">
        <v>2327</v>
      </c>
      <c r="S19" s="173" t="str">
        <f t="shared" si="3"/>
        <v>Tidak Tercapai</v>
      </c>
      <c r="T19" s="172">
        <v>8</v>
      </c>
      <c r="U19" s="174">
        <v>2853</v>
      </c>
      <c r="V19" s="173" t="str">
        <f t="shared" si="4"/>
        <v>Tercapai</v>
      </c>
      <c r="W19" s="175">
        <v>24</v>
      </c>
      <c r="X19" s="188">
        <v>3093</v>
      </c>
      <c r="Y19" s="176" t="str">
        <f t="shared" si="5"/>
        <v>Tercapai</v>
      </c>
      <c r="Z19" s="177">
        <v>10</v>
      </c>
      <c r="AA19" s="178">
        <v>3621</v>
      </c>
      <c r="AB19" s="179" t="str">
        <f t="shared" si="6"/>
        <v>Tercapai</v>
      </c>
      <c r="AC19" s="178">
        <v>34</v>
      </c>
      <c r="AD19" s="184">
        <v>556</v>
      </c>
      <c r="AE19" s="179" t="str">
        <f t="shared" si="7"/>
        <v>Tidak Tercapai</v>
      </c>
      <c r="AF19" s="178">
        <v>2</v>
      </c>
      <c r="AG19" s="178">
        <v>0</v>
      </c>
      <c r="AH19" s="179" t="str">
        <f t="shared" si="8"/>
        <v>Tidak Tercapai</v>
      </c>
      <c r="AI19" s="178">
        <v>0</v>
      </c>
      <c r="AJ19" s="184">
        <v>1662</v>
      </c>
      <c r="AK19" s="179" t="str">
        <f t="shared" si="9"/>
        <v>Tidak Tercapai</v>
      </c>
      <c r="AL19" s="184">
        <v>20</v>
      </c>
      <c r="AM19" s="184">
        <v>1129</v>
      </c>
      <c r="AN19" s="179" t="str">
        <f t="shared" si="10"/>
        <v>Tidak Tercapai</v>
      </c>
      <c r="AO19" s="184">
        <v>8</v>
      </c>
      <c r="AP19" s="178">
        <v>3212</v>
      </c>
      <c r="AQ19" s="179" t="str">
        <f t="shared" si="11"/>
        <v>Tercapai</v>
      </c>
      <c r="AR19" s="178">
        <v>7</v>
      </c>
      <c r="AS19" s="178">
        <v>2177</v>
      </c>
      <c r="AT19" s="179" t="str">
        <f t="shared" si="12"/>
        <v>Tidak Tercapai</v>
      </c>
      <c r="AU19" s="178">
        <v>20</v>
      </c>
      <c r="AV19" s="170">
        <v>2161</v>
      </c>
      <c r="AW19" s="179" t="str">
        <f t="shared" si="13"/>
        <v>Tidak Tercapai</v>
      </c>
      <c r="AX19" s="178">
        <v>33</v>
      </c>
      <c r="AY19" s="178">
        <v>106</v>
      </c>
      <c r="AZ19" s="179" t="str">
        <f t="shared" si="14"/>
        <v>Tidak Tercapai</v>
      </c>
      <c r="BA19" s="178">
        <v>0</v>
      </c>
      <c r="BB19" s="183">
        <v>1008</v>
      </c>
      <c r="BC19" s="179" t="str">
        <f t="shared" si="15"/>
        <v>Tidak Tercapai</v>
      </c>
      <c r="BD19" s="178">
        <v>0</v>
      </c>
      <c r="BE19" s="184">
        <v>1349</v>
      </c>
      <c r="BF19" s="179" t="str">
        <f t="shared" si="16"/>
        <v>Tidak Tercapai</v>
      </c>
      <c r="BG19" s="170">
        <v>12</v>
      </c>
      <c r="BH19" s="184">
        <v>2234</v>
      </c>
      <c r="BI19" s="179" t="str">
        <f t="shared" si="17"/>
        <v>Tidak Tercapai</v>
      </c>
      <c r="BJ19" s="184">
        <v>17</v>
      </c>
      <c r="BK19" s="184">
        <v>1748</v>
      </c>
      <c r="BL19" s="179" t="str">
        <f t="shared" si="18"/>
        <v>Tidak Tercapai</v>
      </c>
      <c r="BM19" s="184">
        <v>20</v>
      </c>
      <c r="BN19" s="184">
        <v>1844</v>
      </c>
      <c r="BO19" s="179" t="str">
        <f t="shared" si="19"/>
        <v>Tidak Tercapai</v>
      </c>
      <c r="BP19" s="184">
        <v>19</v>
      </c>
      <c r="BQ19" s="184">
        <v>1529</v>
      </c>
      <c r="BR19" s="179" t="str">
        <f t="shared" si="20"/>
        <v>Tidak Tercapai</v>
      </c>
      <c r="BS19" s="184">
        <v>25</v>
      </c>
      <c r="BT19" s="184">
        <v>4205</v>
      </c>
      <c r="BU19" s="179" t="str">
        <f t="shared" si="21"/>
        <v>Tercapai</v>
      </c>
      <c r="BV19" s="185">
        <v>33.866</v>
      </c>
      <c r="BW19" s="184">
        <v>1425</v>
      </c>
      <c r="BX19" s="179" t="str">
        <f t="shared" si="22"/>
        <v>Tidak Tercapai</v>
      </c>
      <c r="BY19" s="184">
        <v>3</v>
      </c>
      <c r="BZ19" s="184">
        <v>1730</v>
      </c>
      <c r="CA19" s="179" t="str">
        <f t="shared" si="23"/>
        <v>Tidak Tercapai</v>
      </c>
      <c r="CB19" s="184">
        <v>874</v>
      </c>
      <c r="CC19" s="184">
        <v>2995</v>
      </c>
      <c r="CD19" s="179" t="str">
        <f t="shared" si="24"/>
        <v>Tercapai</v>
      </c>
      <c r="CE19" s="184">
        <v>30</v>
      </c>
      <c r="CF19" s="184">
        <v>1752</v>
      </c>
      <c r="CG19" s="179" t="str">
        <f t="shared" si="25"/>
        <v>Tidak Tercapai</v>
      </c>
      <c r="CH19" s="184">
        <v>20</v>
      </c>
      <c r="CI19" s="184">
        <v>1724</v>
      </c>
      <c r="CJ19" s="179" t="str">
        <f t="shared" si="26"/>
        <v>Tidak Tercapai</v>
      </c>
      <c r="CK19" s="184">
        <v>39</v>
      </c>
      <c r="CL19" s="184">
        <v>1188</v>
      </c>
      <c r="CM19" s="179" t="str">
        <f t="shared" si="27"/>
        <v>Tidak Tercapai</v>
      </c>
      <c r="CN19" s="184">
        <v>8</v>
      </c>
      <c r="CO19" s="184">
        <v>13</v>
      </c>
      <c r="CP19" s="179" t="str">
        <f t="shared" si="28"/>
        <v>Tidak Tercapai</v>
      </c>
      <c r="CQ19" s="184">
        <v>0</v>
      </c>
      <c r="CR19" s="184">
        <v>1</v>
      </c>
      <c r="CS19" s="179" t="str">
        <f t="shared" si="29"/>
        <v>Tidak Tercapai</v>
      </c>
      <c r="CT19" s="184">
        <v>0</v>
      </c>
      <c r="CU19" s="184">
        <v>579</v>
      </c>
      <c r="CV19" s="179" t="str">
        <f t="shared" si="30"/>
        <v>Tidak Tercapai</v>
      </c>
      <c r="CW19" s="184">
        <v>16</v>
      </c>
      <c r="CX19" s="184">
        <v>6594</v>
      </c>
      <c r="CY19" s="179" t="str">
        <f t="shared" si="31"/>
        <v>Tercapai</v>
      </c>
      <c r="CZ19" s="184">
        <v>120</v>
      </c>
      <c r="DA19" s="184">
        <v>2197</v>
      </c>
      <c r="DB19" s="179" t="str">
        <f t="shared" si="32"/>
        <v>Tidak Tercapai</v>
      </c>
      <c r="DC19" s="184">
        <v>30</v>
      </c>
      <c r="DD19" s="184">
        <v>2223</v>
      </c>
      <c r="DE19" s="179" t="str">
        <f t="shared" si="33"/>
        <v>Tidak Tercapai</v>
      </c>
      <c r="DF19" s="184">
        <v>18</v>
      </c>
      <c r="DG19" s="184">
        <v>2139</v>
      </c>
      <c r="DH19" s="179" t="str">
        <f t="shared" si="34"/>
        <v>Tidak Tercapai</v>
      </c>
      <c r="DI19" s="184">
        <v>31</v>
      </c>
      <c r="DJ19" s="184">
        <v>1075</v>
      </c>
      <c r="DK19" s="179" t="str">
        <f t="shared" si="35"/>
        <v>Tidak Tercapai</v>
      </c>
      <c r="DL19" s="184">
        <v>11</v>
      </c>
      <c r="DM19" s="184">
        <v>862</v>
      </c>
      <c r="DN19" s="179" t="str">
        <f t="shared" si="36"/>
        <v>Tidak Tercapai</v>
      </c>
      <c r="DO19" s="184">
        <v>4</v>
      </c>
      <c r="DP19" s="184">
        <v>1598</v>
      </c>
      <c r="DQ19" s="179" t="str">
        <f t="shared" si="37"/>
        <v>Tidak Tercapai</v>
      </c>
      <c r="DR19" s="184">
        <v>81</v>
      </c>
      <c r="DS19" s="184">
        <v>1</v>
      </c>
      <c r="DT19" s="179" t="str">
        <f t="shared" si="38"/>
        <v>Tidak Tercapai</v>
      </c>
      <c r="DU19" s="184">
        <v>0</v>
      </c>
      <c r="DV19" s="184">
        <v>1394</v>
      </c>
      <c r="DW19" s="179" t="str">
        <f t="shared" si="39"/>
        <v>Tidak Tercapai</v>
      </c>
      <c r="DX19" s="184">
        <v>73</v>
      </c>
      <c r="DY19" s="184">
        <v>1446</v>
      </c>
      <c r="DZ19" s="179" t="str">
        <f t="shared" si="40"/>
        <v>Tidak Tercapai</v>
      </c>
      <c r="EA19" s="184">
        <v>198</v>
      </c>
      <c r="EB19" s="184">
        <v>1314</v>
      </c>
      <c r="EC19" s="179" t="str">
        <f t="shared" si="41"/>
        <v>Tidak Tercapai</v>
      </c>
      <c r="ED19" s="184">
        <v>1347</v>
      </c>
      <c r="EE19" s="184">
        <v>601</v>
      </c>
      <c r="EF19" s="179" t="str">
        <f t="shared" si="42"/>
        <v>Tidak Tercapai</v>
      </c>
      <c r="EG19" s="184">
        <v>92</v>
      </c>
      <c r="EH19" s="184">
        <v>564</v>
      </c>
      <c r="EI19" s="179" t="str">
        <f t="shared" si="43"/>
        <v>Tidak Tercapai</v>
      </c>
      <c r="EJ19" s="184">
        <v>42</v>
      </c>
      <c r="EK19" s="184">
        <v>1611</v>
      </c>
      <c r="EL19" s="179" t="str">
        <f t="shared" si="44"/>
        <v>Tidak Tercapai</v>
      </c>
      <c r="EM19" s="184">
        <v>1164</v>
      </c>
      <c r="EN19" s="184">
        <v>1659</v>
      </c>
      <c r="EO19" s="179" t="str">
        <f t="shared" si="45"/>
        <v>Tidak Tercapai</v>
      </c>
      <c r="EP19" s="184">
        <v>1639</v>
      </c>
      <c r="EQ19" s="184">
        <v>1960</v>
      </c>
      <c r="ER19" s="179" t="str">
        <f t="shared" si="46"/>
        <v>Tidak Tercapai</v>
      </c>
      <c r="ES19" s="178">
        <v>1790</v>
      </c>
      <c r="ET19" s="184">
        <v>1991</v>
      </c>
      <c r="EU19" s="179" t="str">
        <f t="shared" si="47"/>
        <v>Tidak Tercapai</v>
      </c>
      <c r="EV19" s="184">
        <v>1814</v>
      </c>
      <c r="EW19" s="184">
        <v>1837</v>
      </c>
      <c r="EX19" s="179" t="str">
        <f t="shared" si="48"/>
        <v>Tidak Tercapai</v>
      </c>
      <c r="EY19" s="184">
        <v>2750</v>
      </c>
      <c r="EZ19" s="184">
        <v>1214</v>
      </c>
      <c r="FA19" s="179" t="str">
        <f t="shared" si="49"/>
        <v>Tidak Tercapai</v>
      </c>
      <c r="FB19" s="184">
        <v>1194</v>
      </c>
      <c r="FC19" s="184">
        <v>1768</v>
      </c>
      <c r="FD19" s="179" t="str">
        <f t="shared" si="50"/>
        <v>Tidak Tercapai</v>
      </c>
      <c r="FE19" s="184">
        <v>1117</v>
      </c>
      <c r="FF19" s="184">
        <v>2622</v>
      </c>
      <c r="FG19" s="179" t="str">
        <f t="shared" si="51"/>
        <v>Tidak Tercapai</v>
      </c>
      <c r="FH19" s="184">
        <v>1762</v>
      </c>
      <c r="FI19" s="184">
        <v>2962</v>
      </c>
      <c r="FJ19" s="179" t="str">
        <f t="shared" si="52"/>
        <v>Tercapai</v>
      </c>
      <c r="FK19" s="184">
        <v>2345</v>
      </c>
      <c r="FL19" s="186">
        <v>475</v>
      </c>
      <c r="FM19" s="179" t="str">
        <f t="shared" si="53"/>
        <v>Tidak Tercapai</v>
      </c>
      <c r="FN19" s="184">
        <v>1389</v>
      </c>
      <c r="FO19" s="184">
        <v>0</v>
      </c>
      <c r="FP19" s="179" t="str">
        <f t="shared" si="54"/>
        <v>Tidak Tercapai</v>
      </c>
      <c r="FQ19" s="184">
        <v>0</v>
      </c>
      <c r="FR19" s="184">
        <v>9007</v>
      </c>
      <c r="FS19" s="179" t="str">
        <f t="shared" si="55"/>
        <v>Tercapai</v>
      </c>
      <c r="FT19" s="184">
        <v>2489</v>
      </c>
      <c r="FU19" s="184">
        <v>4410</v>
      </c>
      <c r="FV19" s="179" t="str">
        <f t="shared" si="56"/>
        <v>Tercapai</v>
      </c>
      <c r="FW19" s="184">
        <v>5093</v>
      </c>
      <c r="FX19" s="184">
        <v>3760</v>
      </c>
      <c r="FY19" s="179" t="str">
        <f t="shared" si="57"/>
        <v>Tercapai</v>
      </c>
      <c r="FZ19" s="184">
        <v>1190</v>
      </c>
      <c r="GA19" s="184">
        <v>2046</v>
      </c>
      <c r="GB19" s="179" t="str">
        <f t="shared" si="58"/>
        <v>Tidak Tercapai</v>
      </c>
      <c r="GC19" s="184">
        <v>1791</v>
      </c>
      <c r="GD19" s="184">
        <v>1203</v>
      </c>
      <c r="GE19" s="179" t="str">
        <f t="shared" si="59"/>
        <v>Tidak Tercapai</v>
      </c>
      <c r="GF19" s="184">
        <v>1636</v>
      </c>
      <c r="GG19" s="184">
        <v>789</v>
      </c>
      <c r="GH19" s="179" t="str">
        <f t="shared" si="60"/>
        <v>Tidak Tercapai</v>
      </c>
      <c r="GI19" s="184">
        <v>231</v>
      </c>
      <c r="GJ19" s="184">
        <v>1347</v>
      </c>
      <c r="GK19" s="179" t="str">
        <f t="shared" si="61"/>
        <v>Tidak Tercapai</v>
      </c>
      <c r="GL19" s="184">
        <v>2959</v>
      </c>
      <c r="GM19" s="184">
        <v>1638</v>
      </c>
      <c r="GN19" s="179" t="str">
        <f t="shared" si="62"/>
        <v>Tidak Tercapai</v>
      </c>
      <c r="GO19" s="184">
        <v>3282</v>
      </c>
      <c r="GP19" s="184">
        <v>1928</v>
      </c>
      <c r="GQ19" s="179" t="str">
        <f t="shared" si="63"/>
        <v>Tidak Tercapai</v>
      </c>
      <c r="GR19" s="184">
        <v>862</v>
      </c>
      <c r="GS19" s="184">
        <v>1192</v>
      </c>
      <c r="GT19" s="179" t="str">
        <f t="shared" si="64"/>
        <v>Tidak Tercapai</v>
      </c>
      <c r="GU19" s="184">
        <v>563</v>
      </c>
      <c r="GV19" s="184">
        <v>1666</v>
      </c>
      <c r="GW19" s="179" t="str">
        <f t="shared" si="65"/>
        <v>Tidak Tercapai</v>
      </c>
      <c r="GX19" s="184">
        <v>1828</v>
      </c>
      <c r="GY19" s="184">
        <v>2014</v>
      </c>
      <c r="GZ19" s="179" t="str">
        <f t="shared" si="66"/>
        <v>Tidak Tercapai</v>
      </c>
      <c r="HA19" s="184">
        <v>359</v>
      </c>
      <c r="HB19" s="184">
        <v>591</v>
      </c>
      <c r="HC19" s="179" t="str">
        <f t="shared" si="67"/>
        <v>Tidak Tercapai</v>
      </c>
      <c r="HD19" s="184">
        <v>1518</v>
      </c>
      <c r="HE19" s="184">
        <v>866</v>
      </c>
      <c r="HF19" s="179" t="str">
        <f t="shared" si="68"/>
        <v>Tidak Tercapai</v>
      </c>
      <c r="HG19" s="184">
        <v>2052</v>
      </c>
      <c r="HH19" s="184">
        <v>543</v>
      </c>
      <c r="HI19" s="179" t="str">
        <f t="shared" si="69"/>
        <v>Tidak Tercapai</v>
      </c>
      <c r="HJ19" s="184">
        <v>1602</v>
      </c>
      <c r="HK19" s="184">
        <v>435</v>
      </c>
      <c r="HL19" s="179" t="str">
        <f t="shared" si="70"/>
        <v>Tidak Tercapai</v>
      </c>
      <c r="HM19" s="184">
        <v>1263</v>
      </c>
      <c r="HN19" s="184">
        <v>249</v>
      </c>
      <c r="HO19" s="179" t="str">
        <f t="shared" si="71"/>
        <v>Tidak Tercapai</v>
      </c>
      <c r="HP19" s="184">
        <v>381</v>
      </c>
      <c r="HQ19" s="184">
        <v>626</v>
      </c>
      <c r="HR19" s="179" t="str">
        <f t="shared" si="72"/>
        <v>Tidak Tercapai</v>
      </c>
      <c r="HS19" s="184">
        <v>1243</v>
      </c>
      <c r="HT19" s="184">
        <v>1139</v>
      </c>
      <c r="HU19" s="179" t="str">
        <f t="shared" si="73"/>
        <v>Tidak Tercapai</v>
      </c>
      <c r="HV19" s="184">
        <v>1806</v>
      </c>
      <c r="HW19" s="184">
        <v>887</v>
      </c>
      <c r="HX19" s="179" t="str">
        <f t="shared" si="74"/>
        <v>Tidak Tercapai</v>
      </c>
      <c r="HY19" s="184">
        <v>2508</v>
      </c>
      <c r="HZ19" s="184">
        <v>719</v>
      </c>
      <c r="IA19" s="179" t="str">
        <f t="shared" si="75"/>
        <v>Tidak Tercapai</v>
      </c>
      <c r="IB19" s="184">
        <v>2378</v>
      </c>
      <c r="IC19" s="184">
        <v>1085</v>
      </c>
      <c r="ID19" s="179" t="str">
        <f t="shared" si="76"/>
        <v>Tidak Tercapai</v>
      </c>
      <c r="IE19" s="184">
        <v>3562</v>
      </c>
      <c r="IF19" s="184">
        <v>71</v>
      </c>
      <c r="IG19" s="179" t="str">
        <f t="shared" si="77"/>
        <v>Tidak Tercapai</v>
      </c>
      <c r="IH19" s="184">
        <v>188</v>
      </c>
      <c r="II19" s="184">
        <v>0</v>
      </c>
      <c r="IJ19" s="179" t="str">
        <f t="shared" si="78"/>
        <v>Tidak Tercapai</v>
      </c>
      <c r="IK19" s="184">
        <v>3</v>
      </c>
      <c r="IL19" s="42"/>
      <c r="IM19" s="42"/>
      <c r="IN19" s="42"/>
      <c r="IO19" s="42"/>
      <c r="IP19" s="42"/>
      <c r="IQ19" s="42"/>
      <c r="IR19" s="42"/>
      <c r="IS19" s="42"/>
      <c r="IT19" s="42"/>
      <c r="IU19" s="42"/>
      <c r="IV19" s="42"/>
    </row>
    <row r="20" spans="1:256" ht="15.6" x14ac:dyDescent="0.3">
      <c r="A20" s="167">
        <v>18</v>
      </c>
      <c r="B20" s="168" t="s">
        <v>477</v>
      </c>
      <c r="C20" s="167" t="s">
        <v>456</v>
      </c>
      <c r="D20" s="169">
        <v>232520</v>
      </c>
      <c r="E20" s="167">
        <v>2658</v>
      </c>
      <c r="F20" s="187">
        <v>62833</v>
      </c>
      <c r="G20" s="171" t="s">
        <v>457</v>
      </c>
      <c r="H20" s="187">
        <v>47865</v>
      </c>
      <c r="I20" s="187">
        <v>203</v>
      </c>
      <c r="J20" s="171" t="str">
        <f t="shared" si="0"/>
        <v>Tidak Tercapai</v>
      </c>
      <c r="K20" s="187">
        <v>77</v>
      </c>
      <c r="L20" s="187">
        <v>3</v>
      </c>
      <c r="M20" s="171" t="str">
        <f t="shared" si="1"/>
        <v>Tidak Tercapai</v>
      </c>
      <c r="N20" s="187">
        <v>0</v>
      </c>
      <c r="O20" s="167">
        <v>1117</v>
      </c>
      <c r="P20" s="171" t="str">
        <f t="shared" si="2"/>
        <v>Tidak Tercapai</v>
      </c>
      <c r="Q20" s="172">
        <v>284</v>
      </c>
      <c r="R20" s="167">
        <v>1205</v>
      </c>
      <c r="S20" s="173" t="str">
        <f t="shared" si="3"/>
        <v>Tidak Tercapai</v>
      </c>
      <c r="T20" s="172">
        <v>219</v>
      </c>
      <c r="U20" s="174">
        <v>1599</v>
      </c>
      <c r="V20" s="173" t="str">
        <f t="shared" si="4"/>
        <v>Tercapai</v>
      </c>
      <c r="W20" s="175">
        <v>279</v>
      </c>
      <c r="X20" s="188">
        <v>1912</v>
      </c>
      <c r="Y20" s="176" t="str">
        <f t="shared" si="5"/>
        <v>Tidak Tercapai</v>
      </c>
      <c r="Z20" s="177">
        <v>146</v>
      </c>
      <c r="AA20" s="178">
        <v>1967</v>
      </c>
      <c r="AB20" s="179" t="str">
        <f t="shared" si="6"/>
        <v>Tidak Tercapai</v>
      </c>
      <c r="AC20" s="178">
        <v>737</v>
      </c>
      <c r="AD20" s="184">
        <v>1387</v>
      </c>
      <c r="AE20" s="179" t="str">
        <f t="shared" si="7"/>
        <v>Tidak Tercapai</v>
      </c>
      <c r="AF20" s="178">
        <v>5</v>
      </c>
      <c r="AG20" s="178">
        <v>173</v>
      </c>
      <c r="AH20" s="179" t="str">
        <f t="shared" si="8"/>
        <v>Tidak Tercapai</v>
      </c>
      <c r="AI20" s="178">
        <v>12</v>
      </c>
      <c r="AJ20" s="184">
        <v>1675</v>
      </c>
      <c r="AK20" s="179" t="str">
        <f t="shared" si="9"/>
        <v>Tidak Tercapai</v>
      </c>
      <c r="AL20" s="184">
        <v>112</v>
      </c>
      <c r="AM20" s="184">
        <v>1373</v>
      </c>
      <c r="AN20" s="179" t="str">
        <f t="shared" si="10"/>
        <v>Tidak Tercapai</v>
      </c>
      <c r="AO20" s="184">
        <v>100</v>
      </c>
      <c r="AP20" s="178">
        <v>3477</v>
      </c>
      <c r="AQ20" s="179" t="str">
        <f t="shared" si="11"/>
        <v>Tercapai</v>
      </c>
      <c r="AR20" s="178">
        <v>861</v>
      </c>
      <c r="AS20" s="178">
        <v>2620</v>
      </c>
      <c r="AT20" s="179" t="str">
        <f t="shared" si="12"/>
        <v>Tidak Tercapai</v>
      </c>
      <c r="AU20" s="178">
        <v>158</v>
      </c>
      <c r="AV20" s="170">
        <v>3039</v>
      </c>
      <c r="AW20" s="179" t="str">
        <f t="shared" si="13"/>
        <v>Tercapai</v>
      </c>
      <c r="AX20" s="178">
        <v>226</v>
      </c>
      <c r="AY20" s="178">
        <v>700</v>
      </c>
      <c r="AZ20" s="179" t="str">
        <f t="shared" si="14"/>
        <v>Tidak Tercapai</v>
      </c>
      <c r="BA20" s="178">
        <v>11</v>
      </c>
      <c r="BB20" s="183">
        <v>8331</v>
      </c>
      <c r="BC20" s="179" t="str">
        <f t="shared" si="15"/>
        <v>Tercapai</v>
      </c>
      <c r="BD20" s="178">
        <v>0</v>
      </c>
      <c r="BE20" s="184">
        <v>4715</v>
      </c>
      <c r="BF20" s="179" t="str">
        <f t="shared" si="16"/>
        <v>Tercapai</v>
      </c>
      <c r="BG20" s="170">
        <v>278</v>
      </c>
      <c r="BH20" s="184">
        <v>6191</v>
      </c>
      <c r="BI20" s="179" t="str">
        <f t="shared" si="17"/>
        <v>Tercapai</v>
      </c>
      <c r="BJ20" s="184">
        <v>107</v>
      </c>
      <c r="BK20" s="184">
        <v>7096</v>
      </c>
      <c r="BL20" s="179" t="str">
        <f t="shared" si="18"/>
        <v>Tercapai</v>
      </c>
      <c r="BM20" s="184">
        <v>96</v>
      </c>
      <c r="BN20" s="184">
        <v>4146</v>
      </c>
      <c r="BO20" s="179" t="str">
        <f t="shared" si="19"/>
        <v>Tercapai</v>
      </c>
      <c r="BP20" s="184">
        <v>68</v>
      </c>
      <c r="BQ20" s="184">
        <v>2845</v>
      </c>
      <c r="BR20" s="179" t="str">
        <f t="shared" si="20"/>
        <v>Tercapai</v>
      </c>
      <c r="BS20" s="184">
        <v>35</v>
      </c>
      <c r="BT20" s="184">
        <v>2685</v>
      </c>
      <c r="BU20" s="179" t="str">
        <f t="shared" si="21"/>
        <v>Tercapai</v>
      </c>
      <c r="BV20" s="185">
        <v>52.122999999999998</v>
      </c>
      <c r="BW20" s="184">
        <v>1062</v>
      </c>
      <c r="BX20" s="179" t="str">
        <f t="shared" si="22"/>
        <v>Tidak Tercapai</v>
      </c>
      <c r="BY20" s="184">
        <v>0</v>
      </c>
      <c r="BZ20" s="184">
        <v>1980</v>
      </c>
      <c r="CA20" s="179" t="str">
        <f t="shared" si="23"/>
        <v>Tidak Tercapai</v>
      </c>
      <c r="CB20" s="184">
        <v>11948</v>
      </c>
      <c r="CC20" s="184">
        <v>2554</v>
      </c>
      <c r="CD20" s="179" t="str">
        <f t="shared" si="24"/>
        <v>Tidak Tercapai</v>
      </c>
      <c r="CE20" s="184">
        <v>84</v>
      </c>
      <c r="CF20" s="184">
        <v>1773</v>
      </c>
      <c r="CG20" s="179" t="str">
        <f t="shared" si="25"/>
        <v>Tidak Tercapai</v>
      </c>
      <c r="CH20" s="184">
        <v>27</v>
      </c>
      <c r="CI20" s="184">
        <v>2621</v>
      </c>
      <c r="CJ20" s="179" t="str">
        <f t="shared" si="26"/>
        <v>Tidak Tercapai</v>
      </c>
      <c r="CK20" s="184">
        <v>118</v>
      </c>
      <c r="CL20" s="184">
        <v>1463</v>
      </c>
      <c r="CM20" s="179" t="str">
        <f t="shared" si="27"/>
        <v>Tidak Tercapai</v>
      </c>
      <c r="CN20" s="184">
        <v>100</v>
      </c>
      <c r="CO20" s="184">
        <v>146</v>
      </c>
      <c r="CP20" s="179" t="str">
        <f t="shared" si="28"/>
        <v>Tidak Tercapai</v>
      </c>
      <c r="CQ20" s="184">
        <v>1</v>
      </c>
      <c r="CR20" s="184">
        <v>530</v>
      </c>
      <c r="CS20" s="179" t="str">
        <f t="shared" si="29"/>
        <v>Tidak Tercapai</v>
      </c>
      <c r="CT20" s="184">
        <v>2</v>
      </c>
      <c r="CU20" s="184">
        <v>2936</v>
      </c>
      <c r="CV20" s="179" t="str">
        <f t="shared" si="30"/>
        <v>Tercapai</v>
      </c>
      <c r="CW20" s="184">
        <v>18</v>
      </c>
      <c r="CX20" s="184">
        <v>10228</v>
      </c>
      <c r="CY20" s="179" t="str">
        <f t="shared" si="31"/>
        <v>Tercapai</v>
      </c>
      <c r="CZ20" s="184">
        <v>555</v>
      </c>
      <c r="DA20" s="184">
        <v>3206</v>
      </c>
      <c r="DB20" s="179" t="str">
        <f t="shared" si="32"/>
        <v>Tercapai</v>
      </c>
      <c r="DC20" s="184">
        <v>150</v>
      </c>
      <c r="DD20" s="184">
        <v>3453</v>
      </c>
      <c r="DE20" s="179" t="str">
        <f t="shared" si="33"/>
        <v>Tercapai</v>
      </c>
      <c r="DF20" s="184">
        <v>215</v>
      </c>
      <c r="DG20" s="184">
        <v>3551</v>
      </c>
      <c r="DH20" s="179" t="str">
        <f t="shared" si="34"/>
        <v>Tercapai</v>
      </c>
      <c r="DI20" s="184">
        <v>187</v>
      </c>
      <c r="DJ20" s="184">
        <v>914</v>
      </c>
      <c r="DK20" s="179" t="str">
        <f t="shared" si="35"/>
        <v>Tidak Tercapai</v>
      </c>
      <c r="DL20" s="184">
        <v>23</v>
      </c>
      <c r="DM20" s="184">
        <v>692</v>
      </c>
      <c r="DN20" s="179" t="str">
        <f t="shared" si="36"/>
        <v>Tidak Tercapai</v>
      </c>
      <c r="DO20" s="184">
        <v>6</v>
      </c>
      <c r="DP20" s="184">
        <v>3825</v>
      </c>
      <c r="DQ20" s="179" t="str">
        <f t="shared" si="37"/>
        <v>Tercapai</v>
      </c>
      <c r="DR20" s="184">
        <v>262</v>
      </c>
      <c r="DS20" s="184">
        <v>983</v>
      </c>
      <c r="DT20" s="179" t="str">
        <f t="shared" si="38"/>
        <v>Tidak Tercapai</v>
      </c>
      <c r="DU20" s="184">
        <v>35</v>
      </c>
      <c r="DV20" s="184">
        <v>1986</v>
      </c>
      <c r="DW20" s="179" t="str">
        <f t="shared" si="39"/>
        <v>Tidak Tercapai</v>
      </c>
      <c r="DX20" s="184">
        <v>230</v>
      </c>
      <c r="DY20" s="184">
        <v>2894</v>
      </c>
      <c r="DZ20" s="179" t="str">
        <f t="shared" si="40"/>
        <v>Tercapai</v>
      </c>
      <c r="EA20" s="184">
        <v>1060</v>
      </c>
      <c r="EB20" s="184">
        <v>2169</v>
      </c>
      <c r="EC20" s="179" t="str">
        <f t="shared" si="41"/>
        <v>Tidak Tercapai</v>
      </c>
      <c r="ED20" s="184">
        <v>1858</v>
      </c>
      <c r="EE20" s="184">
        <v>865</v>
      </c>
      <c r="EF20" s="179" t="str">
        <f t="shared" si="42"/>
        <v>Tidak Tercapai</v>
      </c>
      <c r="EG20" s="184">
        <v>28</v>
      </c>
      <c r="EH20" s="184">
        <v>647</v>
      </c>
      <c r="EI20" s="179" t="str">
        <f t="shared" si="43"/>
        <v>Tidak Tercapai</v>
      </c>
      <c r="EJ20" s="184">
        <v>119</v>
      </c>
      <c r="EK20" s="184">
        <v>2016</v>
      </c>
      <c r="EL20" s="179" t="str">
        <f t="shared" si="44"/>
        <v>Tidak Tercapai</v>
      </c>
      <c r="EM20" s="184">
        <v>3171</v>
      </c>
      <c r="EN20" s="184">
        <v>2265</v>
      </c>
      <c r="EO20" s="179" t="str">
        <f t="shared" si="45"/>
        <v>Tidak Tercapai</v>
      </c>
      <c r="EP20" s="184">
        <v>2794</v>
      </c>
      <c r="EQ20" s="184">
        <v>2668</v>
      </c>
      <c r="ER20" s="179" t="str">
        <f t="shared" si="46"/>
        <v>Tercapai</v>
      </c>
      <c r="ES20" s="178">
        <v>2193</v>
      </c>
      <c r="ET20" s="184">
        <v>2595</v>
      </c>
      <c r="EU20" s="179" t="str">
        <f t="shared" si="47"/>
        <v>Tidak Tercapai</v>
      </c>
      <c r="EV20" s="184">
        <v>2320</v>
      </c>
      <c r="EW20" s="184">
        <v>2970</v>
      </c>
      <c r="EX20" s="179" t="str">
        <f t="shared" si="48"/>
        <v>Tercapai</v>
      </c>
      <c r="EY20" s="184">
        <v>2655</v>
      </c>
      <c r="EZ20" s="184">
        <v>1196</v>
      </c>
      <c r="FA20" s="179" t="str">
        <f t="shared" si="49"/>
        <v>Tidak Tercapai</v>
      </c>
      <c r="FB20" s="184">
        <v>197</v>
      </c>
      <c r="FC20" s="184">
        <v>1955</v>
      </c>
      <c r="FD20" s="179" t="str">
        <f t="shared" si="50"/>
        <v>Tidak Tercapai</v>
      </c>
      <c r="FE20" s="184">
        <v>304</v>
      </c>
      <c r="FF20" s="184">
        <v>3223</v>
      </c>
      <c r="FG20" s="179" t="str">
        <f t="shared" si="51"/>
        <v>Tercapai</v>
      </c>
      <c r="FH20" s="184">
        <v>2783</v>
      </c>
      <c r="FI20" s="184">
        <v>3312</v>
      </c>
      <c r="FJ20" s="179" t="str">
        <f t="shared" si="52"/>
        <v>Tercapai</v>
      </c>
      <c r="FK20" s="184">
        <v>2286</v>
      </c>
      <c r="FL20" s="186">
        <v>0</v>
      </c>
      <c r="FM20" s="179" t="str">
        <f t="shared" si="53"/>
        <v>Tidak Tercapai</v>
      </c>
      <c r="FN20" s="184">
        <v>1357</v>
      </c>
      <c r="FO20" s="184">
        <v>0</v>
      </c>
      <c r="FP20" s="179" t="str">
        <f t="shared" si="54"/>
        <v>Tidak Tercapai</v>
      </c>
      <c r="FQ20" s="184">
        <v>0</v>
      </c>
      <c r="FR20" s="184">
        <v>4690</v>
      </c>
      <c r="FS20" s="179" t="str">
        <f t="shared" si="55"/>
        <v>Tercapai</v>
      </c>
      <c r="FT20" s="184">
        <v>2493</v>
      </c>
      <c r="FU20" s="184">
        <v>4595</v>
      </c>
      <c r="FV20" s="179" t="str">
        <f t="shared" si="56"/>
        <v>Tercapai</v>
      </c>
      <c r="FW20" s="184">
        <v>3756</v>
      </c>
      <c r="FX20" s="184">
        <v>6558</v>
      </c>
      <c r="FY20" s="179" t="str">
        <f t="shared" si="57"/>
        <v>Tercapai</v>
      </c>
      <c r="FZ20" s="184">
        <v>4035</v>
      </c>
      <c r="GA20" s="184">
        <v>3670</v>
      </c>
      <c r="GB20" s="179" t="str">
        <f t="shared" si="58"/>
        <v>Tercapai</v>
      </c>
      <c r="GC20" s="184">
        <v>2960</v>
      </c>
      <c r="GD20" s="184">
        <v>2706</v>
      </c>
      <c r="GE20" s="179" t="str">
        <f t="shared" si="59"/>
        <v>Tercapai</v>
      </c>
      <c r="GF20" s="184">
        <v>2307</v>
      </c>
      <c r="GG20" s="184">
        <v>1806</v>
      </c>
      <c r="GH20" s="179" t="str">
        <f t="shared" si="60"/>
        <v>Tidak Tercapai</v>
      </c>
      <c r="GI20" s="184">
        <v>2431</v>
      </c>
      <c r="GJ20" s="184">
        <v>2182</v>
      </c>
      <c r="GK20" s="179" t="str">
        <f t="shared" si="61"/>
        <v>Tidak Tercapai</v>
      </c>
      <c r="GL20" s="184">
        <v>3265</v>
      </c>
      <c r="GM20" s="184">
        <v>3467</v>
      </c>
      <c r="GN20" s="179" t="str">
        <f t="shared" si="62"/>
        <v>Tercapai</v>
      </c>
      <c r="GO20" s="184">
        <v>4715</v>
      </c>
      <c r="GP20" s="184">
        <v>3856</v>
      </c>
      <c r="GQ20" s="179" t="str">
        <f t="shared" si="63"/>
        <v>Tercapai</v>
      </c>
      <c r="GR20" s="184">
        <v>2940</v>
      </c>
      <c r="GS20" s="184">
        <v>5028</v>
      </c>
      <c r="GT20" s="179" t="str">
        <f t="shared" si="64"/>
        <v>Tercapai</v>
      </c>
      <c r="GU20" s="184">
        <v>3334</v>
      </c>
      <c r="GV20" s="184">
        <v>3708</v>
      </c>
      <c r="GW20" s="179" t="str">
        <f t="shared" si="65"/>
        <v>Tercapai</v>
      </c>
      <c r="GX20" s="184">
        <v>3666</v>
      </c>
      <c r="GY20" s="184">
        <v>1461</v>
      </c>
      <c r="GZ20" s="179" t="str">
        <f t="shared" si="66"/>
        <v>Tidak Tercapai</v>
      </c>
      <c r="HA20" s="184">
        <v>632</v>
      </c>
      <c r="HB20" s="184">
        <v>1769</v>
      </c>
      <c r="HC20" s="179" t="str">
        <f t="shared" si="67"/>
        <v>Tidak Tercapai</v>
      </c>
      <c r="HD20" s="184">
        <v>3568</v>
      </c>
      <c r="HE20" s="184">
        <v>1415</v>
      </c>
      <c r="HF20" s="179" t="str">
        <f t="shared" si="68"/>
        <v>Tidak Tercapai</v>
      </c>
      <c r="HG20" s="184">
        <v>2474</v>
      </c>
      <c r="HH20" s="184">
        <v>1224</v>
      </c>
      <c r="HI20" s="179" t="str">
        <f t="shared" si="69"/>
        <v>Tidak Tercapai</v>
      </c>
      <c r="HJ20" s="184">
        <v>1223</v>
      </c>
      <c r="HK20" s="184">
        <v>1568</v>
      </c>
      <c r="HL20" s="179" t="str">
        <f t="shared" si="70"/>
        <v>Tidak Tercapai</v>
      </c>
      <c r="HM20" s="184">
        <v>1706</v>
      </c>
      <c r="HN20" s="184">
        <v>640</v>
      </c>
      <c r="HO20" s="179" t="str">
        <f t="shared" si="71"/>
        <v>Tidak Tercapai</v>
      </c>
      <c r="HP20" s="184">
        <v>789</v>
      </c>
      <c r="HQ20" s="184">
        <v>2389</v>
      </c>
      <c r="HR20" s="179" t="str">
        <f t="shared" si="72"/>
        <v>Tidak Tercapai</v>
      </c>
      <c r="HS20" s="184">
        <v>2975</v>
      </c>
      <c r="HT20" s="184">
        <v>2241</v>
      </c>
      <c r="HU20" s="179" t="str">
        <f t="shared" si="73"/>
        <v>Tidak Tercapai</v>
      </c>
      <c r="HV20" s="184">
        <v>3146</v>
      </c>
      <c r="HW20" s="184">
        <v>2488</v>
      </c>
      <c r="HX20" s="179" t="str">
        <f t="shared" si="74"/>
        <v>Tidak Tercapai</v>
      </c>
      <c r="HY20" s="184">
        <v>2477</v>
      </c>
      <c r="HZ20" s="184">
        <v>1394</v>
      </c>
      <c r="IA20" s="179" t="str">
        <f t="shared" si="75"/>
        <v>Tidak Tercapai</v>
      </c>
      <c r="IB20" s="184">
        <v>2172</v>
      </c>
      <c r="IC20" s="184">
        <v>2349</v>
      </c>
      <c r="ID20" s="179" t="str">
        <f t="shared" si="76"/>
        <v>Tidak Tercapai</v>
      </c>
      <c r="IE20" s="184">
        <v>3049</v>
      </c>
      <c r="IF20" s="184">
        <v>284</v>
      </c>
      <c r="IG20" s="179" t="str">
        <f t="shared" si="77"/>
        <v>Tidak Tercapai</v>
      </c>
      <c r="IH20" s="184">
        <v>418</v>
      </c>
      <c r="II20" s="184">
        <v>51</v>
      </c>
      <c r="IJ20" s="179" t="str">
        <f t="shared" si="78"/>
        <v>Tidak Tercapai</v>
      </c>
      <c r="IK20" s="184">
        <v>86</v>
      </c>
      <c r="IL20" s="42"/>
      <c r="IM20" s="42"/>
      <c r="IN20" s="42"/>
      <c r="IO20" s="42"/>
      <c r="IP20" s="42"/>
      <c r="IQ20" s="42"/>
      <c r="IR20" s="42"/>
      <c r="IS20" s="42"/>
      <c r="IT20" s="42"/>
      <c r="IU20" s="42"/>
      <c r="IV20" s="42"/>
    </row>
    <row r="21" spans="1:256" ht="15.6" x14ac:dyDescent="0.3">
      <c r="A21" s="167">
        <v>19</v>
      </c>
      <c r="B21" s="168" t="s">
        <v>478</v>
      </c>
      <c r="C21" s="167" t="s">
        <v>459</v>
      </c>
      <c r="D21" s="169">
        <v>221310</v>
      </c>
      <c r="E21" s="167">
        <v>2565</v>
      </c>
      <c r="F21" s="187">
        <v>28635</v>
      </c>
      <c r="G21" s="171" t="s">
        <v>457</v>
      </c>
      <c r="H21" s="187">
        <v>16484</v>
      </c>
      <c r="I21" s="187">
        <v>165</v>
      </c>
      <c r="J21" s="171" t="str">
        <f t="shared" si="0"/>
        <v>Tidak Tercapai</v>
      </c>
      <c r="K21" s="187">
        <v>5</v>
      </c>
      <c r="L21" s="187">
        <v>0</v>
      </c>
      <c r="M21" s="171" t="str">
        <f t="shared" si="1"/>
        <v>Tidak Tercapai</v>
      </c>
      <c r="N21" s="187">
        <v>0</v>
      </c>
      <c r="O21" s="167">
        <v>1611</v>
      </c>
      <c r="P21" s="171" t="str">
        <f t="shared" si="2"/>
        <v>Tidak Tercapai</v>
      </c>
      <c r="Q21" s="172">
        <v>15</v>
      </c>
      <c r="R21" s="167">
        <v>1984</v>
      </c>
      <c r="S21" s="173" t="str">
        <f t="shared" si="3"/>
        <v>Tidak Tercapai</v>
      </c>
      <c r="T21" s="172">
        <v>13</v>
      </c>
      <c r="U21" s="174">
        <v>2233</v>
      </c>
      <c r="V21" s="173" t="str">
        <f t="shared" si="4"/>
        <v>Tercapai</v>
      </c>
      <c r="W21" s="175">
        <v>21</v>
      </c>
      <c r="X21" s="188">
        <v>1310</v>
      </c>
      <c r="Y21" s="176" t="str">
        <f t="shared" si="5"/>
        <v>Tidak Tercapai</v>
      </c>
      <c r="Z21" s="177">
        <v>26</v>
      </c>
      <c r="AA21" s="178">
        <v>1954</v>
      </c>
      <c r="AB21" s="179" t="str">
        <f t="shared" si="6"/>
        <v>Tidak Tercapai</v>
      </c>
      <c r="AC21" s="178">
        <v>28</v>
      </c>
      <c r="AD21" s="184">
        <v>481</v>
      </c>
      <c r="AE21" s="179" t="str">
        <f t="shared" si="7"/>
        <v>Tidak Tercapai</v>
      </c>
      <c r="AF21" s="178">
        <v>12</v>
      </c>
      <c r="AG21" s="178">
        <v>337</v>
      </c>
      <c r="AH21" s="179" t="str">
        <f t="shared" si="8"/>
        <v>Tidak Tercapai</v>
      </c>
      <c r="AI21" s="178">
        <v>1</v>
      </c>
      <c r="AJ21" s="184">
        <v>1937</v>
      </c>
      <c r="AK21" s="179" t="str">
        <f t="shared" si="9"/>
        <v>Tidak Tercapai</v>
      </c>
      <c r="AL21" s="184">
        <v>27</v>
      </c>
      <c r="AM21" s="184">
        <v>1141</v>
      </c>
      <c r="AN21" s="179" t="str">
        <f t="shared" si="10"/>
        <v>Tidak Tercapai</v>
      </c>
      <c r="AO21" s="184">
        <v>30</v>
      </c>
      <c r="AP21" s="178">
        <v>3565</v>
      </c>
      <c r="AQ21" s="179" t="str">
        <f t="shared" si="11"/>
        <v>Tercapai</v>
      </c>
      <c r="AR21" s="178">
        <v>18</v>
      </c>
      <c r="AS21" s="178">
        <v>2236</v>
      </c>
      <c r="AT21" s="179" t="str">
        <f t="shared" si="12"/>
        <v>Tidak Tercapai</v>
      </c>
      <c r="AU21" s="178">
        <v>18</v>
      </c>
      <c r="AV21" s="170">
        <v>2713</v>
      </c>
      <c r="AW21" s="179" t="str">
        <f t="shared" si="13"/>
        <v>Tercapai</v>
      </c>
      <c r="AX21" s="178">
        <v>18</v>
      </c>
      <c r="AY21" s="178">
        <v>597</v>
      </c>
      <c r="AZ21" s="179" t="str">
        <f t="shared" si="14"/>
        <v>Tidak Tercapai</v>
      </c>
      <c r="BA21" s="178">
        <v>12</v>
      </c>
      <c r="BB21" s="183">
        <v>0</v>
      </c>
      <c r="BC21" s="179" t="str">
        <f t="shared" si="15"/>
        <v>Tidak Tercapai</v>
      </c>
      <c r="BD21" s="178">
        <v>2</v>
      </c>
      <c r="BE21" s="184">
        <v>1577</v>
      </c>
      <c r="BF21" s="179" t="str">
        <f t="shared" si="16"/>
        <v>Tidak Tercapai</v>
      </c>
      <c r="BG21" s="170">
        <v>12</v>
      </c>
      <c r="BH21" s="184">
        <v>1385</v>
      </c>
      <c r="BI21" s="179" t="str">
        <f t="shared" si="17"/>
        <v>Tidak Tercapai</v>
      </c>
      <c r="BJ21" s="184">
        <v>15</v>
      </c>
      <c r="BK21" s="184">
        <v>1884</v>
      </c>
      <c r="BL21" s="179" t="str">
        <f t="shared" si="18"/>
        <v>Tidak Tercapai</v>
      </c>
      <c r="BM21" s="184">
        <v>16</v>
      </c>
      <c r="BN21" s="184">
        <v>1243</v>
      </c>
      <c r="BO21" s="179" t="str">
        <f t="shared" si="19"/>
        <v>Tidak Tercapai</v>
      </c>
      <c r="BP21" s="184">
        <v>12</v>
      </c>
      <c r="BQ21" s="184">
        <v>1032</v>
      </c>
      <c r="BR21" s="179" t="str">
        <f t="shared" si="20"/>
        <v>Tidak Tercapai</v>
      </c>
      <c r="BS21" s="184">
        <v>16</v>
      </c>
      <c r="BT21" s="184">
        <v>1128</v>
      </c>
      <c r="BU21" s="179" t="str">
        <f t="shared" si="21"/>
        <v>Tidak Tercapai</v>
      </c>
      <c r="BV21" s="185">
        <v>16.818999999999999</v>
      </c>
      <c r="BW21" s="184">
        <v>32</v>
      </c>
      <c r="BX21" s="179" t="str">
        <f t="shared" si="22"/>
        <v>Tidak Tercapai</v>
      </c>
      <c r="BY21" s="184">
        <v>1</v>
      </c>
      <c r="BZ21" s="184">
        <v>1167</v>
      </c>
      <c r="CA21" s="179" t="str">
        <f t="shared" si="23"/>
        <v>Tidak Tercapai</v>
      </c>
      <c r="CB21" s="184">
        <v>1144</v>
      </c>
      <c r="CC21" s="184">
        <v>2024</v>
      </c>
      <c r="CD21" s="179" t="str">
        <f t="shared" si="24"/>
        <v>Tidak Tercapai</v>
      </c>
      <c r="CE21" s="184">
        <v>16</v>
      </c>
      <c r="CF21" s="184">
        <v>1143</v>
      </c>
      <c r="CG21" s="179" t="str">
        <f t="shared" si="25"/>
        <v>Tidak Tercapai</v>
      </c>
      <c r="CH21" s="184">
        <v>7</v>
      </c>
      <c r="CI21" s="184">
        <v>2178</v>
      </c>
      <c r="CJ21" s="179" t="str">
        <f t="shared" si="26"/>
        <v>Tidak Tercapai</v>
      </c>
      <c r="CK21" s="184">
        <v>28</v>
      </c>
      <c r="CL21" s="184">
        <v>328</v>
      </c>
      <c r="CM21" s="179" t="str">
        <f t="shared" si="27"/>
        <v>Tidak Tercapai</v>
      </c>
      <c r="CN21" s="184">
        <v>3</v>
      </c>
      <c r="CO21" s="184">
        <v>4</v>
      </c>
      <c r="CP21" s="179" t="str">
        <f t="shared" si="28"/>
        <v>Tidak Tercapai</v>
      </c>
      <c r="CQ21" s="184">
        <v>1</v>
      </c>
      <c r="CR21" s="184">
        <v>0</v>
      </c>
      <c r="CS21" s="179" t="str">
        <f t="shared" si="29"/>
        <v>Tidak Tercapai</v>
      </c>
      <c r="CT21" s="184">
        <v>0</v>
      </c>
      <c r="CU21" s="184">
        <v>665</v>
      </c>
      <c r="CV21" s="179" t="str">
        <f t="shared" si="30"/>
        <v>Tidak Tercapai</v>
      </c>
      <c r="CW21" s="184">
        <v>12</v>
      </c>
      <c r="CX21" s="184">
        <v>5376</v>
      </c>
      <c r="CY21" s="179" t="str">
        <f t="shared" si="31"/>
        <v>Tercapai</v>
      </c>
      <c r="CZ21" s="184">
        <v>75</v>
      </c>
      <c r="DA21" s="184">
        <v>1794</v>
      </c>
      <c r="DB21" s="179" t="str">
        <f t="shared" si="32"/>
        <v>Tidak Tercapai</v>
      </c>
      <c r="DC21" s="184">
        <v>11</v>
      </c>
      <c r="DD21" s="184">
        <v>1993</v>
      </c>
      <c r="DE21" s="179" t="str">
        <f t="shared" si="33"/>
        <v>Tidak Tercapai</v>
      </c>
      <c r="DF21" s="184">
        <v>25</v>
      </c>
      <c r="DG21" s="184">
        <v>2264</v>
      </c>
      <c r="DH21" s="179" t="str">
        <f t="shared" si="34"/>
        <v>Tidak Tercapai</v>
      </c>
      <c r="DI21" s="184">
        <v>14</v>
      </c>
      <c r="DJ21" s="184">
        <v>970</v>
      </c>
      <c r="DK21" s="179" t="str">
        <f t="shared" si="35"/>
        <v>Tidak Tercapai</v>
      </c>
      <c r="DL21" s="184">
        <v>11</v>
      </c>
      <c r="DM21" s="184">
        <v>178</v>
      </c>
      <c r="DN21" s="179" t="str">
        <f t="shared" si="36"/>
        <v>Tidak Tercapai</v>
      </c>
      <c r="DO21" s="184">
        <v>3</v>
      </c>
      <c r="DP21" s="184">
        <v>2006</v>
      </c>
      <c r="DQ21" s="179" t="str">
        <f t="shared" si="37"/>
        <v>Tidak Tercapai</v>
      </c>
      <c r="DR21" s="184">
        <v>170</v>
      </c>
      <c r="DS21" s="184">
        <v>0</v>
      </c>
      <c r="DT21" s="179" t="str">
        <f t="shared" si="38"/>
        <v>Tidak Tercapai</v>
      </c>
      <c r="DU21" s="184">
        <v>0</v>
      </c>
      <c r="DV21" s="184">
        <v>1144</v>
      </c>
      <c r="DW21" s="179" t="str">
        <f t="shared" si="39"/>
        <v>Tidak Tercapai</v>
      </c>
      <c r="DX21" s="184">
        <v>101</v>
      </c>
      <c r="DY21" s="184">
        <v>1034</v>
      </c>
      <c r="DZ21" s="179" t="str">
        <f t="shared" si="40"/>
        <v>Tidak Tercapai</v>
      </c>
      <c r="EA21" s="184">
        <v>132</v>
      </c>
      <c r="EB21" s="184">
        <v>1580</v>
      </c>
      <c r="EC21" s="179" t="str">
        <f t="shared" si="41"/>
        <v>Tidak Tercapai</v>
      </c>
      <c r="ED21" s="184">
        <v>293</v>
      </c>
      <c r="EE21" s="184">
        <v>1451</v>
      </c>
      <c r="EF21" s="179" t="str">
        <f t="shared" si="42"/>
        <v>Tidak Tercapai</v>
      </c>
      <c r="EG21" s="184">
        <v>226</v>
      </c>
      <c r="EH21" s="184">
        <v>993</v>
      </c>
      <c r="EI21" s="179" t="str">
        <f t="shared" si="43"/>
        <v>Tidak Tercapai</v>
      </c>
      <c r="EJ21" s="184">
        <v>76</v>
      </c>
      <c r="EK21" s="184">
        <v>1837</v>
      </c>
      <c r="EL21" s="179" t="str">
        <f t="shared" si="44"/>
        <v>Tidak Tercapai</v>
      </c>
      <c r="EM21" s="184">
        <v>1264</v>
      </c>
      <c r="EN21" s="184">
        <v>1359</v>
      </c>
      <c r="EO21" s="179" t="str">
        <f t="shared" si="45"/>
        <v>Tidak Tercapai</v>
      </c>
      <c r="EP21" s="184">
        <v>827</v>
      </c>
      <c r="EQ21" s="184">
        <v>1990</v>
      </c>
      <c r="ER21" s="179" t="str">
        <f t="shared" si="46"/>
        <v>Tidak Tercapai</v>
      </c>
      <c r="ES21" s="178">
        <v>1565</v>
      </c>
      <c r="ET21" s="184">
        <v>1702</v>
      </c>
      <c r="EU21" s="179" t="str">
        <f t="shared" si="47"/>
        <v>Tidak Tercapai</v>
      </c>
      <c r="EV21" s="184">
        <v>1498</v>
      </c>
      <c r="EW21" s="184">
        <v>2069</v>
      </c>
      <c r="EX21" s="179" t="str">
        <f t="shared" si="48"/>
        <v>Tidak Tercapai</v>
      </c>
      <c r="EY21" s="184">
        <v>1281</v>
      </c>
      <c r="EZ21" s="184">
        <v>1904</v>
      </c>
      <c r="FA21" s="179" t="str">
        <f t="shared" si="49"/>
        <v>Tidak Tercapai</v>
      </c>
      <c r="FB21" s="184">
        <v>527</v>
      </c>
      <c r="FC21" s="184">
        <v>3083</v>
      </c>
      <c r="FD21" s="179" t="str">
        <f t="shared" si="50"/>
        <v>Tercapai</v>
      </c>
      <c r="FE21" s="184">
        <v>147</v>
      </c>
      <c r="FF21" s="190">
        <v>9603</v>
      </c>
      <c r="FG21" s="179" t="str">
        <f t="shared" si="51"/>
        <v>Tercapai</v>
      </c>
      <c r="FH21" s="190">
        <v>1446</v>
      </c>
      <c r="FI21" s="190">
        <v>2835</v>
      </c>
      <c r="FJ21" s="179" t="str">
        <f t="shared" si="52"/>
        <v>Tercapai</v>
      </c>
      <c r="FK21" s="190">
        <v>1431</v>
      </c>
      <c r="FL21" s="186">
        <v>671</v>
      </c>
      <c r="FM21" s="179" t="str">
        <f t="shared" si="53"/>
        <v>Tidak Tercapai</v>
      </c>
      <c r="FN21" s="184">
        <v>924</v>
      </c>
      <c r="FO21" s="184">
        <v>2394</v>
      </c>
      <c r="FP21" s="179" t="str">
        <f t="shared" si="54"/>
        <v>Tidak Tercapai</v>
      </c>
      <c r="FQ21" s="184">
        <v>464</v>
      </c>
      <c r="FR21" s="184">
        <v>1356</v>
      </c>
      <c r="FS21" s="179" t="str">
        <f t="shared" si="55"/>
        <v>Tidak Tercapai</v>
      </c>
      <c r="FT21" s="184">
        <v>988</v>
      </c>
      <c r="FU21" s="184">
        <v>4592</v>
      </c>
      <c r="FV21" s="179" t="str">
        <f t="shared" si="56"/>
        <v>Tercapai</v>
      </c>
      <c r="FW21" s="184">
        <v>2399</v>
      </c>
      <c r="FX21" s="184">
        <v>8038</v>
      </c>
      <c r="FY21" s="179" t="str">
        <f t="shared" si="57"/>
        <v>Tercapai</v>
      </c>
      <c r="FZ21" s="184">
        <v>2774</v>
      </c>
      <c r="GA21" s="184">
        <v>2648</v>
      </c>
      <c r="GB21" s="179" t="str">
        <f t="shared" si="58"/>
        <v>Tercapai</v>
      </c>
      <c r="GC21" s="184">
        <v>2054</v>
      </c>
      <c r="GD21" s="184">
        <v>1828</v>
      </c>
      <c r="GE21" s="179" t="str">
        <f t="shared" si="59"/>
        <v>Tidak Tercapai</v>
      </c>
      <c r="GF21" s="184">
        <v>1327</v>
      </c>
      <c r="GG21" s="184">
        <v>1183</v>
      </c>
      <c r="GH21" s="179" t="str">
        <f t="shared" si="60"/>
        <v>Tidak Tercapai</v>
      </c>
      <c r="GI21" s="184">
        <v>122</v>
      </c>
      <c r="GJ21" s="184">
        <v>1855</v>
      </c>
      <c r="GK21" s="179" t="str">
        <f t="shared" si="61"/>
        <v>Tidak Tercapai</v>
      </c>
      <c r="GL21" s="184">
        <v>2185</v>
      </c>
      <c r="GM21" s="184">
        <v>2691</v>
      </c>
      <c r="GN21" s="179" t="str">
        <f t="shared" si="62"/>
        <v>Tercapai</v>
      </c>
      <c r="GO21" s="184">
        <v>2388</v>
      </c>
      <c r="GP21" s="184">
        <v>3089</v>
      </c>
      <c r="GQ21" s="179" t="str">
        <f t="shared" si="63"/>
        <v>Tercapai</v>
      </c>
      <c r="GR21" s="184">
        <v>1129</v>
      </c>
      <c r="GS21" s="184">
        <v>1762</v>
      </c>
      <c r="GT21" s="179" t="str">
        <f t="shared" si="64"/>
        <v>Tidak Tercapai</v>
      </c>
      <c r="GU21" s="184">
        <v>231</v>
      </c>
      <c r="GV21" s="184">
        <v>3065</v>
      </c>
      <c r="GW21" s="179" t="str">
        <f t="shared" si="65"/>
        <v>Tercapai</v>
      </c>
      <c r="GX21" s="184">
        <v>1425</v>
      </c>
      <c r="GY21" s="184">
        <v>951</v>
      </c>
      <c r="GZ21" s="179" t="str">
        <f t="shared" si="66"/>
        <v>Tidak Tercapai</v>
      </c>
      <c r="HA21" s="184">
        <v>195</v>
      </c>
      <c r="HB21" s="184">
        <v>431</v>
      </c>
      <c r="HC21" s="179" t="str">
        <f t="shared" si="67"/>
        <v>Tidak Tercapai</v>
      </c>
      <c r="HD21" s="184">
        <v>1483</v>
      </c>
      <c r="HE21" s="184">
        <v>436</v>
      </c>
      <c r="HF21" s="179" t="str">
        <f t="shared" si="68"/>
        <v>Tidak Tercapai</v>
      </c>
      <c r="HG21" s="184">
        <v>1606</v>
      </c>
      <c r="HH21" s="184">
        <v>427</v>
      </c>
      <c r="HI21" s="179" t="str">
        <f t="shared" si="69"/>
        <v>Tidak Tercapai</v>
      </c>
      <c r="HJ21" s="184">
        <v>896</v>
      </c>
      <c r="HK21" s="184">
        <v>219</v>
      </c>
      <c r="HL21" s="179" t="str">
        <f t="shared" si="70"/>
        <v>Tidak Tercapai</v>
      </c>
      <c r="HM21" s="184">
        <v>1658</v>
      </c>
      <c r="HN21" s="184">
        <v>147</v>
      </c>
      <c r="HO21" s="179" t="str">
        <f t="shared" si="71"/>
        <v>Tidak Tercapai</v>
      </c>
      <c r="HP21" s="184">
        <v>528</v>
      </c>
      <c r="HQ21" s="184">
        <v>683</v>
      </c>
      <c r="HR21" s="179" t="str">
        <f t="shared" si="72"/>
        <v>Tidak Tercapai</v>
      </c>
      <c r="HS21" s="184">
        <v>2020</v>
      </c>
      <c r="HT21" s="184">
        <v>601</v>
      </c>
      <c r="HU21" s="179" t="str">
        <f t="shared" si="73"/>
        <v>Tidak Tercapai</v>
      </c>
      <c r="HV21" s="184">
        <v>1817</v>
      </c>
      <c r="HW21" s="184">
        <v>397</v>
      </c>
      <c r="HX21" s="179" t="str">
        <f t="shared" si="74"/>
        <v>Tidak Tercapai</v>
      </c>
      <c r="HY21" s="184">
        <v>1706</v>
      </c>
      <c r="HZ21" s="184">
        <v>334</v>
      </c>
      <c r="IA21" s="179" t="str">
        <f t="shared" si="75"/>
        <v>Tidak Tercapai</v>
      </c>
      <c r="IB21" s="184">
        <v>1922</v>
      </c>
      <c r="IC21" s="184">
        <v>972</v>
      </c>
      <c r="ID21" s="179" t="str">
        <f t="shared" si="76"/>
        <v>Tidak Tercapai</v>
      </c>
      <c r="IE21" s="184">
        <v>2903</v>
      </c>
      <c r="IF21" s="184">
        <v>174</v>
      </c>
      <c r="IG21" s="179" t="str">
        <f t="shared" si="77"/>
        <v>Tidak Tercapai</v>
      </c>
      <c r="IH21" s="184">
        <v>238</v>
      </c>
      <c r="II21" s="184">
        <v>0</v>
      </c>
      <c r="IJ21" s="179" t="str">
        <f t="shared" si="78"/>
        <v>Tidak Tercapai</v>
      </c>
      <c r="IK21" s="184">
        <v>3</v>
      </c>
      <c r="IL21" s="42"/>
      <c r="IM21" s="42"/>
      <c r="IN21" s="42"/>
      <c r="IO21" s="42"/>
      <c r="IP21" s="42"/>
      <c r="IQ21" s="42"/>
      <c r="IR21" s="42"/>
      <c r="IS21" s="42"/>
      <c r="IT21" s="42"/>
      <c r="IU21" s="42"/>
      <c r="IV21" s="42"/>
    </row>
    <row r="22" spans="1:256" ht="15.6" x14ac:dyDescent="0.3">
      <c r="A22" s="167">
        <v>20</v>
      </c>
      <c r="B22" s="168" t="s">
        <v>479</v>
      </c>
      <c r="C22" s="167" t="s">
        <v>466</v>
      </c>
      <c r="D22" s="169">
        <v>212090</v>
      </c>
      <c r="E22" s="167">
        <v>2378</v>
      </c>
      <c r="F22" s="187">
        <v>31145</v>
      </c>
      <c r="G22" s="171" t="s">
        <v>457</v>
      </c>
      <c r="H22" s="187">
        <v>19138</v>
      </c>
      <c r="I22" s="187">
        <v>16</v>
      </c>
      <c r="J22" s="171" t="str">
        <f t="shared" si="0"/>
        <v>Tidak Tercapai</v>
      </c>
      <c r="K22" s="187">
        <v>2</v>
      </c>
      <c r="L22" s="187">
        <v>0</v>
      </c>
      <c r="M22" s="171" t="str">
        <f t="shared" si="1"/>
        <v>Tidak Tercapai</v>
      </c>
      <c r="N22" s="187">
        <v>1</v>
      </c>
      <c r="O22" s="167">
        <v>1100</v>
      </c>
      <c r="P22" s="171" t="str">
        <f t="shared" si="2"/>
        <v>Tidak Tercapai</v>
      </c>
      <c r="Q22" s="172">
        <v>62</v>
      </c>
      <c r="R22" s="167">
        <v>1442</v>
      </c>
      <c r="S22" s="173" t="str">
        <f t="shared" si="3"/>
        <v>Tidak Tercapai</v>
      </c>
      <c r="T22" s="172">
        <v>40</v>
      </c>
      <c r="U22" s="174">
        <v>1430</v>
      </c>
      <c r="V22" s="173" t="str">
        <f t="shared" si="4"/>
        <v>Tidak Tercapai</v>
      </c>
      <c r="W22" s="175">
        <v>24</v>
      </c>
      <c r="X22" s="188">
        <v>1397</v>
      </c>
      <c r="Y22" s="176" t="str">
        <f t="shared" si="5"/>
        <v>Tidak Tercapai</v>
      </c>
      <c r="Z22" s="177">
        <v>21</v>
      </c>
      <c r="AA22" s="178">
        <v>1674</v>
      </c>
      <c r="AB22" s="179" t="str">
        <f t="shared" si="6"/>
        <v>Tidak Tercapai</v>
      </c>
      <c r="AC22" s="178">
        <v>24</v>
      </c>
      <c r="AD22" s="184">
        <v>567</v>
      </c>
      <c r="AE22" s="179" t="str">
        <f t="shared" si="7"/>
        <v>Tidak Tercapai</v>
      </c>
      <c r="AF22" s="178">
        <v>1</v>
      </c>
      <c r="AG22" s="178">
        <v>88</v>
      </c>
      <c r="AH22" s="179" t="str">
        <f t="shared" si="8"/>
        <v>Tidak Tercapai</v>
      </c>
      <c r="AI22" s="178">
        <v>0</v>
      </c>
      <c r="AJ22" s="184">
        <v>2686</v>
      </c>
      <c r="AK22" s="179" t="str">
        <f t="shared" si="9"/>
        <v>Tercapai</v>
      </c>
      <c r="AL22" s="184">
        <v>46</v>
      </c>
      <c r="AM22" s="184">
        <v>954</v>
      </c>
      <c r="AN22" s="179" t="str">
        <f t="shared" si="10"/>
        <v>Tidak Tercapai</v>
      </c>
      <c r="AO22" s="184">
        <v>27</v>
      </c>
      <c r="AP22" s="178">
        <v>2528</v>
      </c>
      <c r="AQ22" s="179" t="str">
        <f t="shared" si="11"/>
        <v>Tercapai</v>
      </c>
      <c r="AR22" s="178">
        <v>13</v>
      </c>
      <c r="AS22" s="178">
        <v>2650</v>
      </c>
      <c r="AT22" s="179" t="str">
        <f t="shared" si="12"/>
        <v>Tercapai</v>
      </c>
      <c r="AU22" s="178">
        <v>27</v>
      </c>
      <c r="AV22" s="170">
        <v>2317</v>
      </c>
      <c r="AW22" s="179" t="str">
        <f t="shared" si="13"/>
        <v>Tidak Tercapai</v>
      </c>
      <c r="AX22" s="178">
        <v>56</v>
      </c>
      <c r="AY22" s="178">
        <v>579</v>
      </c>
      <c r="AZ22" s="179" t="str">
        <f t="shared" si="14"/>
        <v>Tidak Tercapai</v>
      </c>
      <c r="BA22" s="178">
        <v>7</v>
      </c>
      <c r="BB22" s="183">
        <v>1</v>
      </c>
      <c r="BC22" s="179" t="str">
        <f t="shared" si="15"/>
        <v>Tidak Tercapai</v>
      </c>
      <c r="BD22" s="178">
        <v>0</v>
      </c>
      <c r="BE22" s="184">
        <v>2368</v>
      </c>
      <c r="BF22" s="179" t="str">
        <f t="shared" si="16"/>
        <v>Tidak Tercapai</v>
      </c>
      <c r="BG22" s="170">
        <v>33</v>
      </c>
      <c r="BH22" s="184">
        <v>2679</v>
      </c>
      <c r="BI22" s="179" t="str">
        <f t="shared" si="17"/>
        <v>Tercapai</v>
      </c>
      <c r="BJ22" s="184">
        <v>24</v>
      </c>
      <c r="BK22" s="184">
        <v>2938</v>
      </c>
      <c r="BL22" s="179" t="str">
        <f t="shared" si="18"/>
        <v>Tercapai</v>
      </c>
      <c r="BM22" s="184">
        <v>41</v>
      </c>
      <c r="BN22" s="184">
        <v>3185</v>
      </c>
      <c r="BO22" s="179" t="str">
        <f t="shared" si="19"/>
        <v>Tercapai</v>
      </c>
      <c r="BP22" s="184">
        <v>24</v>
      </c>
      <c r="BQ22" s="184">
        <v>2721</v>
      </c>
      <c r="BR22" s="179" t="str">
        <f t="shared" si="20"/>
        <v>Tercapai</v>
      </c>
      <c r="BS22" s="184">
        <v>19</v>
      </c>
      <c r="BT22" s="184">
        <v>5166</v>
      </c>
      <c r="BU22" s="179" t="str">
        <f t="shared" si="21"/>
        <v>Tercapai</v>
      </c>
      <c r="BV22" s="185">
        <v>19.657</v>
      </c>
      <c r="BW22" s="184">
        <v>188</v>
      </c>
      <c r="BX22" s="179" t="str">
        <f t="shared" si="22"/>
        <v>Tidak Tercapai</v>
      </c>
      <c r="BY22" s="184">
        <v>1</v>
      </c>
      <c r="BZ22" s="184">
        <v>1607</v>
      </c>
      <c r="CA22" s="179" t="str">
        <f t="shared" si="23"/>
        <v>Tidak Tercapai</v>
      </c>
      <c r="CB22" s="184">
        <v>2050</v>
      </c>
      <c r="CC22" s="184">
        <v>4386</v>
      </c>
      <c r="CD22" s="179" t="str">
        <f t="shared" si="24"/>
        <v>Tercapai</v>
      </c>
      <c r="CE22" s="184">
        <v>39</v>
      </c>
      <c r="CF22" s="184">
        <v>2260</v>
      </c>
      <c r="CG22" s="179" t="str">
        <f t="shared" si="25"/>
        <v>Tidak Tercapai</v>
      </c>
      <c r="CH22" s="184">
        <v>15</v>
      </c>
      <c r="CI22" s="184">
        <v>4154</v>
      </c>
      <c r="CJ22" s="179" t="str">
        <f t="shared" si="26"/>
        <v>Tercapai</v>
      </c>
      <c r="CK22" s="184">
        <v>28</v>
      </c>
      <c r="CL22" s="184">
        <v>1195</v>
      </c>
      <c r="CM22" s="179" t="str">
        <f t="shared" si="27"/>
        <v>Tidak Tercapai</v>
      </c>
      <c r="CN22" s="184">
        <v>10</v>
      </c>
      <c r="CO22" s="184">
        <v>73</v>
      </c>
      <c r="CP22" s="179" t="str">
        <f t="shared" si="28"/>
        <v>Tidak Tercapai</v>
      </c>
      <c r="CQ22" s="184">
        <v>2</v>
      </c>
      <c r="CR22" s="184">
        <v>242</v>
      </c>
      <c r="CS22" s="179" t="str">
        <f t="shared" si="29"/>
        <v>Tidak Tercapai</v>
      </c>
      <c r="CT22" s="184">
        <v>0</v>
      </c>
      <c r="CU22" s="184">
        <v>2015</v>
      </c>
      <c r="CV22" s="179" t="str">
        <f t="shared" si="30"/>
        <v>Tidak Tercapai</v>
      </c>
      <c r="CW22" s="184">
        <v>15</v>
      </c>
      <c r="CX22" s="184">
        <v>8872</v>
      </c>
      <c r="CY22" s="179" t="str">
        <f t="shared" si="31"/>
        <v>Tercapai</v>
      </c>
      <c r="CZ22" s="184">
        <v>126</v>
      </c>
      <c r="DA22" s="184">
        <v>2566</v>
      </c>
      <c r="DB22" s="179" t="str">
        <f t="shared" si="32"/>
        <v>Tercapai</v>
      </c>
      <c r="DC22" s="184">
        <v>43</v>
      </c>
      <c r="DD22" s="184">
        <v>3424</v>
      </c>
      <c r="DE22" s="179" t="str">
        <f t="shared" si="33"/>
        <v>Tercapai</v>
      </c>
      <c r="DF22" s="184">
        <v>33</v>
      </c>
      <c r="DG22" s="184">
        <v>2996</v>
      </c>
      <c r="DH22" s="179" t="str">
        <f t="shared" si="34"/>
        <v>Tercapai</v>
      </c>
      <c r="DI22" s="184">
        <v>112</v>
      </c>
      <c r="DJ22" s="184">
        <v>1616</v>
      </c>
      <c r="DK22" s="179" t="str">
        <f t="shared" si="35"/>
        <v>Tidak Tercapai</v>
      </c>
      <c r="DL22" s="184">
        <v>10</v>
      </c>
      <c r="DM22" s="184">
        <v>1056</v>
      </c>
      <c r="DN22" s="179" t="str">
        <f t="shared" si="36"/>
        <v>Tidak Tercapai</v>
      </c>
      <c r="DO22" s="184">
        <v>1</v>
      </c>
      <c r="DP22" s="184">
        <v>1498</v>
      </c>
      <c r="DQ22" s="179" t="str">
        <f t="shared" si="37"/>
        <v>Tidak Tercapai</v>
      </c>
      <c r="DR22" s="184">
        <v>630</v>
      </c>
      <c r="DS22" s="184">
        <v>35</v>
      </c>
      <c r="DT22" s="179" t="str">
        <f t="shared" si="38"/>
        <v>Tidak Tercapai</v>
      </c>
      <c r="DU22" s="184">
        <v>23</v>
      </c>
      <c r="DV22" s="184">
        <v>2162</v>
      </c>
      <c r="DW22" s="179" t="str">
        <f t="shared" si="39"/>
        <v>Tidak Tercapai</v>
      </c>
      <c r="DX22" s="184">
        <v>1678</v>
      </c>
      <c r="DY22" s="184">
        <v>2382</v>
      </c>
      <c r="DZ22" s="179" t="str">
        <f t="shared" si="40"/>
        <v>Tercapai</v>
      </c>
      <c r="EA22" s="184">
        <v>1365</v>
      </c>
      <c r="EB22" s="184">
        <v>1965</v>
      </c>
      <c r="EC22" s="179" t="str">
        <f t="shared" si="41"/>
        <v>Tidak Tercapai</v>
      </c>
      <c r="ED22" s="184">
        <v>2217</v>
      </c>
      <c r="EE22" s="184">
        <v>1575</v>
      </c>
      <c r="EF22" s="179" t="str">
        <f t="shared" si="42"/>
        <v>Tidak Tercapai</v>
      </c>
      <c r="EG22" s="184">
        <v>191</v>
      </c>
      <c r="EH22" s="184">
        <v>842</v>
      </c>
      <c r="EI22" s="179" t="str">
        <f t="shared" si="43"/>
        <v>Tidak Tercapai</v>
      </c>
      <c r="EJ22" s="184">
        <v>33</v>
      </c>
      <c r="EK22" s="184">
        <v>1770</v>
      </c>
      <c r="EL22" s="179" t="str">
        <f t="shared" si="44"/>
        <v>Tidak Tercapai</v>
      </c>
      <c r="EM22" s="184">
        <v>1800</v>
      </c>
      <c r="EN22" s="184">
        <v>1811</v>
      </c>
      <c r="EO22" s="179" t="str">
        <f t="shared" si="45"/>
        <v>Tidak Tercapai</v>
      </c>
      <c r="EP22" s="184">
        <v>1750</v>
      </c>
      <c r="EQ22" s="184">
        <v>2116</v>
      </c>
      <c r="ER22" s="179" t="str">
        <f t="shared" si="46"/>
        <v>Tidak Tercapai</v>
      </c>
      <c r="ES22" s="178">
        <v>2033</v>
      </c>
      <c r="ET22" s="184">
        <v>1852</v>
      </c>
      <c r="EU22" s="179" t="str">
        <f t="shared" si="47"/>
        <v>Tidak Tercapai</v>
      </c>
      <c r="EV22" s="184">
        <v>2908</v>
      </c>
      <c r="EW22" s="184">
        <v>2032</v>
      </c>
      <c r="EX22" s="179" t="str">
        <f t="shared" si="48"/>
        <v>Tidak Tercapai</v>
      </c>
      <c r="EY22" s="184">
        <v>2490</v>
      </c>
      <c r="EZ22" s="184">
        <v>2659</v>
      </c>
      <c r="FA22" s="179" t="str">
        <f t="shared" si="49"/>
        <v>Tercapai</v>
      </c>
      <c r="FB22" s="184">
        <v>943</v>
      </c>
      <c r="FC22" s="184">
        <v>2318</v>
      </c>
      <c r="FD22" s="179" t="str">
        <f t="shared" si="50"/>
        <v>Tidak Tercapai</v>
      </c>
      <c r="FE22" s="184">
        <v>199</v>
      </c>
      <c r="FF22" s="184">
        <v>1807</v>
      </c>
      <c r="FG22" s="179" t="str">
        <f t="shared" si="51"/>
        <v>Tidak Tercapai</v>
      </c>
      <c r="FH22" s="184">
        <v>2728</v>
      </c>
      <c r="FI22" s="184">
        <v>1382</v>
      </c>
      <c r="FJ22" s="179" t="str">
        <f t="shared" si="52"/>
        <v>Tidak Tercapai</v>
      </c>
      <c r="FK22" s="184">
        <v>2755</v>
      </c>
      <c r="FL22" s="186">
        <v>0</v>
      </c>
      <c r="FM22" s="179" t="str">
        <f t="shared" si="53"/>
        <v>Tidak Tercapai</v>
      </c>
      <c r="FN22" s="184">
        <v>1763</v>
      </c>
      <c r="FO22" s="184">
        <v>810</v>
      </c>
      <c r="FP22" s="179" t="str">
        <f t="shared" si="54"/>
        <v>Tidak Tercapai</v>
      </c>
      <c r="FQ22" s="184">
        <v>898</v>
      </c>
      <c r="FR22" s="184">
        <v>1505</v>
      </c>
      <c r="FS22" s="179" t="str">
        <f t="shared" si="55"/>
        <v>Tidak Tercapai</v>
      </c>
      <c r="FT22" s="184">
        <v>1536</v>
      </c>
      <c r="FU22" s="184">
        <v>5136</v>
      </c>
      <c r="FV22" s="179" t="str">
        <f t="shared" si="56"/>
        <v>Tercapai</v>
      </c>
      <c r="FW22" s="184">
        <v>7014</v>
      </c>
      <c r="FX22" s="184">
        <v>1195</v>
      </c>
      <c r="FY22" s="179" t="str">
        <f t="shared" si="57"/>
        <v>Tidak Tercapai</v>
      </c>
      <c r="FZ22" s="184">
        <v>597</v>
      </c>
      <c r="GA22" s="184">
        <v>1257</v>
      </c>
      <c r="GB22" s="179" t="str">
        <f t="shared" si="58"/>
        <v>Tidak Tercapai</v>
      </c>
      <c r="GC22" s="184">
        <v>2971</v>
      </c>
      <c r="GD22" s="184">
        <v>1096</v>
      </c>
      <c r="GE22" s="179" t="str">
        <f t="shared" si="59"/>
        <v>Tidak Tercapai</v>
      </c>
      <c r="GF22" s="184">
        <v>2534</v>
      </c>
      <c r="GG22" s="184">
        <v>193</v>
      </c>
      <c r="GH22" s="179" t="str">
        <f t="shared" si="60"/>
        <v>Tidak Tercapai</v>
      </c>
      <c r="GI22" s="184">
        <v>793</v>
      </c>
      <c r="GJ22" s="184">
        <v>1698</v>
      </c>
      <c r="GK22" s="179" t="str">
        <f t="shared" si="61"/>
        <v>Tidak Tercapai</v>
      </c>
      <c r="GL22" s="184">
        <v>4041</v>
      </c>
      <c r="GM22" s="184">
        <v>1377</v>
      </c>
      <c r="GN22" s="179" t="str">
        <f t="shared" si="62"/>
        <v>Tidak Tercapai</v>
      </c>
      <c r="GO22" s="184">
        <v>3491</v>
      </c>
      <c r="GP22" s="184">
        <v>1153</v>
      </c>
      <c r="GQ22" s="179" t="str">
        <f t="shared" si="63"/>
        <v>Tidak Tercapai</v>
      </c>
      <c r="GR22" s="184">
        <v>1322</v>
      </c>
      <c r="GS22" s="184">
        <v>517</v>
      </c>
      <c r="GT22" s="179" t="str">
        <f t="shared" si="64"/>
        <v>Tidak Tercapai</v>
      </c>
      <c r="GU22" s="184">
        <v>556</v>
      </c>
      <c r="GV22" s="184">
        <v>2082</v>
      </c>
      <c r="GW22" s="179" t="str">
        <f t="shared" si="65"/>
        <v>Tidak Tercapai</v>
      </c>
      <c r="GX22" s="184">
        <v>2548</v>
      </c>
      <c r="GY22" s="184">
        <v>306</v>
      </c>
      <c r="GZ22" s="179" t="str">
        <f t="shared" si="66"/>
        <v>Tidak Tercapai</v>
      </c>
      <c r="HA22" s="184">
        <v>110</v>
      </c>
      <c r="HB22" s="184">
        <v>1029</v>
      </c>
      <c r="HC22" s="179" t="str">
        <f t="shared" si="67"/>
        <v>Tidak Tercapai</v>
      </c>
      <c r="HD22" s="184">
        <v>1774</v>
      </c>
      <c r="HE22" s="184">
        <v>1385</v>
      </c>
      <c r="HF22" s="179" t="str">
        <f t="shared" si="68"/>
        <v>Tidak Tercapai</v>
      </c>
      <c r="HG22" s="184">
        <v>2478</v>
      </c>
      <c r="HH22" s="184">
        <v>1101</v>
      </c>
      <c r="HI22" s="179" t="str">
        <f t="shared" si="69"/>
        <v>Tidak Tercapai</v>
      </c>
      <c r="HJ22" s="184">
        <v>2652</v>
      </c>
      <c r="HK22" s="184">
        <v>416</v>
      </c>
      <c r="HL22" s="179" t="str">
        <f t="shared" si="70"/>
        <v>Tidak Tercapai</v>
      </c>
      <c r="HM22" s="184">
        <v>1189</v>
      </c>
      <c r="HN22" s="184">
        <v>130</v>
      </c>
      <c r="HO22" s="179" t="str">
        <f t="shared" si="71"/>
        <v>Tidak Tercapai</v>
      </c>
      <c r="HP22" s="184">
        <v>482</v>
      </c>
      <c r="HQ22" s="184">
        <v>1066</v>
      </c>
      <c r="HR22" s="179" t="str">
        <f t="shared" si="72"/>
        <v>Tidak Tercapai</v>
      </c>
      <c r="HS22" s="184">
        <v>1685</v>
      </c>
      <c r="HT22" s="184">
        <v>1257</v>
      </c>
      <c r="HU22" s="179" t="str">
        <f t="shared" si="73"/>
        <v>Tidak Tercapai</v>
      </c>
      <c r="HV22" s="184">
        <v>2429</v>
      </c>
      <c r="HW22" s="184">
        <v>972</v>
      </c>
      <c r="HX22" s="179" t="str">
        <f t="shared" si="74"/>
        <v>Tidak Tercapai</v>
      </c>
      <c r="HY22" s="184">
        <v>2085</v>
      </c>
      <c r="HZ22" s="184">
        <v>1108</v>
      </c>
      <c r="IA22" s="179" t="str">
        <f t="shared" si="75"/>
        <v>Tidak Tercapai</v>
      </c>
      <c r="IB22" s="184">
        <v>1955</v>
      </c>
      <c r="IC22" s="184">
        <v>1426</v>
      </c>
      <c r="ID22" s="179" t="str">
        <f t="shared" si="76"/>
        <v>Tidak Tercapai</v>
      </c>
      <c r="IE22" s="184">
        <v>4592</v>
      </c>
      <c r="IF22" s="184">
        <v>105</v>
      </c>
      <c r="IG22" s="179" t="str">
        <f t="shared" si="77"/>
        <v>Tidak Tercapai</v>
      </c>
      <c r="IH22" s="184">
        <v>688</v>
      </c>
      <c r="II22" s="184">
        <v>14</v>
      </c>
      <c r="IJ22" s="179" t="str">
        <f t="shared" si="78"/>
        <v>Tidak Tercapai</v>
      </c>
      <c r="IK22" s="184">
        <v>6</v>
      </c>
      <c r="IL22" s="42"/>
      <c r="IM22" s="42"/>
      <c r="IN22" s="42"/>
      <c r="IO22" s="42"/>
      <c r="IP22" s="42"/>
      <c r="IQ22" s="42"/>
      <c r="IR22" s="42"/>
      <c r="IS22" s="42"/>
      <c r="IT22" s="42"/>
      <c r="IU22" s="42"/>
      <c r="IV22" s="42"/>
    </row>
    <row r="23" spans="1:256" ht="15.6" x14ac:dyDescent="0.3">
      <c r="A23" s="167">
        <v>21</v>
      </c>
      <c r="B23" s="168" t="s">
        <v>480</v>
      </c>
      <c r="C23" s="167" t="s">
        <v>481</v>
      </c>
      <c r="D23" s="169">
        <v>206657</v>
      </c>
      <c r="E23" s="167">
        <v>2364</v>
      </c>
      <c r="F23" s="187">
        <v>85087</v>
      </c>
      <c r="G23" s="171" t="s">
        <v>457</v>
      </c>
      <c r="H23" s="187">
        <v>53498</v>
      </c>
      <c r="I23" s="187">
        <v>969</v>
      </c>
      <c r="J23" s="171" t="str">
        <f t="shared" si="0"/>
        <v>Tidak Tercapai</v>
      </c>
      <c r="K23" s="187">
        <v>1</v>
      </c>
      <c r="L23" s="187">
        <v>0</v>
      </c>
      <c r="M23" s="171" t="str">
        <f t="shared" si="1"/>
        <v>Tidak Tercapai</v>
      </c>
      <c r="N23" s="187">
        <v>2</v>
      </c>
      <c r="O23" s="167">
        <v>2873</v>
      </c>
      <c r="P23" s="171" t="str">
        <f t="shared" si="2"/>
        <v>Tercapai</v>
      </c>
      <c r="Q23" s="172">
        <v>10</v>
      </c>
      <c r="R23" s="188">
        <v>3229</v>
      </c>
      <c r="S23" s="173" t="str">
        <f t="shared" si="3"/>
        <v>Tercapai</v>
      </c>
      <c r="T23" s="172">
        <v>11</v>
      </c>
      <c r="U23" s="174">
        <v>3483</v>
      </c>
      <c r="V23" s="173" t="str">
        <f t="shared" si="4"/>
        <v>Tercapai</v>
      </c>
      <c r="W23" s="175">
        <v>20</v>
      </c>
      <c r="X23" s="188">
        <v>3229</v>
      </c>
      <c r="Y23" s="176" t="str">
        <f t="shared" si="5"/>
        <v>Tercapai</v>
      </c>
      <c r="Z23" s="177">
        <v>15</v>
      </c>
      <c r="AA23" s="178">
        <v>4363</v>
      </c>
      <c r="AB23" s="179" t="str">
        <f t="shared" si="6"/>
        <v>Tercapai</v>
      </c>
      <c r="AC23" s="178">
        <v>23</v>
      </c>
      <c r="AD23" s="184">
        <v>1861</v>
      </c>
      <c r="AE23" s="179" t="str">
        <f t="shared" si="7"/>
        <v>Tidak Tercapai</v>
      </c>
      <c r="AF23" s="178">
        <v>1</v>
      </c>
      <c r="AG23" s="178">
        <v>167</v>
      </c>
      <c r="AH23" s="179" t="str">
        <f t="shared" si="8"/>
        <v>Tidak Tercapai</v>
      </c>
      <c r="AI23" s="178">
        <v>1</v>
      </c>
      <c r="AJ23" s="184">
        <v>4894</v>
      </c>
      <c r="AK23" s="179" t="str">
        <f t="shared" si="9"/>
        <v>Tercapai</v>
      </c>
      <c r="AL23" s="184">
        <v>8</v>
      </c>
      <c r="AM23" s="184">
        <v>2858</v>
      </c>
      <c r="AN23" s="179" t="str">
        <f t="shared" si="10"/>
        <v>Tercapai</v>
      </c>
      <c r="AO23" s="184">
        <v>77</v>
      </c>
      <c r="AP23" s="178">
        <v>6604</v>
      </c>
      <c r="AQ23" s="179" t="str">
        <f t="shared" si="11"/>
        <v>Tercapai</v>
      </c>
      <c r="AR23" s="178">
        <v>13</v>
      </c>
      <c r="AS23" s="178">
        <v>5297</v>
      </c>
      <c r="AT23" s="179" t="str">
        <f t="shared" si="12"/>
        <v>Tercapai</v>
      </c>
      <c r="AU23" s="178">
        <v>1</v>
      </c>
      <c r="AV23" s="170">
        <v>5841</v>
      </c>
      <c r="AW23" s="179" t="str">
        <f t="shared" si="13"/>
        <v>Tercapai</v>
      </c>
      <c r="AX23" s="178">
        <v>8</v>
      </c>
      <c r="AY23" s="178">
        <v>2481</v>
      </c>
      <c r="AZ23" s="179" t="str">
        <f t="shared" si="14"/>
        <v>Tercapai</v>
      </c>
      <c r="BA23" s="178">
        <v>3</v>
      </c>
      <c r="BB23" s="183">
        <v>549</v>
      </c>
      <c r="BC23" s="179" t="str">
        <f t="shared" si="15"/>
        <v>Tidak Tercapai</v>
      </c>
      <c r="BD23" s="178">
        <v>2</v>
      </c>
      <c r="BE23" s="184">
        <v>5009</v>
      </c>
      <c r="BF23" s="179" t="str">
        <f t="shared" si="16"/>
        <v>Tercapai</v>
      </c>
      <c r="BG23" s="170">
        <v>13</v>
      </c>
      <c r="BH23" s="184">
        <v>5218</v>
      </c>
      <c r="BI23" s="179" t="str">
        <f t="shared" si="17"/>
        <v>Tercapai</v>
      </c>
      <c r="BJ23" s="184">
        <v>14</v>
      </c>
      <c r="BK23" s="184">
        <v>5287</v>
      </c>
      <c r="BL23" s="179" t="str">
        <f t="shared" si="18"/>
        <v>Tercapai</v>
      </c>
      <c r="BM23" s="184">
        <v>14</v>
      </c>
      <c r="BN23" s="184">
        <v>4122</v>
      </c>
      <c r="BO23" s="179" t="str">
        <f t="shared" si="19"/>
        <v>Tercapai</v>
      </c>
      <c r="BP23" s="184">
        <v>9</v>
      </c>
      <c r="BQ23" s="184">
        <v>2511</v>
      </c>
      <c r="BR23" s="179" t="str">
        <f t="shared" si="20"/>
        <v>Tercapai</v>
      </c>
      <c r="BS23" s="184">
        <v>15</v>
      </c>
      <c r="BT23" s="184">
        <v>4205</v>
      </c>
      <c r="BU23" s="179" t="str">
        <f t="shared" si="21"/>
        <v>Tercapai</v>
      </c>
      <c r="BV23" s="185">
        <v>53.781999999999996</v>
      </c>
      <c r="BW23" s="184">
        <v>356</v>
      </c>
      <c r="BX23" s="179" t="str">
        <f t="shared" si="22"/>
        <v>Tidak Tercapai</v>
      </c>
      <c r="BY23" s="184">
        <v>2</v>
      </c>
      <c r="BZ23" s="184">
        <v>2195</v>
      </c>
      <c r="CA23" s="179" t="str">
        <f t="shared" si="23"/>
        <v>Tidak Tercapai</v>
      </c>
      <c r="CB23" s="184">
        <v>2102</v>
      </c>
      <c r="CC23" s="184">
        <v>4747</v>
      </c>
      <c r="CD23" s="179" t="str">
        <f t="shared" si="24"/>
        <v>Tercapai</v>
      </c>
      <c r="CE23" s="184">
        <v>29</v>
      </c>
      <c r="CF23" s="184">
        <v>2181</v>
      </c>
      <c r="CG23" s="179" t="str">
        <f t="shared" si="25"/>
        <v>Tidak Tercapai</v>
      </c>
      <c r="CH23" s="184">
        <v>13</v>
      </c>
      <c r="CI23" s="184">
        <v>2926</v>
      </c>
      <c r="CJ23" s="179" t="str">
        <f t="shared" si="26"/>
        <v>Tercapai</v>
      </c>
      <c r="CK23" s="184">
        <v>44</v>
      </c>
      <c r="CL23" s="184">
        <v>1928</v>
      </c>
      <c r="CM23" s="179" t="str">
        <f t="shared" si="27"/>
        <v>Tidak Tercapai</v>
      </c>
      <c r="CN23" s="184">
        <v>88</v>
      </c>
      <c r="CO23" s="184">
        <v>1037</v>
      </c>
      <c r="CP23" s="179" t="str">
        <f t="shared" si="28"/>
        <v>Tidak Tercapai</v>
      </c>
      <c r="CQ23" s="184">
        <v>54</v>
      </c>
      <c r="CR23" s="184">
        <v>2209</v>
      </c>
      <c r="CS23" s="179" t="str">
        <f t="shared" si="29"/>
        <v>Tidak Tercapai</v>
      </c>
      <c r="CT23" s="184">
        <v>16</v>
      </c>
      <c r="CU23" s="184">
        <v>1018</v>
      </c>
      <c r="CV23" s="179" t="str">
        <f t="shared" si="30"/>
        <v>Tidak Tercapai</v>
      </c>
      <c r="CW23" s="184">
        <v>0</v>
      </c>
      <c r="CX23" s="184">
        <v>6767</v>
      </c>
      <c r="CY23" s="179" t="str">
        <f t="shared" si="31"/>
        <v>Tercapai</v>
      </c>
      <c r="CZ23" s="184">
        <v>46</v>
      </c>
      <c r="DA23" s="184">
        <v>3027</v>
      </c>
      <c r="DB23" s="179" t="str">
        <f t="shared" si="32"/>
        <v>Tercapai</v>
      </c>
      <c r="DC23" s="184">
        <v>70</v>
      </c>
      <c r="DD23" s="184">
        <v>2701</v>
      </c>
      <c r="DE23" s="179" t="str">
        <f t="shared" si="33"/>
        <v>Tercapai</v>
      </c>
      <c r="DF23" s="184">
        <v>27</v>
      </c>
      <c r="DG23" s="184">
        <v>4870</v>
      </c>
      <c r="DH23" s="179" t="str">
        <f t="shared" si="34"/>
        <v>Tercapai</v>
      </c>
      <c r="DI23" s="184">
        <v>37</v>
      </c>
      <c r="DJ23" s="184">
        <v>1113</v>
      </c>
      <c r="DK23" s="179" t="str">
        <f t="shared" si="35"/>
        <v>Tidak Tercapai</v>
      </c>
      <c r="DL23" s="184">
        <v>20</v>
      </c>
      <c r="DM23" s="184">
        <v>318</v>
      </c>
      <c r="DN23" s="179" t="str">
        <f t="shared" si="36"/>
        <v>Tidak Tercapai</v>
      </c>
      <c r="DO23" s="184">
        <v>7</v>
      </c>
      <c r="DP23" s="184">
        <v>2289</v>
      </c>
      <c r="DQ23" s="179" t="str">
        <f t="shared" si="37"/>
        <v>Tidak Tercapai</v>
      </c>
      <c r="DR23" s="184">
        <v>25</v>
      </c>
      <c r="DS23" s="184">
        <v>336</v>
      </c>
      <c r="DT23" s="179" t="str">
        <f t="shared" si="38"/>
        <v>Tidak Tercapai</v>
      </c>
      <c r="DU23" s="184">
        <v>42</v>
      </c>
      <c r="DV23" s="184">
        <v>1397</v>
      </c>
      <c r="DW23" s="179" t="str">
        <f t="shared" si="39"/>
        <v>Tidak Tercapai</v>
      </c>
      <c r="DX23" s="184">
        <v>1180</v>
      </c>
      <c r="DY23" s="184">
        <v>1445</v>
      </c>
      <c r="DZ23" s="179" t="str">
        <f t="shared" si="40"/>
        <v>Tidak Tercapai</v>
      </c>
      <c r="EA23" s="184">
        <v>1523</v>
      </c>
      <c r="EB23" s="184">
        <v>1212</v>
      </c>
      <c r="EC23" s="179" t="str">
        <f t="shared" si="41"/>
        <v>Tidak Tercapai</v>
      </c>
      <c r="ED23" s="184">
        <v>1649</v>
      </c>
      <c r="EE23" s="184">
        <v>801</v>
      </c>
      <c r="EF23" s="179" t="str">
        <f t="shared" si="42"/>
        <v>Tidak Tercapai</v>
      </c>
      <c r="EG23" s="184">
        <v>103</v>
      </c>
      <c r="EH23" s="184">
        <v>173</v>
      </c>
      <c r="EI23" s="179" t="str">
        <f t="shared" si="43"/>
        <v>Tidak Tercapai</v>
      </c>
      <c r="EJ23" s="184">
        <v>8</v>
      </c>
      <c r="EK23" s="184">
        <v>1110</v>
      </c>
      <c r="EL23" s="179" t="str">
        <f t="shared" si="44"/>
        <v>Tidak Tercapai</v>
      </c>
      <c r="EM23" s="184">
        <v>1415</v>
      </c>
      <c r="EN23" s="184">
        <v>1436</v>
      </c>
      <c r="EO23" s="179" t="str">
        <f t="shared" si="45"/>
        <v>Tidak Tercapai</v>
      </c>
      <c r="EP23" s="184">
        <v>1267</v>
      </c>
      <c r="EQ23" s="184">
        <v>1238</v>
      </c>
      <c r="ER23" s="179" t="str">
        <f t="shared" si="46"/>
        <v>Tidak Tercapai</v>
      </c>
      <c r="ES23" s="178">
        <v>2411</v>
      </c>
      <c r="ET23" s="184">
        <v>1551</v>
      </c>
      <c r="EU23" s="179" t="str">
        <f t="shared" si="47"/>
        <v>Tidak Tercapai</v>
      </c>
      <c r="EV23" s="184">
        <v>3299</v>
      </c>
      <c r="EW23" s="184">
        <v>1994</v>
      </c>
      <c r="EX23" s="179" t="str">
        <f t="shared" si="48"/>
        <v>Tidak Tercapai</v>
      </c>
      <c r="EY23" s="184">
        <v>2996</v>
      </c>
      <c r="EZ23" s="184">
        <v>553</v>
      </c>
      <c r="FA23" s="179" t="str">
        <f t="shared" si="49"/>
        <v>Tidak Tercapai</v>
      </c>
      <c r="FB23" s="184">
        <v>1784</v>
      </c>
      <c r="FC23" s="184">
        <v>422</v>
      </c>
      <c r="FD23" s="179" t="str">
        <f t="shared" si="50"/>
        <v>Tidak Tercapai</v>
      </c>
      <c r="FE23" s="184">
        <v>1</v>
      </c>
      <c r="FF23" s="184">
        <v>1925</v>
      </c>
      <c r="FG23" s="179" t="str">
        <f t="shared" si="51"/>
        <v>Tidak Tercapai</v>
      </c>
      <c r="FH23" s="184">
        <v>3407</v>
      </c>
      <c r="FI23" s="184">
        <v>1187</v>
      </c>
      <c r="FJ23" s="179" t="str">
        <f t="shared" si="52"/>
        <v>Tidak Tercapai</v>
      </c>
      <c r="FK23" s="184">
        <v>3410</v>
      </c>
      <c r="FL23" s="186">
        <v>0</v>
      </c>
      <c r="FM23" s="179" t="str">
        <f t="shared" si="53"/>
        <v>Tidak Tercapai</v>
      </c>
      <c r="FN23" s="184">
        <v>1518</v>
      </c>
      <c r="FO23" s="184">
        <v>687</v>
      </c>
      <c r="FP23" s="179" t="str">
        <f t="shared" si="54"/>
        <v>Tidak Tercapai</v>
      </c>
      <c r="FQ23" s="184">
        <v>797</v>
      </c>
      <c r="FR23" s="184">
        <v>984</v>
      </c>
      <c r="FS23" s="179" t="str">
        <f t="shared" si="55"/>
        <v>Tidak Tercapai</v>
      </c>
      <c r="FT23" s="184">
        <v>950</v>
      </c>
      <c r="FU23" s="184">
        <v>3743</v>
      </c>
      <c r="FV23" s="179" t="str">
        <f t="shared" si="56"/>
        <v>Tercapai</v>
      </c>
      <c r="FW23" s="184">
        <v>2754</v>
      </c>
      <c r="FX23" s="184">
        <v>1067</v>
      </c>
      <c r="FY23" s="179" t="str">
        <f t="shared" si="57"/>
        <v>Tidak Tercapai</v>
      </c>
      <c r="FZ23" s="184">
        <v>2890</v>
      </c>
      <c r="GA23" s="184">
        <v>1805</v>
      </c>
      <c r="GB23" s="179" t="str">
        <f t="shared" si="58"/>
        <v>Tidak Tercapai</v>
      </c>
      <c r="GC23" s="184">
        <v>2280</v>
      </c>
      <c r="GD23" s="184">
        <v>1563</v>
      </c>
      <c r="GE23" s="179" t="str">
        <f t="shared" si="59"/>
        <v>Tidak Tercapai</v>
      </c>
      <c r="GF23" s="184">
        <v>2553</v>
      </c>
      <c r="GG23" s="184">
        <v>302</v>
      </c>
      <c r="GH23" s="179" t="str">
        <f t="shared" si="60"/>
        <v>Tidak Tercapai</v>
      </c>
      <c r="GI23" s="184">
        <v>258</v>
      </c>
      <c r="GJ23" s="184">
        <v>862</v>
      </c>
      <c r="GK23" s="179" t="str">
        <f t="shared" si="61"/>
        <v>Tidak Tercapai</v>
      </c>
      <c r="GL23" s="184">
        <v>4024</v>
      </c>
      <c r="GM23" s="184">
        <v>1008</v>
      </c>
      <c r="GN23" s="179" t="str">
        <f t="shared" si="62"/>
        <v>Tidak Tercapai</v>
      </c>
      <c r="GO23" s="184">
        <v>3564</v>
      </c>
      <c r="GP23" s="184">
        <v>158</v>
      </c>
      <c r="GQ23" s="179" t="str">
        <f t="shared" si="63"/>
        <v>Tidak Tercapai</v>
      </c>
      <c r="GR23" s="184">
        <v>1684</v>
      </c>
      <c r="GS23" s="184">
        <v>58</v>
      </c>
      <c r="GT23" s="179" t="str">
        <f t="shared" si="64"/>
        <v>Tidak Tercapai</v>
      </c>
      <c r="GU23" s="184">
        <v>2</v>
      </c>
      <c r="GV23" s="184">
        <v>907</v>
      </c>
      <c r="GW23" s="179" t="str">
        <f t="shared" si="65"/>
        <v>Tidak Tercapai</v>
      </c>
      <c r="GX23" s="184">
        <v>2672</v>
      </c>
      <c r="GY23" s="184">
        <v>49</v>
      </c>
      <c r="GZ23" s="179" t="str">
        <f t="shared" si="66"/>
        <v>Tidak Tercapai</v>
      </c>
      <c r="HA23" s="184">
        <v>31</v>
      </c>
      <c r="HB23" s="184">
        <v>772</v>
      </c>
      <c r="HC23" s="179" t="str">
        <f t="shared" si="67"/>
        <v>Tidak Tercapai</v>
      </c>
      <c r="HD23" s="184">
        <v>1765</v>
      </c>
      <c r="HE23" s="184">
        <v>841</v>
      </c>
      <c r="HF23" s="179" t="str">
        <f t="shared" si="68"/>
        <v>Tidak Tercapai</v>
      </c>
      <c r="HG23" s="184">
        <v>1752</v>
      </c>
      <c r="HH23" s="184">
        <v>731</v>
      </c>
      <c r="HI23" s="179" t="str">
        <f t="shared" si="69"/>
        <v>Tidak Tercapai</v>
      </c>
      <c r="HJ23" s="184">
        <v>1247</v>
      </c>
      <c r="HK23" s="184">
        <v>408</v>
      </c>
      <c r="HL23" s="179" t="str">
        <f t="shared" si="70"/>
        <v>Tidak Tercapai</v>
      </c>
      <c r="HM23" s="184">
        <v>620</v>
      </c>
      <c r="HN23" s="184">
        <v>251</v>
      </c>
      <c r="HO23" s="179" t="str">
        <f t="shared" si="71"/>
        <v>Tidak Tercapai</v>
      </c>
      <c r="HP23" s="184">
        <v>568</v>
      </c>
      <c r="HQ23" s="184">
        <v>1040</v>
      </c>
      <c r="HR23" s="179" t="str">
        <f t="shared" si="72"/>
        <v>Tidak Tercapai</v>
      </c>
      <c r="HS23" s="184">
        <v>1424</v>
      </c>
      <c r="HT23" s="184">
        <v>804</v>
      </c>
      <c r="HU23" s="179" t="str">
        <f t="shared" si="73"/>
        <v>Tidak Tercapai</v>
      </c>
      <c r="HV23" s="184">
        <v>1424</v>
      </c>
      <c r="HW23" s="184">
        <v>766</v>
      </c>
      <c r="HX23" s="179" t="str">
        <f t="shared" si="74"/>
        <v>Tidak Tercapai</v>
      </c>
      <c r="HY23" s="184">
        <v>1782</v>
      </c>
      <c r="HZ23" s="184">
        <v>603</v>
      </c>
      <c r="IA23" s="179" t="str">
        <f t="shared" si="75"/>
        <v>Tidak Tercapai</v>
      </c>
      <c r="IB23" s="184">
        <v>2470</v>
      </c>
      <c r="IC23" s="184">
        <v>785</v>
      </c>
      <c r="ID23" s="179" t="str">
        <f t="shared" si="76"/>
        <v>Tidak Tercapai</v>
      </c>
      <c r="IE23" s="184">
        <v>3869</v>
      </c>
      <c r="IF23" s="184">
        <v>148</v>
      </c>
      <c r="IG23" s="179" t="str">
        <f t="shared" si="77"/>
        <v>Tidak Tercapai</v>
      </c>
      <c r="IH23" s="184">
        <v>596</v>
      </c>
      <c r="II23" s="184">
        <v>0</v>
      </c>
      <c r="IJ23" s="179" t="str">
        <f t="shared" si="78"/>
        <v>Tidak Tercapai</v>
      </c>
      <c r="IK23" s="184">
        <v>2</v>
      </c>
      <c r="IL23" s="42"/>
      <c r="IM23" s="42"/>
      <c r="IN23" s="42"/>
      <c r="IO23" s="42"/>
      <c r="IP23" s="42"/>
      <c r="IQ23" s="42"/>
      <c r="IR23" s="42"/>
      <c r="IS23" s="42"/>
      <c r="IT23" s="42"/>
      <c r="IU23" s="42"/>
      <c r="IV23" s="42"/>
    </row>
    <row r="24" spans="1:256" ht="15.6" x14ac:dyDescent="0.3">
      <c r="A24" s="167">
        <v>22</v>
      </c>
      <c r="B24" s="168" t="s">
        <v>482</v>
      </c>
      <c r="C24" s="167" t="s">
        <v>466</v>
      </c>
      <c r="D24" s="169">
        <v>196217</v>
      </c>
      <c r="E24" s="167">
        <v>2177</v>
      </c>
      <c r="F24" s="187">
        <v>45813</v>
      </c>
      <c r="G24" s="171" t="s">
        <v>457</v>
      </c>
      <c r="H24" s="187">
        <v>28089</v>
      </c>
      <c r="I24" s="187">
        <v>1188</v>
      </c>
      <c r="J24" s="171" t="str">
        <f t="shared" si="0"/>
        <v>Tidak Tercapai</v>
      </c>
      <c r="K24" s="187">
        <v>1</v>
      </c>
      <c r="L24" s="187">
        <v>0</v>
      </c>
      <c r="M24" s="171" t="str">
        <f t="shared" si="1"/>
        <v>Tidak Tercapai</v>
      </c>
      <c r="N24" s="187">
        <v>1</v>
      </c>
      <c r="O24" s="167">
        <v>1598</v>
      </c>
      <c r="P24" s="171" t="str">
        <f t="shared" si="2"/>
        <v>Tidak Tercapai</v>
      </c>
      <c r="Q24" s="172">
        <v>5</v>
      </c>
      <c r="R24" s="167">
        <v>1729</v>
      </c>
      <c r="S24" s="173" t="str">
        <f t="shared" si="3"/>
        <v>Tidak Tercapai</v>
      </c>
      <c r="T24" s="172">
        <v>7</v>
      </c>
      <c r="U24" s="174">
        <v>1922</v>
      </c>
      <c r="V24" s="173" t="str">
        <f t="shared" si="4"/>
        <v>Tercapai</v>
      </c>
      <c r="W24" s="175">
        <v>26</v>
      </c>
      <c r="X24" s="188">
        <v>1756</v>
      </c>
      <c r="Y24" s="176" t="str">
        <f t="shared" si="5"/>
        <v>Tidak Tercapai</v>
      </c>
      <c r="Z24" s="177">
        <v>31</v>
      </c>
      <c r="AA24" s="178">
        <v>2341</v>
      </c>
      <c r="AB24" s="179" t="str">
        <f t="shared" si="6"/>
        <v>Tercapai</v>
      </c>
      <c r="AC24" s="178">
        <v>39</v>
      </c>
      <c r="AD24" s="184">
        <v>139</v>
      </c>
      <c r="AE24" s="179" t="str">
        <f t="shared" si="7"/>
        <v>Tidak Tercapai</v>
      </c>
      <c r="AF24" s="178">
        <v>0</v>
      </c>
      <c r="AG24" s="178">
        <v>0</v>
      </c>
      <c r="AH24" s="179" t="str">
        <f t="shared" si="8"/>
        <v>Tidak Tercapai</v>
      </c>
      <c r="AI24" s="178">
        <v>0</v>
      </c>
      <c r="AJ24" s="184">
        <v>3024</v>
      </c>
      <c r="AK24" s="179" t="str">
        <f t="shared" si="9"/>
        <v>Tercapai</v>
      </c>
      <c r="AL24" s="184">
        <v>18</v>
      </c>
      <c r="AM24" s="184">
        <v>2648</v>
      </c>
      <c r="AN24" s="179" t="str">
        <f t="shared" si="10"/>
        <v>Tercapai</v>
      </c>
      <c r="AO24" s="184">
        <v>29</v>
      </c>
      <c r="AP24" s="178">
        <v>3192</v>
      </c>
      <c r="AQ24" s="179" t="str">
        <f t="shared" si="11"/>
        <v>Tercapai</v>
      </c>
      <c r="AR24" s="178">
        <v>35</v>
      </c>
      <c r="AS24" s="178">
        <v>2395</v>
      </c>
      <c r="AT24" s="179" t="str">
        <f t="shared" si="12"/>
        <v>Tercapai</v>
      </c>
      <c r="AU24" s="178">
        <v>14</v>
      </c>
      <c r="AV24" s="170">
        <v>2594</v>
      </c>
      <c r="AW24" s="179" t="str">
        <f t="shared" si="13"/>
        <v>Tercapai</v>
      </c>
      <c r="AX24" s="178">
        <v>34</v>
      </c>
      <c r="AY24" s="178">
        <v>699</v>
      </c>
      <c r="AZ24" s="179" t="str">
        <f t="shared" si="14"/>
        <v>Tidak Tercapai</v>
      </c>
      <c r="BA24" s="178">
        <v>0</v>
      </c>
      <c r="BB24" s="183">
        <v>0</v>
      </c>
      <c r="BC24" s="179" t="str">
        <f t="shared" si="15"/>
        <v>Tidak Tercapai</v>
      </c>
      <c r="BD24" s="178">
        <v>0</v>
      </c>
      <c r="BE24" s="184">
        <v>2996</v>
      </c>
      <c r="BF24" s="179" t="str">
        <f t="shared" si="16"/>
        <v>Tercapai</v>
      </c>
      <c r="BG24" s="170">
        <v>40</v>
      </c>
      <c r="BH24" s="184">
        <v>2766</v>
      </c>
      <c r="BI24" s="179" t="str">
        <f t="shared" si="17"/>
        <v>Tercapai</v>
      </c>
      <c r="BJ24" s="184">
        <v>18</v>
      </c>
      <c r="BK24" s="184">
        <v>2369</v>
      </c>
      <c r="BL24" s="179" t="str">
        <f t="shared" si="18"/>
        <v>Tercapai</v>
      </c>
      <c r="BM24" s="184">
        <v>39</v>
      </c>
      <c r="BN24" s="184">
        <v>1769</v>
      </c>
      <c r="BO24" s="179" t="str">
        <f t="shared" si="19"/>
        <v>Tidak Tercapai</v>
      </c>
      <c r="BP24" s="184">
        <v>22</v>
      </c>
      <c r="BQ24" s="184">
        <v>1648</v>
      </c>
      <c r="BR24" s="179" t="str">
        <f t="shared" si="20"/>
        <v>Tidak Tercapai</v>
      </c>
      <c r="BS24" s="184">
        <v>31</v>
      </c>
      <c r="BT24" s="184">
        <v>1196</v>
      </c>
      <c r="BU24" s="179" t="str">
        <f t="shared" si="21"/>
        <v>Tidak Tercapai</v>
      </c>
      <c r="BV24" s="185">
        <v>28.52</v>
      </c>
      <c r="BW24" s="184">
        <v>387</v>
      </c>
      <c r="BX24" s="179" t="str">
        <f t="shared" si="22"/>
        <v>Tidak Tercapai</v>
      </c>
      <c r="BY24" s="184">
        <v>1</v>
      </c>
      <c r="BZ24" s="184">
        <v>1009</v>
      </c>
      <c r="CA24" s="179" t="str">
        <f t="shared" si="23"/>
        <v>Tidak Tercapai</v>
      </c>
      <c r="CB24" s="184">
        <v>1100</v>
      </c>
      <c r="CC24" s="184">
        <v>2067</v>
      </c>
      <c r="CD24" s="179" t="str">
        <f t="shared" si="24"/>
        <v>Tidak Tercapai</v>
      </c>
      <c r="CE24" s="184">
        <v>40</v>
      </c>
      <c r="CF24" s="184">
        <v>1421</v>
      </c>
      <c r="CG24" s="179" t="str">
        <f t="shared" si="25"/>
        <v>Tidak Tercapai</v>
      </c>
      <c r="CH24" s="184">
        <v>10</v>
      </c>
      <c r="CI24" s="184">
        <v>1524</v>
      </c>
      <c r="CJ24" s="179" t="str">
        <f t="shared" si="26"/>
        <v>Tidak Tercapai</v>
      </c>
      <c r="CK24" s="184">
        <v>36</v>
      </c>
      <c r="CL24" s="184">
        <v>503</v>
      </c>
      <c r="CM24" s="179" t="str">
        <f t="shared" si="27"/>
        <v>Tidak Tercapai</v>
      </c>
      <c r="CN24" s="184">
        <v>13</v>
      </c>
      <c r="CO24" s="184">
        <v>0</v>
      </c>
      <c r="CP24" s="179" t="str">
        <f t="shared" si="28"/>
        <v>Tidak Tercapai</v>
      </c>
      <c r="CQ24" s="184">
        <v>0</v>
      </c>
      <c r="CR24" s="184">
        <v>0</v>
      </c>
      <c r="CS24" s="179" t="str">
        <f t="shared" si="29"/>
        <v>Tidak Tercapai</v>
      </c>
      <c r="CT24" s="184">
        <v>0</v>
      </c>
      <c r="CU24" s="184">
        <v>616</v>
      </c>
      <c r="CV24" s="179" t="str">
        <f t="shared" si="30"/>
        <v>Tidak Tercapai</v>
      </c>
      <c r="CW24" s="184">
        <v>7</v>
      </c>
      <c r="CX24" s="184">
        <v>3532</v>
      </c>
      <c r="CY24" s="179" t="str">
        <f t="shared" si="31"/>
        <v>Tercapai</v>
      </c>
      <c r="CZ24" s="184">
        <v>70</v>
      </c>
      <c r="DA24" s="184">
        <v>1394</v>
      </c>
      <c r="DB24" s="179" t="str">
        <f t="shared" si="32"/>
        <v>Tidak Tercapai</v>
      </c>
      <c r="DC24" s="184">
        <v>40</v>
      </c>
      <c r="DD24" s="184">
        <v>1906</v>
      </c>
      <c r="DE24" s="179" t="str">
        <f t="shared" si="33"/>
        <v>Tidak Tercapai</v>
      </c>
      <c r="DF24" s="184">
        <v>69</v>
      </c>
      <c r="DG24" s="184">
        <v>1580</v>
      </c>
      <c r="DH24" s="179" t="str">
        <f t="shared" si="34"/>
        <v>Tidak Tercapai</v>
      </c>
      <c r="DI24" s="184">
        <v>35</v>
      </c>
      <c r="DJ24" s="184">
        <v>148</v>
      </c>
      <c r="DK24" s="179" t="str">
        <f t="shared" si="35"/>
        <v>Tidak Tercapai</v>
      </c>
      <c r="DL24" s="184">
        <v>2</v>
      </c>
      <c r="DM24" s="184">
        <v>0</v>
      </c>
      <c r="DN24" s="179" t="str">
        <f t="shared" si="36"/>
        <v>Tidak Tercapai</v>
      </c>
      <c r="DO24" s="184">
        <v>0</v>
      </c>
      <c r="DP24" s="184">
        <v>764</v>
      </c>
      <c r="DQ24" s="179" t="str">
        <f t="shared" si="37"/>
        <v>Tidak Tercapai</v>
      </c>
      <c r="DR24" s="184">
        <v>520</v>
      </c>
      <c r="DS24" s="184">
        <v>39</v>
      </c>
      <c r="DT24" s="179" t="str">
        <f t="shared" si="38"/>
        <v>Tidak Tercapai</v>
      </c>
      <c r="DU24" s="184">
        <v>0</v>
      </c>
      <c r="DV24" s="184">
        <v>850</v>
      </c>
      <c r="DW24" s="179" t="str">
        <f t="shared" si="39"/>
        <v>Tidak Tercapai</v>
      </c>
      <c r="DX24" s="184">
        <v>1991</v>
      </c>
      <c r="DY24" s="184">
        <v>626</v>
      </c>
      <c r="DZ24" s="179" t="str">
        <f t="shared" si="40"/>
        <v>Tidak Tercapai</v>
      </c>
      <c r="EA24" s="184">
        <v>1533</v>
      </c>
      <c r="EB24" s="184">
        <v>636</v>
      </c>
      <c r="EC24" s="179" t="str">
        <f t="shared" si="41"/>
        <v>Tidak Tercapai</v>
      </c>
      <c r="ED24" s="184">
        <v>1778</v>
      </c>
      <c r="EE24" s="184">
        <v>6</v>
      </c>
      <c r="EF24" s="179" t="str">
        <f t="shared" si="42"/>
        <v>Tidak Tercapai</v>
      </c>
      <c r="EG24" s="184">
        <v>599</v>
      </c>
      <c r="EH24" s="184">
        <v>405</v>
      </c>
      <c r="EI24" s="179" t="str">
        <f t="shared" si="43"/>
        <v>Tidak Tercapai</v>
      </c>
      <c r="EJ24" s="184">
        <v>7</v>
      </c>
      <c r="EK24" s="184">
        <v>923</v>
      </c>
      <c r="EL24" s="179" t="str">
        <f t="shared" si="44"/>
        <v>Tidak Tercapai</v>
      </c>
      <c r="EM24" s="184">
        <v>1985</v>
      </c>
      <c r="EN24" s="184">
        <v>969</v>
      </c>
      <c r="EO24" s="179" t="str">
        <f t="shared" si="45"/>
        <v>Tidak Tercapai</v>
      </c>
      <c r="EP24" s="184">
        <v>2186</v>
      </c>
      <c r="EQ24" s="184">
        <v>1137</v>
      </c>
      <c r="ER24" s="179" t="str">
        <f t="shared" si="46"/>
        <v>Tidak Tercapai</v>
      </c>
      <c r="ES24" s="178">
        <v>2515</v>
      </c>
      <c r="ET24" s="184">
        <v>1079</v>
      </c>
      <c r="EU24" s="179" t="str">
        <f t="shared" si="47"/>
        <v>Tidak Tercapai</v>
      </c>
      <c r="EV24" s="184">
        <v>2557</v>
      </c>
      <c r="EW24" s="184">
        <v>1182</v>
      </c>
      <c r="EX24" s="179" t="str">
        <f t="shared" si="48"/>
        <v>Tidak Tercapai</v>
      </c>
      <c r="EY24" s="184">
        <v>2562</v>
      </c>
      <c r="EZ24" s="184">
        <v>235</v>
      </c>
      <c r="FA24" s="179" t="str">
        <f t="shared" si="49"/>
        <v>Tidak Tercapai</v>
      </c>
      <c r="FB24" s="184">
        <v>23</v>
      </c>
      <c r="FC24" s="184">
        <v>159</v>
      </c>
      <c r="FD24" s="179" t="str">
        <f t="shared" si="50"/>
        <v>Tidak Tercapai</v>
      </c>
      <c r="FE24" s="184">
        <v>34</v>
      </c>
      <c r="FF24" s="184">
        <v>1629</v>
      </c>
      <c r="FG24" s="179" t="str">
        <f t="shared" si="51"/>
        <v>Tidak Tercapai</v>
      </c>
      <c r="FH24" s="184">
        <v>1453</v>
      </c>
      <c r="FI24" s="184">
        <v>881</v>
      </c>
      <c r="FJ24" s="179" t="str">
        <f t="shared" si="52"/>
        <v>Tidak Tercapai</v>
      </c>
      <c r="FK24" s="184">
        <v>1534</v>
      </c>
      <c r="FL24" s="186">
        <v>268</v>
      </c>
      <c r="FM24" s="179" t="str">
        <f t="shared" si="53"/>
        <v>Tidak Tercapai</v>
      </c>
      <c r="FN24" s="191">
        <v>1173</v>
      </c>
      <c r="FO24" s="184">
        <v>347</v>
      </c>
      <c r="FP24" s="179" t="str">
        <f t="shared" si="54"/>
        <v>Tidak Tercapai</v>
      </c>
      <c r="FQ24" s="184">
        <v>220</v>
      </c>
      <c r="FR24" s="184">
        <v>579</v>
      </c>
      <c r="FS24" s="179" t="str">
        <f t="shared" si="55"/>
        <v>Tidak Tercapai</v>
      </c>
      <c r="FT24" s="184">
        <v>684</v>
      </c>
      <c r="FU24" s="184">
        <v>1604</v>
      </c>
      <c r="FV24" s="179" t="str">
        <f t="shared" si="56"/>
        <v>Tidak Tercapai</v>
      </c>
      <c r="FW24" s="184">
        <v>1812</v>
      </c>
      <c r="FX24" s="184">
        <v>489</v>
      </c>
      <c r="FY24" s="179" t="str">
        <f t="shared" si="57"/>
        <v>Tidak Tercapai</v>
      </c>
      <c r="FZ24" s="184">
        <v>1041</v>
      </c>
      <c r="GA24" s="184">
        <v>566</v>
      </c>
      <c r="GB24" s="179" t="str">
        <f t="shared" si="58"/>
        <v>Tidak Tercapai</v>
      </c>
      <c r="GC24" s="184">
        <v>1076</v>
      </c>
      <c r="GD24" s="184">
        <v>329</v>
      </c>
      <c r="GE24" s="179" t="str">
        <f t="shared" si="59"/>
        <v>Tidak Tercapai</v>
      </c>
      <c r="GF24" s="184">
        <v>701</v>
      </c>
      <c r="GG24" s="184">
        <v>81</v>
      </c>
      <c r="GH24" s="179" t="str">
        <f t="shared" si="60"/>
        <v>Tidak Tercapai</v>
      </c>
      <c r="GI24" s="184">
        <v>356</v>
      </c>
      <c r="GJ24" s="184">
        <v>529</v>
      </c>
      <c r="GK24" s="179" t="str">
        <f t="shared" si="61"/>
        <v>Tidak Tercapai</v>
      </c>
      <c r="GL24" s="184">
        <v>2447</v>
      </c>
      <c r="GM24" s="184">
        <v>557</v>
      </c>
      <c r="GN24" s="179" t="str">
        <f t="shared" si="62"/>
        <v>Tidak Tercapai</v>
      </c>
      <c r="GO24" s="184">
        <v>2027</v>
      </c>
      <c r="GP24" s="184">
        <v>325</v>
      </c>
      <c r="GQ24" s="179" t="str">
        <f t="shared" si="63"/>
        <v>Tidak Tercapai</v>
      </c>
      <c r="GR24" s="184">
        <v>589</v>
      </c>
      <c r="GS24" s="184">
        <v>259</v>
      </c>
      <c r="GT24" s="179" t="str">
        <f t="shared" si="64"/>
        <v>Tidak Tercapai</v>
      </c>
      <c r="GU24" s="184">
        <v>125</v>
      </c>
      <c r="GV24" s="184">
        <v>884</v>
      </c>
      <c r="GW24" s="179" t="str">
        <f t="shared" si="65"/>
        <v>Tidak Tercapai</v>
      </c>
      <c r="GX24" s="184">
        <v>1279</v>
      </c>
      <c r="GY24" s="184">
        <v>38</v>
      </c>
      <c r="GZ24" s="179" t="str">
        <f t="shared" si="66"/>
        <v>Tidak Tercapai</v>
      </c>
      <c r="HA24" s="184">
        <v>55</v>
      </c>
      <c r="HB24" s="184">
        <v>748</v>
      </c>
      <c r="HC24" s="179" t="str">
        <f t="shared" si="67"/>
        <v>Tidak Tercapai</v>
      </c>
      <c r="HD24" s="184">
        <v>1119</v>
      </c>
      <c r="HE24" s="184">
        <v>677</v>
      </c>
      <c r="HF24" s="179" t="str">
        <f t="shared" si="68"/>
        <v>Tidak Tercapai</v>
      </c>
      <c r="HG24" s="184">
        <v>1046</v>
      </c>
      <c r="HH24" s="184">
        <v>670</v>
      </c>
      <c r="HI24" s="179" t="str">
        <f t="shared" si="69"/>
        <v>Tidak Tercapai</v>
      </c>
      <c r="HJ24" s="184">
        <v>957</v>
      </c>
      <c r="HK24" s="184">
        <v>27</v>
      </c>
      <c r="HL24" s="179" t="str">
        <f t="shared" si="70"/>
        <v>Tidak Tercapai</v>
      </c>
      <c r="HM24" s="184">
        <v>35</v>
      </c>
      <c r="HN24" s="184">
        <v>15</v>
      </c>
      <c r="HO24" s="179" t="str">
        <f t="shared" si="71"/>
        <v>Tidak Tercapai</v>
      </c>
      <c r="HP24" s="184">
        <v>395</v>
      </c>
      <c r="HQ24" s="184">
        <v>615</v>
      </c>
      <c r="HR24" s="179" t="str">
        <f t="shared" si="72"/>
        <v>Tidak Tercapai</v>
      </c>
      <c r="HS24" s="184">
        <v>929</v>
      </c>
      <c r="HT24" s="184">
        <v>775</v>
      </c>
      <c r="HU24" s="179" t="str">
        <f t="shared" si="73"/>
        <v>Tidak Tercapai</v>
      </c>
      <c r="HV24" s="184">
        <v>1093</v>
      </c>
      <c r="HW24" s="184">
        <v>824</v>
      </c>
      <c r="HX24" s="179" t="str">
        <f t="shared" si="74"/>
        <v>Tidak Tercapai</v>
      </c>
      <c r="HY24" s="184">
        <v>1570</v>
      </c>
      <c r="HZ24" s="184">
        <v>781</v>
      </c>
      <c r="IA24" s="179" t="str">
        <f t="shared" si="75"/>
        <v>Tidak Tercapai</v>
      </c>
      <c r="IB24" s="184">
        <v>1379</v>
      </c>
      <c r="IC24" s="184">
        <v>826</v>
      </c>
      <c r="ID24" s="179" t="str">
        <f t="shared" si="76"/>
        <v>Tidak Tercapai</v>
      </c>
      <c r="IE24" s="184">
        <v>1660</v>
      </c>
      <c r="IF24" s="184">
        <v>2</v>
      </c>
      <c r="IG24" s="179" t="str">
        <f t="shared" si="77"/>
        <v>Tidak Tercapai</v>
      </c>
      <c r="IH24" s="184">
        <v>1</v>
      </c>
      <c r="II24" s="184">
        <v>0</v>
      </c>
      <c r="IJ24" s="179" t="str">
        <f t="shared" si="78"/>
        <v>Tidak Tercapai</v>
      </c>
      <c r="IK24" s="184">
        <v>2</v>
      </c>
      <c r="IL24" s="42"/>
      <c r="IM24" s="42"/>
      <c r="IN24" s="42"/>
      <c r="IO24" s="42"/>
      <c r="IP24" s="42"/>
      <c r="IQ24" s="42"/>
      <c r="IR24" s="42"/>
      <c r="IS24" s="42"/>
      <c r="IT24" s="42"/>
      <c r="IU24" s="42"/>
      <c r="IV24" s="42"/>
    </row>
    <row r="25" spans="1:256" ht="15.6" x14ac:dyDescent="0.3">
      <c r="A25" s="167">
        <v>23</v>
      </c>
      <c r="B25" s="168" t="s">
        <v>483</v>
      </c>
      <c r="C25" s="167" t="s">
        <v>459</v>
      </c>
      <c r="D25" s="169">
        <v>196274</v>
      </c>
      <c r="E25" s="167">
        <v>2095</v>
      </c>
      <c r="F25" s="187">
        <v>93121</v>
      </c>
      <c r="G25" s="171" t="s">
        <v>457</v>
      </c>
      <c r="H25" s="187">
        <v>37259</v>
      </c>
      <c r="I25" s="187">
        <v>842</v>
      </c>
      <c r="J25" s="171" t="str">
        <f t="shared" si="0"/>
        <v>Tidak Tercapai</v>
      </c>
      <c r="K25" s="187">
        <v>199</v>
      </c>
      <c r="L25" s="187">
        <v>0</v>
      </c>
      <c r="M25" s="171" t="str">
        <f t="shared" si="1"/>
        <v>Tidak Tercapai</v>
      </c>
      <c r="N25" s="187">
        <v>0</v>
      </c>
      <c r="O25" s="167">
        <v>4135</v>
      </c>
      <c r="P25" s="171" t="str">
        <f t="shared" si="2"/>
        <v>Tercapai</v>
      </c>
      <c r="Q25" s="172">
        <v>243</v>
      </c>
      <c r="R25" s="167">
        <v>2944</v>
      </c>
      <c r="S25" s="173" t="str">
        <f t="shared" si="3"/>
        <v>Tercapai</v>
      </c>
      <c r="T25" s="172">
        <v>45</v>
      </c>
      <c r="U25" s="174">
        <v>3027</v>
      </c>
      <c r="V25" s="173" t="str">
        <f t="shared" si="4"/>
        <v>Tercapai</v>
      </c>
      <c r="W25" s="175">
        <v>42</v>
      </c>
      <c r="X25" s="188">
        <v>2849</v>
      </c>
      <c r="Y25" s="176" t="str">
        <f t="shared" si="5"/>
        <v>Tercapai</v>
      </c>
      <c r="Z25" s="177">
        <v>34</v>
      </c>
      <c r="AA25" s="178">
        <v>4070</v>
      </c>
      <c r="AB25" s="179" t="str">
        <f t="shared" si="6"/>
        <v>Tercapai</v>
      </c>
      <c r="AC25" s="178">
        <v>35</v>
      </c>
      <c r="AD25" s="184">
        <v>1428</v>
      </c>
      <c r="AE25" s="179" t="str">
        <f t="shared" si="7"/>
        <v>Tidak Tercapai</v>
      </c>
      <c r="AF25" s="178">
        <v>15</v>
      </c>
      <c r="AG25" s="178">
        <v>1300</v>
      </c>
      <c r="AH25" s="179" t="str">
        <f t="shared" si="8"/>
        <v>Tidak Tercapai</v>
      </c>
      <c r="AI25" s="178">
        <v>3</v>
      </c>
      <c r="AJ25" s="184">
        <v>3545</v>
      </c>
      <c r="AK25" s="179" t="str">
        <f t="shared" si="9"/>
        <v>Tercapai</v>
      </c>
      <c r="AL25" s="184">
        <v>23</v>
      </c>
      <c r="AM25" s="184">
        <v>2666</v>
      </c>
      <c r="AN25" s="179" t="str">
        <f t="shared" si="10"/>
        <v>Tercapai</v>
      </c>
      <c r="AO25" s="184">
        <v>28</v>
      </c>
      <c r="AP25" s="178">
        <v>4860</v>
      </c>
      <c r="AQ25" s="179" t="str">
        <f t="shared" si="11"/>
        <v>Tercapai</v>
      </c>
      <c r="AR25" s="178">
        <v>29</v>
      </c>
      <c r="AS25" s="178">
        <v>3584</v>
      </c>
      <c r="AT25" s="179" t="str">
        <f t="shared" si="12"/>
        <v>Tercapai</v>
      </c>
      <c r="AU25" s="178">
        <v>21</v>
      </c>
      <c r="AV25" s="170">
        <v>4161</v>
      </c>
      <c r="AW25" s="179" t="str">
        <f t="shared" si="13"/>
        <v>Tercapai</v>
      </c>
      <c r="AX25" s="178">
        <v>87</v>
      </c>
      <c r="AY25" s="178">
        <v>2524</v>
      </c>
      <c r="AZ25" s="179" t="str">
        <f t="shared" si="14"/>
        <v>Tercapai</v>
      </c>
      <c r="BA25" s="178">
        <v>11</v>
      </c>
      <c r="BB25" s="183">
        <v>47</v>
      </c>
      <c r="BC25" s="179" t="str">
        <f t="shared" si="15"/>
        <v>Tidak Tercapai</v>
      </c>
      <c r="BD25" s="178">
        <v>10</v>
      </c>
      <c r="BE25" s="184">
        <v>3507</v>
      </c>
      <c r="BF25" s="179" t="str">
        <f t="shared" si="16"/>
        <v>Tercapai</v>
      </c>
      <c r="BG25" s="170">
        <v>36</v>
      </c>
      <c r="BH25" s="184">
        <v>3051</v>
      </c>
      <c r="BI25" s="179" t="str">
        <f t="shared" si="17"/>
        <v>Tercapai</v>
      </c>
      <c r="BJ25" s="184">
        <v>21</v>
      </c>
      <c r="BK25" s="184">
        <v>2716</v>
      </c>
      <c r="BL25" s="179" t="str">
        <f t="shared" si="18"/>
        <v>Tercapai</v>
      </c>
      <c r="BM25" s="184">
        <v>35</v>
      </c>
      <c r="BN25" s="184">
        <v>1987</v>
      </c>
      <c r="BO25" s="179" t="str">
        <f t="shared" si="19"/>
        <v>Tidak Tercapai</v>
      </c>
      <c r="BP25" s="184">
        <v>28</v>
      </c>
      <c r="BQ25" s="184">
        <v>1508</v>
      </c>
      <c r="BR25" s="179" t="str">
        <f t="shared" si="20"/>
        <v>Tidak Tercapai</v>
      </c>
      <c r="BS25" s="184">
        <v>23</v>
      </c>
      <c r="BT25" s="184">
        <v>2609</v>
      </c>
      <c r="BU25" s="179" t="str">
        <f t="shared" si="21"/>
        <v>Tercapai</v>
      </c>
      <c r="BV25" s="185">
        <v>38.253999999999998</v>
      </c>
      <c r="BW25" s="184">
        <v>655</v>
      </c>
      <c r="BX25" s="179" t="str">
        <f t="shared" si="22"/>
        <v>Tidak Tercapai</v>
      </c>
      <c r="BY25" s="184">
        <v>7</v>
      </c>
      <c r="BZ25" s="184">
        <v>1228</v>
      </c>
      <c r="CA25" s="179" t="str">
        <f t="shared" si="23"/>
        <v>Tidak Tercapai</v>
      </c>
      <c r="CB25" s="184">
        <v>1642</v>
      </c>
      <c r="CC25" s="184">
        <v>2598</v>
      </c>
      <c r="CD25" s="179" t="str">
        <f t="shared" si="24"/>
        <v>Tercapai</v>
      </c>
      <c r="CE25" s="184">
        <v>27</v>
      </c>
      <c r="CF25" s="184">
        <v>1231</v>
      </c>
      <c r="CG25" s="179" t="str">
        <f t="shared" si="25"/>
        <v>Tidak Tercapai</v>
      </c>
      <c r="CH25" s="184">
        <v>8</v>
      </c>
      <c r="CI25" s="184">
        <v>2399</v>
      </c>
      <c r="CJ25" s="179" t="str">
        <f t="shared" si="26"/>
        <v>Tercapai</v>
      </c>
      <c r="CK25" s="184">
        <v>67</v>
      </c>
      <c r="CL25" s="184">
        <v>1090</v>
      </c>
      <c r="CM25" s="179" t="str">
        <f t="shared" si="27"/>
        <v>Tidak Tercapai</v>
      </c>
      <c r="CN25" s="184">
        <v>32</v>
      </c>
      <c r="CO25" s="184">
        <v>31</v>
      </c>
      <c r="CP25" s="179" t="str">
        <f t="shared" si="28"/>
        <v>Tidak Tercapai</v>
      </c>
      <c r="CQ25" s="184">
        <v>0</v>
      </c>
      <c r="CR25" s="184">
        <v>267</v>
      </c>
      <c r="CS25" s="179" t="str">
        <f t="shared" si="29"/>
        <v>Tidak Tercapai</v>
      </c>
      <c r="CT25" s="184">
        <v>3</v>
      </c>
      <c r="CU25" s="184">
        <v>1529</v>
      </c>
      <c r="CV25" s="179" t="str">
        <f t="shared" si="30"/>
        <v>Tidak Tercapai</v>
      </c>
      <c r="CW25" s="184">
        <v>11</v>
      </c>
      <c r="CX25" s="184">
        <v>8050</v>
      </c>
      <c r="CY25" s="179" t="str">
        <f t="shared" si="31"/>
        <v>Tercapai</v>
      </c>
      <c r="CZ25" s="184">
        <v>129</v>
      </c>
      <c r="DA25" s="184">
        <v>2707</v>
      </c>
      <c r="DB25" s="179" t="str">
        <f t="shared" si="32"/>
        <v>Tercapai</v>
      </c>
      <c r="DC25" s="184">
        <v>55</v>
      </c>
      <c r="DD25" s="184">
        <v>2624</v>
      </c>
      <c r="DE25" s="179" t="str">
        <f t="shared" si="33"/>
        <v>Tercapai</v>
      </c>
      <c r="DF25" s="184">
        <v>45</v>
      </c>
      <c r="DG25" s="184">
        <v>3564</v>
      </c>
      <c r="DH25" s="179" t="str">
        <f t="shared" si="34"/>
        <v>Tercapai</v>
      </c>
      <c r="DI25" s="184">
        <v>50</v>
      </c>
      <c r="DJ25" s="184">
        <v>2248</v>
      </c>
      <c r="DK25" s="179" t="str">
        <f t="shared" si="35"/>
        <v>Tercapai</v>
      </c>
      <c r="DL25" s="184">
        <v>25</v>
      </c>
      <c r="DM25" s="184">
        <v>567</v>
      </c>
      <c r="DN25" s="179" t="str">
        <f t="shared" si="36"/>
        <v>Tidak Tercapai</v>
      </c>
      <c r="DO25" s="184">
        <v>10</v>
      </c>
      <c r="DP25" s="184">
        <v>2495</v>
      </c>
      <c r="DQ25" s="179" t="str">
        <f t="shared" si="37"/>
        <v>Tercapai</v>
      </c>
      <c r="DR25" s="184">
        <v>120</v>
      </c>
      <c r="DS25" s="184">
        <v>4</v>
      </c>
      <c r="DT25" s="179" t="str">
        <f t="shared" si="38"/>
        <v>Tidak Tercapai</v>
      </c>
      <c r="DU25" s="184">
        <v>0</v>
      </c>
      <c r="DV25" s="184">
        <v>1740</v>
      </c>
      <c r="DW25" s="179" t="str">
        <f t="shared" si="39"/>
        <v>Tidak Tercapai</v>
      </c>
      <c r="DX25" s="184">
        <v>2297</v>
      </c>
      <c r="DY25" s="184">
        <v>1473</v>
      </c>
      <c r="DZ25" s="179" t="str">
        <f t="shared" si="40"/>
        <v>Tidak Tercapai</v>
      </c>
      <c r="EA25" s="184">
        <v>2297</v>
      </c>
      <c r="EB25" s="184">
        <v>1384</v>
      </c>
      <c r="EC25" s="179" t="str">
        <f t="shared" si="41"/>
        <v>Tidak Tercapai</v>
      </c>
      <c r="ED25" s="184">
        <v>2228</v>
      </c>
      <c r="EE25" s="184">
        <v>1155</v>
      </c>
      <c r="EF25" s="179" t="str">
        <f t="shared" si="42"/>
        <v>Tidak Tercapai</v>
      </c>
      <c r="EG25" s="184">
        <v>1888</v>
      </c>
      <c r="EH25" s="184">
        <v>513</v>
      </c>
      <c r="EI25" s="179" t="str">
        <f t="shared" si="43"/>
        <v>Tidak Tercapai</v>
      </c>
      <c r="EJ25" s="184">
        <v>1059</v>
      </c>
      <c r="EK25" s="184">
        <v>2131</v>
      </c>
      <c r="EL25" s="179" t="str">
        <f t="shared" si="44"/>
        <v>Tercapai</v>
      </c>
      <c r="EM25" s="184">
        <v>2211</v>
      </c>
      <c r="EN25" s="184">
        <v>1606</v>
      </c>
      <c r="EO25" s="179" t="str">
        <f t="shared" si="45"/>
        <v>Tidak Tercapai</v>
      </c>
      <c r="EP25" s="184">
        <v>2352</v>
      </c>
      <c r="EQ25" s="184">
        <v>1689</v>
      </c>
      <c r="ER25" s="179" t="str">
        <f t="shared" si="46"/>
        <v>Tidak Tercapai</v>
      </c>
      <c r="ES25" s="178">
        <v>2695</v>
      </c>
      <c r="ET25" s="184">
        <v>1516</v>
      </c>
      <c r="EU25" s="179" t="str">
        <f t="shared" si="47"/>
        <v>Tidak Tercapai</v>
      </c>
      <c r="EV25" s="184">
        <v>2632</v>
      </c>
      <c r="EW25" s="184">
        <v>1800</v>
      </c>
      <c r="EX25" s="179" t="str">
        <f t="shared" si="48"/>
        <v>Tidak Tercapai</v>
      </c>
      <c r="EY25" s="184">
        <v>2648</v>
      </c>
      <c r="EZ25" s="184">
        <v>630</v>
      </c>
      <c r="FA25" s="179" t="str">
        <f t="shared" si="49"/>
        <v>Tidak Tercapai</v>
      </c>
      <c r="FB25" s="184">
        <v>1027</v>
      </c>
      <c r="FC25" s="184">
        <v>1043</v>
      </c>
      <c r="FD25" s="179" t="str">
        <f t="shared" si="50"/>
        <v>Tidak Tercapai</v>
      </c>
      <c r="FE25" s="184">
        <v>743</v>
      </c>
      <c r="FF25" s="192">
        <v>4920</v>
      </c>
      <c r="FG25" s="179" t="str">
        <f t="shared" si="51"/>
        <v>Tercapai</v>
      </c>
      <c r="FH25" s="190">
        <v>3145</v>
      </c>
      <c r="FI25" s="184">
        <v>1330</v>
      </c>
      <c r="FJ25" s="179" t="str">
        <f t="shared" si="52"/>
        <v>Tidak Tercapai</v>
      </c>
      <c r="FK25" s="184">
        <v>1942</v>
      </c>
      <c r="FL25" s="186">
        <v>0</v>
      </c>
      <c r="FM25" s="179" t="str">
        <f t="shared" si="53"/>
        <v>Tidak Tercapai</v>
      </c>
      <c r="FN25" s="184">
        <v>1527</v>
      </c>
      <c r="FO25" s="184">
        <v>863</v>
      </c>
      <c r="FP25" s="179" t="str">
        <f t="shared" si="54"/>
        <v>Tidak Tercapai</v>
      </c>
      <c r="FQ25" s="184">
        <v>1051</v>
      </c>
      <c r="FR25" s="184">
        <v>913</v>
      </c>
      <c r="FS25" s="179" t="str">
        <f t="shared" si="55"/>
        <v>Tidak Tercapai</v>
      </c>
      <c r="FT25" s="184">
        <v>1279</v>
      </c>
      <c r="FU25" s="184">
        <v>3354</v>
      </c>
      <c r="FV25" s="179" t="str">
        <f t="shared" si="56"/>
        <v>Tercapai</v>
      </c>
      <c r="FW25" s="184">
        <v>6979</v>
      </c>
      <c r="FX25" s="184">
        <v>4288</v>
      </c>
      <c r="FY25" s="179" t="str">
        <f t="shared" si="57"/>
        <v>Tercapai</v>
      </c>
      <c r="FZ25" s="184">
        <v>3956</v>
      </c>
      <c r="GA25" s="184">
        <v>1904</v>
      </c>
      <c r="GB25" s="179" t="str">
        <f t="shared" si="58"/>
        <v>Tidak Tercapai</v>
      </c>
      <c r="GC25" s="184">
        <v>3104</v>
      </c>
      <c r="GD25" s="184">
        <v>1049</v>
      </c>
      <c r="GE25" s="179" t="str">
        <f t="shared" si="59"/>
        <v>Tidak Tercapai</v>
      </c>
      <c r="GF25" s="184">
        <v>2618</v>
      </c>
      <c r="GG25" s="184">
        <v>805</v>
      </c>
      <c r="GH25" s="179" t="str">
        <f t="shared" si="60"/>
        <v>Tidak Tercapai</v>
      </c>
      <c r="GI25" s="184">
        <v>1172</v>
      </c>
      <c r="GJ25" s="184">
        <v>1458</v>
      </c>
      <c r="GK25" s="179" t="str">
        <f t="shared" si="61"/>
        <v>Tidak Tercapai</v>
      </c>
      <c r="GL25" s="184">
        <v>4236</v>
      </c>
      <c r="GM25" s="184">
        <v>2010</v>
      </c>
      <c r="GN25" s="179" t="str">
        <f t="shared" si="62"/>
        <v>Tidak Tercapai</v>
      </c>
      <c r="GO25" s="184">
        <v>3188</v>
      </c>
      <c r="GP25" s="184">
        <v>1294</v>
      </c>
      <c r="GQ25" s="179" t="str">
        <f t="shared" si="63"/>
        <v>Tidak Tercapai</v>
      </c>
      <c r="GR25" s="184">
        <v>2097</v>
      </c>
      <c r="GS25" s="184">
        <v>826</v>
      </c>
      <c r="GT25" s="179" t="str">
        <f t="shared" si="64"/>
        <v>Tidak Tercapai</v>
      </c>
      <c r="GU25" s="184">
        <v>727</v>
      </c>
      <c r="GV25" s="184">
        <v>1564</v>
      </c>
      <c r="GW25" s="179" t="str">
        <f t="shared" si="65"/>
        <v>Tidak Tercapai</v>
      </c>
      <c r="GX25" s="184">
        <v>3064</v>
      </c>
      <c r="GY25" s="184">
        <v>1121</v>
      </c>
      <c r="GZ25" s="179" t="str">
        <f t="shared" si="66"/>
        <v>Tidak Tercapai</v>
      </c>
      <c r="HA25" s="184">
        <v>337</v>
      </c>
      <c r="HB25" s="184">
        <v>928</v>
      </c>
      <c r="HC25" s="179" t="str">
        <f t="shared" si="67"/>
        <v>Tidak Tercapai</v>
      </c>
      <c r="HD25" s="184">
        <v>3202</v>
      </c>
      <c r="HE25" s="184">
        <v>571</v>
      </c>
      <c r="HF25" s="179" t="str">
        <f t="shared" si="68"/>
        <v>Tidak Tercapai</v>
      </c>
      <c r="HG25" s="184">
        <v>3049</v>
      </c>
      <c r="HH25" s="184">
        <v>1047</v>
      </c>
      <c r="HI25" s="179" t="str">
        <f t="shared" si="69"/>
        <v>Tidak Tercapai</v>
      </c>
      <c r="HJ25" s="184">
        <v>1868</v>
      </c>
      <c r="HK25" s="184">
        <v>679</v>
      </c>
      <c r="HL25" s="179" t="str">
        <f t="shared" si="70"/>
        <v>Tidak Tercapai</v>
      </c>
      <c r="HM25" s="184">
        <v>3867</v>
      </c>
      <c r="HN25" s="184">
        <v>181</v>
      </c>
      <c r="HO25" s="179" t="str">
        <f t="shared" si="71"/>
        <v>Tidak Tercapai</v>
      </c>
      <c r="HP25" s="184">
        <v>1239</v>
      </c>
      <c r="HQ25" s="184">
        <v>1015</v>
      </c>
      <c r="HR25" s="179" t="str">
        <f t="shared" si="72"/>
        <v>Tidak Tercapai</v>
      </c>
      <c r="HS25" s="184">
        <v>1983</v>
      </c>
      <c r="HT25" s="184">
        <v>743</v>
      </c>
      <c r="HU25" s="179" t="str">
        <f t="shared" si="73"/>
        <v>Tidak Tercapai</v>
      </c>
      <c r="HV25" s="184">
        <v>2369</v>
      </c>
      <c r="HW25" s="184">
        <v>673</v>
      </c>
      <c r="HX25" s="179" t="str">
        <f t="shared" si="74"/>
        <v>Tidak Tercapai</v>
      </c>
      <c r="HY25" s="184">
        <v>3101</v>
      </c>
      <c r="HZ25" s="184">
        <v>679</v>
      </c>
      <c r="IA25" s="179" t="str">
        <f t="shared" si="75"/>
        <v>Tidak Tercapai</v>
      </c>
      <c r="IB25" s="184">
        <v>2567</v>
      </c>
      <c r="IC25" s="184">
        <v>1004</v>
      </c>
      <c r="ID25" s="179" t="str">
        <f t="shared" si="76"/>
        <v>Tidak Tercapai</v>
      </c>
      <c r="IE25" s="184">
        <v>3447</v>
      </c>
      <c r="IF25" s="184">
        <v>58</v>
      </c>
      <c r="IG25" s="179" t="str">
        <f t="shared" si="77"/>
        <v>Tidak Tercapai</v>
      </c>
      <c r="IH25" s="184">
        <v>584</v>
      </c>
      <c r="II25" s="184">
        <v>3</v>
      </c>
      <c r="IJ25" s="179" t="str">
        <f t="shared" si="78"/>
        <v>Tidak Tercapai</v>
      </c>
      <c r="IK25" s="184">
        <v>1</v>
      </c>
      <c r="IL25" s="42"/>
      <c r="IM25" s="42"/>
      <c r="IN25" s="42"/>
      <c r="IO25" s="42"/>
      <c r="IP25" s="42"/>
      <c r="IQ25" s="42"/>
      <c r="IR25" s="42"/>
      <c r="IS25" s="42"/>
      <c r="IT25" s="42"/>
      <c r="IU25" s="42"/>
      <c r="IV25" s="42"/>
    </row>
    <row r="26" spans="1:256" ht="15.6" x14ac:dyDescent="0.3">
      <c r="A26" s="167">
        <v>24</v>
      </c>
      <c r="B26" s="168" t="s">
        <v>484</v>
      </c>
      <c r="C26" s="167" t="s">
        <v>459</v>
      </c>
      <c r="D26" s="169">
        <v>186632</v>
      </c>
      <c r="E26" s="167">
        <v>2077</v>
      </c>
      <c r="F26" s="187">
        <v>45162</v>
      </c>
      <c r="G26" s="171" t="s">
        <v>457</v>
      </c>
      <c r="H26" s="187">
        <v>156991</v>
      </c>
      <c r="I26" s="187">
        <v>520</v>
      </c>
      <c r="J26" s="171" t="str">
        <f t="shared" si="0"/>
        <v>Tidak Tercapai</v>
      </c>
      <c r="K26" s="187">
        <v>10</v>
      </c>
      <c r="L26" s="187">
        <v>0</v>
      </c>
      <c r="M26" s="171" t="str">
        <f t="shared" si="1"/>
        <v>Tidak Tercapai</v>
      </c>
      <c r="N26" s="187">
        <v>0</v>
      </c>
      <c r="O26" s="167">
        <v>2176</v>
      </c>
      <c r="P26" s="171" t="str">
        <f t="shared" si="2"/>
        <v>Tercapai</v>
      </c>
      <c r="Q26" s="172">
        <v>44</v>
      </c>
      <c r="R26" s="167">
        <v>2510</v>
      </c>
      <c r="S26" s="173" t="str">
        <f t="shared" si="3"/>
        <v>Tercapai</v>
      </c>
      <c r="T26" s="172">
        <v>2</v>
      </c>
      <c r="U26" s="174">
        <v>3222</v>
      </c>
      <c r="V26" s="173" t="str">
        <f t="shared" si="4"/>
        <v>Tercapai</v>
      </c>
      <c r="W26" s="175">
        <v>74</v>
      </c>
      <c r="X26" s="188">
        <v>3049</v>
      </c>
      <c r="Y26" s="176" t="str">
        <f t="shared" si="5"/>
        <v>Tercapai</v>
      </c>
      <c r="Z26" s="177">
        <v>476</v>
      </c>
      <c r="AA26" s="178">
        <v>3447</v>
      </c>
      <c r="AB26" s="179" t="str">
        <f t="shared" si="6"/>
        <v>Tercapai</v>
      </c>
      <c r="AC26" s="178">
        <v>47</v>
      </c>
      <c r="AD26" s="184">
        <v>853</v>
      </c>
      <c r="AE26" s="179" t="str">
        <f t="shared" si="7"/>
        <v>Tidak Tercapai</v>
      </c>
      <c r="AF26" s="178">
        <v>7</v>
      </c>
      <c r="AG26" s="178">
        <v>1713</v>
      </c>
      <c r="AH26" s="179" t="str">
        <f t="shared" si="8"/>
        <v>Tidak Tercapai</v>
      </c>
      <c r="AI26" s="178">
        <v>0</v>
      </c>
      <c r="AJ26" s="184">
        <v>3306</v>
      </c>
      <c r="AK26" s="179" t="str">
        <f t="shared" si="9"/>
        <v>Tercapai</v>
      </c>
      <c r="AL26" s="184">
        <v>32</v>
      </c>
      <c r="AM26" s="184">
        <v>1854</v>
      </c>
      <c r="AN26" s="179" t="str">
        <f t="shared" si="10"/>
        <v>Tidak Tercapai</v>
      </c>
      <c r="AO26" s="184">
        <v>55</v>
      </c>
      <c r="AP26" s="178">
        <v>4083</v>
      </c>
      <c r="AQ26" s="179" t="str">
        <f t="shared" si="11"/>
        <v>Tercapai</v>
      </c>
      <c r="AR26" s="178">
        <v>42</v>
      </c>
      <c r="AS26" s="178">
        <v>2221</v>
      </c>
      <c r="AT26" s="179" t="str">
        <f t="shared" si="12"/>
        <v>Tercapai</v>
      </c>
      <c r="AU26" s="178">
        <v>3</v>
      </c>
      <c r="AV26" s="170">
        <v>2274</v>
      </c>
      <c r="AW26" s="179" t="str">
        <f t="shared" si="13"/>
        <v>Tercapai</v>
      </c>
      <c r="AX26" s="178">
        <v>22</v>
      </c>
      <c r="AY26" s="178">
        <v>719</v>
      </c>
      <c r="AZ26" s="179" t="str">
        <f t="shared" si="14"/>
        <v>Tidak Tercapai</v>
      </c>
      <c r="BA26" s="178">
        <v>17</v>
      </c>
      <c r="BB26" s="183">
        <v>44</v>
      </c>
      <c r="BC26" s="179" t="str">
        <f t="shared" si="15"/>
        <v>Tidak Tercapai</v>
      </c>
      <c r="BD26" s="178">
        <v>0</v>
      </c>
      <c r="BE26" s="184">
        <v>1995</v>
      </c>
      <c r="BF26" s="179" t="str">
        <f t="shared" si="16"/>
        <v>Tidak Tercapai</v>
      </c>
      <c r="BG26" s="170">
        <v>50</v>
      </c>
      <c r="BH26" s="184">
        <v>2293</v>
      </c>
      <c r="BI26" s="179" t="str">
        <f t="shared" si="17"/>
        <v>Tercapai</v>
      </c>
      <c r="BJ26" s="184">
        <v>15</v>
      </c>
      <c r="BK26" s="184">
        <v>1809</v>
      </c>
      <c r="BL26" s="179" t="str">
        <f t="shared" si="18"/>
        <v>Tidak Tercapai</v>
      </c>
      <c r="BM26" s="184">
        <v>44</v>
      </c>
      <c r="BN26" s="184">
        <v>1755</v>
      </c>
      <c r="BO26" s="179" t="str">
        <f t="shared" si="19"/>
        <v>Tidak Tercapai</v>
      </c>
      <c r="BP26" s="184">
        <v>45</v>
      </c>
      <c r="BQ26" s="184">
        <v>1175</v>
      </c>
      <c r="BR26" s="179" t="str">
        <f t="shared" si="20"/>
        <v>Tidak Tercapai</v>
      </c>
      <c r="BS26" s="184">
        <v>21</v>
      </c>
      <c r="BT26" s="184">
        <v>1579</v>
      </c>
      <c r="BU26" s="179" t="str">
        <f t="shared" si="21"/>
        <v>Tidak Tercapai</v>
      </c>
      <c r="BV26" s="185">
        <v>158.03899999999999</v>
      </c>
      <c r="BW26" s="184">
        <v>437</v>
      </c>
      <c r="BX26" s="179" t="str">
        <f t="shared" si="22"/>
        <v>Tidak Tercapai</v>
      </c>
      <c r="BY26" s="184">
        <v>2</v>
      </c>
      <c r="BZ26" s="184">
        <v>1537</v>
      </c>
      <c r="CA26" s="179" t="str">
        <f t="shared" si="23"/>
        <v>Tidak Tercapai</v>
      </c>
      <c r="CB26" s="184">
        <v>2562</v>
      </c>
      <c r="CC26" s="184">
        <v>3739</v>
      </c>
      <c r="CD26" s="179" t="str">
        <f t="shared" si="24"/>
        <v>Tercapai</v>
      </c>
      <c r="CE26" s="184">
        <v>40</v>
      </c>
      <c r="CF26" s="184">
        <v>1357</v>
      </c>
      <c r="CG26" s="179" t="str">
        <f t="shared" si="25"/>
        <v>Tidak Tercapai</v>
      </c>
      <c r="CH26" s="184">
        <v>78</v>
      </c>
      <c r="CI26" s="184">
        <v>1231</v>
      </c>
      <c r="CJ26" s="179" t="str">
        <f t="shared" si="26"/>
        <v>Tidak Tercapai</v>
      </c>
      <c r="CK26" s="184">
        <v>60</v>
      </c>
      <c r="CL26" s="184">
        <v>421</v>
      </c>
      <c r="CM26" s="179" t="str">
        <f t="shared" si="27"/>
        <v>Tidak Tercapai</v>
      </c>
      <c r="CN26" s="184">
        <v>7</v>
      </c>
      <c r="CO26" s="184">
        <v>10</v>
      </c>
      <c r="CP26" s="179" t="str">
        <f t="shared" si="28"/>
        <v>Tidak Tercapai</v>
      </c>
      <c r="CQ26" s="184">
        <v>0</v>
      </c>
      <c r="CR26" s="184">
        <v>2</v>
      </c>
      <c r="CS26" s="179" t="str">
        <f t="shared" si="29"/>
        <v>Tidak Tercapai</v>
      </c>
      <c r="CT26" s="184">
        <v>0</v>
      </c>
      <c r="CU26" s="184">
        <v>1097</v>
      </c>
      <c r="CV26" s="179" t="str">
        <f t="shared" si="30"/>
        <v>Tidak Tercapai</v>
      </c>
      <c r="CW26" s="184">
        <v>4</v>
      </c>
      <c r="CX26" s="184">
        <v>5978</v>
      </c>
      <c r="CY26" s="179" t="str">
        <f t="shared" si="31"/>
        <v>Tercapai</v>
      </c>
      <c r="CZ26" s="184">
        <v>103</v>
      </c>
      <c r="DA26" s="184">
        <v>2007</v>
      </c>
      <c r="DB26" s="179" t="str">
        <f t="shared" si="32"/>
        <v>Tidak Tercapai</v>
      </c>
      <c r="DC26" s="184">
        <v>45</v>
      </c>
      <c r="DD26" s="184">
        <v>3128</v>
      </c>
      <c r="DE26" s="179" t="str">
        <f t="shared" si="33"/>
        <v>Tercapai</v>
      </c>
      <c r="DF26" s="184">
        <v>45</v>
      </c>
      <c r="DG26" s="184">
        <v>2231</v>
      </c>
      <c r="DH26" s="179" t="str">
        <f t="shared" si="34"/>
        <v>Tercapai</v>
      </c>
      <c r="DI26" s="184">
        <v>28</v>
      </c>
      <c r="DJ26" s="184">
        <v>1005</v>
      </c>
      <c r="DK26" s="179" t="str">
        <f t="shared" si="35"/>
        <v>Tidak Tercapai</v>
      </c>
      <c r="DL26" s="184">
        <v>66</v>
      </c>
      <c r="DM26" s="184">
        <v>470</v>
      </c>
      <c r="DN26" s="179" t="str">
        <f t="shared" si="36"/>
        <v>Tidak Tercapai</v>
      </c>
      <c r="DO26" s="184">
        <v>1</v>
      </c>
      <c r="DP26" s="184">
        <v>1954</v>
      </c>
      <c r="DQ26" s="179" t="str">
        <f t="shared" si="37"/>
        <v>Tidak Tercapai</v>
      </c>
      <c r="DR26" s="184">
        <v>107</v>
      </c>
      <c r="DS26" s="184">
        <v>0</v>
      </c>
      <c r="DT26" s="179" t="str">
        <f t="shared" si="38"/>
        <v>Tidak Tercapai</v>
      </c>
      <c r="DU26" s="184">
        <v>0</v>
      </c>
      <c r="DV26" s="184">
        <v>1922</v>
      </c>
      <c r="DW26" s="179" t="str">
        <f t="shared" si="39"/>
        <v>Tidak Tercapai</v>
      </c>
      <c r="DX26" s="184">
        <v>142</v>
      </c>
      <c r="DY26" s="184">
        <v>2786</v>
      </c>
      <c r="DZ26" s="179" t="str">
        <f t="shared" si="40"/>
        <v>Tercapai</v>
      </c>
      <c r="EA26" s="184">
        <v>213</v>
      </c>
      <c r="EB26" s="184">
        <v>2364</v>
      </c>
      <c r="EC26" s="179" t="str">
        <f t="shared" si="41"/>
        <v>Tercapai</v>
      </c>
      <c r="ED26" s="184">
        <v>128</v>
      </c>
      <c r="EE26" s="184">
        <v>2266</v>
      </c>
      <c r="EF26" s="179" t="str">
        <f t="shared" si="42"/>
        <v>Tercapai</v>
      </c>
      <c r="EG26" s="184">
        <v>654</v>
      </c>
      <c r="EH26" s="184">
        <v>1926</v>
      </c>
      <c r="EI26" s="179" t="str">
        <f t="shared" si="43"/>
        <v>Tidak Tercapai</v>
      </c>
      <c r="EJ26" s="184">
        <v>29</v>
      </c>
      <c r="EK26" s="184">
        <v>1457</v>
      </c>
      <c r="EL26" s="179" t="str">
        <f t="shared" si="44"/>
        <v>Tidak Tercapai</v>
      </c>
      <c r="EM26" s="184">
        <v>417</v>
      </c>
      <c r="EN26" s="184">
        <v>1189</v>
      </c>
      <c r="EO26" s="179" t="str">
        <f t="shared" si="45"/>
        <v>Tidak Tercapai</v>
      </c>
      <c r="EP26" s="184">
        <v>1288</v>
      </c>
      <c r="EQ26" s="184">
        <v>1870</v>
      </c>
      <c r="ER26" s="179" t="str">
        <f t="shared" si="46"/>
        <v>Tidak Tercapai</v>
      </c>
      <c r="ES26" s="178">
        <v>1477</v>
      </c>
      <c r="ET26" s="184">
        <v>1853</v>
      </c>
      <c r="EU26" s="179" t="str">
        <f t="shared" si="47"/>
        <v>Tidak Tercapai</v>
      </c>
      <c r="EV26" s="184">
        <v>1794</v>
      </c>
      <c r="EW26" s="184">
        <v>1876</v>
      </c>
      <c r="EX26" s="179" t="str">
        <f t="shared" si="48"/>
        <v>Tidak Tercapai</v>
      </c>
      <c r="EY26" s="184">
        <v>1539</v>
      </c>
      <c r="EZ26" s="184">
        <v>1589</v>
      </c>
      <c r="FA26" s="179" t="str">
        <f t="shared" si="49"/>
        <v>Tidak Tercapai</v>
      </c>
      <c r="FB26" s="184">
        <v>794</v>
      </c>
      <c r="FC26" s="184">
        <v>852</v>
      </c>
      <c r="FD26" s="179" t="str">
        <f t="shared" si="50"/>
        <v>Tidak Tercapai</v>
      </c>
      <c r="FE26" s="184">
        <v>350</v>
      </c>
      <c r="FF26" s="184">
        <v>2133</v>
      </c>
      <c r="FG26" s="179" t="str">
        <f t="shared" si="51"/>
        <v>Tercapai</v>
      </c>
      <c r="FH26" s="184">
        <v>1799</v>
      </c>
      <c r="FI26" s="184">
        <v>1119</v>
      </c>
      <c r="FJ26" s="179" t="str">
        <f t="shared" si="52"/>
        <v>Tidak Tercapai</v>
      </c>
      <c r="FK26" s="184">
        <v>1749</v>
      </c>
      <c r="FL26" s="186">
        <v>0</v>
      </c>
      <c r="FM26" s="179" t="str">
        <f t="shared" si="53"/>
        <v>Tidak Tercapai</v>
      </c>
      <c r="FN26" s="184">
        <v>1226</v>
      </c>
      <c r="FO26" s="184">
        <v>411</v>
      </c>
      <c r="FP26" s="179" t="str">
        <f t="shared" si="54"/>
        <v>Tidak Tercapai</v>
      </c>
      <c r="FQ26" s="184">
        <v>135</v>
      </c>
      <c r="FR26" s="184">
        <v>972</v>
      </c>
      <c r="FS26" s="179" t="str">
        <f t="shared" si="55"/>
        <v>Tidak Tercapai</v>
      </c>
      <c r="FT26" s="184">
        <v>1135</v>
      </c>
      <c r="FU26" s="184">
        <v>1952</v>
      </c>
      <c r="FV26" s="179" t="str">
        <f t="shared" si="56"/>
        <v>Tidak Tercapai</v>
      </c>
      <c r="FW26" s="184">
        <v>2286</v>
      </c>
      <c r="FX26" s="184">
        <v>2435</v>
      </c>
      <c r="FY26" s="179" t="str">
        <f t="shared" si="57"/>
        <v>Tercapai</v>
      </c>
      <c r="FZ26" s="184">
        <v>959</v>
      </c>
      <c r="GA26" s="184">
        <v>1300</v>
      </c>
      <c r="GB26" s="179" t="str">
        <f t="shared" si="58"/>
        <v>Tidak Tercapai</v>
      </c>
      <c r="GC26" s="184">
        <v>1809</v>
      </c>
      <c r="GD26" s="184">
        <v>721</v>
      </c>
      <c r="GE26" s="179" t="str">
        <f t="shared" si="59"/>
        <v>Tidak Tercapai</v>
      </c>
      <c r="GF26" s="184">
        <v>1577</v>
      </c>
      <c r="GG26" s="184">
        <v>537</v>
      </c>
      <c r="GH26" s="179" t="str">
        <f t="shared" si="60"/>
        <v>Tidak Tercapai</v>
      </c>
      <c r="GI26" s="184">
        <v>441</v>
      </c>
      <c r="GJ26" s="184">
        <v>1884</v>
      </c>
      <c r="GK26" s="179" t="str">
        <f t="shared" si="61"/>
        <v>Tidak Tercapai</v>
      </c>
      <c r="GL26" s="184">
        <v>2867</v>
      </c>
      <c r="GM26" s="184">
        <v>869</v>
      </c>
      <c r="GN26" s="179" t="str">
        <f t="shared" si="62"/>
        <v>Tidak Tercapai</v>
      </c>
      <c r="GO26" s="184">
        <v>2037</v>
      </c>
      <c r="GP26" s="184">
        <v>1209</v>
      </c>
      <c r="GQ26" s="179" t="str">
        <f t="shared" si="63"/>
        <v>Tidak Tercapai</v>
      </c>
      <c r="GR26" s="184">
        <v>713</v>
      </c>
      <c r="GS26" s="184">
        <v>509</v>
      </c>
      <c r="GT26" s="179" t="str">
        <f t="shared" si="64"/>
        <v>Tidak Tercapai</v>
      </c>
      <c r="GU26" s="184">
        <v>108</v>
      </c>
      <c r="GV26" s="184">
        <v>1534</v>
      </c>
      <c r="GW26" s="179" t="str">
        <f t="shared" si="65"/>
        <v>Tidak Tercapai</v>
      </c>
      <c r="GX26" s="184">
        <v>1995</v>
      </c>
      <c r="GY26" s="184">
        <v>1587</v>
      </c>
      <c r="GZ26" s="179" t="str">
        <f t="shared" si="66"/>
        <v>Tidak Tercapai</v>
      </c>
      <c r="HA26" s="184">
        <v>140</v>
      </c>
      <c r="HB26" s="184">
        <v>498</v>
      </c>
      <c r="HC26" s="179" t="str">
        <f t="shared" si="67"/>
        <v>Tidak Tercapai</v>
      </c>
      <c r="HD26" s="184">
        <v>1357</v>
      </c>
      <c r="HE26" s="184">
        <v>737</v>
      </c>
      <c r="HF26" s="179" t="str">
        <f t="shared" si="68"/>
        <v>Tidak Tercapai</v>
      </c>
      <c r="HG26" s="184">
        <v>1588</v>
      </c>
      <c r="HH26" s="184">
        <v>878</v>
      </c>
      <c r="HI26" s="179" t="str">
        <f t="shared" si="69"/>
        <v>Tidak Tercapai</v>
      </c>
      <c r="HJ26" s="184">
        <v>978</v>
      </c>
      <c r="HK26" s="184">
        <v>357</v>
      </c>
      <c r="HL26" s="179" t="str">
        <f t="shared" si="70"/>
        <v>Tidak Tercapai</v>
      </c>
      <c r="HM26" s="184">
        <v>755</v>
      </c>
      <c r="HN26" s="184">
        <v>91</v>
      </c>
      <c r="HO26" s="179" t="str">
        <f t="shared" si="71"/>
        <v>Tidak Tercapai</v>
      </c>
      <c r="HP26" s="184">
        <v>34</v>
      </c>
      <c r="HQ26" s="184">
        <v>856</v>
      </c>
      <c r="HR26" s="179" t="str">
        <f t="shared" si="72"/>
        <v>Tidak Tercapai</v>
      </c>
      <c r="HS26" s="184">
        <v>1284</v>
      </c>
      <c r="HT26" s="184">
        <v>501</v>
      </c>
      <c r="HU26" s="179" t="str">
        <f t="shared" si="73"/>
        <v>Tidak Tercapai</v>
      </c>
      <c r="HV26" s="184">
        <v>1016</v>
      </c>
      <c r="HW26" s="184">
        <v>545</v>
      </c>
      <c r="HX26" s="179" t="str">
        <f t="shared" si="74"/>
        <v>Tidak Tercapai</v>
      </c>
      <c r="HY26" s="184">
        <v>1148</v>
      </c>
      <c r="HZ26" s="184">
        <v>950</v>
      </c>
      <c r="IA26" s="179" t="str">
        <f t="shared" si="75"/>
        <v>Tidak Tercapai</v>
      </c>
      <c r="IB26" s="184">
        <v>1726</v>
      </c>
      <c r="IC26" s="184">
        <v>576</v>
      </c>
      <c r="ID26" s="179" t="str">
        <f t="shared" si="76"/>
        <v>Tidak Tercapai</v>
      </c>
      <c r="IE26" s="184">
        <v>1384</v>
      </c>
      <c r="IF26" s="184">
        <v>5</v>
      </c>
      <c r="IG26" s="179" t="str">
        <f t="shared" si="77"/>
        <v>Tidak Tercapai</v>
      </c>
      <c r="IH26" s="184">
        <v>9</v>
      </c>
      <c r="II26" s="184">
        <v>2</v>
      </c>
      <c r="IJ26" s="179" t="str">
        <f t="shared" si="78"/>
        <v>Tidak Tercapai</v>
      </c>
      <c r="IK26" s="184">
        <v>1</v>
      </c>
      <c r="IL26" s="42"/>
      <c r="IM26" s="42"/>
      <c r="IN26" s="42"/>
      <c r="IO26" s="42"/>
      <c r="IP26" s="42"/>
      <c r="IQ26" s="42"/>
      <c r="IR26" s="42"/>
      <c r="IS26" s="42"/>
      <c r="IT26" s="42"/>
      <c r="IU26" s="42"/>
      <c r="IV26" s="42"/>
    </row>
    <row r="27" spans="1:256" ht="15.6" x14ac:dyDescent="0.3">
      <c r="A27" s="167">
        <v>25</v>
      </c>
      <c r="B27" s="168" t="s">
        <v>485</v>
      </c>
      <c r="C27" s="167" t="s">
        <v>456</v>
      </c>
      <c r="D27" s="169">
        <v>187522</v>
      </c>
      <c r="E27" s="167">
        <v>2071</v>
      </c>
      <c r="F27" s="187">
        <v>31829</v>
      </c>
      <c r="G27" s="171" t="s">
        <v>457</v>
      </c>
      <c r="H27" s="187">
        <v>21996</v>
      </c>
      <c r="I27" s="187">
        <v>157</v>
      </c>
      <c r="J27" s="171" t="str">
        <f t="shared" si="0"/>
        <v>Tidak Tercapai</v>
      </c>
      <c r="K27" s="187">
        <v>1</v>
      </c>
      <c r="L27" s="187">
        <v>0</v>
      </c>
      <c r="M27" s="171" t="str">
        <f t="shared" si="1"/>
        <v>Tidak Tercapai</v>
      </c>
      <c r="N27" s="187">
        <v>0</v>
      </c>
      <c r="O27" s="167">
        <v>652</v>
      </c>
      <c r="P27" s="171" t="str">
        <f t="shared" si="2"/>
        <v>Tidak Tercapai</v>
      </c>
      <c r="Q27" s="172">
        <v>38</v>
      </c>
      <c r="R27" s="167">
        <v>977</v>
      </c>
      <c r="S27" s="173" t="str">
        <f t="shared" si="3"/>
        <v>Tidak Tercapai</v>
      </c>
      <c r="T27" s="172">
        <v>37</v>
      </c>
      <c r="U27" s="174">
        <v>835</v>
      </c>
      <c r="V27" s="173" t="str">
        <f t="shared" si="4"/>
        <v>Tidak Tercapai</v>
      </c>
      <c r="W27" s="175">
        <v>35</v>
      </c>
      <c r="X27" s="188">
        <v>1079</v>
      </c>
      <c r="Y27" s="176" t="str">
        <f t="shared" si="5"/>
        <v>Tidak Tercapai</v>
      </c>
      <c r="Z27" s="177">
        <v>64</v>
      </c>
      <c r="AA27" s="178">
        <v>1631</v>
      </c>
      <c r="AB27" s="179" t="str">
        <f t="shared" si="6"/>
        <v>Tidak Tercapai</v>
      </c>
      <c r="AC27" s="178">
        <v>47</v>
      </c>
      <c r="AD27" s="184">
        <v>1245</v>
      </c>
      <c r="AE27" s="179" t="str">
        <f t="shared" si="7"/>
        <v>Tidak Tercapai</v>
      </c>
      <c r="AF27" s="178">
        <v>4</v>
      </c>
      <c r="AG27" s="178">
        <v>316</v>
      </c>
      <c r="AH27" s="179" t="str">
        <f t="shared" si="8"/>
        <v>Tidak Tercapai</v>
      </c>
      <c r="AI27" s="178">
        <v>0</v>
      </c>
      <c r="AJ27" s="184">
        <v>2387</v>
      </c>
      <c r="AK27" s="179" t="str">
        <f t="shared" si="9"/>
        <v>Tercapai</v>
      </c>
      <c r="AL27" s="184">
        <v>49</v>
      </c>
      <c r="AM27" s="184">
        <v>815</v>
      </c>
      <c r="AN27" s="179" t="str">
        <f t="shared" si="10"/>
        <v>Tidak Tercapai</v>
      </c>
      <c r="AO27" s="184">
        <v>55</v>
      </c>
      <c r="AP27" s="178">
        <v>3072</v>
      </c>
      <c r="AQ27" s="179" t="str">
        <f t="shared" si="11"/>
        <v>Tercapai</v>
      </c>
      <c r="AR27" s="178">
        <v>23</v>
      </c>
      <c r="AS27" s="178">
        <v>2320</v>
      </c>
      <c r="AT27" s="179" t="str">
        <f t="shared" si="12"/>
        <v>Tercapai</v>
      </c>
      <c r="AU27" s="178">
        <v>18</v>
      </c>
      <c r="AV27" s="170">
        <v>2026</v>
      </c>
      <c r="AW27" s="179" t="str">
        <f t="shared" si="13"/>
        <v>Tidak Tercapai</v>
      </c>
      <c r="AX27" s="178">
        <v>24</v>
      </c>
      <c r="AY27" s="178">
        <v>1351</v>
      </c>
      <c r="AZ27" s="179" t="str">
        <f t="shared" si="14"/>
        <v>Tidak Tercapai</v>
      </c>
      <c r="BA27" s="178">
        <v>1</v>
      </c>
      <c r="BB27" s="183">
        <v>1</v>
      </c>
      <c r="BC27" s="179" t="str">
        <f t="shared" si="15"/>
        <v>Tidak Tercapai</v>
      </c>
      <c r="BD27" s="178">
        <v>1</v>
      </c>
      <c r="BE27" s="184">
        <v>1893</v>
      </c>
      <c r="BF27" s="179" t="str">
        <f t="shared" si="16"/>
        <v>Tidak Tercapai</v>
      </c>
      <c r="BG27" s="170">
        <v>35</v>
      </c>
      <c r="BH27" s="184">
        <v>2146</v>
      </c>
      <c r="BI27" s="179" t="str">
        <f t="shared" si="17"/>
        <v>Tercapai</v>
      </c>
      <c r="BJ27" s="184">
        <v>19</v>
      </c>
      <c r="BK27" s="184">
        <v>2751</v>
      </c>
      <c r="BL27" s="179" t="str">
        <f t="shared" si="18"/>
        <v>Tercapai</v>
      </c>
      <c r="BM27" s="184">
        <v>57</v>
      </c>
      <c r="BN27" s="184">
        <v>2741</v>
      </c>
      <c r="BO27" s="179" t="str">
        <f t="shared" si="19"/>
        <v>Tercapai</v>
      </c>
      <c r="BP27" s="184">
        <v>48</v>
      </c>
      <c r="BQ27" s="184">
        <v>1990</v>
      </c>
      <c r="BR27" s="179" t="str">
        <f t="shared" si="20"/>
        <v>Tidak Tercapai</v>
      </c>
      <c r="BS27" s="184">
        <v>44</v>
      </c>
      <c r="BT27" s="184">
        <v>4647</v>
      </c>
      <c r="BU27" s="179" t="str">
        <f t="shared" si="21"/>
        <v>Tercapai</v>
      </c>
      <c r="BV27" s="185">
        <v>22.641999999999999</v>
      </c>
      <c r="BW27" s="184">
        <v>2386</v>
      </c>
      <c r="BX27" s="179" t="str">
        <f t="shared" si="22"/>
        <v>Tercapai</v>
      </c>
      <c r="BY27" s="184">
        <v>5</v>
      </c>
      <c r="BZ27" s="184">
        <v>2097</v>
      </c>
      <c r="CA27" s="179" t="str">
        <f t="shared" si="23"/>
        <v>Tercapai</v>
      </c>
      <c r="CB27" s="184">
        <v>3297</v>
      </c>
      <c r="CC27" s="184">
        <v>4009</v>
      </c>
      <c r="CD27" s="179" t="str">
        <f t="shared" si="24"/>
        <v>Tercapai</v>
      </c>
      <c r="CE27" s="184">
        <v>70</v>
      </c>
      <c r="CF27" s="184">
        <v>1652</v>
      </c>
      <c r="CG27" s="179" t="str">
        <f t="shared" si="25"/>
        <v>Tidak Tercapai</v>
      </c>
      <c r="CH27" s="184">
        <v>39</v>
      </c>
      <c r="CI27" s="184">
        <v>2275</v>
      </c>
      <c r="CJ27" s="179" t="str">
        <f t="shared" si="26"/>
        <v>Tercapai</v>
      </c>
      <c r="CK27" s="184">
        <v>153</v>
      </c>
      <c r="CL27" s="184">
        <v>589</v>
      </c>
      <c r="CM27" s="179" t="str">
        <f t="shared" si="27"/>
        <v>Tidak Tercapai</v>
      </c>
      <c r="CN27" s="184">
        <v>14</v>
      </c>
      <c r="CO27" s="184">
        <v>189</v>
      </c>
      <c r="CP27" s="179" t="str">
        <f t="shared" si="28"/>
        <v>Tidak Tercapai</v>
      </c>
      <c r="CQ27" s="184">
        <v>0</v>
      </c>
      <c r="CR27" s="184">
        <v>50</v>
      </c>
      <c r="CS27" s="179" t="str">
        <f t="shared" si="29"/>
        <v>Tidak Tercapai</v>
      </c>
      <c r="CT27" s="184">
        <v>1</v>
      </c>
      <c r="CU27" s="184">
        <v>1511</v>
      </c>
      <c r="CV27" s="179" t="str">
        <f t="shared" si="30"/>
        <v>Tidak Tercapai</v>
      </c>
      <c r="CW27" s="184">
        <v>54</v>
      </c>
      <c r="CX27" s="184">
        <v>5803</v>
      </c>
      <c r="CY27" s="179" t="str">
        <f t="shared" si="31"/>
        <v>Tercapai</v>
      </c>
      <c r="CZ27" s="184">
        <v>224</v>
      </c>
      <c r="DA27" s="184">
        <v>1530</v>
      </c>
      <c r="DB27" s="179" t="str">
        <f t="shared" si="32"/>
        <v>Tidak Tercapai</v>
      </c>
      <c r="DC27" s="184">
        <v>99</v>
      </c>
      <c r="DD27" s="184">
        <v>1995</v>
      </c>
      <c r="DE27" s="179" t="str">
        <f t="shared" si="33"/>
        <v>Tidak Tercapai</v>
      </c>
      <c r="DF27" s="184">
        <v>81</v>
      </c>
      <c r="DG27" s="184">
        <v>1636</v>
      </c>
      <c r="DH27" s="179" t="str">
        <f t="shared" si="34"/>
        <v>Tidak Tercapai</v>
      </c>
      <c r="DI27" s="184">
        <v>94</v>
      </c>
      <c r="DJ27" s="184">
        <v>731</v>
      </c>
      <c r="DK27" s="179" t="str">
        <f t="shared" si="35"/>
        <v>Tidak Tercapai</v>
      </c>
      <c r="DL27" s="184">
        <v>3</v>
      </c>
      <c r="DM27" s="184">
        <v>1444</v>
      </c>
      <c r="DN27" s="179" t="str">
        <f t="shared" si="36"/>
        <v>Tidak Tercapai</v>
      </c>
      <c r="DO27" s="184">
        <v>11</v>
      </c>
      <c r="DP27" s="184">
        <v>1124</v>
      </c>
      <c r="DQ27" s="179" t="str">
        <f t="shared" si="37"/>
        <v>Tidak Tercapai</v>
      </c>
      <c r="DR27" s="184">
        <v>155</v>
      </c>
      <c r="DS27" s="184">
        <v>2</v>
      </c>
      <c r="DT27" s="179" t="str">
        <f t="shared" si="38"/>
        <v>Tidak Tercapai</v>
      </c>
      <c r="DU27" s="184">
        <v>0</v>
      </c>
      <c r="DV27" s="184">
        <v>1163</v>
      </c>
      <c r="DW27" s="179" t="str">
        <f t="shared" si="39"/>
        <v>Tidak Tercapai</v>
      </c>
      <c r="DX27" s="184">
        <v>1071</v>
      </c>
      <c r="DY27" s="184">
        <v>1193</v>
      </c>
      <c r="DZ27" s="179" t="str">
        <f t="shared" si="40"/>
        <v>Tidak Tercapai</v>
      </c>
      <c r="EA27" s="184">
        <v>1491</v>
      </c>
      <c r="EB27" s="184">
        <v>1126</v>
      </c>
      <c r="EC27" s="179" t="str">
        <f t="shared" si="41"/>
        <v>Tidak Tercapai</v>
      </c>
      <c r="ED27" s="184">
        <v>1756</v>
      </c>
      <c r="EE27" s="184">
        <v>1480</v>
      </c>
      <c r="EF27" s="179" t="str">
        <f t="shared" si="42"/>
        <v>Tidak Tercapai</v>
      </c>
      <c r="EG27" s="184">
        <v>921</v>
      </c>
      <c r="EH27" s="184">
        <v>502</v>
      </c>
      <c r="EI27" s="179" t="str">
        <f t="shared" si="43"/>
        <v>Tidak Tercapai</v>
      </c>
      <c r="EJ27" s="184">
        <v>711</v>
      </c>
      <c r="EK27" s="184">
        <v>2036</v>
      </c>
      <c r="EL27" s="179" t="str">
        <f t="shared" si="44"/>
        <v>Tidak Tercapai</v>
      </c>
      <c r="EM27" s="184">
        <v>1647</v>
      </c>
      <c r="EN27" s="184">
        <v>2131</v>
      </c>
      <c r="EO27" s="179" t="str">
        <f t="shared" si="45"/>
        <v>Tercapai</v>
      </c>
      <c r="EP27" s="184">
        <v>1716</v>
      </c>
      <c r="EQ27" s="184">
        <v>1907</v>
      </c>
      <c r="ER27" s="179" t="str">
        <f t="shared" si="46"/>
        <v>Tidak Tercapai</v>
      </c>
      <c r="ES27" s="178">
        <v>1754</v>
      </c>
      <c r="ET27" s="184">
        <v>2043</v>
      </c>
      <c r="EU27" s="179" t="str">
        <f t="shared" si="47"/>
        <v>Tidak Tercapai</v>
      </c>
      <c r="EV27" s="184">
        <v>1605</v>
      </c>
      <c r="EW27" s="184">
        <v>1456</v>
      </c>
      <c r="EX27" s="179" t="str">
        <f t="shared" si="48"/>
        <v>Tidak Tercapai</v>
      </c>
      <c r="EY27" s="184">
        <v>1667</v>
      </c>
      <c r="EZ27" s="184">
        <v>1712</v>
      </c>
      <c r="FA27" s="179" t="str">
        <f t="shared" si="49"/>
        <v>Tidak Tercapai</v>
      </c>
      <c r="FB27" s="184">
        <v>690</v>
      </c>
      <c r="FC27" s="184">
        <v>2028</v>
      </c>
      <c r="FD27" s="179" t="str">
        <f t="shared" si="50"/>
        <v>Tidak Tercapai</v>
      </c>
      <c r="FE27" s="184">
        <v>390</v>
      </c>
      <c r="FF27" s="184">
        <v>3312</v>
      </c>
      <c r="FG27" s="179" t="str">
        <f t="shared" si="51"/>
        <v>Tercapai</v>
      </c>
      <c r="FH27" s="184">
        <v>1864</v>
      </c>
      <c r="FI27" s="184">
        <v>2196</v>
      </c>
      <c r="FJ27" s="179" t="str">
        <f t="shared" si="52"/>
        <v>Tercapai</v>
      </c>
      <c r="FK27" s="184">
        <v>1962</v>
      </c>
      <c r="FL27" s="186">
        <v>0</v>
      </c>
      <c r="FM27" s="179" t="str">
        <f t="shared" si="53"/>
        <v>Tidak Tercapai</v>
      </c>
      <c r="FN27" s="184">
        <v>1068</v>
      </c>
      <c r="FO27" s="184">
        <v>666</v>
      </c>
      <c r="FP27" s="179" t="str">
        <f t="shared" si="54"/>
        <v>Tidak Tercapai</v>
      </c>
      <c r="FQ27" s="184">
        <v>4</v>
      </c>
      <c r="FR27" s="184">
        <v>1762</v>
      </c>
      <c r="FS27" s="179" t="str">
        <f t="shared" si="55"/>
        <v>Tidak Tercapai</v>
      </c>
      <c r="FT27" s="184">
        <v>1613</v>
      </c>
      <c r="FU27" s="184">
        <v>4907</v>
      </c>
      <c r="FV27" s="179" t="str">
        <f t="shared" si="56"/>
        <v>Tercapai</v>
      </c>
      <c r="FW27" s="184">
        <v>5070</v>
      </c>
      <c r="FX27" s="184">
        <v>3647</v>
      </c>
      <c r="FY27" s="179" t="str">
        <f t="shared" si="57"/>
        <v>Tercapai</v>
      </c>
      <c r="FZ27" s="184">
        <v>3370</v>
      </c>
      <c r="GA27" s="184">
        <v>3659</v>
      </c>
      <c r="GB27" s="179" t="str">
        <f t="shared" si="58"/>
        <v>Tercapai</v>
      </c>
      <c r="GC27" s="184">
        <v>2922</v>
      </c>
      <c r="GD27" s="184">
        <v>2497</v>
      </c>
      <c r="GE27" s="179" t="str">
        <f t="shared" si="59"/>
        <v>Tercapai</v>
      </c>
      <c r="GF27" s="184">
        <v>2374</v>
      </c>
      <c r="GG27" s="184">
        <v>1018</v>
      </c>
      <c r="GH27" s="179" t="str">
        <f t="shared" si="60"/>
        <v>Tidak Tercapai</v>
      </c>
      <c r="GI27" s="184">
        <v>165</v>
      </c>
      <c r="GJ27" s="184">
        <v>2592</v>
      </c>
      <c r="GK27" s="179" t="str">
        <f t="shared" si="61"/>
        <v>Tercapai</v>
      </c>
      <c r="GL27" s="184">
        <v>2682</v>
      </c>
      <c r="GM27" s="184">
        <v>3299</v>
      </c>
      <c r="GN27" s="179" t="str">
        <f t="shared" si="62"/>
        <v>Tercapai</v>
      </c>
      <c r="GO27" s="184">
        <v>2555</v>
      </c>
      <c r="GP27" s="184">
        <v>2277</v>
      </c>
      <c r="GQ27" s="179" t="str">
        <f t="shared" si="63"/>
        <v>Tercapai</v>
      </c>
      <c r="GR27" s="184">
        <v>917</v>
      </c>
      <c r="GS27" s="184">
        <v>1759</v>
      </c>
      <c r="GT27" s="179" t="str">
        <f t="shared" si="64"/>
        <v>Tidak Tercapai</v>
      </c>
      <c r="GU27" s="184">
        <v>1564</v>
      </c>
      <c r="GV27" s="184">
        <v>1954</v>
      </c>
      <c r="GW27" s="179" t="str">
        <f t="shared" si="65"/>
        <v>Tidak Tercapai</v>
      </c>
      <c r="GX27" s="184">
        <v>1769</v>
      </c>
      <c r="GY27" s="184">
        <v>858</v>
      </c>
      <c r="GZ27" s="179" t="str">
        <f t="shared" si="66"/>
        <v>Tidak Tercapai</v>
      </c>
      <c r="HA27" s="184">
        <v>163</v>
      </c>
      <c r="HB27" s="184">
        <v>1191</v>
      </c>
      <c r="HC27" s="179" t="str">
        <f t="shared" si="67"/>
        <v>Tidak Tercapai</v>
      </c>
      <c r="HD27" s="184">
        <v>1231</v>
      </c>
      <c r="HE27" s="184">
        <v>1572</v>
      </c>
      <c r="HF27" s="179" t="str">
        <f t="shared" si="68"/>
        <v>Tidak Tercapai</v>
      </c>
      <c r="HG27" s="184">
        <v>1515</v>
      </c>
      <c r="HH27" s="184">
        <v>1348</v>
      </c>
      <c r="HI27" s="179" t="str">
        <f t="shared" si="69"/>
        <v>Tidak Tercapai</v>
      </c>
      <c r="HJ27" s="184">
        <v>1568</v>
      </c>
      <c r="HK27" s="184">
        <v>499</v>
      </c>
      <c r="HL27" s="179" t="str">
        <f t="shared" si="70"/>
        <v>Tidak Tercapai</v>
      </c>
      <c r="HM27" s="184">
        <v>508</v>
      </c>
      <c r="HN27" s="184">
        <v>41</v>
      </c>
      <c r="HO27" s="179" t="str">
        <f t="shared" si="71"/>
        <v>Tidak Tercapai</v>
      </c>
      <c r="HP27" s="184">
        <v>36</v>
      </c>
      <c r="HQ27" s="184">
        <v>1423</v>
      </c>
      <c r="HR27" s="179" t="str">
        <f t="shared" si="72"/>
        <v>Tidak Tercapai</v>
      </c>
      <c r="HS27" s="184">
        <v>1390</v>
      </c>
      <c r="HT27" s="184">
        <v>1212</v>
      </c>
      <c r="HU27" s="179" t="str">
        <f t="shared" si="73"/>
        <v>Tidak Tercapai</v>
      </c>
      <c r="HV27" s="184">
        <v>1167</v>
      </c>
      <c r="HW27" s="184">
        <v>994</v>
      </c>
      <c r="HX27" s="179" t="str">
        <f t="shared" si="74"/>
        <v>Tidak Tercapai</v>
      </c>
      <c r="HY27" s="184">
        <v>1324</v>
      </c>
      <c r="HZ27" s="184">
        <v>1014</v>
      </c>
      <c r="IA27" s="179" t="str">
        <f t="shared" si="75"/>
        <v>Tidak Tercapai</v>
      </c>
      <c r="IB27" s="184">
        <v>1788</v>
      </c>
      <c r="IC27" s="184">
        <v>1274</v>
      </c>
      <c r="ID27" s="179" t="str">
        <f t="shared" si="76"/>
        <v>Tidak Tercapai</v>
      </c>
      <c r="IE27" s="184">
        <v>2443</v>
      </c>
      <c r="IF27" s="184">
        <v>44</v>
      </c>
      <c r="IG27" s="179" t="str">
        <f t="shared" si="77"/>
        <v>Tidak Tercapai</v>
      </c>
      <c r="IH27" s="184">
        <v>50</v>
      </c>
      <c r="II27" s="184">
        <v>3</v>
      </c>
      <c r="IJ27" s="179" t="str">
        <f t="shared" si="78"/>
        <v>Tidak Tercapai</v>
      </c>
      <c r="IK27" s="184">
        <v>4</v>
      </c>
      <c r="IL27" s="42"/>
      <c r="IM27" s="42"/>
      <c r="IN27" s="42"/>
      <c r="IO27" s="42"/>
      <c r="IP27" s="42"/>
      <c r="IQ27" s="42"/>
      <c r="IR27" s="42"/>
      <c r="IS27" s="42"/>
      <c r="IT27" s="42"/>
      <c r="IU27" s="42"/>
      <c r="IV27" s="42"/>
    </row>
    <row r="28" spans="1:256" ht="15.6" x14ac:dyDescent="0.3">
      <c r="A28" s="167">
        <v>26</v>
      </c>
      <c r="B28" s="168" t="s">
        <v>486</v>
      </c>
      <c r="C28" s="167" t="s">
        <v>466</v>
      </c>
      <c r="D28" s="169">
        <v>184665</v>
      </c>
      <c r="E28" s="167">
        <v>2047</v>
      </c>
      <c r="F28" s="170">
        <v>54250</v>
      </c>
      <c r="G28" s="171" t="s">
        <v>457</v>
      </c>
      <c r="H28" s="170">
        <v>38481</v>
      </c>
      <c r="I28" s="170">
        <v>48</v>
      </c>
      <c r="J28" s="171" t="str">
        <f t="shared" si="0"/>
        <v>Tidak Tercapai</v>
      </c>
      <c r="K28" s="170">
        <v>4</v>
      </c>
      <c r="L28" s="170">
        <v>1</v>
      </c>
      <c r="M28" s="171" t="str">
        <f t="shared" si="1"/>
        <v>Tidak Tercapai</v>
      </c>
      <c r="N28" s="170">
        <v>0</v>
      </c>
      <c r="O28" s="167">
        <v>1380</v>
      </c>
      <c r="P28" s="171" t="str">
        <f t="shared" si="2"/>
        <v>Tidak Tercapai</v>
      </c>
      <c r="Q28" s="172">
        <v>15</v>
      </c>
      <c r="R28" s="167">
        <v>2144</v>
      </c>
      <c r="S28" s="173" t="str">
        <f t="shared" si="3"/>
        <v>Tercapai</v>
      </c>
      <c r="T28" s="172">
        <v>29</v>
      </c>
      <c r="U28" s="174">
        <v>2734</v>
      </c>
      <c r="V28" s="173" t="str">
        <f t="shared" si="4"/>
        <v>Tercapai</v>
      </c>
      <c r="W28" s="175">
        <v>18</v>
      </c>
      <c r="X28" s="175">
        <v>2794</v>
      </c>
      <c r="Y28" s="176" t="str">
        <f t="shared" si="5"/>
        <v>Tercapai</v>
      </c>
      <c r="Z28" s="177">
        <v>45</v>
      </c>
      <c r="AA28" s="178">
        <v>3914</v>
      </c>
      <c r="AB28" s="179" t="str">
        <f t="shared" si="6"/>
        <v>Tercapai</v>
      </c>
      <c r="AC28" s="178">
        <v>34</v>
      </c>
      <c r="AD28" s="178">
        <v>1560</v>
      </c>
      <c r="AE28" s="179" t="str">
        <f t="shared" si="7"/>
        <v>Tidak Tercapai</v>
      </c>
      <c r="AF28" s="178">
        <v>5</v>
      </c>
      <c r="AG28" s="178">
        <v>1247</v>
      </c>
      <c r="AH28" s="179" t="str">
        <f t="shared" si="8"/>
        <v>Tidak Tercapai</v>
      </c>
      <c r="AI28" s="178">
        <v>0</v>
      </c>
      <c r="AJ28" s="178">
        <v>3609</v>
      </c>
      <c r="AK28" s="179" t="str">
        <f t="shared" si="9"/>
        <v>Tercapai</v>
      </c>
      <c r="AL28" s="178">
        <v>11</v>
      </c>
      <c r="AM28" s="178">
        <v>2754</v>
      </c>
      <c r="AN28" s="179" t="str">
        <f t="shared" si="10"/>
        <v>Tercapai</v>
      </c>
      <c r="AO28" s="178">
        <v>14</v>
      </c>
      <c r="AP28" s="178">
        <v>4858</v>
      </c>
      <c r="AQ28" s="179" t="str">
        <f t="shared" si="11"/>
        <v>Tercapai</v>
      </c>
      <c r="AR28" s="178">
        <v>5</v>
      </c>
      <c r="AS28" s="178">
        <v>4118</v>
      </c>
      <c r="AT28" s="179" t="str">
        <f t="shared" si="12"/>
        <v>Tercapai</v>
      </c>
      <c r="AU28" s="178">
        <v>21</v>
      </c>
      <c r="AV28" s="170">
        <v>4202</v>
      </c>
      <c r="AW28" s="179" t="str">
        <f t="shared" si="13"/>
        <v>Tercapai</v>
      </c>
      <c r="AX28" s="178">
        <v>78</v>
      </c>
      <c r="AY28" s="178">
        <v>1479</v>
      </c>
      <c r="AZ28" s="179" t="str">
        <f t="shared" si="14"/>
        <v>Tidak Tercapai</v>
      </c>
      <c r="BA28" s="178">
        <v>4</v>
      </c>
      <c r="BB28" s="183">
        <v>168</v>
      </c>
      <c r="BC28" s="179" t="str">
        <f t="shared" si="15"/>
        <v>Tidak Tercapai</v>
      </c>
      <c r="BD28" s="178">
        <v>1</v>
      </c>
      <c r="BE28" s="184">
        <v>3887</v>
      </c>
      <c r="BF28" s="179" t="str">
        <f t="shared" si="16"/>
        <v>Tercapai</v>
      </c>
      <c r="BG28" s="170">
        <v>24</v>
      </c>
      <c r="BH28" s="184">
        <v>4847</v>
      </c>
      <c r="BI28" s="179" t="str">
        <f t="shared" si="17"/>
        <v>Tercapai</v>
      </c>
      <c r="BJ28" s="184">
        <v>22</v>
      </c>
      <c r="BK28" s="184">
        <v>4535</v>
      </c>
      <c r="BL28" s="179" t="str">
        <f t="shared" si="18"/>
        <v>Tercapai</v>
      </c>
      <c r="BM28" s="184">
        <v>21</v>
      </c>
      <c r="BN28" s="184">
        <v>2925</v>
      </c>
      <c r="BO28" s="179" t="str">
        <f t="shared" si="19"/>
        <v>Tercapai</v>
      </c>
      <c r="BP28" s="184">
        <v>31</v>
      </c>
      <c r="BQ28" s="184">
        <v>2526</v>
      </c>
      <c r="BR28" s="179" t="str">
        <f t="shared" si="20"/>
        <v>Tercapai</v>
      </c>
      <c r="BS28" s="184">
        <v>23</v>
      </c>
      <c r="BT28" s="184">
        <v>2191</v>
      </c>
      <c r="BU28" s="179" t="str">
        <f t="shared" si="21"/>
        <v>Tercapai</v>
      </c>
      <c r="BV28" s="185">
        <v>39.008000000000003</v>
      </c>
      <c r="BW28" s="184">
        <v>13</v>
      </c>
      <c r="BX28" s="179" t="str">
        <f t="shared" si="22"/>
        <v>Tidak Tercapai</v>
      </c>
      <c r="BY28" s="184">
        <v>5</v>
      </c>
      <c r="BZ28" s="184">
        <v>2059</v>
      </c>
      <c r="CA28" s="179" t="str">
        <f t="shared" si="23"/>
        <v>Tercapai</v>
      </c>
      <c r="CB28" s="184">
        <v>1241</v>
      </c>
      <c r="CC28" s="184">
        <v>3824</v>
      </c>
      <c r="CD28" s="179" t="str">
        <f t="shared" si="24"/>
        <v>Tercapai</v>
      </c>
      <c r="CE28" s="184">
        <v>58</v>
      </c>
      <c r="CF28" s="184">
        <v>2328</v>
      </c>
      <c r="CG28" s="179" t="str">
        <f t="shared" si="25"/>
        <v>Tercapai</v>
      </c>
      <c r="CH28" s="184">
        <v>32</v>
      </c>
      <c r="CI28" s="184">
        <v>4401</v>
      </c>
      <c r="CJ28" s="179" t="str">
        <f t="shared" si="26"/>
        <v>Tercapai</v>
      </c>
      <c r="CK28" s="184">
        <v>52</v>
      </c>
      <c r="CL28" s="184">
        <v>728</v>
      </c>
      <c r="CM28" s="179" t="str">
        <f t="shared" si="27"/>
        <v>Tidak Tercapai</v>
      </c>
      <c r="CN28" s="184">
        <v>15</v>
      </c>
      <c r="CO28" s="184">
        <v>1</v>
      </c>
      <c r="CP28" s="179" t="str">
        <f t="shared" si="28"/>
        <v>Tidak Tercapai</v>
      </c>
      <c r="CQ28" s="184">
        <v>0</v>
      </c>
      <c r="CR28" s="184">
        <v>8</v>
      </c>
      <c r="CS28" s="179" t="str">
        <f t="shared" si="29"/>
        <v>Tidak Tercapai</v>
      </c>
      <c r="CT28" s="184">
        <v>4</v>
      </c>
      <c r="CU28" s="184">
        <v>1840</v>
      </c>
      <c r="CV28" s="179" t="str">
        <f t="shared" si="30"/>
        <v>Tidak Tercapai</v>
      </c>
      <c r="CW28" s="184">
        <v>30</v>
      </c>
      <c r="CX28" s="184">
        <v>5288</v>
      </c>
      <c r="CY28" s="179" t="str">
        <f t="shared" si="31"/>
        <v>Tercapai</v>
      </c>
      <c r="CZ28" s="184">
        <v>468</v>
      </c>
      <c r="DA28" s="184">
        <v>2584</v>
      </c>
      <c r="DB28" s="179" t="str">
        <f t="shared" si="32"/>
        <v>Tercapai</v>
      </c>
      <c r="DC28" s="184">
        <v>89</v>
      </c>
      <c r="DD28" s="184">
        <v>2926</v>
      </c>
      <c r="DE28" s="179" t="str">
        <f t="shared" si="33"/>
        <v>Tercapai</v>
      </c>
      <c r="DF28" s="184">
        <v>47</v>
      </c>
      <c r="DG28" s="184">
        <v>2484</v>
      </c>
      <c r="DH28" s="179" t="str">
        <f t="shared" si="34"/>
        <v>Tercapai</v>
      </c>
      <c r="DI28" s="184">
        <v>124</v>
      </c>
      <c r="DJ28" s="184">
        <v>1450</v>
      </c>
      <c r="DK28" s="179" t="str">
        <f t="shared" si="35"/>
        <v>Tidak Tercapai</v>
      </c>
      <c r="DL28" s="184">
        <v>43</v>
      </c>
      <c r="DM28" s="184">
        <v>1031</v>
      </c>
      <c r="DN28" s="179" t="str">
        <f t="shared" si="36"/>
        <v>Tidak Tercapai</v>
      </c>
      <c r="DO28" s="184">
        <v>11</v>
      </c>
      <c r="DP28" s="184">
        <v>1162</v>
      </c>
      <c r="DQ28" s="179" t="str">
        <f t="shared" si="37"/>
        <v>Tidak Tercapai</v>
      </c>
      <c r="DR28" s="184">
        <v>1102</v>
      </c>
      <c r="DS28" s="184">
        <v>5</v>
      </c>
      <c r="DT28" s="179" t="str">
        <f t="shared" si="38"/>
        <v>Tidak Tercapai</v>
      </c>
      <c r="DU28" s="184">
        <v>1</v>
      </c>
      <c r="DV28" s="184">
        <v>534</v>
      </c>
      <c r="DW28" s="179" t="str">
        <f t="shared" si="39"/>
        <v>Tidak Tercapai</v>
      </c>
      <c r="DX28" s="184">
        <v>1417</v>
      </c>
      <c r="DY28" s="184">
        <v>1644</v>
      </c>
      <c r="DZ28" s="179" t="str">
        <f t="shared" si="40"/>
        <v>Tidak Tercapai</v>
      </c>
      <c r="EA28" s="184">
        <v>1815</v>
      </c>
      <c r="EB28" s="184">
        <v>1343</v>
      </c>
      <c r="EC28" s="179" t="str">
        <f t="shared" si="41"/>
        <v>Tidak Tercapai</v>
      </c>
      <c r="ED28" s="184">
        <v>1984</v>
      </c>
      <c r="EE28" s="184">
        <v>1026</v>
      </c>
      <c r="EF28" s="179" t="str">
        <f t="shared" si="42"/>
        <v>Tidak Tercapai</v>
      </c>
      <c r="EG28" s="184">
        <v>119</v>
      </c>
      <c r="EH28" s="184">
        <v>514</v>
      </c>
      <c r="EI28" s="179" t="str">
        <f t="shared" si="43"/>
        <v>Tidak Tercapai</v>
      </c>
      <c r="EJ28" s="184">
        <v>19</v>
      </c>
      <c r="EK28" s="184">
        <v>975</v>
      </c>
      <c r="EL28" s="179" t="str">
        <f t="shared" si="44"/>
        <v>Tidak Tercapai</v>
      </c>
      <c r="EM28" s="184">
        <v>2212</v>
      </c>
      <c r="EN28" s="184">
        <v>1128</v>
      </c>
      <c r="EO28" s="179" t="str">
        <f t="shared" si="45"/>
        <v>Tidak Tercapai</v>
      </c>
      <c r="EP28" s="184">
        <v>2600</v>
      </c>
      <c r="EQ28" s="184">
        <v>1420</v>
      </c>
      <c r="ER28" s="179" t="str">
        <f t="shared" si="46"/>
        <v>Tidak Tercapai</v>
      </c>
      <c r="ES28" s="178">
        <v>3446</v>
      </c>
      <c r="ET28" s="184">
        <v>1561</v>
      </c>
      <c r="EU28" s="179" t="str">
        <f t="shared" si="47"/>
        <v>Tidak Tercapai</v>
      </c>
      <c r="EV28" s="184">
        <v>3599</v>
      </c>
      <c r="EW28" s="184">
        <v>1699</v>
      </c>
      <c r="EX28" s="179" t="str">
        <f t="shared" si="48"/>
        <v>Tidak Tercapai</v>
      </c>
      <c r="EY28" s="184">
        <v>4135</v>
      </c>
      <c r="EZ28" s="184">
        <v>1396</v>
      </c>
      <c r="FA28" s="179" t="str">
        <f t="shared" si="49"/>
        <v>Tidak Tercapai</v>
      </c>
      <c r="FB28" s="184">
        <v>401</v>
      </c>
      <c r="FC28" s="184">
        <v>701</v>
      </c>
      <c r="FD28" s="179" t="str">
        <f t="shared" si="50"/>
        <v>Tidak Tercapai</v>
      </c>
      <c r="FE28" s="184">
        <v>24</v>
      </c>
      <c r="FF28" s="184">
        <v>1377</v>
      </c>
      <c r="FG28" s="179" t="str">
        <f t="shared" si="51"/>
        <v>Tidak Tercapai</v>
      </c>
      <c r="FH28" s="184">
        <v>2631</v>
      </c>
      <c r="FI28" s="184">
        <v>1440</v>
      </c>
      <c r="FJ28" s="179" t="str">
        <f t="shared" si="52"/>
        <v>Tidak Tercapai</v>
      </c>
      <c r="FK28" s="184">
        <v>2296</v>
      </c>
      <c r="FL28" s="186">
        <v>0</v>
      </c>
      <c r="FM28" s="179" t="str">
        <f t="shared" si="53"/>
        <v>Tidak Tercapai</v>
      </c>
      <c r="FN28" s="184">
        <v>2403</v>
      </c>
      <c r="FO28" s="184">
        <v>0</v>
      </c>
      <c r="FP28" s="179" t="str">
        <f t="shared" si="54"/>
        <v>Tidak Tercapai</v>
      </c>
      <c r="FQ28" s="184">
        <v>0</v>
      </c>
      <c r="FR28" s="184">
        <v>9904</v>
      </c>
      <c r="FS28" s="179" t="str">
        <f t="shared" si="55"/>
        <v>Tercapai</v>
      </c>
      <c r="FT28" s="184">
        <v>9131</v>
      </c>
      <c r="FU28" s="184">
        <v>4575</v>
      </c>
      <c r="FV28" s="179" t="str">
        <f t="shared" si="56"/>
        <v>Tercapai</v>
      </c>
      <c r="FW28" s="184">
        <v>5960</v>
      </c>
      <c r="FX28" s="184">
        <v>716</v>
      </c>
      <c r="FY28" s="179" t="str">
        <f t="shared" si="57"/>
        <v>Tidak Tercapai</v>
      </c>
      <c r="FZ28" s="184">
        <v>181</v>
      </c>
      <c r="GA28" s="184">
        <v>818</v>
      </c>
      <c r="GB28" s="179" t="str">
        <f t="shared" si="58"/>
        <v>Tidak Tercapai</v>
      </c>
      <c r="GC28" s="184">
        <v>1620</v>
      </c>
      <c r="GD28" s="184">
        <v>773</v>
      </c>
      <c r="GE28" s="179" t="str">
        <f t="shared" si="59"/>
        <v>Tidak Tercapai</v>
      </c>
      <c r="GF28" s="184">
        <v>1266</v>
      </c>
      <c r="GG28" s="184">
        <v>56</v>
      </c>
      <c r="GH28" s="179" t="str">
        <f t="shared" si="60"/>
        <v>Tidak Tercapai</v>
      </c>
      <c r="GI28" s="184">
        <v>383</v>
      </c>
      <c r="GJ28" s="184">
        <v>1639</v>
      </c>
      <c r="GK28" s="179" t="str">
        <f t="shared" si="61"/>
        <v>Tidak Tercapai</v>
      </c>
      <c r="GL28" s="184">
        <v>2776</v>
      </c>
      <c r="GM28" s="184">
        <v>1488</v>
      </c>
      <c r="GN28" s="179" t="str">
        <f t="shared" si="62"/>
        <v>Tidak Tercapai</v>
      </c>
      <c r="GO28" s="184">
        <v>2396</v>
      </c>
      <c r="GP28" s="184">
        <v>824</v>
      </c>
      <c r="GQ28" s="179" t="str">
        <f t="shared" si="63"/>
        <v>Tidak Tercapai</v>
      </c>
      <c r="GR28" s="184">
        <v>1171</v>
      </c>
      <c r="GS28" s="184">
        <v>174</v>
      </c>
      <c r="GT28" s="179" t="str">
        <f t="shared" si="64"/>
        <v>Tidak Tercapai</v>
      </c>
      <c r="GU28" s="184">
        <v>529</v>
      </c>
      <c r="GV28" s="184">
        <v>699</v>
      </c>
      <c r="GW28" s="179" t="str">
        <f t="shared" si="65"/>
        <v>Tidak Tercapai</v>
      </c>
      <c r="GX28" s="184">
        <v>2069</v>
      </c>
      <c r="GY28" s="184">
        <v>234</v>
      </c>
      <c r="GZ28" s="179" t="str">
        <f t="shared" si="66"/>
        <v>Tidak Tercapai</v>
      </c>
      <c r="HA28" s="184">
        <v>354</v>
      </c>
      <c r="HB28" s="184">
        <v>1210</v>
      </c>
      <c r="HC28" s="179" t="str">
        <f t="shared" si="67"/>
        <v>Tidak Tercapai</v>
      </c>
      <c r="HD28" s="184">
        <v>1791</v>
      </c>
      <c r="HE28" s="184">
        <v>1047</v>
      </c>
      <c r="HF28" s="179" t="str">
        <f t="shared" si="68"/>
        <v>Tidak Tercapai</v>
      </c>
      <c r="HG28" s="184">
        <v>1907</v>
      </c>
      <c r="HH28" s="184">
        <v>725</v>
      </c>
      <c r="HI28" s="179" t="str">
        <f t="shared" si="69"/>
        <v>Tidak Tercapai</v>
      </c>
      <c r="HJ28" s="184">
        <v>961</v>
      </c>
      <c r="HK28" s="184">
        <v>740</v>
      </c>
      <c r="HL28" s="179" t="str">
        <f t="shared" si="70"/>
        <v>Tidak Tercapai</v>
      </c>
      <c r="HM28" s="184">
        <v>1190</v>
      </c>
      <c r="HN28" s="184">
        <v>478</v>
      </c>
      <c r="HO28" s="179" t="str">
        <f t="shared" si="71"/>
        <v>Tidak Tercapai</v>
      </c>
      <c r="HP28" s="184">
        <v>384</v>
      </c>
      <c r="HQ28" s="184">
        <v>778</v>
      </c>
      <c r="HR28" s="179" t="str">
        <f t="shared" si="72"/>
        <v>Tidak Tercapai</v>
      </c>
      <c r="HS28" s="184">
        <v>1454</v>
      </c>
      <c r="HT28" s="184">
        <v>985</v>
      </c>
      <c r="HU28" s="179" t="str">
        <f t="shared" si="73"/>
        <v>Tidak Tercapai</v>
      </c>
      <c r="HV28" s="184">
        <v>981</v>
      </c>
      <c r="HW28" s="184">
        <v>1850</v>
      </c>
      <c r="HX28" s="179" t="str">
        <f t="shared" si="74"/>
        <v>Tidak Tercapai</v>
      </c>
      <c r="HY28" s="184">
        <v>2309</v>
      </c>
      <c r="HZ28" s="184">
        <v>1241</v>
      </c>
      <c r="IA28" s="179" t="str">
        <f t="shared" si="75"/>
        <v>Tidak Tercapai</v>
      </c>
      <c r="IB28" s="184">
        <v>1949</v>
      </c>
      <c r="IC28" s="184">
        <v>1977</v>
      </c>
      <c r="ID28" s="179" t="str">
        <f t="shared" si="76"/>
        <v>Tidak Tercapai</v>
      </c>
      <c r="IE28" s="184">
        <v>2451</v>
      </c>
      <c r="IF28" s="184">
        <v>181</v>
      </c>
      <c r="IG28" s="179" t="str">
        <f t="shared" si="77"/>
        <v>Tidak Tercapai</v>
      </c>
      <c r="IH28" s="184">
        <v>136</v>
      </c>
      <c r="II28" s="184">
        <v>4</v>
      </c>
      <c r="IJ28" s="179" t="str">
        <f t="shared" si="78"/>
        <v>Tidak Tercapai</v>
      </c>
      <c r="IK28" s="184">
        <v>5</v>
      </c>
      <c r="IL28" s="42"/>
      <c r="IM28" s="42"/>
      <c r="IN28" s="42"/>
      <c r="IO28" s="42"/>
      <c r="IP28" s="42"/>
      <c r="IQ28" s="42"/>
      <c r="IR28" s="42"/>
      <c r="IS28" s="42"/>
      <c r="IT28" s="42"/>
      <c r="IU28" s="42"/>
      <c r="IV28" s="42"/>
    </row>
    <row r="29" spans="1:256" ht="15.6" x14ac:dyDescent="0.3">
      <c r="A29" s="167">
        <v>27</v>
      </c>
      <c r="B29" s="168" t="s">
        <v>487</v>
      </c>
      <c r="C29" s="167" t="s">
        <v>456</v>
      </c>
      <c r="D29" s="169">
        <v>178873</v>
      </c>
      <c r="E29" s="167">
        <v>1927</v>
      </c>
      <c r="F29" s="187">
        <v>55656</v>
      </c>
      <c r="G29" s="171" t="s">
        <v>457</v>
      </c>
      <c r="H29" s="187">
        <v>38990</v>
      </c>
      <c r="I29" s="187">
        <v>701</v>
      </c>
      <c r="J29" s="171" t="str">
        <f t="shared" si="0"/>
        <v>Tidak Tercapai</v>
      </c>
      <c r="K29" s="187">
        <v>4</v>
      </c>
      <c r="L29" s="187">
        <v>1</v>
      </c>
      <c r="M29" s="171" t="str">
        <f t="shared" si="1"/>
        <v>Tidak Tercapai</v>
      </c>
      <c r="N29" s="187">
        <v>0</v>
      </c>
      <c r="O29" s="167">
        <v>656</v>
      </c>
      <c r="P29" s="171" t="str">
        <f t="shared" si="2"/>
        <v>Tidak Tercapai</v>
      </c>
      <c r="Q29" s="172">
        <v>1018</v>
      </c>
      <c r="R29" s="167">
        <v>1044</v>
      </c>
      <c r="S29" s="173" t="str">
        <f t="shared" si="3"/>
        <v>Tidak Tercapai</v>
      </c>
      <c r="T29" s="172">
        <v>1537</v>
      </c>
      <c r="U29" s="174">
        <v>661</v>
      </c>
      <c r="V29" s="173" t="str">
        <f t="shared" si="4"/>
        <v>Tidak Tercapai</v>
      </c>
      <c r="W29" s="175">
        <v>1461</v>
      </c>
      <c r="X29" s="188">
        <v>1378</v>
      </c>
      <c r="Y29" s="176" t="str">
        <f t="shared" si="5"/>
        <v>Tidak Tercapai</v>
      </c>
      <c r="Z29" s="177">
        <v>1337</v>
      </c>
      <c r="AA29" s="178">
        <v>1465</v>
      </c>
      <c r="AB29" s="179" t="str">
        <f t="shared" si="6"/>
        <v>Tidak Tercapai</v>
      </c>
      <c r="AC29" s="178">
        <v>134</v>
      </c>
      <c r="AD29" s="184">
        <v>606</v>
      </c>
      <c r="AE29" s="179" t="str">
        <f t="shared" si="7"/>
        <v>Tidak Tercapai</v>
      </c>
      <c r="AF29" s="178">
        <v>13</v>
      </c>
      <c r="AG29" s="178">
        <v>682</v>
      </c>
      <c r="AH29" s="179" t="str">
        <f t="shared" si="8"/>
        <v>Tidak Tercapai</v>
      </c>
      <c r="AI29" s="178">
        <v>1</v>
      </c>
      <c r="AJ29" s="184">
        <v>1827</v>
      </c>
      <c r="AK29" s="179" t="str">
        <f t="shared" si="9"/>
        <v>Tidak Tercapai</v>
      </c>
      <c r="AL29" s="184">
        <v>201</v>
      </c>
      <c r="AM29" s="184">
        <v>1427</v>
      </c>
      <c r="AN29" s="179" t="str">
        <f t="shared" si="10"/>
        <v>Tidak Tercapai</v>
      </c>
      <c r="AO29" s="184">
        <v>114</v>
      </c>
      <c r="AP29" s="178">
        <v>3627</v>
      </c>
      <c r="AQ29" s="179" t="str">
        <f t="shared" si="11"/>
        <v>Tercapai</v>
      </c>
      <c r="AR29" s="178">
        <v>313</v>
      </c>
      <c r="AS29" s="178">
        <v>2681</v>
      </c>
      <c r="AT29" s="179" t="str">
        <f t="shared" si="12"/>
        <v>Tercapai</v>
      </c>
      <c r="AU29" s="178">
        <v>29</v>
      </c>
      <c r="AV29" s="170">
        <v>2534</v>
      </c>
      <c r="AW29" s="179" t="str">
        <f t="shared" si="13"/>
        <v>Tercapai</v>
      </c>
      <c r="AX29" s="178">
        <v>68</v>
      </c>
      <c r="AY29" s="178">
        <v>1774</v>
      </c>
      <c r="AZ29" s="179" t="str">
        <f t="shared" si="14"/>
        <v>Tidak Tercapai</v>
      </c>
      <c r="BA29" s="178">
        <v>136</v>
      </c>
      <c r="BB29" s="183">
        <v>1207</v>
      </c>
      <c r="BC29" s="179" t="str">
        <f t="shared" si="15"/>
        <v>Tidak Tercapai</v>
      </c>
      <c r="BD29" s="178">
        <v>0</v>
      </c>
      <c r="BE29" s="184">
        <v>3289</v>
      </c>
      <c r="BF29" s="179" t="str">
        <f t="shared" si="16"/>
        <v>Tercapai</v>
      </c>
      <c r="BG29" s="170">
        <v>123</v>
      </c>
      <c r="BH29" s="184">
        <v>3559</v>
      </c>
      <c r="BI29" s="179" t="str">
        <f t="shared" si="17"/>
        <v>Tercapai</v>
      </c>
      <c r="BJ29" s="184">
        <v>72</v>
      </c>
      <c r="BK29" s="184">
        <v>2799</v>
      </c>
      <c r="BL29" s="179" t="str">
        <f t="shared" si="18"/>
        <v>Tercapai</v>
      </c>
      <c r="BM29" s="184">
        <v>241</v>
      </c>
      <c r="BN29" s="184">
        <v>1613</v>
      </c>
      <c r="BO29" s="179" t="str">
        <f t="shared" si="19"/>
        <v>Tidak Tercapai</v>
      </c>
      <c r="BP29" s="184">
        <v>66</v>
      </c>
      <c r="BQ29" s="184">
        <v>1542</v>
      </c>
      <c r="BR29" s="179" t="str">
        <f t="shared" si="20"/>
        <v>Tidak Tercapai</v>
      </c>
      <c r="BS29" s="184">
        <v>22</v>
      </c>
      <c r="BT29" s="184">
        <v>3268</v>
      </c>
      <c r="BU29" s="179" t="str">
        <f t="shared" si="21"/>
        <v>Tercapai</v>
      </c>
      <c r="BV29" s="185">
        <v>46.015999999999998</v>
      </c>
      <c r="BW29" s="184">
        <v>1079</v>
      </c>
      <c r="BX29" s="179" t="str">
        <f t="shared" si="22"/>
        <v>Tidak Tercapai</v>
      </c>
      <c r="BY29" s="184">
        <v>5</v>
      </c>
      <c r="BZ29" s="184">
        <v>2547</v>
      </c>
      <c r="CA29" s="179" t="str">
        <f t="shared" si="23"/>
        <v>Tercapai</v>
      </c>
      <c r="CB29" s="184">
        <v>6158</v>
      </c>
      <c r="CC29" s="184">
        <v>5626</v>
      </c>
      <c r="CD29" s="179" t="str">
        <f t="shared" si="24"/>
        <v>Tercapai</v>
      </c>
      <c r="CE29" s="184">
        <v>47</v>
      </c>
      <c r="CF29" s="184">
        <v>3402</v>
      </c>
      <c r="CG29" s="179" t="str">
        <f t="shared" si="25"/>
        <v>Tercapai</v>
      </c>
      <c r="CH29" s="184">
        <v>12</v>
      </c>
      <c r="CI29" s="184">
        <v>5332</v>
      </c>
      <c r="CJ29" s="179" t="str">
        <f t="shared" si="26"/>
        <v>Tercapai</v>
      </c>
      <c r="CK29" s="184">
        <v>56</v>
      </c>
      <c r="CL29" s="184">
        <v>2012</v>
      </c>
      <c r="CM29" s="179" t="str">
        <f t="shared" si="27"/>
        <v>Tercapai</v>
      </c>
      <c r="CN29" s="184">
        <v>17</v>
      </c>
      <c r="CO29" s="184">
        <v>1815</v>
      </c>
      <c r="CP29" s="179" t="str">
        <f t="shared" si="28"/>
        <v>Tidak Tercapai</v>
      </c>
      <c r="CQ29" s="184">
        <v>0</v>
      </c>
      <c r="CR29" s="184">
        <v>5</v>
      </c>
      <c r="CS29" s="179" t="str">
        <f t="shared" si="29"/>
        <v>Tidak Tercapai</v>
      </c>
      <c r="CT29" s="184">
        <v>0</v>
      </c>
      <c r="CU29" s="184">
        <v>1174</v>
      </c>
      <c r="CV29" s="179" t="str">
        <f t="shared" si="30"/>
        <v>Tidak Tercapai</v>
      </c>
      <c r="CW29" s="184">
        <v>53</v>
      </c>
      <c r="CX29" s="184">
        <v>4591</v>
      </c>
      <c r="CY29" s="179" t="str">
        <f t="shared" si="31"/>
        <v>Tercapai</v>
      </c>
      <c r="CZ29" s="184">
        <v>501</v>
      </c>
      <c r="DA29" s="184">
        <v>2033</v>
      </c>
      <c r="DB29" s="179" t="str">
        <f t="shared" si="32"/>
        <v>Tercapai</v>
      </c>
      <c r="DC29" s="184">
        <v>66</v>
      </c>
      <c r="DD29" s="184">
        <v>2911</v>
      </c>
      <c r="DE29" s="179" t="str">
        <f t="shared" si="33"/>
        <v>Tercapai</v>
      </c>
      <c r="DF29" s="184">
        <v>70</v>
      </c>
      <c r="DG29" s="184">
        <v>2743</v>
      </c>
      <c r="DH29" s="179" t="str">
        <f t="shared" si="34"/>
        <v>Tercapai</v>
      </c>
      <c r="DI29" s="184">
        <v>27</v>
      </c>
      <c r="DJ29" s="184">
        <v>1438</v>
      </c>
      <c r="DK29" s="179" t="str">
        <f t="shared" si="35"/>
        <v>Tidak Tercapai</v>
      </c>
      <c r="DL29" s="184">
        <v>9</v>
      </c>
      <c r="DM29" s="184">
        <v>2116</v>
      </c>
      <c r="DN29" s="179" t="str">
        <f t="shared" si="36"/>
        <v>Tercapai</v>
      </c>
      <c r="DO29" s="184">
        <v>11</v>
      </c>
      <c r="DP29" s="184">
        <v>1677</v>
      </c>
      <c r="DQ29" s="179" t="str">
        <f t="shared" si="37"/>
        <v>Tidak Tercapai</v>
      </c>
      <c r="DR29" s="184">
        <v>155</v>
      </c>
      <c r="DS29" s="184">
        <v>2</v>
      </c>
      <c r="DT29" s="179" t="str">
        <f t="shared" si="38"/>
        <v>Tidak Tercapai</v>
      </c>
      <c r="DU29" s="184">
        <v>74</v>
      </c>
      <c r="DV29" s="184">
        <v>2598</v>
      </c>
      <c r="DW29" s="179" t="str">
        <f t="shared" si="39"/>
        <v>Tercapai</v>
      </c>
      <c r="DX29" s="184">
        <v>600</v>
      </c>
      <c r="DY29" s="184">
        <v>2729</v>
      </c>
      <c r="DZ29" s="179" t="str">
        <f t="shared" si="40"/>
        <v>Tercapai</v>
      </c>
      <c r="EA29" s="184">
        <v>1114</v>
      </c>
      <c r="EB29" s="184">
        <v>2435</v>
      </c>
      <c r="EC29" s="179" t="str">
        <f t="shared" si="41"/>
        <v>Tercapai</v>
      </c>
      <c r="ED29" s="184">
        <v>1371</v>
      </c>
      <c r="EE29" s="184">
        <v>1422</v>
      </c>
      <c r="EF29" s="179" t="str">
        <f t="shared" si="42"/>
        <v>Tidak Tercapai</v>
      </c>
      <c r="EG29" s="184">
        <v>644</v>
      </c>
      <c r="EH29" s="184">
        <v>1648</v>
      </c>
      <c r="EI29" s="179" t="str">
        <f t="shared" si="43"/>
        <v>Tidak Tercapai</v>
      </c>
      <c r="EJ29" s="184">
        <v>173</v>
      </c>
      <c r="EK29" s="184">
        <v>3150</v>
      </c>
      <c r="EL29" s="179" t="str">
        <f t="shared" si="44"/>
        <v>Tercapai</v>
      </c>
      <c r="EM29" s="184">
        <v>1799</v>
      </c>
      <c r="EN29" s="184">
        <v>3024</v>
      </c>
      <c r="EO29" s="179" t="str">
        <f t="shared" si="45"/>
        <v>Tercapai</v>
      </c>
      <c r="EP29" s="184">
        <v>2090</v>
      </c>
      <c r="EQ29" s="184">
        <v>965</v>
      </c>
      <c r="ER29" s="179" t="str">
        <f t="shared" si="46"/>
        <v>Tidak Tercapai</v>
      </c>
      <c r="ES29" s="178">
        <v>2412</v>
      </c>
      <c r="ET29" s="184">
        <v>1303</v>
      </c>
      <c r="EU29" s="179" t="str">
        <f t="shared" si="47"/>
        <v>Tidak Tercapai</v>
      </c>
      <c r="EV29" s="184">
        <v>2317</v>
      </c>
      <c r="EW29" s="184">
        <v>1172</v>
      </c>
      <c r="EX29" s="179" t="str">
        <f t="shared" si="48"/>
        <v>Tidak Tercapai</v>
      </c>
      <c r="EY29" s="184">
        <v>1988</v>
      </c>
      <c r="EZ29" s="184">
        <v>485</v>
      </c>
      <c r="FA29" s="179" t="str">
        <f t="shared" si="49"/>
        <v>Tidak Tercapai</v>
      </c>
      <c r="FB29" s="184">
        <v>287</v>
      </c>
      <c r="FC29" s="184">
        <v>652</v>
      </c>
      <c r="FD29" s="179" t="str">
        <f t="shared" si="50"/>
        <v>Tidak Tercapai</v>
      </c>
      <c r="FE29" s="184">
        <v>265</v>
      </c>
      <c r="FF29" s="184">
        <v>1416</v>
      </c>
      <c r="FG29" s="179" t="str">
        <f t="shared" si="51"/>
        <v>Tidak Tercapai</v>
      </c>
      <c r="FH29" s="184">
        <v>1636</v>
      </c>
      <c r="FI29" s="184">
        <v>1297</v>
      </c>
      <c r="FJ29" s="179" t="str">
        <f t="shared" si="52"/>
        <v>Tidak Tercapai</v>
      </c>
      <c r="FK29" s="184">
        <v>1525</v>
      </c>
      <c r="FL29" s="186">
        <v>0</v>
      </c>
      <c r="FM29" s="179" t="str">
        <f t="shared" si="53"/>
        <v>Tidak Tercapai</v>
      </c>
      <c r="FN29" s="184">
        <v>1022</v>
      </c>
      <c r="FO29" s="184">
        <v>746</v>
      </c>
      <c r="FP29" s="179" t="str">
        <f t="shared" si="54"/>
        <v>Tidak Tercapai</v>
      </c>
      <c r="FQ29" s="184">
        <v>473</v>
      </c>
      <c r="FR29" s="184">
        <v>906</v>
      </c>
      <c r="FS29" s="179" t="str">
        <f t="shared" si="55"/>
        <v>Tidak Tercapai</v>
      </c>
      <c r="FT29" s="184">
        <v>928</v>
      </c>
      <c r="FU29" s="184">
        <v>3303</v>
      </c>
      <c r="FV29" s="179" t="str">
        <f t="shared" si="56"/>
        <v>Tercapai</v>
      </c>
      <c r="FW29" s="184">
        <v>3930</v>
      </c>
      <c r="FX29" s="184">
        <v>3357</v>
      </c>
      <c r="FY29" s="179" t="str">
        <f t="shared" si="57"/>
        <v>Tercapai</v>
      </c>
      <c r="FZ29" s="184">
        <v>1205</v>
      </c>
      <c r="GA29" s="184">
        <v>1381</v>
      </c>
      <c r="GB29" s="179" t="str">
        <f t="shared" si="58"/>
        <v>Tidak Tercapai</v>
      </c>
      <c r="GC29" s="184">
        <v>1238</v>
      </c>
      <c r="GD29" s="184">
        <v>1371</v>
      </c>
      <c r="GE29" s="179" t="str">
        <f t="shared" si="59"/>
        <v>Tidak Tercapai</v>
      </c>
      <c r="GF29" s="184">
        <v>901</v>
      </c>
      <c r="GG29" s="184">
        <v>1115</v>
      </c>
      <c r="GH29" s="179" t="str">
        <f t="shared" si="60"/>
        <v>Tidak Tercapai</v>
      </c>
      <c r="GI29" s="184">
        <v>231</v>
      </c>
      <c r="GJ29" s="184">
        <v>2142</v>
      </c>
      <c r="GK29" s="179" t="str">
        <f t="shared" si="61"/>
        <v>Tercapai</v>
      </c>
      <c r="GL29" s="184">
        <v>3721</v>
      </c>
      <c r="GM29" s="184">
        <v>1963</v>
      </c>
      <c r="GN29" s="179" t="str">
        <f t="shared" si="62"/>
        <v>Tercapai</v>
      </c>
      <c r="GO29" s="184">
        <v>3726</v>
      </c>
      <c r="GP29" s="184">
        <v>2057</v>
      </c>
      <c r="GQ29" s="179" t="str">
        <f t="shared" si="63"/>
        <v>Tercapai</v>
      </c>
      <c r="GR29" s="184">
        <v>819</v>
      </c>
      <c r="GS29" s="184">
        <v>341</v>
      </c>
      <c r="GT29" s="179" t="str">
        <f t="shared" si="64"/>
        <v>Tidak Tercapai</v>
      </c>
      <c r="GU29" s="184">
        <v>939</v>
      </c>
      <c r="GV29" s="184">
        <v>1113</v>
      </c>
      <c r="GW29" s="179" t="str">
        <f t="shared" si="65"/>
        <v>Tidak Tercapai</v>
      </c>
      <c r="GX29" s="184">
        <v>2175</v>
      </c>
      <c r="GY29" s="184">
        <v>604</v>
      </c>
      <c r="GZ29" s="179" t="str">
        <f t="shared" si="66"/>
        <v>Tidak Tercapai</v>
      </c>
      <c r="HA29" s="184">
        <v>179</v>
      </c>
      <c r="HB29" s="184">
        <v>557</v>
      </c>
      <c r="HC29" s="179" t="str">
        <f t="shared" si="67"/>
        <v>Tidak Tercapai</v>
      </c>
      <c r="HD29" s="184">
        <v>1839</v>
      </c>
      <c r="HE29" s="184">
        <v>489</v>
      </c>
      <c r="HF29" s="179" t="str">
        <f t="shared" si="68"/>
        <v>Tidak Tercapai</v>
      </c>
      <c r="HG29" s="184">
        <v>2495</v>
      </c>
      <c r="HH29" s="184">
        <v>899</v>
      </c>
      <c r="HI29" s="179" t="str">
        <f t="shared" si="69"/>
        <v>Tidak Tercapai</v>
      </c>
      <c r="HJ29" s="184">
        <v>2828</v>
      </c>
      <c r="HK29" s="184">
        <v>549</v>
      </c>
      <c r="HL29" s="179" t="str">
        <f t="shared" si="70"/>
        <v>Tidak Tercapai</v>
      </c>
      <c r="HM29" s="184">
        <v>1333</v>
      </c>
      <c r="HN29" s="184">
        <v>129</v>
      </c>
      <c r="HO29" s="179" t="str">
        <f t="shared" si="71"/>
        <v>Tidak Tercapai</v>
      </c>
      <c r="HP29" s="184">
        <v>1649</v>
      </c>
      <c r="HQ29" s="184">
        <v>586</v>
      </c>
      <c r="HR29" s="179" t="str">
        <f t="shared" si="72"/>
        <v>Tidak Tercapai</v>
      </c>
      <c r="HS29" s="184">
        <v>1616</v>
      </c>
      <c r="HT29" s="184">
        <v>512</v>
      </c>
      <c r="HU29" s="179" t="str">
        <f t="shared" si="73"/>
        <v>Tidak Tercapai</v>
      </c>
      <c r="HV29" s="184">
        <v>1362</v>
      </c>
      <c r="HW29" s="184">
        <v>478</v>
      </c>
      <c r="HX29" s="179" t="str">
        <f t="shared" si="74"/>
        <v>Tidak Tercapai</v>
      </c>
      <c r="HY29" s="184">
        <v>924</v>
      </c>
      <c r="HZ29" s="184">
        <v>552</v>
      </c>
      <c r="IA29" s="179" t="str">
        <f t="shared" si="75"/>
        <v>Tidak Tercapai</v>
      </c>
      <c r="IB29" s="184">
        <v>923</v>
      </c>
      <c r="IC29" s="184">
        <v>2050</v>
      </c>
      <c r="ID29" s="179" t="str">
        <f t="shared" si="76"/>
        <v>Tercapai</v>
      </c>
      <c r="IE29" s="184">
        <v>1804</v>
      </c>
      <c r="IF29" s="184">
        <v>29</v>
      </c>
      <c r="IG29" s="179" t="str">
        <f t="shared" si="77"/>
        <v>Tidak Tercapai</v>
      </c>
      <c r="IH29" s="184">
        <v>29</v>
      </c>
      <c r="II29" s="184">
        <v>5</v>
      </c>
      <c r="IJ29" s="179" t="str">
        <f t="shared" si="78"/>
        <v>Tidak Tercapai</v>
      </c>
      <c r="IK29" s="184">
        <v>15</v>
      </c>
      <c r="IL29" s="42"/>
      <c r="IM29" s="42"/>
      <c r="IN29" s="42"/>
      <c r="IO29" s="42"/>
      <c r="IP29" s="42"/>
      <c r="IQ29" s="42"/>
      <c r="IR29" s="42"/>
      <c r="IS29" s="42"/>
      <c r="IT29" s="42"/>
      <c r="IU29" s="42"/>
      <c r="IV29" s="42"/>
    </row>
    <row r="30" spans="1:256" ht="15.6" x14ac:dyDescent="0.3">
      <c r="A30" s="167">
        <v>28</v>
      </c>
      <c r="B30" s="168" t="s">
        <v>488</v>
      </c>
      <c r="C30" s="167" t="s">
        <v>456</v>
      </c>
      <c r="D30" s="169">
        <v>154999</v>
      </c>
      <c r="E30" s="167">
        <v>1745</v>
      </c>
      <c r="F30" s="187">
        <v>25955</v>
      </c>
      <c r="G30" s="171" t="s">
        <v>457</v>
      </c>
      <c r="H30" s="187">
        <v>18699</v>
      </c>
      <c r="I30" s="187">
        <v>1</v>
      </c>
      <c r="J30" s="171" t="str">
        <f t="shared" si="0"/>
        <v>Tidak Tercapai</v>
      </c>
      <c r="K30" s="187">
        <v>1</v>
      </c>
      <c r="L30" s="187">
        <v>3</v>
      </c>
      <c r="M30" s="171" t="str">
        <f t="shared" si="1"/>
        <v>Tidak Tercapai</v>
      </c>
      <c r="N30" s="187">
        <v>0</v>
      </c>
      <c r="O30" s="167">
        <v>841</v>
      </c>
      <c r="P30" s="171" t="str">
        <f t="shared" si="2"/>
        <v>Tidak Tercapai</v>
      </c>
      <c r="Q30" s="172">
        <v>17</v>
      </c>
      <c r="R30" s="167">
        <v>818</v>
      </c>
      <c r="S30" s="173" t="str">
        <f t="shared" si="3"/>
        <v>Tidak Tercapai</v>
      </c>
      <c r="T30" s="172">
        <v>14</v>
      </c>
      <c r="U30" s="174">
        <v>833</v>
      </c>
      <c r="V30" s="173" t="str">
        <f t="shared" si="4"/>
        <v>Tercapai</v>
      </c>
      <c r="W30" s="175">
        <v>31</v>
      </c>
      <c r="X30" s="188">
        <v>1231</v>
      </c>
      <c r="Y30" s="176" t="str">
        <f t="shared" si="5"/>
        <v>Tidak Tercapai</v>
      </c>
      <c r="Z30" s="177">
        <v>51</v>
      </c>
      <c r="AA30" s="178">
        <v>1259</v>
      </c>
      <c r="AB30" s="179" t="str">
        <f t="shared" si="6"/>
        <v>Tidak Tercapai</v>
      </c>
      <c r="AC30" s="178">
        <v>83</v>
      </c>
      <c r="AD30" s="184">
        <v>1156</v>
      </c>
      <c r="AE30" s="179" t="str">
        <f t="shared" si="7"/>
        <v>Tidak Tercapai</v>
      </c>
      <c r="AF30" s="178">
        <v>2</v>
      </c>
      <c r="AG30" s="178">
        <v>185</v>
      </c>
      <c r="AH30" s="179" t="str">
        <f t="shared" si="8"/>
        <v>Tidak Tercapai</v>
      </c>
      <c r="AI30" s="178">
        <v>0</v>
      </c>
      <c r="AJ30" s="184">
        <v>1633</v>
      </c>
      <c r="AK30" s="179" t="str">
        <f t="shared" si="9"/>
        <v>Tidak Tercapai</v>
      </c>
      <c r="AL30" s="184">
        <v>38</v>
      </c>
      <c r="AM30" s="184">
        <v>965</v>
      </c>
      <c r="AN30" s="179" t="str">
        <f t="shared" si="10"/>
        <v>Tidak Tercapai</v>
      </c>
      <c r="AO30" s="184">
        <v>32</v>
      </c>
      <c r="AP30" s="178">
        <v>2160</v>
      </c>
      <c r="AQ30" s="179" t="str">
        <f t="shared" si="11"/>
        <v>Tercapai</v>
      </c>
      <c r="AR30" s="178">
        <v>13</v>
      </c>
      <c r="AS30" s="178">
        <v>2144</v>
      </c>
      <c r="AT30" s="179" t="str">
        <f t="shared" si="12"/>
        <v>Tercapai</v>
      </c>
      <c r="AU30" s="178">
        <v>8</v>
      </c>
      <c r="AV30" s="170">
        <v>2069</v>
      </c>
      <c r="AW30" s="179" t="str">
        <f t="shared" si="13"/>
        <v>Tercapai</v>
      </c>
      <c r="AX30" s="178">
        <v>36</v>
      </c>
      <c r="AY30" s="178">
        <v>769</v>
      </c>
      <c r="AZ30" s="179" t="str">
        <f t="shared" si="14"/>
        <v>Tidak Tercapai</v>
      </c>
      <c r="BA30" s="178">
        <v>3</v>
      </c>
      <c r="BB30" s="183">
        <v>102</v>
      </c>
      <c r="BC30" s="179" t="str">
        <f t="shared" si="15"/>
        <v>Tidak Tercapai</v>
      </c>
      <c r="BD30" s="178">
        <v>0</v>
      </c>
      <c r="BE30" s="184">
        <v>1572</v>
      </c>
      <c r="BF30" s="179" t="str">
        <f t="shared" si="16"/>
        <v>Tidak Tercapai</v>
      </c>
      <c r="BG30" s="170">
        <v>31</v>
      </c>
      <c r="BH30" s="184">
        <v>2439</v>
      </c>
      <c r="BI30" s="179" t="str">
        <f t="shared" si="17"/>
        <v>Tercapai</v>
      </c>
      <c r="BJ30" s="184">
        <v>15</v>
      </c>
      <c r="BK30" s="184">
        <v>3231</v>
      </c>
      <c r="BL30" s="179" t="str">
        <f t="shared" si="18"/>
        <v>Tercapai</v>
      </c>
      <c r="BM30" s="184">
        <v>25</v>
      </c>
      <c r="BN30" s="184">
        <v>3460</v>
      </c>
      <c r="BO30" s="179" t="str">
        <f t="shared" si="19"/>
        <v>Tercapai</v>
      </c>
      <c r="BP30" s="184">
        <v>28</v>
      </c>
      <c r="BQ30" s="184">
        <v>2300</v>
      </c>
      <c r="BR30" s="179" t="str">
        <f t="shared" si="20"/>
        <v>Tercapai</v>
      </c>
      <c r="BS30" s="184">
        <v>10</v>
      </c>
      <c r="BT30" s="184">
        <v>7792</v>
      </c>
      <c r="BU30" s="179" t="str">
        <f t="shared" si="21"/>
        <v>Tercapai</v>
      </c>
      <c r="BV30" s="185">
        <v>19.183</v>
      </c>
      <c r="BW30" s="184">
        <v>5545</v>
      </c>
      <c r="BX30" s="179" t="str">
        <f t="shared" si="22"/>
        <v>Tercapai</v>
      </c>
      <c r="BY30" s="184">
        <v>8</v>
      </c>
      <c r="BZ30" s="184">
        <v>2951</v>
      </c>
      <c r="CA30" s="179" t="str">
        <f t="shared" si="23"/>
        <v>Tercapai</v>
      </c>
      <c r="CB30" s="184">
        <v>1794</v>
      </c>
      <c r="CC30" s="184">
        <v>8530</v>
      </c>
      <c r="CD30" s="179" t="str">
        <f t="shared" si="24"/>
        <v>Tercapai</v>
      </c>
      <c r="CE30" s="184">
        <v>63</v>
      </c>
      <c r="CF30" s="184">
        <v>2814</v>
      </c>
      <c r="CG30" s="179" t="str">
        <f t="shared" si="25"/>
        <v>Tercapai</v>
      </c>
      <c r="CH30" s="184">
        <v>26</v>
      </c>
      <c r="CI30" s="184">
        <v>9000</v>
      </c>
      <c r="CJ30" s="179" t="str">
        <f t="shared" si="26"/>
        <v>Tercapai</v>
      </c>
      <c r="CK30" s="184">
        <v>100</v>
      </c>
      <c r="CL30" s="184">
        <v>4296</v>
      </c>
      <c r="CM30" s="179" t="str">
        <f t="shared" si="27"/>
        <v>Tercapai</v>
      </c>
      <c r="CN30" s="184">
        <v>38</v>
      </c>
      <c r="CO30" s="184">
        <v>4225</v>
      </c>
      <c r="CP30" s="179" t="str">
        <f t="shared" si="28"/>
        <v>Tercapai</v>
      </c>
      <c r="CQ30" s="184">
        <v>2</v>
      </c>
      <c r="CR30" s="184">
        <v>28</v>
      </c>
      <c r="CS30" s="179" t="str">
        <f t="shared" si="29"/>
        <v>Tidak Tercapai</v>
      </c>
      <c r="CT30" s="184">
        <v>1</v>
      </c>
      <c r="CU30" s="184">
        <v>2169</v>
      </c>
      <c r="CV30" s="179" t="str">
        <f t="shared" si="30"/>
        <v>Tercapai</v>
      </c>
      <c r="CW30" s="184">
        <v>13</v>
      </c>
      <c r="CX30" s="184">
        <v>4517</v>
      </c>
      <c r="CY30" s="179" t="str">
        <f t="shared" si="31"/>
        <v>Tercapai</v>
      </c>
      <c r="CZ30" s="184">
        <v>208</v>
      </c>
      <c r="DA30" s="184">
        <v>1282</v>
      </c>
      <c r="DB30" s="179" t="str">
        <f t="shared" si="32"/>
        <v>Tidak Tercapai</v>
      </c>
      <c r="DC30" s="184">
        <v>51</v>
      </c>
      <c r="DD30" s="184">
        <v>1400</v>
      </c>
      <c r="DE30" s="179" t="str">
        <f t="shared" si="33"/>
        <v>Tidak Tercapai</v>
      </c>
      <c r="DF30" s="184">
        <v>57</v>
      </c>
      <c r="DG30" s="184">
        <v>1233</v>
      </c>
      <c r="DH30" s="179" t="str">
        <f t="shared" si="34"/>
        <v>Tidak Tercapai</v>
      </c>
      <c r="DI30" s="184">
        <v>395</v>
      </c>
      <c r="DJ30" s="184">
        <v>1426</v>
      </c>
      <c r="DK30" s="179" t="str">
        <f t="shared" si="35"/>
        <v>Tidak Tercapai</v>
      </c>
      <c r="DL30" s="184">
        <v>9</v>
      </c>
      <c r="DM30" s="184">
        <v>2312</v>
      </c>
      <c r="DN30" s="179" t="str">
        <f t="shared" si="36"/>
        <v>Tercapai</v>
      </c>
      <c r="DO30" s="184">
        <v>16</v>
      </c>
      <c r="DP30" s="184">
        <v>1384</v>
      </c>
      <c r="DQ30" s="179" t="str">
        <f t="shared" si="37"/>
        <v>Tidak Tercapai</v>
      </c>
      <c r="DR30" s="184">
        <v>41</v>
      </c>
      <c r="DS30" s="184">
        <v>330</v>
      </c>
      <c r="DT30" s="179" t="str">
        <f t="shared" si="38"/>
        <v>Tidak Tercapai</v>
      </c>
      <c r="DU30" s="184">
        <v>4</v>
      </c>
      <c r="DV30" s="184">
        <v>1089</v>
      </c>
      <c r="DW30" s="179" t="str">
        <f t="shared" si="39"/>
        <v>Tidak Tercapai</v>
      </c>
      <c r="DX30" s="184">
        <v>759</v>
      </c>
      <c r="DY30" s="184">
        <v>1198</v>
      </c>
      <c r="DZ30" s="179" t="str">
        <f t="shared" si="40"/>
        <v>Tidak Tercapai</v>
      </c>
      <c r="EA30" s="184">
        <v>853</v>
      </c>
      <c r="EB30" s="184">
        <v>827</v>
      </c>
      <c r="EC30" s="179" t="str">
        <f t="shared" si="41"/>
        <v>Tidak Tercapai</v>
      </c>
      <c r="ED30" s="184">
        <v>1342</v>
      </c>
      <c r="EE30" s="184">
        <v>680</v>
      </c>
      <c r="EF30" s="179" t="str">
        <f t="shared" si="42"/>
        <v>Tidak Tercapai</v>
      </c>
      <c r="EG30" s="184">
        <v>766</v>
      </c>
      <c r="EH30" s="184">
        <v>566</v>
      </c>
      <c r="EI30" s="179" t="str">
        <f t="shared" si="43"/>
        <v>Tidak Tercapai</v>
      </c>
      <c r="EJ30" s="184">
        <v>146</v>
      </c>
      <c r="EK30" s="184">
        <v>926</v>
      </c>
      <c r="EL30" s="179" t="str">
        <f t="shared" si="44"/>
        <v>Tidak Tercapai</v>
      </c>
      <c r="EM30" s="184">
        <v>1848</v>
      </c>
      <c r="EN30" s="184">
        <v>1339</v>
      </c>
      <c r="EO30" s="179" t="str">
        <f t="shared" si="45"/>
        <v>Tidak Tercapai</v>
      </c>
      <c r="EP30" s="184">
        <v>3244</v>
      </c>
      <c r="EQ30" s="184">
        <v>2765</v>
      </c>
      <c r="ER30" s="179" t="str">
        <f t="shared" si="46"/>
        <v>Tercapai</v>
      </c>
      <c r="ES30" s="178">
        <v>5576</v>
      </c>
      <c r="ET30" s="184">
        <v>1777</v>
      </c>
      <c r="EU30" s="179" t="str">
        <f t="shared" si="47"/>
        <v>Tercapai</v>
      </c>
      <c r="EV30" s="184">
        <v>4827</v>
      </c>
      <c r="EW30" s="184">
        <v>1763</v>
      </c>
      <c r="EX30" s="179" t="str">
        <f t="shared" si="48"/>
        <v>Tercapai</v>
      </c>
      <c r="EY30" s="184">
        <v>6690</v>
      </c>
      <c r="EZ30" s="184">
        <v>3061</v>
      </c>
      <c r="FA30" s="179" t="str">
        <f t="shared" si="49"/>
        <v>Tercapai</v>
      </c>
      <c r="FB30" s="184">
        <v>5617</v>
      </c>
      <c r="FC30" s="184">
        <v>3092</v>
      </c>
      <c r="FD30" s="179" t="str">
        <f t="shared" si="50"/>
        <v>Tercapai</v>
      </c>
      <c r="FE30" s="184">
        <v>6751</v>
      </c>
      <c r="FF30" s="184">
        <v>3258</v>
      </c>
      <c r="FG30" s="179" t="str">
        <f t="shared" si="51"/>
        <v>Tercapai</v>
      </c>
      <c r="FH30" s="184">
        <v>7211</v>
      </c>
      <c r="FI30" s="184">
        <v>3755</v>
      </c>
      <c r="FJ30" s="179" t="str">
        <f t="shared" si="52"/>
        <v>Tercapai</v>
      </c>
      <c r="FK30" s="184">
        <v>4596</v>
      </c>
      <c r="FL30" s="186">
        <v>0</v>
      </c>
      <c r="FM30" s="179" t="str">
        <f t="shared" si="53"/>
        <v>Tidak Tercapai</v>
      </c>
      <c r="FN30" s="184">
        <v>2583</v>
      </c>
      <c r="FO30" s="184">
        <v>1388</v>
      </c>
      <c r="FP30" s="179" t="str">
        <f t="shared" si="54"/>
        <v>Tidak Tercapai</v>
      </c>
      <c r="FQ30" s="184">
        <v>1162</v>
      </c>
      <c r="FR30" s="184">
        <v>1465</v>
      </c>
      <c r="FS30" s="179" t="str">
        <f t="shared" si="55"/>
        <v>Tidak Tercapai</v>
      </c>
      <c r="FT30" s="184">
        <v>2420</v>
      </c>
      <c r="FU30" s="184">
        <v>3405</v>
      </c>
      <c r="FV30" s="179" t="str">
        <f t="shared" si="56"/>
        <v>Tercapai</v>
      </c>
      <c r="FW30" s="184">
        <v>9881</v>
      </c>
      <c r="FX30" s="184">
        <v>4560</v>
      </c>
      <c r="FY30" s="179" t="str">
        <f t="shared" si="57"/>
        <v>Tercapai</v>
      </c>
      <c r="FZ30" s="184">
        <v>1948</v>
      </c>
      <c r="GA30" s="184">
        <v>2114</v>
      </c>
      <c r="GB30" s="179" t="str">
        <f t="shared" si="58"/>
        <v>Tercapai</v>
      </c>
      <c r="GC30" s="184">
        <v>1207</v>
      </c>
      <c r="GD30" s="184">
        <v>1405</v>
      </c>
      <c r="GE30" s="179" t="str">
        <f t="shared" si="59"/>
        <v>Tidak Tercapai</v>
      </c>
      <c r="GF30" s="184">
        <v>826</v>
      </c>
      <c r="GG30" s="184">
        <v>826</v>
      </c>
      <c r="GH30" s="179" t="str">
        <f t="shared" si="60"/>
        <v>Tidak Tercapai</v>
      </c>
      <c r="GI30" s="184">
        <v>412</v>
      </c>
      <c r="GJ30" s="184">
        <v>1584</v>
      </c>
      <c r="GK30" s="179" t="str">
        <f t="shared" si="61"/>
        <v>Tidak Tercapai</v>
      </c>
      <c r="GL30" s="184">
        <v>1548</v>
      </c>
      <c r="GM30" s="184">
        <v>1643</v>
      </c>
      <c r="GN30" s="179" t="str">
        <f t="shared" si="62"/>
        <v>Tidak Tercapai</v>
      </c>
      <c r="GO30" s="184">
        <v>1549</v>
      </c>
      <c r="GP30" s="184">
        <v>1081</v>
      </c>
      <c r="GQ30" s="179" t="str">
        <f t="shared" si="63"/>
        <v>Tidak Tercapai</v>
      </c>
      <c r="GR30" s="184">
        <v>1078</v>
      </c>
      <c r="GS30" s="184">
        <v>680</v>
      </c>
      <c r="GT30" s="179" t="str">
        <f t="shared" si="64"/>
        <v>Tidak Tercapai</v>
      </c>
      <c r="GU30" s="184">
        <v>221</v>
      </c>
      <c r="GV30" s="184">
        <v>1208</v>
      </c>
      <c r="GW30" s="179" t="str">
        <f t="shared" si="65"/>
        <v>Tidak Tercapai</v>
      </c>
      <c r="GX30" s="184">
        <v>996</v>
      </c>
      <c r="GY30" s="184">
        <v>686</v>
      </c>
      <c r="GZ30" s="179" t="str">
        <f t="shared" si="66"/>
        <v>Tidak Tercapai</v>
      </c>
      <c r="HA30" s="184">
        <v>261</v>
      </c>
      <c r="HB30" s="184">
        <v>925</v>
      </c>
      <c r="HC30" s="179" t="str">
        <f t="shared" si="67"/>
        <v>Tidak Tercapai</v>
      </c>
      <c r="HD30" s="184">
        <v>1433</v>
      </c>
      <c r="HE30" s="184">
        <v>615</v>
      </c>
      <c r="HF30" s="179" t="str">
        <f t="shared" si="68"/>
        <v>Tidak Tercapai</v>
      </c>
      <c r="HG30" s="184">
        <v>1116</v>
      </c>
      <c r="HH30" s="184">
        <v>702</v>
      </c>
      <c r="HI30" s="179" t="str">
        <f t="shared" si="69"/>
        <v>Tidak Tercapai</v>
      </c>
      <c r="HJ30" s="184">
        <v>743</v>
      </c>
      <c r="HK30" s="184">
        <v>215</v>
      </c>
      <c r="HL30" s="179" t="str">
        <f t="shared" si="70"/>
        <v>Tidak Tercapai</v>
      </c>
      <c r="HM30" s="184">
        <v>264</v>
      </c>
      <c r="HN30" s="184">
        <v>399</v>
      </c>
      <c r="HO30" s="179" t="str">
        <f t="shared" si="71"/>
        <v>Tidak Tercapai</v>
      </c>
      <c r="HP30" s="184">
        <v>265</v>
      </c>
      <c r="HQ30" s="184">
        <v>531</v>
      </c>
      <c r="HR30" s="179" t="str">
        <f t="shared" si="72"/>
        <v>Tidak Tercapai</v>
      </c>
      <c r="HS30" s="184">
        <v>932</v>
      </c>
      <c r="HT30" s="184">
        <v>856</v>
      </c>
      <c r="HU30" s="179" t="str">
        <f t="shared" si="73"/>
        <v>Tidak Tercapai</v>
      </c>
      <c r="HV30" s="184">
        <v>783</v>
      </c>
      <c r="HW30" s="184">
        <v>581</v>
      </c>
      <c r="HX30" s="179" t="str">
        <f t="shared" si="74"/>
        <v>Tidak Tercapai</v>
      </c>
      <c r="HY30" s="184">
        <v>1291</v>
      </c>
      <c r="HZ30" s="184">
        <v>597</v>
      </c>
      <c r="IA30" s="179" t="str">
        <f t="shared" si="75"/>
        <v>Tidak Tercapai</v>
      </c>
      <c r="IB30" s="184">
        <v>1669</v>
      </c>
      <c r="IC30" s="184">
        <v>740</v>
      </c>
      <c r="ID30" s="179" t="str">
        <f t="shared" si="76"/>
        <v>Tidak Tercapai</v>
      </c>
      <c r="IE30" s="184">
        <v>2015</v>
      </c>
      <c r="IF30" s="184">
        <v>133</v>
      </c>
      <c r="IG30" s="179" t="str">
        <f t="shared" si="77"/>
        <v>Tidak Tercapai</v>
      </c>
      <c r="IH30" s="184">
        <v>360</v>
      </c>
      <c r="II30" s="184">
        <v>32</v>
      </c>
      <c r="IJ30" s="179" t="str">
        <f t="shared" si="78"/>
        <v>Tidak Tercapai</v>
      </c>
      <c r="IK30" s="184">
        <v>21</v>
      </c>
      <c r="IL30" s="42"/>
      <c r="IM30" s="42"/>
      <c r="IN30" s="42"/>
      <c r="IO30" s="42"/>
      <c r="IP30" s="42"/>
      <c r="IQ30" s="42"/>
      <c r="IR30" s="42"/>
      <c r="IS30" s="42"/>
      <c r="IT30" s="42"/>
      <c r="IU30" s="42"/>
      <c r="IV30" s="42"/>
    </row>
    <row r="31" spans="1:256" ht="15.6" x14ac:dyDescent="0.3">
      <c r="A31" s="167">
        <v>29</v>
      </c>
      <c r="B31" s="168" t="s">
        <v>489</v>
      </c>
      <c r="C31" s="167" t="s">
        <v>481</v>
      </c>
      <c r="D31" s="169">
        <v>142258</v>
      </c>
      <c r="E31" s="167">
        <v>1647</v>
      </c>
      <c r="F31" s="187">
        <v>511564</v>
      </c>
      <c r="G31" s="171" t="s">
        <v>457</v>
      </c>
      <c r="H31" s="187">
        <v>128537</v>
      </c>
      <c r="I31" s="187">
        <v>1</v>
      </c>
      <c r="J31" s="171" t="str">
        <f t="shared" si="0"/>
        <v>Tidak Tercapai</v>
      </c>
      <c r="K31" s="187">
        <v>2</v>
      </c>
      <c r="L31" s="187">
        <v>0</v>
      </c>
      <c r="M31" s="171" t="str">
        <f t="shared" si="1"/>
        <v>Tidak Tercapai</v>
      </c>
      <c r="N31" s="187">
        <v>1</v>
      </c>
      <c r="O31" s="167">
        <v>774</v>
      </c>
      <c r="P31" s="171" t="str">
        <f t="shared" si="2"/>
        <v>Tidak Tercapai</v>
      </c>
      <c r="Q31" s="172">
        <v>42</v>
      </c>
      <c r="R31" s="188">
        <v>4878</v>
      </c>
      <c r="S31" s="173" t="str">
        <f t="shared" si="3"/>
        <v>Tercapai</v>
      </c>
      <c r="T31" s="172">
        <v>23</v>
      </c>
      <c r="U31" s="174">
        <v>4074</v>
      </c>
      <c r="V31" s="173" t="str">
        <f t="shared" si="4"/>
        <v>Tidak Tercapai</v>
      </c>
      <c r="W31" s="175">
        <v>81</v>
      </c>
      <c r="X31" s="188">
        <v>4878</v>
      </c>
      <c r="Y31" s="176" t="str">
        <f t="shared" si="5"/>
        <v>Tercapai</v>
      </c>
      <c r="Z31" s="177">
        <v>12</v>
      </c>
      <c r="AA31" s="178">
        <v>3025</v>
      </c>
      <c r="AB31" s="179" t="str">
        <f t="shared" si="6"/>
        <v>Tercapai</v>
      </c>
      <c r="AC31" s="178">
        <v>12</v>
      </c>
      <c r="AD31" s="184">
        <v>831</v>
      </c>
      <c r="AE31" s="179" t="str">
        <f t="shared" si="7"/>
        <v>Tidak Tercapai</v>
      </c>
      <c r="AF31" s="178">
        <v>3</v>
      </c>
      <c r="AG31" s="178">
        <v>0</v>
      </c>
      <c r="AH31" s="179" t="str">
        <f t="shared" si="8"/>
        <v>Tidak Tercapai</v>
      </c>
      <c r="AI31" s="178">
        <v>0</v>
      </c>
      <c r="AJ31" s="184">
        <v>1698</v>
      </c>
      <c r="AK31" s="179" t="str">
        <f t="shared" si="9"/>
        <v>Tercapai</v>
      </c>
      <c r="AL31" s="184">
        <v>22</v>
      </c>
      <c r="AM31" s="184">
        <v>1066</v>
      </c>
      <c r="AN31" s="179" t="str">
        <f t="shared" si="10"/>
        <v>Tidak Tercapai</v>
      </c>
      <c r="AO31" s="184">
        <v>6</v>
      </c>
      <c r="AP31" s="178">
        <v>2447</v>
      </c>
      <c r="AQ31" s="179" t="str">
        <f t="shared" si="11"/>
        <v>Tercapai</v>
      </c>
      <c r="AR31" s="178">
        <v>46</v>
      </c>
      <c r="AS31" s="178">
        <v>2965</v>
      </c>
      <c r="AT31" s="179" t="str">
        <f t="shared" si="12"/>
        <v>Tercapai</v>
      </c>
      <c r="AU31" s="178">
        <v>188</v>
      </c>
      <c r="AV31" s="170">
        <v>2880</v>
      </c>
      <c r="AW31" s="179" t="str">
        <f t="shared" si="13"/>
        <v>Tercapai</v>
      </c>
      <c r="AX31" s="178">
        <v>36</v>
      </c>
      <c r="AY31" s="178">
        <v>1633</v>
      </c>
      <c r="AZ31" s="179" t="str">
        <f t="shared" si="14"/>
        <v>Tidak Tercapai</v>
      </c>
      <c r="BA31" s="178">
        <v>4</v>
      </c>
      <c r="BB31" s="183">
        <v>0</v>
      </c>
      <c r="BC31" s="179" t="str">
        <f t="shared" si="15"/>
        <v>Tidak Tercapai</v>
      </c>
      <c r="BD31" s="178">
        <v>1</v>
      </c>
      <c r="BE31" s="184">
        <v>1728</v>
      </c>
      <c r="BF31" s="179" t="str">
        <f t="shared" si="16"/>
        <v>Tercapai</v>
      </c>
      <c r="BG31" s="170">
        <v>21</v>
      </c>
      <c r="BH31" s="184">
        <v>1909</v>
      </c>
      <c r="BI31" s="179" t="str">
        <f t="shared" si="17"/>
        <v>Tercapai</v>
      </c>
      <c r="BJ31" s="184">
        <v>15</v>
      </c>
      <c r="BK31" s="184">
        <v>1363</v>
      </c>
      <c r="BL31" s="179" t="str">
        <f t="shared" si="18"/>
        <v>Tidak Tercapai</v>
      </c>
      <c r="BM31" s="184">
        <v>2</v>
      </c>
      <c r="BN31" s="184">
        <v>1414</v>
      </c>
      <c r="BO31" s="179" t="str">
        <f t="shared" si="19"/>
        <v>Tidak Tercapai</v>
      </c>
      <c r="BP31" s="184">
        <v>19</v>
      </c>
      <c r="BQ31" s="184">
        <v>924</v>
      </c>
      <c r="BR31" s="179" t="str">
        <f t="shared" si="20"/>
        <v>Tidak Tercapai</v>
      </c>
      <c r="BS31" s="184">
        <v>21</v>
      </c>
      <c r="BT31" s="184">
        <v>750</v>
      </c>
      <c r="BU31" s="179" t="str">
        <f t="shared" si="21"/>
        <v>Tidak Tercapai</v>
      </c>
      <c r="BV31" s="185">
        <v>115.676</v>
      </c>
      <c r="BW31" s="184">
        <v>448</v>
      </c>
      <c r="BX31" s="179" t="str">
        <f t="shared" si="22"/>
        <v>Tidak Tercapai</v>
      </c>
      <c r="BY31" s="184">
        <v>3</v>
      </c>
      <c r="BZ31" s="184">
        <v>2239</v>
      </c>
      <c r="CA31" s="179" t="str">
        <f t="shared" si="23"/>
        <v>Tercapai</v>
      </c>
      <c r="CB31" s="184">
        <v>10015</v>
      </c>
      <c r="CC31" s="184">
        <v>5227</v>
      </c>
      <c r="CD31" s="179" t="str">
        <f t="shared" si="24"/>
        <v>Tercapai</v>
      </c>
      <c r="CE31" s="184">
        <v>349</v>
      </c>
      <c r="CF31" s="184">
        <v>3078</v>
      </c>
      <c r="CG31" s="179" t="str">
        <f t="shared" si="25"/>
        <v>Tercapai</v>
      </c>
      <c r="CH31" s="184">
        <v>52</v>
      </c>
      <c r="CI31" s="184">
        <v>4845</v>
      </c>
      <c r="CJ31" s="179" t="str">
        <f t="shared" si="26"/>
        <v>Tercapai</v>
      </c>
      <c r="CK31" s="184">
        <v>209</v>
      </c>
      <c r="CL31" s="184">
        <v>1250</v>
      </c>
      <c r="CM31" s="179" t="str">
        <f t="shared" si="27"/>
        <v>Tidak Tercapai</v>
      </c>
      <c r="CN31" s="184">
        <v>154</v>
      </c>
      <c r="CO31" s="184">
        <v>525</v>
      </c>
      <c r="CP31" s="179" t="str">
        <f t="shared" si="28"/>
        <v>Tidak Tercapai</v>
      </c>
      <c r="CQ31" s="184">
        <v>5</v>
      </c>
      <c r="CR31" s="184">
        <v>16044</v>
      </c>
      <c r="CS31" s="179" t="str">
        <f t="shared" si="29"/>
        <v>Tercapai</v>
      </c>
      <c r="CT31" s="184">
        <v>29</v>
      </c>
      <c r="CU31" s="184">
        <v>148</v>
      </c>
      <c r="CV31" s="179" t="str">
        <f t="shared" si="30"/>
        <v>Tidak Tercapai</v>
      </c>
      <c r="CW31" s="184">
        <v>5</v>
      </c>
      <c r="CX31" s="184">
        <v>10339</v>
      </c>
      <c r="CY31" s="179" t="str">
        <f t="shared" si="31"/>
        <v>Tercapai</v>
      </c>
      <c r="CZ31" s="184">
        <v>598</v>
      </c>
      <c r="DA31" s="184">
        <v>4683</v>
      </c>
      <c r="DB31" s="179" t="str">
        <f t="shared" si="32"/>
        <v>Tercapai</v>
      </c>
      <c r="DC31" s="184">
        <v>298</v>
      </c>
      <c r="DD31" s="184">
        <v>4104</v>
      </c>
      <c r="DE31" s="179" t="str">
        <f t="shared" si="33"/>
        <v>Tercapai</v>
      </c>
      <c r="DF31" s="184">
        <v>317</v>
      </c>
      <c r="DG31" s="184">
        <v>6165</v>
      </c>
      <c r="DH31" s="179" t="str">
        <f t="shared" si="34"/>
        <v>Tercapai</v>
      </c>
      <c r="DI31" s="184">
        <v>242</v>
      </c>
      <c r="DJ31" s="184">
        <v>5548</v>
      </c>
      <c r="DK31" s="179" t="str">
        <f t="shared" si="35"/>
        <v>Tercapai</v>
      </c>
      <c r="DL31" s="184">
        <v>12</v>
      </c>
      <c r="DM31" s="184">
        <v>5994</v>
      </c>
      <c r="DN31" s="179" t="str">
        <f t="shared" si="36"/>
        <v>Tercapai</v>
      </c>
      <c r="DO31" s="184">
        <v>17</v>
      </c>
      <c r="DP31" s="184">
        <v>610</v>
      </c>
      <c r="DQ31" s="179" t="str">
        <f t="shared" si="37"/>
        <v>Tidak Tercapai</v>
      </c>
      <c r="DR31" s="184">
        <v>24</v>
      </c>
      <c r="DS31" s="184">
        <v>3</v>
      </c>
      <c r="DT31" s="179" t="str">
        <f t="shared" si="38"/>
        <v>Tidak Tercapai</v>
      </c>
      <c r="DU31" s="184">
        <v>1</v>
      </c>
      <c r="DV31" s="184">
        <v>869</v>
      </c>
      <c r="DW31" s="179" t="str">
        <f t="shared" si="39"/>
        <v>Tidak Tercapai</v>
      </c>
      <c r="DX31" s="184">
        <v>17</v>
      </c>
      <c r="DY31" s="184">
        <v>743</v>
      </c>
      <c r="DZ31" s="179" t="str">
        <f t="shared" si="40"/>
        <v>Tidak Tercapai</v>
      </c>
      <c r="EA31" s="184">
        <v>437</v>
      </c>
      <c r="EB31" s="184">
        <v>447</v>
      </c>
      <c r="EC31" s="179" t="str">
        <f t="shared" si="41"/>
        <v>Tidak Tercapai</v>
      </c>
      <c r="ED31" s="184">
        <v>26</v>
      </c>
      <c r="EE31" s="184">
        <v>133</v>
      </c>
      <c r="EF31" s="179" t="str">
        <f t="shared" si="42"/>
        <v>Tidak Tercapai</v>
      </c>
      <c r="EG31" s="184">
        <v>2</v>
      </c>
      <c r="EH31" s="184">
        <v>197</v>
      </c>
      <c r="EI31" s="179" t="str">
        <f t="shared" si="43"/>
        <v>Tidak Tercapai</v>
      </c>
      <c r="EJ31" s="184">
        <v>1</v>
      </c>
      <c r="EK31" s="184">
        <v>1342</v>
      </c>
      <c r="EL31" s="179" t="str">
        <f t="shared" si="44"/>
        <v>Tidak Tercapai</v>
      </c>
      <c r="EM31" s="184">
        <v>46</v>
      </c>
      <c r="EN31" s="184">
        <v>830</v>
      </c>
      <c r="EO31" s="179" t="str">
        <f t="shared" si="45"/>
        <v>Tidak Tercapai</v>
      </c>
      <c r="EP31" s="184">
        <v>289</v>
      </c>
      <c r="EQ31" s="184">
        <v>1925</v>
      </c>
      <c r="ER31" s="179" t="str">
        <f t="shared" si="46"/>
        <v>Tercapai</v>
      </c>
      <c r="ES31" s="178">
        <v>3529</v>
      </c>
      <c r="ET31" s="184">
        <v>1933</v>
      </c>
      <c r="EU31" s="179" t="str">
        <f t="shared" si="47"/>
        <v>Tercapai</v>
      </c>
      <c r="EV31" s="184">
        <v>3416</v>
      </c>
      <c r="EW31" s="184">
        <v>2276</v>
      </c>
      <c r="EX31" s="179" t="str">
        <f t="shared" si="48"/>
        <v>Tercapai</v>
      </c>
      <c r="EY31" s="184">
        <v>2692</v>
      </c>
      <c r="EZ31" s="184">
        <v>556</v>
      </c>
      <c r="FA31" s="179" t="str">
        <f t="shared" si="49"/>
        <v>Tidak Tercapai</v>
      </c>
      <c r="FB31" s="184">
        <v>2355</v>
      </c>
      <c r="FC31" s="184">
        <v>740</v>
      </c>
      <c r="FD31" s="179" t="str">
        <f t="shared" si="50"/>
        <v>Tidak Tercapai</v>
      </c>
      <c r="FE31" s="184">
        <v>2054</v>
      </c>
      <c r="FF31" s="184">
        <v>1079</v>
      </c>
      <c r="FG31" s="179" t="str">
        <f t="shared" si="51"/>
        <v>Tidak Tercapai</v>
      </c>
      <c r="FH31" s="184">
        <v>5458</v>
      </c>
      <c r="FI31" s="184">
        <v>1278</v>
      </c>
      <c r="FJ31" s="179" t="str">
        <f t="shared" si="52"/>
        <v>Tidak Tercapai</v>
      </c>
      <c r="FK31" s="184">
        <v>6302</v>
      </c>
      <c r="FL31" s="186">
        <v>0</v>
      </c>
      <c r="FM31" s="179" t="str">
        <f t="shared" si="53"/>
        <v>Tidak Tercapai</v>
      </c>
      <c r="FN31" s="184">
        <v>4580</v>
      </c>
      <c r="FO31" s="184">
        <v>941</v>
      </c>
      <c r="FP31" s="179" t="str">
        <f t="shared" si="54"/>
        <v>Tidak Tercapai</v>
      </c>
      <c r="FQ31" s="184">
        <v>1926</v>
      </c>
      <c r="FR31" s="184">
        <v>1020</v>
      </c>
      <c r="FS31" s="179" t="str">
        <f t="shared" si="55"/>
        <v>Tidak Tercapai</v>
      </c>
      <c r="FT31" s="184">
        <v>3977</v>
      </c>
      <c r="FU31" s="184">
        <v>2303</v>
      </c>
      <c r="FV31" s="179" t="str">
        <f t="shared" si="56"/>
        <v>Tercapai</v>
      </c>
      <c r="FW31" s="184">
        <v>1220</v>
      </c>
      <c r="FX31" s="184">
        <v>2683</v>
      </c>
      <c r="FY31" s="179" t="str">
        <f t="shared" si="57"/>
        <v>Tercapai</v>
      </c>
      <c r="FZ31" s="184">
        <v>21776</v>
      </c>
      <c r="GA31" s="184">
        <v>2161</v>
      </c>
      <c r="GB31" s="179" t="str">
        <f t="shared" si="58"/>
        <v>Tercapai</v>
      </c>
      <c r="GC31" s="184">
        <v>4886</v>
      </c>
      <c r="GD31" s="184">
        <v>1150</v>
      </c>
      <c r="GE31" s="179" t="str">
        <f t="shared" si="59"/>
        <v>Tidak Tercapai</v>
      </c>
      <c r="GF31" s="184">
        <v>6326</v>
      </c>
      <c r="GG31" s="184">
        <v>783</v>
      </c>
      <c r="GH31" s="179" t="str">
        <f t="shared" si="60"/>
        <v>Tidak Tercapai</v>
      </c>
      <c r="GI31" s="184">
        <v>3755</v>
      </c>
      <c r="GJ31" s="184">
        <v>1054</v>
      </c>
      <c r="GK31" s="179" t="str">
        <f t="shared" si="61"/>
        <v>Tidak Tercapai</v>
      </c>
      <c r="GL31" s="184">
        <v>7912</v>
      </c>
      <c r="GM31" s="184">
        <v>1384</v>
      </c>
      <c r="GN31" s="179" t="str">
        <f t="shared" si="62"/>
        <v>Tidak Tercapai</v>
      </c>
      <c r="GO31" s="184">
        <v>6844</v>
      </c>
      <c r="GP31" s="184">
        <v>796</v>
      </c>
      <c r="GQ31" s="179" t="str">
        <f t="shared" si="63"/>
        <v>Tidak Tercapai</v>
      </c>
      <c r="GR31" s="184">
        <v>6428</v>
      </c>
      <c r="GS31" s="184">
        <v>865</v>
      </c>
      <c r="GT31" s="179" t="str">
        <f t="shared" si="64"/>
        <v>Tidak Tercapai</v>
      </c>
      <c r="GU31" s="184">
        <v>8146</v>
      </c>
      <c r="GV31" s="184">
        <v>621</v>
      </c>
      <c r="GW31" s="179" t="str">
        <f t="shared" si="65"/>
        <v>Tidak Tercapai</v>
      </c>
      <c r="GX31" s="184">
        <v>2468</v>
      </c>
      <c r="GY31" s="184">
        <v>66</v>
      </c>
      <c r="GZ31" s="179" t="str">
        <f t="shared" si="66"/>
        <v>Tidak Tercapai</v>
      </c>
      <c r="HA31" s="184">
        <v>7</v>
      </c>
      <c r="HB31" s="184">
        <v>976</v>
      </c>
      <c r="HC31" s="179" t="str">
        <f t="shared" si="67"/>
        <v>Tidak Tercapai</v>
      </c>
      <c r="HD31" s="184">
        <v>3600</v>
      </c>
      <c r="HE31" s="184">
        <v>557</v>
      </c>
      <c r="HF31" s="179" t="str">
        <f t="shared" si="68"/>
        <v>Tidak Tercapai</v>
      </c>
      <c r="HG31" s="184">
        <v>3549</v>
      </c>
      <c r="HH31" s="184">
        <v>532</v>
      </c>
      <c r="HI31" s="179" t="str">
        <f t="shared" si="69"/>
        <v>Tidak Tercapai</v>
      </c>
      <c r="HJ31" s="184">
        <v>3274</v>
      </c>
      <c r="HK31" s="184">
        <v>192</v>
      </c>
      <c r="HL31" s="179" t="str">
        <f t="shared" si="70"/>
        <v>Tidak Tercapai</v>
      </c>
      <c r="HM31" s="184">
        <v>2463</v>
      </c>
      <c r="HN31" s="184">
        <v>152</v>
      </c>
      <c r="HO31" s="179" t="str">
        <f t="shared" si="71"/>
        <v>Tidak Tercapai</v>
      </c>
      <c r="HP31" s="184">
        <v>1265</v>
      </c>
      <c r="HQ31" s="184">
        <v>528</v>
      </c>
      <c r="HR31" s="179" t="str">
        <f t="shared" si="72"/>
        <v>Tidak Tercapai</v>
      </c>
      <c r="HS31" s="184">
        <v>2208</v>
      </c>
      <c r="HT31" s="184">
        <v>626</v>
      </c>
      <c r="HU31" s="179" t="str">
        <f t="shared" si="73"/>
        <v>Tidak Tercapai</v>
      </c>
      <c r="HV31" s="184">
        <v>2858</v>
      </c>
      <c r="HW31" s="184">
        <v>588</v>
      </c>
      <c r="HX31" s="179" t="str">
        <f t="shared" si="74"/>
        <v>Tidak Tercapai</v>
      </c>
      <c r="HY31" s="184">
        <v>999</v>
      </c>
      <c r="HZ31" s="184">
        <v>661</v>
      </c>
      <c r="IA31" s="179" t="str">
        <f t="shared" si="75"/>
        <v>Tidak Tercapai</v>
      </c>
      <c r="IB31" s="184">
        <v>1455</v>
      </c>
      <c r="IC31" s="184">
        <v>816</v>
      </c>
      <c r="ID31" s="179" t="str">
        <f t="shared" si="76"/>
        <v>Tidak Tercapai</v>
      </c>
      <c r="IE31" s="184">
        <v>2740</v>
      </c>
      <c r="IF31" s="184">
        <v>54</v>
      </c>
      <c r="IG31" s="179" t="str">
        <f t="shared" si="77"/>
        <v>Tidak Tercapai</v>
      </c>
      <c r="IH31" s="184">
        <v>243</v>
      </c>
      <c r="II31" s="184">
        <v>8</v>
      </c>
      <c r="IJ31" s="179" t="str">
        <f t="shared" si="78"/>
        <v>Tidak Tercapai</v>
      </c>
      <c r="IK31" s="184">
        <v>7</v>
      </c>
      <c r="IL31" s="42"/>
      <c r="IM31" s="42"/>
      <c r="IN31" s="42"/>
      <c r="IO31" s="42"/>
      <c r="IP31" s="42"/>
      <c r="IQ31" s="42"/>
      <c r="IR31" s="42"/>
      <c r="IS31" s="42"/>
      <c r="IT31" s="42"/>
      <c r="IU31" s="42"/>
      <c r="IV31" s="42"/>
    </row>
    <row r="32" spans="1:256" ht="15.6" x14ac:dyDescent="0.3">
      <c r="A32" s="167">
        <v>30</v>
      </c>
      <c r="B32" s="168" t="s">
        <v>490</v>
      </c>
      <c r="C32" s="167" t="s">
        <v>466</v>
      </c>
      <c r="D32" s="169">
        <v>142268</v>
      </c>
      <c r="E32" s="167">
        <v>1612</v>
      </c>
      <c r="F32" s="187">
        <v>32563</v>
      </c>
      <c r="G32" s="171" t="s">
        <v>457</v>
      </c>
      <c r="H32" s="187">
        <v>16683</v>
      </c>
      <c r="I32" s="187">
        <v>2322</v>
      </c>
      <c r="J32" s="171" t="str">
        <f t="shared" si="0"/>
        <v>Tercapai</v>
      </c>
      <c r="K32" s="187">
        <v>0</v>
      </c>
      <c r="L32" s="187">
        <v>2</v>
      </c>
      <c r="M32" s="171" t="str">
        <f t="shared" si="1"/>
        <v>Tidak Tercapai</v>
      </c>
      <c r="N32" s="187">
        <v>0</v>
      </c>
      <c r="O32" s="167">
        <v>3550</v>
      </c>
      <c r="P32" s="171" t="str">
        <f t="shared" si="2"/>
        <v>Tercapai</v>
      </c>
      <c r="Q32" s="172">
        <v>6</v>
      </c>
      <c r="R32" s="167">
        <v>3085</v>
      </c>
      <c r="S32" s="173" t="str">
        <f t="shared" si="3"/>
        <v>Tercapai</v>
      </c>
      <c r="T32" s="172">
        <v>28</v>
      </c>
      <c r="U32" s="174">
        <v>3400</v>
      </c>
      <c r="V32" s="173" t="str">
        <f t="shared" si="4"/>
        <v>Tercapai</v>
      </c>
      <c r="W32" s="175">
        <v>18</v>
      </c>
      <c r="X32" s="188">
        <v>3252</v>
      </c>
      <c r="Y32" s="176" t="str">
        <f t="shared" si="5"/>
        <v>Tercapai</v>
      </c>
      <c r="Z32" s="177">
        <v>16</v>
      </c>
      <c r="AA32" s="178">
        <v>4224</v>
      </c>
      <c r="AB32" s="179" t="str">
        <f t="shared" si="6"/>
        <v>Tercapai</v>
      </c>
      <c r="AC32" s="178">
        <v>14</v>
      </c>
      <c r="AD32" s="184">
        <v>3669</v>
      </c>
      <c r="AE32" s="179" t="str">
        <f t="shared" si="7"/>
        <v>Tercapai</v>
      </c>
      <c r="AF32" s="178">
        <v>1</v>
      </c>
      <c r="AG32" s="178">
        <v>1</v>
      </c>
      <c r="AH32" s="179" t="str">
        <f t="shared" si="8"/>
        <v>Tidak Tercapai</v>
      </c>
      <c r="AI32" s="178">
        <v>0</v>
      </c>
      <c r="AJ32" s="184">
        <v>4938</v>
      </c>
      <c r="AK32" s="179" t="str">
        <f t="shared" si="9"/>
        <v>Tercapai</v>
      </c>
      <c r="AL32" s="184">
        <v>9</v>
      </c>
      <c r="AM32" s="184">
        <v>3732</v>
      </c>
      <c r="AN32" s="179" t="str">
        <f t="shared" si="10"/>
        <v>Tercapai</v>
      </c>
      <c r="AO32" s="184">
        <v>21</v>
      </c>
      <c r="AP32" s="178">
        <v>5930</v>
      </c>
      <c r="AQ32" s="179" t="str">
        <f t="shared" si="11"/>
        <v>Tercapai</v>
      </c>
      <c r="AR32" s="178">
        <v>18</v>
      </c>
      <c r="AS32" s="178">
        <v>5683</v>
      </c>
      <c r="AT32" s="179" t="str">
        <f t="shared" si="12"/>
        <v>Tercapai</v>
      </c>
      <c r="AU32" s="178">
        <v>57</v>
      </c>
      <c r="AV32" s="170">
        <v>4863</v>
      </c>
      <c r="AW32" s="179" t="str">
        <f t="shared" si="13"/>
        <v>Tercapai</v>
      </c>
      <c r="AX32" s="178">
        <v>31</v>
      </c>
      <c r="AY32" s="178">
        <v>2782</v>
      </c>
      <c r="AZ32" s="179" t="str">
        <f t="shared" si="14"/>
        <v>Tercapai</v>
      </c>
      <c r="BA32" s="178">
        <v>0</v>
      </c>
      <c r="BB32" s="183">
        <v>0</v>
      </c>
      <c r="BC32" s="179" t="str">
        <f t="shared" si="15"/>
        <v>Tidak Tercapai</v>
      </c>
      <c r="BD32" s="178">
        <v>0</v>
      </c>
      <c r="BE32" s="184">
        <v>5013</v>
      </c>
      <c r="BF32" s="179" t="str">
        <f t="shared" si="16"/>
        <v>Tercapai</v>
      </c>
      <c r="BG32" s="170">
        <v>16</v>
      </c>
      <c r="BH32" s="184">
        <v>4085</v>
      </c>
      <c r="BI32" s="179" t="str">
        <f t="shared" si="17"/>
        <v>Tercapai</v>
      </c>
      <c r="BJ32" s="184">
        <v>12</v>
      </c>
      <c r="BK32" s="184">
        <v>3783</v>
      </c>
      <c r="BL32" s="179" t="str">
        <f t="shared" si="18"/>
        <v>Tercapai</v>
      </c>
      <c r="BM32" s="184">
        <v>23</v>
      </c>
      <c r="BN32" s="184">
        <v>2390</v>
      </c>
      <c r="BO32" s="179" t="str">
        <f t="shared" si="19"/>
        <v>Tercapai</v>
      </c>
      <c r="BP32" s="184">
        <v>19</v>
      </c>
      <c r="BQ32" s="184">
        <v>1922</v>
      </c>
      <c r="BR32" s="179" t="str">
        <f t="shared" si="20"/>
        <v>Tercapai</v>
      </c>
      <c r="BS32" s="184">
        <v>7</v>
      </c>
      <c r="BT32" s="184">
        <v>4648</v>
      </c>
      <c r="BU32" s="179" t="str">
        <f t="shared" si="21"/>
        <v>Tercapai</v>
      </c>
      <c r="BV32" s="185">
        <v>16.96</v>
      </c>
      <c r="BW32" s="184">
        <v>2</v>
      </c>
      <c r="BX32" s="179" t="str">
        <f t="shared" si="22"/>
        <v>Tidak Tercapai</v>
      </c>
      <c r="BY32" s="184">
        <v>0</v>
      </c>
      <c r="BZ32" s="184">
        <v>1953</v>
      </c>
      <c r="CA32" s="179" t="str">
        <f t="shared" si="23"/>
        <v>Tercapai</v>
      </c>
      <c r="CB32" s="184">
        <v>1399</v>
      </c>
      <c r="CC32" s="184">
        <v>3160</v>
      </c>
      <c r="CD32" s="179" t="str">
        <f t="shared" si="24"/>
        <v>Tercapai</v>
      </c>
      <c r="CE32" s="184">
        <v>28</v>
      </c>
      <c r="CF32" s="184">
        <v>1595</v>
      </c>
      <c r="CG32" s="179" t="str">
        <f t="shared" si="25"/>
        <v>Tidak Tercapai</v>
      </c>
      <c r="CH32" s="184">
        <v>18</v>
      </c>
      <c r="CI32" s="184">
        <v>3805</v>
      </c>
      <c r="CJ32" s="179" t="str">
        <f t="shared" si="26"/>
        <v>Tercapai</v>
      </c>
      <c r="CK32" s="184">
        <v>34</v>
      </c>
      <c r="CL32" s="184">
        <v>1424</v>
      </c>
      <c r="CM32" s="179" t="str">
        <f t="shared" si="27"/>
        <v>Tidak Tercapai</v>
      </c>
      <c r="CN32" s="184">
        <v>9</v>
      </c>
      <c r="CO32" s="184">
        <v>10</v>
      </c>
      <c r="CP32" s="179" t="str">
        <f t="shared" si="28"/>
        <v>Tidak Tercapai</v>
      </c>
      <c r="CQ32" s="184">
        <v>0</v>
      </c>
      <c r="CR32" s="184">
        <v>122</v>
      </c>
      <c r="CS32" s="179" t="str">
        <f t="shared" si="29"/>
        <v>Tidak Tercapai</v>
      </c>
      <c r="CT32" s="184">
        <v>0</v>
      </c>
      <c r="CU32" s="184">
        <v>4084</v>
      </c>
      <c r="CV32" s="179" t="str">
        <f t="shared" si="30"/>
        <v>Tercapai</v>
      </c>
      <c r="CW32" s="184">
        <v>19</v>
      </c>
      <c r="CX32" s="184">
        <v>3422</v>
      </c>
      <c r="CY32" s="179" t="str">
        <f t="shared" si="31"/>
        <v>Tercapai</v>
      </c>
      <c r="CZ32" s="184">
        <v>37</v>
      </c>
      <c r="DA32" s="184">
        <v>1749</v>
      </c>
      <c r="DB32" s="179" t="str">
        <f t="shared" si="32"/>
        <v>Tercapai</v>
      </c>
      <c r="DC32" s="184">
        <v>14</v>
      </c>
      <c r="DD32" s="184">
        <v>2705</v>
      </c>
      <c r="DE32" s="179" t="str">
        <f t="shared" si="33"/>
        <v>Tercapai</v>
      </c>
      <c r="DF32" s="184">
        <v>28</v>
      </c>
      <c r="DG32" s="184">
        <v>3580</v>
      </c>
      <c r="DH32" s="179" t="str">
        <f t="shared" si="34"/>
        <v>Tercapai</v>
      </c>
      <c r="DI32" s="184">
        <v>40</v>
      </c>
      <c r="DJ32" s="184">
        <v>3577</v>
      </c>
      <c r="DK32" s="179" t="str">
        <f t="shared" si="35"/>
        <v>Tercapai</v>
      </c>
      <c r="DL32" s="184">
        <v>7</v>
      </c>
      <c r="DM32" s="184">
        <v>0</v>
      </c>
      <c r="DN32" s="179" t="str">
        <f t="shared" si="36"/>
        <v>Tidak Tercapai</v>
      </c>
      <c r="DO32" s="184">
        <v>1</v>
      </c>
      <c r="DP32" s="184">
        <v>397</v>
      </c>
      <c r="DQ32" s="179" t="str">
        <f t="shared" si="37"/>
        <v>Tidak Tercapai</v>
      </c>
      <c r="DR32" s="184">
        <v>3145</v>
      </c>
      <c r="DS32" s="184">
        <v>0</v>
      </c>
      <c r="DT32" s="179" t="str">
        <f t="shared" si="38"/>
        <v>Tidak Tercapai</v>
      </c>
      <c r="DU32" s="184">
        <v>0</v>
      </c>
      <c r="DV32" s="184">
        <v>41</v>
      </c>
      <c r="DW32" s="179" t="str">
        <f t="shared" si="39"/>
        <v>Tidak Tercapai</v>
      </c>
      <c r="DX32" s="184">
        <v>4713</v>
      </c>
      <c r="DY32" s="184">
        <v>997</v>
      </c>
      <c r="DZ32" s="179" t="str">
        <f t="shared" si="40"/>
        <v>Tidak Tercapai</v>
      </c>
      <c r="EA32" s="184">
        <v>3261</v>
      </c>
      <c r="EB32" s="184">
        <v>981</v>
      </c>
      <c r="EC32" s="179" t="str">
        <f t="shared" si="41"/>
        <v>Tidak Tercapai</v>
      </c>
      <c r="ED32" s="184">
        <v>2991</v>
      </c>
      <c r="EE32" s="184">
        <v>140</v>
      </c>
      <c r="EF32" s="179" t="str">
        <f t="shared" si="42"/>
        <v>Tidak Tercapai</v>
      </c>
      <c r="EG32" s="184">
        <v>1421</v>
      </c>
      <c r="EH32" s="184">
        <v>0</v>
      </c>
      <c r="EI32" s="179" t="str">
        <f t="shared" si="43"/>
        <v>Tidak Tercapai</v>
      </c>
      <c r="EJ32" s="184">
        <v>0</v>
      </c>
      <c r="EK32" s="184">
        <v>1003</v>
      </c>
      <c r="EL32" s="179" t="str">
        <f t="shared" si="44"/>
        <v>Tidak Tercapai</v>
      </c>
      <c r="EM32" s="184">
        <v>3138</v>
      </c>
      <c r="EN32" s="184">
        <v>1286</v>
      </c>
      <c r="EO32" s="179" t="str">
        <f t="shared" si="45"/>
        <v>Tidak Tercapai</v>
      </c>
      <c r="EP32" s="184">
        <v>3054</v>
      </c>
      <c r="EQ32" s="184">
        <v>844</v>
      </c>
      <c r="ER32" s="179" t="str">
        <f t="shared" si="46"/>
        <v>Tidak Tercapai</v>
      </c>
      <c r="ES32" s="178">
        <v>2399</v>
      </c>
      <c r="ET32" s="184">
        <v>1133</v>
      </c>
      <c r="EU32" s="179" t="str">
        <f t="shared" si="47"/>
        <v>Tidak Tercapai</v>
      </c>
      <c r="EV32" s="184">
        <v>2212</v>
      </c>
      <c r="EW32" s="184">
        <v>1588</v>
      </c>
      <c r="EX32" s="179" t="str">
        <f t="shared" si="48"/>
        <v>Tidak Tercapai</v>
      </c>
      <c r="EY32" s="184">
        <v>2710</v>
      </c>
      <c r="EZ32" s="184">
        <v>836</v>
      </c>
      <c r="FA32" s="179" t="str">
        <f t="shared" si="49"/>
        <v>Tidak Tercapai</v>
      </c>
      <c r="FB32" s="184">
        <v>2764</v>
      </c>
      <c r="FC32" s="184">
        <v>229</v>
      </c>
      <c r="FD32" s="179" t="str">
        <f t="shared" si="50"/>
        <v>Tidak Tercapai</v>
      </c>
      <c r="FE32" s="184">
        <v>30</v>
      </c>
      <c r="FF32" s="184">
        <v>1279</v>
      </c>
      <c r="FG32" s="179" t="str">
        <f t="shared" si="51"/>
        <v>Tidak Tercapai</v>
      </c>
      <c r="FH32" s="184">
        <v>2332</v>
      </c>
      <c r="FI32" s="184">
        <v>880</v>
      </c>
      <c r="FJ32" s="179" t="str">
        <f t="shared" si="52"/>
        <v>Tidak Tercapai</v>
      </c>
      <c r="FK32" s="184">
        <v>2202</v>
      </c>
      <c r="FL32" s="186">
        <v>136</v>
      </c>
      <c r="FM32" s="179" t="str">
        <f t="shared" si="53"/>
        <v>Tidak Tercapai</v>
      </c>
      <c r="FN32" s="184">
        <v>2008</v>
      </c>
      <c r="FO32" s="184">
        <v>437</v>
      </c>
      <c r="FP32" s="179" t="str">
        <f t="shared" si="54"/>
        <v>Tidak Tercapai</v>
      </c>
      <c r="FQ32" s="184">
        <v>776</v>
      </c>
      <c r="FR32" s="184">
        <v>565</v>
      </c>
      <c r="FS32" s="179" t="str">
        <f t="shared" si="55"/>
        <v>Tidak Tercapai</v>
      </c>
      <c r="FT32" s="184">
        <v>1247</v>
      </c>
      <c r="FU32" s="184">
        <v>2617</v>
      </c>
      <c r="FV32" s="179" t="str">
        <f t="shared" si="56"/>
        <v>Tercapai</v>
      </c>
      <c r="FW32" s="184">
        <v>6295</v>
      </c>
      <c r="FX32" s="184">
        <v>740</v>
      </c>
      <c r="FY32" s="179" t="str">
        <f t="shared" si="57"/>
        <v>Tidak Tercapai</v>
      </c>
      <c r="FZ32" s="184">
        <v>28</v>
      </c>
      <c r="GA32" s="184">
        <v>705</v>
      </c>
      <c r="GB32" s="179" t="str">
        <f t="shared" si="58"/>
        <v>Tidak Tercapai</v>
      </c>
      <c r="GC32" s="184">
        <v>1668</v>
      </c>
      <c r="GD32" s="184">
        <v>429</v>
      </c>
      <c r="GE32" s="179" t="str">
        <f t="shared" si="59"/>
        <v>Tidak Tercapai</v>
      </c>
      <c r="GF32" s="184">
        <v>1691</v>
      </c>
      <c r="GG32" s="184">
        <v>11</v>
      </c>
      <c r="GH32" s="179" t="str">
        <f t="shared" si="60"/>
        <v>Tidak Tercapai</v>
      </c>
      <c r="GI32" s="184">
        <v>10</v>
      </c>
      <c r="GJ32" s="184">
        <v>597</v>
      </c>
      <c r="GK32" s="179" t="str">
        <f t="shared" si="61"/>
        <v>Tidak Tercapai</v>
      </c>
      <c r="GL32" s="184">
        <v>3003</v>
      </c>
      <c r="GM32" s="184">
        <v>747</v>
      </c>
      <c r="GN32" s="179" t="str">
        <f t="shared" si="62"/>
        <v>Tidak Tercapai</v>
      </c>
      <c r="GO32" s="184">
        <v>2496</v>
      </c>
      <c r="GP32" s="184">
        <v>508</v>
      </c>
      <c r="GQ32" s="179" t="str">
        <f t="shared" si="63"/>
        <v>Tidak Tercapai</v>
      </c>
      <c r="GR32" s="184">
        <v>3009</v>
      </c>
      <c r="GS32" s="184">
        <v>198</v>
      </c>
      <c r="GT32" s="179" t="str">
        <f t="shared" si="64"/>
        <v>Tidak Tercapai</v>
      </c>
      <c r="GU32" s="184">
        <v>42</v>
      </c>
      <c r="GV32" s="184">
        <v>1008</v>
      </c>
      <c r="GW32" s="179" t="str">
        <f t="shared" si="65"/>
        <v>Tidak Tercapai</v>
      </c>
      <c r="GX32" s="184">
        <v>496</v>
      </c>
      <c r="GY32" s="184">
        <v>12</v>
      </c>
      <c r="GZ32" s="179" t="str">
        <f t="shared" si="66"/>
        <v>Tidak Tercapai</v>
      </c>
      <c r="HA32" s="184">
        <v>8</v>
      </c>
      <c r="HB32" s="184">
        <v>254</v>
      </c>
      <c r="HC32" s="179" t="str">
        <f t="shared" si="67"/>
        <v>Tidak Tercapai</v>
      </c>
      <c r="HD32" s="184">
        <v>236</v>
      </c>
      <c r="HE32" s="184">
        <v>330</v>
      </c>
      <c r="HF32" s="179" t="str">
        <f t="shared" si="68"/>
        <v>Tidak Tercapai</v>
      </c>
      <c r="HG32" s="184">
        <v>1095</v>
      </c>
      <c r="HH32" s="184">
        <v>296</v>
      </c>
      <c r="HI32" s="179" t="str">
        <f t="shared" si="69"/>
        <v>Tidak Tercapai</v>
      </c>
      <c r="HJ32" s="184">
        <v>324</v>
      </c>
      <c r="HK32" s="184">
        <v>75</v>
      </c>
      <c r="HL32" s="179" t="str">
        <f t="shared" si="70"/>
        <v>Tidak Tercapai</v>
      </c>
      <c r="HM32" s="184">
        <v>408</v>
      </c>
      <c r="HN32" s="184">
        <v>2</v>
      </c>
      <c r="HO32" s="179" t="str">
        <f t="shared" si="71"/>
        <v>Tidak Tercapai</v>
      </c>
      <c r="HP32" s="184">
        <v>13</v>
      </c>
      <c r="HQ32" s="184">
        <v>1575</v>
      </c>
      <c r="HR32" s="179" t="str">
        <f t="shared" si="72"/>
        <v>Tidak Tercapai</v>
      </c>
      <c r="HS32" s="184">
        <v>1316</v>
      </c>
      <c r="HT32" s="184">
        <v>2413</v>
      </c>
      <c r="HU32" s="179" t="str">
        <f t="shared" si="73"/>
        <v>Tercapai</v>
      </c>
      <c r="HV32" s="184">
        <v>314</v>
      </c>
      <c r="HW32" s="184">
        <v>2465</v>
      </c>
      <c r="HX32" s="179" t="str">
        <f t="shared" si="74"/>
        <v>Tercapai</v>
      </c>
      <c r="HY32" s="184">
        <v>983</v>
      </c>
      <c r="HZ32" s="184">
        <v>1833</v>
      </c>
      <c r="IA32" s="179" t="str">
        <f t="shared" si="75"/>
        <v>Tercapai</v>
      </c>
      <c r="IB32" s="184">
        <v>366</v>
      </c>
      <c r="IC32" s="184">
        <v>2249</v>
      </c>
      <c r="ID32" s="179" t="str">
        <f t="shared" si="76"/>
        <v>Tercapai</v>
      </c>
      <c r="IE32" s="184">
        <v>676</v>
      </c>
      <c r="IF32" s="184">
        <v>0</v>
      </c>
      <c r="IG32" s="179" t="str">
        <f t="shared" si="77"/>
        <v>Tidak Tercapai</v>
      </c>
      <c r="IH32" s="184">
        <v>82</v>
      </c>
      <c r="II32" s="184">
        <v>62</v>
      </c>
      <c r="IJ32" s="179" t="str">
        <f t="shared" si="78"/>
        <v>Tidak Tercapai</v>
      </c>
      <c r="IK32" s="184">
        <v>7</v>
      </c>
      <c r="IL32" s="42"/>
      <c r="IM32" s="42"/>
      <c r="IN32" s="42"/>
      <c r="IO32" s="42"/>
      <c r="IP32" s="42"/>
      <c r="IQ32" s="42"/>
      <c r="IR32" s="42"/>
      <c r="IS32" s="42"/>
      <c r="IT32" s="42"/>
      <c r="IU32" s="42"/>
      <c r="IV32" s="42"/>
    </row>
    <row r="33" spans="1:256" ht="15.6" x14ac:dyDescent="0.3">
      <c r="A33" s="167">
        <v>31</v>
      </c>
      <c r="B33" s="168" t="s">
        <v>491</v>
      </c>
      <c r="C33" s="167" t="s">
        <v>462</v>
      </c>
      <c r="D33" s="169">
        <v>135923</v>
      </c>
      <c r="E33" s="167">
        <v>1492</v>
      </c>
      <c r="F33" s="187">
        <v>76901</v>
      </c>
      <c r="G33" s="171" t="s">
        <v>457</v>
      </c>
      <c r="H33" s="187">
        <v>50323</v>
      </c>
      <c r="I33" s="187">
        <v>315</v>
      </c>
      <c r="J33" s="171" t="str">
        <f t="shared" si="0"/>
        <v>Tidak Tercapai</v>
      </c>
      <c r="K33" s="187">
        <v>153</v>
      </c>
      <c r="L33" s="187">
        <v>58</v>
      </c>
      <c r="M33" s="171" t="str">
        <f t="shared" si="1"/>
        <v>Tidak Tercapai</v>
      </c>
      <c r="N33" s="187">
        <v>0</v>
      </c>
      <c r="O33" s="167">
        <v>1006</v>
      </c>
      <c r="P33" s="171" t="str">
        <f t="shared" si="2"/>
        <v>Tidak Tercapai</v>
      </c>
      <c r="Q33" s="172">
        <v>66</v>
      </c>
      <c r="R33" s="167">
        <v>1145</v>
      </c>
      <c r="S33" s="173" t="str">
        <f t="shared" si="3"/>
        <v>Tidak Tercapai</v>
      </c>
      <c r="T33" s="172">
        <v>30</v>
      </c>
      <c r="U33" s="174">
        <v>1590</v>
      </c>
      <c r="V33" s="173" t="str">
        <f t="shared" si="4"/>
        <v>Tercapai</v>
      </c>
      <c r="W33" s="175">
        <v>26</v>
      </c>
      <c r="X33" s="188">
        <v>1476</v>
      </c>
      <c r="Y33" s="176" t="str">
        <f t="shared" si="5"/>
        <v>Tidak Tercapai</v>
      </c>
      <c r="Z33" s="177">
        <v>10</v>
      </c>
      <c r="AA33" s="178">
        <v>1659</v>
      </c>
      <c r="AB33" s="179" t="str">
        <f t="shared" si="6"/>
        <v>Tercapai</v>
      </c>
      <c r="AC33" s="178">
        <v>23</v>
      </c>
      <c r="AD33" s="184">
        <v>466</v>
      </c>
      <c r="AE33" s="179" t="str">
        <f t="shared" si="7"/>
        <v>Tidak Tercapai</v>
      </c>
      <c r="AF33" s="178">
        <v>3</v>
      </c>
      <c r="AG33" s="178">
        <v>0</v>
      </c>
      <c r="AH33" s="179" t="str">
        <f t="shared" si="8"/>
        <v>Tidak Tercapai</v>
      </c>
      <c r="AI33" s="178">
        <v>0</v>
      </c>
      <c r="AJ33" s="184">
        <v>1757</v>
      </c>
      <c r="AK33" s="179" t="str">
        <f t="shared" si="9"/>
        <v>Tercapai</v>
      </c>
      <c r="AL33" s="184">
        <v>12</v>
      </c>
      <c r="AM33" s="184">
        <v>721</v>
      </c>
      <c r="AN33" s="179" t="str">
        <f t="shared" si="10"/>
        <v>Tidak Tercapai</v>
      </c>
      <c r="AO33" s="184">
        <v>19</v>
      </c>
      <c r="AP33" s="178">
        <v>3213</v>
      </c>
      <c r="AQ33" s="179" t="str">
        <f t="shared" si="11"/>
        <v>Tercapai</v>
      </c>
      <c r="AR33" s="178">
        <v>17</v>
      </c>
      <c r="AS33" s="178">
        <v>2176</v>
      </c>
      <c r="AT33" s="179" t="str">
        <f t="shared" si="12"/>
        <v>Tercapai</v>
      </c>
      <c r="AU33" s="178">
        <v>14</v>
      </c>
      <c r="AV33" s="170">
        <v>2569</v>
      </c>
      <c r="AW33" s="179" t="str">
        <f t="shared" si="13"/>
        <v>Tercapai</v>
      </c>
      <c r="AX33" s="178">
        <v>4</v>
      </c>
      <c r="AY33" s="178">
        <v>1958</v>
      </c>
      <c r="AZ33" s="179" t="str">
        <f t="shared" si="14"/>
        <v>Tercapai</v>
      </c>
      <c r="BA33" s="178">
        <v>8</v>
      </c>
      <c r="BB33" s="183">
        <v>3</v>
      </c>
      <c r="BC33" s="179" t="str">
        <f t="shared" si="15"/>
        <v>Tidak Tercapai</v>
      </c>
      <c r="BD33" s="178">
        <v>0</v>
      </c>
      <c r="BE33" s="184">
        <v>1762</v>
      </c>
      <c r="BF33" s="179" t="str">
        <f t="shared" si="16"/>
        <v>Tercapai</v>
      </c>
      <c r="BG33" s="170">
        <v>3</v>
      </c>
      <c r="BH33" s="184">
        <v>2368</v>
      </c>
      <c r="BI33" s="179" t="str">
        <f t="shared" si="17"/>
        <v>Tercapai</v>
      </c>
      <c r="BJ33" s="184">
        <v>8</v>
      </c>
      <c r="BK33" s="184">
        <v>1345</v>
      </c>
      <c r="BL33" s="179" t="str">
        <f t="shared" si="18"/>
        <v>Tidak Tercapai</v>
      </c>
      <c r="BM33" s="184">
        <v>19</v>
      </c>
      <c r="BN33" s="184">
        <v>942</v>
      </c>
      <c r="BO33" s="179" t="str">
        <f t="shared" si="19"/>
        <v>Tidak Tercapai</v>
      </c>
      <c r="BP33" s="184">
        <v>3</v>
      </c>
      <c r="BQ33" s="184">
        <v>928</v>
      </c>
      <c r="BR33" s="179" t="str">
        <f t="shared" si="20"/>
        <v>Tidak Tercapai</v>
      </c>
      <c r="BS33" s="184">
        <v>14</v>
      </c>
      <c r="BT33" s="184">
        <v>2386</v>
      </c>
      <c r="BU33" s="179" t="str">
        <f t="shared" si="21"/>
        <v>Tercapai</v>
      </c>
      <c r="BV33" s="185">
        <v>50.76</v>
      </c>
      <c r="BW33" s="184">
        <v>374</v>
      </c>
      <c r="BX33" s="179" t="str">
        <f t="shared" si="22"/>
        <v>Tidak Tercapai</v>
      </c>
      <c r="BY33" s="184">
        <v>0</v>
      </c>
      <c r="BZ33" s="184">
        <v>1357</v>
      </c>
      <c r="CA33" s="179" t="str">
        <f t="shared" si="23"/>
        <v>Tidak Tercapai</v>
      </c>
      <c r="CB33" s="184">
        <v>1140</v>
      </c>
      <c r="CC33" s="184">
        <v>3515</v>
      </c>
      <c r="CD33" s="179" t="str">
        <f t="shared" si="24"/>
        <v>Tercapai</v>
      </c>
      <c r="CE33" s="184">
        <v>18</v>
      </c>
      <c r="CF33" s="184">
        <v>1360</v>
      </c>
      <c r="CG33" s="179" t="str">
        <f t="shared" si="25"/>
        <v>Tidak Tercapai</v>
      </c>
      <c r="CH33" s="184">
        <v>3</v>
      </c>
      <c r="CI33" s="184">
        <v>657</v>
      </c>
      <c r="CJ33" s="179" t="str">
        <f t="shared" si="26"/>
        <v>Tidak Tercapai</v>
      </c>
      <c r="CK33" s="184">
        <v>21</v>
      </c>
      <c r="CL33" s="184">
        <v>422</v>
      </c>
      <c r="CM33" s="179" t="str">
        <f t="shared" si="27"/>
        <v>Tidak Tercapai</v>
      </c>
      <c r="CN33" s="184">
        <v>4</v>
      </c>
      <c r="CO33" s="184">
        <v>25</v>
      </c>
      <c r="CP33" s="179" t="str">
        <f t="shared" si="28"/>
        <v>Tidak Tercapai</v>
      </c>
      <c r="CQ33" s="184">
        <v>0</v>
      </c>
      <c r="CR33" s="184">
        <v>11</v>
      </c>
      <c r="CS33" s="179" t="str">
        <f t="shared" si="29"/>
        <v>Tidak Tercapai</v>
      </c>
      <c r="CT33" s="184">
        <v>0</v>
      </c>
      <c r="CU33" s="184">
        <v>673</v>
      </c>
      <c r="CV33" s="179" t="str">
        <f t="shared" si="30"/>
        <v>Tidak Tercapai</v>
      </c>
      <c r="CW33" s="184">
        <v>12</v>
      </c>
      <c r="CX33" s="184">
        <v>3782</v>
      </c>
      <c r="CY33" s="179" t="str">
        <f t="shared" si="31"/>
        <v>Tercapai</v>
      </c>
      <c r="CZ33" s="184">
        <v>96</v>
      </c>
      <c r="DA33" s="184">
        <v>1945</v>
      </c>
      <c r="DB33" s="179" t="str">
        <f t="shared" si="32"/>
        <v>Tercapai</v>
      </c>
      <c r="DC33" s="184">
        <v>60</v>
      </c>
      <c r="DD33" s="184">
        <v>2084</v>
      </c>
      <c r="DE33" s="179" t="str">
        <f t="shared" si="33"/>
        <v>Tercapai</v>
      </c>
      <c r="DF33" s="184">
        <v>32</v>
      </c>
      <c r="DG33" s="184">
        <v>761</v>
      </c>
      <c r="DH33" s="179" t="str">
        <f t="shared" si="34"/>
        <v>Tidak Tercapai</v>
      </c>
      <c r="DI33" s="184">
        <v>20</v>
      </c>
      <c r="DJ33" s="184">
        <v>1015</v>
      </c>
      <c r="DK33" s="179" t="str">
        <f t="shared" si="35"/>
        <v>Tidak Tercapai</v>
      </c>
      <c r="DL33" s="184">
        <v>33</v>
      </c>
      <c r="DM33" s="184">
        <v>854</v>
      </c>
      <c r="DN33" s="179" t="str">
        <f t="shared" si="36"/>
        <v>Tidak Tercapai</v>
      </c>
      <c r="DO33" s="184">
        <v>2</v>
      </c>
      <c r="DP33" s="184">
        <v>588</v>
      </c>
      <c r="DQ33" s="179" t="str">
        <f t="shared" si="37"/>
        <v>Tidak Tercapai</v>
      </c>
      <c r="DR33" s="184">
        <v>46</v>
      </c>
      <c r="DS33" s="184">
        <v>34</v>
      </c>
      <c r="DT33" s="179" t="str">
        <f t="shared" si="38"/>
        <v>Tidak Tercapai</v>
      </c>
      <c r="DU33" s="184">
        <v>0</v>
      </c>
      <c r="DV33" s="184">
        <v>749</v>
      </c>
      <c r="DW33" s="179" t="str">
        <f t="shared" si="39"/>
        <v>Tidak Tercapai</v>
      </c>
      <c r="DX33" s="184">
        <v>21</v>
      </c>
      <c r="DY33" s="184">
        <v>870</v>
      </c>
      <c r="DZ33" s="179" t="str">
        <f t="shared" si="40"/>
        <v>Tidak Tercapai</v>
      </c>
      <c r="EA33" s="184">
        <v>77</v>
      </c>
      <c r="EB33" s="184">
        <v>492</v>
      </c>
      <c r="EC33" s="179" t="str">
        <f t="shared" si="41"/>
        <v>Tidak Tercapai</v>
      </c>
      <c r="ED33" s="184">
        <v>36</v>
      </c>
      <c r="EE33" s="184">
        <v>947</v>
      </c>
      <c r="EF33" s="179" t="str">
        <f t="shared" si="42"/>
        <v>Tidak Tercapai</v>
      </c>
      <c r="EG33" s="184">
        <v>74</v>
      </c>
      <c r="EH33" s="184">
        <v>930</v>
      </c>
      <c r="EI33" s="179" t="str">
        <f t="shared" si="43"/>
        <v>Tidak Tercapai</v>
      </c>
      <c r="EJ33" s="184">
        <v>717</v>
      </c>
      <c r="EK33" s="184">
        <v>820</v>
      </c>
      <c r="EL33" s="179" t="str">
        <f t="shared" si="44"/>
        <v>Tidak Tercapai</v>
      </c>
      <c r="EM33" s="184">
        <v>777</v>
      </c>
      <c r="EN33" s="184">
        <v>1763</v>
      </c>
      <c r="EO33" s="179" t="str">
        <f t="shared" si="45"/>
        <v>Tercapai</v>
      </c>
      <c r="EP33" s="184">
        <v>927</v>
      </c>
      <c r="EQ33" s="184">
        <v>1806</v>
      </c>
      <c r="ER33" s="179" t="str">
        <f t="shared" si="46"/>
        <v>Tercapai</v>
      </c>
      <c r="ES33" s="178">
        <v>1235</v>
      </c>
      <c r="ET33" s="184">
        <v>1183</v>
      </c>
      <c r="EU33" s="179" t="str">
        <f t="shared" si="47"/>
        <v>Tidak Tercapai</v>
      </c>
      <c r="EV33" s="184">
        <v>1291</v>
      </c>
      <c r="EW33" s="184">
        <v>1230</v>
      </c>
      <c r="EX33" s="179" t="str">
        <f t="shared" si="48"/>
        <v>Tidak Tercapai</v>
      </c>
      <c r="EY33" s="184">
        <v>1994</v>
      </c>
      <c r="EZ33" s="184">
        <v>871</v>
      </c>
      <c r="FA33" s="179" t="str">
        <f t="shared" si="49"/>
        <v>Tidak Tercapai</v>
      </c>
      <c r="FB33" s="184">
        <v>1214</v>
      </c>
      <c r="FC33" s="184">
        <v>67</v>
      </c>
      <c r="FD33" s="179" t="str">
        <f t="shared" si="50"/>
        <v>Tidak Tercapai</v>
      </c>
      <c r="FE33" s="184">
        <v>1587</v>
      </c>
      <c r="FF33" s="184">
        <v>2534</v>
      </c>
      <c r="FG33" s="179" t="str">
        <f t="shared" si="51"/>
        <v>Tercapai</v>
      </c>
      <c r="FH33" s="184">
        <v>1962</v>
      </c>
      <c r="FI33" s="184">
        <v>680</v>
      </c>
      <c r="FJ33" s="179" t="str">
        <f t="shared" si="52"/>
        <v>Tidak Tercapai</v>
      </c>
      <c r="FK33" s="184">
        <v>1617</v>
      </c>
      <c r="FL33" s="186">
        <v>0</v>
      </c>
      <c r="FM33" s="179" t="str">
        <f t="shared" si="53"/>
        <v>Tidak Tercapai</v>
      </c>
      <c r="FN33" s="184">
        <v>582</v>
      </c>
      <c r="FO33" s="184">
        <v>563</v>
      </c>
      <c r="FP33" s="179" t="str">
        <f t="shared" si="54"/>
        <v>Tidak Tercapai</v>
      </c>
      <c r="FQ33" s="184">
        <v>311</v>
      </c>
      <c r="FR33" s="184">
        <v>374</v>
      </c>
      <c r="FS33" s="179" t="str">
        <f t="shared" si="55"/>
        <v>Tidak Tercapai</v>
      </c>
      <c r="FT33" s="184">
        <v>410</v>
      </c>
      <c r="FU33" s="184">
        <v>2072</v>
      </c>
      <c r="FV33" s="179" t="str">
        <f t="shared" si="56"/>
        <v>Tercapai</v>
      </c>
      <c r="FW33" s="184">
        <v>3775</v>
      </c>
      <c r="FX33" s="184">
        <v>1485</v>
      </c>
      <c r="FY33" s="179" t="str">
        <f t="shared" si="57"/>
        <v>Tidak Tercapai</v>
      </c>
      <c r="FZ33" s="184">
        <v>619</v>
      </c>
      <c r="GA33" s="184">
        <v>934</v>
      </c>
      <c r="GB33" s="179" t="str">
        <f t="shared" si="58"/>
        <v>Tidak Tercapai</v>
      </c>
      <c r="GC33" s="184">
        <v>1466</v>
      </c>
      <c r="GD33" s="184">
        <v>1535</v>
      </c>
      <c r="GE33" s="179" t="str">
        <f t="shared" si="59"/>
        <v>Tercapai</v>
      </c>
      <c r="GF33" s="184">
        <v>1192</v>
      </c>
      <c r="GG33" s="184">
        <v>108</v>
      </c>
      <c r="GH33" s="179" t="str">
        <f t="shared" si="60"/>
        <v>Tidak Tercapai</v>
      </c>
      <c r="GI33" s="184">
        <v>27</v>
      </c>
      <c r="GJ33" s="184">
        <v>1190</v>
      </c>
      <c r="GK33" s="179" t="str">
        <f t="shared" si="61"/>
        <v>Tidak Tercapai</v>
      </c>
      <c r="GL33" s="184">
        <v>3012</v>
      </c>
      <c r="GM33" s="184">
        <v>580</v>
      </c>
      <c r="GN33" s="179" t="str">
        <f t="shared" si="62"/>
        <v>Tidak Tercapai</v>
      </c>
      <c r="GO33" s="184">
        <v>1329</v>
      </c>
      <c r="GP33" s="184">
        <v>775</v>
      </c>
      <c r="GQ33" s="179" t="str">
        <f t="shared" si="63"/>
        <v>Tidak Tercapai</v>
      </c>
      <c r="GR33" s="184">
        <v>796</v>
      </c>
      <c r="GS33" s="184">
        <v>693</v>
      </c>
      <c r="GT33" s="179" t="str">
        <f t="shared" si="64"/>
        <v>Tidak Tercapai</v>
      </c>
      <c r="GU33" s="184">
        <v>773</v>
      </c>
      <c r="GV33" s="184">
        <v>1218</v>
      </c>
      <c r="GW33" s="179" t="str">
        <f t="shared" si="65"/>
        <v>Tidak Tercapai</v>
      </c>
      <c r="GX33" s="184">
        <v>1547</v>
      </c>
      <c r="GY33" s="184">
        <v>27</v>
      </c>
      <c r="GZ33" s="179" t="str">
        <f t="shared" si="66"/>
        <v>Tidak Tercapai</v>
      </c>
      <c r="HA33" s="184">
        <v>7</v>
      </c>
      <c r="HB33" s="184">
        <v>894</v>
      </c>
      <c r="HC33" s="179" t="str">
        <f t="shared" si="67"/>
        <v>Tidak Tercapai</v>
      </c>
      <c r="HD33" s="184">
        <v>1852</v>
      </c>
      <c r="HE33" s="184">
        <v>825</v>
      </c>
      <c r="HF33" s="179" t="str">
        <f t="shared" si="68"/>
        <v>Tidak Tercapai</v>
      </c>
      <c r="HG33" s="184">
        <v>1491</v>
      </c>
      <c r="HH33" s="184">
        <v>188</v>
      </c>
      <c r="HI33" s="179" t="str">
        <f t="shared" si="69"/>
        <v>Tidak Tercapai</v>
      </c>
      <c r="HJ33" s="184">
        <v>94</v>
      </c>
      <c r="HK33" s="184">
        <v>790</v>
      </c>
      <c r="HL33" s="179" t="str">
        <f t="shared" si="70"/>
        <v>Tidak Tercapai</v>
      </c>
      <c r="HM33" s="184">
        <v>1739</v>
      </c>
      <c r="HN33" s="184">
        <v>63</v>
      </c>
      <c r="HO33" s="179" t="str">
        <f t="shared" si="71"/>
        <v>Tidak Tercapai</v>
      </c>
      <c r="HP33" s="184">
        <v>201</v>
      </c>
      <c r="HQ33" s="184">
        <v>523</v>
      </c>
      <c r="HR33" s="179" t="str">
        <f t="shared" si="72"/>
        <v>Tidak Tercapai</v>
      </c>
      <c r="HS33" s="184">
        <v>1361</v>
      </c>
      <c r="HT33" s="184">
        <v>680</v>
      </c>
      <c r="HU33" s="179" t="str">
        <f t="shared" si="73"/>
        <v>Tidak Tercapai</v>
      </c>
      <c r="HV33" s="184">
        <v>1349</v>
      </c>
      <c r="HW33" s="184">
        <v>455</v>
      </c>
      <c r="HX33" s="179" t="str">
        <f t="shared" si="74"/>
        <v>Tidak Tercapai</v>
      </c>
      <c r="HY33" s="184">
        <v>1154</v>
      </c>
      <c r="HZ33" s="184">
        <v>363</v>
      </c>
      <c r="IA33" s="179" t="str">
        <f t="shared" si="75"/>
        <v>Tidak Tercapai</v>
      </c>
      <c r="IB33" s="184">
        <v>1503</v>
      </c>
      <c r="IC33" s="184">
        <v>1044</v>
      </c>
      <c r="ID33" s="179" t="str">
        <f t="shared" si="76"/>
        <v>Tidak Tercapai</v>
      </c>
      <c r="IE33" s="184">
        <v>2937</v>
      </c>
      <c r="IF33" s="184">
        <v>87</v>
      </c>
      <c r="IG33" s="179" t="str">
        <f t="shared" si="77"/>
        <v>Tidak Tercapai</v>
      </c>
      <c r="IH33" s="184">
        <v>68</v>
      </c>
      <c r="II33" s="184">
        <v>1</v>
      </c>
      <c r="IJ33" s="179" t="str">
        <f t="shared" si="78"/>
        <v>Tidak Tercapai</v>
      </c>
      <c r="IK33" s="184">
        <v>1</v>
      </c>
      <c r="IL33" s="42"/>
      <c r="IM33" s="42"/>
      <c r="IN33" s="42"/>
      <c r="IO33" s="42"/>
      <c r="IP33" s="42"/>
      <c r="IQ33" s="42"/>
      <c r="IR33" s="42"/>
      <c r="IS33" s="42"/>
      <c r="IT33" s="42"/>
      <c r="IU33" s="42"/>
      <c r="IV33" s="42"/>
    </row>
    <row r="34" spans="1:256" ht="15.6" x14ac:dyDescent="0.3">
      <c r="A34" s="167">
        <v>32</v>
      </c>
      <c r="B34" s="168" t="s">
        <v>492</v>
      </c>
      <c r="C34" s="167" t="s">
        <v>466</v>
      </c>
      <c r="D34" s="169">
        <v>128433</v>
      </c>
      <c r="E34" s="167">
        <v>1483</v>
      </c>
      <c r="F34" s="187">
        <v>28263</v>
      </c>
      <c r="G34" s="171" t="s">
        <v>457</v>
      </c>
      <c r="H34" s="187">
        <v>16416</v>
      </c>
      <c r="I34" s="187">
        <v>43</v>
      </c>
      <c r="J34" s="171" t="str">
        <f t="shared" si="0"/>
        <v>Tidak Tercapai</v>
      </c>
      <c r="K34" s="187">
        <v>6</v>
      </c>
      <c r="L34" s="187">
        <v>0</v>
      </c>
      <c r="M34" s="171" t="str">
        <f t="shared" si="1"/>
        <v>Tidak Tercapai</v>
      </c>
      <c r="N34" s="187">
        <v>0</v>
      </c>
      <c r="O34" s="167">
        <v>860</v>
      </c>
      <c r="P34" s="171" t="str">
        <f t="shared" si="2"/>
        <v>Tidak Tercapai</v>
      </c>
      <c r="Q34" s="172">
        <v>10</v>
      </c>
      <c r="R34" s="167">
        <v>901</v>
      </c>
      <c r="S34" s="173" t="str">
        <f t="shared" si="3"/>
        <v>Tidak Tercapai</v>
      </c>
      <c r="T34" s="172">
        <v>21</v>
      </c>
      <c r="U34" s="174">
        <v>1012</v>
      </c>
      <c r="V34" s="173" t="str">
        <f t="shared" si="4"/>
        <v>Tercapai</v>
      </c>
      <c r="W34" s="175">
        <v>20</v>
      </c>
      <c r="X34" s="188">
        <v>996</v>
      </c>
      <c r="Y34" s="176" t="str">
        <f t="shared" si="5"/>
        <v>Tidak Tercapai</v>
      </c>
      <c r="Z34" s="177">
        <v>17</v>
      </c>
      <c r="AA34" s="178">
        <v>1202</v>
      </c>
      <c r="AB34" s="179" t="str">
        <f t="shared" si="6"/>
        <v>Tidak Tercapai</v>
      </c>
      <c r="AC34" s="178">
        <v>17</v>
      </c>
      <c r="AD34" s="184">
        <v>51</v>
      </c>
      <c r="AE34" s="179" t="str">
        <f t="shared" si="7"/>
        <v>Tidak Tercapai</v>
      </c>
      <c r="AF34" s="178">
        <v>8</v>
      </c>
      <c r="AG34" s="178">
        <v>0</v>
      </c>
      <c r="AH34" s="179" t="str">
        <f t="shared" si="8"/>
        <v>Tidak Tercapai</v>
      </c>
      <c r="AI34" s="178">
        <v>3</v>
      </c>
      <c r="AJ34" s="184">
        <v>1239</v>
      </c>
      <c r="AK34" s="179" t="str">
        <f t="shared" si="9"/>
        <v>Tidak Tercapai</v>
      </c>
      <c r="AL34" s="184">
        <v>14</v>
      </c>
      <c r="AM34" s="184">
        <v>1435</v>
      </c>
      <c r="AN34" s="179" t="str">
        <f t="shared" si="10"/>
        <v>Tidak Tercapai</v>
      </c>
      <c r="AO34" s="184">
        <v>22</v>
      </c>
      <c r="AP34" s="178">
        <v>1237</v>
      </c>
      <c r="AQ34" s="179" t="str">
        <f t="shared" si="11"/>
        <v>Tidak Tercapai</v>
      </c>
      <c r="AR34" s="178">
        <v>5</v>
      </c>
      <c r="AS34" s="178">
        <v>1141</v>
      </c>
      <c r="AT34" s="179" t="str">
        <f t="shared" si="12"/>
        <v>Tidak Tercapai</v>
      </c>
      <c r="AU34" s="178">
        <v>34</v>
      </c>
      <c r="AV34" s="170">
        <v>1169</v>
      </c>
      <c r="AW34" s="179" t="str">
        <f t="shared" si="13"/>
        <v>Tidak Tercapai</v>
      </c>
      <c r="AX34" s="178">
        <v>7</v>
      </c>
      <c r="AY34" s="178">
        <v>541</v>
      </c>
      <c r="AZ34" s="179" t="str">
        <f t="shared" si="14"/>
        <v>Tidak Tercapai</v>
      </c>
      <c r="BA34" s="178">
        <v>20</v>
      </c>
      <c r="BB34" s="183">
        <v>2</v>
      </c>
      <c r="BC34" s="179" t="str">
        <f t="shared" si="15"/>
        <v>Tidak Tercapai</v>
      </c>
      <c r="BD34" s="178">
        <v>0</v>
      </c>
      <c r="BE34" s="184">
        <v>628</v>
      </c>
      <c r="BF34" s="179" t="str">
        <f t="shared" si="16"/>
        <v>Tidak Tercapai</v>
      </c>
      <c r="BG34" s="170">
        <v>11</v>
      </c>
      <c r="BH34" s="184">
        <v>1038</v>
      </c>
      <c r="BI34" s="179" t="str">
        <f t="shared" si="17"/>
        <v>Tidak Tercapai</v>
      </c>
      <c r="BJ34" s="184">
        <v>12</v>
      </c>
      <c r="BK34" s="184">
        <v>981</v>
      </c>
      <c r="BL34" s="179" t="str">
        <f t="shared" si="18"/>
        <v>Tidak Tercapai</v>
      </c>
      <c r="BM34" s="184">
        <v>59</v>
      </c>
      <c r="BN34" s="184">
        <v>667</v>
      </c>
      <c r="BO34" s="179" t="str">
        <f t="shared" si="19"/>
        <v>Tidak Tercapai</v>
      </c>
      <c r="BP34" s="184">
        <v>13</v>
      </c>
      <c r="BQ34" s="184">
        <v>554</v>
      </c>
      <c r="BR34" s="179" t="str">
        <f t="shared" si="20"/>
        <v>Tidak Tercapai</v>
      </c>
      <c r="BS34" s="184">
        <v>18</v>
      </c>
      <c r="BT34" s="184">
        <v>742</v>
      </c>
      <c r="BU34" s="179" t="str">
        <f t="shared" si="21"/>
        <v>Tidak Tercapai</v>
      </c>
      <c r="BV34" s="185">
        <v>29.971</v>
      </c>
      <c r="BW34" s="184">
        <v>0</v>
      </c>
      <c r="BX34" s="179" t="str">
        <f t="shared" si="22"/>
        <v>Tidak Tercapai</v>
      </c>
      <c r="BY34" s="184">
        <v>1</v>
      </c>
      <c r="BZ34" s="184">
        <v>977</v>
      </c>
      <c r="CA34" s="179" t="str">
        <f t="shared" si="23"/>
        <v>Tidak Tercapai</v>
      </c>
      <c r="CB34" s="184">
        <v>869</v>
      </c>
      <c r="CC34" s="184">
        <v>1685</v>
      </c>
      <c r="CD34" s="179" t="str">
        <f t="shared" si="24"/>
        <v>Tercapai</v>
      </c>
      <c r="CE34" s="184">
        <v>21</v>
      </c>
      <c r="CF34" s="184">
        <v>1575</v>
      </c>
      <c r="CG34" s="179" t="str">
        <f t="shared" si="25"/>
        <v>Tercapai</v>
      </c>
      <c r="CH34" s="184">
        <v>4</v>
      </c>
      <c r="CI34" s="184">
        <v>2592</v>
      </c>
      <c r="CJ34" s="179" t="str">
        <f t="shared" si="26"/>
        <v>Tercapai</v>
      </c>
      <c r="CK34" s="184">
        <v>22</v>
      </c>
      <c r="CL34" s="184">
        <v>659</v>
      </c>
      <c r="CM34" s="179" t="str">
        <f t="shared" si="27"/>
        <v>Tidak Tercapai</v>
      </c>
      <c r="CN34" s="184">
        <v>9</v>
      </c>
      <c r="CO34" s="184">
        <v>59</v>
      </c>
      <c r="CP34" s="179" t="str">
        <f t="shared" si="28"/>
        <v>Tidak Tercapai</v>
      </c>
      <c r="CQ34" s="184">
        <v>2</v>
      </c>
      <c r="CR34" s="184">
        <v>5</v>
      </c>
      <c r="CS34" s="179" t="str">
        <f t="shared" si="29"/>
        <v>Tidak Tercapai</v>
      </c>
      <c r="CT34" s="184">
        <v>0</v>
      </c>
      <c r="CU34" s="184">
        <v>1215</v>
      </c>
      <c r="CV34" s="179" t="str">
        <f t="shared" si="30"/>
        <v>Tidak Tercapai</v>
      </c>
      <c r="CW34" s="184">
        <v>13</v>
      </c>
      <c r="CX34" s="184">
        <v>6319</v>
      </c>
      <c r="CY34" s="179" t="str">
        <f t="shared" si="31"/>
        <v>Tercapai</v>
      </c>
      <c r="CZ34" s="184">
        <v>59</v>
      </c>
      <c r="DA34" s="184">
        <v>1951</v>
      </c>
      <c r="DB34" s="179" t="str">
        <f t="shared" si="32"/>
        <v>Tercapai</v>
      </c>
      <c r="DC34" s="184">
        <v>11</v>
      </c>
      <c r="DD34" s="184">
        <v>2427</v>
      </c>
      <c r="DE34" s="179" t="str">
        <f t="shared" si="33"/>
        <v>Tercapai</v>
      </c>
      <c r="DF34" s="184">
        <v>17</v>
      </c>
      <c r="DG34" s="184">
        <v>1442</v>
      </c>
      <c r="DH34" s="179" t="str">
        <f t="shared" si="34"/>
        <v>Tidak Tercapai</v>
      </c>
      <c r="DI34" s="184">
        <v>29</v>
      </c>
      <c r="DJ34" s="184">
        <v>1648</v>
      </c>
      <c r="DK34" s="179" t="str">
        <f t="shared" si="35"/>
        <v>Tercapai</v>
      </c>
      <c r="DL34" s="184">
        <v>14</v>
      </c>
      <c r="DM34" s="184">
        <v>586</v>
      </c>
      <c r="DN34" s="179" t="str">
        <f t="shared" si="36"/>
        <v>Tidak Tercapai</v>
      </c>
      <c r="DO34" s="184">
        <v>3</v>
      </c>
      <c r="DP34" s="184">
        <v>1108</v>
      </c>
      <c r="DQ34" s="179" t="str">
        <f t="shared" si="37"/>
        <v>Tidak Tercapai</v>
      </c>
      <c r="DR34" s="184">
        <v>586</v>
      </c>
      <c r="DS34" s="184">
        <v>0</v>
      </c>
      <c r="DT34" s="179" t="str">
        <f t="shared" si="38"/>
        <v>Tidak Tercapai</v>
      </c>
      <c r="DU34" s="184">
        <v>0</v>
      </c>
      <c r="DV34" s="184">
        <v>918</v>
      </c>
      <c r="DW34" s="179" t="str">
        <f t="shared" si="39"/>
        <v>Tidak Tercapai</v>
      </c>
      <c r="DX34" s="184">
        <v>1557</v>
      </c>
      <c r="DY34" s="184">
        <v>1400</v>
      </c>
      <c r="DZ34" s="179" t="str">
        <f t="shared" si="40"/>
        <v>Tidak Tercapai</v>
      </c>
      <c r="EA34" s="184">
        <v>840</v>
      </c>
      <c r="EB34" s="184">
        <v>1339</v>
      </c>
      <c r="EC34" s="179" t="str">
        <f t="shared" si="41"/>
        <v>Tidak Tercapai</v>
      </c>
      <c r="ED34" s="184">
        <v>952</v>
      </c>
      <c r="EE34" s="184">
        <v>949</v>
      </c>
      <c r="EF34" s="179" t="str">
        <f t="shared" si="42"/>
        <v>Tidak Tercapai</v>
      </c>
      <c r="EG34" s="184">
        <v>639</v>
      </c>
      <c r="EH34" s="184">
        <v>231</v>
      </c>
      <c r="EI34" s="179" t="str">
        <f t="shared" si="43"/>
        <v>Tidak Tercapai</v>
      </c>
      <c r="EJ34" s="184">
        <v>6</v>
      </c>
      <c r="EK34" s="184">
        <v>766</v>
      </c>
      <c r="EL34" s="179" t="str">
        <f t="shared" si="44"/>
        <v>Tidak Tercapai</v>
      </c>
      <c r="EM34" s="184">
        <v>1440</v>
      </c>
      <c r="EN34" s="184">
        <v>954</v>
      </c>
      <c r="EO34" s="179" t="str">
        <f t="shared" si="45"/>
        <v>Tidak Tercapai</v>
      </c>
      <c r="EP34" s="184">
        <v>1797</v>
      </c>
      <c r="EQ34" s="184">
        <v>831</v>
      </c>
      <c r="ER34" s="179" t="str">
        <f t="shared" si="46"/>
        <v>Tidak Tercapai</v>
      </c>
      <c r="ES34" s="178">
        <v>1659</v>
      </c>
      <c r="ET34" s="184">
        <v>894</v>
      </c>
      <c r="EU34" s="179" t="str">
        <f t="shared" si="47"/>
        <v>Tidak Tercapai</v>
      </c>
      <c r="EV34" s="184">
        <v>1771</v>
      </c>
      <c r="EW34" s="184">
        <v>660</v>
      </c>
      <c r="EX34" s="179" t="str">
        <f t="shared" si="48"/>
        <v>Tidak Tercapai</v>
      </c>
      <c r="EY34" s="184">
        <v>930</v>
      </c>
      <c r="EZ34" s="184">
        <v>270</v>
      </c>
      <c r="FA34" s="179" t="str">
        <f t="shared" si="49"/>
        <v>Tidak Tercapai</v>
      </c>
      <c r="FB34" s="184">
        <v>1129</v>
      </c>
      <c r="FC34" s="184">
        <v>254</v>
      </c>
      <c r="FD34" s="179" t="str">
        <f t="shared" si="50"/>
        <v>Tidak Tercapai</v>
      </c>
      <c r="FE34" s="184">
        <v>13</v>
      </c>
      <c r="FF34" s="184">
        <v>1038</v>
      </c>
      <c r="FG34" s="179" t="str">
        <f t="shared" si="51"/>
        <v>Tidak Tercapai</v>
      </c>
      <c r="FH34" s="184">
        <v>1747</v>
      </c>
      <c r="FI34" s="184">
        <v>761</v>
      </c>
      <c r="FJ34" s="179" t="str">
        <f t="shared" si="52"/>
        <v>Tidak Tercapai</v>
      </c>
      <c r="FK34" s="184">
        <v>1809</v>
      </c>
      <c r="FL34" s="186">
        <v>0</v>
      </c>
      <c r="FM34" s="179" t="str">
        <f t="shared" si="53"/>
        <v>Tidak Tercapai</v>
      </c>
      <c r="FN34" s="184">
        <v>1701</v>
      </c>
      <c r="FO34" s="184">
        <v>377</v>
      </c>
      <c r="FP34" s="179" t="str">
        <f t="shared" si="54"/>
        <v>Tidak Tercapai</v>
      </c>
      <c r="FQ34" s="184">
        <v>318</v>
      </c>
      <c r="FR34" s="184">
        <v>406</v>
      </c>
      <c r="FS34" s="179" t="str">
        <f t="shared" si="55"/>
        <v>Tidak Tercapai</v>
      </c>
      <c r="FT34" s="184">
        <v>1123</v>
      </c>
      <c r="FU34" s="184">
        <v>2041</v>
      </c>
      <c r="FV34" s="179" t="str">
        <f t="shared" si="56"/>
        <v>Tercapai</v>
      </c>
      <c r="FW34" s="184">
        <v>4988</v>
      </c>
      <c r="FX34" s="184">
        <v>498</v>
      </c>
      <c r="FY34" s="179" t="str">
        <f t="shared" si="57"/>
        <v>Tidak Tercapai</v>
      </c>
      <c r="FZ34" s="184">
        <v>504</v>
      </c>
      <c r="GA34" s="184">
        <v>512</v>
      </c>
      <c r="GB34" s="179" t="str">
        <f t="shared" si="58"/>
        <v>Tidak Tercapai</v>
      </c>
      <c r="GC34" s="184">
        <v>2023</v>
      </c>
      <c r="GD34" s="184">
        <v>480</v>
      </c>
      <c r="GE34" s="179" t="str">
        <f t="shared" si="59"/>
        <v>Tidak Tercapai</v>
      </c>
      <c r="GF34" s="184">
        <v>1685</v>
      </c>
      <c r="GG34" s="184">
        <v>135</v>
      </c>
      <c r="GH34" s="179" t="str">
        <f t="shared" si="60"/>
        <v>Tidak Tercapai</v>
      </c>
      <c r="GI34" s="184">
        <v>160</v>
      </c>
      <c r="GJ34" s="184">
        <v>882</v>
      </c>
      <c r="GK34" s="179" t="str">
        <f t="shared" si="61"/>
        <v>Tidak Tercapai</v>
      </c>
      <c r="GL34" s="184">
        <v>2667</v>
      </c>
      <c r="GM34" s="184">
        <v>583</v>
      </c>
      <c r="GN34" s="179" t="str">
        <f t="shared" si="62"/>
        <v>Tidak Tercapai</v>
      </c>
      <c r="GO34" s="184">
        <v>1696</v>
      </c>
      <c r="GP34" s="184">
        <v>701</v>
      </c>
      <c r="GQ34" s="179" t="str">
        <f t="shared" si="63"/>
        <v>Tidak Tercapai</v>
      </c>
      <c r="GR34" s="184">
        <v>1790</v>
      </c>
      <c r="GS34" s="184">
        <v>843</v>
      </c>
      <c r="GT34" s="179" t="str">
        <f t="shared" si="64"/>
        <v>Tidak Tercapai</v>
      </c>
      <c r="GU34" s="184">
        <v>342</v>
      </c>
      <c r="GV34" s="184">
        <v>447</v>
      </c>
      <c r="GW34" s="179" t="str">
        <f t="shared" si="65"/>
        <v>Tidak Tercapai</v>
      </c>
      <c r="GX34" s="184">
        <v>1391</v>
      </c>
      <c r="GY34" s="184">
        <v>101</v>
      </c>
      <c r="GZ34" s="179" t="str">
        <f t="shared" si="66"/>
        <v>Tidak Tercapai</v>
      </c>
      <c r="HA34" s="184">
        <v>72</v>
      </c>
      <c r="HB34" s="184">
        <v>572</v>
      </c>
      <c r="HC34" s="179" t="str">
        <f t="shared" si="67"/>
        <v>Tidak Tercapai</v>
      </c>
      <c r="HD34" s="184">
        <v>1425</v>
      </c>
      <c r="HE34" s="184">
        <v>660</v>
      </c>
      <c r="HF34" s="179" t="str">
        <f t="shared" si="68"/>
        <v>Tidak Tercapai</v>
      </c>
      <c r="HG34" s="184">
        <v>1358</v>
      </c>
      <c r="HH34" s="184">
        <v>366</v>
      </c>
      <c r="HI34" s="179" t="str">
        <f t="shared" si="69"/>
        <v>Tidak Tercapai</v>
      </c>
      <c r="HJ34" s="184">
        <v>1163</v>
      </c>
      <c r="HK34" s="184">
        <v>884</v>
      </c>
      <c r="HL34" s="179" t="str">
        <f t="shared" si="70"/>
        <v>Tidak Tercapai</v>
      </c>
      <c r="HM34" s="184">
        <v>995</v>
      </c>
      <c r="HN34" s="184">
        <v>256</v>
      </c>
      <c r="HO34" s="179" t="str">
        <f t="shared" si="71"/>
        <v>Tidak Tercapai</v>
      </c>
      <c r="HP34" s="184">
        <v>299</v>
      </c>
      <c r="HQ34" s="184">
        <v>468</v>
      </c>
      <c r="HR34" s="179" t="str">
        <f t="shared" si="72"/>
        <v>Tidak Tercapai</v>
      </c>
      <c r="HS34" s="184">
        <v>1308</v>
      </c>
      <c r="HT34" s="184">
        <v>386</v>
      </c>
      <c r="HU34" s="179" t="str">
        <f t="shared" si="73"/>
        <v>Tidak Tercapai</v>
      </c>
      <c r="HV34" s="184">
        <v>2063</v>
      </c>
      <c r="HW34" s="184">
        <v>235</v>
      </c>
      <c r="HX34" s="179" t="str">
        <f t="shared" si="74"/>
        <v>Tidak Tercapai</v>
      </c>
      <c r="HY34" s="184">
        <v>1313</v>
      </c>
      <c r="HZ34" s="184">
        <v>197</v>
      </c>
      <c r="IA34" s="179" t="str">
        <f t="shared" si="75"/>
        <v>Tidak Tercapai</v>
      </c>
      <c r="IB34" s="184">
        <v>885</v>
      </c>
      <c r="IC34" s="184">
        <v>421</v>
      </c>
      <c r="ID34" s="179" t="str">
        <f t="shared" si="76"/>
        <v>Tidak Tercapai</v>
      </c>
      <c r="IE34" s="184">
        <v>1068</v>
      </c>
      <c r="IF34" s="184">
        <v>26</v>
      </c>
      <c r="IG34" s="179" t="str">
        <f t="shared" si="77"/>
        <v>Tidak Tercapai</v>
      </c>
      <c r="IH34" s="184">
        <v>16</v>
      </c>
      <c r="II34" s="184">
        <v>8</v>
      </c>
      <c r="IJ34" s="179" t="str">
        <f t="shared" si="78"/>
        <v>Tidak Tercapai</v>
      </c>
      <c r="IK34" s="184">
        <v>3</v>
      </c>
      <c r="IL34" s="42"/>
      <c r="IM34" s="42"/>
      <c r="IN34" s="42"/>
      <c r="IO34" s="42"/>
      <c r="IP34" s="42"/>
      <c r="IQ34" s="42"/>
      <c r="IR34" s="42"/>
      <c r="IS34" s="42"/>
      <c r="IT34" s="42"/>
      <c r="IU34" s="42"/>
      <c r="IV34" s="42"/>
    </row>
    <row r="35" spans="1:256" ht="15.6" x14ac:dyDescent="0.3">
      <c r="A35" s="167">
        <v>33</v>
      </c>
      <c r="B35" s="168" t="s">
        <v>493</v>
      </c>
      <c r="C35" s="167" t="s">
        <v>466</v>
      </c>
      <c r="D35" s="169">
        <v>129072</v>
      </c>
      <c r="E35" s="167">
        <v>1342</v>
      </c>
      <c r="F35" s="187">
        <v>114730</v>
      </c>
      <c r="G35" s="171" t="s">
        <v>457</v>
      </c>
      <c r="H35" s="187">
        <v>215545</v>
      </c>
      <c r="I35" s="187">
        <v>2296</v>
      </c>
      <c r="J35" s="171" t="str">
        <f t="shared" si="0"/>
        <v>Tercapai</v>
      </c>
      <c r="K35" s="187">
        <v>287</v>
      </c>
      <c r="L35" s="187">
        <v>6</v>
      </c>
      <c r="M35" s="171" t="str">
        <f t="shared" si="1"/>
        <v>Tidak Tercapai</v>
      </c>
      <c r="N35" s="187">
        <v>3</v>
      </c>
      <c r="O35" s="167">
        <v>9102</v>
      </c>
      <c r="P35" s="171" t="str">
        <f t="shared" si="2"/>
        <v>Tercapai</v>
      </c>
      <c r="Q35" s="172">
        <v>738</v>
      </c>
      <c r="R35" s="167">
        <v>3668</v>
      </c>
      <c r="S35" s="173" t="str">
        <f t="shared" si="3"/>
        <v>Tercapai</v>
      </c>
      <c r="T35" s="172">
        <v>282</v>
      </c>
      <c r="U35" s="174">
        <v>4142</v>
      </c>
      <c r="V35" s="173" t="str">
        <f t="shared" si="4"/>
        <v>Tercapai</v>
      </c>
      <c r="W35" s="175">
        <v>322</v>
      </c>
      <c r="X35" s="188">
        <v>5543</v>
      </c>
      <c r="Y35" s="176" t="str">
        <f t="shared" si="5"/>
        <v>Tercapai</v>
      </c>
      <c r="Z35" s="177">
        <v>268</v>
      </c>
      <c r="AA35" s="178">
        <v>5538</v>
      </c>
      <c r="AB35" s="179" t="str">
        <f t="shared" si="6"/>
        <v>Tercapai</v>
      </c>
      <c r="AC35" s="178">
        <v>493</v>
      </c>
      <c r="AD35" s="184">
        <v>2739</v>
      </c>
      <c r="AE35" s="179" t="str">
        <f t="shared" si="7"/>
        <v>Tercapai</v>
      </c>
      <c r="AF35" s="178">
        <v>67</v>
      </c>
      <c r="AG35" s="178">
        <v>1294</v>
      </c>
      <c r="AH35" s="179" t="str">
        <f t="shared" si="8"/>
        <v>Tidak Tercapai</v>
      </c>
      <c r="AI35" s="178">
        <v>7</v>
      </c>
      <c r="AJ35" s="184">
        <v>5594</v>
      </c>
      <c r="AK35" s="179" t="str">
        <f t="shared" si="9"/>
        <v>Tercapai</v>
      </c>
      <c r="AL35" s="184">
        <v>287</v>
      </c>
      <c r="AM35" s="184">
        <v>5847</v>
      </c>
      <c r="AN35" s="179" t="str">
        <f t="shared" si="10"/>
        <v>Tercapai</v>
      </c>
      <c r="AO35" s="184">
        <v>344</v>
      </c>
      <c r="AP35" s="178">
        <v>6855</v>
      </c>
      <c r="AQ35" s="179" t="str">
        <f t="shared" si="11"/>
        <v>Tercapai</v>
      </c>
      <c r="AR35" s="178">
        <v>284</v>
      </c>
      <c r="AS35" s="178">
        <v>9679</v>
      </c>
      <c r="AT35" s="179" t="str">
        <f t="shared" si="12"/>
        <v>Tercapai</v>
      </c>
      <c r="AU35" s="178">
        <v>34</v>
      </c>
      <c r="AV35" s="170">
        <v>7222</v>
      </c>
      <c r="AW35" s="179" t="str">
        <f t="shared" si="13"/>
        <v>Tercapai</v>
      </c>
      <c r="AX35" s="178">
        <v>241</v>
      </c>
      <c r="AY35" s="178">
        <v>8250</v>
      </c>
      <c r="AZ35" s="179" t="str">
        <f t="shared" si="14"/>
        <v>Tercapai</v>
      </c>
      <c r="BA35" s="178">
        <v>294</v>
      </c>
      <c r="BB35" s="183">
        <v>730</v>
      </c>
      <c r="BC35" s="179" t="str">
        <f t="shared" si="15"/>
        <v>Tidak Tercapai</v>
      </c>
      <c r="BD35" s="178">
        <v>32</v>
      </c>
      <c r="BE35" s="184">
        <v>4074</v>
      </c>
      <c r="BF35" s="179" t="str">
        <f t="shared" si="16"/>
        <v>Tercapai</v>
      </c>
      <c r="BG35" s="170">
        <v>1338</v>
      </c>
      <c r="BH35" s="184">
        <v>7230</v>
      </c>
      <c r="BI35" s="179" t="str">
        <f t="shared" si="17"/>
        <v>Tercapai</v>
      </c>
      <c r="BJ35" s="184">
        <v>235</v>
      </c>
      <c r="BK35" s="184">
        <v>7685</v>
      </c>
      <c r="BL35" s="179" t="str">
        <f t="shared" si="18"/>
        <v>Tercapai</v>
      </c>
      <c r="BM35" s="184">
        <v>252</v>
      </c>
      <c r="BN35" s="184">
        <v>7243</v>
      </c>
      <c r="BO35" s="179" t="str">
        <f t="shared" si="19"/>
        <v>Tercapai</v>
      </c>
      <c r="BP35" s="184">
        <v>303</v>
      </c>
      <c r="BQ35" s="184">
        <v>4573</v>
      </c>
      <c r="BR35" s="179" t="str">
        <f t="shared" si="20"/>
        <v>Tercapai</v>
      </c>
      <c r="BS35" s="184">
        <v>240</v>
      </c>
      <c r="BT35" s="184">
        <v>7939</v>
      </c>
      <c r="BU35" s="179" t="str">
        <f t="shared" si="21"/>
        <v>Tercapai</v>
      </c>
      <c r="BV35" s="185">
        <v>220.952</v>
      </c>
      <c r="BW35" s="184">
        <v>1612</v>
      </c>
      <c r="BX35" s="179" t="str">
        <f t="shared" si="22"/>
        <v>Tercapai</v>
      </c>
      <c r="BY35" s="184">
        <v>60</v>
      </c>
      <c r="BZ35" s="184">
        <v>7022</v>
      </c>
      <c r="CA35" s="179" t="str">
        <f t="shared" si="23"/>
        <v>Tercapai</v>
      </c>
      <c r="CB35" s="184">
        <v>17855</v>
      </c>
      <c r="CC35" s="184">
        <v>12653</v>
      </c>
      <c r="CD35" s="179" t="str">
        <f t="shared" si="24"/>
        <v>Tercapai</v>
      </c>
      <c r="CE35" s="184">
        <v>704</v>
      </c>
      <c r="CF35" s="184">
        <v>9627</v>
      </c>
      <c r="CG35" s="179" t="str">
        <f t="shared" si="25"/>
        <v>Tercapai</v>
      </c>
      <c r="CH35" s="184">
        <v>372</v>
      </c>
      <c r="CI35" s="184">
        <v>16664</v>
      </c>
      <c r="CJ35" s="179" t="str">
        <f t="shared" si="26"/>
        <v>Tercapai</v>
      </c>
      <c r="CK35" s="184">
        <v>785</v>
      </c>
      <c r="CL35" s="184">
        <v>6176</v>
      </c>
      <c r="CM35" s="179" t="str">
        <f t="shared" si="27"/>
        <v>Tercapai</v>
      </c>
      <c r="CN35" s="184">
        <v>193</v>
      </c>
      <c r="CO35" s="184">
        <v>89</v>
      </c>
      <c r="CP35" s="179" t="str">
        <f t="shared" si="28"/>
        <v>Tidak Tercapai</v>
      </c>
      <c r="CQ35" s="184">
        <v>6</v>
      </c>
      <c r="CR35" s="184">
        <v>1198</v>
      </c>
      <c r="CS35" s="179" t="str">
        <f t="shared" si="29"/>
        <v>Tidak Tercapai</v>
      </c>
      <c r="CT35" s="184">
        <v>0</v>
      </c>
      <c r="CU35" s="184">
        <v>13258</v>
      </c>
      <c r="CV35" s="179" t="str">
        <f t="shared" si="30"/>
        <v>Tercapai</v>
      </c>
      <c r="CW35" s="184">
        <v>76</v>
      </c>
      <c r="CX35" s="184">
        <v>26282</v>
      </c>
      <c r="CY35" s="179" t="str">
        <f t="shared" si="31"/>
        <v>Tercapai</v>
      </c>
      <c r="CZ35" s="184">
        <v>2016</v>
      </c>
      <c r="DA35" s="184">
        <v>13618</v>
      </c>
      <c r="DB35" s="179" t="str">
        <f t="shared" si="32"/>
        <v>Tercapai</v>
      </c>
      <c r="DC35" s="184">
        <v>583</v>
      </c>
      <c r="DD35" s="184">
        <v>15292</v>
      </c>
      <c r="DE35" s="179" t="str">
        <f t="shared" si="33"/>
        <v>Tercapai</v>
      </c>
      <c r="DF35" s="184">
        <v>470</v>
      </c>
      <c r="DG35" s="184">
        <v>18829</v>
      </c>
      <c r="DH35" s="179" t="str">
        <f t="shared" si="34"/>
        <v>Tercapai</v>
      </c>
      <c r="DI35" s="184">
        <v>361</v>
      </c>
      <c r="DJ35" s="184">
        <v>14115</v>
      </c>
      <c r="DK35" s="179" t="str">
        <f t="shared" si="35"/>
        <v>Tercapai</v>
      </c>
      <c r="DL35" s="184">
        <v>789</v>
      </c>
      <c r="DM35" s="184">
        <v>3880</v>
      </c>
      <c r="DN35" s="179" t="str">
        <f t="shared" si="36"/>
        <v>Tercapai</v>
      </c>
      <c r="DO35" s="184">
        <v>626</v>
      </c>
      <c r="DP35" s="184">
        <v>14568</v>
      </c>
      <c r="DQ35" s="179" t="str">
        <f t="shared" si="37"/>
        <v>Tercapai</v>
      </c>
      <c r="DR35" s="184">
        <v>685</v>
      </c>
      <c r="DS35" s="184">
        <v>1267</v>
      </c>
      <c r="DT35" s="179" t="str">
        <f t="shared" si="38"/>
        <v>Tidak Tercapai</v>
      </c>
      <c r="DU35" s="184">
        <v>53</v>
      </c>
      <c r="DV35" s="184">
        <v>12825</v>
      </c>
      <c r="DW35" s="179" t="str">
        <f t="shared" si="39"/>
        <v>Tercapai</v>
      </c>
      <c r="DX35" s="184">
        <v>2697</v>
      </c>
      <c r="DY35" s="184">
        <v>16336</v>
      </c>
      <c r="DZ35" s="179" t="str">
        <f t="shared" si="40"/>
        <v>Tercapai</v>
      </c>
      <c r="EA35" s="184">
        <v>4675</v>
      </c>
      <c r="EB35" s="184">
        <v>14873</v>
      </c>
      <c r="EC35" s="179" t="str">
        <f t="shared" si="41"/>
        <v>Tercapai</v>
      </c>
      <c r="ED35" s="184">
        <v>5107</v>
      </c>
      <c r="EE35" s="184">
        <v>12924</v>
      </c>
      <c r="EF35" s="179" t="str">
        <f t="shared" si="42"/>
        <v>Tercapai</v>
      </c>
      <c r="EG35" s="184">
        <v>8359</v>
      </c>
      <c r="EH35" s="184">
        <v>7762</v>
      </c>
      <c r="EI35" s="179" t="str">
        <f t="shared" si="43"/>
        <v>Tercapai</v>
      </c>
      <c r="EJ35" s="184">
        <v>6987</v>
      </c>
      <c r="EK35" s="184">
        <v>12800</v>
      </c>
      <c r="EL35" s="179" t="str">
        <f t="shared" si="44"/>
        <v>Tercapai</v>
      </c>
      <c r="EM35" s="184">
        <v>6742</v>
      </c>
      <c r="EN35" s="184">
        <v>13803</v>
      </c>
      <c r="EO35" s="179" t="str">
        <f t="shared" si="45"/>
        <v>Tercapai</v>
      </c>
      <c r="EP35" s="184">
        <v>4947</v>
      </c>
      <c r="EQ35" s="184">
        <v>14057</v>
      </c>
      <c r="ER35" s="179" t="str">
        <f t="shared" si="46"/>
        <v>Tercapai</v>
      </c>
      <c r="ES35" s="178">
        <v>7121</v>
      </c>
      <c r="ET35" s="184">
        <v>19069</v>
      </c>
      <c r="EU35" s="179" t="str">
        <f t="shared" si="47"/>
        <v>Tercapai</v>
      </c>
      <c r="EV35" s="184">
        <v>9102</v>
      </c>
      <c r="EW35" s="184">
        <v>13517</v>
      </c>
      <c r="EX35" s="179" t="str">
        <f t="shared" si="48"/>
        <v>Tercapai</v>
      </c>
      <c r="EY35" s="184">
        <v>8321</v>
      </c>
      <c r="EZ35" s="184">
        <v>30147</v>
      </c>
      <c r="FA35" s="179" t="str">
        <f t="shared" si="49"/>
        <v>Tercapai</v>
      </c>
      <c r="FB35" s="184">
        <v>5414</v>
      </c>
      <c r="FC35" s="184">
        <v>17645</v>
      </c>
      <c r="FD35" s="179" t="str">
        <f t="shared" si="50"/>
        <v>Tercapai</v>
      </c>
      <c r="FE35" s="184">
        <v>3981</v>
      </c>
      <c r="FF35" s="184">
        <v>23143</v>
      </c>
      <c r="FG35" s="179" t="str">
        <f t="shared" si="51"/>
        <v>Tercapai</v>
      </c>
      <c r="FH35" s="184">
        <v>9372</v>
      </c>
      <c r="FI35" s="184">
        <v>23897</v>
      </c>
      <c r="FJ35" s="179" t="str">
        <f t="shared" si="52"/>
        <v>Tercapai</v>
      </c>
      <c r="FK35" s="184">
        <v>10685</v>
      </c>
      <c r="FL35" s="186">
        <v>3785</v>
      </c>
      <c r="FM35" s="179" t="str">
        <f t="shared" si="53"/>
        <v>Tercapai</v>
      </c>
      <c r="FN35" s="184">
        <v>6107</v>
      </c>
      <c r="FO35" s="184">
        <v>23138</v>
      </c>
      <c r="FP35" s="179" t="str">
        <f t="shared" si="54"/>
        <v>Tercapai</v>
      </c>
      <c r="FQ35" s="184">
        <v>2002</v>
      </c>
      <c r="FR35" s="184">
        <v>25334</v>
      </c>
      <c r="FS35" s="179" t="str">
        <f t="shared" si="55"/>
        <v>Tercapai</v>
      </c>
      <c r="FT35" s="184">
        <v>5457</v>
      </c>
      <c r="FU35" s="184">
        <v>52526</v>
      </c>
      <c r="FV35" s="179" t="str">
        <f t="shared" si="56"/>
        <v>Tercapai</v>
      </c>
      <c r="FW35" s="184">
        <v>31494</v>
      </c>
      <c r="FX35" s="184">
        <v>30498</v>
      </c>
      <c r="FY35" s="179" t="str">
        <f t="shared" si="57"/>
        <v>Tercapai</v>
      </c>
      <c r="FZ35" s="184">
        <v>10963</v>
      </c>
      <c r="GA35" s="184">
        <v>30775</v>
      </c>
      <c r="GB35" s="179" t="str">
        <f t="shared" si="58"/>
        <v>Tercapai</v>
      </c>
      <c r="GC35" s="184">
        <v>13580</v>
      </c>
      <c r="GD35" s="184">
        <v>27098</v>
      </c>
      <c r="GE35" s="179" t="str">
        <f t="shared" si="59"/>
        <v>Tercapai</v>
      </c>
      <c r="GF35" s="184">
        <v>10179</v>
      </c>
      <c r="GG35" s="184">
        <v>13837</v>
      </c>
      <c r="GH35" s="179" t="str">
        <f t="shared" si="60"/>
        <v>Tercapai</v>
      </c>
      <c r="GI35" s="184">
        <v>5202</v>
      </c>
      <c r="GJ35" s="184">
        <v>10874</v>
      </c>
      <c r="GK35" s="179" t="str">
        <f t="shared" si="61"/>
        <v>Tercapai</v>
      </c>
      <c r="GL35" s="184">
        <v>9515</v>
      </c>
      <c r="GM35" s="184">
        <v>11679</v>
      </c>
      <c r="GN35" s="179" t="str">
        <f t="shared" si="62"/>
        <v>Tercapai</v>
      </c>
      <c r="GO35" s="184">
        <v>10070</v>
      </c>
      <c r="GP35" s="184">
        <v>9442</v>
      </c>
      <c r="GQ35" s="179" t="str">
        <f t="shared" si="63"/>
        <v>Tercapai</v>
      </c>
      <c r="GR35" s="184">
        <v>6842</v>
      </c>
      <c r="GS35" s="184">
        <v>8323</v>
      </c>
      <c r="GT35" s="179" t="str">
        <f t="shared" si="64"/>
        <v>Tercapai</v>
      </c>
      <c r="GU35" s="184">
        <v>2610</v>
      </c>
      <c r="GV35" s="184">
        <v>11031</v>
      </c>
      <c r="GW35" s="179" t="str">
        <f t="shared" si="65"/>
        <v>Tercapai</v>
      </c>
      <c r="GX35" s="184">
        <v>6729</v>
      </c>
      <c r="GY35" s="184">
        <v>7211</v>
      </c>
      <c r="GZ35" s="179" t="str">
        <f t="shared" si="66"/>
        <v>Tercapai</v>
      </c>
      <c r="HA35" s="184">
        <v>1111</v>
      </c>
      <c r="HB35" s="184">
        <v>5369</v>
      </c>
      <c r="HC35" s="179" t="str">
        <f t="shared" si="67"/>
        <v>Tercapai</v>
      </c>
      <c r="HD35" s="184">
        <v>7175</v>
      </c>
      <c r="HE35" s="184">
        <v>3624</v>
      </c>
      <c r="HF35" s="179" t="str">
        <f t="shared" si="68"/>
        <v>Tercapai</v>
      </c>
      <c r="HG35" s="184">
        <v>6879</v>
      </c>
      <c r="HH35" s="184">
        <v>3007</v>
      </c>
      <c r="HI35" s="179" t="str">
        <f t="shared" si="69"/>
        <v>Tercapai</v>
      </c>
      <c r="HJ35" s="184">
        <v>6061</v>
      </c>
      <c r="HK35" s="184">
        <v>4178</v>
      </c>
      <c r="HL35" s="179" t="str">
        <f t="shared" si="70"/>
        <v>Tercapai</v>
      </c>
      <c r="HM35" s="184">
        <v>6857</v>
      </c>
      <c r="HN35" s="184">
        <v>2197</v>
      </c>
      <c r="HO35" s="179" t="str">
        <f t="shared" si="71"/>
        <v>Tercapai</v>
      </c>
      <c r="HP35" s="184">
        <v>4373</v>
      </c>
      <c r="HQ35" s="184">
        <v>5504</v>
      </c>
      <c r="HR35" s="179" t="str">
        <f t="shared" si="72"/>
        <v>Tercapai</v>
      </c>
      <c r="HS35" s="184">
        <v>7410</v>
      </c>
      <c r="HT35" s="184">
        <v>6730</v>
      </c>
      <c r="HU35" s="179" t="str">
        <f t="shared" si="73"/>
        <v>Tercapai</v>
      </c>
      <c r="HV35" s="184">
        <v>7434</v>
      </c>
      <c r="HW35" s="184">
        <v>6705</v>
      </c>
      <c r="HX35" s="179" t="str">
        <f t="shared" si="74"/>
        <v>Tercapai</v>
      </c>
      <c r="HY35" s="184">
        <v>6530</v>
      </c>
      <c r="HZ35" s="184">
        <v>5822</v>
      </c>
      <c r="IA35" s="179" t="str">
        <f t="shared" si="75"/>
        <v>Tercapai</v>
      </c>
      <c r="IB35" s="184">
        <v>6061</v>
      </c>
      <c r="IC35" s="184">
        <v>8224</v>
      </c>
      <c r="ID35" s="179" t="str">
        <f t="shared" si="76"/>
        <v>Tercapai</v>
      </c>
      <c r="IE35" s="184">
        <v>16007</v>
      </c>
      <c r="IF35" s="184">
        <v>1620</v>
      </c>
      <c r="IG35" s="179" t="str">
        <f t="shared" si="77"/>
        <v>Tercapai</v>
      </c>
      <c r="IH35" s="184">
        <v>4988</v>
      </c>
      <c r="II35" s="184">
        <v>148</v>
      </c>
      <c r="IJ35" s="179" t="str">
        <f t="shared" si="78"/>
        <v>Tidak Tercapai</v>
      </c>
      <c r="IK35" s="184">
        <v>29</v>
      </c>
      <c r="IL35" s="42"/>
      <c r="IM35" s="42"/>
      <c r="IN35" s="42"/>
      <c r="IO35" s="42"/>
      <c r="IP35" s="42"/>
      <c r="IQ35" s="42"/>
      <c r="IR35" s="42"/>
      <c r="IS35" s="42"/>
      <c r="IT35" s="42"/>
      <c r="IU35" s="42"/>
      <c r="IV35" s="42"/>
    </row>
    <row r="36" spans="1:256" ht="15.6" x14ac:dyDescent="0.3">
      <c r="A36" s="167">
        <v>34</v>
      </c>
      <c r="B36" s="168" t="s">
        <v>494</v>
      </c>
      <c r="C36" s="167" t="s">
        <v>459</v>
      </c>
      <c r="D36" s="169">
        <v>107037</v>
      </c>
      <c r="E36" s="167">
        <v>1149</v>
      </c>
      <c r="F36" s="187">
        <v>25199</v>
      </c>
      <c r="G36" s="171" t="s">
        <v>457</v>
      </c>
      <c r="H36" s="187">
        <v>16819</v>
      </c>
      <c r="I36" s="187">
        <v>0</v>
      </c>
      <c r="J36" s="171" t="str">
        <f t="shared" si="0"/>
        <v>Tidak Tercapai</v>
      </c>
      <c r="K36" s="187">
        <v>0</v>
      </c>
      <c r="L36" s="187">
        <v>0</v>
      </c>
      <c r="M36" s="171" t="str">
        <f t="shared" si="1"/>
        <v>Tidak Tercapai</v>
      </c>
      <c r="N36" s="187">
        <v>0</v>
      </c>
      <c r="O36" s="167">
        <v>1174</v>
      </c>
      <c r="P36" s="171" t="str">
        <f t="shared" si="2"/>
        <v>Tercapai</v>
      </c>
      <c r="Q36" s="172">
        <v>52</v>
      </c>
      <c r="R36" s="167">
        <v>1161</v>
      </c>
      <c r="S36" s="173" t="str">
        <f t="shared" si="3"/>
        <v>Tercapai</v>
      </c>
      <c r="T36" s="172">
        <v>0</v>
      </c>
      <c r="U36" s="174">
        <v>3151</v>
      </c>
      <c r="V36" s="173" t="str">
        <f t="shared" si="4"/>
        <v>Tercapai</v>
      </c>
      <c r="W36" s="175">
        <v>0</v>
      </c>
      <c r="X36" s="188">
        <v>3216</v>
      </c>
      <c r="Y36" s="176" t="str">
        <f t="shared" si="5"/>
        <v>Tercapai</v>
      </c>
      <c r="Z36" s="177">
        <v>1</v>
      </c>
      <c r="AA36" s="178">
        <v>3096</v>
      </c>
      <c r="AB36" s="179" t="str">
        <f t="shared" si="6"/>
        <v>Tercapai</v>
      </c>
      <c r="AC36" s="178">
        <v>1</v>
      </c>
      <c r="AD36" s="184">
        <v>347</v>
      </c>
      <c r="AE36" s="179" t="str">
        <f t="shared" si="7"/>
        <v>Tidak Tercapai</v>
      </c>
      <c r="AF36" s="178">
        <v>5</v>
      </c>
      <c r="AG36" s="178">
        <v>0</v>
      </c>
      <c r="AH36" s="179" t="str">
        <f t="shared" si="8"/>
        <v>Tidak Tercapai</v>
      </c>
      <c r="AI36" s="178">
        <v>1</v>
      </c>
      <c r="AJ36" s="184">
        <v>1037</v>
      </c>
      <c r="AK36" s="179" t="str">
        <f t="shared" si="9"/>
        <v>Tidak Tercapai</v>
      </c>
      <c r="AL36" s="184">
        <v>0</v>
      </c>
      <c r="AM36" s="184">
        <v>735</v>
      </c>
      <c r="AN36" s="179" t="str">
        <f t="shared" si="10"/>
        <v>Tidak Tercapai</v>
      </c>
      <c r="AO36" s="184">
        <v>2</v>
      </c>
      <c r="AP36" s="178">
        <v>1681</v>
      </c>
      <c r="AQ36" s="179" t="str">
        <f t="shared" si="11"/>
        <v>Tercapai</v>
      </c>
      <c r="AR36" s="178">
        <v>4</v>
      </c>
      <c r="AS36" s="178">
        <v>1300</v>
      </c>
      <c r="AT36" s="179" t="str">
        <f t="shared" si="12"/>
        <v>Tercapai</v>
      </c>
      <c r="AU36" s="178">
        <v>20</v>
      </c>
      <c r="AV36" s="170">
        <v>1428</v>
      </c>
      <c r="AW36" s="179" t="str">
        <f t="shared" si="13"/>
        <v>Tercapai</v>
      </c>
      <c r="AX36" s="178">
        <v>3</v>
      </c>
      <c r="AY36" s="178">
        <v>3</v>
      </c>
      <c r="AZ36" s="179" t="str">
        <f t="shared" si="14"/>
        <v>Tidak Tercapai</v>
      </c>
      <c r="BA36" s="178">
        <v>0</v>
      </c>
      <c r="BB36" s="183">
        <v>0</v>
      </c>
      <c r="BC36" s="179" t="str">
        <f t="shared" si="15"/>
        <v>Tidak Tercapai</v>
      </c>
      <c r="BD36" s="178">
        <v>0</v>
      </c>
      <c r="BE36" s="184">
        <v>1134</v>
      </c>
      <c r="BF36" s="179" t="str">
        <f t="shared" si="16"/>
        <v>Tidak Tercapai</v>
      </c>
      <c r="BG36" s="170">
        <v>10</v>
      </c>
      <c r="BH36" s="184">
        <v>1039</v>
      </c>
      <c r="BI36" s="179" t="str">
        <f t="shared" si="17"/>
        <v>Tidak Tercapai</v>
      </c>
      <c r="BJ36" s="184">
        <v>3</v>
      </c>
      <c r="BK36" s="184">
        <v>1544</v>
      </c>
      <c r="BL36" s="179" t="str">
        <f t="shared" si="18"/>
        <v>Tercapai</v>
      </c>
      <c r="BM36" s="184">
        <v>22</v>
      </c>
      <c r="BN36" s="184">
        <v>1986</v>
      </c>
      <c r="BO36" s="179" t="str">
        <f t="shared" si="19"/>
        <v>Tercapai</v>
      </c>
      <c r="BP36" s="184">
        <v>5</v>
      </c>
      <c r="BQ36" s="184">
        <v>1307</v>
      </c>
      <c r="BR36" s="179" t="str">
        <f t="shared" si="20"/>
        <v>Tercapai</v>
      </c>
      <c r="BS36" s="184">
        <v>4</v>
      </c>
      <c r="BT36" s="184">
        <v>704</v>
      </c>
      <c r="BU36" s="179" t="str">
        <f t="shared" si="21"/>
        <v>Tidak Tercapai</v>
      </c>
      <c r="BV36" s="185">
        <v>16.937000000000001</v>
      </c>
      <c r="BW36" s="184">
        <v>0</v>
      </c>
      <c r="BX36" s="179" t="str">
        <f t="shared" si="22"/>
        <v>Tidak Tercapai</v>
      </c>
      <c r="BY36" s="184">
        <v>2</v>
      </c>
      <c r="BZ36" s="184">
        <v>472</v>
      </c>
      <c r="CA36" s="179" t="str">
        <f t="shared" si="23"/>
        <v>Tidak Tercapai</v>
      </c>
      <c r="CB36" s="184">
        <v>651</v>
      </c>
      <c r="CC36" s="184">
        <v>813</v>
      </c>
      <c r="CD36" s="179" t="str">
        <f t="shared" si="24"/>
        <v>Tidak Tercapai</v>
      </c>
      <c r="CE36" s="184">
        <v>4</v>
      </c>
      <c r="CF36" s="184">
        <v>327</v>
      </c>
      <c r="CG36" s="179" t="str">
        <f t="shared" si="25"/>
        <v>Tidak Tercapai</v>
      </c>
      <c r="CH36" s="184">
        <v>1</v>
      </c>
      <c r="CI36" s="184">
        <v>194</v>
      </c>
      <c r="CJ36" s="179" t="str">
        <f t="shared" si="26"/>
        <v>Tidak Tercapai</v>
      </c>
      <c r="CK36" s="184">
        <v>3</v>
      </c>
      <c r="CL36" s="184">
        <v>51</v>
      </c>
      <c r="CM36" s="179" t="str">
        <f t="shared" si="27"/>
        <v>Tidak Tercapai</v>
      </c>
      <c r="CN36" s="184">
        <v>0</v>
      </c>
      <c r="CO36" s="184">
        <v>0</v>
      </c>
      <c r="CP36" s="179" t="str">
        <f t="shared" si="28"/>
        <v>Tidak Tercapai</v>
      </c>
      <c r="CQ36" s="184">
        <v>0</v>
      </c>
      <c r="CR36" s="184">
        <v>0</v>
      </c>
      <c r="CS36" s="179" t="str">
        <f t="shared" si="29"/>
        <v>Tidak Tercapai</v>
      </c>
      <c r="CT36" s="184">
        <v>0</v>
      </c>
      <c r="CU36" s="184">
        <v>19</v>
      </c>
      <c r="CV36" s="179" t="str">
        <f t="shared" si="30"/>
        <v>Tidak Tercapai</v>
      </c>
      <c r="CW36" s="184">
        <v>1</v>
      </c>
      <c r="CX36" s="184">
        <v>3293</v>
      </c>
      <c r="CY36" s="179" t="str">
        <f t="shared" si="31"/>
        <v>Tercapai</v>
      </c>
      <c r="CZ36" s="184">
        <v>36</v>
      </c>
      <c r="DA36" s="184">
        <v>1328</v>
      </c>
      <c r="DB36" s="179" t="str">
        <f t="shared" si="32"/>
        <v>Tercapai</v>
      </c>
      <c r="DC36" s="184">
        <v>9</v>
      </c>
      <c r="DD36" s="184">
        <v>1715</v>
      </c>
      <c r="DE36" s="179" t="str">
        <f t="shared" si="33"/>
        <v>Tercapai</v>
      </c>
      <c r="DF36" s="184">
        <v>15</v>
      </c>
      <c r="DG36" s="184">
        <v>729</v>
      </c>
      <c r="DH36" s="179" t="str">
        <f t="shared" si="34"/>
        <v>Tidak Tercapai</v>
      </c>
      <c r="DI36" s="184">
        <v>7</v>
      </c>
      <c r="DJ36" s="184">
        <v>0</v>
      </c>
      <c r="DK36" s="179" t="str">
        <f t="shared" si="35"/>
        <v>Tidak Tercapai</v>
      </c>
      <c r="DL36" s="184">
        <v>5</v>
      </c>
      <c r="DM36" s="184">
        <v>0</v>
      </c>
      <c r="DN36" s="179" t="str">
        <f t="shared" si="36"/>
        <v>Tidak Tercapai</v>
      </c>
      <c r="DO36" s="184">
        <v>0</v>
      </c>
      <c r="DP36" s="184">
        <v>1132</v>
      </c>
      <c r="DQ36" s="179" t="str">
        <f t="shared" si="37"/>
        <v>Tidak Tercapai</v>
      </c>
      <c r="DR36" s="184">
        <v>8</v>
      </c>
      <c r="DS36" s="184">
        <v>0</v>
      </c>
      <c r="DT36" s="179" t="str">
        <f t="shared" si="38"/>
        <v>Tidak Tercapai</v>
      </c>
      <c r="DU36" s="184">
        <v>0</v>
      </c>
      <c r="DV36" s="184">
        <v>478</v>
      </c>
      <c r="DW36" s="179" t="str">
        <f t="shared" si="39"/>
        <v>Tidak Tercapai</v>
      </c>
      <c r="DX36" s="184">
        <v>4</v>
      </c>
      <c r="DY36" s="184">
        <v>422</v>
      </c>
      <c r="DZ36" s="179" t="str">
        <f t="shared" si="40"/>
        <v>Tidak Tercapai</v>
      </c>
      <c r="EA36" s="184">
        <v>327</v>
      </c>
      <c r="EB36" s="184">
        <v>854</v>
      </c>
      <c r="EC36" s="179" t="str">
        <f t="shared" si="41"/>
        <v>Tidak Tercapai</v>
      </c>
      <c r="ED36" s="184">
        <v>312</v>
      </c>
      <c r="EE36" s="184">
        <v>768</v>
      </c>
      <c r="EF36" s="179" t="str">
        <f t="shared" si="42"/>
        <v>Tidak Tercapai</v>
      </c>
      <c r="EG36" s="184">
        <v>11</v>
      </c>
      <c r="EH36" s="184">
        <v>220</v>
      </c>
      <c r="EI36" s="179" t="str">
        <f t="shared" si="43"/>
        <v>Tidak Tercapai</v>
      </c>
      <c r="EJ36" s="184">
        <v>7</v>
      </c>
      <c r="EK36" s="184">
        <v>538</v>
      </c>
      <c r="EL36" s="179" t="str">
        <f t="shared" si="44"/>
        <v>Tidak Tercapai</v>
      </c>
      <c r="EM36" s="184">
        <v>1059</v>
      </c>
      <c r="EN36" s="184">
        <v>495</v>
      </c>
      <c r="EO36" s="179" t="str">
        <f t="shared" si="45"/>
        <v>Tidak Tercapai</v>
      </c>
      <c r="EP36" s="184">
        <v>976</v>
      </c>
      <c r="EQ36" s="184">
        <v>224</v>
      </c>
      <c r="ER36" s="179" t="str">
        <f t="shared" si="46"/>
        <v>Tidak Tercapai</v>
      </c>
      <c r="ES36" s="178">
        <v>1387</v>
      </c>
      <c r="ET36" s="184">
        <v>197</v>
      </c>
      <c r="EU36" s="179" t="str">
        <f t="shared" si="47"/>
        <v>Tidak Tercapai</v>
      </c>
      <c r="EV36" s="184">
        <v>1892</v>
      </c>
      <c r="EW36" s="184">
        <v>214</v>
      </c>
      <c r="EX36" s="179" t="str">
        <f t="shared" si="48"/>
        <v>Tidak Tercapai</v>
      </c>
      <c r="EY36" s="184">
        <v>1770</v>
      </c>
      <c r="EZ36" s="184">
        <v>0</v>
      </c>
      <c r="FA36" s="179" t="str">
        <f t="shared" si="49"/>
        <v>Tidak Tercapai</v>
      </c>
      <c r="FB36" s="184">
        <v>0</v>
      </c>
      <c r="FC36" s="184">
        <v>0</v>
      </c>
      <c r="FD36" s="179" t="str">
        <f t="shared" si="50"/>
        <v>Tidak Tercapai</v>
      </c>
      <c r="FE36" s="184">
        <v>1</v>
      </c>
      <c r="FF36" s="190">
        <v>12046</v>
      </c>
      <c r="FG36" s="179" t="str">
        <f t="shared" si="51"/>
        <v>Tercapai</v>
      </c>
      <c r="FH36" s="190">
        <v>2555</v>
      </c>
      <c r="FI36" s="190">
        <v>1301</v>
      </c>
      <c r="FJ36" s="179" t="str">
        <f t="shared" si="52"/>
        <v>Tercapai</v>
      </c>
      <c r="FK36" s="190">
        <v>1090</v>
      </c>
      <c r="FL36" s="186">
        <v>16</v>
      </c>
      <c r="FM36" s="179" t="str">
        <f t="shared" si="53"/>
        <v>Tidak Tercapai</v>
      </c>
      <c r="FN36" s="184">
        <v>678</v>
      </c>
      <c r="FO36" s="184">
        <v>421</v>
      </c>
      <c r="FP36" s="179" t="str">
        <f t="shared" si="54"/>
        <v>Tidak Tercapai</v>
      </c>
      <c r="FQ36" s="184">
        <v>132</v>
      </c>
      <c r="FR36" s="184">
        <v>320</v>
      </c>
      <c r="FS36" s="179" t="str">
        <f t="shared" si="55"/>
        <v>Tidak Tercapai</v>
      </c>
      <c r="FT36" s="184">
        <v>434</v>
      </c>
      <c r="FU36" s="184">
        <v>773</v>
      </c>
      <c r="FV36" s="179" t="str">
        <f t="shared" si="56"/>
        <v>Tidak Tercapai</v>
      </c>
      <c r="FW36" s="184">
        <v>868</v>
      </c>
      <c r="FX36" s="184">
        <v>2139</v>
      </c>
      <c r="FY36" s="179" t="str">
        <f t="shared" si="57"/>
        <v>Tercapai</v>
      </c>
      <c r="FZ36" s="184">
        <v>1860</v>
      </c>
      <c r="GA36" s="184">
        <v>1369</v>
      </c>
      <c r="GB36" s="179" t="str">
        <f t="shared" si="58"/>
        <v>Tercapai</v>
      </c>
      <c r="GC36" s="184">
        <v>1385</v>
      </c>
      <c r="GD36" s="184">
        <v>708</v>
      </c>
      <c r="GE36" s="179" t="str">
        <f t="shared" si="59"/>
        <v>Tidak Tercapai</v>
      </c>
      <c r="GF36" s="184">
        <v>985</v>
      </c>
      <c r="GG36" s="184">
        <v>525</v>
      </c>
      <c r="GH36" s="179" t="str">
        <f t="shared" si="60"/>
        <v>Tidak Tercapai</v>
      </c>
      <c r="GI36" s="184">
        <v>1941</v>
      </c>
      <c r="GJ36" s="184">
        <v>607</v>
      </c>
      <c r="GK36" s="179" t="str">
        <f t="shared" si="61"/>
        <v>Tidak Tercapai</v>
      </c>
      <c r="GL36" s="184">
        <v>1776</v>
      </c>
      <c r="GM36" s="184">
        <v>759</v>
      </c>
      <c r="GN36" s="179" t="str">
        <f t="shared" si="62"/>
        <v>Tidak Tercapai</v>
      </c>
      <c r="GO36" s="184">
        <v>2073</v>
      </c>
      <c r="GP36" s="184">
        <v>731</v>
      </c>
      <c r="GQ36" s="179" t="str">
        <f t="shared" si="63"/>
        <v>Tidak Tercapai</v>
      </c>
      <c r="GR36" s="184">
        <v>598</v>
      </c>
      <c r="GS36" s="184">
        <v>379</v>
      </c>
      <c r="GT36" s="179" t="str">
        <f t="shared" si="64"/>
        <v>Tidak Tercapai</v>
      </c>
      <c r="GU36" s="184">
        <v>122</v>
      </c>
      <c r="GV36" s="184">
        <v>774</v>
      </c>
      <c r="GW36" s="179" t="str">
        <f t="shared" si="65"/>
        <v>Tidak Tercapai</v>
      </c>
      <c r="GX36" s="184">
        <v>1189</v>
      </c>
      <c r="GY36" s="184">
        <v>341</v>
      </c>
      <c r="GZ36" s="179" t="str">
        <f t="shared" si="66"/>
        <v>Tidak Tercapai</v>
      </c>
      <c r="HA36" s="184">
        <v>70</v>
      </c>
      <c r="HB36" s="184">
        <v>325</v>
      </c>
      <c r="HC36" s="179" t="str">
        <f t="shared" si="67"/>
        <v>Tidak Tercapai</v>
      </c>
      <c r="HD36" s="184">
        <v>1345</v>
      </c>
      <c r="HE36" s="184">
        <v>270</v>
      </c>
      <c r="HF36" s="179" t="str">
        <f t="shared" si="68"/>
        <v>Tidak Tercapai</v>
      </c>
      <c r="HG36" s="184">
        <v>744</v>
      </c>
      <c r="HH36" s="184">
        <v>179</v>
      </c>
      <c r="HI36" s="179" t="str">
        <f t="shared" si="69"/>
        <v>Tidak Tercapai</v>
      </c>
      <c r="HJ36" s="184">
        <v>119</v>
      </c>
      <c r="HK36" s="184">
        <v>98</v>
      </c>
      <c r="HL36" s="179" t="str">
        <f t="shared" si="70"/>
        <v>Tidak Tercapai</v>
      </c>
      <c r="HM36" s="184">
        <v>642</v>
      </c>
      <c r="HN36" s="184">
        <v>17</v>
      </c>
      <c r="HO36" s="179" t="str">
        <f t="shared" si="71"/>
        <v>Tidak Tercapai</v>
      </c>
      <c r="HP36" s="184">
        <v>89</v>
      </c>
      <c r="HQ36" s="184">
        <v>364</v>
      </c>
      <c r="HR36" s="179" t="str">
        <f t="shared" si="72"/>
        <v>Tidak Tercapai</v>
      </c>
      <c r="HS36" s="184">
        <v>666</v>
      </c>
      <c r="HT36" s="184">
        <v>406</v>
      </c>
      <c r="HU36" s="179" t="str">
        <f t="shared" si="73"/>
        <v>Tidak Tercapai</v>
      </c>
      <c r="HV36" s="184">
        <v>1380</v>
      </c>
      <c r="HW36" s="184">
        <v>587</v>
      </c>
      <c r="HX36" s="179" t="str">
        <f t="shared" si="74"/>
        <v>Tidak Tercapai</v>
      </c>
      <c r="HY36" s="184">
        <v>1191</v>
      </c>
      <c r="HZ36" s="184">
        <v>377</v>
      </c>
      <c r="IA36" s="179" t="str">
        <f t="shared" si="75"/>
        <v>Tidak Tercapai</v>
      </c>
      <c r="IB36" s="184">
        <v>1216</v>
      </c>
      <c r="IC36" s="184">
        <v>524</v>
      </c>
      <c r="ID36" s="179" t="str">
        <f t="shared" si="76"/>
        <v>Tidak Tercapai</v>
      </c>
      <c r="IE36" s="184">
        <v>2865</v>
      </c>
      <c r="IF36" s="184">
        <v>215</v>
      </c>
      <c r="IG36" s="179" t="str">
        <f t="shared" si="77"/>
        <v>Tidak Tercapai</v>
      </c>
      <c r="IH36" s="184">
        <v>364</v>
      </c>
      <c r="II36" s="184">
        <v>10</v>
      </c>
      <c r="IJ36" s="179" t="str">
        <f t="shared" si="78"/>
        <v>Tidak Tercapai</v>
      </c>
      <c r="IK36" s="184">
        <v>2</v>
      </c>
      <c r="IL36" s="42"/>
      <c r="IM36" s="42"/>
      <c r="IN36" s="42"/>
      <c r="IO36" s="42"/>
      <c r="IP36" s="42"/>
      <c r="IQ36" s="42"/>
      <c r="IR36" s="42"/>
      <c r="IS36" s="42"/>
      <c r="IT36" s="42"/>
      <c r="IU36" s="42"/>
      <c r="IV36" s="42"/>
    </row>
    <row r="37" spans="1:256" ht="15.6" x14ac:dyDescent="0.3">
      <c r="A37" s="167">
        <v>35</v>
      </c>
      <c r="B37" s="168" t="s">
        <v>495</v>
      </c>
      <c r="C37" s="167" t="s">
        <v>481</v>
      </c>
      <c r="D37" s="169">
        <v>102381</v>
      </c>
      <c r="E37" s="167">
        <v>1120</v>
      </c>
      <c r="F37" s="187">
        <v>39451</v>
      </c>
      <c r="G37" s="171" t="s">
        <v>457</v>
      </c>
      <c r="H37" s="187">
        <v>22174</v>
      </c>
      <c r="I37" s="187">
        <v>9</v>
      </c>
      <c r="J37" s="171" t="str">
        <f t="shared" si="0"/>
        <v>Tidak Tercapai</v>
      </c>
      <c r="K37" s="187">
        <v>3</v>
      </c>
      <c r="L37" s="187">
        <v>1</v>
      </c>
      <c r="M37" s="171" t="str">
        <f t="shared" si="1"/>
        <v>Tidak Tercapai</v>
      </c>
      <c r="N37" s="187">
        <v>4</v>
      </c>
      <c r="O37" s="167">
        <v>1786</v>
      </c>
      <c r="P37" s="171" t="str">
        <f t="shared" si="2"/>
        <v>Tercapai</v>
      </c>
      <c r="Q37" s="172">
        <v>13</v>
      </c>
      <c r="R37" s="188">
        <v>1567</v>
      </c>
      <c r="S37" s="173" t="str">
        <f t="shared" si="3"/>
        <v>Tercapai</v>
      </c>
      <c r="T37" s="172">
        <v>43</v>
      </c>
      <c r="U37" s="174">
        <v>1624</v>
      </c>
      <c r="V37" s="173" t="str">
        <f t="shared" si="4"/>
        <v>Tercapai</v>
      </c>
      <c r="W37" s="175">
        <v>25</v>
      </c>
      <c r="X37" s="188">
        <v>1567</v>
      </c>
      <c r="Y37" s="176" t="str">
        <f t="shared" si="5"/>
        <v>Tercapai</v>
      </c>
      <c r="Z37" s="177">
        <v>37</v>
      </c>
      <c r="AA37" s="178">
        <v>1719</v>
      </c>
      <c r="AB37" s="179" t="str">
        <f t="shared" si="6"/>
        <v>Tercapai</v>
      </c>
      <c r="AC37" s="178">
        <v>32</v>
      </c>
      <c r="AD37" s="184">
        <v>155</v>
      </c>
      <c r="AE37" s="179" t="str">
        <f t="shared" si="7"/>
        <v>Tidak Tercapai</v>
      </c>
      <c r="AF37" s="178">
        <v>1</v>
      </c>
      <c r="AG37" s="178">
        <v>0</v>
      </c>
      <c r="AH37" s="179" t="str">
        <f t="shared" si="8"/>
        <v>Tidak Tercapai</v>
      </c>
      <c r="AI37" s="178">
        <v>0</v>
      </c>
      <c r="AJ37" s="184">
        <v>1797</v>
      </c>
      <c r="AK37" s="179" t="str">
        <f t="shared" si="9"/>
        <v>Tercapai</v>
      </c>
      <c r="AL37" s="184">
        <v>47</v>
      </c>
      <c r="AM37" s="184">
        <v>1158</v>
      </c>
      <c r="AN37" s="179" t="str">
        <f t="shared" si="10"/>
        <v>Tercapai</v>
      </c>
      <c r="AO37" s="184">
        <v>16</v>
      </c>
      <c r="AP37" s="178">
        <v>2207</v>
      </c>
      <c r="AQ37" s="179" t="str">
        <f t="shared" si="11"/>
        <v>Tercapai</v>
      </c>
      <c r="AR37" s="178">
        <v>13</v>
      </c>
      <c r="AS37" s="178">
        <v>2345</v>
      </c>
      <c r="AT37" s="179" t="str">
        <f t="shared" si="12"/>
        <v>Tercapai</v>
      </c>
      <c r="AU37" s="178">
        <v>21</v>
      </c>
      <c r="AV37" s="170">
        <v>2654</v>
      </c>
      <c r="AW37" s="179" t="str">
        <f t="shared" si="13"/>
        <v>Tercapai</v>
      </c>
      <c r="AX37" s="178">
        <v>38</v>
      </c>
      <c r="AY37" s="178">
        <v>175</v>
      </c>
      <c r="AZ37" s="179" t="str">
        <f t="shared" si="14"/>
        <v>Tidak Tercapai</v>
      </c>
      <c r="BA37" s="178">
        <v>2</v>
      </c>
      <c r="BB37" s="183">
        <v>0</v>
      </c>
      <c r="BC37" s="179" t="str">
        <f t="shared" si="15"/>
        <v>Tidak Tercapai</v>
      </c>
      <c r="BD37" s="178">
        <v>0</v>
      </c>
      <c r="BE37" s="184">
        <v>2354</v>
      </c>
      <c r="BF37" s="179" t="str">
        <f t="shared" si="16"/>
        <v>Tercapai</v>
      </c>
      <c r="BG37" s="170">
        <v>35</v>
      </c>
      <c r="BH37" s="184">
        <v>2338</v>
      </c>
      <c r="BI37" s="179" t="str">
        <f t="shared" si="17"/>
        <v>Tercapai</v>
      </c>
      <c r="BJ37" s="184">
        <v>22</v>
      </c>
      <c r="BK37" s="184">
        <v>2602</v>
      </c>
      <c r="BL37" s="179" t="str">
        <f t="shared" si="18"/>
        <v>Tercapai</v>
      </c>
      <c r="BM37" s="184">
        <v>41</v>
      </c>
      <c r="BN37" s="184">
        <v>2228</v>
      </c>
      <c r="BO37" s="179" t="str">
        <f t="shared" si="19"/>
        <v>Tercapai</v>
      </c>
      <c r="BP37" s="184">
        <v>26</v>
      </c>
      <c r="BQ37" s="184">
        <v>1832</v>
      </c>
      <c r="BR37" s="179" t="str">
        <f t="shared" si="20"/>
        <v>Tercapai</v>
      </c>
      <c r="BS37" s="184">
        <v>39</v>
      </c>
      <c r="BT37" s="184">
        <v>2673</v>
      </c>
      <c r="BU37" s="179" t="str">
        <f t="shared" si="21"/>
        <v>Tercapai</v>
      </c>
      <c r="BV37" s="185">
        <v>23.416</v>
      </c>
      <c r="BW37" s="184">
        <v>79</v>
      </c>
      <c r="BX37" s="179" t="str">
        <f t="shared" si="22"/>
        <v>Tidak Tercapai</v>
      </c>
      <c r="BY37" s="184">
        <v>0</v>
      </c>
      <c r="BZ37" s="184">
        <v>1889</v>
      </c>
      <c r="CA37" s="179" t="str">
        <f t="shared" si="23"/>
        <v>Tercapai</v>
      </c>
      <c r="CB37" s="184">
        <v>1212</v>
      </c>
      <c r="CC37" s="184">
        <v>2864</v>
      </c>
      <c r="CD37" s="179" t="str">
        <f t="shared" si="24"/>
        <v>Tercapai</v>
      </c>
      <c r="CE37" s="184">
        <v>65</v>
      </c>
      <c r="CF37" s="184">
        <v>1612</v>
      </c>
      <c r="CG37" s="179" t="str">
        <f t="shared" si="25"/>
        <v>Tercapai</v>
      </c>
      <c r="CH37" s="184">
        <v>18</v>
      </c>
      <c r="CI37" s="184">
        <v>2213</v>
      </c>
      <c r="CJ37" s="179" t="str">
        <f t="shared" si="26"/>
        <v>Tercapai</v>
      </c>
      <c r="CK37" s="184">
        <v>61</v>
      </c>
      <c r="CL37" s="184">
        <v>2096</v>
      </c>
      <c r="CM37" s="179" t="str">
        <f t="shared" si="27"/>
        <v>Tercapai</v>
      </c>
      <c r="CN37" s="184">
        <v>21</v>
      </c>
      <c r="CO37" s="184">
        <v>1888</v>
      </c>
      <c r="CP37" s="179" t="str">
        <f t="shared" si="28"/>
        <v>Tercapai</v>
      </c>
      <c r="CQ37" s="184">
        <v>7</v>
      </c>
      <c r="CR37" s="184">
        <v>1132</v>
      </c>
      <c r="CS37" s="179" t="str">
        <f t="shared" si="29"/>
        <v>Tercapai</v>
      </c>
      <c r="CT37" s="184">
        <v>13</v>
      </c>
      <c r="CU37" s="184">
        <v>1622</v>
      </c>
      <c r="CV37" s="179" t="str">
        <f t="shared" si="30"/>
        <v>Tercapai</v>
      </c>
      <c r="CW37" s="184">
        <v>1</v>
      </c>
      <c r="CX37" s="184">
        <v>5120</v>
      </c>
      <c r="CY37" s="179" t="str">
        <f t="shared" si="31"/>
        <v>Tercapai</v>
      </c>
      <c r="CZ37" s="184">
        <v>75</v>
      </c>
      <c r="DA37" s="184">
        <v>3148</v>
      </c>
      <c r="DB37" s="179" t="str">
        <f t="shared" si="32"/>
        <v>Tercapai</v>
      </c>
      <c r="DC37" s="184">
        <v>52</v>
      </c>
      <c r="DD37" s="184">
        <v>3369</v>
      </c>
      <c r="DE37" s="179" t="str">
        <f t="shared" si="33"/>
        <v>Tercapai</v>
      </c>
      <c r="DF37" s="184">
        <v>54</v>
      </c>
      <c r="DG37" s="184">
        <v>3493</v>
      </c>
      <c r="DH37" s="179" t="str">
        <f t="shared" si="34"/>
        <v>Tercapai</v>
      </c>
      <c r="DI37" s="184">
        <v>43</v>
      </c>
      <c r="DJ37" s="184">
        <v>1113</v>
      </c>
      <c r="DK37" s="179" t="str">
        <f t="shared" si="35"/>
        <v>Tidak Tercapai</v>
      </c>
      <c r="DL37" s="184">
        <v>127</v>
      </c>
      <c r="DM37" s="184">
        <v>958</v>
      </c>
      <c r="DN37" s="179" t="str">
        <f t="shared" si="36"/>
        <v>Tidak Tercapai</v>
      </c>
      <c r="DO37" s="184">
        <v>4</v>
      </c>
      <c r="DP37" s="184">
        <v>2879</v>
      </c>
      <c r="DQ37" s="179" t="str">
        <f t="shared" si="37"/>
        <v>Tercapai</v>
      </c>
      <c r="DR37" s="184">
        <v>71</v>
      </c>
      <c r="DS37" s="184">
        <v>466</v>
      </c>
      <c r="DT37" s="179" t="str">
        <f t="shared" si="38"/>
        <v>Tidak Tercapai</v>
      </c>
      <c r="DU37" s="184">
        <v>1</v>
      </c>
      <c r="DV37" s="184">
        <v>2314</v>
      </c>
      <c r="DW37" s="179" t="str">
        <f t="shared" si="39"/>
        <v>Tercapai</v>
      </c>
      <c r="DX37" s="184">
        <v>435</v>
      </c>
      <c r="DY37" s="184">
        <v>2450</v>
      </c>
      <c r="DZ37" s="179" t="str">
        <f t="shared" si="40"/>
        <v>Tercapai</v>
      </c>
      <c r="EA37" s="184">
        <v>905</v>
      </c>
      <c r="EB37" s="184">
        <v>2514</v>
      </c>
      <c r="EC37" s="179" t="str">
        <f t="shared" si="41"/>
        <v>Tercapai</v>
      </c>
      <c r="ED37" s="184">
        <v>1362</v>
      </c>
      <c r="EE37" s="184">
        <v>646</v>
      </c>
      <c r="EF37" s="179" t="str">
        <f t="shared" si="42"/>
        <v>Tidak Tercapai</v>
      </c>
      <c r="EG37" s="184">
        <v>247</v>
      </c>
      <c r="EH37" s="184">
        <v>533</v>
      </c>
      <c r="EI37" s="179" t="str">
        <f t="shared" si="43"/>
        <v>Tidak Tercapai</v>
      </c>
      <c r="EJ37" s="184">
        <v>38</v>
      </c>
      <c r="EK37" s="184">
        <v>2599</v>
      </c>
      <c r="EL37" s="179" t="str">
        <f t="shared" si="44"/>
        <v>Tercapai</v>
      </c>
      <c r="EM37" s="184">
        <v>1799</v>
      </c>
      <c r="EN37" s="184">
        <v>2628</v>
      </c>
      <c r="EO37" s="179" t="str">
        <f t="shared" si="45"/>
        <v>Tercapai</v>
      </c>
      <c r="EP37" s="184">
        <v>2003</v>
      </c>
      <c r="EQ37" s="184">
        <v>3356</v>
      </c>
      <c r="ER37" s="179" t="str">
        <f t="shared" si="46"/>
        <v>Tercapai</v>
      </c>
      <c r="ES37" s="178">
        <v>2406</v>
      </c>
      <c r="ET37" s="184">
        <v>3228</v>
      </c>
      <c r="EU37" s="179" t="str">
        <f t="shared" si="47"/>
        <v>Tercapai</v>
      </c>
      <c r="EV37" s="184">
        <v>2835</v>
      </c>
      <c r="EW37" s="184">
        <v>3085</v>
      </c>
      <c r="EX37" s="179" t="str">
        <f t="shared" si="48"/>
        <v>Tercapai</v>
      </c>
      <c r="EY37" s="184">
        <v>2838</v>
      </c>
      <c r="EZ37" s="184">
        <v>1478</v>
      </c>
      <c r="FA37" s="179" t="str">
        <f t="shared" si="49"/>
        <v>Tercapai</v>
      </c>
      <c r="FB37" s="184">
        <v>626</v>
      </c>
      <c r="FC37" s="184">
        <v>1502</v>
      </c>
      <c r="FD37" s="179" t="str">
        <f t="shared" si="50"/>
        <v>Tercapai</v>
      </c>
      <c r="FE37" s="184">
        <v>20</v>
      </c>
      <c r="FF37" s="184">
        <v>3268</v>
      </c>
      <c r="FG37" s="179" t="str">
        <f t="shared" si="51"/>
        <v>Tercapai</v>
      </c>
      <c r="FH37" s="184">
        <v>1927</v>
      </c>
      <c r="FI37" s="184">
        <v>3946</v>
      </c>
      <c r="FJ37" s="179" t="str">
        <f t="shared" si="52"/>
        <v>Tercapai</v>
      </c>
      <c r="FK37" s="184">
        <v>2849</v>
      </c>
      <c r="FL37" s="186">
        <v>937</v>
      </c>
      <c r="FM37" s="179" t="str">
        <f t="shared" si="53"/>
        <v>Tidak Tercapai</v>
      </c>
      <c r="FN37" s="184">
        <v>1934</v>
      </c>
      <c r="FO37" s="184">
        <v>0</v>
      </c>
      <c r="FP37" s="179" t="str">
        <f t="shared" si="54"/>
        <v>Tidak Tercapai</v>
      </c>
      <c r="FQ37" s="184">
        <v>0</v>
      </c>
      <c r="FR37" s="184">
        <v>14306</v>
      </c>
      <c r="FS37" s="179" t="str">
        <f t="shared" si="55"/>
        <v>Tercapai</v>
      </c>
      <c r="FT37" s="184">
        <v>7456</v>
      </c>
      <c r="FU37" s="184">
        <v>8177</v>
      </c>
      <c r="FV37" s="179" t="str">
        <f t="shared" si="56"/>
        <v>Tercapai</v>
      </c>
      <c r="FW37" s="184">
        <v>6922</v>
      </c>
      <c r="FX37" s="184">
        <v>3244</v>
      </c>
      <c r="FY37" s="179" t="str">
        <f t="shared" si="57"/>
        <v>Tercapai</v>
      </c>
      <c r="FZ37" s="184">
        <v>2049</v>
      </c>
      <c r="GA37" s="184">
        <v>3965</v>
      </c>
      <c r="GB37" s="179" t="str">
        <f t="shared" si="58"/>
        <v>Tercapai</v>
      </c>
      <c r="GC37" s="184">
        <v>3330</v>
      </c>
      <c r="GD37" s="184">
        <v>3606</v>
      </c>
      <c r="GE37" s="179" t="str">
        <f t="shared" si="59"/>
        <v>Tercapai</v>
      </c>
      <c r="GF37" s="184">
        <v>3416</v>
      </c>
      <c r="GG37" s="184">
        <v>2703</v>
      </c>
      <c r="GH37" s="179" t="str">
        <f t="shared" si="60"/>
        <v>Tercapai</v>
      </c>
      <c r="GI37" s="184">
        <v>1090</v>
      </c>
      <c r="GJ37" s="184">
        <v>7903</v>
      </c>
      <c r="GK37" s="179" t="str">
        <f t="shared" si="61"/>
        <v>Tercapai</v>
      </c>
      <c r="GL37" s="184">
        <v>4690</v>
      </c>
      <c r="GM37" s="184">
        <v>4436</v>
      </c>
      <c r="GN37" s="179" t="str">
        <f t="shared" si="62"/>
        <v>Tercapai</v>
      </c>
      <c r="GO37" s="184">
        <v>4116</v>
      </c>
      <c r="GP37" s="184">
        <v>3174</v>
      </c>
      <c r="GQ37" s="179" t="str">
        <f t="shared" si="63"/>
        <v>Tercapai</v>
      </c>
      <c r="GR37" s="184">
        <v>2311</v>
      </c>
      <c r="GS37" s="184">
        <v>2998</v>
      </c>
      <c r="GT37" s="179" t="str">
        <f t="shared" si="64"/>
        <v>Tercapai</v>
      </c>
      <c r="GU37" s="184">
        <v>1446</v>
      </c>
      <c r="GV37" s="184">
        <v>3342</v>
      </c>
      <c r="GW37" s="179" t="str">
        <f t="shared" si="65"/>
        <v>Tercapai</v>
      </c>
      <c r="GX37" s="184">
        <v>3481</v>
      </c>
      <c r="GY37" s="184">
        <v>2255</v>
      </c>
      <c r="GZ37" s="179" t="str">
        <f t="shared" si="66"/>
        <v>Tercapai</v>
      </c>
      <c r="HA37" s="184">
        <v>857</v>
      </c>
      <c r="HB37" s="184">
        <v>1413</v>
      </c>
      <c r="HC37" s="179" t="str">
        <f t="shared" si="67"/>
        <v>Tercapai</v>
      </c>
      <c r="HD37" s="184">
        <v>2490</v>
      </c>
      <c r="HE37" s="184">
        <v>1420</v>
      </c>
      <c r="HF37" s="179" t="str">
        <f t="shared" si="68"/>
        <v>Tercapai</v>
      </c>
      <c r="HG37" s="184">
        <v>2379</v>
      </c>
      <c r="HH37" s="184">
        <v>910</v>
      </c>
      <c r="HI37" s="179" t="str">
        <f t="shared" si="69"/>
        <v>Tidak Tercapai</v>
      </c>
      <c r="HJ37" s="184">
        <v>1849</v>
      </c>
      <c r="HK37" s="184">
        <v>411</v>
      </c>
      <c r="HL37" s="179" t="str">
        <f t="shared" si="70"/>
        <v>Tidak Tercapai</v>
      </c>
      <c r="HM37" s="184">
        <v>610</v>
      </c>
      <c r="HN37" s="184">
        <v>50</v>
      </c>
      <c r="HO37" s="179" t="str">
        <f t="shared" si="71"/>
        <v>Tidak Tercapai</v>
      </c>
      <c r="HP37" s="184">
        <v>345</v>
      </c>
      <c r="HQ37" s="184">
        <v>997</v>
      </c>
      <c r="HR37" s="179" t="str">
        <f t="shared" si="72"/>
        <v>Tidak Tercapai</v>
      </c>
      <c r="HS37" s="184">
        <v>1988</v>
      </c>
      <c r="HT37" s="184">
        <v>1306</v>
      </c>
      <c r="HU37" s="179" t="str">
        <f t="shared" si="73"/>
        <v>Tercapai</v>
      </c>
      <c r="HV37" s="184">
        <v>2817</v>
      </c>
      <c r="HW37" s="184">
        <v>978</v>
      </c>
      <c r="HX37" s="179" t="str">
        <f t="shared" si="74"/>
        <v>Tidak Tercapai</v>
      </c>
      <c r="HY37" s="184">
        <v>3239</v>
      </c>
      <c r="HZ37" s="184">
        <v>953</v>
      </c>
      <c r="IA37" s="179" t="str">
        <f t="shared" si="75"/>
        <v>Tidak Tercapai</v>
      </c>
      <c r="IB37" s="184">
        <v>3136</v>
      </c>
      <c r="IC37" s="184">
        <v>1250</v>
      </c>
      <c r="ID37" s="179" t="str">
        <f t="shared" si="76"/>
        <v>Tercapai</v>
      </c>
      <c r="IE37" s="184">
        <v>2970</v>
      </c>
      <c r="IF37" s="184">
        <v>162</v>
      </c>
      <c r="IG37" s="179" t="str">
        <f t="shared" si="77"/>
        <v>Tidak Tercapai</v>
      </c>
      <c r="IH37" s="184">
        <v>299</v>
      </c>
      <c r="II37" s="184">
        <v>26</v>
      </c>
      <c r="IJ37" s="179" t="str">
        <f t="shared" si="78"/>
        <v>Tidak Tercapai</v>
      </c>
      <c r="IK37" s="184">
        <v>9</v>
      </c>
      <c r="IL37" s="42"/>
      <c r="IM37" s="42"/>
      <c r="IN37" s="42"/>
      <c r="IO37" s="42"/>
      <c r="IP37" s="42"/>
      <c r="IQ37" s="42"/>
      <c r="IR37" s="42"/>
      <c r="IS37" s="42"/>
      <c r="IT37" s="42"/>
      <c r="IU37" s="42"/>
      <c r="IV37" s="42"/>
    </row>
    <row r="38" spans="1:256" ht="15.6" x14ac:dyDescent="0.3">
      <c r="A38" s="167">
        <v>36</v>
      </c>
      <c r="B38" s="168" t="s">
        <v>496</v>
      </c>
      <c r="C38" s="167" t="s">
        <v>462</v>
      </c>
      <c r="D38" s="169">
        <v>119285</v>
      </c>
      <c r="E38" s="167">
        <v>1114</v>
      </c>
      <c r="F38" s="187">
        <v>76263</v>
      </c>
      <c r="G38" s="171" t="s">
        <v>457</v>
      </c>
      <c r="H38" s="187">
        <v>42103</v>
      </c>
      <c r="I38" s="187">
        <v>1237</v>
      </c>
      <c r="J38" s="171" t="str">
        <f t="shared" si="0"/>
        <v>Tercapai</v>
      </c>
      <c r="K38" s="187">
        <v>30</v>
      </c>
      <c r="L38" s="187">
        <v>14</v>
      </c>
      <c r="M38" s="171" t="str">
        <f t="shared" si="1"/>
        <v>Tidak Tercapai</v>
      </c>
      <c r="N38" s="187">
        <v>0</v>
      </c>
      <c r="O38" s="167">
        <v>2855</v>
      </c>
      <c r="P38" s="171" t="str">
        <f t="shared" si="2"/>
        <v>Tercapai</v>
      </c>
      <c r="Q38" s="172">
        <v>52</v>
      </c>
      <c r="R38" s="167">
        <v>2502</v>
      </c>
      <c r="S38" s="173" t="str">
        <f t="shared" si="3"/>
        <v>Tercapai</v>
      </c>
      <c r="T38" s="172">
        <v>12</v>
      </c>
      <c r="U38" s="174">
        <v>2716</v>
      </c>
      <c r="V38" s="173" t="str">
        <f t="shared" si="4"/>
        <v>Tercapai</v>
      </c>
      <c r="W38" s="175">
        <v>18</v>
      </c>
      <c r="X38" s="188">
        <v>2585</v>
      </c>
      <c r="Y38" s="176" t="str">
        <f t="shared" si="5"/>
        <v>Tercapai</v>
      </c>
      <c r="Z38" s="177">
        <v>20</v>
      </c>
      <c r="AA38" s="178">
        <v>3660</v>
      </c>
      <c r="AB38" s="179" t="str">
        <f t="shared" si="6"/>
        <v>Tercapai</v>
      </c>
      <c r="AC38" s="178">
        <v>61</v>
      </c>
      <c r="AD38" s="184">
        <v>1256</v>
      </c>
      <c r="AE38" s="179" t="str">
        <f t="shared" si="7"/>
        <v>Tercapai</v>
      </c>
      <c r="AF38" s="178">
        <v>30</v>
      </c>
      <c r="AG38" s="178">
        <v>110</v>
      </c>
      <c r="AH38" s="179" t="str">
        <f t="shared" si="8"/>
        <v>Tidak Tercapai</v>
      </c>
      <c r="AI38" s="178">
        <v>1</v>
      </c>
      <c r="AJ38" s="184">
        <v>3496</v>
      </c>
      <c r="AK38" s="179" t="str">
        <f t="shared" si="9"/>
        <v>Tercapai</v>
      </c>
      <c r="AL38" s="184">
        <v>24</v>
      </c>
      <c r="AM38" s="184">
        <v>2068</v>
      </c>
      <c r="AN38" s="179" t="str">
        <f t="shared" si="10"/>
        <v>Tercapai</v>
      </c>
      <c r="AO38" s="184">
        <v>45</v>
      </c>
      <c r="AP38" s="178">
        <v>4708</v>
      </c>
      <c r="AQ38" s="179" t="str">
        <f t="shared" si="11"/>
        <v>Tercapai</v>
      </c>
      <c r="AR38" s="178">
        <v>4</v>
      </c>
      <c r="AS38" s="178">
        <v>3617</v>
      </c>
      <c r="AT38" s="179" t="str">
        <f t="shared" si="12"/>
        <v>Tercapai</v>
      </c>
      <c r="AU38" s="178">
        <v>62</v>
      </c>
      <c r="AV38" s="170">
        <v>3815</v>
      </c>
      <c r="AW38" s="179" t="str">
        <f t="shared" si="13"/>
        <v>Tercapai</v>
      </c>
      <c r="AX38" s="178">
        <v>41</v>
      </c>
      <c r="AY38" s="178">
        <v>1421</v>
      </c>
      <c r="AZ38" s="179" t="str">
        <f t="shared" si="14"/>
        <v>Tercapai</v>
      </c>
      <c r="BA38" s="178">
        <v>13</v>
      </c>
      <c r="BB38" s="180">
        <v>298</v>
      </c>
      <c r="BC38" s="179" t="str">
        <f t="shared" si="15"/>
        <v>Tidak Tercapai</v>
      </c>
      <c r="BD38" s="178">
        <v>0</v>
      </c>
      <c r="BE38" s="178">
        <v>2896</v>
      </c>
      <c r="BF38" s="179" t="str">
        <f t="shared" si="16"/>
        <v>Tercapai</v>
      </c>
      <c r="BG38" s="170">
        <v>31</v>
      </c>
      <c r="BH38" s="178">
        <v>3332</v>
      </c>
      <c r="BI38" s="179" t="str">
        <f t="shared" si="17"/>
        <v>Tercapai</v>
      </c>
      <c r="BJ38" s="178">
        <v>17</v>
      </c>
      <c r="BK38" s="178">
        <v>2807</v>
      </c>
      <c r="BL38" s="179" t="str">
        <f t="shared" si="18"/>
        <v>Tercapai</v>
      </c>
      <c r="BM38" s="178">
        <v>30</v>
      </c>
      <c r="BN38" s="178">
        <v>2390</v>
      </c>
      <c r="BO38" s="179" t="str">
        <f t="shared" si="19"/>
        <v>Tercapai</v>
      </c>
      <c r="BP38" s="178">
        <v>19</v>
      </c>
      <c r="BQ38" s="178">
        <v>1684</v>
      </c>
      <c r="BR38" s="179" t="str">
        <f t="shared" si="20"/>
        <v>Tercapai</v>
      </c>
      <c r="BS38" s="178">
        <v>19</v>
      </c>
      <c r="BT38" s="178">
        <v>2774</v>
      </c>
      <c r="BU38" s="179" t="str">
        <f t="shared" si="21"/>
        <v>Tercapai</v>
      </c>
      <c r="BV38" s="181">
        <v>42.612000000000002</v>
      </c>
      <c r="BW38" s="178">
        <v>44</v>
      </c>
      <c r="BX38" s="179" t="str">
        <f t="shared" si="22"/>
        <v>Tidak Tercapai</v>
      </c>
      <c r="BY38" s="178">
        <v>3</v>
      </c>
      <c r="BZ38" s="178">
        <v>1732</v>
      </c>
      <c r="CA38" s="179" t="str">
        <f t="shared" si="23"/>
        <v>Tercapai</v>
      </c>
      <c r="CB38" s="178">
        <v>868</v>
      </c>
      <c r="CC38" s="178">
        <v>4313</v>
      </c>
      <c r="CD38" s="179" t="str">
        <f t="shared" si="24"/>
        <v>Tercapai</v>
      </c>
      <c r="CE38" s="178">
        <v>33</v>
      </c>
      <c r="CF38" s="178">
        <v>2591</v>
      </c>
      <c r="CG38" s="179" t="str">
        <f t="shared" si="25"/>
        <v>Tercapai</v>
      </c>
      <c r="CH38" s="178">
        <v>13</v>
      </c>
      <c r="CI38" s="178">
        <v>516</v>
      </c>
      <c r="CJ38" s="179" t="str">
        <f t="shared" si="26"/>
        <v>Tidak Tercapai</v>
      </c>
      <c r="CK38" s="178">
        <v>36</v>
      </c>
      <c r="CL38" s="178">
        <v>1111</v>
      </c>
      <c r="CM38" s="179" t="str">
        <f t="shared" si="27"/>
        <v>Tidak Tercapai</v>
      </c>
      <c r="CN38" s="178">
        <v>14</v>
      </c>
      <c r="CO38" s="178">
        <v>104</v>
      </c>
      <c r="CP38" s="179" t="str">
        <f t="shared" si="28"/>
        <v>Tidak Tercapai</v>
      </c>
      <c r="CQ38" s="178">
        <v>0</v>
      </c>
      <c r="CR38" s="178">
        <v>100</v>
      </c>
      <c r="CS38" s="179" t="str">
        <f t="shared" si="29"/>
        <v>Tidak Tercapai</v>
      </c>
      <c r="CT38" s="178">
        <v>0</v>
      </c>
      <c r="CU38" s="178">
        <v>1228</v>
      </c>
      <c r="CV38" s="179" t="str">
        <f t="shared" si="30"/>
        <v>Tercapai</v>
      </c>
      <c r="CW38" s="178">
        <v>9</v>
      </c>
      <c r="CX38" s="178">
        <v>6224</v>
      </c>
      <c r="CY38" s="179" t="str">
        <f t="shared" si="31"/>
        <v>Tercapai</v>
      </c>
      <c r="CZ38" s="178">
        <v>105</v>
      </c>
      <c r="DA38" s="178">
        <v>1878</v>
      </c>
      <c r="DB38" s="179" t="str">
        <f t="shared" si="32"/>
        <v>Tercapai</v>
      </c>
      <c r="DC38" s="178">
        <v>43</v>
      </c>
      <c r="DD38" s="178">
        <v>2302</v>
      </c>
      <c r="DE38" s="179" t="str">
        <f t="shared" si="33"/>
        <v>Tercapai</v>
      </c>
      <c r="DF38" s="178">
        <v>70</v>
      </c>
      <c r="DG38" s="178">
        <v>2007</v>
      </c>
      <c r="DH38" s="179" t="str">
        <f t="shared" si="34"/>
        <v>Tercapai</v>
      </c>
      <c r="DI38" s="178">
        <v>42</v>
      </c>
      <c r="DJ38" s="178">
        <v>1001</v>
      </c>
      <c r="DK38" s="179" t="str">
        <f t="shared" si="35"/>
        <v>Tidak Tercapai</v>
      </c>
      <c r="DL38" s="178">
        <v>22</v>
      </c>
      <c r="DM38" s="178">
        <v>605</v>
      </c>
      <c r="DN38" s="179" t="str">
        <f t="shared" si="36"/>
        <v>Tidak Tercapai</v>
      </c>
      <c r="DO38" s="178">
        <v>13</v>
      </c>
      <c r="DP38" s="178">
        <v>1208</v>
      </c>
      <c r="DQ38" s="179" t="str">
        <f t="shared" si="37"/>
        <v>Tercapai</v>
      </c>
      <c r="DR38" s="178">
        <v>80</v>
      </c>
      <c r="DS38" s="178">
        <v>0</v>
      </c>
      <c r="DT38" s="179" t="str">
        <f t="shared" si="38"/>
        <v>Tidak Tercapai</v>
      </c>
      <c r="DU38" s="178">
        <v>0</v>
      </c>
      <c r="DV38" s="178">
        <v>1537</v>
      </c>
      <c r="DW38" s="179" t="str">
        <f t="shared" si="39"/>
        <v>Tercapai</v>
      </c>
      <c r="DX38" s="178">
        <v>89</v>
      </c>
      <c r="DY38" s="178">
        <v>1243</v>
      </c>
      <c r="DZ38" s="179" t="str">
        <f t="shared" si="40"/>
        <v>Tercapai</v>
      </c>
      <c r="EA38" s="178">
        <v>122</v>
      </c>
      <c r="EB38" s="178">
        <v>952</v>
      </c>
      <c r="EC38" s="179" t="str">
        <f t="shared" si="41"/>
        <v>Tidak Tercapai</v>
      </c>
      <c r="ED38" s="178">
        <v>411</v>
      </c>
      <c r="EE38" s="178">
        <v>481</v>
      </c>
      <c r="EF38" s="179" t="str">
        <f t="shared" si="42"/>
        <v>Tidak Tercapai</v>
      </c>
      <c r="EG38" s="178">
        <v>61</v>
      </c>
      <c r="EH38" s="178">
        <v>167</v>
      </c>
      <c r="EI38" s="179" t="str">
        <f t="shared" si="43"/>
        <v>Tidak Tercapai</v>
      </c>
      <c r="EJ38" s="178">
        <v>27</v>
      </c>
      <c r="EK38" s="178">
        <v>824</v>
      </c>
      <c r="EL38" s="179" t="str">
        <f t="shared" si="44"/>
        <v>Tidak Tercapai</v>
      </c>
      <c r="EM38" s="178">
        <v>1857</v>
      </c>
      <c r="EN38" s="178">
        <v>929</v>
      </c>
      <c r="EO38" s="179" t="str">
        <f t="shared" si="45"/>
        <v>Tidak Tercapai</v>
      </c>
      <c r="EP38" s="178">
        <v>2468</v>
      </c>
      <c r="EQ38" s="178">
        <v>1112</v>
      </c>
      <c r="ER38" s="179" t="str">
        <f t="shared" si="46"/>
        <v>Tidak Tercapai</v>
      </c>
      <c r="ES38" s="178">
        <v>3071</v>
      </c>
      <c r="ET38" s="178">
        <v>1325</v>
      </c>
      <c r="EU38" s="179" t="str">
        <f t="shared" si="47"/>
        <v>Tercapai</v>
      </c>
      <c r="EV38" s="178">
        <v>3465</v>
      </c>
      <c r="EW38" s="178">
        <v>1665</v>
      </c>
      <c r="EX38" s="179" t="str">
        <f t="shared" si="48"/>
        <v>Tercapai</v>
      </c>
      <c r="EY38" s="178">
        <v>3711</v>
      </c>
      <c r="EZ38" s="178">
        <v>2295</v>
      </c>
      <c r="FA38" s="179" t="str">
        <f t="shared" si="49"/>
        <v>Tercapai</v>
      </c>
      <c r="FB38" s="178">
        <v>1668</v>
      </c>
      <c r="FC38" s="178">
        <v>372</v>
      </c>
      <c r="FD38" s="179" t="str">
        <f t="shared" si="50"/>
        <v>Tidak Tercapai</v>
      </c>
      <c r="FE38" s="178">
        <v>941</v>
      </c>
      <c r="FF38" s="178">
        <v>740</v>
      </c>
      <c r="FG38" s="179" t="str">
        <f t="shared" si="51"/>
        <v>Tidak Tercapai</v>
      </c>
      <c r="FH38" s="178">
        <v>3840</v>
      </c>
      <c r="FI38" s="178">
        <v>588</v>
      </c>
      <c r="FJ38" s="179" t="str">
        <f t="shared" si="52"/>
        <v>Tidak Tercapai</v>
      </c>
      <c r="FK38" s="178">
        <v>3456</v>
      </c>
      <c r="FL38" s="182">
        <v>0</v>
      </c>
      <c r="FM38" s="179" t="str">
        <f t="shared" si="53"/>
        <v>Tidak Tercapai</v>
      </c>
      <c r="FN38" s="178">
        <v>2113</v>
      </c>
      <c r="FO38" s="178">
        <v>0</v>
      </c>
      <c r="FP38" s="179" t="str">
        <f t="shared" si="54"/>
        <v>Tidak Tercapai</v>
      </c>
      <c r="FQ38" s="178">
        <v>0</v>
      </c>
      <c r="FR38" s="178">
        <v>6893</v>
      </c>
      <c r="FS38" s="179" t="str">
        <f t="shared" si="55"/>
        <v>Tercapai</v>
      </c>
      <c r="FT38" s="178">
        <v>4382</v>
      </c>
      <c r="FU38" s="178">
        <v>3489</v>
      </c>
      <c r="FV38" s="179" t="str">
        <f t="shared" si="56"/>
        <v>Tercapai</v>
      </c>
      <c r="FW38" s="178">
        <v>7791</v>
      </c>
      <c r="FX38" s="178">
        <v>1621</v>
      </c>
      <c r="FY38" s="179" t="str">
        <f t="shared" si="57"/>
        <v>Tercapai</v>
      </c>
      <c r="FZ38" s="178">
        <v>558</v>
      </c>
      <c r="GA38" s="178">
        <v>1118</v>
      </c>
      <c r="GB38" s="179" t="str">
        <f t="shared" si="58"/>
        <v>Tercapai</v>
      </c>
      <c r="GC38" s="178">
        <v>2742</v>
      </c>
      <c r="GD38" s="178">
        <v>609</v>
      </c>
      <c r="GE38" s="179" t="str">
        <f t="shared" si="59"/>
        <v>Tidak Tercapai</v>
      </c>
      <c r="GF38" s="178">
        <v>1837</v>
      </c>
      <c r="GG38" s="178">
        <v>112</v>
      </c>
      <c r="GH38" s="179" t="str">
        <f t="shared" si="60"/>
        <v>Tidak Tercapai</v>
      </c>
      <c r="GI38" s="178">
        <v>322</v>
      </c>
      <c r="GJ38" s="178">
        <v>785</v>
      </c>
      <c r="GK38" s="179" t="str">
        <f t="shared" si="61"/>
        <v>Tidak Tercapai</v>
      </c>
      <c r="GL38" s="178">
        <v>2545</v>
      </c>
      <c r="GM38" s="178">
        <v>815</v>
      </c>
      <c r="GN38" s="179" t="str">
        <f t="shared" si="62"/>
        <v>Tidak Tercapai</v>
      </c>
      <c r="GO38" s="178">
        <v>2706</v>
      </c>
      <c r="GP38" s="178">
        <v>543</v>
      </c>
      <c r="GQ38" s="179" t="str">
        <f t="shared" si="63"/>
        <v>Tidak Tercapai</v>
      </c>
      <c r="GR38" s="178">
        <v>1322</v>
      </c>
      <c r="GS38" s="178">
        <v>245</v>
      </c>
      <c r="GT38" s="179" t="str">
        <f t="shared" si="64"/>
        <v>Tidak Tercapai</v>
      </c>
      <c r="GU38" s="178">
        <v>453</v>
      </c>
      <c r="GV38" s="178">
        <v>1215</v>
      </c>
      <c r="GW38" s="179" t="str">
        <f t="shared" si="65"/>
        <v>Tercapai</v>
      </c>
      <c r="GX38" s="178">
        <v>2328</v>
      </c>
      <c r="GY38" s="178">
        <v>76</v>
      </c>
      <c r="GZ38" s="179" t="str">
        <f t="shared" si="66"/>
        <v>Tidak Tercapai</v>
      </c>
      <c r="HA38" s="178">
        <v>120</v>
      </c>
      <c r="HB38" s="178">
        <v>1078</v>
      </c>
      <c r="HC38" s="179" t="str">
        <f t="shared" si="67"/>
        <v>Tidak Tercapai</v>
      </c>
      <c r="HD38" s="178">
        <v>2360</v>
      </c>
      <c r="HE38" s="178">
        <v>823</v>
      </c>
      <c r="HF38" s="179" t="str">
        <f t="shared" si="68"/>
        <v>Tidak Tercapai</v>
      </c>
      <c r="HG38" s="178">
        <v>1498</v>
      </c>
      <c r="HH38" s="178">
        <v>432</v>
      </c>
      <c r="HI38" s="179" t="str">
        <f t="shared" si="69"/>
        <v>Tidak Tercapai</v>
      </c>
      <c r="HJ38" s="178">
        <v>109</v>
      </c>
      <c r="HK38" s="178">
        <v>801</v>
      </c>
      <c r="HL38" s="179" t="str">
        <f t="shared" si="70"/>
        <v>Tidak Tercapai</v>
      </c>
      <c r="HM38" s="178">
        <v>2035</v>
      </c>
      <c r="HN38" s="178">
        <v>316</v>
      </c>
      <c r="HO38" s="179" t="str">
        <f t="shared" si="71"/>
        <v>Tidak Tercapai</v>
      </c>
      <c r="HP38" s="178">
        <v>205</v>
      </c>
      <c r="HQ38" s="178">
        <v>897</v>
      </c>
      <c r="HR38" s="179" t="str">
        <f t="shared" si="72"/>
        <v>Tidak Tercapai</v>
      </c>
      <c r="HS38" s="178">
        <v>1598</v>
      </c>
      <c r="HT38" s="178">
        <v>1048</v>
      </c>
      <c r="HU38" s="179" t="str">
        <f t="shared" si="73"/>
        <v>Tidak Tercapai</v>
      </c>
      <c r="HV38" s="178">
        <v>923</v>
      </c>
      <c r="HW38" s="178">
        <v>1074</v>
      </c>
      <c r="HX38" s="179" t="str">
        <f t="shared" si="74"/>
        <v>Tidak Tercapai</v>
      </c>
      <c r="HY38" s="178">
        <v>1726</v>
      </c>
      <c r="HZ38" s="178">
        <v>864</v>
      </c>
      <c r="IA38" s="179" t="str">
        <f t="shared" si="75"/>
        <v>Tidak Tercapai</v>
      </c>
      <c r="IB38" s="178">
        <v>2353</v>
      </c>
      <c r="IC38" s="178">
        <v>1090</v>
      </c>
      <c r="ID38" s="179" t="str">
        <f t="shared" si="76"/>
        <v>Tidak Tercapai</v>
      </c>
      <c r="IE38" s="178">
        <v>4460</v>
      </c>
      <c r="IF38" s="178">
        <v>148</v>
      </c>
      <c r="IG38" s="179" t="str">
        <f t="shared" si="77"/>
        <v>Tidak Tercapai</v>
      </c>
      <c r="IH38" s="178">
        <v>687</v>
      </c>
      <c r="II38" s="178">
        <v>1</v>
      </c>
      <c r="IJ38" s="179" t="str">
        <f t="shared" si="78"/>
        <v>Tidak Tercapai</v>
      </c>
      <c r="IK38" s="178">
        <v>2</v>
      </c>
      <c r="IL38" s="42"/>
      <c r="IM38" s="42"/>
      <c r="IN38" s="42"/>
      <c r="IO38" s="42"/>
      <c r="IP38" s="42"/>
      <c r="IQ38" s="42"/>
      <c r="IR38" s="42"/>
      <c r="IS38" s="42"/>
      <c r="IT38" s="42"/>
      <c r="IU38" s="42"/>
      <c r="IV38" s="42"/>
    </row>
    <row r="39" spans="1:256" ht="15.6" x14ac:dyDescent="0.3">
      <c r="A39" s="167">
        <v>37</v>
      </c>
      <c r="B39" s="168" t="s">
        <v>497</v>
      </c>
      <c r="C39" s="167" t="s">
        <v>481</v>
      </c>
      <c r="D39" s="169">
        <v>114661</v>
      </c>
      <c r="E39" s="167">
        <v>1102</v>
      </c>
      <c r="F39" s="187">
        <v>45816</v>
      </c>
      <c r="G39" s="171" t="s">
        <v>457</v>
      </c>
      <c r="H39" s="187">
        <v>15372</v>
      </c>
      <c r="I39" s="187">
        <v>248</v>
      </c>
      <c r="J39" s="171" t="str">
        <f t="shared" si="0"/>
        <v>Tidak Tercapai</v>
      </c>
      <c r="K39" s="187">
        <v>0</v>
      </c>
      <c r="L39" s="187">
        <v>0</v>
      </c>
      <c r="M39" s="171" t="str">
        <f t="shared" si="1"/>
        <v>Tidak Tercapai</v>
      </c>
      <c r="N39" s="187">
        <v>0</v>
      </c>
      <c r="O39" s="167">
        <v>897</v>
      </c>
      <c r="P39" s="171" t="str">
        <f t="shared" si="2"/>
        <v>Tidak Tercapai</v>
      </c>
      <c r="Q39" s="172">
        <v>43</v>
      </c>
      <c r="R39" s="188">
        <v>871</v>
      </c>
      <c r="S39" s="173" t="str">
        <f t="shared" si="3"/>
        <v>Tidak Tercapai</v>
      </c>
      <c r="T39" s="172">
        <v>43</v>
      </c>
      <c r="U39" s="174">
        <v>773</v>
      </c>
      <c r="V39" s="173" t="str">
        <f t="shared" si="4"/>
        <v>Tidak Tercapai</v>
      </c>
      <c r="W39" s="175">
        <v>17</v>
      </c>
      <c r="X39" s="188">
        <v>871</v>
      </c>
      <c r="Y39" s="176" t="str">
        <f t="shared" si="5"/>
        <v>Tidak Tercapai</v>
      </c>
      <c r="Z39" s="177">
        <v>12</v>
      </c>
      <c r="AA39" s="178">
        <v>1376</v>
      </c>
      <c r="AB39" s="179" t="str">
        <f t="shared" si="6"/>
        <v>Tercapai</v>
      </c>
      <c r="AC39" s="178">
        <v>16</v>
      </c>
      <c r="AD39" s="184">
        <v>725</v>
      </c>
      <c r="AE39" s="179" t="str">
        <f t="shared" si="7"/>
        <v>Tidak Tercapai</v>
      </c>
      <c r="AF39" s="178">
        <v>0</v>
      </c>
      <c r="AG39" s="178">
        <v>0</v>
      </c>
      <c r="AH39" s="179" t="str">
        <f t="shared" si="8"/>
        <v>Tidak Tercapai</v>
      </c>
      <c r="AI39" s="178">
        <v>0</v>
      </c>
      <c r="AJ39" s="184">
        <v>1412</v>
      </c>
      <c r="AK39" s="179" t="str">
        <f t="shared" si="9"/>
        <v>Tercapai</v>
      </c>
      <c r="AL39" s="184">
        <v>9</v>
      </c>
      <c r="AM39" s="184">
        <v>1271</v>
      </c>
      <c r="AN39" s="179" t="str">
        <f t="shared" si="10"/>
        <v>Tercapai</v>
      </c>
      <c r="AO39" s="184">
        <v>13</v>
      </c>
      <c r="AP39" s="178">
        <v>1419</v>
      </c>
      <c r="AQ39" s="179" t="str">
        <f t="shared" si="11"/>
        <v>Tercapai</v>
      </c>
      <c r="AR39" s="178">
        <v>4</v>
      </c>
      <c r="AS39" s="178">
        <v>1462</v>
      </c>
      <c r="AT39" s="179" t="str">
        <f t="shared" si="12"/>
        <v>Tercapai</v>
      </c>
      <c r="AU39" s="178">
        <v>13</v>
      </c>
      <c r="AV39" s="170">
        <v>2185</v>
      </c>
      <c r="AW39" s="179" t="str">
        <f t="shared" si="13"/>
        <v>Tercapai</v>
      </c>
      <c r="AX39" s="178">
        <v>19</v>
      </c>
      <c r="AY39" s="178">
        <v>761</v>
      </c>
      <c r="AZ39" s="179" t="str">
        <f t="shared" si="14"/>
        <v>Tidak Tercapai</v>
      </c>
      <c r="BA39" s="178">
        <v>2</v>
      </c>
      <c r="BB39" s="183">
        <v>21</v>
      </c>
      <c r="BC39" s="179" t="str">
        <f t="shared" si="15"/>
        <v>Tidak Tercapai</v>
      </c>
      <c r="BD39" s="178">
        <v>0</v>
      </c>
      <c r="BE39" s="184">
        <v>1228</v>
      </c>
      <c r="BF39" s="179" t="str">
        <f t="shared" si="16"/>
        <v>Tercapai</v>
      </c>
      <c r="BG39" s="170">
        <v>11</v>
      </c>
      <c r="BH39" s="184">
        <v>1282</v>
      </c>
      <c r="BI39" s="179" t="str">
        <f t="shared" si="17"/>
        <v>Tercapai</v>
      </c>
      <c r="BJ39" s="184">
        <v>3</v>
      </c>
      <c r="BK39" s="184">
        <v>1592</v>
      </c>
      <c r="BL39" s="179" t="str">
        <f t="shared" si="18"/>
        <v>Tercapai</v>
      </c>
      <c r="BM39" s="184">
        <v>15</v>
      </c>
      <c r="BN39" s="184">
        <v>1795</v>
      </c>
      <c r="BO39" s="179" t="str">
        <f t="shared" si="19"/>
        <v>Tercapai</v>
      </c>
      <c r="BP39" s="184">
        <v>30</v>
      </c>
      <c r="BQ39" s="184">
        <v>1803</v>
      </c>
      <c r="BR39" s="179" t="str">
        <f t="shared" si="20"/>
        <v>Tercapai</v>
      </c>
      <c r="BS39" s="184">
        <v>8</v>
      </c>
      <c r="BT39" s="184">
        <v>3615</v>
      </c>
      <c r="BU39" s="179" t="str">
        <f t="shared" si="21"/>
        <v>Tercapai</v>
      </c>
      <c r="BV39" s="185">
        <v>15.648999999999999</v>
      </c>
      <c r="BW39" s="184">
        <v>781</v>
      </c>
      <c r="BX39" s="179" t="str">
        <f t="shared" si="22"/>
        <v>Tidak Tercapai</v>
      </c>
      <c r="BY39" s="184">
        <v>2</v>
      </c>
      <c r="BZ39" s="184">
        <v>1260</v>
      </c>
      <c r="CA39" s="179" t="str">
        <f t="shared" si="23"/>
        <v>Tercapai</v>
      </c>
      <c r="CB39" s="184">
        <v>901</v>
      </c>
      <c r="CC39" s="184">
        <v>3568</v>
      </c>
      <c r="CD39" s="179" t="str">
        <f t="shared" si="24"/>
        <v>Tercapai</v>
      </c>
      <c r="CE39" s="184">
        <v>29</v>
      </c>
      <c r="CF39" s="184">
        <v>1424</v>
      </c>
      <c r="CG39" s="179" t="str">
        <f t="shared" si="25"/>
        <v>Tercapai</v>
      </c>
      <c r="CH39" s="184">
        <v>17</v>
      </c>
      <c r="CI39" s="184">
        <v>2587</v>
      </c>
      <c r="CJ39" s="179" t="str">
        <f t="shared" si="26"/>
        <v>Tercapai</v>
      </c>
      <c r="CK39" s="184">
        <v>34</v>
      </c>
      <c r="CL39" s="184">
        <v>441</v>
      </c>
      <c r="CM39" s="179" t="str">
        <f t="shared" si="27"/>
        <v>Tidak Tercapai</v>
      </c>
      <c r="CN39" s="184">
        <v>13</v>
      </c>
      <c r="CO39" s="184">
        <v>876</v>
      </c>
      <c r="CP39" s="179" t="str">
        <f t="shared" si="28"/>
        <v>Tidak Tercapai</v>
      </c>
      <c r="CQ39" s="184">
        <v>4</v>
      </c>
      <c r="CR39" s="184">
        <v>109</v>
      </c>
      <c r="CS39" s="179" t="str">
        <f t="shared" si="29"/>
        <v>Tidak Tercapai</v>
      </c>
      <c r="CT39" s="184">
        <v>5</v>
      </c>
      <c r="CU39" s="184">
        <v>48</v>
      </c>
      <c r="CV39" s="179" t="str">
        <f t="shared" si="30"/>
        <v>Tidak Tercapai</v>
      </c>
      <c r="CW39" s="184">
        <v>0</v>
      </c>
      <c r="CX39" s="184">
        <v>7576</v>
      </c>
      <c r="CY39" s="179" t="str">
        <f t="shared" si="31"/>
        <v>Tercapai</v>
      </c>
      <c r="CZ39" s="184">
        <v>72</v>
      </c>
      <c r="DA39" s="184">
        <v>2218</v>
      </c>
      <c r="DB39" s="179" t="str">
        <f t="shared" si="32"/>
        <v>Tercapai</v>
      </c>
      <c r="DC39" s="184">
        <v>38</v>
      </c>
      <c r="DD39" s="184">
        <v>2099</v>
      </c>
      <c r="DE39" s="179" t="str">
        <f t="shared" si="33"/>
        <v>Tercapai</v>
      </c>
      <c r="DF39" s="184">
        <v>25</v>
      </c>
      <c r="DG39" s="184">
        <v>3720</v>
      </c>
      <c r="DH39" s="179" t="str">
        <f t="shared" si="34"/>
        <v>Tercapai</v>
      </c>
      <c r="DI39" s="184">
        <v>14</v>
      </c>
      <c r="DJ39" s="184">
        <v>1352</v>
      </c>
      <c r="DK39" s="179" t="str">
        <f t="shared" si="35"/>
        <v>Tercapai</v>
      </c>
      <c r="DL39" s="184">
        <v>8</v>
      </c>
      <c r="DM39" s="184">
        <v>2297</v>
      </c>
      <c r="DN39" s="179" t="str">
        <f t="shared" si="36"/>
        <v>Tercapai</v>
      </c>
      <c r="DO39" s="184">
        <v>7</v>
      </c>
      <c r="DP39" s="184">
        <v>1654</v>
      </c>
      <c r="DQ39" s="179" t="str">
        <f t="shared" si="37"/>
        <v>Tercapai</v>
      </c>
      <c r="DR39" s="184">
        <v>110</v>
      </c>
      <c r="DS39" s="184">
        <v>179</v>
      </c>
      <c r="DT39" s="179" t="str">
        <f t="shared" si="38"/>
        <v>Tidak Tercapai</v>
      </c>
      <c r="DU39" s="184">
        <v>0</v>
      </c>
      <c r="DV39" s="184">
        <v>1116</v>
      </c>
      <c r="DW39" s="179" t="str">
        <f t="shared" si="39"/>
        <v>Tercapai</v>
      </c>
      <c r="DX39" s="184">
        <v>83</v>
      </c>
      <c r="DY39" s="184">
        <v>1174</v>
      </c>
      <c r="DZ39" s="179" t="str">
        <f t="shared" si="40"/>
        <v>Tercapai</v>
      </c>
      <c r="EA39" s="184">
        <v>874</v>
      </c>
      <c r="EB39" s="184">
        <v>1176</v>
      </c>
      <c r="EC39" s="179" t="str">
        <f t="shared" si="41"/>
        <v>Tercapai</v>
      </c>
      <c r="ED39" s="184">
        <v>1419</v>
      </c>
      <c r="EE39" s="184">
        <v>631</v>
      </c>
      <c r="EF39" s="179" t="str">
        <f t="shared" si="42"/>
        <v>Tidak Tercapai</v>
      </c>
      <c r="EG39" s="184">
        <v>295</v>
      </c>
      <c r="EH39" s="184">
        <v>206</v>
      </c>
      <c r="EI39" s="179" t="str">
        <f t="shared" si="43"/>
        <v>Tidak Tercapai</v>
      </c>
      <c r="EJ39" s="184">
        <v>274</v>
      </c>
      <c r="EK39" s="184">
        <v>735</v>
      </c>
      <c r="EL39" s="179" t="str">
        <f t="shared" si="44"/>
        <v>Tidak Tercapai</v>
      </c>
      <c r="EM39" s="184">
        <v>1497</v>
      </c>
      <c r="EN39" s="184">
        <v>795</v>
      </c>
      <c r="EO39" s="179" t="str">
        <f t="shared" si="45"/>
        <v>Tidak Tercapai</v>
      </c>
      <c r="EP39" s="184">
        <v>949</v>
      </c>
      <c r="EQ39" s="184">
        <v>822</v>
      </c>
      <c r="ER39" s="179" t="str">
        <f t="shared" si="46"/>
        <v>Tidak Tercapai</v>
      </c>
      <c r="ES39" s="178">
        <v>3281</v>
      </c>
      <c r="ET39" s="184">
        <v>936</v>
      </c>
      <c r="EU39" s="179" t="str">
        <f t="shared" si="47"/>
        <v>Tidak Tercapai</v>
      </c>
      <c r="EV39" s="184">
        <v>3230</v>
      </c>
      <c r="EW39" s="184">
        <v>716</v>
      </c>
      <c r="EX39" s="179" t="str">
        <f t="shared" si="48"/>
        <v>Tidak Tercapai</v>
      </c>
      <c r="EY39" s="184">
        <v>3515</v>
      </c>
      <c r="EZ39" s="184">
        <v>876</v>
      </c>
      <c r="FA39" s="179" t="str">
        <f t="shared" si="49"/>
        <v>Tidak Tercapai</v>
      </c>
      <c r="FB39" s="184">
        <v>1632</v>
      </c>
      <c r="FC39" s="184">
        <v>801</v>
      </c>
      <c r="FD39" s="179" t="str">
        <f t="shared" si="50"/>
        <v>Tidak Tercapai</v>
      </c>
      <c r="FE39" s="184">
        <v>2214</v>
      </c>
      <c r="FF39" s="184">
        <v>858</v>
      </c>
      <c r="FG39" s="179" t="str">
        <f t="shared" si="51"/>
        <v>Tidak Tercapai</v>
      </c>
      <c r="FH39" s="184">
        <v>2536</v>
      </c>
      <c r="FI39" s="184">
        <v>920</v>
      </c>
      <c r="FJ39" s="179" t="str">
        <f t="shared" si="52"/>
        <v>Tidak Tercapai</v>
      </c>
      <c r="FK39" s="184">
        <v>1948</v>
      </c>
      <c r="FL39" s="186">
        <v>0</v>
      </c>
      <c r="FM39" s="179" t="str">
        <f t="shared" si="53"/>
        <v>Tidak Tercapai</v>
      </c>
      <c r="FN39" s="184">
        <v>1182</v>
      </c>
      <c r="FO39" s="184">
        <v>372</v>
      </c>
      <c r="FP39" s="179" t="str">
        <f t="shared" si="54"/>
        <v>Tidak Tercapai</v>
      </c>
      <c r="FQ39" s="184">
        <v>395</v>
      </c>
      <c r="FR39" s="184">
        <v>686</v>
      </c>
      <c r="FS39" s="179" t="str">
        <f t="shared" si="55"/>
        <v>Tidak Tercapai</v>
      </c>
      <c r="FT39" s="184">
        <v>1888</v>
      </c>
      <c r="FU39" s="184">
        <v>2872</v>
      </c>
      <c r="FV39" s="179" t="str">
        <f t="shared" si="56"/>
        <v>Tercapai</v>
      </c>
      <c r="FW39" s="184">
        <v>2468</v>
      </c>
      <c r="FX39" s="184">
        <v>2562</v>
      </c>
      <c r="FY39" s="179" t="str">
        <f t="shared" si="57"/>
        <v>Tercapai</v>
      </c>
      <c r="FZ39" s="184">
        <v>14942</v>
      </c>
      <c r="GA39" s="184">
        <v>705</v>
      </c>
      <c r="GB39" s="179" t="str">
        <f t="shared" si="58"/>
        <v>Tidak Tercapai</v>
      </c>
      <c r="GC39" s="184">
        <v>1994</v>
      </c>
      <c r="GD39" s="184">
        <v>396</v>
      </c>
      <c r="GE39" s="179" t="str">
        <f t="shared" si="59"/>
        <v>Tidak Tercapai</v>
      </c>
      <c r="GF39" s="184">
        <v>1037</v>
      </c>
      <c r="GG39" s="184">
        <v>64</v>
      </c>
      <c r="GH39" s="179" t="str">
        <f t="shared" si="60"/>
        <v>Tidak Tercapai</v>
      </c>
      <c r="GI39" s="184">
        <v>228</v>
      </c>
      <c r="GJ39" s="184">
        <v>536</v>
      </c>
      <c r="GK39" s="179" t="str">
        <f t="shared" si="61"/>
        <v>Tidak Tercapai</v>
      </c>
      <c r="GL39" s="184">
        <v>1796</v>
      </c>
      <c r="GM39" s="184">
        <v>774</v>
      </c>
      <c r="GN39" s="179" t="str">
        <f t="shared" si="62"/>
        <v>Tidak Tercapai</v>
      </c>
      <c r="GO39" s="184">
        <v>2035</v>
      </c>
      <c r="GP39" s="184">
        <v>1072</v>
      </c>
      <c r="GQ39" s="179" t="str">
        <f t="shared" si="63"/>
        <v>Tidak Tercapai</v>
      </c>
      <c r="GR39" s="184">
        <v>1080</v>
      </c>
      <c r="GS39" s="184">
        <v>1343</v>
      </c>
      <c r="GT39" s="179" t="str">
        <f t="shared" si="64"/>
        <v>Tercapai</v>
      </c>
      <c r="GU39" s="184">
        <v>829</v>
      </c>
      <c r="GV39" s="184">
        <v>780</v>
      </c>
      <c r="GW39" s="179" t="str">
        <f t="shared" si="65"/>
        <v>Tidak Tercapai</v>
      </c>
      <c r="GX39" s="184">
        <v>1186</v>
      </c>
      <c r="GY39" s="184">
        <v>212</v>
      </c>
      <c r="GZ39" s="179" t="str">
        <f t="shared" si="66"/>
        <v>Tidak Tercapai</v>
      </c>
      <c r="HA39" s="184">
        <v>49</v>
      </c>
      <c r="HB39" s="184">
        <v>814</v>
      </c>
      <c r="HC39" s="179" t="str">
        <f t="shared" si="67"/>
        <v>Tidak Tercapai</v>
      </c>
      <c r="HD39" s="184">
        <v>1067</v>
      </c>
      <c r="HE39" s="184">
        <v>629</v>
      </c>
      <c r="HF39" s="179" t="str">
        <f t="shared" si="68"/>
        <v>Tidak Tercapai</v>
      </c>
      <c r="HG39" s="184">
        <v>1299</v>
      </c>
      <c r="HH39" s="184">
        <v>711</v>
      </c>
      <c r="HI39" s="179" t="str">
        <f t="shared" si="69"/>
        <v>Tidak Tercapai</v>
      </c>
      <c r="HJ39" s="184">
        <v>1375</v>
      </c>
      <c r="HK39" s="184">
        <v>703</v>
      </c>
      <c r="HL39" s="179" t="str">
        <f t="shared" si="70"/>
        <v>Tidak Tercapai</v>
      </c>
      <c r="HM39" s="184">
        <v>1157</v>
      </c>
      <c r="HN39" s="184">
        <v>181</v>
      </c>
      <c r="HO39" s="179" t="str">
        <f t="shared" si="71"/>
        <v>Tidak Tercapai</v>
      </c>
      <c r="HP39" s="184">
        <v>630</v>
      </c>
      <c r="HQ39" s="184">
        <v>443</v>
      </c>
      <c r="HR39" s="179" t="str">
        <f t="shared" si="72"/>
        <v>Tidak Tercapai</v>
      </c>
      <c r="HS39" s="184">
        <v>1101</v>
      </c>
      <c r="HT39" s="184">
        <v>446</v>
      </c>
      <c r="HU39" s="179" t="str">
        <f t="shared" si="73"/>
        <v>Tidak Tercapai</v>
      </c>
      <c r="HV39" s="184">
        <v>618</v>
      </c>
      <c r="HW39" s="184">
        <v>552</v>
      </c>
      <c r="HX39" s="179" t="str">
        <f t="shared" si="74"/>
        <v>Tidak Tercapai</v>
      </c>
      <c r="HY39" s="184">
        <v>1243</v>
      </c>
      <c r="HZ39" s="184">
        <v>483</v>
      </c>
      <c r="IA39" s="179" t="str">
        <f t="shared" si="75"/>
        <v>Tidak Tercapai</v>
      </c>
      <c r="IB39" s="184">
        <v>1568</v>
      </c>
      <c r="IC39" s="184">
        <v>857</v>
      </c>
      <c r="ID39" s="179" t="str">
        <f t="shared" si="76"/>
        <v>Tidak Tercapai</v>
      </c>
      <c r="IE39" s="184">
        <v>2424</v>
      </c>
      <c r="IF39" s="184">
        <v>85</v>
      </c>
      <c r="IG39" s="179" t="str">
        <f t="shared" si="77"/>
        <v>Tidak Tercapai</v>
      </c>
      <c r="IH39" s="184">
        <v>133</v>
      </c>
      <c r="II39" s="184">
        <v>5</v>
      </c>
      <c r="IJ39" s="179" t="str">
        <f t="shared" si="78"/>
        <v>Tidak Tercapai</v>
      </c>
      <c r="IK39" s="184">
        <v>17</v>
      </c>
      <c r="IL39" s="42"/>
      <c r="IM39" s="42"/>
      <c r="IN39" s="42"/>
      <c r="IO39" s="42"/>
      <c r="IP39" s="42"/>
      <c r="IQ39" s="42"/>
      <c r="IR39" s="42"/>
      <c r="IS39" s="42"/>
      <c r="IT39" s="42"/>
      <c r="IU39" s="42"/>
      <c r="IV39" s="42"/>
    </row>
    <row r="40" spans="1:256" ht="15.6" x14ac:dyDescent="0.3">
      <c r="A40" s="167">
        <v>38</v>
      </c>
      <c r="B40" s="168" t="s">
        <v>498</v>
      </c>
      <c r="C40" s="167" t="s">
        <v>481</v>
      </c>
      <c r="D40" s="169">
        <v>104180</v>
      </c>
      <c r="E40" s="167">
        <v>1099</v>
      </c>
      <c r="F40" s="187">
        <v>77377</v>
      </c>
      <c r="G40" s="171" t="s">
        <v>457</v>
      </c>
      <c r="H40" s="187">
        <v>57501</v>
      </c>
      <c r="I40" s="187">
        <v>427</v>
      </c>
      <c r="J40" s="171" t="str">
        <f t="shared" si="0"/>
        <v>Tidak Tercapai</v>
      </c>
      <c r="K40" s="187">
        <v>34</v>
      </c>
      <c r="L40" s="187">
        <v>0</v>
      </c>
      <c r="M40" s="171" t="str">
        <f t="shared" si="1"/>
        <v>Tidak Tercapai</v>
      </c>
      <c r="N40" s="187">
        <v>0</v>
      </c>
      <c r="O40" s="167">
        <v>1084</v>
      </c>
      <c r="P40" s="171" t="str">
        <f t="shared" si="2"/>
        <v>Tidak Tercapai</v>
      </c>
      <c r="Q40" s="172">
        <v>131</v>
      </c>
      <c r="R40" s="188">
        <v>1932</v>
      </c>
      <c r="S40" s="173" t="str">
        <f t="shared" si="3"/>
        <v>Tercapai</v>
      </c>
      <c r="T40" s="172">
        <v>67</v>
      </c>
      <c r="U40" s="174">
        <v>1419</v>
      </c>
      <c r="V40" s="173" t="str">
        <f t="shared" si="4"/>
        <v>Tidak Tercapai</v>
      </c>
      <c r="W40" s="175">
        <v>167</v>
      </c>
      <c r="X40" s="188">
        <v>1932</v>
      </c>
      <c r="Y40" s="176" t="str">
        <f t="shared" si="5"/>
        <v>Tercapai</v>
      </c>
      <c r="Z40" s="177">
        <v>281</v>
      </c>
      <c r="AA40" s="178">
        <v>1949</v>
      </c>
      <c r="AB40" s="179" t="str">
        <f t="shared" si="6"/>
        <v>Tercapai</v>
      </c>
      <c r="AC40" s="178">
        <v>113</v>
      </c>
      <c r="AD40" s="184">
        <v>496</v>
      </c>
      <c r="AE40" s="179" t="str">
        <f t="shared" si="7"/>
        <v>Tidak Tercapai</v>
      </c>
      <c r="AF40" s="178">
        <v>3</v>
      </c>
      <c r="AG40" s="178">
        <v>484</v>
      </c>
      <c r="AH40" s="179" t="str">
        <f t="shared" si="8"/>
        <v>Tidak Tercapai</v>
      </c>
      <c r="AI40" s="178">
        <v>3</v>
      </c>
      <c r="AJ40" s="184">
        <v>2018</v>
      </c>
      <c r="AK40" s="179" t="str">
        <f t="shared" si="9"/>
        <v>Tercapai</v>
      </c>
      <c r="AL40" s="184">
        <v>127</v>
      </c>
      <c r="AM40" s="184">
        <v>1640</v>
      </c>
      <c r="AN40" s="179" t="str">
        <f t="shared" si="10"/>
        <v>Tercapai</v>
      </c>
      <c r="AO40" s="184">
        <v>84</v>
      </c>
      <c r="AP40" s="178">
        <v>1992</v>
      </c>
      <c r="AQ40" s="179" t="str">
        <f t="shared" si="11"/>
        <v>Tercapai</v>
      </c>
      <c r="AR40" s="178">
        <v>38</v>
      </c>
      <c r="AS40" s="178">
        <v>1360</v>
      </c>
      <c r="AT40" s="179" t="str">
        <f t="shared" si="12"/>
        <v>Tercapai</v>
      </c>
      <c r="AU40" s="178">
        <v>15</v>
      </c>
      <c r="AV40" s="170">
        <v>1423</v>
      </c>
      <c r="AW40" s="179" t="str">
        <f t="shared" si="13"/>
        <v>Tercapai</v>
      </c>
      <c r="AX40" s="178">
        <v>238</v>
      </c>
      <c r="AY40" s="178">
        <v>195</v>
      </c>
      <c r="AZ40" s="179" t="str">
        <f t="shared" si="14"/>
        <v>Tidak Tercapai</v>
      </c>
      <c r="BA40" s="178">
        <v>5</v>
      </c>
      <c r="BB40" s="183">
        <v>0</v>
      </c>
      <c r="BC40" s="179" t="str">
        <f t="shared" si="15"/>
        <v>Tidak Tercapai</v>
      </c>
      <c r="BD40" s="178">
        <v>4</v>
      </c>
      <c r="BE40" s="184">
        <v>1980</v>
      </c>
      <c r="BF40" s="179" t="str">
        <f t="shared" si="16"/>
        <v>Tercapai</v>
      </c>
      <c r="BG40" s="170">
        <v>60</v>
      </c>
      <c r="BH40" s="184">
        <v>1802</v>
      </c>
      <c r="BI40" s="179" t="str">
        <f t="shared" si="17"/>
        <v>Tercapai</v>
      </c>
      <c r="BJ40" s="184">
        <v>29</v>
      </c>
      <c r="BK40" s="184">
        <v>2019</v>
      </c>
      <c r="BL40" s="179" t="str">
        <f t="shared" si="18"/>
        <v>Tercapai</v>
      </c>
      <c r="BM40" s="184">
        <v>76</v>
      </c>
      <c r="BN40" s="184">
        <v>1671</v>
      </c>
      <c r="BO40" s="179" t="str">
        <f t="shared" si="19"/>
        <v>Tercapai</v>
      </c>
      <c r="BP40" s="184">
        <v>44</v>
      </c>
      <c r="BQ40" s="184">
        <v>1227</v>
      </c>
      <c r="BR40" s="179" t="str">
        <f t="shared" si="20"/>
        <v>Tercapai</v>
      </c>
      <c r="BS40" s="184">
        <v>23</v>
      </c>
      <c r="BT40" s="184">
        <v>2264</v>
      </c>
      <c r="BU40" s="179" t="str">
        <f t="shared" si="21"/>
        <v>Tercapai</v>
      </c>
      <c r="BV40" s="185">
        <v>58.433999999999997</v>
      </c>
      <c r="BW40" s="184">
        <v>144</v>
      </c>
      <c r="BX40" s="179" t="str">
        <f t="shared" si="22"/>
        <v>Tidak Tercapai</v>
      </c>
      <c r="BY40" s="184">
        <v>0</v>
      </c>
      <c r="BZ40" s="184">
        <v>1750</v>
      </c>
      <c r="CA40" s="179" t="str">
        <f t="shared" si="23"/>
        <v>Tercapai</v>
      </c>
      <c r="CB40" s="184">
        <v>6263</v>
      </c>
      <c r="CC40" s="184">
        <v>2450</v>
      </c>
      <c r="CD40" s="179" t="str">
        <f t="shared" si="24"/>
        <v>Tercapai</v>
      </c>
      <c r="CE40" s="184">
        <v>92</v>
      </c>
      <c r="CF40" s="184">
        <v>1427</v>
      </c>
      <c r="CG40" s="179" t="str">
        <f t="shared" si="25"/>
        <v>Tercapai</v>
      </c>
      <c r="CH40" s="184">
        <v>52</v>
      </c>
      <c r="CI40" s="184">
        <v>309</v>
      </c>
      <c r="CJ40" s="179" t="str">
        <f t="shared" si="26"/>
        <v>Tidak Tercapai</v>
      </c>
      <c r="CK40" s="184">
        <v>101</v>
      </c>
      <c r="CL40" s="184">
        <v>785</v>
      </c>
      <c r="CM40" s="179" t="str">
        <f t="shared" si="27"/>
        <v>Tidak Tercapai</v>
      </c>
      <c r="CN40" s="184">
        <v>13</v>
      </c>
      <c r="CO40" s="184">
        <v>306</v>
      </c>
      <c r="CP40" s="179" t="str">
        <f t="shared" si="28"/>
        <v>Tidak Tercapai</v>
      </c>
      <c r="CQ40" s="184">
        <v>208</v>
      </c>
      <c r="CR40" s="184">
        <v>3</v>
      </c>
      <c r="CS40" s="179" t="str">
        <f t="shared" si="29"/>
        <v>Tidak Tercapai</v>
      </c>
      <c r="CT40" s="184">
        <v>35</v>
      </c>
      <c r="CU40" s="184">
        <v>114</v>
      </c>
      <c r="CV40" s="179" t="str">
        <f t="shared" si="30"/>
        <v>Tidak Tercapai</v>
      </c>
      <c r="CW40" s="184">
        <v>3</v>
      </c>
      <c r="CX40" s="184">
        <v>2913</v>
      </c>
      <c r="CY40" s="179" t="str">
        <f t="shared" si="31"/>
        <v>Tercapai</v>
      </c>
      <c r="CZ40" s="184">
        <v>490</v>
      </c>
      <c r="DA40" s="184">
        <v>1512</v>
      </c>
      <c r="DB40" s="179" t="str">
        <f t="shared" si="32"/>
        <v>Tercapai</v>
      </c>
      <c r="DC40" s="184">
        <v>210</v>
      </c>
      <c r="DD40" s="184">
        <v>1116</v>
      </c>
      <c r="DE40" s="179" t="str">
        <f t="shared" si="33"/>
        <v>Tercapai</v>
      </c>
      <c r="DF40" s="184">
        <v>104</v>
      </c>
      <c r="DG40" s="184">
        <v>814</v>
      </c>
      <c r="DH40" s="179" t="str">
        <f t="shared" si="34"/>
        <v>Tidak Tercapai</v>
      </c>
      <c r="DI40" s="184">
        <v>257</v>
      </c>
      <c r="DJ40" s="184">
        <v>755</v>
      </c>
      <c r="DK40" s="179" t="str">
        <f t="shared" si="35"/>
        <v>Tidak Tercapai</v>
      </c>
      <c r="DL40" s="184">
        <v>14</v>
      </c>
      <c r="DM40" s="184">
        <v>695</v>
      </c>
      <c r="DN40" s="179" t="str">
        <f t="shared" si="36"/>
        <v>Tidak Tercapai</v>
      </c>
      <c r="DO40" s="184">
        <v>404</v>
      </c>
      <c r="DP40" s="184">
        <v>1012</v>
      </c>
      <c r="DQ40" s="179" t="str">
        <f t="shared" si="37"/>
        <v>Tidak Tercapai</v>
      </c>
      <c r="DR40" s="184">
        <v>348</v>
      </c>
      <c r="DS40" s="184">
        <v>45</v>
      </c>
      <c r="DT40" s="179" t="str">
        <f t="shared" si="38"/>
        <v>Tidak Tercapai</v>
      </c>
      <c r="DU40" s="184">
        <v>1</v>
      </c>
      <c r="DV40" s="184">
        <v>740</v>
      </c>
      <c r="DW40" s="179" t="str">
        <f t="shared" si="39"/>
        <v>Tidak Tercapai</v>
      </c>
      <c r="DX40" s="184">
        <v>613</v>
      </c>
      <c r="DY40" s="184">
        <v>1766</v>
      </c>
      <c r="DZ40" s="179" t="str">
        <f t="shared" si="40"/>
        <v>Tercapai</v>
      </c>
      <c r="EA40" s="184">
        <v>819</v>
      </c>
      <c r="EB40" s="184">
        <v>1716</v>
      </c>
      <c r="EC40" s="179" t="str">
        <f t="shared" si="41"/>
        <v>Tercapai</v>
      </c>
      <c r="ED40" s="184">
        <v>1060</v>
      </c>
      <c r="EE40" s="184">
        <v>594</v>
      </c>
      <c r="EF40" s="179" t="str">
        <f t="shared" si="42"/>
        <v>Tidak Tercapai</v>
      </c>
      <c r="EG40" s="184">
        <v>67</v>
      </c>
      <c r="EH40" s="184">
        <v>192</v>
      </c>
      <c r="EI40" s="179" t="str">
        <f t="shared" si="43"/>
        <v>Tidak Tercapai</v>
      </c>
      <c r="EJ40" s="184">
        <v>6</v>
      </c>
      <c r="EK40" s="184">
        <v>850</v>
      </c>
      <c r="EL40" s="179" t="str">
        <f t="shared" si="44"/>
        <v>Tidak Tercapai</v>
      </c>
      <c r="EM40" s="184">
        <v>1306</v>
      </c>
      <c r="EN40" s="184">
        <v>627</v>
      </c>
      <c r="EO40" s="179" t="str">
        <f t="shared" si="45"/>
        <v>Tidak Tercapai</v>
      </c>
      <c r="EP40" s="184">
        <v>1112</v>
      </c>
      <c r="EQ40" s="184">
        <v>848</v>
      </c>
      <c r="ER40" s="179" t="str">
        <f t="shared" si="46"/>
        <v>Tidak Tercapai</v>
      </c>
      <c r="ES40" s="178">
        <v>1444</v>
      </c>
      <c r="ET40" s="184">
        <v>787</v>
      </c>
      <c r="EU40" s="179" t="str">
        <f t="shared" si="47"/>
        <v>Tidak Tercapai</v>
      </c>
      <c r="EV40" s="184">
        <v>1606</v>
      </c>
      <c r="EW40" s="184">
        <v>1040</v>
      </c>
      <c r="EX40" s="179" t="str">
        <f t="shared" si="48"/>
        <v>Tidak Tercapai</v>
      </c>
      <c r="EY40" s="184">
        <v>1645</v>
      </c>
      <c r="EZ40" s="184">
        <v>913</v>
      </c>
      <c r="FA40" s="179" t="str">
        <f t="shared" si="49"/>
        <v>Tidak Tercapai</v>
      </c>
      <c r="FB40" s="184">
        <v>939</v>
      </c>
      <c r="FC40" s="184">
        <v>460</v>
      </c>
      <c r="FD40" s="179" t="str">
        <f t="shared" si="50"/>
        <v>Tidak Tercapai</v>
      </c>
      <c r="FE40" s="184">
        <v>158</v>
      </c>
      <c r="FF40" s="184">
        <v>752</v>
      </c>
      <c r="FG40" s="179" t="str">
        <f t="shared" si="51"/>
        <v>Tidak Tercapai</v>
      </c>
      <c r="FH40" s="184">
        <v>1649</v>
      </c>
      <c r="FI40" s="184">
        <v>604</v>
      </c>
      <c r="FJ40" s="179" t="str">
        <f t="shared" si="52"/>
        <v>Tidak Tercapai</v>
      </c>
      <c r="FK40" s="184">
        <v>1162</v>
      </c>
      <c r="FL40" s="186">
        <v>0</v>
      </c>
      <c r="FM40" s="179" t="str">
        <f t="shared" si="53"/>
        <v>Tidak Tercapai</v>
      </c>
      <c r="FN40" s="184">
        <v>1290</v>
      </c>
      <c r="FO40" s="184">
        <v>335</v>
      </c>
      <c r="FP40" s="179" t="str">
        <f t="shared" si="54"/>
        <v>Tidak Tercapai</v>
      </c>
      <c r="FQ40" s="184">
        <v>211</v>
      </c>
      <c r="FR40" s="184">
        <v>567</v>
      </c>
      <c r="FS40" s="179" t="str">
        <f t="shared" si="55"/>
        <v>Tidak Tercapai</v>
      </c>
      <c r="FT40" s="184">
        <v>626</v>
      </c>
      <c r="FU40" s="184">
        <v>1690</v>
      </c>
      <c r="FV40" s="179" t="str">
        <f t="shared" si="56"/>
        <v>Tercapai</v>
      </c>
      <c r="FW40" s="184">
        <v>1812</v>
      </c>
      <c r="FX40" s="184">
        <v>499</v>
      </c>
      <c r="FY40" s="179" t="str">
        <f t="shared" si="57"/>
        <v>Tidak Tercapai</v>
      </c>
      <c r="FZ40" s="184">
        <v>1715</v>
      </c>
      <c r="GA40" s="184">
        <v>1229</v>
      </c>
      <c r="GB40" s="179" t="str">
        <f t="shared" si="58"/>
        <v>Tercapai</v>
      </c>
      <c r="GC40" s="184">
        <v>969</v>
      </c>
      <c r="GD40" s="184">
        <v>675</v>
      </c>
      <c r="GE40" s="179" t="str">
        <f t="shared" si="59"/>
        <v>Tidak Tercapai</v>
      </c>
      <c r="GF40" s="184">
        <v>637</v>
      </c>
      <c r="GG40" s="184">
        <v>199</v>
      </c>
      <c r="GH40" s="179" t="str">
        <f t="shared" si="60"/>
        <v>Tidak Tercapai</v>
      </c>
      <c r="GI40" s="184">
        <v>149</v>
      </c>
      <c r="GJ40" s="184">
        <v>1840</v>
      </c>
      <c r="GK40" s="179" t="str">
        <f t="shared" si="61"/>
        <v>Tercapai</v>
      </c>
      <c r="GL40" s="184">
        <v>1269</v>
      </c>
      <c r="GM40" s="184">
        <v>2131</v>
      </c>
      <c r="GN40" s="179" t="str">
        <f t="shared" si="62"/>
        <v>Tercapai</v>
      </c>
      <c r="GO40" s="184">
        <v>952</v>
      </c>
      <c r="GP40" s="184">
        <v>629</v>
      </c>
      <c r="GQ40" s="179" t="str">
        <f t="shared" si="63"/>
        <v>Tidak Tercapai</v>
      </c>
      <c r="GR40" s="184">
        <v>280</v>
      </c>
      <c r="GS40" s="184">
        <v>390</v>
      </c>
      <c r="GT40" s="179" t="str">
        <f t="shared" si="64"/>
        <v>Tidak Tercapai</v>
      </c>
      <c r="GU40" s="184">
        <v>180</v>
      </c>
      <c r="GV40" s="184">
        <v>939</v>
      </c>
      <c r="GW40" s="179" t="str">
        <f t="shared" si="65"/>
        <v>Tidak Tercapai</v>
      </c>
      <c r="GX40" s="184">
        <v>945</v>
      </c>
      <c r="GY40" s="184">
        <v>46</v>
      </c>
      <c r="GZ40" s="179" t="str">
        <f t="shared" si="66"/>
        <v>Tidak Tercapai</v>
      </c>
      <c r="HA40" s="184">
        <v>59</v>
      </c>
      <c r="HB40" s="184">
        <v>1709</v>
      </c>
      <c r="HC40" s="179" t="str">
        <f t="shared" si="67"/>
        <v>Tercapai</v>
      </c>
      <c r="HD40" s="184">
        <v>1243</v>
      </c>
      <c r="HE40" s="184">
        <v>641</v>
      </c>
      <c r="HF40" s="179" t="str">
        <f t="shared" si="68"/>
        <v>Tidak Tercapai</v>
      </c>
      <c r="HG40" s="184">
        <v>1605</v>
      </c>
      <c r="HH40" s="184">
        <v>583</v>
      </c>
      <c r="HI40" s="179" t="str">
        <f t="shared" si="69"/>
        <v>Tidak Tercapai</v>
      </c>
      <c r="HJ40" s="184">
        <v>1727</v>
      </c>
      <c r="HK40" s="184">
        <v>483</v>
      </c>
      <c r="HL40" s="179" t="str">
        <f t="shared" si="70"/>
        <v>Tidak Tercapai</v>
      </c>
      <c r="HM40" s="184">
        <v>900</v>
      </c>
      <c r="HN40" s="184">
        <v>386</v>
      </c>
      <c r="HO40" s="179" t="str">
        <f t="shared" si="71"/>
        <v>Tidak Tercapai</v>
      </c>
      <c r="HP40" s="184">
        <v>914</v>
      </c>
      <c r="HQ40" s="184">
        <v>652</v>
      </c>
      <c r="HR40" s="179" t="str">
        <f t="shared" si="72"/>
        <v>Tidak Tercapai</v>
      </c>
      <c r="HS40" s="184">
        <v>724</v>
      </c>
      <c r="HT40" s="184">
        <v>898</v>
      </c>
      <c r="HU40" s="179" t="str">
        <f t="shared" si="73"/>
        <v>Tidak Tercapai</v>
      </c>
      <c r="HV40" s="184">
        <v>740</v>
      </c>
      <c r="HW40" s="184">
        <v>871</v>
      </c>
      <c r="HX40" s="179" t="str">
        <f t="shared" si="74"/>
        <v>Tidak Tercapai</v>
      </c>
      <c r="HY40" s="184">
        <v>884</v>
      </c>
      <c r="HZ40" s="184">
        <v>803</v>
      </c>
      <c r="IA40" s="179" t="str">
        <f t="shared" si="75"/>
        <v>Tidak Tercapai</v>
      </c>
      <c r="IB40" s="184">
        <v>964</v>
      </c>
      <c r="IC40" s="184">
        <v>1659</v>
      </c>
      <c r="ID40" s="179" t="str">
        <f t="shared" si="76"/>
        <v>Tercapai</v>
      </c>
      <c r="IE40" s="184">
        <v>1297</v>
      </c>
      <c r="IF40" s="184">
        <v>245</v>
      </c>
      <c r="IG40" s="179" t="str">
        <f t="shared" si="77"/>
        <v>Tidak Tercapai</v>
      </c>
      <c r="IH40" s="184">
        <v>38</v>
      </c>
      <c r="II40" s="184">
        <v>2</v>
      </c>
      <c r="IJ40" s="179" t="str">
        <f t="shared" si="78"/>
        <v>Tidak Tercapai</v>
      </c>
      <c r="IK40" s="184">
        <v>8</v>
      </c>
      <c r="IL40" s="42"/>
      <c r="IM40" s="42"/>
      <c r="IN40" s="42"/>
      <c r="IO40" s="42"/>
      <c r="IP40" s="42"/>
      <c r="IQ40" s="42"/>
      <c r="IR40" s="42"/>
      <c r="IS40" s="42"/>
      <c r="IT40" s="42"/>
      <c r="IU40" s="42"/>
      <c r="IV40" s="42"/>
    </row>
    <row r="41" spans="1:256" ht="15.6" x14ac:dyDescent="0.3">
      <c r="A41" s="167">
        <v>39</v>
      </c>
      <c r="B41" s="168" t="s">
        <v>499</v>
      </c>
      <c r="C41" s="167" t="s">
        <v>466</v>
      </c>
      <c r="D41" s="169">
        <v>96032</v>
      </c>
      <c r="E41" s="167">
        <v>1019</v>
      </c>
      <c r="F41" s="187">
        <v>93862</v>
      </c>
      <c r="G41" s="171" t="s">
        <v>457</v>
      </c>
      <c r="H41" s="187">
        <v>67141</v>
      </c>
      <c r="I41" s="187">
        <v>1073</v>
      </c>
      <c r="J41" s="171" t="str">
        <f t="shared" si="0"/>
        <v>Tercapai</v>
      </c>
      <c r="K41" s="187">
        <v>61</v>
      </c>
      <c r="L41" s="187">
        <v>4</v>
      </c>
      <c r="M41" s="171" t="str">
        <f t="shared" si="1"/>
        <v>Tidak Tercapai</v>
      </c>
      <c r="N41" s="187">
        <v>0</v>
      </c>
      <c r="O41" s="167">
        <v>1240</v>
      </c>
      <c r="P41" s="171" t="str">
        <f t="shared" si="2"/>
        <v>Tercapai</v>
      </c>
      <c r="Q41" s="172">
        <v>4</v>
      </c>
      <c r="R41" s="167">
        <v>1685</v>
      </c>
      <c r="S41" s="173" t="str">
        <f t="shared" si="3"/>
        <v>Tercapai</v>
      </c>
      <c r="T41" s="172">
        <v>24</v>
      </c>
      <c r="U41" s="174">
        <v>2063</v>
      </c>
      <c r="V41" s="173" t="str">
        <f t="shared" si="4"/>
        <v>Tercapai</v>
      </c>
      <c r="W41" s="175">
        <v>6</v>
      </c>
      <c r="X41" s="188">
        <v>2075</v>
      </c>
      <c r="Y41" s="176" t="str">
        <f t="shared" si="5"/>
        <v>Tercapai</v>
      </c>
      <c r="Z41" s="177">
        <v>21</v>
      </c>
      <c r="AA41" s="178">
        <v>2447</v>
      </c>
      <c r="AB41" s="179" t="str">
        <f t="shared" si="6"/>
        <v>Tercapai</v>
      </c>
      <c r="AC41" s="178">
        <v>27</v>
      </c>
      <c r="AD41" s="184">
        <v>226</v>
      </c>
      <c r="AE41" s="179" t="str">
        <f t="shared" si="7"/>
        <v>Tidak Tercapai</v>
      </c>
      <c r="AF41" s="178">
        <v>0</v>
      </c>
      <c r="AG41" s="178">
        <v>0</v>
      </c>
      <c r="AH41" s="179" t="str">
        <f t="shared" si="8"/>
        <v>Tidak Tercapai</v>
      </c>
      <c r="AI41" s="178">
        <v>0</v>
      </c>
      <c r="AJ41" s="184">
        <v>2518</v>
      </c>
      <c r="AK41" s="179" t="str">
        <f t="shared" si="9"/>
        <v>Tercapai</v>
      </c>
      <c r="AL41" s="184">
        <v>13</v>
      </c>
      <c r="AM41" s="184">
        <v>2762</v>
      </c>
      <c r="AN41" s="179" t="str">
        <f t="shared" si="10"/>
        <v>Tercapai</v>
      </c>
      <c r="AO41" s="184">
        <v>22</v>
      </c>
      <c r="AP41" s="178">
        <v>3268</v>
      </c>
      <c r="AQ41" s="179" t="str">
        <f t="shared" si="11"/>
        <v>Tercapai</v>
      </c>
      <c r="AR41" s="178">
        <v>19</v>
      </c>
      <c r="AS41" s="178">
        <v>3360</v>
      </c>
      <c r="AT41" s="179" t="str">
        <f t="shared" si="12"/>
        <v>Tercapai</v>
      </c>
      <c r="AU41" s="178">
        <v>38</v>
      </c>
      <c r="AV41" s="170">
        <v>3318</v>
      </c>
      <c r="AW41" s="179" t="str">
        <f t="shared" si="13"/>
        <v>Tercapai</v>
      </c>
      <c r="AX41" s="178">
        <v>10</v>
      </c>
      <c r="AY41" s="178">
        <v>404</v>
      </c>
      <c r="AZ41" s="179" t="str">
        <f t="shared" si="14"/>
        <v>Tidak Tercapai</v>
      </c>
      <c r="BA41" s="178">
        <v>1</v>
      </c>
      <c r="BB41" s="183">
        <v>0</v>
      </c>
      <c r="BC41" s="179" t="str">
        <f t="shared" si="15"/>
        <v>Tidak Tercapai</v>
      </c>
      <c r="BD41" s="178">
        <v>0</v>
      </c>
      <c r="BE41" s="184">
        <v>2330</v>
      </c>
      <c r="BF41" s="179" t="str">
        <f t="shared" si="16"/>
        <v>Tercapai</v>
      </c>
      <c r="BG41" s="170">
        <v>9</v>
      </c>
      <c r="BH41" s="184">
        <v>2504</v>
      </c>
      <c r="BI41" s="179" t="str">
        <f t="shared" si="17"/>
        <v>Tercapai</v>
      </c>
      <c r="BJ41" s="184">
        <v>10</v>
      </c>
      <c r="BK41" s="184">
        <v>2341</v>
      </c>
      <c r="BL41" s="179" t="str">
        <f t="shared" si="18"/>
        <v>Tercapai</v>
      </c>
      <c r="BM41" s="184">
        <v>7</v>
      </c>
      <c r="BN41" s="184">
        <v>2063</v>
      </c>
      <c r="BO41" s="179" t="str">
        <f t="shared" si="19"/>
        <v>Tercapai</v>
      </c>
      <c r="BP41" s="184">
        <v>43</v>
      </c>
      <c r="BQ41" s="184">
        <v>1463</v>
      </c>
      <c r="BR41" s="179" t="str">
        <f t="shared" si="20"/>
        <v>Tercapai</v>
      </c>
      <c r="BS41" s="184">
        <v>6</v>
      </c>
      <c r="BT41" s="184">
        <v>1685</v>
      </c>
      <c r="BU41" s="179" t="str">
        <f t="shared" si="21"/>
        <v>Tercapai</v>
      </c>
      <c r="BV41" s="185">
        <v>67.465000000000003</v>
      </c>
      <c r="BW41" s="184">
        <v>13</v>
      </c>
      <c r="BX41" s="179" t="str">
        <f t="shared" si="22"/>
        <v>Tidak Tercapai</v>
      </c>
      <c r="BY41" s="184">
        <v>0</v>
      </c>
      <c r="BZ41" s="184">
        <v>1067</v>
      </c>
      <c r="CA41" s="179" t="str">
        <f t="shared" si="23"/>
        <v>Tercapai</v>
      </c>
      <c r="CB41" s="184">
        <v>6357</v>
      </c>
      <c r="CC41" s="184">
        <v>1507</v>
      </c>
      <c r="CD41" s="179" t="str">
        <f t="shared" si="24"/>
        <v>Tercapai</v>
      </c>
      <c r="CE41" s="184">
        <v>49</v>
      </c>
      <c r="CF41" s="184">
        <v>1324</v>
      </c>
      <c r="CG41" s="179" t="str">
        <f t="shared" si="25"/>
        <v>Tercapai</v>
      </c>
      <c r="CH41" s="184">
        <v>15</v>
      </c>
      <c r="CI41" s="184">
        <v>1322</v>
      </c>
      <c r="CJ41" s="179" t="str">
        <f t="shared" si="26"/>
        <v>Tercapai</v>
      </c>
      <c r="CK41" s="184">
        <v>2</v>
      </c>
      <c r="CL41" s="184">
        <v>503</v>
      </c>
      <c r="CM41" s="179" t="str">
        <f t="shared" si="27"/>
        <v>Tidak Tercapai</v>
      </c>
      <c r="CN41" s="184">
        <v>11</v>
      </c>
      <c r="CO41" s="184">
        <v>229</v>
      </c>
      <c r="CP41" s="179" t="str">
        <f t="shared" si="28"/>
        <v>Tidak Tercapai</v>
      </c>
      <c r="CQ41" s="184">
        <v>7</v>
      </c>
      <c r="CR41" s="184">
        <v>1</v>
      </c>
      <c r="CS41" s="179" t="str">
        <f t="shared" si="29"/>
        <v>Tidak Tercapai</v>
      </c>
      <c r="CT41" s="184">
        <v>2</v>
      </c>
      <c r="CU41" s="184">
        <v>996</v>
      </c>
      <c r="CV41" s="179" t="str">
        <f t="shared" si="30"/>
        <v>Tidak Tercapai</v>
      </c>
      <c r="CW41" s="184">
        <v>6</v>
      </c>
      <c r="CX41" s="184">
        <v>6344</v>
      </c>
      <c r="CY41" s="179" t="str">
        <f t="shared" si="31"/>
        <v>Tercapai</v>
      </c>
      <c r="CZ41" s="184">
        <v>61</v>
      </c>
      <c r="DA41" s="184">
        <v>2359</v>
      </c>
      <c r="DB41" s="179" t="str">
        <f t="shared" si="32"/>
        <v>Tercapai</v>
      </c>
      <c r="DC41" s="184">
        <v>35</v>
      </c>
      <c r="DD41" s="184">
        <v>2233</v>
      </c>
      <c r="DE41" s="179" t="str">
        <f t="shared" si="33"/>
        <v>Tercapai</v>
      </c>
      <c r="DF41" s="184">
        <v>18</v>
      </c>
      <c r="DG41" s="184">
        <v>1812</v>
      </c>
      <c r="DH41" s="179" t="str">
        <f t="shared" si="34"/>
        <v>Tercapai</v>
      </c>
      <c r="DI41" s="184">
        <v>22</v>
      </c>
      <c r="DJ41" s="184">
        <v>1444</v>
      </c>
      <c r="DK41" s="179" t="str">
        <f t="shared" si="35"/>
        <v>Tercapai</v>
      </c>
      <c r="DL41" s="184">
        <v>4</v>
      </c>
      <c r="DM41" s="184">
        <v>641</v>
      </c>
      <c r="DN41" s="179" t="str">
        <f t="shared" si="36"/>
        <v>Tidak Tercapai</v>
      </c>
      <c r="DO41" s="184">
        <v>6</v>
      </c>
      <c r="DP41" s="184">
        <v>589</v>
      </c>
      <c r="DQ41" s="179" t="str">
        <f t="shared" si="37"/>
        <v>Tidak Tercapai</v>
      </c>
      <c r="DR41" s="184">
        <v>81</v>
      </c>
      <c r="DS41" s="184">
        <v>81</v>
      </c>
      <c r="DT41" s="179" t="str">
        <f t="shared" si="38"/>
        <v>Tidak Tercapai</v>
      </c>
      <c r="DU41" s="184">
        <v>2</v>
      </c>
      <c r="DV41" s="184">
        <v>1166</v>
      </c>
      <c r="DW41" s="179" t="str">
        <f t="shared" si="39"/>
        <v>Tercapai</v>
      </c>
      <c r="DX41" s="184">
        <v>624</v>
      </c>
      <c r="DY41" s="184">
        <v>1084</v>
      </c>
      <c r="DZ41" s="179" t="str">
        <f t="shared" si="40"/>
        <v>Tercapai</v>
      </c>
      <c r="EA41" s="184">
        <v>1966</v>
      </c>
      <c r="EB41" s="184">
        <v>1008</v>
      </c>
      <c r="EC41" s="179" t="str">
        <f t="shared" si="41"/>
        <v>Tidak Tercapai</v>
      </c>
      <c r="ED41" s="184">
        <v>2210</v>
      </c>
      <c r="EE41" s="184">
        <v>921</v>
      </c>
      <c r="EF41" s="179" t="str">
        <f t="shared" si="42"/>
        <v>Tidak Tercapai</v>
      </c>
      <c r="EG41" s="184">
        <v>37</v>
      </c>
      <c r="EH41" s="184">
        <v>2</v>
      </c>
      <c r="EI41" s="179" t="str">
        <f t="shared" si="43"/>
        <v>Tidak Tercapai</v>
      </c>
      <c r="EJ41" s="184">
        <v>2</v>
      </c>
      <c r="EK41" s="184">
        <v>933</v>
      </c>
      <c r="EL41" s="179" t="str">
        <f t="shared" si="44"/>
        <v>Tidak Tercapai</v>
      </c>
      <c r="EM41" s="184">
        <v>2654</v>
      </c>
      <c r="EN41" s="184">
        <v>1075</v>
      </c>
      <c r="EO41" s="179" t="str">
        <f t="shared" si="45"/>
        <v>Tercapai</v>
      </c>
      <c r="EP41" s="184">
        <v>2605</v>
      </c>
      <c r="EQ41" s="184">
        <v>1036</v>
      </c>
      <c r="ER41" s="179" t="str">
        <f t="shared" si="46"/>
        <v>Tercapai</v>
      </c>
      <c r="ES41" s="178">
        <v>2481</v>
      </c>
      <c r="ET41" s="184">
        <v>2210</v>
      </c>
      <c r="EU41" s="179" t="str">
        <f t="shared" si="47"/>
        <v>Tercapai</v>
      </c>
      <c r="EV41" s="184">
        <v>2020</v>
      </c>
      <c r="EW41" s="184">
        <v>900</v>
      </c>
      <c r="EX41" s="179" t="str">
        <f t="shared" si="48"/>
        <v>Tidak Tercapai</v>
      </c>
      <c r="EY41" s="184">
        <v>2666</v>
      </c>
      <c r="EZ41" s="184">
        <v>75</v>
      </c>
      <c r="FA41" s="179" t="str">
        <f t="shared" si="49"/>
        <v>Tidak Tercapai</v>
      </c>
      <c r="FB41" s="184">
        <v>516</v>
      </c>
      <c r="FC41" s="184">
        <v>205</v>
      </c>
      <c r="FD41" s="179" t="str">
        <f t="shared" si="50"/>
        <v>Tidak Tercapai</v>
      </c>
      <c r="FE41" s="184">
        <v>121</v>
      </c>
      <c r="FF41" s="184">
        <v>987</v>
      </c>
      <c r="FG41" s="179" t="str">
        <f t="shared" si="51"/>
        <v>Tidak Tercapai</v>
      </c>
      <c r="FH41" s="184">
        <v>1990</v>
      </c>
      <c r="FI41" s="184">
        <v>918</v>
      </c>
      <c r="FJ41" s="179" t="str">
        <f t="shared" si="52"/>
        <v>Tidak Tercapai</v>
      </c>
      <c r="FK41" s="184">
        <v>1756</v>
      </c>
      <c r="FL41" s="186">
        <v>0</v>
      </c>
      <c r="FM41" s="179" t="str">
        <f t="shared" si="53"/>
        <v>Tidak Tercapai</v>
      </c>
      <c r="FN41" s="184">
        <v>402</v>
      </c>
      <c r="FO41" s="184">
        <v>403</v>
      </c>
      <c r="FP41" s="179" t="str">
        <f t="shared" si="54"/>
        <v>Tidak Tercapai</v>
      </c>
      <c r="FQ41" s="184">
        <v>116</v>
      </c>
      <c r="FR41" s="184">
        <v>738</v>
      </c>
      <c r="FS41" s="179" t="str">
        <f t="shared" si="55"/>
        <v>Tidak Tercapai</v>
      </c>
      <c r="FT41" s="184">
        <v>602</v>
      </c>
      <c r="FU41" s="184">
        <v>2518</v>
      </c>
      <c r="FV41" s="179" t="str">
        <f t="shared" si="56"/>
        <v>Tercapai</v>
      </c>
      <c r="FW41" s="184">
        <v>3518</v>
      </c>
      <c r="FX41" s="184">
        <v>640</v>
      </c>
      <c r="FY41" s="179" t="str">
        <f t="shared" si="57"/>
        <v>Tidak Tercapai</v>
      </c>
      <c r="FZ41" s="184">
        <v>591</v>
      </c>
      <c r="GA41" s="184">
        <v>1027</v>
      </c>
      <c r="GB41" s="179" t="str">
        <f t="shared" si="58"/>
        <v>Tercapai</v>
      </c>
      <c r="GC41" s="184">
        <v>1559</v>
      </c>
      <c r="GD41" s="184">
        <v>646</v>
      </c>
      <c r="GE41" s="179" t="str">
        <f t="shared" si="59"/>
        <v>Tidak Tercapai</v>
      </c>
      <c r="GF41" s="184">
        <v>598</v>
      </c>
      <c r="GG41" s="184">
        <v>269</v>
      </c>
      <c r="GH41" s="179" t="str">
        <f t="shared" si="60"/>
        <v>Tidak Tercapai</v>
      </c>
      <c r="GI41" s="184">
        <v>207</v>
      </c>
      <c r="GJ41" s="184">
        <v>1507</v>
      </c>
      <c r="GK41" s="179" t="str">
        <f t="shared" si="61"/>
        <v>Tercapai</v>
      </c>
      <c r="GL41" s="184">
        <v>2357</v>
      </c>
      <c r="GM41" s="184">
        <v>1433</v>
      </c>
      <c r="GN41" s="179" t="str">
        <f t="shared" si="62"/>
        <v>Tercapai</v>
      </c>
      <c r="GO41" s="184">
        <v>3453</v>
      </c>
      <c r="GP41" s="184">
        <v>904</v>
      </c>
      <c r="GQ41" s="179" t="str">
        <f t="shared" si="63"/>
        <v>Tidak Tercapai</v>
      </c>
      <c r="GR41" s="184">
        <v>2562</v>
      </c>
      <c r="GS41" s="184">
        <v>674</v>
      </c>
      <c r="GT41" s="179" t="str">
        <f t="shared" si="64"/>
        <v>Tidak Tercapai</v>
      </c>
      <c r="GU41" s="184">
        <v>884</v>
      </c>
      <c r="GV41" s="184">
        <v>1122</v>
      </c>
      <c r="GW41" s="179" t="str">
        <f t="shared" si="65"/>
        <v>Tercapai</v>
      </c>
      <c r="GX41" s="184">
        <v>961</v>
      </c>
      <c r="GY41" s="184">
        <v>65</v>
      </c>
      <c r="GZ41" s="179" t="str">
        <f t="shared" si="66"/>
        <v>Tidak Tercapai</v>
      </c>
      <c r="HA41" s="184">
        <v>23</v>
      </c>
      <c r="HB41" s="184">
        <v>677</v>
      </c>
      <c r="HC41" s="179" t="str">
        <f t="shared" si="67"/>
        <v>Tidak Tercapai</v>
      </c>
      <c r="HD41" s="184">
        <v>938</v>
      </c>
      <c r="HE41" s="184">
        <v>640</v>
      </c>
      <c r="HF41" s="179" t="str">
        <f t="shared" si="68"/>
        <v>Tidak Tercapai</v>
      </c>
      <c r="HG41" s="184">
        <v>666</v>
      </c>
      <c r="HH41" s="184">
        <v>808</v>
      </c>
      <c r="HI41" s="179" t="str">
        <f t="shared" si="69"/>
        <v>Tidak Tercapai</v>
      </c>
      <c r="HJ41" s="184">
        <v>1912</v>
      </c>
      <c r="HK41" s="184">
        <v>606</v>
      </c>
      <c r="HL41" s="179" t="str">
        <f t="shared" si="70"/>
        <v>Tidak Tercapai</v>
      </c>
      <c r="HM41" s="184">
        <v>2403</v>
      </c>
      <c r="HN41" s="184">
        <v>9</v>
      </c>
      <c r="HO41" s="179" t="str">
        <f t="shared" si="71"/>
        <v>Tidak Tercapai</v>
      </c>
      <c r="HP41" s="184">
        <v>11</v>
      </c>
      <c r="HQ41" s="184">
        <v>692</v>
      </c>
      <c r="HR41" s="179" t="str">
        <f t="shared" si="72"/>
        <v>Tidak Tercapai</v>
      </c>
      <c r="HS41" s="184">
        <v>2186</v>
      </c>
      <c r="HT41" s="184">
        <v>597</v>
      </c>
      <c r="HU41" s="179" t="str">
        <f t="shared" si="73"/>
        <v>Tidak Tercapai</v>
      </c>
      <c r="HV41" s="184">
        <v>2080</v>
      </c>
      <c r="HW41" s="184">
        <v>599</v>
      </c>
      <c r="HX41" s="179" t="str">
        <f t="shared" si="74"/>
        <v>Tidak Tercapai</v>
      </c>
      <c r="HY41" s="184">
        <v>2062</v>
      </c>
      <c r="HZ41" s="184">
        <v>1221</v>
      </c>
      <c r="IA41" s="179" t="str">
        <f t="shared" si="75"/>
        <v>Tercapai</v>
      </c>
      <c r="IB41" s="184">
        <v>2779</v>
      </c>
      <c r="IC41" s="184">
        <v>971</v>
      </c>
      <c r="ID41" s="179" t="str">
        <f t="shared" si="76"/>
        <v>Tidak Tercapai</v>
      </c>
      <c r="IE41" s="184">
        <v>2429</v>
      </c>
      <c r="IF41" s="184">
        <v>12</v>
      </c>
      <c r="IG41" s="179" t="str">
        <f t="shared" si="77"/>
        <v>Tidak Tercapai</v>
      </c>
      <c r="IH41" s="184">
        <v>123</v>
      </c>
      <c r="II41" s="184">
        <v>2</v>
      </c>
      <c r="IJ41" s="179" t="str">
        <f t="shared" si="78"/>
        <v>Tidak Tercapai</v>
      </c>
      <c r="IK41" s="184">
        <v>5</v>
      </c>
      <c r="IL41" s="42"/>
      <c r="IM41" s="42"/>
      <c r="IN41" s="42"/>
      <c r="IO41" s="42"/>
      <c r="IP41" s="42"/>
      <c r="IQ41" s="42"/>
      <c r="IR41" s="42"/>
      <c r="IS41" s="42"/>
      <c r="IT41" s="42"/>
      <c r="IU41" s="42"/>
      <c r="IV41" s="42"/>
    </row>
    <row r="42" spans="1:256" ht="15.6" x14ac:dyDescent="0.3">
      <c r="A42" s="167">
        <v>40</v>
      </c>
      <c r="B42" s="168" t="s">
        <v>500</v>
      </c>
      <c r="C42" s="167" t="s">
        <v>481</v>
      </c>
      <c r="D42" s="169">
        <v>82144</v>
      </c>
      <c r="E42" s="167">
        <v>893</v>
      </c>
      <c r="F42" s="170">
        <v>23538</v>
      </c>
      <c r="G42" s="171" t="s">
        <v>457</v>
      </c>
      <c r="H42" s="170">
        <v>18224</v>
      </c>
      <c r="I42" s="170">
        <v>189</v>
      </c>
      <c r="J42" s="171" t="str">
        <f t="shared" si="0"/>
        <v>Tidak Tercapai</v>
      </c>
      <c r="K42" s="170">
        <v>0</v>
      </c>
      <c r="L42" s="170">
        <v>0</v>
      </c>
      <c r="M42" s="171" t="str">
        <f t="shared" si="1"/>
        <v>Tidak Tercapai</v>
      </c>
      <c r="N42" s="170">
        <v>0</v>
      </c>
      <c r="O42" s="167">
        <v>567</v>
      </c>
      <c r="P42" s="171" t="str">
        <f t="shared" si="2"/>
        <v>Tidak Tercapai</v>
      </c>
      <c r="Q42" s="172">
        <v>2</v>
      </c>
      <c r="R42" s="175">
        <v>683</v>
      </c>
      <c r="S42" s="173" t="str">
        <f t="shared" si="3"/>
        <v>Tidak Tercapai</v>
      </c>
      <c r="T42" s="172">
        <v>0</v>
      </c>
      <c r="U42" s="174">
        <v>675</v>
      </c>
      <c r="V42" s="173" t="str">
        <f t="shared" si="4"/>
        <v>Tidak Tercapai</v>
      </c>
      <c r="W42" s="175">
        <v>13</v>
      </c>
      <c r="X42" s="175">
        <v>683</v>
      </c>
      <c r="Y42" s="176" t="str">
        <f t="shared" si="5"/>
        <v>Tidak Tercapai</v>
      </c>
      <c r="Z42" s="177">
        <v>0</v>
      </c>
      <c r="AA42" s="178">
        <v>706</v>
      </c>
      <c r="AB42" s="179" t="str">
        <f t="shared" si="6"/>
        <v>Tidak Tercapai</v>
      </c>
      <c r="AC42" s="178">
        <v>16</v>
      </c>
      <c r="AD42" s="178">
        <v>490</v>
      </c>
      <c r="AE42" s="179" t="str">
        <f t="shared" si="7"/>
        <v>Tidak Tercapai</v>
      </c>
      <c r="AF42" s="178">
        <v>0</v>
      </c>
      <c r="AG42" s="178">
        <v>0</v>
      </c>
      <c r="AH42" s="179" t="str">
        <f t="shared" si="8"/>
        <v>Tidak Tercapai</v>
      </c>
      <c r="AI42" s="178">
        <v>0</v>
      </c>
      <c r="AJ42" s="178">
        <v>789</v>
      </c>
      <c r="AK42" s="179" t="str">
        <f t="shared" si="9"/>
        <v>Tidak Tercapai</v>
      </c>
      <c r="AL42" s="178">
        <v>8</v>
      </c>
      <c r="AM42" s="178">
        <v>606</v>
      </c>
      <c r="AN42" s="179" t="str">
        <f t="shared" si="10"/>
        <v>Tidak Tercapai</v>
      </c>
      <c r="AO42" s="178">
        <v>4</v>
      </c>
      <c r="AP42" s="178">
        <v>870</v>
      </c>
      <c r="AQ42" s="179" t="str">
        <f t="shared" si="11"/>
        <v>Tidak Tercapai</v>
      </c>
      <c r="AR42" s="178">
        <v>42</v>
      </c>
      <c r="AS42" s="178">
        <v>848</v>
      </c>
      <c r="AT42" s="179" t="str">
        <f t="shared" si="12"/>
        <v>Tidak Tercapai</v>
      </c>
      <c r="AU42" s="178">
        <v>28</v>
      </c>
      <c r="AV42" s="170">
        <v>1183</v>
      </c>
      <c r="AW42" s="179" t="str">
        <f t="shared" si="13"/>
        <v>Tercapai</v>
      </c>
      <c r="AX42" s="178">
        <v>37</v>
      </c>
      <c r="AY42" s="178">
        <v>176</v>
      </c>
      <c r="AZ42" s="179" t="str">
        <f t="shared" si="14"/>
        <v>Tidak Tercapai</v>
      </c>
      <c r="BA42" s="178">
        <v>1</v>
      </c>
      <c r="BB42" s="183">
        <v>116</v>
      </c>
      <c r="BC42" s="179" t="str">
        <f t="shared" si="15"/>
        <v>Tidak Tercapai</v>
      </c>
      <c r="BD42" s="178">
        <v>0</v>
      </c>
      <c r="BE42" s="184">
        <v>1163</v>
      </c>
      <c r="BF42" s="179" t="str">
        <f t="shared" si="16"/>
        <v>Tercapai</v>
      </c>
      <c r="BG42" s="170">
        <v>13</v>
      </c>
      <c r="BH42" s="184">
        <v>1214</v>
      </c>
      <c r="BI42" s="179" t="str">
        <f t="shared" si="17"/>
        <v>Tercapai</v>
      </c>
      <c r="BJ42" s="184">
        <v>9</v>
      </c>
      <c r="BK42" s="184">
        <v>1105</v>
      </c>
      <c r="BL42" s="179" t="str">
        <f t="shared" si="18"/>
        <v>Tercapai</v>
      </c>
      <c r="BM42" s="184">
        <v>31</v>
      </c>
      <c r="BN42" s="184">
        <v>1217</v>
      </c>
      <c r="BO42" s="179" t="str">
        <f t="shared" si="19"/>
        <v>Tercapai</v>
      </c>
      <c r="BP42" s="184">
        <v>9</v>
      </c>
      <c r="BQ42" s="184">
        <v>739</v>
      </c>
      <c r="BR42" s="179" t="str">
        <f t="shared" si="20"/>
        <v>Tidak Tercapai</v>
      </c>
      <c r="BS42" s="184">
        <v>22</v>
      </c>
      <c r="BT42" s="184">
        <v>521</v>
      </c>
      <c r="BU42" s="179" t="str">
        <f t="shared" si="21"/>
        <v>Tidak Tercapai</v>
      </c>
      <c r="BV42" s="185">
        <v>18.452000000000002</v>
      </c>
      <c r="BW42" s="184">
        <v>0</v>
      </c>
      <c r="BX42" s="179" t="str">
        <f t="shared" si="22"/>
        <v>Tidak Tercapai</v>
      </c>
      <c r="BY42" s="184">
        <v>0</v>
      </c>
      <c r="BZ42" s="184">
        <v>1073</v>
      </c>
      <c r="CA42" s="179" t="str">
        <f t="shared" si="23"/>
        <v>Tercapai</v>
      </c>
      <c r="CB42" s="184">
        <v>1095</v>
      </c>
      <c r="CC42" s="184">
        <v>1535</v>
      </c>
      <c r="CD42" s="179" t="str">
        <f t="shared" si="24"/>
        <v>Tercapai</v>
      </c>
      <c r="CE42" s="184">
        <v>16</v>
      </c>
      <c r="CF42" s="184">
        <v>1395</v>
      </c>
      <c r="CG42" s="179" t="str">
        <f t="shared" si="25"/>
        <v>Tercapai</v>
      </c>
      <c r="CH42" s="184">
        <v>11</v>
      </c>
      <c r="CI42" s="184">
        <v>2128</v>
      </c>
      <c r="CJ42" s="179" t="str">
        <f t="shared" si="26"/>
        <v>Tercapai</v>
      </c>
      <c r="CK42" s="184">
        <v>27</v>
      </c>
      <c r="CL42" s="184">
        <v>1358</v>
      </c>
      <c r="CM42" s="179" t="str">
        <f t="shared" si="27"/>
        <v>Tercapai</v>
      </c>
      <c r="CN42" s="184">
        <v>10</v>
      </c>
      <c r="CO42" s="184">
        <v>815</v>
      </c>
      <c r="CP42" s="179" t="str">
        <f t="shared" si="28"/>
        <v>Tidak Tercapai</v>
      </c>
      <c r="CQ42" s="184">
        <v>4</v>
      </c>
      <c r="CR42" s="184">
        <v>598</v>
      </c>
      <c r="CS42" s="179" t="str">
        <f t="shared" si="29"/>
        <v>Tidak Tercapai</v>
      </c>
      <c r="CT42" s="184">
        <v>0</v>
      </c>
      <c r="CU42" s="184">
        <v>26</v>
      </c>
      <c r="CV42" s="179" t="str">
        <f t="shared" si="30"/>
        <v>Tidak Tercapai</v>
      </c>
      <c r="CW42" s="184">
        <v>3</v>
      </c>
      <c r="CX42" s="184">
        <v>3944</v>
      </c>
      <c r="CY42" s="179" t="str">
        <f t="shared" si="31"/>
        <v>Tercapai</v>
      </c>
      <c r="CZ42" s="184">
        <v>30</v>
      </c>
      <c r="DA42" s="184">
        <v>1624</v>
      </c>
      <c r="DB42" s="179" t="str">
        <f t="shared" si="32"/>
        <v>Tercapai</v>
      </c>
      <c r="DC42" s="184">
        <v>12</v>
      </c>
      <c r="DD42" s="184">
        <v>1943</v>
      </c>
      <c r="DE42" s="179" t="str">
        <f t="shared" si="33"/>
        <v>Tercapai</v>
      </c>
      <c r="DF42" s="184">
        <v>25</v>
      </c>
      <c r="DG42" s="184">
        <v>1477</v>
      </c>
      <c r="DH42" s="179" t="str">
        <f t="shared" si="34"/>
        <v>Tercapai</v>
      </c>
      <c r="DI42" s="184">
        <v>28</v>
      </c>
      <c r="DJ42" s="184">
        <v>940</v>
      </c>
      <c r="DK42" s="179" t="str">
        <f t="shared" si="35"/>
        <v>Tercapai</v>
      </c>
      <c r="DL42" s="184">
        <v>302</v>
      </c>
      <c r="DM42" s="184">
        <v>1354</v>
      </c>
      <c r="DN42" s="179" t="str">
        <f t="shared" si="36"/>
        <v>Tercapai</v>
      </c>
      <c r="DO42" s="184">
        <v>6</v>
      </c>
      <c r="DP42" s="184">
        <v>610</v>
      </c>
      <c r="DQ42" s="179" t="str">
        <f t="shared" si="37"/>
        <v>Tidak Tercapai</v>
      </c>
      <c r="DR42" s="184">
        <v>36</v>
      </c>
      <c r="DS42" s="184">
        <v>20</v>
      </c>
      <c r="DT42" s="179" t="str">
        <f t="shared" si="38"/>
        <v>Tidak Tercapai</v>
      </c>
      <c r="DU42" s="184">
        <v>0</v>
      </c>
      <c r="DV42" s="184">
        <v>1167</v>
      </c>
      <c r="DW42" s="179" t="str">
        <f t="shared" si="39"/>
        <v>Tercapai</v>
      </c>
      <c r="DX42" s="184">
        <v>40</v>
      </c>
      <c r="DY42" s="184">
        <v>1056</v>
      </c>
      <c r="DZ42" s="179" t="str">
        <f t="shared" si="40"/>
        <v>Tercapai</v>
      </c>
      <c r="EA42" s="184">
        <v>62</v>
      </c>
      <c r="EB42" s="184">
        <v>1061</v>
      </c>
      <c r="EC42" s="179" t="str">
        <f t="shared" si="41"/>
        <v>Tercapai</v>
      </c>
      <c r="ED42" s="184">
        <v>585</v>
      </c>
      <c r="EE42" s="184">
        <v>951</v>
      </c>
      <c r="EF42" s="179" t="str">
        <f t="shared" si="42"/>
        <v>Tercapai</v>
      </c>
      <c r="EG42" s="184">
        <v>155</v>
      </c>
      <c r="EH42" s="184">
        <v>971</v>
      </c>
      <c r="EI42" s="179" t="str">
        <f t="shared" si="43"/>
        <v>Tercapai</v>
      </c>
      <c r="EJ42" s="184">
        <v>6</v>
      </c>
      <c r="EK42" s="184">
        <v>609</v>
      </c>
      <c r="EL42" s="179" t="str">
        <f t="shared" si="44"/>
        <v>Tidak Tercapai</v>
      </c>
      <c r="EM42" s="184">
        <v>832</v>
      </c>
      <c r="EN42" s="184">
        <v>678</v>
      </c>
      <c r="EO42" s="179" t="str">
        <f t="shared" si="45"/>
        <v>Tidak Tercapai</v>
      </c>
      <c r="EP42" s="184">
        <v>882</v>
      </c>
      <c r="EQ42" s="184">
        <v>1427</v>
      </c>
      <c r="ER42" s="179" t="str">
        <f t="shared" si="46"/>
        <v>Tercapai</v>
      </c>
      <c r="ES42" s="178">
        <v>932</v>
      </c>
      <c r="ET42" s="184">
        <v>1505</v>
      </c>
      <c r="EU42" s="179" t="str">
        <f t="shared" si="47"/>
        <v>Tercapai</v>
      </c>
      <c r="EV42" s="184">
        <v>1078</v>
      </c>
      <c r="EW42" s="184">
        <v>1534</v>
      </c>
      <c r="EX42" s="179" t="str">
        <f t="shared" si="48"/>
        <v>Tercapai</v>
      </c>
      <c r="EY42" s="184">
        <v>1226</v>
      </c>
      <c r="EZ42" s="184">
        <v>1392</v>
      </c>
      <c r="FA42" s="179" t="str">
        <f t="shared" si="49"/>
        <v>Tercapai</v>
      </c>
      <c r="FB42" s="184">
        <v>143</v>
      </c>
      <c r="FC42" s="184">
        <v>1558</v>
      </c>
      <c r="FD42" s="179" t="str">
        <f t="shared" si="50"/>
        <v>Tercapai</v>
      </c>
      <c r="FE42" s="184">
        <v>41</v>
      </c>
      <c r="FF42" s="184">
        <v>1216</v>
      </c>
      <c r="FG42" s="179" t="str">
        <f t="shared" si="51"/>
        <v>Tercapai</v>
      </c>
      <c r="FH42" s="184">
        <v>1129</v>
      </c>
      <c r="FI42" s="184">
        <v>571</v>
      </c>
      <c r="FJ42" s="179" t="str">
        <f t="shared" si="52"/>
        <v>Tidak Tercapai</v>
      </c>
      <c r="FK42" s="184">
        <v>900</v>
      </c>
      <c r="FL42" s="186">
        <v>258</v>
      </c>
      <c r="FM42" s="179" t="str">
        <f t="shared" si="53"/>
        <v>Tidak Tercapai</v>
      </c>
      <c r="FN42" s="184">
        <v>1205</v>
      </c>
      <c r="FO42" s="184">
        <v>622</v>
      </c>
      <c r="FP42" s="179" t="str">
        <f t="shared" si="54"/>
        <v>Tidak Tercapai</v>
      </c>
      <c r="FQ42" s="184">
        <v>266</v>
      </c>
      <c r="FR42" s="184">
        <v>742</v>
      </c>
      <c r="FS42" s="179" t="str">
        <f t="shared" si="55"/>
        <v>Tidak Tercapai</v>
      </c>
      <c r="FT42" s="184">
        <v>965</v>
      </c>
      <c r="FU42" s="184">
        <v>1575</v>
      </c>
      <c r="FV42" s="179" t="str">
        <f t="shared" si="56"/>
        <v>Tercapai</v>
      </c>
      <c r="FW42" s="184">
        <v>4785</v>
      </c>
      <c r="FX42" s="184">
        <v>434</v>
      </c>
      <c r="FY42" s="179" t="str">
        <f t="shared" si="57"/>
        <v>Tidak Tercapai</v>
      </c>
      <c r="FZ42" s="184">
        <v>1228</v>
      </c>
      <c r="GA42" s="184">
        <v>535</v>
      </c>
      <c r="GB42" s="179" t="str">
        <f t="shared" si="58"/>
        <v>Tidak Tercapai</v>
      </c>
      <c r="GC42" s="184">
        <v>1254</v>
      </c>
      <c r="GD42" s="184">
        <v>361</v>
      </c>
      <c r="GE42" s="179" t="str">
        <f t="shared" si="59"/>
        <v>Tidak Tercapai</v>
      </c>
      <c r="GF42" s="184">
        <v>583</v>
      </c>
      <c r="GG42" s="184">
        <v>383</v>
      </c>
      <c r="GH42" s="179" t="str">
        <f t="shared" si="60"/>
        <v>Tidak Tercapai</v>
      </c>
      <c r="GI42" s="184">
        <v>656</v>
      </c>
      <c r="GJ42" s="184">
        <v>1147</v>
      </c>
      <c r="GK42" s="179" t="str">
        <f t="shared" si="61"/>
        <v>Tercapai</v>
      </c>
      <c r="GL42" s="184">
        <v>2609</v>
      </c>
      <c r="GM42" s="184">
        <v>748</v>
      </c>
      <c r="GN42" s="179" t="str">
        <f t="shared" si="62"/>
        <v>Tidak Tercapai</v>
      </c>
      <c r="GO42" s="184">
        <v>1587</v>
      </c>
      <c r="GP42" s="184">
        <v>414</v>
      </c>
      <c r="GQ42" s="179" t="str">
        <f t="shared" si="63"/>
        <v>Tidak Tercapai</v>
      </c>
      <c r="GR42" s="184">
        <v>1106</v>
      </c>
      <c r="GS42" s="184">
        <v>395</v>
      </c>
      <c r="GT42" s="179" t="str">
        <f t="shared" si="64"/>
        <v>Tidak Tercapai</v>
      </c>
      <c r="GU42" s="184">
        <v>1229</v>
      </c>
      <c r="GV42" s="184">
        <v>521</v>
      </c>
      <c r="GW42" s="179" t="str">
        <f t="shared" si="65"/>
        <v>Tidak Tercapai</v>
      </c>
      <c r="GX42" s="184">
        <v>995</v>
      </c>
      <c r="GY42" s="184">
        <v>63</v>
      </c>
      <c r="GZ42" s="179" t="str">
        <f t="shared" si="66"/>
        <v>Tidak Tercapai</v>
      </c>
      <c r="HA42" s="184">
        <v>20</v>
      </c>
      <c r="HB42" s="184">
        <v>627</v>
      </c>
      <c r="HC42" s="179" t="str">
        <f t="shared" si="67"/>
        <v>Tidak Tercapai</v>
      </c>
      <c r="HD42" s="184">
        <v>1269</v>
      </c>
      <c r="HE42" s="184">
        <v>507</v>
      </c>
      <c r="HF42" s="179" t="str">
        <f t="shared" si="68"/>
        <v>Tidak Tercapai</v>
      </c>
      <c r="HG42" s="184">
        <v>1153</v>
      </c>
      <c r="HH42" s="184">
        <v>514</v>
      </c>
      <c r="HI42" s="179" t="str">
        <f t="shared" si="69"/>
        <v>Tidak Tercapai</v>
      </c>
      <c r="HJ42" s="184">
        <v>1126</v>
      </c>
      <c r="HK42" s="184">
        <v>339</v>
      </c>
      <c r="HL42" s="179" t="str">
        <f t="shared" si="70"/>
        <v>Tidak Tercapai</v>
      </c>
      <c r="HM42" s="184">
        <v>1040</v>
      </c>
      <c r="HN42" s="184">
        <v>249</v>
      </c>
      <c r="HO42" s="179" t="str">
        <f t="shared" si="71"/>
        <v>Tidak Tercapai</v>
      </c>
      <c r="HP42" s="184">
        <v>906</v>
      </c>
      <c r="HQ42" s="184">
        <v>313</v>
      </c>
      <c r="HR42" s="179" t="str">
        <f t="shared" si="72"/>
        <v>Tidak Tercapai</v>
      </c>
      <c r="HS42" s="184">
        <v>621</v>
      </c>
      <c r="HT42" s="184">
        <v>267</v>
      </c>
      <c r="HU42" s="179" t="str">
        <f t="shared" si="73"/>
        <v>Tidak Tercapai</v>
      </c>
      <c r="HV42" s="184">
        <v>672</v>
      </c>
      <c r="HW42" s="184">
        <v>484</v>
      </c>
      <c r="HX42" s="179" t="str">
        <f t="shared" si="74"/>
        <v>Tidak Tercapai</v>
      </c>
      <c r="HY42" s="184">
        <v>1526</v>
      </c>
      <c r="HZ42" s="184">
        <v>536</v>
      </c>
      <c r="IA42" s="179" t="str">
        <f t="shared" si="75"/>
        <v>Tidak Tercapai</v>
      </c>
      <c r="IB42" s="184">
        <v>1749</v>
      </c>
      <c r="IC42" s="184">
        <v>711</v>
      </c>
      <c r="ID42" s="179" t="str">
        <f t="shared" si="76"/>
        <v>Tidak Tercapai</v>
      </c>
      <c r="IE42" s="184">
        <v>3026</v>
      </c>
      <c r="IF42" s="184">
        <v>18</v>
      </c>
      <c r="IG42" s="179" t="str">
        <f t="shared" si="77"/>
        <v>Tidak Tercapai</v>
      </c>
      <c r="IH42" s="184">
        <v>166</v>
      </c>
      <c r="II42" s="184">
        <v>3</v>
      </c>
      <c r="IJ42" s="179" t="str">
        <f t="shared" si="78"/>
        <v>Tidak Tercapai</v>
      </c>
      <c r="IK42" s="184">
        <v>5</v>
      </c>
      <c r="IL42" s="42"/>
      <c r="IM42" s="42"/>
      <c r="IN42" s="42"/>
      <c r="IO42" s="42"/>
      <c r="IP42" s="42"/>
      <c r="IQ42" s="42"/>
      <c r="IR42" s="42"/>
      <c r="IS42" s="42"/>
      <c r="IT42" s="42"/>
      <c r="IU42" s="42"/>
      <c r="IV42" s="42"/>
    </row>
    <row r="43" spans="1:256" ht="15.6" x14ac:dyDescent="0.3">
      <c r="A43" s="167">
        <v>41</v>
      </c>
      <c r="B43" s="168" t="s">
        <v>501</v>
      </c>
      <c r="C43" s="167" t="s">
        <v>481</v>
      </c>
      <c r="D43" s="169">
        <v>79504</v>
      </c>
      <c r="E43" s="167">
        <v>879</v>
      </c>
      <c r="F43" s="187">
        <v>128051</v>
      </c>
      <c r="G43" s="171" t="s">
        <v>457</v>
      </c>
      <c r="H43" s="187">
        <v>106825</v>
      </c>
      <c r="I43" s="187">
        <v>208</v>
      </c>
      <c r="J43" s="171" t="str">
        <f t="shared" si="0"/>
        <v>Tidak Tercapai</v>
      </c>
      <c r="K43" s="187">
        <v>59</v>
      </c>
      <c r="L43" s="187">
        <v>31</v>
      </c>
      <c r="M43" s="171" t="str">
        <f t="shared" si="1"/>
        <v>Tidak Tercapai</v>
      </c>
      <c r="N43" s="187">
        <v>5</v>
      </c>
      <c r="O43" s="167">
        <v>941</v>
      </c>
      <c r="P43" s="171" t="str">
        <f t="shared" si="2"/>
        <v>Tercapai</v>
      </c>
      <c r="Q43" s="172">
        <v>126</v>
      </c>
      <c r="R43" s="188">
        <v>1272</v>
      </c>
      <c r="S43" s="173" t="str">
        <f t="shared" si="3"/>
        <v>Tercapai</v>
      </c>
      <c r="T43" s="172">
        <v>64</v>
      </c>
      <c r="U43" s="174">
        <v>2063</v>
      </c>
      <c r="V43" s="173" t="str">
        <f t="shared" si="4"/>
        <v>Tercapai</v>
      </c>
      <c r="W43" s="175">
        <v>138</v>
      </c>
      <c r="X43" s="188">
        <v>1272</v>
      </c>
      <c r="Y43" s="176" t="str">
        <f t="shared" si="5"/>
        <v>Tercapai</v>
      </c>
      <c r="Z43" s="177">
        <v>103</v>
      </c>
      <c r="AA43" s="178">
        <v>1199</v>
      </c>
      <c r="AB43" s="179" t="str">
        <f t="shared" si="6"/>
        <v>Tercapai</v>
      </c>
      <c r="AC43" s="178">
        <v>113</v>
      </c>
      <c r="AD43" s="184">
        <v>528</v>
      </c>
      <c r="AE43" s="179" t="str">
        <f t="shared" si="7"/>
        <v>Tidak Tercapai</v>
      </c>
      <c r="AF43" s="178">
        <v>42</v>
      </c>
      <c r="AG43" s="178">
        <v>110</v>
      </c>
      <c r="AH43" s="179" t="str">
        <f t="shared" si="8"/>
        <v>Tidak Tercapai</v>
      </c>
      <c r="AI43" s="178">
        <v>31</v>
      </c>
      <c r="AJ43" s="184">
        <v>1603</v>
      </c>
      <c r="AK43" s="179" t="str">
        <f t="shared" si="9"/>
        <v>Tercapai</v>
      </c>
      <c r="AL43" s="184">
        <v>128</v>
      </c>
      <c r="AM43" s="184">
        <v>1174</v>
      </c>
      <c r="AN43" s="179" t="str">
        <f t="shared" si="10"/>
        <v>Tercapai</v>
      </c>
      <c r="AO43" s="184">
        <v>216</v>
      </c>
      <c r="AP43" s="178">
        <v>2257</v>
      </c>
      <c r="AQ43" s="179" t="str">
        <f t="shared" si="11"/>
        <v>Tercapai</v>
      </c>
      <c r="AR43" s="178">
        <v>164</v>
      </c>
      <c r="AS43" s="178">
        <v>2497</v>
      </c>
      <c r="AT43" s="179" t="str">
        <f t="shared" si="12"/>
        <v>Tercapai</v>
      </c>
      <c r="AU43" s="178">
        <v>126</v>
      </c>
      <c r="AV43" s="170">
        <v>2260</v>
      </c>
      <c r="AW43" s="179" t="str">
        <f t="shared" si="13"/>
        <v>Tercapai</v>
      </c>
      <c r="AX43" s="178">
        <v>104</v>
      </c>
      <c r="AY43" s="178">
        <v>1713</v>
      </c>
      <c r="AZ43" s="179" t="str">
        <f t="shared" si="14"/>
        <v>Tercapai</v>
      </c>
      <c r="BA43" s="178">
        <v>42</v>
      </c>
      <c r="BB43" s="183">
        <v>1</v>
      </c>
      <c r="BC43" s="179" t="str">
        <f t="shared" si="15"/>
        <v>Tidak Tercapai</v>
      </c>
      <c r="BD43" s="178">
        <v>0</v>
      </c>
      <c r="BE43" s="184">
        <v>2757</v>
      </c>
      <c r="BF43" s="179" t="str">
        <f t="shared" si="16"/>
        <v>Tercapai</v>
      </c>
      <c r="BG43" s="170">
        <v>53</v>
      </c>
      <c r="BH43" s="184">
        <v>3169</v>
      </c>
      <c r="BI43" s="179" t="str">
        <f t="shared" si="17"/>
        <v>Tercapai</v>
      </c>
      <c r="BJ43" s="184">
        <v>73</v>
      </c>
      <c r="BK43" s="184">
        <v>2989</v>
      </c>
      <c r="BL43" s="179" t="str">
        <f t="shared" si="18"/>
        <v>Tercapai</v>
      </c>
      <c r="BM43" s="184">
        <v>193</v>
      </c>
      <c r="BN43" s="184">
        <v>1790</v>
      </c>
      <c r="BO43" s="179" t="str">
        <f t="shared" si="19"/>
        <v>Tercapai</v>
      </c>
      <c r="BP43" s="184">
        <v>225</v>
      </c>
      <c r="BQ43" s="184">
        <v>685</v>
      </c>
      <c r="BR43" s="179" t="str">
        <f t="shared" si="20"/>
        <v>Tidak Tercapai</v>
      </c>
      <c r="BS43" s="184">
        <v>23</v>
      </c>
      <c r="BT43" s="184">
        <v>2136</v>
      </c>
      <c r="BU43" s="179" t="str">
        <f t="shared" si="21"/>
        <v>Tercapai</v>
      </c>
      <c r="BV43" s="185">
        <v>108.949</v>
      </c>
      <c r="BW43" s="184">
        <v>549</v>
      </c>
      <c r="BX43" s="179" t="str">
        <f t="shared" si="22"/>
        <v>Tidak Tercapai</v>
      </c>
      <c r="BY43" s="184">
        <v>9</v>
      </c>
      <c r="BZ43" s="184">
        <v>1188</v>
      </c>
      <c r="CA43" s="179" t="str">
        <f t="shared" si="23"/>
        <v>Tercapai</v>
      </c>
      <c r="CB43" s="184">
        <v>6975</v>
      </c>
      <c r="CC43" s="184">
        <v>1727</v>
      </c>
      <c r="CD43" s="179" t="str">
        <f t="shared" si="24"/>
        <v>Tercapai</v>
      </c>
      <c r="CE43" s="184">
        <v>62</v>
      </c>
      <c r="CF43" s="184">
        <v>1178</v>
      </c>
      <c r="CG43" s="179" t="str">
        <f t="shared" si="25"/>
        <v>Tercapai</v>
      </c>
      <c r="CH43" s="184">
        <v>141</v>
      </c>
      <c r="CI43" s="184">
        <v>1211</v>
      </c>
      <c r="CJ43" s="179" t="str">
        <f t="shared" si="26"/>
        <v>Tercapai</v>
      </c>
      <c r="CK43" s="184">
        <v>112</v>
      </c>
      <c r="CL43" s="184">
        <v>434</v>
      </c>
      <c r="CM43" s="179" t="str">
        <f t="shared" si="27"/>
        <v>Tidak Tercapai</v>
      </c>
      <c r="CN43" s="184">
        <v>36</v>
      </c>
      <c r="CO43" s="184">
        <v>1190</v>
      </c>
      <c r="CP43" s="179" t="str">
        <f t="shared" si="28"/>
        <v>Tercapai</v>
      </c>
      <c r="CQ43" s="184">
        <v>114</v>
      </c>
      <c r="CR43" s="184">
        <v>50</v>
      </c>
      <c r="CS43" s="179" t="str">
        <f t="shared" si="29"/>
        <v>Tidak Tercapai</v>
      </c>
      <c r="CT43" s="184">
        <v>84</v>
      </c>
      <c r="CU43" s="184">
        <v>250</v>
      </c>
      <c r="CV43" s="179" t="str">
        <f t="shared" si="30"/>
        <v>Tidak Tercapai</v>
      </c>
      <c r="CW43" s="184">
        <v>12</v>
      </c>
      <c r="CX43" s="184">
        <v>7176</v>
      </c>
      <c r="CY43" s="179" t="str">
        <f t="shared" si="31"/>
        <v>Tercapai</v>
      </c>
      <c r="CZ43" s="184">
        <v>129</v>
      </c>
      <c r="DA43" s="184">
        <v>4930</v>
      </c>
      <c r="DB43" s="179" t="str">
        <f t="shared" si="32"/>
        <v>Tercapai</v>
      </c>
      <c r="DC43" s="184">
        <v>44</v>
      </c>
      <c r="DD43" s="184">
        <v>5168</v>
      </c>
      <c r="DE43" s="179" t="str">
        <f t="shared" si="33"/>
        <v>Tercapai</v>
      </c>
      <c r="DF43" s="184">
        <v>40</v>
      </c>
      <c r="DG43" s="184">
        <v>7753</v>
      </c>
      <c r="DH43" s="179" t="str">
        <f t="shared" si="34"/>
        <v>Tercapai</v>
      </c>
      <c r="DI43" s="184">
        <v>73</v>
      </c>
      <c r="DJ43" s="184">
        <v>1173</v>
      </c>
      <c r="DK43" s="179" t="str">
        <f t="shared" si="35"/>
        <v>Tercapai</v>
      </c>
      <c r="DL43" s="184">
        <v>92</v>
      </c>
      <c r="DM43" s="184">
        <v>1019</v>
      </c>
      <c r="DN43" s="179" t="str">
        <f t="shared" si="36"/>
        <v>Tercapai</v>
      </c>
      <c r="DO43" s="184">
        <v>49</v>
      </c>
      <c r="DP43" s="184">
        <v>681</v>
      </c>
      <c r="DQ43" s="179" t="str">
        <f t="shared" si="37"/>
        <v>Tidak Tercapai</v>
      </c>
      <c r="DR43" s="184">
        <v>299</v>
      </c>
      <c r="DS43" s="184">
        <v>15</v>
      </c>
      <c r="DT43" s="179" t="str">
        <f t="shared" si="38"/>
        <v>Tidak Tercapai</v>
      </c>
      <c r="DU43" s="184">
        <v>2</v>
      </c>
      <c r="DV43" s="184">
        <v>571</v>
      </c>
      <c r="DW43" s="179" t="str">
        <f t="shared" si="39"/>
        <v>Tidak Tercapai</v>
      </c>
      <c r="DX43" s="184">
        <v>664</v>
      </c>
      <c r="DY43" s="184">
        <v>968</v>
      </c>
      <c r="DZ43" s="179" t="str">
        <f t="shared" si="40"/>
        <v>Tercapai</v>
      </c>
      <c r="EA43" s="184">
        <v>1017</v>
      </c>
      <c r="EB43" s="184">
        <v>822</v>
      </c>
      <c r="EC43" s="179" t="str">
        <f t="shared" si="41"/>
        <v>Tidak Tercapai</v>
      </c>
      <c r="ED43" s="184">
        <v>781</v>
      </c>
      <c r="EE43" s="184">
        <v>895</v>
      </c>
      <c r="EF43" s="179" t="str">
        <f t="shared" si="42"/>
        <v>Tercapai</v>
      </c>
      <c r="EG43" s="184">
        <v>955</v>
      </c>
      <c r="EH43" s="184">
        <v>842</v>
      </c>
      <c r="EI43" s="179" t="str">
        <f t="shared" si="43"/>
        <v>Tidak Tercapai</v>
      </c>
      <c r="EJ43" s="184">
        <v>64</v>
      </c>
      <c r="EK43" s="184">
        <v>1051</v>
      </c>
      <c r="EL43" s="179" t="str">
        <f t="shared" si="44"/>
        <v>Tercapai</v>
      </c>
      <c r="EM43" s="184">
        <v>1258</v>
      </c>
      <c r="EN43" s="184">
        <v>878</v>
      </c>
      <c r="EO43" s="179" t="str">
        <f t="shared" si="45"/>
        <v>Tidak Tercapai</v>
      </c>
      <c r="EP43" s="184">
        <v>1236</v>
      </c>
      <c r="EQ43" s="184">
        <v>1011</v>
      </c>
      <c r="ER43" s="179" t="str">
        <f t="shared" si="46"/>
        <v>Tercapai</v>
      </c>
      <c r="ES43" s="178">
        <v>1302</v>
      </c>
      <c r="ET43" s="184">
        <v>1218</v>
      </c>
      <c r="EU43" s="179" t="str">
        <f t="shared" si="47"/>
        <v>Tercapai</v>
      </c>
      <c r="EV43" s="184">
        <v>1589</v>
      </c>
      <c r="EW43" s="184">
        <v>1267</v>
      </c>
      <c r="EX43" s="179" t="str">
        <f t="shared" si="48"/>
        <v>Tercapai</v>
      </c>
      <c r="EY43" s="184">
        <v>1214</v>
      </c>
      <c r="EZ43" s="184">
        <v>987</v>
      </c>
      <c r="FA43" s="179" t="str">
        <f t="shared" si="49"/>
        <v>Tercapai</v>
      </c>
      <c r="FB43" s="184">
        <v>894</v>
      </c>
      <c r="FC43" s="184">
        <v>579</v>
      </c>
      <c r="FD43" s="179" t="str">
        <f t="shared" si="50"/>
        <v>Tidak Tercapai</v>
      </c>
      <c r="FE43" s="184">
        <v>351</v>
      </c>
      <c r="FF43" s="184">
        <v>1693</v>
      </c>
      <c r="FG43" s="179" t="str">
        <f t="shared" si="51"/>
        <v>Tercapai</v>
      </c>
      <c r="FH43" s="184">
        <v>1664</v>
      </c>
      <c r="FI43" s="184">
        <v>853</v>
      </c>
      <c r="FJ43" s="179" t="str">
        <f t="shared" si="52"/>
        <v>Tidak Tercapai</v>
      </c>
      <c r="FK43" s="184">
        <v>1184</v>
      </c>
      <c r="FL43" s="186">
        <v>0</v>
      </c>
      <c r="FM43" s="179" t="str">
        <f t="shared" si="53"/>
        <v>Tidak Tercapai</v>
      </c>
      <c r="FN43" s="184">
        <v>721</v>
      </c>
      <c r="FO43" s="184">
        <v>655</v>
      </c>
      <c r="FP43" s="179" t="str">
        <f t="shared" si="54"/>
        <v>Tidak Tercapai</v>
      </c>
      <c r="FQ43" s="184">
        <v>267</v>
      </c>
      <c r="FR43" s="184">
        <v>629</v>
      </c>
      <c r="FS43" s="179" t="str">
        <f t="shared" si="55"/>
        <v>Tidak Tercapai</v>
      </c>
      <c r="FT43" s="184">
        <v>753</v>
      </c>
      <c r="FU43" s="184">
        <v>1656</v>
      </c>
      <c r="FV43" s="179" t="str">
        <f t="shared" si="56"/>
        <v>Tercapai</v>
      </c>
      <c r="FW43" s="184">
        <v>2632</v>
      </c>
      <c r="FX43" s="184">
        <v>1547</v>
      </c>
      <c r="FY43" s="179" t="str">
        <f t="shared" si="57"/>
        <v>Tercapai</v>
      </c>
      <c r="FZ43" s="184">
        <v>1809</v>
      </c>
      <c r="GA43" s="184">
        <v>989</v>
      </c>
      <c r="GB43" s="179" t="str">
        <f t="shared" si="58"/>
        <v>Tercapai</v>
      </c>
      <c r="GC43" s="184">
        <v>2211</v>
      </c>
      <c r="GD43" s="184">
        <v>673</v>
      </c>
      <c r="GE43" s="179" t="str">
        <f t="shared" si="59"/>
        <v>Tidak Tercapai</v>
      </c>
      <c r="GF43" s="184">
        <v>3728</v>
      </c>
      <c r="GG43" s="184">
        <v>210</v>
      </c>
      <c r="GH43" s="179" t="str">
        <f t="shared" si="60"/>
        <v>Tidak Tercapai</v>
      </c>
      <c r="GI43" s="184">
        <v>604</v>
      </c>
      <c r="GJ43" s="184">
        <v>898</v>
      </c>
      <c r="GK43" s="179" t="str">
        <f t="shared" si="61"/>
        <v>Tercapai</v>
      </c>
      <c r="GL43" s="184">
        <v>6064</v>
      </c>
      <c r="GM43" s="184">
        <v>744</v>
      </c>
      <c r="GN43" s="179" t="str">
        <f t="shared" si="62"/>
        <v>Tidak Tercapai</v>
      </c>
      <c r="GO43" s="184">
        <v>5864</v>
      </c>
      <c r="GP43" s="184">
        <v>1604</v>
      </c>
      <c r="GQ43" s="179" t="str">
        <f t="shared" si="63"/>
        <v>Tercapai</v>
      </c>
      <c r="GR43" s="184">
        <v>2782</v>
      </c>
      <c r="GS43" s="184">
        <v>1137</v>
      </c>
      <c r="GT43" s="179" t="str">
        <f t="shared" si="64"/>
        <v>Tercapai</v>
      </c>
      <c r="GU43" s="184">
        <v>942</v>
      </c>
      <c r="GV43" s="184">
        <v>541</v>
      </c>
      <c r="GW43" s="179" t="str">
        <f t="shared" si="65"/>
        <v>Tidak Tercapai</v>
      </c>
      <c r="GX43" s="184">
        <v>1553</v>
      </c>
      <c r="GY43" s="184">
        <v>100</v>
      </c>
      <c r="GZ43" s="179" t="str">
        <f t="shared" si="66"/>
        <v>Tidak Tercapai</v>
      </c>
      <c r="HA43" s="184">
        <v>123</v>
      </c>
      <c r="HB43" s="184">
        <v>491</v>
      </c>
      <c r="HC43" s="179" t="str">
        <f t="shared" si="67"/>
        <v>Tidak Tercapai</v>
      </c>
      <c r="HD43" s="184">
        <v>1029</v>
      </c>
      <c r="HE43" s="184">
        <v>709</v>
      </c>
      <c r="HF43" s="179" t="str">
        <f t="shared" si="68"/>
        <v>Tidak Tercapai</v>
      </c>
      <c r="HG43" s="184">
        <v>1217</v>
      </c>
      <c r="HH43" s="184">
        <v>609</v>
      </c>
      <c r="HI43" s="179" t="str">
        <f t="shared" si="69"/>
        <v>Tidak Tercapai</v>
      </c>
      <c r="HJ43" s="184">
        <v>1229</v>
      </c>
      <c r="HK43" s="184">
        <v>316</v>
      </c>
      <c r="HL43" s="179" t="str">
        <f t="shared" si="70"/>
        <v>Tidak Tercapai</v>
      </c>
      <c r="HM43" s="184">
        <v>718</v>
      </c>
      <c r="HN43" s="184">
        <v>219</v>
      </c>
      <c r="HO43" s="179" t="str">
        <f t="shared" si="71"/>
        <v>Tidak Tercapai</v>
      </c>
      <c r="HP43" s="184">
        <v>761</v>
      </c>
      <c r="HQ43" s="184">
        <v>444</v>
      </c>
      <c r="HR43" s="179" t="str">
        <f t="shared" si="72"/>
        <v>Tidak Tercapai</v>
      </c>
      <c r="HS43" s="184">
        <v>1344</v>
      </c>
      <c r="HT43" s="184">
        <v>476</v>
      </c>
      <c r="HU43" s="179" t="str">
        <f t="shared" si="73"/>
        <v>Tidak Tercapai</v>
      </c>
      <c r="HV43" s="184">
        <v>1241</v>
      </c>
      <c r="HW43" s="184">
        <v>620</v>
      </c>
      <c r="HX43" s="179" t="str">
        <f t="shared" si="74"/>
        <v>Tidak Tercapai</v>
      </c>
      <c r="HY43" s="184">
        <v>1362</v>
      </c>
      <c r="HZ43" s="184">
        <v>1469</v>
      </c>
      <c r="IA43" s="179" t="str">
        <f t="shared" si="75"/>
        <v>Tercapai</v>
      </c>
      <c r="IB43" s="184">
        <v>1338</v>
      </c>
      <c r="IC43" s="184">
        <v>1400</v>
      </c>
      <c r="ID43" s="179" t="str">
        <f t="shared" si="76"/>
        <v>Tercapai</v>
      </c>
      <c r="IE43" s="184">
        <v>1883</v>
      </c>
      <c r="IF43" s="184">
        <v>66</v>
      </c>
      <c r="IG43" s="179" t="str">
        <f t="shared" si="77"/>
        <v>Tidak Tercapai</v>
      </c>
      <c r="IH43" s="184">
        <v>243</v>
      </c>
      <c r="II43" s="184">
        <v>0</v>
      </c>
      <c r="IJ43" s="179" t="str">
        <f t="shared" si="78"/>
        <v>Tidak Tercapai</v>
      </c>
      <c r="IK43" s="184">
        <v>3</v>
      </c>
      <c r="IL43" s="42"/>
      <c r="IM43" s="42"/>
      <c r="IN43" s="42"/>
      <c r="IO43" s="42"/>
      <c r="IP43" s="42"/>
      <c r="IQ43" s="42"/>
      <c r="IR43" s="42"/>
      <c r="IS43" s="42"/>
      <c r="IT43" s="42"/>
      <c r="IU43" s="42"/>
      <c r="IV43" s="42"/>
    </row>
    <row r="44" spans="1:256" ht="15.6" x14ac:dyDescent="0.3">
      <c r="A44" s="167">
        <v>42</v>
      </c>
      <c r="B44" s="168" t="s">
        <v>502</v>
      </c>
      <c r="C44" s="167" t="s">
        <v>481</v>
      </c>
      <c r="D44" s="169">
        <v>73752</v>
      </c>
      <c r="E44" s="167">
        <v>770</v>
      </c>
      <c r="F44" s="187">
        <v>51423</v>
      </c>
      <c r="G44" s="171" t="s">
        <v>457</v>
      </c>
      <c r="H44" s="187">
        <v>32895</v>
      </c>
      <c r="I44" s="187">
        <v>57</v>
      </c>
      <c r="J44" s="171" t="str">
        <f t="shared" si="0"/>
        <v>Tidak Tercapai</v>
      </c>
      <c r="K44" s="187">
        <v>42</v>
      </c>
      <c r="L44" s="187">
        <v>0</v>
      </c>
      <c r="M44" s="171" t="str">
        <f t="shared" si="1"/>
        <v>Tidak Tercapai</v>
      </c>
      <c r="N44" s="187">
        <v>0</v>
      </c>
      <c r="O44" s="167">
        <v>1445</v>
      </c>
      <c r="P44" s="171" t="str">
        <f t="shared" si="2"/>
        <v>Tercapai</v>
      </c>
      <c r="Q44" s="172">
        <v>8</v>
      </c>
      <c r="R44" s="188">
        <v>1591</v>
      </c>
      <c r="S44" s="173" t="str">
        <f t="shared" si="3"/>
        <v>Tercapai</v>
      </c>
      <c r="T44" s="172">
        <v>22</v>
      </c>
      <c r="U44" s="174">
        <v>2508</v>
      </c>
      <c r="V44" s="173" t="str">
        <f t="shared" si="4"/>
        <v>Tercapai</v>
      </c>
      <c r="W44" s="175">
        <v>14</v>
      </c>
      <c r="X44" s="188">
        <v>1591</v>
      </c>
      <c r="Y44" s="176" t="str">
        <f t="shared" si="5"/>
        <v>Tercapai</v>
      </c>
      <c r="Z44" s="177">
        <v>19</v>
      </c>
      <c r="AA44" s="178">
        <v>1991</v>
      </c>
      <c r="AB44" s="179" t="str">
        <f t="shared" si="6"/>
        <v>Tercapai</v>
      </c>
      <c r="AC44" s="178">
        <v>24</v>
      </c>
      <c r="AD44" s="184">
        <v>1009</v>
      </c>
      <c r="AE44" s="179" t="str">
        <f t="shared" si="7"/>
        <v>Tercapai</v>
      </c>
      <c r="AF44" s="178">
        <v>0</v>
      </c>
      <c r="AG44" s="178">
        <v>0</v>
      </c>
      <c r="AH44" s="179" t="str">
        <f t="shared" si="8"/>
        <v>Tidak Tercapai</v>
      </c>
      <c r="AI44" s="178">
        <v>0</v>
      </c>
      <c r="AJ44" s="184">
        <v>2320</v>
      </c>
      <c r="AK44" s="179" t="str">
        <f t="shared" si="9"/>
        <v>Tercapai</v>
      </c>
      <c r="AL44" s="184">
        <v>31</v>
      </c>
      <c r="AM44" s="184">
        <v>1894</v>
      </c>
      <c r="AN44" s="179" t="str">
        <f t="shared" si="10"/>
        <v>Tercapai</v>
      </c>
      <c r="AO44" s="184">
        <v>43</v>
      </c>
      <c r="AP44" s="178">
        <v>4088</v>
      </c>
      <c r="AQ44" s="179" t="str">
        <f t="shared" si="11"/>
        <v>Tercapai</v>
      </c>
      <c r="AR44" s="178">
        <v>12</v>
      </c>
      <c r="AS44" s="178">
        <v>2875</v>
      </c>
      <c r="AT44" s="179" t="str">
        <f t="shared" si="12"/>
        <v>Tercapai</v>
      </c>
      <c r="AU44" s="178">
        <v>4</v>
      </c>
      <c r="AV44" s="170">
        <v>2985</v>
      </c>
      <c r="AW44" s="179" t="str">
        <f t="shared" si="13"/>
        <v>Tercapai</v>
      </c>
      <c r="AX44" s="178">
        <v>17</v>
      </c>
      <c r="AY44" s="178">
        <v>2275</v>
      </c>
      <c r="AZ44" s="179" t="str">
        <f t="shared" si="14"/>
        <v>Tercapai</v>
      </c>
      <c r="BA44" s="178">
        <v>1</v>
      </c>
      <c r="BB44" s="183">
        <v>1</v>
      </c>
      <c r="BC44" s="179" t="str">
        <f t="shared" si="15"/>
        <v>Tidak Tercapai</v>
      </c>
      <c r="BD44" s="178">
        <v>0</v>
      </c>
      <c r="BE44" s="184">
        <v>1214</v>
      </c>
      <c r="BF44" s="179" t="str">
        <f t="shared" si="16"/>
        <v>Tercapai</v>
      </c>
      <c r="BG44" s="170">
        <v>24</v>
      </c>
      <c r="BH44" s="184">
        <v>1359</v>
      </c>
      <c r="BI44" s="179" t="str">
        <f t="shared" si="17"/>
        <v>Tercapai</v>
      </c>
      <c r="BJ44" s="184">
        <v>9</v>
      </c>
      <c r="BK44" s="184">
        <v>1845</v>
      </c>
      <c r="BL44" s="179" t="str">
        <f t="shared" si="18"/>
        <v>Tercapai</v>
      </c>
      <c r="BM44" s="184">
        <v>17</v>
      </c>
      <c r="BN44" s="184">
        <v>1684</v>
      </c>
      <c r="BO44" s="179" t="str">
        <f t="shared" si="19"/>
        <v>Tercapai</v>
      </c>
      <c r="BP44" s="184">
        <v>20</v>
      </c>
      <c r="BQ44" s="184">
        <v>988</v>
      </c>
      <c r="BR44" s="179" t="str">
        <f t="shared" si="20"/>
        <v>Tercapai</v>
      </c>
      <c r="BS44" s="184">
        <v>13</v>
      </c>
      <c r="BT44" s="184">
        <v>2148</v>
      </c>
      <c r="BU44" s="179" t="str">
        <f t="shared" si="21"/>
        <v>Tercapai</v>
      </c>
      <c r="BV44" s="185">
        <v>33.241999999999997</v>
      </c>
      <c r="BW44" s="184">
        <v>654</v>
      </c>
      <c r="BX44" s="179" t="str">
        <f t="shared" si="22"/>
        <v>Tidak Tercapai</v>
      </c>
      <c r="BY44" s="184">
        <v>0</v>
      </c>
      <c r="BZ44" s="184">
        <v>830</v>
      </c>
      <c r="CA44" s="179" t="str">
        <f t="shared" si="23"/>
        <v>Tercapai</v>
      </c>
      <c r="CB44" s="184">
        <v>2046</v>
      </c>
      <c r="CC44" s="184">
        <v>1745</v>
      </c>
      <c r="CD44" s="179" t="str">
        <f t="shared" si="24"/>
        <v>Tercapai</v>
      </c>
      <c r="CE44" s="184">
        <v>22</v>
      </c>
      <c r="CF44" s="184">
        <v>1092</v>
      </c>
      <c r="CG44" s="179" t="str">
        <f t="shared" si="25"/>
        <v>Tercapai</v>
      </c>
      <c r="CH44" s="184">
        <v>8</v>
      </c>
      <c r="CI44" s="184">
        <v>243</v>
      </c>
      <c r="CJ44" s="179" t="str">
        <f t="shared" si="26"/>
        <v>Tidak Tercapai</v>
      </c>
      <c r="CK44" s="184">
        <v>43</v>
      </c>
      <c r="CL44" s="184">
        <v>358</v>
      </c>
      <c r="CM44" s="179" t="str">
        <f t="shared" si="27"/>
        <v>Tidak Tercapai</v>
      </c>
      <c r="CN44" s="184">
        <v>45</v>
      </c>
      <c r="CO44" s="184">
        <v>216</v>
      </c>
      <c r="CP44" s="179" t="str">
        <f t="shared" si="28"/>
        <v>Tidak Tercapai</v>
      </c>
      <c r="CQ44" s="184">
        <v>10</v>
      </c>
      <c r="CR44" s="184">
        <v>6</v>
      </c>
      <c r="CS44" s="179" t="str">
        <f t="shared" si="29"/>
        <v>Tidak Tercapai</v>
      </c>
      <c r="CT44" s="184">
        <v>1</v>
      </c>
      <c r="CU44" s="184">
        <v>50</v>
      </c>
      <c r="CV44" s="179" t="str">
        <f t="shared" si="30"/>
        <v>Tidak Tercapai</v>
      </c>
      <c r="CW44" s="184">
        <v>1</v>
      </c>
      <c r="CX44" s="184">
        <v>3069</v>
      </c>
      <c r="CY44" s="179" t="str">
        <f t="shared" si="31"/>
        <v>Tercapai</v>
      </c>
      <c r="CZ44" s="184">
        <v>66</v>
      </c>
      <c r="DA44" s="184">
        <v>1659</v>
      </c>
      <c r="DB44" s="179" t="str">
        <f t="shared" si="32"/>
        <v>Tercapai</v>
      </c>
      <c r="DC44" s="184">
        <v>46</v>
      </c>
      <c r="DD44" s="184">
        <v>1388</v>
      </c>
      <c r="DE44" s="179" t="str">
        <f t="shared" si="33"/>
        <v>Tercapai</v>
      </c>
      <c r="DF44" s="184">
        <v>44</v>
      </c>
      <c r="DG44" s="184">
        <v>809</v>
      </c>
      <c r="DH44" s="179" t="str">
        <f t="shared" si="34"/>
        <v>Tercapai</v>
      </c>
      <c r="DI44" s="184">
        <v>39</v>
      </c>
      <c r="DJ44" s="184">
        <v>382</v>
      </c>
      <c r="DK44" s="179" t="str">
        <f t="shared" si="35"/>
        <v>Tidak Tercapai</v>
      </c>
      <c r="DL44" s="184">
        <v>7</v>
      </c>
      <c r="DM44" s="184">
        <v>222</v>
      </c>
      <c r="DN44" s="179" t="str">
        <f t="shared" si="36"/>
        <v>Tidak Tercapai</v>
      </c>
      <c r="DO44" s="184">
        <v>2</v>
      </c>
      <c r="DP44" s="184">
        <v>604</v>
      </c>
      <c r="DQ44" s="179" t="str">
        <f t="shared" si="37"/>
        <v>Tidak Tercapai</v>
      </c>
      <c r="DR44" s="184">
        <v>298</v>
      </c>
      <c r="DS44" s="184">
        <v>0</v>
      </c>
      <c r="DT44" s="179" t="str">
        <f t="shared" si="38"/>
        <v>Tidak Tercapai</v>
      </c>
      <c r="DU44" s="184">
        <v>0</v>
      </c>
      <c r="DV44" s="184">
        <v>781</v>
      </c>
      <c r="DW44" s="179" t="str">
        <f t="shared" si="39"/>
        <v>Tercapai</v>
      </c>
      <c r="DX44" s="184">
        <v>728</v>
      </c>
      <c r="DY44" s="184">
        <v>609</v>
      </c>
      <c r="DZ44" s="179" t="str">
        <f t="shared" si="40"/>
        <v>Tidak Tercapai</v>
      </c>
      <c r="EA44" s="184">
        <v>1275</v>
      </c>
      <c r="EB44" s="184">
        <v>752</v>
      </c>
      <c r="EC44" s="179" t="str">
        <f t="shared" si="41"/>
        <v>Tidak Tercapai</v>
      </c>
      <c r="ED44" s="184">
        <v>1321</v>
      </c>
      <c r="EE44" s="184">
        <v>558</v>
      </c>
      <c r="EF44" s="179" t="str">
        <f t="shared" si="42"/>
        <v>Tidak Tercapai</v>
      </c>
      <c r="EG44" s="184">
        <v>667</v>
      </c>
      <c r="EH44" s="184">
        <v>514</v>
      </c>
      <c r="EI44" s="179" t="str">
        <f t="shared" si="43"/>
        <v>Tidak Tercapai</v>
      </c>
      <c r="EJ44" s="184">
        <v>5</v>
      </c>
      <c r="EK44" s="184">
        <v>1102</v>
      </c>
      <c r="EL44" s="179" t="str">
        <f t="shared" si="44"/>
        <v>Tercapai</v>
      </c>
      <c r="EM44" s="184">
        <v>710</v>
      </c>
      <c r="EN44" s="184">
        <v>1371</v>
      </c>
      <c r="EO44" s="179" t="str">
        <f t="shared" si="45"/>
        <v>Tercapai</v>
      </c>
      <c r="EP44" s="184">
        <v>737</v>
      </c>
      <c r="EQ44" s="184">
        <v>1016</v>
      </c>
      <c r="ER44" s="179" t="str">
        <f t="shared" si="46"/>
        <v>Tercapai</v>
      </c>
      <c r="ES44" s="178">
        <v>1695</v>
      </c>
      <c r="ET44" s="184">
        <v>832</v>
      </c>
      <c r="EU44" s="179" t="str">
        <f t="shared" si="47"/>
        <v>Tercapai</v>
      </c>
      <c r="EV44" s="184">
        <v>2340</v>
      </c>
      <c r="EW44" s="184">
        <v>701</v>
      </c>
      <c r="EX44" s="179" t="str">
        <f t="shared" si="48"/>
        <v>Tidak Tercapai</v>
      </c>
      <c r="EY44" s="184">
        <v>1383</v>
      </c>
      <c r="EZ44" s="184">
        <v>306</v>
      </c>
      <c r="FA44" s="179" t="str">
        <f t="shared" si="49"/>
        <v>Tidak Tercapai</v>
      </c>
      <c r="FB44" s="184">
        <v>544</v>
      </c>
      <c r="FC44" s="184">
        <v>279</v>
      </c>
      <c r="FD44" s="179" t="str">
        <f t="shared" si="50"/>
        <v>Tidak Tercapai</v>
      </c>
      <c r="FE44" s="184">
        <v>305</v>
      </c>
      <c r="FF44" s="184">
        <v>687</v>
      </c>
      <c r="FG44" s="179" t="str">
        <f t="shared" si="51"/>
        <v>Tidak Tercapai</v>
      </c>
      <c r="FH44" s="184">
        <v>781</v>
      </c>
      <c r="FI44" s="184">
        <v>838</v>
      </c>
      <c r="FJ44" s="179" t="str">
        <f t="shared" si="52"/>
        <v>Tercapai</v>
      </c>
      <c r="FK44" s="184">
        <v>1184</v>
      </c>
      <c r="FL44" s="186">
        <v>146</v>
      </c>
      <c r="FM44" s="179" t="str">
        <f t="shared" si="53"/>
        <v>Tidak Tercapai</v>
      </c>
      <c r="FN44" s="184">
        <v>528</v>
      </c>
      <c r="FO44" s="184">
        <v>475</v>
      </c>
      <c r="FP44" s="179" t="str">
        <f t="shared" si="54"/>
        <v>Tidak Tercapai</v>
      </c>
      <c r="FQ44" s="184">
        <v>139</v>
      </c>
      <c r="FR44" s="184">
        <v>605</v>
      </c>
      <c r="FS44" s="179" t="str">
        <f t="shared" si="55"/>
        <v>Tidak Tercapai</v>
      </c>
      <c r="FT44" s="184">
        <v>339</v>
      </c>
      <c r="FU44" s="184">
        <v>830</v>
      </c>
      <c r="FV44" s="179" t="str">
        <f t="shared" si="56"/>
        <v>Tercapai</v>
      </c>
      <c r="FW44" s="184">
        <v>1248</v>
      </c>
      <c r="FX44" s="184">
        <v>1485</v>
      </c>
      <c r="FY44" s="179" t="str">
        <f t="shared" si="57"/>
        <v>Tercapai</v>
      </c>
      <c r="FZ44" s="184">
        <v>393</v>
      </c>
      <c r="GA44" s="184">
        <v>864</v>
      </c>
      <c r="GB44" s="179" t="str">
        <f t="shared" si="58"/>
        <v>Tercapai</v>
      </c>
      <c r="GC44" s="184">
        <v>743</v>
      </c>
      <c r="GD44" s="184">
        <v>573</v>
      </c>
      <c r="GE44" s="179" t="str">
        <f t="shared" si="59"/>
        <v>Tidak Tercapai</v>
      </c>
      <c r="GF44" s="184">
        <v>1115</v>
      </c>
      <c r="GG44" s="184">
        <v>214</v>
      </c>
      <c r="GH44" s="179" t="str">
        <f t="shared" si="60"/>
        <v>Tidak Tercapai</v>
      </c>
      <c r="GI44" s="184">
        <v>217</v>
      </c>
      <c r="GJ44" s="184">
        <v>488</v>
      </c>
      <c r="GK44" s="179" t="str">
        <f t="shared" si="61"/>
        <v>Tidak Tercapai</v>
      </c>
      <c r="GL44" s="184">
        <v>1342</v>
      </c>
      <c r="GM44" s="184">
        <v>477</v>
      </c>
      <c r="GN44" s="179" t="str">
        <f t="shared" si="62"/>
        <v>Tidak Tercapai</v>
      </c>
      <c r="GO44" s="184">
        <v>892</v>
      </c>
      <c r="GP44" s="184">
        <v>397</v>
      </c>
      <c r="GQ44" s="179" t="str">
        <f t="shared" si="63"/>
        <v>Tidak Tercapai</v>
      </c>
      <c r="GR44" s="184">
        <v>411</v>
      </c>
      <c r="GS44" s="184">
        <v>284</v>
      </c>
      <c r="GT44" s="179" t="str">
        <f t="shared" si="64"/>
        <v>Tidak Tercapai</v>
      </c>
      <c r="GU44" s="184">
        <v>71</v>
      </c>
      <c r="GV44" s="184">
        <v>566</v>
      </c>
      <c r="GW44" s="179" t="str">
        <f t="shared" si="65"/>
        <v>Tidak Tercapai</v>
      </c>
      <c r="GX44" s="184">
        <v>1405</v>
      </c>
      <c r="GY44" s="184">
        <v>162</v>
      </c>
      <c r="GZ44" s="179" t="str">
        <f t="shared" si="66"/>
        <v>Tidak Tercapai</v>
      </c>
      <c r="HA44" s="184">
        <v>449</v>
      </c>
      <c r="HB44" s="184">
        <v>708</v>
      </c>
      <c r="HC44" s="179" t="str">
        <f t="shared" si="67"/>
        <v>Tidak Tercapai</v>
      </c>
      <c r="HD44" s="184">
        <v>1045</v>
      </c>
      <c r="HE44" s="184">
        <v>556</v>
      </c>
      <c r="HF44" s="179" t="str">
        <f t="shared" si="68"/>
        <v>Tidak Tercapai</v>
      </c>
      <c r="HG44" s="184">
        <v>1062</v>
      </c>
      <c r="HH44" s="184">
        <v>747</v>
      </c>
      <c r="HI44" s="179" t="str">
        <f t="shared" si="69"/>
        <v>Tidak Tercapai</v>
      </c>
      <c r="HJ44" s="184">
        <v>994</v>
      </c>
      <c r="HK44" s="184">
        <v>269</v>
      </c>
      <c r="HL44" s="179" t="str">
        <f t="shared" si="70"/>
        <v>Tidak Tercapai</v>
      </c>
      <c r="HM44" s="184">
        <v>211</v>
      </c>
      <c r="HN44" s="184">
        <v>251</v>
      </c>
      <c r="HO44" s="179" t="str">
        <f t="shared" si="71"/>
        <v>Tidak Tercapai</v>
      </c>
      <c r="HP44" s="184">
        <v>271</v>
      </c>
      <c r="HQ44" s="184">
        <v>515</v>
      </c>
      <c r="HR44" s="179" t="str">
        <f t="shared" si="72"/>
        <v>Tidak Tercapai</v>
      </c>
      <c r="HS44" s="184">
        <v>921</v>
      </c>
      <c r="HT44" s="184">
        <v>728</v>
      </c>
      <c r="HU44" s="179" t="str">
        <f t="shared" si="73"/>
        <v>Tidak Tercapai</v>
      </c>
      <c r="HV44" s="184">
        <v>1674</v>
      </c>
      <c r="HW44" s="184">
        <v>924</v>
      </c>
      <c r="HX44" s="179" t="str">
        <f t="shared" si="74"/>
        <v>Tercapai</v>
      </c>
      <c r="HY44" s="184">
        <v>2459</v>
      </c>
      <c r="HZ44" s="184">
        <v>767</v>
      </c>
      <c r="IA44" s="179" t="str">
        <f t="shared" si="75"/>
        <v>Tidak Tercapai</v>
      </c>
      <c r="IB44" s="184">
        <v>3617</v>
      </c>
      <c r="IC44" s="184">
        <v>716</v>
      </c>
      <c r="ID44" s="179" t="str">
        <f t="shared" si="76"/>
        <v>Tidak Tercapai</v>
      </c>
      <c r="IE44" s="184">
        <v>3913</v>
      </c>
      <c r="IF44" s="184">
        <v>37</v>
      </c>
      <c r="IG44" s="179" t="str">
        <f t="shared" si="77"/>
        <v>Tidak Tercapai</v>
      </c>
      <c r="IH44" s="184">
        <v>202</v>
      </c>
      <c r="II44" s="184">
        <v>3</v>
      </c>
      <c r="IJ44" s="179" t="str">
        <f t="shared" si="78"/>
        <v>Tidak Tercapai</v>
      </c>
      <c r="IK44" s="184">
        <v>2</v>
      </c>
      <c r="IL44" s="42"/>
      <c r="IM44" s="42"/>
      <c r="IN44" s="42"/>
      <c r="IO44" s="42"/>
      <c r="IP44" s="42"/>
      <c r="IQ44" s="42"/>
      <c r="IR44" s="42"/>
      <c r="IS44" s="42"/>
      <c r="IT44" s="42"/>
      <c r="IU44" s="42"/>
      <c r="IV44" s="42"/>
    </row>
    <row r="45" spans="1:256" ht="15.6" x14ac:dyDescent="0.3">
      <c r="A45" s="167">
        <v>43</v>
      </c>
      <c r="B45" s="189" t="s">
        <v>503</v>
      </c>
      <c r="C45" s="167" t="s">
        <v>504</v>
      </c>
      <c r="D45" s="169">
        <v>13038</v>
      </c>
      <c r="E45" s="167">
        <v>122</v>
      </c>
      <c r="F45" s="187">
        <v>3996</v>
      </c>
      <c r="G45" s="171" t="s">
        <v>457</v>
      </c>
      <c r="H45" s="187">
        <v>2850</v>
      </c>
      <c r="I45" s="187">
        <v>0</v>
      </c>
      <c r="J45" s="171" t="str">
        <f t="shared" si="0"/>
        <v>Tidak Tercapai</v>
      </c>
      <c r="K45" s="187">
        <v>0</v>
      </c>
      <c r="L45" s="187">
        <v>0</v>
      </c>
      <c r="M45" s="171" t="str">
        <f t="shared" si="1"/>
        <v>Tidak Tercapai</v>
      </c>
      <c r="N45" s="187">
        <v>0</v>
      </c>
      <c r="O45" s="167">
        <v>12</v>
      </c>
      <c r="P45" s="171" t="str">
        <f t="shared" si="2"/>
        <v>Tidak Tercapai</v>
      </c>
      <c r="Q45" s="172">
        <v>14</v>
      </c>
      <c r="R45" s="167">
        <v>65</v>
      </c>
      <c r="S45" s="173" t="str">
        <f t="shared" si="3"/>
        <v>Tidak Tercapai</v>
      </c>
      <c r="T45" s="172">
        <v>3</v>
      </c>
      <c r="U45" s="174">
        <v>67</v>
      </c>
      <c r="V45" s="173" t="str">
        <f t="shared" si="4"/>
        <v>Tercapai</v>
      </c>
      <c r="W45" s="175">
        <v>1</v>
      </c>
      <c r="X45" s="188">
        <v>113</v>
      </c>
      <c r="Y45" s="176" t="str">
        <f t="shared" si="5"/>
        <v>Tidak Tercapai</v>
      </c>
      <c r="Z45" s="177">
        <v>12</v>
      </c>
      <c r="AA45" s="178">
        <v>172</v>
      </c>
      <c r="AB45" s="179" t="str">
        <f t="shared" si="6"/>
        <v>Tercapai</v>
      </c>
      <c r="AC45" s="178">
        <v>21</v>
      </c>
      <c r="AD45" s="184">
        <v>8</v>
      </c>
      <c r="AE45" s="179" t="str">
        <f t="shared" si="7"/>
        <v>Tidak Tercapai</v>
      </c>
      <c r="AF45" s="178">
        <v>0</v>
      </c>
      <c r="AG45" s="178">
        <v>176</v>
      </c>
      <c r="AH45" s="179" t="str">
        <f t="shared" si="8"/>
        <v>Tercapai</v>
      </c>
      <c r="AI45" s="178">
        <v>5</v>
      </c>
      <c r="AJ45" s="184">
        <v>340</v>
      </c>
      <c r="AK45" s="179" t="str">
        <f t="shared" si="9"/>
        <v>Tercapai</v>
      </c>
      <c r="AL45" s="184">
        <v>15</v>
      </c>
      <c r="AM45" s="184">
        <v>802</v>
      </c>
      <c r="AN45" s="179" t="str">
        <f t="shared" si="10"/>
        <v>Tercapai</v>
      </c>
      <c r="AO45" s="184">
        <v>43</v>
      </c>
      <c r="AP45" s="178">
        <v>1435</v>
      </c>
      <c r="AQ45" s="179" t="str">
        <f t="shared" si="11"/>
        <v>Tercapai</v>
      </c>
      <c r="AR45" s="178">
        <v>24</v>
      </c>
      <c r="AS45" s="178">
        <v>235</v>
      </c>
      <c r="AT45" s="179" t="str">
        <f t="shared" si="12"/>
        <v>Tercapai</v>
      </c>
      <c r="AU45" s="178">
        <v>11</v>
      </c>
      <c r="AV45" s="170">
        <v>298</v>
      </c>
      <c r="AW45" s="179" t="str">
        <f t="shared" si="13"/>
        <v>Tercapai</v>
      </c>
      <c r="AX45" s="178">
        <v>22</v>
      </c>
      <c r="AY45" s="178">
        <v>55</v>
      </c>
      <c r="AZ45" s="179" t="str">
        <f t="shared" si="14"/>
        <v>Tidak Tercapai</v>
      </c>
      <c r="BA45" s="178">
        <v>3</v>
      </c>
      <c r="BB45" s="183">
        <v>0</v>
      </c>
      <c r="BC45" s="179" t="str">
        <f t="shared" si="15"/>
        <v>Tidak Tercapai</v>
      </c>
      <c r="BD45" s="178">
        <v>0</v>
      </c>
      <c r="BE45" s="184">
        <v>105</v>
      </c>
      <c r="BF45" s="179" t="str">
        <f t="shared" si="16"/>
        <v>Tidak Tercapai</v>
      </c>
      <c r="BG45" s="170">
        <v>3</v>
      </c>
      <c r="BH45" s="184">
        <v>44</v>
      </c>
      <c r="BI45" s="179" t="str">
        <f t="shared" si="17"/>
        <v>Tidak Tercapai</v>
      </c>
      <c r="BJ45" s="184">
        <v>2</v>
      </c>
      <c r="BK45" s="184">
        <v>93</v>
      </c>
      <c r="BL45" s="179" t="str">
        <f t="shared" si="18"/>
        <v>Tidak Tercapai</v>
      </c>
      <c r="BM45" s="184">
        <v>3</v>
      </c>
      <c r="BN45" s="184">
        <v>33</v>
      </c>
      <c r="BO45" s="179" t="str">
        <f t="shared" si="19"/>
        <v>Tidak Tercapai</v>
      </c>
      <c r="BP45" s="184">
        <v>5</v>
      </c>
      <c r="BQ45" s="184">
        <v>38</v>
      </c>
      <c r="BR45" s="179" t="str">
        <f t="shared" si="20"/>
        <v>Tidak Tercapai</v>
      </c>
      <c r="BS45" s="184">
        <v>2</v>
      </c>
      <c r="BT45" s="184">
        <v>59</v>
      </c>
      <c r="BU45" s="179" t="str">
        <f t="shared" si="21"/>
        <v>Tidak Tercapai</v>
      </c>
      <c r="BV45" s="185">
        <v>3.0369999999999999</v>
      </c>
      <c r="BW45" s="184">
        <v>0</v>
      </c>
      <c r="BX45" s="179" t="str">
        <f t="shared" si="22"/>
        <v>Tidak Tercapai</v>
      </c>
      <c r="BY45" s="184">
        <v>0</v>
      </c>
      <c r="BZ45" s="184">
        <v>71</v>
      </c>
      <c r="CA45" s="179" t="str">
        <f t="shared" si="23"/>
        <v>Tidak Tercapai</v>
      </c>
      <c r="CB45" s="184">
        <v>155</v>
      </c>
      <c r="CC45" s="184">
        <v>440</v>
      </c>
      <c r="CD45" s="179" t="str">
        <f t="shared" si="24"/>
        <v>Tercapai</v>
      </c>
      <c r="CE45" s="184">
        <v>4</v>
      </c>
      <c r="CF45" s="184">
        <v>158</v>
      </c>
      <c r="CG45" s="179" t="str">
        <f t="shared" si="25"/>
        <v>Tercapai</v>
      </c>
      <c r="CH45" s="184">
        <v>0</v>
      </c>
      <c r="CI45" s="184">
        <v>0</v>
      </c>
      <c r="CJ45" s="179" t="str">
        <f t="shared" si="26"/>
        <v>Tidak Tercapai</v>
      </c>
      <c r="CK45" s="184">
        <v>4</v>
      </c>
      <c r="CL45" s="184">
        <v>40</v>
      </c>
      <c r="CM45" s="179" t="str">
        <f t="shared" si="27"/>
        <v>Tidak Tercapai</v>
      </c>
      <c r="CN45" s="184">
        <v>1</v>
      </c>
      <c r="CO45" s="184">
        <v>0</v>
      </c>
      <c r="CP45" s="179" t="str">
        <f t="shared" si="28"/>
        <v>Tidak Tercapai</v>
      </c>
      <c r="CQ45" s="184">
        <v>0</v>
      </c>
      <c r="CR45" s="184">
        <v>0</v>
      </c>
      <c r="CS45" s="179" t="str">
        <f t="shared" si="29"/>
        <v>Tidak Tercapai</v>
      </c>
      <c r="CT45" s="184">
        <v>0</v>
      </c>
      <c r="CU45" s="184">
        <v>10</v>
      </c>
      <c r="CV45" s="179" t="str">
        <f t="shared" si="30"/>
        <v>Tidak Tercapai</v>
      </c>
      <c r="CW45" s="184">
        <v>1</v>
      </c>
      <c r="CX45" s="184">
        <v>54</v>
      </c>
      <c r="CY45" s="179" t="str">
        <f t="shared" si="31"/>
        <v>Tidak Tercapai</v>
      </c>
      <c r="CZ45" s="184">
        <v>1</v>
      </c>
      <c r="DA45" s="184">
        <v>13</v>
      </c>
      <c r="DB45" s="179" t="str">
        <f t="shared" si="32"/>
        <v>Tidak Tercapai</v>
      </c>
      <c r="DC45" s="184">
        <v>4</v>
      </c>
      <c r="DD45" s="184">
        <v>10</v>
      </c>
      <c r="DE45" s="179" t="str">
        <f t="shared" si="33"/>
        <v>Tidak Tercapai</v>
      </c>
      <c r="DF45" s="184">
        <v>1</v>
      </c>
      <c r="DG45" s="184">
        <v>28</v>
      </c>
      <c r="DH45" s="179" t="str">
        <f t="shared" si="34"/>
        <v>Tidak Tercapai</v>
      </c>
      <c r="DI45" s="184">
        <v>2</v>
      </c>
      <c r="DJ45" s="184">
        <v>0</v>
      </c>
      <c r="DK45" s="179" t="str">
        <f t="shared" si="35"/>
        <v>Tidak Tercapai</v>
      </c>
      <c r="DL45" s="184">
        <v>2</v>
      </c>
      <c r="DM45" s="184">
        <v>0</v>
      </c>
      <c r="DN45" s="179" t="str">
        <f t="shared" si="36"/>
        <v>Tidak Tercapai</v>
      </c>
      <c r="DO45" s="184">
        <v>0</v>
      </c>
      <c r="DP45" s="184">
        <v>37</v>
      </c>
      <c r="DQ45" s="179" t="str">
        <f t="shared" si="37"/>
        <v>Tidak Tercapai</v>
      </c>
      <c r="DR45" s="184">
        <v>0</v>
      </c>
      <c r="DS45" s="184">
        <v>0</v>
      </c>
      <c r="DT45" s="179" t="str">
        <f t="shared" si="38"/>
        <v>Tidak Tercapai</v>
      </c>
      <c r="DU45" s="184">
        <v>0</v>
      </c>
      <c r="DV45" s="184">
        <v>11</v>
      </c>
      <c r="DW45" s="179" t="str">
        <f t="shared" si="39"/>
        <v>Tidak Tercapai</v>
      </c>
      <c r="DX45" s="184">
        <v>27</v>
      </c>
      <c r="DY45" s="184">
        <v>22</v>
      </c>
      <c r="DZ45" s="179" t="str">
        <f t="shared" si="40"/>
        <v>Tidak Tercapai</v>
      </c>
      <c r="EA45" s="184">
        <v>36</v>
      </c>
      <c r="EB45" s="184">
        <v>9</v>
      </c>
      <c r="EC45" s="179" t="str">
        <f t="shared" si="41"/>
        <v>Tidak Tercapai</v>
      </c>
      <c r="ED45" s="184">
        <v>31</v>
      </c>
      <c r="EE45" s="184">
        <v>0</v>
      </c>
      <c r="EF45" s="179" t="str">
        <f t="shared" si="42"/>
        <v>Tidak Tercapai</v>
      </c>
      <c r="EG45" s="184">
        <v>0</v>
      </c>
      <c r="EH45" s="184">
        <v>0</v>
      </c>
      <c r="EI45" s="179" t="str">
        <f t="shared" si="43"/>
        <v>Tidak Tercapai</v>
      </c>
      <c r="EJ45" s="184">
        <v>0</v>
      </c>
      <c r="EK45" s="184">
        <v>13</v>
      </c>
      <c r="EL45" s="179" t="str">
        <f t="shared" si="44"/>
        <v>Tidak Tercapai</v>
      </c>
      <c r="EM45" s="184">
        <v>14</v>
      </c>
      <c r="EN45" s="184">
        <v>9</v>
      </c>
      <c r="EO45" s="179" t="str">
        <f t="shared" si="45"/>
        <v>Tidak Tercapai</v>
      </c>
      <c r="EP45" s="184">
        <v>14</v>
      </c>
      <c r="EQ45" s="184">
        <v>18</v>
      </c>
      <c r="ER45" s="179" t="str">
        <f t="shared" si="46"/>
        <v>Tidak Tercapai</v>
      </c>
      <c r="ES45" s="178">
        <v>15</v>
      </c>
      <c r="ET45" s="184">
        <v>19</v>
      </c>
      <c r="EU45" s="179" t="str">
        <f t="shared" si="47"/>
        <v>Tidak Tercapai</v>
      </c>
      <c r="EV45" s="184">
        <v>22</v>
      </c>
      <c r="EW45" s="184">
        <v>62</v>
      </c>
      <c r="EX45" s="179" t="str">
        <f t="shared" si="48"/>
        <v>Tidak Tercapai</v>
      </c>
      <c r="EY45" s="184">
        <v>22</v>
      </c>
      <c r="EZ45" s="184">
        <v>0</v>
      </c>
      <c r="FA45" s="179" t="str">
        <f t="shared" si="49"/>
        <v>Tidak Tercapai</v>
      </c>
      <c r="FB45" s="184">
        <v>0</v>
      </c>
      <c r="FC45" s="184">
        <v>0</v>
      </c>
      <c r="FD45" s="179" t="str">
        <f t="shared" si="50"/>
        <v>Tidak Tercapai</v>
      </c>
      <c r="FE45" s="184">
        <v>0</v>
      </c>
      <c r="FF45" s="184">
        <v>47</v>
      </c>
      <c r="FG45" s="179" t="str">
        <f t="shared" si="51"/>
        <v>Tidak Tercapai</v>
      </c>
      <c r="FH45" s="184">
        <v>91</v>
      </c>
      <c r="FI45" s="184">
        <v>62</v>
      </c>
      <c r="FJ45" s="179" t="str">
        <f t="shared" si="52"/>
        <v>Tidak Tercapai</v>
      </c>
      <c r="FK45" s="184">
        <v>58</v>
      </c>
      <c r="FL45" s="186">
        <v>0</v>
      </c>
      <c r="FM45" s="179" t="str">
        <f t="shared" si="53"/>
        <v>Tidak Tercapai</v>
      </c>
      <c r="FN45" s="184">
        <v>37</v>
      </c>
      <c r="FO45" s="184">
        <v>0</v>
      </c>
      <c r="FP45" s="179" t="str">
        <f t="shared" si="54"/>
        <v>Tidak Tercapai</v>
      </c>
      <c r="FQ45" s="184">
        <v>0</v>
      </c>
      <c r="FR45" s="184">
        <v>308</v>
      </c>
      <c r="FS45" s="179" t="str">
        <f t="shared" si="55"/>
        <v>Tercapai</v>
      </c>
      <c r="FT45" s="184">
        <v>225</v>
      </c>
      <c r="FU45" s="184">
        <v>179</v>
      </c>
      <c r="FV45" s="179" t="str">
        <f t="shared" si="56"/>
        <v>Tercapai</v>
      </c>
      <c r="FW45" s="184">
        <v>260</v>
      </c>
      <c r="FX45" s="184">
        <v>32</v>
      </c>
      <c r="FY45" s="179" t="str">
        <f t="shared" si="57"/>
        <v>Tidak Tercapai</v>
      </c>
      <c r="FZ45" s="184">
        <v>1</v>
      </c>
      <c r="GA45" s="184">
        <v>33</v>
      </c>
      <c r="GB45" s="179" t="str">
        <f t="shared" si="58"/>
        <v>Tidak Tercapai</v>
      </c>
      <c r="GC45" s="184">
        <v>72</v>
      </c>
      <c r="GD45" s="184">
        <v>28</v>
      </c>
      <c r="GE45" s="179" t="str">
        <f t="shared" si="59"/>
        <v>Tidak Tercapai</v>
      </c>
      <c r="GF45" s="184">
        <v>60</v>
      </c>
      <c r="GG45" s="184">
        <v>0</v>
      </c>
      <c r="GH45" s="179" t="str">
        <f t="shared" si="60"/>
        <v>Tidak Tercapai</v>
      </c>
      <c r="GI45" s="184">
        <v>1</v>
      </c>
      <c r="GJ45" s="184">
        <v>13</v>
      </c>
      <c r="GK45" s="179" t="str">
        <f t="shared" si="61"/>
        <v>Tidak Tercapai</v>
      </c>
      <c r="GL45" s="184">
        <v>31</v>
      </c>
      <c r="GM45" s="184">
        <v>37</v>
      </c>
      <c r="GN45" s="179" t="str">
        <f t="shared" si="62"/>
        <v>Tidak Tercapai</v>
      </c>
      <c r="GO45" s="184">
        <v>23</v>
      </c>
      <c r="GP45" s="184">
        <v>30</v>
      </c>
      <c r="GQ45" s="179" t="str">
        <f t="shared" si="63"/>
        <v>Tidak Tercapai</v>
      </c>
      <c r="GR45" s="184">
        <v>11</v>
      </c>
      <c r="GS45" s="184">
        <v>9</v>
      </c>
      <c r="GT45" s="179" t="str">
        <f t="shared" si="64"/>
        <v>Tidak Tercapai</v>
      </c>
      <c r="GU45" s="184">
        <v>13</v>
      </c>
      <c r="GV45" s="184">
        <v>38</v>
      </c>
      <c r="GW45" s="179" t="str">
        <f t="shared" si="65"/>
        <v>Tidak Tercapai</v>
      </c>
      <c r="GX45" s="184">
        <v>39</v>
      </c>
      <c r="GY45" s="184">
        <v>7</v>
      </c>
      <c r="GZ45" s="179" t="str">
        <f t="shared" si="66"/>
        <v>Tidak Tercapai</v>
      </c>
      <c r="HA45" s="184">
        <v>42</v>
      </c>
      <c r="HB45" s="184">
        <v>62</v>
      </c>
      <c r="HC45" s="179" t="str">
        <f t="shared" si="67"/>
        <v>Tidak Tercapai</v>
      </c>
      <c r="HD45" s="184">
        <v>142</v>
      </c>
      <c r="HE45" s="184">
        <v>8</v>
      </c>
      <c r="HF45" s="179" t="str">
        <f t="shared" si="68"/>
        <v>Tidak Tercapai</v>
      </c>
      <c r="HG45" s="184">
        <v>104</v>
      </c>
      <c r="HH45" s="184">
        <v>18</v>
      </c>
      <c r="HI45" s="179" t="str">
        <f t="shared" si="69"/>
        <v>Tidak Tercapai</v>
      </c>
      <c r="HJ45" s="184">
        <v>69</v>
      </c>
      <c r="HK45" s="184">
        <v>0</v>
      </c>
      <c r="HL45" s="179" t="str">
        <f t="shared" si="70"/>
        <v>Tidak Tercapai</v>
      </c>
      <c r="HM45" s="184">
        <v>1</v>
      </c>
      <c r="HN45" s="184">
        <v>0</v>
      </c>
      <c r="HO45" s="179" t="str">
        <f t="shared" si="71"/>
        <v>Tidak Tercapai</v>
      </c>
      <c r="HP45" s="184">
        <v>0</v>
      </c>
      <c r="HQ45" s="184">
        <v>22</v>
      </c>
      <c r="HR45" s="179" t="str">
        <f t="shared" si="72"/>
        <v>Tidak Tercapai</v>
      </c>
      <c r="HS45" s="184">
        <v>94</v>
      </c>
      <c r="HT45" s="184">
        <v>29</v>
      </c>
      <c r="HU45" s="179" t="str">
        <f t="shared" si="73"/>
        <v>Tidak Tercapai</v>
      </c>
      <c r="HV45" s="184">
        <v>52</v>
      </c>
      <c r="HW45" s="184">
        <v>12</v>
      </c>
      <c r="HX45" s="179" t="str">
        <f t="shared" si="74"/>
        <v>Tidak Tercapai</v>
      </c>
      <c r="HY45" s="184">
        <v>19</v>
      </c>
      <c r="HZ45" s="184">
        <v>11</v>
      </c>
      <c r="IA45" s="179" t="str">
        <f t="shared" si="75"/>
        <v>Tidak Tercapai</v>
      </c>
      <c r="IB45" s="184">
        <v>15</v>
      </c>
      <c r="IC45" s="184">
        <v>11</v>
      </c>
      <c r="ID45" s="179" t="str">
        <f t="shared" si="76"/>
        <v>Tidak Tercapai</v>
      </c>
      <c r="IE45" s="184">
        <v>23</v>
      </c>
      <c r="IF45" s="184">
        <v>0</v>
      </c>
      <c r="IG45" s="179" t="str">
        <f t="shared" si="77"/>
        <v>Tidak Tercapai</v>
      </c>
      <c r="IH45" s="184">
        <v>0</v>
      </c>
      <c r="II45" s="184">
        <v>0</v>
      </c>
      <c r="IJ45" s="179" t="str">
        <f t="shared" si="78"/>
        <v>Tidak Tercapai</v>
      </c>
      <c r="IK45" s="184">
        <v>0</v>
      </c>
      <c r="IL45" s="42"/>
      <c r="IM45" s="42"/>
      <c r="IN45" s="42"/>
      <c r="IO45" s="42"/>
      <c r="IP45" s="42"/>
      <c r="IQ45" s="42"/>
      <c r="IR45" s="42"/>
      <c r="IS45" s="42"/>
      <c r="IT45" s="42"/>
      <c r="IU45" s="42"/>
      <c r="IV45" s="42"/>
    </row>
    <row r="46" spans="1:256" ht="15.6" x14ac:dyDescent="0.3">
      <c r="A46" s="167">
        <v>44</v>
      </c>
      <c r="B46" s="189" t="s">
        <v>505</v>
      </c>
      <c r="C46" s="167" t="s">
        <v>504</v>
      </c>
      <c r="D46" s="169">
        <v>9259</v>
      </c>
      <c r="E46" s="167">
        <v>82</v>
      </c>
      <c r="F46" s="170">
        <v>4363</v>
      </c>
      <c r="G46" s="171" t="s">
        <v>457</v>
      </c>
      <c r="H46" s="170">
        <v>2818</v>
      </c>
      <c r="I46" s="170">
        <v>0</v>
      </c>
      <c r="J46" s="171" t="str">
        <f t="shared" si="0"/>
        <v>Tidak Tercapai</v>
      </c>
      <c r="K46" s="170">
        <v>0</v>
      </c>
      <c r="L46" s="170">
        <v>0</v>
      </c>
      <c r="M46" s="171" t="str">
        <f t="shared" si="1"/>
        <v>Tidak Tercapai</v>
      </c>
      <c r="N46" s="170">
        <v>0</v>
      </c>
      <c r="O46" s="167">
        <v>39</v>
      </c>
      <c r="P46" s="171" t="str">
        <f t="shared" si="2"/>
        <v>Tidak Tercapai</v>
      </c>
      <c r="Q46" s="172">
        <v>0</v>
      </c>
      <c r="R46" s="167">
        <v>63</v>
      </c>
      <c r="S46" s="173" t="str">
        <f t="shared" si="3"/>
        <v>Tidak Tercapai</v>
      </c>
      <c r="T46" s="172">
        <v>17</v>
      </c>
      <c r="U46" s="174">
        <v>74</v>
      </c>
      <c r="V46" s="173" t="str">
        <f t="shared" si="4"/>
        <v>Tercapai</v>
      </c>
      <c r="W46" s="175">
        <v>0</v>
      </c>
      <c r="X46" s="175">
        <v>153</v>
      </c>
      <c r="Y46" s="176" t="str">
        <f t="shared" si="5"/>
        <v>Tercapai</v>
      </c>
      <c r="Z46" s="177">
        <v>0</v>
      </c>
      <c r="AA46" s="178">
        <v>419</v>
      </c>
      <c r="AB46" s="179" t="str">
        <f t="shared" si="6"/>
        <v>Tercapai</v>
      </c>
      <c r="AC46" s="178">
        <v>36</v>
      </c>
      <c r="AD46" s="178">
        <v>138</v>
      </c>
      <c r="AE46" s="179" t="str">
        <f t="shared" si="7"/>
        <v>Tercapai</v>
      </c>
      <c r="AF46" s="178">
        <v>0</v>
      </c>
      <c r="AG46" s="178">
        <v>232</v>
      </c>
      <c r="AH46" s="179" t="str">
        <f t="shared" si="8"/>
        <v>Tercapai</v>
      </c>
      <c r="AI46" s="178">
        <v>9</v>
      </c>
      <c r="AJ46" s="178">
        <v>348</v>
      </c>
      <c r="AK46" s="179" t="str">
        <f t="shared" si="9"/>
        <v>Tercapai</v>
      </c>
      <c r="AL46" s="178">
        <v>2</v>
      </c>
      <c r="AM46" s="178">
        <v>376</v>
      </c>
      <c r="AN46" s="179" t="str">
        <f t="shared" si="10"/>
        <v>Tercapai</v>
      </c>
      <c r="AO46" s="178">
        <v>36</v>
      </c>
      <c r="AP46" s="178">
        <v>371</v>
      </c>
      <c r="AQ46" s="179" t="str">
        <f t="shared" si="11"/>
        <v>Tercapai</v>
      </c>
      <c r="AR46" s="178">
        <v>25</v>
      </c>
      <c r="AS46" s="178">
        <v>251</v>
      </c>
      <c r="AT46" s="179" t="str">
        <f t="shared" si="12"/>
        <v>Tercapai</v>
      </c>
      <c r="AU46" s="178">
        <v>6</v>
      </c>
      <c r="AV46" s="170">
        <v>226</v>
      </c>
      <c r="AW46" s="179" t="str">
        <f t="shared" si="13"/>
        <v>Tercapai</v>
      </c>
      <c r="AX46" s="178">
        <v>8</v>
      </c>
      <c r="AY46" s="178">
        <v>58</v>
      </c>
      <c r="AZ46" s="179" t="str">
        <f t="shared" si="14"/>
        <v>Tidak Tercapai</v>
      </c>
      <c r="BA46" s="178">
        <v>8</v>
      </c>
      <c r="BB46" s="183">
        <v>0</v>
      </c>
      <c r="BC46" s="179" t="str">
        <f t="shared" si="15"/>
        <v>Tidak Tercapai</v>
      </c>
      <c r="BD46" s="178">
        <v>1</v>
      </c>
      <c r="BE46" s="184">
        <v>48</v>
      </c>
      <c r="BF46" s="179" t="str">
        <f t="shared" si="16"/>
        <v>Tidak Tercapai</v>
      </c>
      <c r="BG46" s="170">
        <v>5</v>
      </c>
      <c r="BH46" s="184">
        <v>46</v>
      </c>
      <c r="BI46" s="179" t="str">
        <f t="shared" si="17"/>
        <v>Tidak Tercapai</v>
      </c>
      <c r="BJ46" s="184">
        <v>7</v>
      </c>
      <c r="BK46" s="184">
        <v>74</v>
      </c>
      <c r="BL46" s="179" t="str">
        <f t="shared" si="18"/>
        <v>Tidak Tercapai</v>
      </c>
      <c r="BM46" s="184">
        <v>1</v>
      </c>
      <c r="BN46" s="184">
        <v>12</v>
      </c>
      <c r="BO46" s="179" t="str">
        <f t="shared" si="19"/>
        <v>Tidak Tercapai</v>
      </c>
      <c r="BP46" s="184">
        <v>1</v>
      </c>
      <c r="BQ46" s="184">
        <v>17</v>
      </c>
      <c r="BR46" s="179" t="str">
        <f t="shared" si="20"/>
        <v>Tidak Tercapai</v>
      </c>
      <c r="BS46" s="184">
        <v>0</v>
      </c>
      <c r="BT46" s="184">
        <v>336</v>
      </c>
      <c r="BU46" s="179" t="str">
        <f t="shared" si="21"/>
        <v>Tercapai</v>
      </c>
      <c r="BV46" s="185">
        <v>2.9849999999999999</v>
      </c>
      <c r="BW46" s="184">
        <v>0</v>
      </c>
      <c r="BX46" s="179" t="str">
        <f t="shared" si="22"/>
        <v>Tidak Tercapai</v>
      </c>
      <c r="BY46" s="184">
        <v>0</v>
      </c>
      <c r="BZ46" s="184">
        <v>173</v>
      </c>
      <c r="CA46" s="179" t="str">
        <f t="shared" si="23"/>
        <v>Tercapai</v>
      </c>
      <c r="CB46" s="184">
        <v>66</v>
      </c>
      <c r="CC46" s="184">
        <v>316</v>
      </c>
      <c r="CD46" s="179" t="str">
        <f t="shared" si="24"/>
        <v>Tercapai</v>
      </c>
      <c r="CE46" s="184">
        <v>7</v>
      </c>
      <c r="CF46" s="184">
        <v>161</v>
      </c>
      <c r="CG46" s="179" t="str">
        <f t="shared" si="25"/>
        <v>Tercapai</v>
      </c>
      <c r="CH46" s="184">
        <v>3</v>
      </c>
      <c r="CI46" s="184">
        <v>0</v>
      </c>
      <c r="CJ46" s="179" t="str">
        <f t="shared" si="26"/>
        <v>Tidak Tercapai</v>
      </c>
      <c r="CK46" s="184">
        <v>3</v>
      </c>
      <c r="CL46" s="184">
        <v>56</v>
      </c>
      <c r="CM46" s="179" t="str">
        <f t="shared" si="27"/>
        <v>Tidak Tercapai</v>
      </c>
      <c r="CN46" s="184">
        <v>1</v>
      </c>
      <c r="CO46" s="184">
        <v>0</v>
      </c>
      <c r="CP46" s="179" t="str">
        <f t="shared" si="28"/>
        <v>Tidak Tercapai</v>
      </c>
      <c r="CQ46" s="184">
        <v>0</v>
      </c>
      <c r="CR46" s="184">
        <v>0</v>
      </c>
      <c r="CS46" s="179" t="str">
        <f t="shared" si="29"/>
        <v>Tidak Tercapai</v>
      </c>
      <c r="CT46" s="184">
        <v>0</v>
      </c>
      <c r="CU46" s="184">
        <v>3</v>
      </c>
      <c r="CV46" s="179" t="str">
        <f t="shared" si="30"/>
        <v>Tidak Tercapai</v>
      </c>
      <c r="CW46" s="184">
        <v>0</v>
      </c>
      <c r="CX46" s="184">
        <v>127</v>
      </c>
      <c r="CY46" s="179" t="str">
        <f t="shared" si="31"/>
        <v>Tercapai</v>
      </c>
      <c r="CZ46" s="184">
        <v>0</v>
      </c>
      <c r="DA46" s="184">
        <v>10</v>
      </c>
      <c r="DB46" s="179" t="str">
        <f t="shared" si="32"/>
        <v>Tidak Tercapai</v>
      </c>
      <c r="DC46" s="184">
        <v>0</v>
      </c>
      <c r="DD46" s="184">
        <v>14</v>
      </c>
      <c r="DE46" s="179" t="str">
        <f t="shared" si="33"/>
        <v>Tidak Tercapai</v>
      </c>
      <c r="DF46" s="184">
        <v>0</v>
      </c>
      <c r="DG46" s="184">
        <v>14</v>
      </c>
      <c r="DH46" s="179" t="str">
        <f t="shared" si="34"/>
        <v>Tidak Tercapai</v>
      </c>
      <c r="DI46" s="184">
        <v>1</v>
      </c>
      <c r="DJ46" s="184">
        <v>0</v>
      </c>
      <c r="DK46" s="179" t="str">
        <f t="shared" si="35"/>
        <v>Tidak Tercapai</v>
      </c>
      <c r="DL46" s="184">
        <v>0</v>
      </c>
      <c r="DM46" s="184">
        <v>6</v>
      </c>
      <c r="DN46" s="179" t="str">
        <f t="shared" si="36"/>
        <v>Tidak Tercapai</v>
      </c>
      <c r="DO46" s="184">
        <v>1</v>
      </c>
      <c r="DP46" s="184">
        <v>10</v>
      </c>
      <c r="DQ46" s="179" t="str">
        <f t="shared" si="37"/>
        <v>Tidak Tercapai</v>
      </c>
      <c r="DR46" s="184">
        <v>0</v>
      </c>
      <c r="DS46" s="184">
        <v>17</v>
      </c>
      <c r="DT46" s="179" t="str">
        <f t="shared" si="38"/>
        <v>Tidak Tercapai</v>
      </c>
      <c r="DU46" s="184">
        <v>0</v>
      </c>
      <c r="DV46" s="184">
        <v>39</v>
      </c>
      <c r="DW46" s="179" t="str">
        <f t="shared" si="39"/>
        <v>Tidak Tercapai</v>
      </c>
      <c r="DX46" s="184">
        <v>12</v>
      </c>
      <c r="DY46" s="184">
        <v>36</v>
      </c>
      <c r="DZ46" s="179" t="str">
        <f t="shared" si="40"/>
        <v>Tidak Tercapai</v>
      </c>
      <c r="EA46" s="184">
        <v>128</v>
      </c>
      <c r="EB46" s="184">
        <v>29</v>
      </c>
      <c r="EC46" s="179" t="str">
        <f t="shared" si="41"/>
        <v>Tidak Tercapai</v>
      </c>
      <c r="ED46" s="184">
        <v>116</v>
      </c>
      <c r="EE46" s="184">
        <v>10</v>
      </c>
      <c r="EF46" s="179" t="str">
        <f t="shared" si="42"/>
        <v>Tidak Tercapai</v>
      </c>
      <c r="EG46" s="184">
        <v>27</v>
      </c>
      <c r="EH46" s="184">
        <v>8</v>
      </c>
      <c r="EI46" s="179" t="str">
        <f t="shared" si="43"/>
        <v>Tidak Tercapai</v>
      </c>
      <c r="EJ46" s="184">
        <v>5</v>
      </c>
      <c r="EK46" s="184">
        <v>22</v>
      </c>
      <c r="EL46" s="179" t="str">
        <f t="shared" si="44"/>
        <v>Tidak Tercapai</v>
      </c>
      <c r="EM46" s="184">
        <v>76</v>
      </c>
      <c r="EN46" s="184">
        <v>17</v>
      </c>
      <c r="EO46" s="179" t="str">
        <f t="shared" si="45"/>
        <v>Tidak Tercapai</v>
      </c>
      <c r="EP46" s="184">
        <v>48</v>
      </c>
      <c r="EQ46" s="184">
        <v>30</v>
      </c>
      <c r="ER46" s="179" t="str">
        <f t="shared" si="46"/>
        <v>Tidak Tercapai</v>
      </c>
      <c r="ES46" s="178">
        <v>56</v>
      </c>
      <c r="ET46" s="184">
        <v>23</v>
      </c>
      <c r="EU46" s="179" t="str">
        <f t="shared" si="47"/>
        <v>Tidak Tercapai</v>
      </c>
      <c r="EV46" s="184">
        <v>57</v>
      </c>
      <c r="EW46" s="184">
        <v>20</v>
      </c>
      <c r="EX46" s="179" t="str">
        <f t="shared" si="48"/>
        <v>Tidak Tercapai</v>
      </c>
      <c r="EY46" s="184">
        <v>26</v>
      </c>
      <c r="EZ46" s="184">
        <v>19</v>
      </c>
      <c r="FA46" s="179" t="str">
        <f t="shared" si="49"/>
        <v>Tidak Tercapai</v>
      </c>
      <c r="FB46" s="184">
        <v>12</v>
      </c>
      <c r="FC46" s="184">
        <v>11</v>
      </c>
      <c r="FD46" s="179" t="str">
        <f t="shared" si="50"/>
        <v>Tidak Tercapai</v>
      </c>
      <c r="FE46" s="184">
        <v>2</v>
      </c>
      <c r="FF46" s="184">
        <v>32</v>
      </c>
      <c r="FG46" s="179" t="str">
        <f t="shared" si="51"/>
        <v>Tidak Tercapai</v>
      </c>
      <c r="FH46" s="184">
        <v>32</v>
      </c>
      <c r="FI46" s="184">
        <v>16</v>
      </c>
      <c r="FJ46" s="179" t="str">
        <f t="shared" si="52"/>
        <v>Tidak Tercapai</v>
      </c>
      <c r="FK46" s="184">
        <v>174</v>
      </c>
      <c r="FL46" s="186">
        <v>0</v>
      </c>
      <c r="FM46" s="179" t="str">
        <f t="shared" si="53"/>
        <v>Tidak Tercapai</v>
      </c>
      <c r="FN46" s="184">
        <v>10</v>
      </c>
      <c r="FO46" s="184">
        <v>2</v>
      </c>
      <c r="FP46" s="179" t="str">
        <f t="shared" si="54"/>
        <v>Tidak Tercapai</v>
      </c>
      <c r="FQ46" s="184">
        <v>17</v>
      </c>
      <c r="FR46" s="184">
        <v>22</v>
      </c>
      <c r="FS46" s="179" t="str">
        <f t="shared" si="55"/>
        <v>Tidak Tercapai</v>
      </c>
      <c r="FT46" s="184">
        <v>23</v>
      </c>
      <c r="FU46" s="184">
        <v>518</v>
      </c>
      <c r="FV46" s="179" t="str">
        <f t="shared" si="56"/>
        <v>Tercapai</v>
      </c>
      <c r="FW46" s="184">
        <v>829</v>
      </c>
      <c r="FX46" s="184">
        <v>46</v>
      </c>
      <c r="FY46" s="179" t="str">
        <f t="shared" si="57"/>
        <v>Tidak Tercapai</v>
      </c>
      <c r="FZ46" s="184">
        <v>26</v>
      </c>
      <c r="GA46" s="184">
        <v>15</v>
      </c>
      <c r="GB46" s="179" t="str">
        <f t="shared" si="58"/>
        <v>Tidak Tercapai</v>
      </c>
      <c r="GC46" s="184">
        <v>41</v>
      </c>
      <c r="GD46" s="184">
        <v>26</v>
      </c>
      <c r="GE46" s="179" t="str">
        <f t="shared" si="59"/>
        <v>Tidak Tercapai</v>
      </c>
      <c r="GF46" s="184">
        <v>57</v>
      </c>
      <c r="GG46" s="184">
        <v>11</v>
      </c>
      <c r="GH46" s="179" t="str">
        <f t="shared" si="60"/>
        <v>Tidak Tercapai</v>
      </c>
      <c r="GI46" s="184">
        <v>59</v>
      </c>
      <c r="GJ46" s="184">
        <v>45</v>
      </c>
      <c r="GK46" s="179" t="str">
        <f t="shared" si="61"/>
        <v>Tidak Tercapai</v>
      </c>
      <c r="GL46" s="184">
        <v>48</v>
      </c>
      <c r="GM46" s="184">
        <v>36</v>
      </c>
      <c r="GN46" s="179" t="str">
        <f t="shared" si="62"/>
        <v>Tidak Tercapai</v>
      </c>
      <c r="GO46" s="184">
        <v>75</v>
      </c>
      <c r="GP46" s="184">
        <v>11</v>
      </c>
      <c r="GQ46" s="179" t="str">
        <f t="shared" si="63"/>
        <v>Tidak Tercapai</v>
      </c>
      <c r="GR46" s="184">
        <v>9</v>
      </c>
      <c r="GS46" s="184">
        <v>8</v>
      </c>
      <c r="GT46" s="179" t="str">
        <f t="shared" si="64"/>
        <v>Tidak Tercapai</v>
      </c>
      <c r="GU46" s="184">
        <v>21</v>
      </c>
      <c r="GV46" s="184">
        <v>10</v>
      </c>
      <c r="GW46" s="179" t="str">
        <f t="shared" si="65"/>
        <v>Tidak Tercapai</v>
      </c>
      <c r="GX46" s="184">
        <v>17</v>
      </c>
      <c r="GY46" s="184">
        <v>6</v>
      </c>
      <c r="GZ46" s="179" t="str">
        <f t="shared" si="66"/>
        <v>Tidak Tercapai</v>
      </c>
      <c r="HA46" s="184">
        <v>8</v>
      </c>
      <c r="HB46" s="184">
        <v>7</v>
      </c>
      <c r="HC46" s="179" t="str">
        <f t="shared" si="67"/>
        <v>Tidak Tercapai</v>
      </c>
      <c r="HD46" s="184">
        <v>31</v>
      </c>
      <c r="HE46" s="184">
        <v>14</v>
      </c>
      <c r="HF46" s="179" t="str">
        <f t="shared" si="68"/>
        <v>Tidak Tercapai</v>
      </c>
      <c r="HG46" s="184">
        <v>65</v>
      </c>
      <c r="HH46" s="184">
        <v>12</v>
      </c>
      <c r="HI46" s="179" t="str">
        <f t="shared" si="69"/>
        <v>Tidak Tercapai</v>
      </c>
      <c r="HJ46" s="184">
        <v>19</v>
      </c>
      <c r="HK46" s="184">
        <v>13</v>
      </c>
      <c r="HL46" s="179" t="str">
        <f t="shared" si="70"/>
        <v>Tidak Tercapai</v>
      </c>
      <c r="HM46" s="184">
        <v>62</v>
      </c>
      <c r="HN46" s="184">
        <v>0</v>
      </c>
      <c r="HO46" s="179" t="str">
        <f t="shared" si="71"/>
        <v>Tidak Tercapai</v>
      </c>
      <c r="HP46" s="184">
        <v>0</v>
      </c>
      <c r="HQ46" s="184">
        <v>10</v>
      </c>
      <c r="HR46" s="179" t="str">
        <f t="shared" si="72"/>
        <v>Tidak Tercapai</v>
      </c>
      <c r="HS46" s="184">
        <v>24</v>
      </c>
      <c r="HT46" s="184">
        <v>14</v>
      </c>
      <c r="HU46" s="179" t="str">
        <f t="shared" si="73"/>
        <v>Tidak Tercapai</v>
      </c>
      <c r="HV46" s="184">
        <v>19</v>
      </c>
      <c r="HW46" s="184">
        <v>10</v>
      </c>
      <c r="HX46" s="179" t="str">
        <f t="shared" si="74"/>
        <v>Tidak Tercapai</v>
      </c>
      <c r="HY46" s="184">
        <v>15</v>
      </c>
      <c r="HZ46" s="184">
        <v>6</v>
      </c>
      <c r="IA46" s="179" t="str">
        <f t="shared" si="75"/>
        <v>Tidak Tercapai</v>
      </c>
      <c r="IB46" s="184">
        <v>19</v>
      </c>
      <c r="IC46" s="184">
        <v>16</v>
      </c>
      <c r="ID46" s="179" t="str">
        <f t="shared" si="76"/>
        <v>Tidak Tercapai</v>
      </c>
      <c r="IE46" s="184">
        <v>32</v>
      </c>
      <c r="IF46" s="184">
        <v>2</v>
      </c>
      <c r="IG46" s="179" t="str">
        <f t="shared" si="77"/>
        <v>Tidak Tercapai</v>
      </c>
      <c r="IH46" s="184">
        <v>3</v>
      </c>
      <c r="II46" s="184">
        <v>0</v>
      </c>
      <c r="IJ46" s="179" t="str">
        <f t="shared" si="78"/>
        <v>Tidak Tercapai</v>
      </c>
      <c r="IK46" s="184">
        <v>0</v>
      </c>
      <c r="IL46" s="42"/>
      <c r="IM46" s="42"/>
      <c r="IN46" s="42"/>
      <c r="IO46" s="42"/>
      <c r="IP46" s="42"/>
      <c r="IQ46" s="42"/>
      <c r="IR46" s="42"/>
      <c r="IS46" s="42"/>
      <c r="IT46" s="42"/>
      <c r="IU46" s="42"/>
      <c r="IV46" s="42"/>
    </row>
    <row r="47" spans="1:256" ht="13.8" x14ac:dyDescent="0.3">
      <c r="A47" s="42"/>
      <c r="B47" s="42"/>
      <c r="C47" s="42"/>
      <c r="D47" s="42"/>
      <c r="E47" s="42"/>
      <c r="F47" s="42"/>
      <c r="G47" s="42"/>
      <c r="H47" s="42"/>
      <c r="I47" s="42"/>
      <c r="J47" s="42"/>
      <c r="K47" s="42"/>
      <c r="L47" s="42"/>
      <c r="M47" s="42"/>
      <c r="N47" s="42"/>
      <c r="O47" s="42"/>
      <c r="P47" s="193"/>
      <c r="Q47" s="42"/>
      <c r="R47" s="42"/>
      <c r="S47" s="42"/>
      <c r="T47" s="42"/>
      <c r="U47" s="194"/>
      <c r="V47" s="42"/>
      <c r="W47" s="42"/>
      <c r="X47" s="42"/>
      <c r="Y47" s="42"/>
      <c r="Z47" s="42"/>
      <c r="AA47" s="42"/>
      <c r="AB47" s="195"/>
      <c r="AC47" s="42"/>
      <c r="AD47" s="42"/>
      <c r="AE47" s="195"/>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row>
    <row r="48" spans="1:256" ht="13.8" x14ac:dyDescent="0.3">
      <c r="A48" s="42"/>
      <c r="B48" s="42"/>
      <c r="C48" s="42"/>
      <c r="D48" s="42"/>
      <c r="E48" s="42"/>
      <c r="F48" s="42"/>
      <c r="G48" s="42"/>
      <c r="H48" s="42"/>
      <c r="I48" s="42"/>
      <c r="J48" s="42"/>
      <c r="K48" s="42"/>
      <c r="L48" s="42"/>
      <c r="M48" s="42"/>
      <c r="N48" s="42"/>
      <c r="O48" s="42"/>
      <c r="P48" s="193"/>
      <c r="Q48" s="42"/>
      <c r="R48" s="42"/>
      <c r="S48" s="42"/>
      <c r="T48" s="42"/>
      <c r="U48" s="194"/>
      <c r="V48" s="42"/>
      <c r="W48" s="42"/>
      <c r="X48" s="42"/>
      <c r="Y48" s="42"/>
      <c r="Z48" s="42"/>
      <c r="AA48" s="42"/>
      <c r="AB48" s="195"/>
      <c r="AC48" s="42"/>
      <c r="AD48" s="42"/>
      <c r="AE48" s="195"/>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row>
    <row r="49" spans="1:256" ht="13.8" x14ac:dyDescent="0.3">
      <c r="A49" s="42"/>
      <c r="B49" s="42"/>
      <c r="C49" s="42"/>
      <c r="D49" s="42"/>
      <c r="E49" s="42"/>
      <c r="F49" s="42"/>
      <c r="G49" s="42"/>
      <c r="H49" s="42"/>
      <c r="I49" s="42"/>
      <c r="J49" s="42"/>
      <c r="K49" s="42"/>
      <c r="L49" s="42"/>
      <c r="M49" s="42"/>
      <c r="N49" s="42"/>
      <c r="O49" s="42"/>
      <c r="P49" s="193"/>
      <c r="Q49" s="42"/>
      <c r="R49" s="42"/>
      <c r="S49" s="42"/>
      <c r="T49" s="42"/>
      <c r="U49" s="194"/>
      <c r="V49" s="42"/>
      <c r="W49" s="42"/>
      <c r="X49" s="42"/>
      <c r="Y49" s="42"/>
      <c r="Z49" s="42"/>
      <c r="AA49" s="42"/>
      <c r="AB49" s="195"/>
      <c r="AC49" s="42"/>
      <c r="AD49" s="42"/>
      <c r="AE49" s="195"/>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row>
    <row r="50" spans="1:256" ht="13.8" x14ac:dyDescent="0.3">
      <c r="A50" s="42"/>
      <c r="B50" s="42"/>
      <c r="C50" s="42"/>
      <c r="D50" s="42"/>
      <c r="E50" s="42"/>
      <c r="F50" s="42"/>
      <c r="G50" s="42"/>
      <c r="H50" s="42"/>
      <c r="I50" s="42"/>
      <c r="J50" s="42"/>
      <c r="K50" s="42"/>
      <c r="L50" s="42"/>
      <c r="M50" s="42"/>
      <c r="N50" s="42"/>
      <c r="O50" s="42"/>
      <c r="P50" s="193"/>
      <c r="Q50" s="42"/>
      <c r="R50" s="42"/>
      <c r="S50" s="42"/>
      <c r="T50" s="42"/>
      <c r="U50" s="194"/>
      <c r="V50" s="42"/>
      <c r="W50" s="42"/>
      <c r="X50" s="42"/>
      <c r="Y50" s="42"/>
      <c r="Z50" s="42"/>
      <c r="AA50" s="42"/>
      <c r="AB50" s="195"/>
      <c r="AC50" s="42"/>
      <c r="AD50" s="42"/>
      <c r="AE50" s="195"/>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2"/>
      <c r="DR50" s="42"/>
      <c r="DS50" s="42"/>
      <c r="DT50" s="42"/>
      <c r="DU50" s="42"/>
      <c r="DV50" s="42"/>
      <c r="DW50" s="42"/>
      <c r="DX50" s="42"/>
      <c r="DY50" s="42"/>
      <c r="DZ50" s="42"/>
      <c r="EA50" s="42"/>
      <c r="EB50" s="42"/>
      <c r="EC50" s="42"/>
      <c r="ED50" s="42"/>
      <c r="EE50" s="42"/>
      <c r="EF50" s="42"/>
      <c r="EG50" s="42"/>
      <c r="EH50" s="42"/>
      <c r="EI50" s="42"/>
      <c r="EJ50" s="42"/>
      <c r="EK50" s="42"/>
      <c r="EL50" s="42"/>
      <c r="EM50" s="42"/>
      <c r="EN50" s="42"/>
      <c r="EO50" s="42"/>
      <c r="EP50" s="42"/>
      <c r="EQ50" s="42"/>
      <c r="ER50" s="42"/>
      <c r="ES50" s="42"/>
      <c r="ET50" s="42"/>
      <c r="EU50" s="42"/>
      <c r="EV50" s="42"/>
      <c r="EW50" s="42"/>
      <c r="EX50" s="42"/>
      <c r="EY50" s="42"/>
      <c r="EZ50" s="42"/>
      <c r="FA50" s="42"/>
      <c r="FB50" s="42"/>
      <c r="FC50" s="42"/>
      <c r="FD50" s="42"/>
      <c r="FE50" s="42"/>
      <c r="FF50" s="42"/>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row>
    <row r="51" spans="1:256" ht="13.8" x14ac:dyDescent="0.3">
      <c r="A51" s="42"/>
      <c r="B51" s="42"/>
      <c r="C51" s="42"/>
      <c r="D51" s="42"/>
      <c r="E51" s="42"/>
      <c r="F51" s="42"/>
      <c r="G51" s="42"/>
      <c r="H51" s="42"/>
      <c r="I51" s="42"/>
      <c r="J51" s="42"/>
      <c r="K51" s="42"/>
      <c r="L51" s="42"/>
      <c r="M51" s="42"/>
      <c r="N51" s="42"/>
      <c r="O51" s="42"/>
      <c r="P51" s="193"/>
      <c r="Q51" s="42"/>
      <c r="R51" s="42"/>
      <c r="S51" s="42"/>
      <c r="T51" s="42"/>
      <c r="U51" s="194"/>
      <c r="V51" s="42"/>
      <c r="W51" s="42"/>
      <c r="X51" s="42"/>
      <c r="Y51" s="42"/>
      <c r="Z51" s="42"/>
      <c r="AA51" s="42"/>
      <c r="AB51" s="195"/>
      <c r="AC51" s="42"/>
      <c r="AD51" s="42"/>
      <c r="AE51" s="195"/>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2"/>
      <c r="DR51" s="42"/>
      <c r="DS51" s="42"/>
      <c r="DT51" s="42"/>
      <c r="DU51" s="42"/>
      <c r="DV51" s="42"/>
      <c r="DW51" s="42"/>
      <c r="DX51" s="42"/>
      <c r="DY51" s="42"/>
      <c r="DZ51" s="42"/>
      <c r="EA51" s="42"/>
      <c r="EB51" s="42"/>
      <c r="EC51" s="42"/>
      <c r="ED51" s="42"/>
      <c r="EE51" s="42"/>
      <c r="EF51" s="42"/>
      <c r="EG51" s="42"/>
      <c r="EH51" s="42"/>
      <c r="EI51" s="42"/>
      <c r="EJ51" s="42"/>
      <c r="EK51" s="42"/>
      <c r="EL51" s="42"/>
      <c r="EM51" s="42"/>
      <c r="EN51" s="42"/>
      <c r="EO51" s="42"/>
      <c r="EP51" s="42"/>
      <c r="EQ51" s="42"/>
      <c r="ER51" s="42"/>
      <c r="ES51" s="42"/>
      <c r="ET51" s="42"/>
      <c r="EU51" s="42"/>
      <c r="EV51" s="42"/>
      <c r="EW51" s="42"/>
      <c r="EX51" s="42"/>
      <c r="EY51" s="42"/>
      <c r="EZ51" s="42"/>
      <c r="FA51" s="42"/>
      <c r="FB51" s="42"/>
      <c r="FC51" s="42"/>
      <c r="FD51" s="42"/>
      <c r="FE51" s="42"/>
      <c r="FF51" s="42"/>
      <c r="FG51" s="42"/>
      <c r="FH51" s="42"/>
      <c r="FI51" s="42"/>
      <c r="FJ51" s="42"/>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row>
    <row r="52" spans="1:256" ht="13.8" x14ac:dyDescent="0.3">
      <c r="A52" s="42"/>
      <c r="B52" s="42"/>
      <c r="C52" s="42"/>
      <c r="D52" s="42"/>
      <c r="E52" s="42"/>
      <c r="F52" s="42"/>
      <c r="G52" s="42"/>
      <c r="H52" s="42"/>
      <c r="I52" s="42"/>
      <c r="J52" s="42"/>
      <c r="K52" s="42"/>
      <c r="L52" s="42"/>
      <c r="M52" s="42"/>
      <c r="N52" s="42"/>
      <c r="O52" s="42"/>
      <c r="P52" s="193"/>
      <c r="Q52" s="42"/>
      <c r="R52" s="42"/>
      <c r="S52" s="42"/>
      <c r="T52" s="42"/>
      <c r="U52" s="194"/>
      <c r="V52" s="42"/>
      <c r="W52" s="42"/>
      <c r="X52" s="42"/>
      <c r="Y52" s="42"/>
      <c r="Z52" s="42"/>
      <c r="AA52" s="42"/>
      <c r="AB52" s="195"/>
      <c r="AC52" s="42"/>
      <c r="AD52" s="42"/>
      <c r="AE52" s="195"/>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2"/>
      <c r="DR52" s="42"/>
      <c r="DS52" s="42"/>
      <c r="DT52" s="42"/>
      <c r="DU52" s="42"/>
      <c r="DV52" s="42"/>
      <c r="DW52" s="42"/>
      <c r="DX52" s="42"/>
      <c r="DY52" s="42"/>
      <c r="DZ52" s="42"/>
      <c r="EA52" s="42"/>
      <c r="EB52" s="42"/>
      <c r="EC52" s="42"/>
      <c r="ED52" s="42"/>
      <c r="EE52" s="42"/>
      <c r="EF52" s="42"/>
      <c r="EG52" s="42"/>
      <c r="EH52" s="42"/>
      <c r="EI52" s="42"/>
      <c r="EJ52" s="42"/>
      <c r="EK52" s="42"/>
      <c r="EL52" s="42"/>
      <c r="EM52" s="42"/>
      <c r="EN52" s="42"/>
      <c r="EO52" s="42"/>
      <c r="EP52" s="42"/>
      <c r="EQ52" s="42"/>
      <c r="ER52" s="42"/>
      <c r="ES52" s="42"/>
      <c r="ET52" s="42"/>
      <c r="EU52" s="42"/>
      <c r="EV52" s="42"/>
      <c r="EW52" s="42"/>
      <c r="EX52" s="42"/>
      <c r="EY52" s="42"/>
      <c r="EZ52" s="42"/>
      <c r="FA52" s="42"/>
      <c r="FB52" s="42"/>
      <c r="FC52" s="42"/>
      <c r="FD52" s="42"/>
      <c r="FE52" s="42"/>
      <c r="FF52" s="42"/>
      <c r="FG52" s="42"/>
      <c r="FH52" s="42"/>
      <c r="FI52" s="42"/>
      <c r="FJ52" s="42"/>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row>
    <row r="53" spans="1:256" ht="13.8" x14ac:dyDescent="0.3">
      <c r="A53" s="42"/>
      <c r="B53" s="42"/>
      <c r="C53" s="42"/>
      <c r="D53" s="42"/>
      <c r="E53" s="42"/>
      <c r="F53" s="42"/>
      <c r="G53" s="42"/>
      <c r="H53" s="42"/>
      <c r="I53" s="42"/>
      <c r="J53" s="42"/>
      <c r="K53" s="42"/>
      <c r="L53" s="42"/>
      <c r="M53" s="42"/>
      <c r="N53" s="42"/>
      <c r="O53" s="42"/>
      <c r="P53" s="42"/>
      <c r="Q53" s="42"/>
      <c r="R53" s="42"/>
      <c r="S53" s="42"/>
      <c r="T53" s="42"/>
      <c r="U53" s="194"/>
      <c r="V53" s="42"/>
      <c r="W53" s="42"/>
      <c r="X53" s="42"/>
      <c r="Y53" s="42"/>
      <c r="Z53" s="42"/>
      <c r="AA53" s="42"/>
      <c r="AB53" s="195"/>
      <c r="AC53" s="42"/>
      <c r="AD53" s="42"/>
      <c r="AE53" s="195"/>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2"/>
      <c r="DR53" s="42"/>
      <c r="DS53" s="42"/>
      <c r="DT53" s="42"/>
      <c r="DU53" s="42"/>
      <c r="DV53" s="42"/>
      <c r="DW53" s="42"/>
      <c r="DX53" s="42"/>
      <c r="DY53" s="42"/>
      <c r="DZ53" s="42"/>
      <c r="EA53" s="42"/>
      <c r="EB53" s="42"/>
      <c r="EC53" s="42"/>
      <c r="ED53" s="42"/>
      <c r="EE53" s="42"/>
      <c r="EF53" s="42"/>
      <c r="EG53" s="42"/>
      <c r="EH53" s="42"/>
      <c r="EI53" s="42"/>
      <c r="EJ53" s="42"/>
      <c r="EK53" s="42"/>
      <c r="EL53" s="42"/>
      <c r="EM53" s="42"/>
      <c r="EN53" s="42"/>
      <c r="EO53" s="42"/>
      <c r="EP53" s="42"/>
      <c r="EQ53" s="42"/>
      <c r="ER53" s="42"/>
      <c r="ES53" s="42"/>
      <c r="ET53" s="42"/>
      <c r="EU53" s="42"/>
      <c r="EV53" s="42"/>
      <c r="EW53" s="42"/>
      <c r="EX53" s="42"/>
      <c r="EY53" s="42"/>
      <c r="EZ53" s="42"/>
      <c r="FA53" s="42"/>
      <c r="FB53" s="42"/>
      <c r="FC53" s="42"/>
      <c r="FD53" s="42"/>
      <c r="FE53" s="42"/>
      <c r="FF53" s="42"/>
      <c r="FG53" s="42"/>
      <c r="FH53" s="42"/>
      <c r="FI53" s="42"/>
      <c r="FJ53" s="42"/>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row>
    <row r="54" spans="1:256" ht="13.8" x14ac:dyDescent="0.3">
      <c r="A54" s="42"/>
      <c r="B54" s="42"/>
      <c r="C54" s="42"/>
      <c r="D54" s="42"/>
      <c r="E54" s="42"/>
      <c r="F54" s="42"/>
      <c r="G54" s="42"/>
      <c r="H54" s="42"/>
      <c r="I54" s="42"/>
      <c r="J54" s="42"/>
      <c r="K54" s="42"/>
      <c r="L54" s="42"/>
      <c r="M54" s="42"/>
      <c r="N54" s="42"/>
      <c r="O54" s="42"/>
      <c r="P54" s="42"/>
      <c r="Q54" s="42"/>
      <c r="R54" s="42"/>
      <c r="S54" s="42"/>
      <c r="T54" s="42"/>
      <c r="U54" s="194"/>
      <c r="V54" s="42"/>
      <c r="W54" s="42"/>
      <c r="X54" s="42"/>
      <c r="Y54" s="42"/>
      <c r="Z54" s="42"/>
      <c r="AA54" s="42"/>
      <c r="AB54" s="195"/>
      <c r="AC54" s="42"/>
      <c r="AD54" s="42"/>
      <c r="AE54" s="195"/>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2"/>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row>
    <row r="55" spans="1:256" ht="13.8" x14ac:dyDescent="0.3">
      <c r="A55" s="42"/>
      <c r="B55" s="42"/>
      <c r="C55" s="42"/>
      <c r="D55" s="42"/>
      <c r="E55" s="42"/>
      <c r="F55" s="42"/>
      <c r="G55" s="42"/>
      <c r="H55" s="42"/>
      <c r="I55" s="42"/>
      <c r="J55" s="42"/>
      <c r="K55" s="42"/>
      <c r="L55" s="42"/>
      <c r="M55" s="42"/>
      <c r="N55" s="42"/>
      <c r="O55" s="42"/>
      <c r="P55" s="42"/>
      <c r="Q55" s="42"/>
      <c r="R55" s="42"/>
      <c r="S55" s="42"/>
      <c r="T55" s="42"/>
      <c r="U55" s="194"/>
      <c r="V55" s="42"/>
      <c r="W55" s="42"/>
      <c r="X55" s="42"/>
      <c r="Y55" s="42"/>
      <c r="Z55" s="42"/>
      <c r="AA55" s="42"/>
      <c r="AB55" s="195"/>
      <c r="AC55" s="42"/>
      <c r="AD55" s="42"/>
      <c r="AE55" s="195"/>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2"/>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row>
    <row r="56" spans="1:256" ht="13.8" x14ac:dyDescent="0.3">
      <c r="A56" s="42"/>
      <c r="B56" s="42"/>
      <c r="C56" s="42"/>
      <c r="D56" s="42"/>
      <c r="E56" s="42"/>
      <c r="F56" s="42"/>
      <c r="G56" s="42"/>
      <c r="H56" s="42"/>
      <c r="I56" s="42"/>
      <c r="J56" s="42"/>
      <c r="K56" s="42"/>
      <c r="L56" s="42"/>
      <c r="M56" s="42"/>
      <c r="N56" s="42"/>
      <c r="O56" s="42"/>
      <c r="P56" s="42"/>
      <c r="Q56" s="42"/>
      <c r="R56" s="42"/>
      <c r="S56" s="42"/>
      <c r="T56" s="42"/>
      <c r="U56" s="194"/>
      <c r="V56" s="42"/>
      <c r="W56" s="42"/>
      <c r="X56" s="42"/>
      <c r="Y56" s="42"/>
      <c r="Z56" s="42"/>
      <c r="AA56" s="42"/>
      <c r="AB56" s="195"/>
      <c r="AC56" s="42"/>
      <c r="AD56" s="42"/>
      <c r="AE56" s="195"/>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2"/>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row>
    <row r="57" spans="1:256" ht="13.8" x14ac:dyDescent="0.3">
      <c r="A57" s="42"/>
      <c r="B57" s="42"/>
      <c r="C57" s="42"/>
      <c r="D57" s="42"/>
      <c r="E57" s="42"/>
      <c r="F57" s="42"/>
      <c r="G57" s="42"/>
      <c r="H57" s="42"/>
      <c r="I57" s="42"/>
      <c r="J57" s="42"/>
      <c r="K57" s="42"/>
      <c r="L57" s="42"/>
      <c r="M57" s="42"/>
      <c r="N57" s="42"/>
      <c r="O57" s="42"/>
      <c r="P57" s="42"/>
      <c r="Q57" s="42"/>
      <c r="R57" s="42"/>
      <c r="S57" s="42"/>
      <c r="T57" s="42"/>
      <c r="U57" s="194"/>
      <c r="V57" s="42"/>
      <c r="W57" s="42"/>
      <c r="X57" s="42"/>
      <c r="Y57" s="42"/>
      <c r="Z57" s="42"/>
      <c r="AA57" s="42"/>
      <c r="AB57" s="195"/>
      <c r="AC57" s="42"/>
      <c r="AD57" s="42"/>
      <c r="AE57" s="195"/>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2"/>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row>
    <row r="58" spans="1:256" ht="13.8" x14ac:dyDescent="0.3">
      <c r="A58" s="42"/>
      <c r="B58" s="42"/>
      <c r="C58" s="42"/>
      <c r="D58" s="42"/>
      <c r="E58" s="42"/>
      <c r="F58" s="42"/>
      <c r="G58" s="42"/>
      <c r="H58" s="42"/>
      <c r="I58" s="42"/>
      <c r="J58" s="42"/>
      <c r="K58" s="42"/>
      <c r="L58" s="42"/>
      <c r="M58" s="42"/>
      <c r="N58" s="42"/>
      <c r="O58" s="42"/>
      <c r="P58" s="42"/>
      <c r="Q58" s="42"/>
      <c r="R58" s="42"/>
      <c r="S58" s="42"/>
      <c r="T58" s="42"/>
      <c r="U58" s="194"/>
      <c r="V58" s="42"/>
      <c r="W58" s="42"/>
      <c r="X58" s="42"/>
      <c r="Y58" s="42"/>
      <c r="Z58" s="42"/>
      <c r="AA58" s="42"/>
      <c r="AB58" s="195"/>
      <c r="AC58" s="42"/>
      <c r="AD58" s="42"/>
      <c r="AE58" s="195"/>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c r="DX58" s="42"/>
      <c r="DY58" s="42"/>
      <c r="DZ58" s="42"/>
      <c r="EA58" s="42"/>
      <c r="EB58" s="42"/>
      <c r="EC58" s="42"/>
      <c r="ED58" s="42"/>
      <c r="EE58" s="42"/>
      <c r="EF58" s="42"/>
      <c r="EG58" s="42"/>
      <c r="EH58" s="42"/>
      <c r="EI58" s="42"/>
      <c r="EJ58" s="42"/>
      <c r="EK58" s="42"/>
      <c r="EL58" s="42"/>
      <c r="EM58" s="42"/>
      <c r="EN58" s="42"/>
      <c r="EO58" s="42"/>
      <c r="EP58" s="42"/>
      <c r="EQ58" s="42"/>
      <c r="ER58" s="42"/>
      <c r="ES58" s="42"/>
      <c r="ET58" s="42"/>
      <c r="EU58" s="42"/>
      <c r="EV58" s="42"/>
      <c r="EW58" s="42"/>
      <c r="EX58" s="42"/>
      <c r="EY58" s="42"/>
      <c r="EZ58" s="42"/>
      <c r="FA58" s="42"/>
      <c r="FB58" s="42"/>
      <c r="FC58" s="42"/>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row>
    <row r="59" spans="1:256" ht="13.8" x14ac:dyDescent="0.3">
      <c r="A59" s="42"/>
      <c r="B59" s="42"/>
      <c r="C59" s="42"/>
      <c r="D59" s="42"/>
      <c r="E59" s="42"/>
      <c r="F59" s="42"/>
      <c r="G59" s="42"/>
      <c r="H59" s="42"/>
      <c r="I59" s="42"/>
      <c r="J59" s="42"/>
      <c r="K59" s="42"/>
      <c r="L59" s="42"/>
      <c r="M59" s="42"/>
      <c r="N59" s="42"/>
      <c r="O59" s="42"/>
      <c r="P59" s="42"/>
      <c r="Q59" s="42"/>
      <c r="R59" s="42"/>
      <c r="S59" s="42"/>
      <c r="T59" s="42"/>
      <c r="U59" s="194"/>
      <c r="V59" s="42"/>
      <c r="W59" s="42"/>
      <c r="X59" s="42"/>
      <c r="Y59" s="42"/>
      <c r="Z59" s="42"/>
      <c r="AA59" s="42"/>
      <c r="AB59" s="195"/>
      <c r="AC59" s="42"/>
      <c r="AD59" s="42"/>
      <c r="AE59" s="195"/>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2"/>
      <c r="DR59" s="42"/>
      <c r="DS59" s="42"/>
      <c r="DT59" s="42"/>
      <c r="DU59" s="42"/>
      <c r="DV59" s="42"/>
      <c r="DW59" s="42"/>
      <c r="DX59" s="42"/>
      <c r="DY59" s="42"/>
      <c r="DZ59" s="42"/>
      <c r="EA59" s="42"/>
      <c r="EB59" s="42"/>
      <c r="EC59" s="42"/>
      <c r="ED59" s="42"/>
      <c r="EE59" s="42"/>
      <c r="EF59" s="42"/>
      <c r="EG59" s="42"/>
      <c r="EH59" s="42"/>
      <c r="EI59" s="42"/>
      <c r="EJ59" s="42"/>
      <c r="EK59" s="42"/>
      <c r="EL59" s="42"/>
      <c r="EM59" s="42"/>
      <c r="EN59" s="42"/>
      <c r="EO59" s="42"/>
      <c r="EP59" s="42"/>
      <c r="EQ59" s="42"/>
      <c r="ER59" s="42"/>
      <c r="ES59" s="42"/>
      <c r="ET59" s="42"/>
      <c r="EU59" s="42"/>
      <c r="EV59" s="42"/>
      <c r="EW59" s="42"/>
      <c r="EX59" s="42"/>
      <c r="EY59" s="42"/>
      <c r="EZ59" s="42"/>
      <c r="FA59" s="42"/>
      <c r="FB59" s="42"/>
      <c r="FC59" s="42"/>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row>
    <row r="60" spans="1:256" ht="13.8" x14ac:dyDescent="0.3">
      <c r="A60" s="42"/>
      <c r="B60" s="42"/>
      <c r="C60" s="42"/>
      <c r="D60" s="42"/>
      <c r="E60" s="42"/>
      <c r="F60" s="42"/>
      <c r="G60" s="42"/>
      <c r="H60" s="42"/>
      <c r="I60" s="42"/>
      <c r="J60" s="42"/>
      <c r="K60" s="42"/>
      <c r="L60" s="42"/>
      <c r="M60" s="42"/>
      <c r="N60" s="42"/>
      <c r="O60" s="42"/>
      <c r="P60" s="42"/>
      <c r="Q60" s="42"/>
      <c r="R60" s="42"/>
      <c r="S60" s="42"/>
      <c r="T60" s="42"/>
      <c r="U60" s="194"/>
      <c r="V60" s="42"/>
      <c r="W60" s="42"/>
      <c r="X60" s="42"/>
      <c r="Y60" s="42"/>
      <c r="Z60" s="42"/>
      <c r="AA60" s="42"/>
      <c r="AB60" s="195"/>
      <c r="AC60" s="42"/>
      <c r="AD60" s="42"/>
      <c r="AE60" s="195"/>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2"/>
      <c r="DR60" s="42"/>
      <c r="DS60" s="42"/>
      <c r="DT60" s="42"/>
      <c r="DU60" s="42"/>
      <c r="DV60" s="42"/>
      <c r="DW60" s="42"/>
      <c r="DX60" s="42"/>
      <c r="DY60" s="42"/>
      <c r="DZ60" s="42"/>
      <c r="EA60" s="42"/>
      <c r="EB60" s="42"/>
      <c r="EC60" s="42"/>
      <c r="ED60" s="42"/>
      <c r="EE60" s="42"/>
      <c r="EF60" s="42"/>
      <c r="EG60" s="42"/>
      <c r="EH60" s="42"/>
      <c r="EI60" s="42"/>
      <c r="EJ60" s="42"/>
      <c r="EK60" s="42"/>
      <c r="EL60" s="42"/>
      <c r="EM60" s="42"/>
      <c r="EN60" s="42"/>
      <c r="EO60" s="42"/>
      <c r="EP60" s="42"/>
      <c r="EQ60" s="42"/>
      <c r="ER60" s="42"/>
      <c r="ES60" s="42"/>
      <c r="ET60" s="42"/>
      <c r="EU60" s="42"/>
      <c r="EV60" s="42"/>
      <c r="EW60" s="42"/>
      <c r="EX60" s="42"/>
      <c r="EY60" s="42"/>
      <c r="EZ60" s="42"/>
      <c r="FA60" s="42"/>
      <c r="FB60" s="42"/>
      <c r="FC60" s="42"/>
      <c r="FD60" s="42"/>
      <c r="FE60" s="42"/>
      <c r="FF60" s="42"/>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row>
    <row r="61" spans="1:256" ht="13.8" x14ac:dyDescent="0.3">
      <c r="A61" s="42"/>
      <c r="B61" s="42"/>
      <c r="C61" s="42"/>
      <c r="D61" s="42"/>
      <c r="E61" s="42"/>
      <c r="F61" s="42"/>
      <c r="G61" s="42"/>
      <c r="H61" s="42"/>
      <c r="I61" s="42"/>
      <c r="J61" s="42"/>
      <c r="K61" s="42"/>
      <c r="L61" s="42"/>
      <c r="M61" s="42"/>
      <c r="N61" s="42"/>
      <c r="O61" s="42"/>
      <c r="P61" s="42"/>
      <c r="Q61" s="42"/>
      <c r="R61" s="42"/>
      <c r="S61" s="42"/>
      <c r="T61" s="42"/>
      <c r="U61" s="194"/>
      <c r="V61" s="42"/>
      <c r="W61" s="42"/>
      <c r="X61" s="42"/>
      <c r="Y61" s="42"/>
      <c r="Z61" s="42"/>
      <c r="AA61" s="42"/>
      <c r="AB61" s="195"/>
      <c r="AC61" s="42"/>
      <c r="AD61" s="42"/>
      <c r="AE61" s="195"/>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2"/>
      <c r="CG61" s="42"/>
      <c r="CH61" s="42"/>
      <c r="CI61" s="42"/>
      <c r="CJ61" s="42"/>
      <c r="CK61" s="42"/>
      <c r="CL61" s="42"/>
      <c r="CM61" s="42"/>
      <c r="CN61" s="42"/>
      <c r="CO61" s="42"/>
      <c r="CP61" s="42"/>
      <c r="CQ61" s="42"/>
      <c r="CR61" s="42"/>
      <c r="CS61" s="42"/>
      <c r="CT61" s="42"/>
      <c r="CU61" s="42"/>
      <c r="CV61" s="42"/>
      <c r="CW61" s="42"/>
      <c r="CX61" s="42"/>
      <c r="CY61" s="42"/>
      <c r="CZ61" s="42"/>
      <c r="DA61" s="42"/>
      <c r="DB61" s="42"/>
      <c r="DC61" s="42"/>
      <c r="DD61" s="42"/>
      <c r="DE61" s="42"/>
      <c r="DF61" s="42"/>
      <c r="DG61" s="42"/>
      <c r="DH61" s="42"/>
      <c r="DI61" s="42"/>
      <c r="DJ61" s="42"/>
      <c r="DK61" s="42"/>
      <c r="DL61" s="42"/>
      <c r="DM61" s="42"/>
      <c r="DN61" s="42"/>
      <c r="DO61" s="42"/>
      <c r="DP61" s="42"/>
      <c r="DQ61" s="42"/>
      <c r="DR61" s="42"/>
      <c r="DS61" s="42"/>
      <c r="DT61" s="42"/>
      <c r="DU61" s="42"/>
      <c r="DV61" s="42"/>
      <c r="DW61" s="42"/>
      <c r="DX61" s="42"/>
      <c r="DY61" s="42"/>
      <c r="DZ61" s="42"/>
      <c r="EA61" s="42"/>
      <c r="EB61" s="42"/>
      <c r="EC61" s="42"/>
      <c r="ED61" s="42"/>
      <c r="EE61" s="42"/>
      <c r="EF61" s="42"/>
      <c r="EG61" s="42"/>
      <c r="EH61" s="42"/>
      <c r="EI61" s="42"/>
      <c r="EJ61" s="42"/>
      <c r="EK61" s="42"/>
      <c r="EL61" s="42"/>
      <c r="EM61" s="42"/>
      <c r="EN61" s="42"/>
      <c r="EO61" s="42"/>
      <c r="EP61" s="42"/>
      <c r="EQ61" s="42"/>
      <c r="ER61" s="42"/>
      <c r="ES61" s="42"/>
      <c r="ET61" s="42"/>
      <c r="EU61" s="42"/>
      <c r="EV61" s="42"/>
      <c r="EW61" s="42"/>
      <c r="EX61" s="42"/>
      <c r="EY61" s="42"/>
      <c r="EZ61" s="42"/>
      <c r="FA61" s="42"/>
      <c r="FB61" s="42"/>
      <c r="FC61" s="42"/>
      <c r="FD61" s="42"/>
      <c r="FE61" s="42"/>
      <c r="FF61" s="42"/>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row>
    <row r="62" spans="1:256" ht="13.8" x14ac:dyDescent="0.3">
      <c r="A62" s="42"/>
      <c r="B62" s="42"/>
      <c r="C62" s="42"/>
      <c r="D62" s="42"/>
      <c r="E62" s="42"/>
      <c r="F62" s="42"/>
      <c r="G62" s="42"/>
      <c r="H62" s="42"/>
      <c r="I62" s="42"/>
      <c r="J62" s="42"/>
      <c r="K62" s="42"/>
      <c r="L62" s="42"/>
      <c r="M62" s="42"/>
      <c r="N62" s="42"/>
      <c r="O62" s="42"/>
      <c r="P62" s="42"/>
      <c r="Q62" s="42"/>
      <c r="R62" s="42"/>
      <c r="S62" s="42"/>
      <c r="T62" s="42"/>
      <c r="U62" s="194"/>
      <c r="V62" s="42"/>
      <c r="W62" s="42"/>
      <c r="X62" s="42"/>
      <c r="Y62" s="42"/>
      <c r="Z62" s="42"/>
      <c r="AA62" s="42"/>
      <c r="AB62" s="195"/>
      <c r="AC62" s="42"/>
      <c r="AD62" s="42"/>
      <c r="AE62" s="195"/>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2"/>
      <c r="DR62" s="42"/>
      <c r="DS62" s="42"/>
      <c r="DT62" s="42"/>
      <c r="DU62" s="42"/>
      <c r="DV62" s="42"/>
      <c r="DW62" s="42"/>
      <c r="DX62" s="42"/>
      <c r="DY62" s="42"/>
      <c r="DZ62" s="42"/>
      <c r="EA62" s="42"/>
      <c r="EB62" s="42"/>
      <c r="EC62" s="42"/>
      <c r="ED62" s="42"/>
      <c r="EE62" s="42"/>
      <c r="EF62" s="42"/>
      <c r="EG62" s="42"/>
      <c r="EH62" s="42"/>
      <c r="EI62" s="42"/>
      <c r="EJ62" s="42"/>
      <c r="EK62" s="42"/>
      <c r="EL62" s="42"/>
      <c r="EM62" s="42"/>
      <c r="EN62" s="42"/>
      <c r="EO62" s="42"/>
      <c r="EP62" s="42"/>
      <c r="EQ62" s="42"/>
      <c r="ER62" s="42"/>
      <c r="ES62" s="42"/>
      <c r="ET62" s="42"/>
      <c r="EU62" s="42"/>
      <c r="EV62" s="42"/>
      <c r="EW62" s="42"/>
      <c r="EX62" s="42"/>
      <c r="EY62" s="42"/>
      <c r="EZ62" s="42"/>
      <c r="FA62" s="42"/>
      <c r="FB62" s="42"/>
      <c r="FC62" s="42"/>
      <c r="FD62" s="42"/>
      <c r="FE62" s="42"/>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row>
    <row r="63" spans="1:256" ht="13.8" x14ac:dyDescent="0.3">
      <c r="A63" s="42"/>
      <c r="B63" s="42"/>
      <c r="C63" s="42"/>
      <c r="D63" s="42"/>
      <c r="E63" s="42"/>
      <c r="F63" s="42"/>
      <c r="G63" s="42"/>
      <c r="H63" s="42"/>
      <c r="I63" s="42"/>
      <c r="J63" s="42"/>
      <c r="K63" s="42"/>
      <c r="L63" s="42"/>
      <c r="M63" s="42"/>
      <c r="N63" s="42"/>
      <c r="O63" s="42"/>
      <c r="P63" s="42"/>
      <c r="Q63" s="42"/>
      <c r="R63" s="42"/>
      <c r="S63" s="42"/>
      <c r="T63" s="42"/>
      <c r="U63" s="194"/>
      <c r="V63" s="42"/>
      <c r="W63" s="42"/>
      <c r="X63" s="42"/>
      <c r="Y63" s="42"/>
      <c r="Z63" s="42"/>
      <c r="AA63" s="42"/>
      <c r="AB63" s="195"/>
      <c r="AC63" s="42"/>
      <c r="AD63" s="42"/>
      <c r="AE63" s="195"/>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2"/>
      <c r="DR63" s="42"/>
      <c r="DS63" s="42"/>
      <c r="DT63" s="42"/>
      <c r="DU63" s="42"/>
      <c r="DV63" s="42"/>
      <c r="DW63" s="42"/>
      <c r="DX63" s="42"/>
      <c r="DY63" s="42"/>
      <c r="DZ63" s="42"/>
      <c r="EA63" s="42"/>
      <c r="EB63" s="42"/>
      <c r="EC63" s="42"/>
      <c r="ED63" s="42"/>
      <c r="EE63" s="42"/>
      <c r="EF63" s="42"/>
      <c r="EG63" s="42"/>
      <c r="EH63" s="42"/>
      <c r="EI63" s="42"/>
      <c r="EJ63" s="42"/>
      <c r="EK63" s="42"/>
      <c r="EL63" s="42"/>
      <c r="EM63" s="42"/>
      <c r="EN63" s="42"/>
      <c r="EO63" s="42"/>
      <c r="EP63" s="42"/>
      <c r="EQ63" s="42"/>
      <c r="ER63" s="42"/>
      <c r="ES63" s="42"/>
      <c r="ET63" s="42"/>
      <c r="EU63" s="42"/>
      <c r="EV63" s="42"/>
      <c r="EW63" s="42"/>
      <c r="EX63" s="42"/>
      <c r="EY63" s="42"/>
      <c r="EZ63" s="42"/>
      <c r="FA63" s="42"/>
      <c r="FB63" s="42"/>
      <c r="FC63" s="42"/>
      <c r="FD63" s="42"/>
      <c r="FE63" s="42"/>
      <c r="FF63" s="42"/>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row>
    <row r="64" spans="1:256" ht="13.8" x14ac:dyDescent="0.3">
      <c r="A64" s="42"/>
      <c r="B64" s="42"/>
      <c r="C64" s="42"/>
      <c r="D64" s="42"/>
      <c r="E64" s="42"/>
      <c r="F64" s="42"/>
      <c r="G64" s="42"/>
      <c r="H64" s="42"/>
      <c r="I64" s="42"/>
      <c r="J64" s="42"/>
      <c r="K64" s="42"/>
      <c r="L64" s="42"/>
      <c r="M64" s="42"/>
      <c r="N64" s="42"/>
      <c r="O64" s="42"/>
      <c r="P64" s="42"/>
      <c r="Q64" s="42"/>
      <c r="R64" s="42"/>
      <c r="S64" s="42"/>
      <c r="T64" s="42"/>
      <c r="U64" s="194"/>
      <c r="V64" s="42"/>
      <c r="W64" s="42"/>
      <c r="X64" s="42"/>
      <c r="Y64" s="42"/>
      <c r="Z64" s="42"/>
      <c r="AA64" s="42"/>
      <c r="AB64" s="195"/>
      <c r="AC64" s="42"/>
      <c r="AD64" s="42"/>
      <c r="AE64" s="195"/>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2"/>
      <c r="BJ64" s="42"/>
      <c r="BK64" s="42"/>
      <c r="BL64" s="42"/>
      <c r="BM64" s="42"/>
      <c r="BN64" s="42"/>
      <c r="BO64" s="42"/>
      <c r="BP64" s="42"/>
      <c r="BQ64" s="42"/>
      <c r="BR64" s="42"/>
      <c r="BS64" s="42"/>
      <c r="BT64" s="42"/>
      <c r="BU64" s="42"/>
      <c r="BV64" s="42"/>
      <c r="BW64" s="42"/>
      <c r="BX64" s="42"/>
      <c r="BY64" s="42"/>
      <c r="BZ64" s="42"/>
      <c r="CA64" s="42"/>
      <c r="CB64" s="42"/>
      <c r="CC64" s="42"/>
      <c r="CD64" s="42"/>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c r="DI64" s="42"/>
      <c r="DJ64" s="42"/>
      <c r="DK64" s="42"/>
      <c r="DL64" s="42"/>
      <c r="DM64" s="42"/>
      <c r="DN64" s="42"/>
      <c r="DO64" s="42"/>
      <c r="DP64" s="42"/>
      <c r="DQ64" s="42"/>
      <c r="DR64" s="42"/>
      <c r="DS64" s="42"/>
      <c r="DT64" s="42"/>
      <c r="DU64" s="42"/>
      <c r="DV64" s="42"/>
      <c r="DW64" s="42"/>
      <c r="DX64" s="42"/>
      <c r="DY64" s="42"/>
      <c r="DZ64" s="42"/>
      <c r="EA64" s="42"/>
      <c r="EB64" s="42"/>
      <c r="EC64" s="42"/>
      <c r="ED64" s="42"/>
      <c r="EE64" s="42"/>
      <c r="EF64" s="42"/>
      <c r="EG64" s="42"/>
      <c r="EH64" s="42"/>
      <c r="EI64" s="42"/>
      <c r="EJ64" s="42"/>
      <c r="EK64" s="42"/>
      <c r="EL64" s="42"/>
      <c r="EM64" s="42"/>
      <c r="EN64" s="42"/>
      <c r="EO64" s="42"/>
      <c r="EP64" s="42"/>
      <c r="EQ64" s="42"/>
      <c r="ER64" s="42"/>
      <c r="ES64" s="42"/>
      <c r="ET64" s="42"/>
      <c r="EU64" s="42"/>
      <c r="EV64" s="42"/>
      <c r="EW64" s="42"/>
      <c r="EX64" s="42"/>
      <c r="EY64" s="42"/>
      <c r="EZ64" s="42"/>
      <c r="FA64" s="42"/>
      <c r="FB64" s="42"/>
      <c r="FC64" s="42"/>
      <c r="FD64" s="42"/>
      <c r="FE64" s="42"/>
      <c r="FF64" s="42"/>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row>
    <row r="65" spans="1:256" ht="13.8" x14ac:dyDescent="0.3">
      <c r="A65" s="42"/>
      <c r="B65" s="42"/>
      <c r="C65" s="42"/>
      <c r="D65" s="42"/>
      <c r="E65" s="42"/>
      <c r="F65" s="42"/>
      <c r="G65" s="42"/>
      <c r="H65" s="42"/>
      <c r="I65" s="42"/>
      <c r="J65" s="42"/>
      <c r="K65" s="42"/>
      <c r="L65" s="42"/>
      <c r="M65" s="42"/>
      <c r="N65" s="42"/>
      <c r="O65" s="42"/>
      <c r="P65" s="42"/>
      <c r="Q65" s="42"/>
      <c r="R65" s="42"/>
      <c r="S65" s="42"/>
      <c r="T65" s="42"/>
      <c r="U65" s="194"/>
      <c r="V65" s="42"/>
      <c r="W65" s="42"/>
      <c r="X65" s="42"/>
      <c r="Y65" s="42"/>
      <c r="Z65" s="42"/>
      <c r="AA65" s="42"/>
      <c r="AB65" s="195"/>
      <c r="AC65" s="42"/>
      <c r="AD65" s="42"/>
      <c r="AE65" s="195"/>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2"/>
      <c r="BE65" s="42"/>
      <c r="BF65" s="42"/>
      <c r="BG65" s="42"/>
      <c r="BH65" s="42"/>
      <c r="BI65" s="42"/>
      <c r="BJ65" s="42"/>
      <c r="BK65" s="42"/>
      <c r="BL65" s="42"/>
      <c r="BM65" s="42"/>
      <c r="BN65" s="42"/>
      <c r="BO65" s="42"/>
      <c r="BP65" s="42"/>
      <c r="BQ65" s="42"/>
      <c r="BR65" s="42"/>
      <c r="BS65" s="42"/>
      <c r="BT65" s="42"/>
      <c r="BU65" s="42"/>
      <c r="BV65" s="42"/>
      <c r="BW65" s="42"/>
      <c r="BX65" s="42"/>
      <c r="BY65" s="42"/>
      <c r="BZ65" s="42"/>
      <c r="CA65" s="42"/>
      <c r="CB65" s="42"/>
      <c r="CC65" s="42"/>
      <c r="CD65" s="42"/>
      <c r="CE65" s="42"/>
      <c r="CF65" s="42"/>
      <c r="CG65" s="42"/>
      <c r="CH65" s="42"/>
      <c r="CI65" s="42"/>
      <c r="CJ65" s="42"/>
      <c r="CK65" s="42"/>
      <c r="CL65" s="42"/>
      <c r="CM65" s="42"/>
      <c r="CN65" s="42"/>
      <c r="CO65" s="42"/>
      <c r="CP65" s="42"/>
      <c r="CQ65" s="42"/>
      <c r="CR65" s="42"/>
      <c r="CS65" s="42"/>
      <c r="CT65" s="42"/>
      <c r="CU65" s="42"/>
      <c r="CV65" s="42"/>
      <c r="CW65" s="42"/>
      <c r="CX65" s="42"/>
      <c r="CY65" s="42"/>
      <c r="CZ65" s="42"/>
      <c r="DA65" s="42"/>
      <c r="DB65" s="42"/>
      <c r="DC65" s="42"/>
      <c r="DD65" s="42"/>
      <c r="DE65" s="42"/>
      <c r="DF65" s="42"/>
      <c r="DG65" s="42"/>
      <c r="DH65" s="42"/>
      <c r="DI65" s="42"/>
      <c r="DJ65" s="42"/>
      <c r="DK65" s="42"/>
      <c r="DL65" s="42"/>
      <c r="DM65" s="42"/>
      <c r="DN65" s="42"/>
      <c r="DO65" s="42"/>
      <c r="DP65" s="42"/>
      <c r="DQ65" s="42"/>
      <c r="DR65" s="42"/>
      <c r="DS65" s="42"/>
      <c r="DT65" s="42"/>
      <c r="DU65" s="42"/>
      <c r="DV65" s="42"/>
      <c r="DW65" s="42"/>
      <c r="DX65" s="42"/>
      <c r="DY65" s="42"/>
      <c r="DZ65" s="42"/>
      <c r="EA65" s="42"/>
      <c r="EB65" s="42"/>
      <c r="EC65" s="42"/>
      <c r="ED65" s="42"/>
      <c r="EE65" s="42"/>
      <c r="EF65" s="42"/>
      <c r="EG65" s="42"/>
      <c r="EH65" s="42"/>
      <c r="EI65" s="42"/>
      <c r="EJ65" s="42"/>
      <c r="EK65" s="42"/>
      <c r="EL65" s="42"/>
      <c r="EM65" s="42"/>
      <c r="EN65" s="42"/>
      <c r="EO65" s="42"/>
      <c r="EP65" s="42"/>
      <c r="EQ65" s="42"/>
      <c r="ER65" s="42"/>
      <c r="ES65" s="42"/>
      <c r="ET65" s="42"/>
      <c r="EU65" s="42"/>
      <c r="EV65" s="42"/>
      <c r="EW65" s="42"/>
      <c r="EX65" s="42"/>
      <c r="EY65" s="42"/>
      <c r="EZ65" s="42"/>
      <c r="FA65" s="42"/>
      <c r="FB65" s="42"/>
      <c r="FC65" s="42"/>
      <c r="FD65" s="42"/>
      <c r="FE65" s="42"/>
      <c r="FF65" s="42"/>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row>
    <row r="66" spans="1:256" ht="13.8" x14ac:dyDescent="0.3">
      <c r="A66" s="42"/>
      <c r="B66" s="42"/>
      <c r="C66" s="42"/>
      <c r="D66" s="42"/>
      <c r="E66" s="42"/>
      <c r="F66" s="42"/>
      <c r="G66" s="42"/>
      <c r="H66" s="42"/>
      <c r="I66" s="42"/>
      <c r="J66" s="42"/>
      <c r="K66" s="42"/>
      <c r="L66" s="42"/>
      <c r="M66" s="42"/>
      <c r="N66" s="42"/>
      <c r="O66" s="42"/>
      <c r="P66" s="42"/>
      <c r="Q66" s="42"/>
      <c r="R66" s="42"/>
      <c r="S66" s="42"/>
      <c r="T66" s="42"/>
      <c r="U66" s="194"/>
      <c r="V66" s="42"/>
      <c r="W66" s="42"/>
      <c r="X66" s="42"/>
      <c r="Y66" s="42"/>
      <c r="Z66" s="42"/>
      <c r="AA66" s="42"/>
      <c r="AB66" s="195"/>
      <c r="AC66" s="42"/>
      <c r="AD66" s="42"/>
      <c r="AE66" s="195"/>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c r="DX66" s="42"/>
      <c r="DY66" s="42"/>
      <c r="DZ66" s="42"/>
      <c r="EA66" s="42"/>
      <c r="EB66" s="42"/>
      <c r="EC66" s="42"/>
      <c r="ED66" s="42"/>
      <c r="EE66" s="42"/>
      <c r="EF66" s="42"/>
      <c r="EG66" s="42"/>
      <c r="EH66" s="42"/>
      <c r="EI66" s="42"/>
      <c r="EJ66" s="42"/>
      <c r="EK66" s="42"/>
      <c r="EL66" s="42"/>
      <c r="EM66" s="42"/>
      <c r="EN66" s="42"/>
      <c r="EO66" s="42"/>
      <c r="EP66" s="42"/>
      <c r="EQ66" s="42"/>
      <c r="ER66" s="42"/>
      <c r="ES66" s="42"/>
      <c r="ET66" s="42"/>
      <c r="EU66" s="42"/>
      <c r="EV66" s="42"/>
      <c r="EW66" s="42"/>
      <c r="EX66" s="42"/>
      <c r="EY66" s="42"/>
      <c r="EZ66" s="42"/>
      <c r="FA66" s="42"/>
      <c r="FB66" s="42"/>
      <c r="FC66" s="42"/>
      <c r="FD66" s="42"/>
      <c r="FE66" s="42"/>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row>
    <row r="67" spans="1:256" ht="13.8" x14ac:dyDescent="0.3">
      <c r="A67" s="42"/>
      <c r="B67" s="42"/>
      <c r="C67" s="42"/>
      <c r="D67" s="42"/>
      <c r="E67" s="42"/>
      <c r="F67" s="42"/>
      <c r="G67" s="42"/>
      <c r="H67" s="42"/>
      <c r="I67" s="42"/>
      <c r="J67" s="42"/>
      <c r="K67" s="42"/>
      <c r="L67" s="42"/>
      <c r="M67" s="42"/>
      <c r="N67" s="42"/>
      <c r="O67" s="42"/>
      <c r="P67" s="42"/>
      <c r="Q67" s="42"/>
      <c r="R67" s="42"/>
      <c r="S67" s="42"/>
      <c r="T67" s="42"/>
      <c r="U67" s="194"/>
      <c r="V67" s="42"/>
      <c r="W67" s="42"/>
      <c r="X67" s="42"/>
      <c r="Y67" s="42"/>
      <c r="Z67" s="42"/>
      <c r="AA67" s="42"/>
      <c r="AB67" s="195"/>
      <c r="AC67" s="42"/>
      <c r="AD67" s="42"/>
      <c r="AE67" s="195"/>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2"/>
      <c r="BJ67" s="42"/>
      <c r="BK67" s="42"/>
      <c r="BL67" s="42"/>
      <c r="BM67" s="42"/>
      <c r="BN67" s="42"/>
      <c r="BO67" s="42"/>
      <c r="BP67" s="42"/>
      <c r="BQ67" s="42"/>
      <c r="BR67" s="42"/>
      <c r="BS67" s="42"/>
      <c r="BT67" s="42"/>
      <c r="BU67" s="42"/>
      <c r="BV67" s="42"/>
      <c r="BW67" s="42"/>
      <c r="BX67" s="42"/>
      <c r="BY67" s="42"/>
      <c r="BZ67" s="42"/>
      <c r="CA67" s="42"/>
      <c r="CB67" s="42"/>
      <c r="CC67" s="42"/>
      <c r="CD67" s="42"/>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2"/>
      <c r="DD67" s="42"/>
      <c r="DE67" s="42"/>
      <c r="DF67" s="42"/>
      <c r="DG67" s="42"/>
      <c r="DH67" s="42"/>
      <c r="DI67" s="42"/>
      <c r="DJ67" s="42"/>
      <c r="DK67" s="42"/>
      <c r="DL67" s="42"/>
      <c r="DM67" s="42"/>
      <c r="DN67" s="42"/>
      <c r="DO67" s="42"/>
      <c r="DP67" s="42"/>
      <c r="DQ67" s="42"/>
      <c r="DR67" s="42"/>
      <c r="DS67" s="42"/>
      <c r="DT67" s="42"/>
      <c r="DU67" s="42"/>
      <c r="DV67" s="42"/>
      <c r="DW67" s="42"/>
      <c r="DX67" s="42"/>
      <c r="DY67" s="42"/>
      <c r="DZ67" s="42"/>
      <c r="EA67" s="42"/>
      <c r="EB67" s="42"/>
      <c r="EC67" s="42"/>
      <c r="ED67" s="42"/>
      <c r="EE67" s="42"/>
      <c r="EF67" s="42"/>
      <c r="EG67" s="42"/>
      <c r="EH67" s="42"/>
      <c r="EI67" s="42"/>
      <c r="EJ67" s="42"/>
      <c r="EK67" s="42"/>
      <c r="EL67" s="42"/>
      <c r="EM67" s="42"/>
      <c r="EN67" s="42"/>
      <c r="EO67" s="42"/>
      <c r="EP67" s="42"/>
      <c r="EQ67" s="42"/>
      <c r="ER67" s="42"/>
      <c r="ES67" s="42"/>
      <c r="ET67" s="42"/>
      <c r="EU67" s="42"/>
      <c r="EV67" s="42"/>
      <c r="EW67" s="42"/>
      <c r="EX67" s="42"/>
      <c r="EY67" s="42"/>
      <c r="EZ67" s="42"/>
      <c r="FA67" s="42"/>
      <c r="FB67" s="42"/>
      <c r="FC67" s="42"/>
      <c r="FD67" s="42"/>
      <c r="FE67" s="42"/>
      <c r="FF67" s="42"/>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row>
    <row r="68" spans="1:256" ht="13.8" x14ac:dyDescent="0.3">
      <c r="A68" s="42"/>
      <c r="B68" s="42"/>
      <c r="C68" s="42"/>
      <c r="D68" s="42"/>
      <c r="E68" s="42"/>
      <c r="F68" s="42"/>
      <c r="G68" s="42"/>
      <c r="H68" s="42"/>
      <c r="I68" s="42"/>
      <c r="J68" s="42"/>
      <c r="K68" s="42"/>
      <c r="L68" s="42"/>
      <c r="M68" s="42"/>
      <c r="N68" s="42"/>
      <c r="O68" s="42"/>
      <c r="P68" s="42"/>
      <c r="Q68" s="42"/>
      <c r="R68" s="42"/>
      <c r="S68" s="42"/>
      <c r="T68" s="42"/>
      <c r="U68" s="194"/>
      <c r="V68" s="42"/>
      <c r="W68" s="42"/>
      <c r="X68" s="42"/>
      <c r="Y68" s="42"/>
      <c r="Z68" s="42"/>
      <c r="AA68" s="42"/>
      <c r="AB68" s="195"/>
      <c r="AC68" s="42"/>
      <c r="AD68" s="42"/>
      <c r="AE68" s="195"/>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c r="BV68" s="42"/>
      <c r="BW68" s="42"/>
      <c r="BX68" s="42"/>
      <c r="BY68" s="42"/>
      <c r="BZ68" s="42"/>
      <c r="CA68" s="42"/>
      <c r="CB68" s="42"/>
      <c r="CC68" s="42"/>
      <c r="CD68" s="42"/>
      <c r="CE68" s="42"/>
      <c r="CF68" s="42"/>
      <c r="CG68" s="42"/>
      <c r="CH68" s="42"/>
      <c r="CI68" s="42"/>
      <c r="CJ68" s="42"/>
      <c r="CK68" s="42"/>
      <c r="CL68" s="42"/>
      <c r="CM68" s="42"/>
      <c r="CN68" s="42"/>
      <c r="CO68" s="42"/>
      <c r="CP68" s="42"/>
      <c r="CQ68" s="42"/>
      <c r="CR68" s="42"/>
      <c r="CS68" s="42"/>
      <c r="CT68" s="42"/>
      <c r="CU68" s="42"/>
      <c r="CV68" s="42"/>
      <c r="CW68" s="42"/>
      <c r="CX68" s="42"/>
      <c r="CY68" s="42"/>
      <c r="CZ68" s="42"/>
      <c r="DA68" s="42"/>
      <c r="DB68" s="42"/>
      <c r="DC68" s="42"/>
      <c r="DD68" s="42"/>
      <c r="DE68" s="42"/>
      <c r="DF68" s="42"/>
      <c r="DG68" s="42"/>
      <c r="DH68" s="42"/>
      <c r="DI68" s="42"/>
      <c r="DJ68" s="42"/>
      <c r="DK68" s="42"/>
      <c r="DL68" s="42"/>
      <c r="DM68" s="42"/>
      <c r="DN68" s="42"/>
      <c r="DO68" s="42"/>
      <c r="DP68" s="42"/>
      <c r="DQ68" s="42"/>
      <c r="DR68" s="42"/>
      <c r="DS68" s="42"/>
      <c r="DT68" s="42"/>
      <c r="DU68" s="42"/>
      <c r="DV68" s="42"/>
      <c r="DW68" s="42"/>
      <c r="DX68" s="42"/>
      <c r="DY68" s="42"/>
      <c r="DZ68" s="42"/>
      <c r="EA68" s="42"/>
      <c r="EB68" s="42"/>
      <c r="EC68" s="42"/>
      <c r="ED68" s="42"/>
      <c r="EE68" s="42"/>
      <c r="EF68" s="42"/>
      <c r="EG68" s="42"/>
      <c r="EH68" s="42"/>
      <c r="EI68" s="42"/>
      <c r="EJ68" s="42"/>
      <c r="EK68" s="42"/>
      <c r="EL68" s="42"/>
      <c r="EM68" s="42"/>
      <c r="EN68" s="42"/>
      <c r="EO68" s="42"/>
      <c r="EP68" s="42"/>
      <c r="EQ68" s="42"/>
      <c r="ER68" s="42"/>
      <c r="ES68" s="42"/>
      <c r="ET68" s="42"/>
      <c r="EU68" s="42"/>
      <c r="EV68" s="42"/>
      <c r="EW68" s="42"/>
      <c r="EX68" s="42"/>
      <c r="EY68" s="42"/>
      <c r="EZ68" s="42"/>
      <c r="FA68" s="42"/>
      <c r="FB68" s="42"/>
      <c r="FC68" s="42"/>
      <c r="FD68" s="42"/>
      <c r="FE68" s="42"/>
      <c r="FF68" s="42"/>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row>
    <row r="69" spans="1:256" ht="13.8" x14ac:dyDescent="0.3">
      <c r="A69" s="42"/>
      <c r="B69" s="42"/>
      <c r="C69" s="42"/>
      <c r="D69" s="42"/>
      <c r="E69" s="42"/>
      <c r="F69" s="42"/>
      <c r="G69" s="42"/>
      <c r="H69" s="42"/>
      <c r="I69" s="42"/>
      <c r="J69" s="42"/>
      <c r="K69" s="42"/>
      <c r="L69" s="42"/>
      <c r="M69" s="42"/>
      <c r="N69" s="42"/>
      <c r="O69" s="42"/>
      <c r="P69" s="42"/>
      <c r="Q69" s="42"/>
      <c r="R69" s="42"/>
      <c r="S69" s="42"/>
      <c r="T69" s="42"/>
      <c r="U69" s="194"/>
      <c r="V69" s="42"/>
      <c r="W69" s="42"/>
      <c r="X69" s="42"/>
      <c r="Y69" s="42"/>
      <c r="Z69" s="42"/>
      <c r="AA69" s="42"/>
      <c r="AB69" s="195"/>
      <c r="AC69" s="42"/>
      <c r="AD69" s="42"/>
      <c r="AE69" s="195"/>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c r="DI69" s="42"/>
      <c r="DJ69" s="42"/>
      <c r="DK69" s="42"/>
      <c r="DL69" s="42"/>
      <c r="DM69" s="42"/>
      <c r="DN69" s="42"/>
      <c r="DO69" s="42"/>
      <c r="DP69" s="42"/>
      <c r="DQ69" s="42"/>
      <c r="DR69" s="42"/>
      <c r="DS69" s="42"/>
      <c r="DT69" s="42"/>
      <c r="DU69" s="42"/>
      <c r="DV69" s="42"/>
      <c r="DW69" s="42"/>
      <c r="DX69" s="42"/>
      <c r="DY69" s="42"/>
      <c r="DZ69" s="42"/>
      <c r="EA69" s="42"/>
      <c r="EB69" s="42"/>
      <c r="EC69" s="42"/>
      <c r="ED69" s="42"/>
      <c r="EE69" s="42"/>
      <c r="EF69" s="42"/>
      <c r="EG69" s="42"/>
      <c r="EH69" s="42"/>
      <c r="EI69" s="42"/>
      <c r="EJ69" s="42"/>
      <c r="EK69" s="42"/>
      <c r="EL69" s="42"/>
      <c r="EM69" s="42"/>
      <c r="EN69" s="42"/>
      <c r="EO69" s="42"/>
      <c r="EP69" s="42"/>
      <c r="EQ69" s="42"/>
      <c r="ER69" s="42"/>
      <c r="ES69" s="42"/>
      <c r="ET69" s="42"/>
      <c r="EU69" s="42"/>
      <c r="EV69" s="42"/>
      <c r="EW69" s="42"/>
      <c r="EX69" s="42"/>
      <c r="EY69" s="42"/>
      <c r="EZ69" s="42"/>
      <c r="FA69" s="42"/>
      <c r="FB69" s="42"/>
      <c r="FC69" s="42"/>
      <c r="FD69" s="42"/>
      <c r="FE69" s="42"/>
      <c r="FF69" s="42"/>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row>
    <row r="70" spans="1:256" ht="13.8" x14ac:dyDescent="0.3">
      <c r="A70" s="42"/>
      <c r="B70" s="42"/>
      <c r="C70" s="42"/>
      <c r="D70" s="42"/>
      <c r="E70" s="42"/>
      <c r="F70" s="42"/>
      <c r="G70" s="42"/>
      <c r="H70" s="42"/>
      <c r="I70" s="42"/>
      <c r="J70" s="42"/>
      <c r="K70" s="42"/>
      <c r="L70" s="42"/>
      <c r="M70" s="42"/>
      <c r="N70" s="42"/>
      <c r="O70" s="42"/>
      <c r="P70" s="42"/>
      <c r="Q70" s="42"/>
      <c r="R70" s="42"/>
      <c r="S70" s="42"/>
      <c r="T70" s="42"/>
      <c r="U70" s="194"/>
      <c r="V70" s="42"/>
      <c r="W70" s="42"/>
      <c r="X70" s="42"/>
      <c r="Y70" s="42"/>
      <c r="Z70" s="42"/>
      <c r="AA70" s="42"/>
      <c r="AB70" s="195"/>
      <c r="AC70" s="42"/>
      <c r="AD70" s="42"/>
      <c r="AE70" s="195"/>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2"/>
      <c r="DR70" s="42"/>
      <c r="DS70" s="42"/>
      <c r="DT70" s="42"/>
      <c r="DU70" s="42"/>
      <c r="DV70" s="42"/>
      <c r="DW70" s="42"/>
      <c r="DX70" s="42"/>
      <c r="DY70" s="42"/>
      <c r="DZ70" s="42"/>
      <c r="EA70" s="42"/>
      <c r="EB70" s="42"/>
      <c r="EC70" s="42"/>
      <c r="ED70" s="42"/>
      <c r="EE70" s="42"/>
      <c r="EF70" s="42"/>
      <c r="EG70" s="42"/>
      <c r="EH70" s="42"/>
      <c r="EI70" s="42"/>
      <c r="EJ70" s="42"/>
      <c r="EK70" s="42"/>
      <c r="EL70" s="42"/>
      <c r="EM70" s="42"/>
      <c r="EN70" s="42"/>
      <c r="EO70" s="42"/>
      <c r="EP70" s="42"/>
      <c r="EQ70" s="42"/>
      <c r="ER70" s="42"/>
      <c r="ES70" s="42"/>
      <c r="ET70" s="42"/>
      <c r="EU70" s="42"/>
      <c r="EV70" s="42"/>
      <c r="EW70" s="42"/>
      <c r="EX70" s="42"/>
      <c r="EY70" s="42"/>
      <c r="EZ70" s="42"/>
      <c r="FA70" s="42"/>
      <c r="FB70" s="42"/>
      <c r="FC70" s="42"/>
      <c r="FD70" s="42"/>
      <c r="FE70" s="42"/>
      <c r="FF70" s="42"/>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row>
    <row r="71" spans="1:256" ht="13.8" x14ac:dyDescent="0.3">
      <c r="A71" s="42"/>
      <c r="B71" s="42"/>
      <c r="C71" s="42"/>
      <c r="D71" s="42"/>
      <c r="E71" s="42"/>
      <c r="F71" s="42"/>
      <c r="G71" s="42"/>
      <c r="H71" s="42"/>
      <c r="I71" s="42"/>
      <c r="J71" s="42"/>
      <c r="K71" s="42"/>
      <c r="L71" s="42"/>
      <c r="M71" s="42"/>
      <c r="N71" s="42"/>
      <c r="O71" s="42"/>
      <c r="P71" s="42"/>
      <c r="Q71" s="42"/>
      <c r="R71" s="42"/>
      <c r="S71" s="42"/>
      <c r="T71" s="42"/>
      <c r="U71" s="194"/>
      <c r="V71" s="42"/>
      <c r="W71" s="42"/>
      <c r="X71" s="42"/>
      <c r="Y71" s="42"/>
      <c r="Z71" s="42"/>
      <c r="AA71" s="42"/>
      <c r="AB71" s="195"/>
      <c r="AC71" s="42"/>
      <c r="AD71" s="42"/>
      <c r="AE71" s="195"/>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2"/>
      <c r="BE71" s="42"/>
      <c r="BF71" s="42"/>
      <c r="BG71" s="42"/>
      <c r="BH71" s="42"/>
      <c r="BI71" s="42"/>
      <c r="BJ71" s="42"/>
      <c r="BK71" s="42"/>
      <c r="BL71" s="42"/>
      <c r="BM71" s="42"/>
      <c r="BN71" s="42"/>
      <c r="BO71" s="42"/>
      <c r="BP71" s="42"/>
      <c r="BQ71" s="42"/>
      <c r="BR71" s="42"/>
      <c r="BS71" s="42"/>
      <c r="BT71" s="42"/>
      <c r="BU71" s="42"/>
      <c r="BV71" s="42"/>
      <c r="BW71" s="42"/>
      <c r="BX71" s="42"/>
      <c r="BY71" s="42"/>
      <c r="BZ71" s="42"/>
      <c r="CA71" s="42"/>
      <c r="CB71" s="42"/>
      <c r="CC71" s="42"/>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2"/>
      <c r="DR71" s="42"/>
      <c r="DS71" s="42"/>
      <c r="DT71" s="42"/>
      <c r="DU71" s="42"/>
      <c r="DV71" s="42"/>
      <c r="DW71" s="42"/>
      <c r="DX71" s="42"/>
      <c r="DY71" s="42"/>
      <c r="DZ71" s="42"/>
      <c r="EA71" s="42"/>
      <c r="EB71" s="42"/>
      <c r="EC71" s="42"/>
      <c r="ED71" s="42"/>
      <c r="EE71" s="42"/>
      <c r="EF71" s="42"/>
      <c r="EG71" s="42"/>
      <c r="EH71" s="42"/>
      <c r="EI71" s="42"/>
      <c r="EJ71" s="42"/>
      <c r="EK71" s="42"/>
      <c r="EL71" s="42"/>
      <c r="EM71" s="42"/>
      <c r="EN71" s="42"/>
      <c r="EO71" s="42"/>
      <c r="EP71" s="42"/>
      <c r="EQ71" s="42"/>
      <c r="ER71" s="42"/>
      <c r="ES71" s="42"/>
      <c r="ET71" s="42"/>
      <c r="EU71" s="42"/>
      <c r="EV71" s="42"/>
      <c r="EW71" s="42"/>
      <c r="EX71" s="42"/>
      <c r="EY71" s="42"/>
      <c r="EZ71" s="42"/>
      <c r="FA71" s="42"/>
      <c r="FB71" s="42"/>
      <c r="FC71" s="42"/>
      <c r="FD71" s="42"/>
      <c r="FE71" s="42"/>
      <c r="FF71" s="42"/>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row>
    <row r="72" spans="1:256" ht="13.8" x14ac:dyDescent="0.3">
      <c r="A72" s="42"/>
      <c r="B72" s="42"/>
      <c r="C72" s="42"/>
      <c r="D72" s="42"/>
      <c r="E72" s="42"/>
      <c r="F72" s="42"/>
      <c r="G72" s="42"/>
      <c r="H72" s="42"/>
      <c r="I72" s="42"/>
      <c r="J72" s="42"/>
      <c r="K72" s="42"/>
      <c r="L72" s="42"/>
      <c r="M72" s="42"/>
      <c r="N72" s="42"/>
      <c r="O72" s="42"/>
      <c r="P72" s="42"/>
      <c r="Q72" s="42"/>
      <c r="R72" s="42"/>
      <c r="S72" s="42"/>
      <c r="T72" s="42"/>
      <c r="U72" s="194"/>
      <c r="V72" s="42"/>
      <c r="W72" s="42"/>
      <c r="X72" s="42"/>
      <c r="Y72" s="42"/>
      <c r="Z72" s="42"/>
      <c r="AA72" s="42"/>
      <c r="AB72" s="195"/>
      <c r="AC72" s="42"/>
      <c r="AD72" s="42"/>
      <c r="AE72" s="195"/>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c r="BM72" s="42"/>
      <c r="BN72" s="42"/>
      <c r="BO72" s="42"/>
      <c r="BP72" s="42"/>
      <c r="BQ72" s="42"/>
      <c r="BR72" s="42"/>
      <c r="BS72" s="42"/>
      <c r="BT72" s="42"/>
      <c r="BU72" s="42"/>
      <c r="BV72" s="42"/>
      <c r="BW72" s="42"/>
      <c r="BX72" s="42"/>
      <c r="BY72" s="42"/>
      <c r="BZ72" s="42"/>
      <c r="CA72" s="42"/>
      <c r="CB72" s="42"/>
      <c r="CC72" s="42"/>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2"/>
      <c r="DR72" s="42"/>
      <c r="DS72" s="42"/>
      <c r="DT72" s="42"/>
      <c r="DU72" s="42"/>
      <c r="DV72" s="42"/>
      <c r="DW72" s="42"/>
      <c r="DX72" s="42"/>
      <c r="DY72" s="42"/>
      <c r="DZ72" s="42"/>
      <c r="EA72" s="42"/>
      <c r="EB72" s="42"/>
      <c r="EC72" s="42"/>
      <c r="ED72" s="42"/>
      <c r="EE72" s="42"/>
      <c r="EF72" s="42"/>
      <c r="EG72" s="42"/>
      <c r="EH72" s="42"/>
      <c r="EI72" s="42"/>
      <c r="EJ72" s="42"/>
      <c r="EK72" s="42"/>
      <c r="EL72" s="42"/>
      <c r="EM72" s="42"/>
      <c r="EN72" s="42"/>
      <c r="EO72" s="42"/>
      <c r="EP72" s="42"/>
      <c r="EQ72" s="42"/>
      <c r="ER72" s="42"/>
      <c r="ES72" s="42"/>
      <c r="ET72" s="42"/>
      <c r="EU72" s="42"/>
      <c r="EV72" s="42"/>
      <c r="EW72" s="42"/>
      <c r="EX72" s="42"/>
      <c r="EY72" s="42"/>
      <c r="EZ72" s="42"/>
      <c r="FA72" s="42"/>
      <c r="FB72" s="42"/>
      <c r="FC72" s="42"/>
      <c r="FD72" s="42"/>
      <c r="FE72" s="42"/>
      <c r="FF72" s="42"/>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row>
    <row r="73" spans="1:256" ht="13.8" x14ac:dyDescent="0.3">
      <c r="A73" s="42"/>
      <c r="B73" s="42"/>
      <c r="C73" s="42"/>
      <c r="D73" s="42"/>
      <c r="E73" s="42"/>
      <c r="F73" s="42"/>
      <c r="G73" s="42"/>
      <c r="H73" s="42"/>
      <c r="I73" s="42"/>
      <c r="J73" s="42"/>
      <c r="K73" s="42"/>
      <c r="L73" s="42"/>
      <c r="M73" s="42"/>
      <c r="N73" s="42"/>
      <c r="O73" s="42"/>
      <c r="P73" s="42"/>
      <c r="Q73" s="42"/>
      <c r="R73" s="42"/>
      <c r="S73" s="42"/>
      <c r="T73" s="42"/>
      <c r="U73" s="194"/>
      <c r="V73" s="42"/>
      <c r="W73" s="42"/>
      <c r="X73" s="42"/>
      <c r="Y73" s="42"/>
      <c r="Z73" s="42"/>
      <c r="AA73" s="42"/>
      <c r="AB73" s="195"/>
      <c r="AC73" s="42"/>
      <c r="AD73" s="42"/>
      <c r="AE73" s="195"/>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c r="BE73" s="42"/>
      <c r="BF73" s="42"/>
      <c r="BG73" s="42"/>
      <c r="BH73" s="42"/>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c r="DX73" s="42"/>
      <c r="DY73" s="42"/>
      <c r="DZ73" s="42"/>
      <c r="EA73" s="42"/>
      <c r="EB73" s="42"/>
      <c r="EC73" s="42"/>
      <c r="ED73" s="42"/>
      <c r="EE73" s="42"/>
      <c r="EF73" s="42"/>
      <c r="EG73" s="42"/>
      <c r="EH73" s="42"/>
      <c r="EI73" s="42"/>
      <c r="EJ73" s="42"/>
      <c r="EK73" s="42"/>
      <c r="EL73" s="42"/>
      <c r="EM73" s="42"/>
      <c r="EN73" s="42"/>
      <c r="EO73" s="42"/>
      <c r="EP73" s="42"/>
      <c r="EQ73" s="42"/>
      <c r="ER73" s="42"/>
      <c r="ES73" s="42"/>
      <c r="ET73" s="42"/>
      <c r="EU73" s="42"/>
      <c r="EV73" s="42"/>
      <c r="EW73" s="42"/>
      <c r="EX73" s="42"/>
      <c r="EY73" s="42"/>
      <c r="EZ73" s="42"/>
      <c r="FA73" s="42"/>
      <c r="FB73" s="42"/>
      <c r="FC73" s="42"/>
      <c r="FD73" s="42"/>
      <c r="FE73" s="42"/>
      <c r="FF73" s="42"/>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row>
    <row r="74" spans="1:256" ht="13.8" x14ac:dyDescent="0.3">
      <c r="A74" s="42"/>
      <c r="B74" s="42"/>
      <c r="C74" s="42"/>
      <c r="D74" s="42"/>
      <c r="E74" s="42"/>
      <c r="F74" s="42"/>
      <c r="G74" s="42"/>
      <c r="H74" s="42"/>
      <c r="I74" s="42"/>
      <c r="J74" s="42"/>
      <c r="K74" s="42"/>
      <c r="L74" s="42"/>
      <c r="M74" s="42"/>
      <c r="N74" s="42"/>
      <c r="O74" s="42"/>
      <c r="P74" s="42"/>
      <c r="Q74" s="42"/>
      <c r="R74" s="42"/>
      <c r="S74" s="42"/>
      <c r="T74" s="42"/>
      <c r="U74" s="194"/>
      <c r="V74" s="42"/>
      <c r="W74" s="42"/>
      <c r="X74" s="42"/>
      <c r="Y74" s="42"/>
      <c r="Z74" s="42"/>
      <c r="AA74" s="42"/>
      <c r="AB74" s="195"/>
      <c r="AC74" s="42"/>
      <c r="AD74" s="42"/>
      <c r="AE74" s="195"/>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2"/>
      <c r="DD74" s="42"/>
      <c r="DE74" s="42"/>
      <c r="DF74" s="42"/>
      <c r="DG74" s="42"/>
      <c r="DH74" s="42"/>
      <c r="DI74" s="42"/>
      <c r="DJ74" s="42"/>
      <c r="DK74" s="42"/>
      <c r="DL74" s="42"/>
      <c r="DM74" s="42"/>
      <c r="DN74" s="42"/>
      <c r="DO74" s="42"/>
      <c r="DP74" s="42"/>
      <c r="DQ74" s="42"/>
      <c r="DR74" s="42"/>
      <c r="DS74" s="42"/>
      <c r="DT74" s="42"/>
      <c r="DU74" s="42"/>
      <c r="DV74" s="42"/>
      <c r="DW74" s="42"/>
      <c r="DX74" s="42"/>
      <c r="DY74" s="42"/>
      <c r="DZ74" s="42"/>
      <c r="EA74" s="42"/>
      <c r="EB74" s="42"/>
      <c r="EC74" s="42"/>
      <c r="ED74" s="42"/>
      <c r="EE74" s="42"/>
      <c r="EF74" s="42"/>
      <c r="EG74" s="42"/>
      <c r="EH74" s="42"/>
      <c r="EI74" s="42"/>
      <c r="EJ74" s="42"/>
      <c r="EK74" s="42"/>
      <c r="EL74" s="42"/>
      <c r="EM74" s="42"/>
      <c r="EN74" s="42"/>
      <c r="EO74" s="42"/>
      <c r="EP74" s="42"/>
      <c r="EQ74" s="42"/>
      <c r="ER74" s="42"/>
      <c r="ES74" s="42"/>
      <c r="ET74" s="42"/>
      <c r="EU74" s="42"/>
      <c r="EV74" s="42"/>
      <c r="EW74" s="42"/>
      <c r="EX74" s="42"/>
      <c r="EY74" s="42"/>
      <c r="EZ74" s="42"/>
      <c r="FA74" s="42"/>
      <c r="FB74" s="42"/>
      <c r="FC74" s="42"/>
      <c r="FD74" s="42"/>
      <c r="FE74" s="42"/>
      <c r="FF74" s="42"/>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row>
    <row r="75" spans="1:256" ht="13.8" x14ac:dyDescent="0.3">
      <c r="A75" s="42"/>
      <c r="B75" s="42"/>
      <c r="C75" s="42"/>
      <c r="D75" s="42"/>
      <c r="E75" s="42"/>
      <c r="F75" s="42"/>
      <c r="G75" s="42"/>
      <c r="H75" s="42"/>
      <c r="I75" s="42"/>
      <c r="J75" s="42"/>
      <c r="K75" s="42"/>
      <c r="L75" s="42"/>
      <c r="M75" s="42"/>
      <c r="N75" s="42"/>
      <c r="O75" s="42"/>
      <c r="P75" s="42"/>
      <c r="Q75" s="42"/>
      <c r="R75" s="42"/>
      <c r="S75" s="42"/>
      <c r="T75" s="42"/>
      <c r="U75" s="194"/>
      <c r="V75" s="42"/>
      <c r="W75" s="42"/>
      <c r="X75" s="42"/>
      <c r="Y75" s="42"/>
      <c r="Z75" s="42"/>
      <c r="AA75" s="42"/>
      <c r="AB75" s="195"/>
      <c r="AC75" s="42"/>
      <c r="AD75" s="42"/>
      <c r="AE75" s="195"/>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2"/>
      <c r="DR75" s="42"/>
      <c r="DS75" s="42"/>
      <c r="DT75" s="42"/>
      <c r="DU75" s="42"/>
      <c r="DV75" s="42"/>
      <c r="DW75" s="42"/>
      <c r="DX75" s="42"/>
      <c r="DY75" s="42"/>
      <c r="DZ75" s="42"/>
      <c r="EA75" s="42"/>
      <c r="EB75" s="42"/>
      <c r="EC75" s="42"/>
      <c r="ED75" s="42"/>
      <c r="EE75" s="42"/>
      <c r="EF75" s="42"/>
      <c r="EG75" s="42"/>
      <c r="EH75" s="42"/>
      <c r="EI75" s="42"/>
      <c r="EJ75" s="42"/>
      <c r="EK75" s="42"/>
      <c r="EL75" s="42"/>
      <c r="EM75" s="42"/>
      <c r="EN75" s="42"/>
      <c r="EO75" s="42"/>
      <c r="EP75" s="42"/>
      <c r="EQ75" s="42"/>
      <c r="ER75" s="42"/>
      <c r="ES75" s="42"/>
      <c r="ET75" s="42"/>
      <c r="EU75" s="42"/>
      <c r="EV75" s="42"/>
      <c r="EW75" s="42"/>
      <c r="EX75" s="42"/>
      <c r="EY75" s="42"/>
      <c r="EZ75" s="42"/>
      <c r="FA75" s="42"/>
      <c r="FB75" s="42"/>
      <c r="FC75" s="42"/>
      <c r="FD75" s="42"/>
      <c r="FE75" s="42"/>
      <c r="FF75" s="42"/>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row>
    <row r="76" spans="1:256" ht="13.8" x14ac:dyDescent="0.3">
      <c r="A76" s="42"/>
      <c r="B76" s="42"/>
      <c r="C76" s="42"/>
      <c r="D76" s="42"/>
      <c r="E76" s="42"/>
      <c r="F76" s="42"/>
      <c r="G76" s="42"/>
      <c r="H76" s="42"/>
      <c r="I76" s="42"/>
      <c r="J76" s="42"/>
      <c r="K76" s="42"/>
      <c r="L76" s="42"/>
      <c r="M76" s="42"/>
      <c r="N76" s="42"/>
      <c r="O76" s="42"/>
      <c r="P76" s="42"/>
      <c r="Q76" s="42"/>
      <c r="R76" s="42"/>
      <c r="S76" s="42"/>
      <c r="T76" s="42"/>
      <c r="U76" s="194"/>
      <c r="V76" s="42"/>
      <c r="W76" s="42"/>
      <c r="X76" s="42"/>
      <c r="Y76" s="42"/>
      <c r="Z76" s="42"/>
      <c r="AA76" s="42"/>
      <c r="AB76" s="195"/>
      <c r="AC76" s="42"/>
      <c r="AD76" s="42"/>
      <c r="AE76" s="195"/>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2"/>
      <c r="DR76" s="42"/>
      <c r="DS76" s="42"/>
      <c r="DT76" s="42"/>
      <c r="DU76" s="42"/>
      <c r="DV76" s="42"/>
      <c r="DW76" s="42"/>
      <c r="DX76" s="42"/>
      <c r="DY76" s="42"/>
      <c r="DZ76" s="42"/>
      <c r="EA76" s="42"/>
      <c r="EB76" s="42"/>
      <c r="EC76" s="42"/>
      <c r="ED76" s="42"/>
      <c r="EE76" s="42"/>
      <c r="EF76" s="42"/>
      <c r="EG76" s="42"/>
      <c r="EH76" s="42"/>
      <c r="EI76" s="42"/>
      <c r="EJ76" s="42"/>
      <c r="EK76" s="42"/>
      <c r="EL76" s="42"/>
      <c r="EM76" s="42"/>
      <c r="EN76" s="42"/>
      <c r="EO76" s="42"/>
      <c r="EP76" s="42"/>
      <c r="EQ76" s="42"/>
      <c r="ER76" s="42"/>
      <c r="ES76" s="42"/>
      <c r="ET76" s="42"/>
      <c r="EU76" s="42"/>
      <c r="EV76" s="42"/>
      <c r="EW76" s="42"/>
      <c r="EX76" s="42"/>
      <c r="EY76" s="42"/>
      <c r="EZ76" s="42"/>
      <c r="FA76" s="42"/>
      <c r="FB76" s="42"/>
      <c r="FC76" s="42"/>
      <c r="FD76" s="42"/>
      <c r="FE76" s="42"/>
      <c r="FF76" s="42"/>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row>
    <row r="77" spans="1:256" ht="13.8" x14ac:dyDescent="0.3">
      <c r="A77" s="42"/>
      <c r="B77" s="42"/>
      <c r="C77" s="42"/>
      <c r="D77" s="42"/>
      <c r="E77" s="42"/>
      <c r="F77" s="42"/>
      <c r="G77" s="42"/>
      <c r="H77" s="42"/>
      <c r="I77" s="42"/>
      <c r="J77" s="42"/>
      <c r="K77" s="42"/>
      <c r="L77" s="42"/>
      <c r="M77" s="42"/>
      <c r="N77" s="42"/>
      <c r="O77" s="42"/>
      <c r="P77" s="42"/>
      <c r="Q77" s="42"/>
      <c r="R77" s="42"/>
      <c r="S77" s="42"/>
      <c r="T77" s="42"/>
      <c r="U77" s="194"/>
      <c r="V77" s="42"/>
      <c r="W77" s="42"/>
      <c r="X77" s="42"/>
      <c r="Y77" s="42"/>
      <c r="Z77" s="42"/>
      <c r="AA77" s="42"/>
      <c r="AB77" s="195"/>
      <c r="AC77" s="42"/>
      <c r="AD77" s="42"/>
      <c r="AE77" s="195"/>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2"/>
      <c r="DR77" s="42"/>
      <c r="DS77" s="42"/>
      <c r="DT77" s="42"/>
      <c r="DU77" s="42"/>
      <c r="DV77" s="42"/>
      <c r="DW77" s="42"/>
      <c r="DX77" s="42"/>
      <c r="DY77" s="42"/>
      <c r="DZ77" s="42"/>
      <c r="EA77" s="42"/>
      <c r="EB77" s="42"/>
      <c r="EC77" s="42"/>
      <c r="ED77" s="42"/>
      <c r="EE77" s="42"/>
      <c r="EF77" s="42"/>
      <c r="EG77" s="42"/>
      <c r="EH77" s="42"/>
      <c r="EI77" s="42"/>
      <c r="EJ77" s="42"/>
      <c r="EK77" s="42"/>
      <c r="EL77" s="42"/>
      <c r="EM77" s="42"/>
      <c r="EN77" s="42"/>
      <c r="EO77" s="42"/>
      <c r="EP77" s="42"/>
      <c r="EQ77" s="42"/>
      <c r="ER77" s="42"/>
      <c r="ES77" s="42"/>
      <c r="ET77" s="42"/>
      <c r="EU77" s="42"/>
      <c r="EV77" s="42"/>
      <c r="EW77" s="42"/>
      <c r="EX77" s="42"/>
      <c r="EY77" s="42"/>
      <c r="EZ77" s="42"/>
      <c r="FA77" s="42"/>
      <c r="FB77" s="42"/>
      <c r="FC77" s="42"/>
      <c r="FD77" s="42"/>
      <c r="FE77" s="42"/>
      <c r="FF77" s="42"/>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row>
    <row r="78" spans="1:256" ht="13.8" x14ac:dyDescent="0.3">
      <c r="A78" s="42"/>
      <c r="B78" s="42"/>
      <c r="C78" s="42"/>
      <c r="D78" s="42"/>
      <c r="E78" s="42"/>
      <c r="F78" s="42"/>
      <c r="G78" s="42"/>
      <c r="H78" s="42"/>
      <c r="I78" s="42"/>
      <c r="J78" s="42"/>
      <c r="K78" s="42"/>
      <c r="L78" s="42"/>
      <c r="M78" s="42"/>
      <c r="N78" s="42"/>
      <c r="O78" s="42"/>
      <c r="P78" s="42"/>
      <c r="Q78" s="42"/>
      <c r="R78" s="42"/>
      <c r="S78" s="42"/>
      <c r="T78" s="42"/>
      <c r="U78" s="194"/>
      <c r="V78" s="42"/>
      <c r="W78" s="42"/>
      <c r="X78" s="42"/>
      <c r="Y78" s="42"/>
      <c r="Z78" s="42"/>
      <c r="AA78" s="42"/>
      <c r="AB78" s="195"/>
      <c r="AC78" s="42"/>
      <c r="AD78" s="42"/>
      <c r="AE78" s="195"/>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c r="BE78" s="42"/>
      <c r="BF78" s="42"/>
      <c r="BG78" s="42"/>
      <c r="BH78" s="42"/>
      <c r="BI78" s="42"/>
      <c r="BJ78" s="42"/>
      <c r="BK78" s="42"/>
      <c r="BL78" s="42"/>
      <c r="BM78" s="42"/>
      <c r="BN78" s="42"/>
      <c r="BO78" s="42"/>
      <c r="BP78" s="42"/>
      <c r="BQ78" s="42"/>
      <c r="BR78" s="42"/>
      <c r="BS78" s="42"/>
      <c r="BT78" s="42"/>
      <c r="BU78" s="42"/>
      <c r="BV78" s="42"/>
      <c r="BW78" s="42"/>
      <c r="BX78" s="42"/>
      <c r="BY78" s="42"/>
      <c r="BZ78" s="42"/>
      <c r="CA78" s="42"/>
      <c r="CB78" s="42"/>
      <c r="CC78" s="42"/>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2"/>
      <c r="DR78" s="42"/>
      <c r="DS78" s="42"/>
      <c r="DT78" s="42"/>
      <c r="DU78" s="42"/>
      <c r="DV78" s="42"/>
      <c r="DW78" s="42"/>
      <c r="DX78" s="42"/>
      <c r="DY78" s="42"/>
      <c r="DZ78" s="42"/>
      <c r="EA78" s="42"/>
      <c r="EB78" s="42"/>
      <c r="EC78" s="42"/>
      <c r="ED78" s="42"/>
      <c r="EE78" s="42"/>
      <c r="EF78" s="42"/>
      <c r="EG78" s="42"/>
      <c r="EH78" s="42"/>
      <c r="EI78" s="42"/>
      <c r="EJ78" s="42"/>
      <c r="EK78" s="42"/>
      <c r="EL78" s="42"/>
      <c r="EM78" s="42"/>
      <c r="EN78" s="42"/>
      <c r="EO78" s="42"/>
      <c r="EP78" s="42"/>
      <c r="EQ78" s="42"/>
      <c r="ER78" s="42"/>
      <c r="ES78" s="42"/>
      <c r="ET78" s="42"/>
      <c r="EU78" s="42"/>
      <c r="EV78" s="42"/>
      <c r="EW78" s="42"/>
      <c r="EX78" s="42"/>
      <c r="EY78" s="42"/>
      <c r="EZ78" s="42"/>
      <c r="FA78" s="42"/>
      <c r="FB78" s="42"/>
      <c r="FC78" s="42"/>
      <c r="FD78" s="42"/>
      <c r="FE78" s="42"/>
      <c r="FF78" s="42"/>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row>
    <row r="79" spans="1:256" ht="13.8" x14ac:dyDescent="0.3">
      <c r="A79" s="42"/>
      <c r="B79" s="42"/>
      <c r="C79" s="42"/>
      <c r="D79" s="42"/>
      <c r="E79" s="42"/>
      <c r="F79" s="42"/>
      <c r="G79" s="42"/>
      <c r="H79" s="42"/>
      <c r="I79" s="42"/>
      <c r="J79" s="42"/>
      <c r="K79" s="42"/>
      <c r="L79" s="42"/>
      <c r="M79" s="42"/>
      <c r="N79" s="42"/>
      <c r="O79" s="42"/>
      <c r="P79" s="42"/>
      <c r="Q79" s="42"/>
      <c r="R79" s="42"/>
      <c r="S79" s="42"/>
      <c r="T79" s="42"/>
      <c r="U79" s="194"/>
      <c r="V79" s="42"/>
      <c r="W79" s="42"/>
      <c r="X79" s="42"/>
      <c r="Y79" s="42"/>
      <c r="Z79" s="42"/>
      <c r="AA79" s="42"/>
      <c r="AB79" s="195"/>
      <c r="AC79" s="42"/>
      <c r="AD79" s="42"/>
      <c r="AE79" s="195"/>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c r="DX79" s="42"/>
      <c r="DY79" s="42"/>
      <c r="DZ79" s="42"/>
      <c r="EA79" s="42"/>
      <c r="EB79" s="42"/>
      <c r="EC79" s="42"/>
      <c r="ED79" s="42"/>
      <c r="EE79" s="42"/>
      <c r="EF79" s="42"/>
      <c r="EG79" s="42"/>
      <c r="EH79" s="42"/>
      <c r="EI79" s="42"/>
      <c r="EJ79" s="42"/>
      <c r="EK79" s="42"/>
      <c r="EL79" s="42"/>
      <c r="EM79" s="42"/>
      <c r="EN79" s="42"/>
      <c r="EO79" s="42"/>
      <c r="EP79" s="42"/>
      <c r="EQ79" s="42"/>
      <c r="ER79" s="42"/>
      <c r="ES79" s="42"/>
      <c r="ET79" s="42"/>
      <c r="EU79" s="42"/>
      <c r="EV79" s="42"/>
      <c r="EW79" s="42"/>
      <c r="EX79" s="42"/>
      <c r="EY79" s="42"/>
      <c r="EZ79" s="42"/>
      <c r="FA79" s="42"/>
      <c r="FB79" s="42"/>
      <c r="FC79" s="42"/>
      <c r="FD79" s="42"/>
      <c r="FE79" s="42"/>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row>
    <row r="80" spans="1:256" ht="13.8" x14ac:dyDescent="0.3">
      <c r="A80" s="42"/>
      <c r="B80" s="42"/>
      <c r="C80" s="42"/>
      <c r="D80" s="42"/>
      <c r="E80" s="42"/>
      <c r="F80" s="42"/>
      <c r="G80" s="42"/>
      <c r="H80" s="42"/>
      <c r="I80" s="42"/>
      <c r="J80" s="42"/>
      <c r="K80" s="42"/>
      <c r="L80" s="42"/>
      <c r="M80" s="42"/>
      <c r="N80" s="42"/>
      <c r="O80" s="42"/>
      <c r="P80" s="42"/>
      <c r="Q80" s="42"/>
      <c r="R80" s="42"/>
      <c r="S80" s="42"/>
      <c r="T80" s="42"/>
      <c r="U80" s="194"/>
      <c r="V80" s="42"/>
      <c r="W80" s="42"/>
      <c r="X80" s="42"/>
      <c r="Y80" s="42"/>
      <c r="Z80" s="42"/>
      <c r="AA80" s="42"/>
      <c r="AB80" s="195"/>
      <c r="AC80" s="42"/>
      <c r="AD80" s="42"/>
      <c r="AE80" s="195"/>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2"/>
      <c r="BE80" s="42"/>
      <c r="BF80" s="42"/>
      <c r="BG80" s="42"/>
      <c r="BH80" s="42"/>
      <c r="BI80" s="42"/>
      <c r="BJ80" s="42"/>
      <c r="BK80" s="42"/>
      <c r="BL80" s="42"/>
      <c r="BM80" s="42"/>
      <c r="BN80" s="42"/>
      <c r="BO80" s="42"/>
      <c r="BP80" s="42"/>
      <c r="BQ80" s="42"/>
      <c r="BR80" s="42"/>
      <c r="BS80" s="42"/>
      <c r="BT80" s="42"/>
      <c r="BU80" s="42"/>
      <c r="BV80" s="42"/>
      <c r="BW80" s="42"/>
      <c r="BX80" s="42"/>
      <c r="BY80" s="42"/>
      <c r="BZ80" s="42"/>
      <c r="CA80" s="42"/>
      <c r="CB80" s="42"/>
      <c r="CC80" s="42"/>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2"/>
      <c r="DR80" s="42"/>
      <c r="DS80" s="42"/>
      <c r="DT80" s="42"/>
      <c r="DU80" s="42"/>
      <c r="DV80" s="42"/>
      <c r="DW80" s="42"/>
      <c r="DX80" s="42"/>
      <c r="DY80" s="42"/>
      <c r="DZ80" s="42"/>
      <c r="EA80" s="42"/>
      <c r="EB80" s="42"/>
      <c r="EC80" s="42"/>
      <c r="ED80" s="42"/>
      <c r="EE80" s="42"/>
      <c r="EF80" s="42"/>
      <c r="EG80" s="42"/>
      <c r="EH80" s="42"/>
      <c r="EI80" s="42"/>
      <c r="EJ80" s="42"/>
      <c r="EK80" s="42"/>
      <c r="EL80" s="42"/>
      <c r="EM80" s="42"/>
      <c r="EN80" s="42"/>
      <c r="EO80" s="42"/>
      <c r="EP80" s="42"/>
      <c r="EQ80" s="42"/>
      <c r="ER80" s="42"/>
      <c r="ES80" s="42"/>
      <c r="ET80" s="42"/>
      <c r="EU80" s="42"/>
      <c r="EV80" s="42"/>
      <c r="EW80" s="42"/>
      <c r="EX80" s="42"/>
      <c r="EY80" s="42"/>
      <c r="EZ80" s="42"/>
      <c r="FA80" s="42"/>
      <c r="FB80" s="42"/>
      <c r="FC80" s="42"/>
      <c r="FD80" s="42"/>
      <c r="FE80" s="42"/>
      <c r="FF80" s="42"/>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row>
    <row r="81" spans="1:256" ht="13.8" x14ac:dyDescent="0.3">
      <c r="A81" s="42"/>
      <c r="B81" s="42"/>
      <c r="C81" s="42"/>
      <c r="D81" s="42"/>
      <c r="E81" s="42"/>
      <c r="F81" s="42"/>
      <c r="G81" s="42"/>
      <c r="H81" s="42"/>
      <c r="I81" s="42"/>
      <c r="J81" s="42"/>
      <c r="K81" s="42"/>
      <c r="L81" s="42"/>
      <c r="M81" s="42"/>
      <c r="N81" s="42"/>
      <c r="O81" s="42"/>
      <c r="P81" s="42"/>
      <c r="Q81" s="42"/>
      <c r="R81" s="42"/>
      <c r="S81" s="42"/>
      <c r="T81" s="42"/>
      <c r="U81" s="194"/>
      <c r="V81" s="42"/>
      <c r="W81" s="42"/>
      <c r="X81" s="42"/>
      <c r="Y81" s="42"/>
      <c r="Z81" s="42"/>
      <c r="AA81" s="42"/>
      <c r="AB81" s="195"/>
      <c r="AC81" s="42"/>
      <c r="AD81" s="42"/>
      <c r="AE81" s="195"/>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2"/>
      <c r="BE81" s="42"/>
      <c r="BF81" s="42"/>
      <c r="BG81" s="42"/>
      <c r="BH81" s="42"/>
      <c r="BI81" s="42"/>
      <c r="BJ81" s="42"/>
      <c r="BK81" s="42"/>
      <c r="BL81" s="42"/>
      <c r="BM81" s="42"/>
      <c r="BN81" s="42"/>
      <c r="BO81" s="42"/>
      <c r="BP81" s="42"/>
      <c r="BQ81" s="42"/>
      <c r="BR81" s="42"/>
      <c r="BS81" s="42"/>
      <c r="BT81" s="42"/>
      <c r="BU81" s="42"/>
      <c r="BV81" s="42"/>
      <c r="BW81" s="42"/>
      <c r="BX81" s="42"/>
      <c r="BY81" s="42"/>
      <c r="BZ81" s="42"/>
      <c r="CA81" s="42"/>
      <c r="CB81" s="42"/>
      <c r="CC81" s="42"/>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2"/>
      <c r="DR81" s="42"/>
      <c r="DS81" s="42"/>
      <c r="DT81" s="42"/>
      <c r="DU81" s="42"/>
      <c r="DV81" s="42"/>
      <c r="DW81" s="42"/>
      <c r="DX81" s="42"/>
      <c r="DY81" s="42"/>
      <c r="DZ81" s="42"/>
      <c r="EA81" s="42"/>
      <c r="EB81" s="42"/>
      <c r="EC81" s="42"/>
      <c r="ED81" s="42"/>
      <c r="EE81" s="42"/>
      <c r="EF81" s="42"/>
      <c r="EG81" s="42"/>
      <c r="EH81" s="42"/>
      <c r="EI81" s="42"/>
      <c r="EJ81" s="42"/>
      <c r="EK81" s="42"/>
      <c r="EL81" s="42"/>
      <c r="EM81" s="42"/>
      <c r="EN81" s="42"/>
      <c r="EO81" s="42"/>
      <c r="EP81" s="42"/>
      <c r="EQ81" s="42"/>
      <c r="ER81" s="42"/>
      <c r="ES81" s="42"/>
      <c r="ET81" s="42"/>
      <c r="EU81" s="42"/>
      <c r="EV81" s="42"/>
      <c r="EW81" s="42"/>
      <c r="EX81" s="42"/>
      <c r="EY81" s="42"/>
      <c r="EZ81" s="42"/>
      <c r="FA81" s="42"/>
      <c r="FB81" s="42"/>
      <c r="FC81" s="42"/>
      <c r="FD81" s="42"/>
      <c r="FE81" s="42"/>
      <c r="FF81" s="42"/>
      <c r="FG81" s="42"/>
      <c r="FH81" s="42"/>
      <c r="FI81" s="42"/>
      <c r="FJ81" s="42"/>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row>
    <row r="82" spans="1:256" ht="13.8" x14ac:dyDescent="0.3">
      <c r="A82" s="42"/>
      <c r="B82" s="42"/>
      <c r="C82" s="42"/>
      <c r="D82" s="42"/>
      <c r="E82" s="42"/>
      <c r="F82" s="42"/>
      <c r="G82" s="42"/>
      <c r="H82" s="42"/>
      <c r="I82" s="42"/>
      <c r="J82" s="42"/>
      <c r="K82" s="42"/>
      <c r="L82" s="42"/>
      <c r="M82" s="42"/>
      <c r="N82" s="42"/>
      <c r="O82" s="42"/>
      <c r="P82" s="42"/>
      <c r="Q82" s="42"/>
      <c r="R82" s="42"/>
      <c r="S82" s="42"/>
      <c r="T82" s="42"/>
      <c r="U82" s="194"/>
      <c r="V82" s="42"/>
      <c r="W82" s="42"/>
      <c r="X82" s="42"/>
      <c r="Y82" s="42"/>
      <c r="Z82" s="42"/>
      <c r="AA82" s="42"/>
      <c r="AB82" s="195"/>
      <c r="AC82" s="42"/>
      <c r="AD82" s="42"/>
      <c r="AE82" s="195"/>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2"/>
      <c r="BE82" s="42"/>
      <c r="BF82" s="42"/>
      <c r="BG82" s="42"/>
      <c r="BH82" s="42"/>
      <c r="BI82" s="42"/>
      <c r="BJ82" s="42"/>
      <c r="BK82" s="42"/>
      <c r="BL82" s="42"/>
      <c r="BM82" s="42"/>
      <c r="BN82" s="42"/>
      <c r="BO82" s="42"/>
      <c r="BP82" s="42"/>
      <c r="BQ82" s="42"/>
      <c r="BR82" s="42"/>
      <c r="BS82" s="42"/>
      <c r="BT82" s="42"/>
      <c r="BU82" s="42"/>
      <c r="BV82" s="42"/>
      <c r="BW82" s="42"/>
      <c r="BX82" s="42"/>
      <c r="BY82" s="42"/>
      <c r="BZ82" s="42"/>
      <c r="CA82" s="42"/>
      <c r="CB82" s="42"/>
      <c r="CC82" s="42"/>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2"/>
      <c r="DR82" s="42"/>
      <c r="DS82" s="42"/>
      <c r="DT82" s="42"/>
      <c r="DU82" s="42"/>
      <c r="DV82" s="42"/>
      <c r="DW82" s="42"/>
      <c r="DX82" s="42"/>
      <c r="DY82" s="42"/>
      <c r="DZ82" s="42"/>
      <c r="EA82" s="42"/>
      <c r="EB82" s="42"/>
      <c r="EC82" s="42"/>
      <c r="ED82" s="42"/>
      <c r="EE82" s="42"/>
      <c r="EF82" s="42"/>
      <c r="EG82" s="42"/>
      <c r="EH82" s="42"/>
      <c r="EI82" s="42"/>
      <c r="EJ82" s="42"/>
      <c r="EK82" s="42"/>
      <c r="EL82" s="42"/>
      <c r="EM82" s="42"/>
      <c r="EN82" s="42"/>
      <c r="EO82" s="42"/>
      <c r="EP82" s="42"/>
      <c r="EQ82" s="42"/>
      <c r="ER82" s="42"/>
      <c r="ES82" s="42"/>
      <c r="ET82" s="42"/>
      <c r="EU82" s="42"/>
      <c r="EV82" s="42"/>
      <c r="EW82" s="42"/>
      <c r="EX82" s="42"/>
      <c r="EY82" s="42"/>
      <c r="EZ82" s="42"/>
      <c r="FA82" s="42"/>
      <c r="FB82" s="42"/>
      <c r="FC82" s="42"/>
      <c r="FD82" s="42"/>
      <c r="FE82" s="42"/>
      <c r="FF82" s="42"/>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row>
    <row r="83" spans="1:256" ht="13.8" x14ac:dyDescent="0.3">
      <c r="A83" s="42"/>
      <c r="B83" s="42"/>
      <c r="C83" s="42"/>
      <c r="D83" s="42"/>
      <c r="E83" s="42"/>
      <c r="F83" s="42"/>
      <c r="G83" s="42"/>
      <c r="H83" s="42"/>
      <c r="I83" s="42"/>
      <c r="J83" s="42"/>
      <c r="K83" s="42"/>
      <c r="L83" s="42"/>
      <c r="M83" s="42"/>
      <c r="N83" s="42"/>
      <c r="O83" s="42"/>
      <c r="P83" s="42"/>
      <c r="Q83" s="42"/>
      <c r="R83" s="42"/>
      <c r="S83" s="42"/>
      <c r="T83" s="42"/>
      <c r="U83" s="194"/>
      <c r="V83" s="42"/>
      <c r="W83" s="42"/>
      <c r="X83" s="42"/>
      <c r="Y83" s="42"/>
      <c r="Z83" s="42"/>
      <c r="AA83" s="42"/>
      <c r="AB83" s="195"/>
      <c r="AC83" s="42"/>
      <c r="AD83" s="42"/>
      <c r="AE83" s="195"/>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2"/>
      <c r="DR83" s="42"/>
      <c r="DS83" s="42"/>
      <c r="DT83" s="42"/>
      <c r="DU83" s="42"/>
      <c r="DV83" s="42"/>
      <c r="DW83" s="42"/>
      <c r="DX83" s="42"/>
      <c r="DY83" s="42"/>
      <c r="DZ83" s="42"/>
      <c r="EA83" s="42"/>
      <c r="EB83" s="42"/>
      <c r="EC83" s="42"/>
      <c r="ED83" s="42"/>
      <c r="EE83" s="42"/>
      <c r="EF83" s="42"/>
      <c r="EG83" s="42"/>
      <c r="EH83" s="42"/>
      <c r="EI83" s="42"/>
      <c r="EJ83" s="42"/>
      <c r="EK83" s="42"/>
      <c r="EL83" s="42"/>
      <c r="EM83" s="42"/>
      <c r="EN83" s="42"/>
      <c r="EO83" s="42"/>
      <c r="EP83" s="42"/>
      <c r="EQ83" s="42"/>
      <c r="ER83" s="42"/>
      <c r="ES83" s="42"/>
      <c r="ET83" s="42"/>
      <c r="EU83" s="42"/>
      <c r="EV83" s="42"/>
      <c r="EW83" s="42"/>
      <c r="EX83" s="42"/>
      <c r="EY83" s="42"/>
      <c r="EZ83" s="42"/>
      <c r="FA83" s="42"/>
      <c r="FB83" s="42"/>
      <c r="FC83" s="42"/>
      <c r="FD83" s="42"/>
      <c r="FE83" s="42"/>
      <c r="FF83" s="42"/>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row>
    <row r="84" spans="1:256" ht="13.8" x14ac:dyDescent="0.3">
      <c r="A84" s="42"/>
      <c r="B84" s="42"/>
      <c r="C84" s="42"/>
      <c r="D84" s="42"/>
      <c r="E84" s="42"/>
      <c r="F84" s="42"/>
      <c r="G84" s="42"/>
      <c r="H84" s="42"/>
      <c r="I84" s="42"/>
      <c r="J84" s="42"/>
      <c r="K84" s="42"/>
      <c r="L84" s="42"/>
      <c r="M84" s="42"/>
      <c r="N84" s="42"/>
      <c r="O84" s="42"/>
      <c r="P84" s="42"/>
      <c r="Q84" s="42"/>
      <c r="R84" s="42"/>
      <c r="S84" s="42"/>
      <c r="T84" s="42"/>
      <c r="U84" s="194"/>
      <c r="V84" s="42"/>
      <c r="W84" s="42"/>
      <c r="X84" s="42"/>
      <c r="Y84" s="42"/>
      <c r="Z84" s="42"/>
      <c r="AA84" s="42"/>
      <c r="AB84" s="195"/>
      <c r="AC84" s="42"/>
      <c r="AD84" s="42"/>
      <c r="AE84" s="195"/>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2"/>
      <c r="DR84" s="42"/>
      <c r="DS84" s="42"/>
      <c r="DT84" s="42"/>
      <c r="DU84" s="42"/>
      <c r="DV84" s="42"/>
      <c r="DW84" s="42"/>
      <c r="DX84" s="42"/>
      <c r="DY84" s="42"/>
      <c r="DZ84" s="42"/>
      <c r="EA84" s="42"/>
      <c r="EB84" s="42"/>
      <c r="EC84" s="42"/>
      <c r="ED84" s="42"/>
      <c r="EE84" s="42"/>
      <c r="EF84" s="42"/>
      <c r="EG84" s="42"/>
      <c r="EH84" s="42"/>
      <c r="EI84" s="42"/>
      <c r="EJ84" s="42"/>
      <c r="EK84" s="42"/>
      <c r="EL84" s="42"/>
      <c r="EM84" s="42"/>
      <c r="EN84" s="42"/>
      <c r="EO84" s="42"/>
      <c r="EP84" s="42"/>
      <c r="EQ84" s="42"/>
      <c r="ER84" s="42"/>
      <c r="ES84" s="42"/>
      <c r="ET84" s="42"/>
      <c r="EU84" s="42"/>
      <c r="EV84" s="42"/>
      <c r="EW84" s="42"/>
      <c r="EX84" s="42"/>
      <c r="EY84" s="42"/>
      <c r="EZ84" s="42"/>
      <c r="FA84" s="42"/>
      <c r="FB84" s="42"/>
      <c r="FC84" s="42"/>
      <c r="FD84" s="42"/>
      <c r="FE84" s="42"/>
      <c r="FF84" s="42"/>
      <c r="FG84" s="42"/>
      <c r="FH84" s="42"/>
      <c r="FI84" s="42"/>
      <c r="FJ84" s="42"/>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row>
    <row r="85" spans="1:256" ht="13.8" x14ac:dyDescent="0.3">
      <c r="A85" s="42"/>
      <c r="B85" s="42"/>
      <c r="C85" s="42"/>
      <c r="D85" s="42"/>
      <c r="E85" s="42"/>
      <c r="F85" s="42"/>
      <c r="G85" s="42"/>
      <c r="H85" s="42"/>
      <c r="I85" s="42"/>
      <c r="J85" s="42"/>
      <c r="K85" s="42"/>
      <c r="L85" s="42"/>
      <c r="M85" s="42"/>
      <c r="N85" s="42"/>
      <c r="O85" s="42"/>
      <c r="P85" s="42"/>
      <c r="Q85" s="42"/>
      <c r="R85" s="42"/>
      <c r="S85" s="42"/>
      <c r="T85" s="42"/>
      <c r="U85" s="194"/>
      <c r="V85" s="42"/>
      <c r="W85" s="42"/>
      <c r="X85" s="42"/>
      <c r="Y85" s="42"/>
      <c r="Z85" s="42"/>
      <c r="AA85" s="42"/>
      <c r="AB85" s="195"/>
      <c r="AC85" s="42"/>
      <c r="AD85" s="42"/>
      <c r="AE85" s="195"/>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c r="BJ85" s="42"/>
      <c r="BK85" s="42"/>
      <c r="BL85" s="42"/>
      <c r="BM85" s="42"/>
      <c r="BN85" s="42"/>
      <c r="BO85" s="42"/>
      <c r="BP85" s="42"/>
      <c r="BQ85" s="42"/>
      <c r="BR85" s="42"/>
      <c r="BS85" s="42"/>
      <c r="BT85" s="42"/>
      <c r="BU85" s="42"/>
      <c r="BV85" s="42"/>
      <c r="BW85" s="42"/>
      <c r="BX85" s="42"/>
      <c r="BY85" s="42"/>
      <c r="BZ85" s="42"/>
      <c r="CA85" s="42"/>
      <c r="CB85" s="42"/>
      <c r="CC85" s="42"/>
      <c r="CD85" s="42"/>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2"/>
      <c r="DD85" s="42"/>
      <c r="DE85" s="42"/>
      <c r="DF85" s="42"/>
      <c r="DG85" s="42"/>
      <c r="DH85" s="42"/>
      <c r="DI85" s="42"/>
      <c r="DJ85" s="42"/>
      <c r="DK85" s="42"/>
      <c r="DL85" s="42"/>
      <c r="DM85" s="42"/>
      <c r="DN85" s="42"/>
      <c r="DO85" s="42"/>
      <c r="DP85" s="42"/>
      <c r="DQ85" s="42"/>
      <c r="DR85" s="42"/>
      <c r="DS85" s="42"/>
      <c r="DT85" s="42"/>
      <c r="DU85" s="42"/>
      <c r="DV85" s="42"/>
      <c r="DW85" s="42"/>
      <c r="DX85" s="42"/>
      <c r="DY85" s="42"/>
      <c r="DZ85" s="42"/>
      <c r="EA85" s="42"/>
      <c r="EB85" s="42"/>
      <c r="EC85" s="42"/>
      <c r="ED85" s="42"/>
      <c r="EE85" s="42"/>
      <c r="EF85" s="42"/>
      <c r="EG85" s="42"/>
      <c r="EH85" s="42"/>
      <c r="EI85" s="42"/>
      <c r="EJ85" s="42"/>
      <c r="EK85" s="42"/>
      <c r="EL85" s="42"/>
      <c r="EM85" s="42"/>
      <c r="EN85" s="42"/>
      <c r="EO85" s="42"/>
      <c r="EP85" s="42"/>
      <c r="EQ85" s="42"/>
      <c r="ER85" s="42"/>
      <c r="ES85" s="42"/>
      <c r="ET85" s="42"/>
      <c r="EU85" s="42"/>
      <c r="EV85" s="42"/>
      <c r="EW85" s="42"/>
      <c r="EX85" s="42"/>
      <c r="EY85" s="42"/>
      <c r="EZ85" s="42"/>
      <c r="FA85" s="42"/>
      <c r="FB85" s="42"/>
      <c r="FC85" s="42"/>
      <c r="FD85" s="42"/>
      <c r="FE85" s="42"/>
      <c r="FF85" s="42"/>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row>
    <row r="86" spans="1:256" ht="13.8" x14ac:dyDescent="0.3">
      <c r="A86" s="42"/>
      <c r="B86" s="42"/>
      <c r="C86" s="42"/>
      <c r="D86" s="42"/>
      <c r="E86" s="42"/>
      <c r="F86" s="42"/>
      <c r="G86" s="42"/>
      <c r="H86" s="42"/>
      <c r="I86" s="42"/>
      <c r="J86" s="42"/>
      <c r="K86" s="42"/>
      <c r="L86" s="42"/>
      <c r="M86" s="42"/>
      <c r="N86" s="42"/>
      <c r="O86" s="42"/>
      <c r="P86" s="42"/>
      <c r="Q86" s="42"/>
      <c r="R86" s="42"/>
      <c r="S86" s="42"/>
      <c r="T86" s="42"/>
      <c r="U86" s="194"/>
      <c r="V86" s="42"/>
      <c r="W86" s="42"/>
      <c r="X86" s="42"/>
      <c r="Y86" s="42"/>
      <c r="Z86" s="42"/>
      <c r="AA86" s="42"/>
      <c r="AB86" s="195"/>
      <c r="AC86" s="42"/>
      <c r="AD86" s="42"/>
      <c r="AE86" s="195"/>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row>
    <row r="87" spans="1:256" ht="13.8" x14ac:dyDescent="0.3">
      <c r="A87" s="42"/>
      <c r="B87" s="42"/>
      <c r="C87" s="42"/>
      <c r="D87" s="42"/>
      <c r="E87" s="42"/>
      <c r="F87" s="42"/>
      <c r="G87" s="42"/>
      <c r="H87" s="42"/>
      <c r="I87" s="42"/>
      <c r="J87" s="42"/>
      <c r="K87" s="42"/>
      <c r="L87" s="42"/>
      <c r="M87" s="42"/>
      <c r="N87" s="42"/>
      <c r="O87" s="42"/>
      <c r="P87" s="42"/>
      <c r="Q87" s="42"/>
      <c r="R87" s="42"/>
      <c r="S87" s="42"/>
      <c r="T87" s="42"/>
      <c r="U87" s="194"/>
      <c r="V87" s="42"/>
      <c r="W87" s="42"/>
      <c r="X87" s="42"/>
      <c r="Y87" s="42"/>
      <c r="Z87" s="42"/>
      <c r="AA87" s="42"/>
      <c r="AB87" s="195"/>
      <c r="AC87" s="42"/>
      <c r="AD87" s="42"/>
      <c r="AE87" s="195"/>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c r="DX87" s="42"/>
      <c r="DY87" s="42"/>
      <c r="DZ87" s="42"/>
      <c r="EA87" s="42"/>
      <c r="EB87" s="42"/>
      <c r="EC87" s="42"/>
      <c r="ED87" s="42"/>
      <c r="EE87" s="42"/>
      <c r="EF87" s="42"/>
      <c r="EG87" s="42"/>
      <c r="EH87" s="42"/>
      <c r="EI87" s="42"/>
      <c r="EJ87" s="42"/>
      <c r="EK87" s="42"/>
      <c r="EL87" s="42"/>
      <c r="EM87" s="42"/>
      <c r="EN87" s="42"/>
      <c r="EO87" s="42"/>
      <c r="EP87" s="42"/>
      <c r="EQ87" s="42"/>
      <c r="ER87" s="42"/>
      <c r="ES87" s="42"/>
      <c r="ET87" s="42"/>
      <c r="EU87" s="42"/>
      <c r="EV87" s="42"/>
      <c r="EW87" s="42"/>
      <c r="EX87" s="42"/>
      <c r="EY87" s="42"/>
      <c r="EZ87" s="42"/>
      <c r="FA87" s="42"/>
      <c r="FB87" s="42"/>
      <c r="FC87" s="42"/>
      <c r="FD87" s="42"/>
      <c r="FE87" s="42"/>
      <c r="FF87" s="42"/>
      <c r="FG87" s="42"/>
      <c r="FH87" s="42"/>
      <c r="FI87" s="42"/>
      <c r="FJ87" s="42"/>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row>
    <row r="88" spans="1:256" ht="13.8" x14ac:dyDescent="0.3">
      <c r="A88" s="42"/>
      <c r="B88" s="42"/>
      <c r="C88" s="42"/>
      <c r="D88" s="42"/>
      <c r="E88" s="42"/>
      <c r="F88" s="42"/>
      <c r="G88" s="42"/>
      <c r="H88" s="42"/>
      <c r="I88" s="42"/>
      <c r="J88" s="42"/>
      <c r="K88" s="42"/>
      <c r="L88" s="42"/>
      <c r="M88" s="42"/>
      <c r="N88" s="42"/>
      <c r="O88" s="42"/>
      <c r="P88" s="42"/>
      <c r="Q88" s="42"/>
      <c r="R88" s="42"/>
      <c r="S88" s="42"/>
      <c r="T88" s="42"/>
      <c r="U88" s="194"/>
      <c r="V88" s="42"/>
      <c r="W88" s="42"/>
      <c r="X88" s="42"/>
      <c r="Y88" s="42"/>
      <c r="Z88" s="42"/>
      <c r="AA88" s="42"/>
      <c r="AB88" s="195"/>
      <c r="AC88" s="42"/>
      <c r="AD88" s="42"/>
      <c r="AE88" s="195"/>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c r="DX88" s="42"/>
      <c r="DY88" s="42"/>
      <c r="DZ88" s="42"/>
      <c r="EA88" s="42"/>
      <c r="EB88" s="42"/>
      <c r="EC88" s="42"/>
      <c r="ED88" s="42"/>
      <c r="EE88" s="42"/>
      <c r="EF88" s="42"/>
      <c r="EG88" s="42"/>
      <c r="EH88" s="42"/>
      <c r="EI88" s="42"/>
      <c r="EJ88" s="42"/>
      <c r="EK88" s="42"/>
      <c r="EL88" s="42"/>
      <c r="EM88" s="42"/>
      <c r="EN88" s="42"/>
      <c r="EO88" s="42"/>
      <c r="EP88" s="42"/>
      <c r="EQ88" s="42"/>
      <c r="ER88" s="42"/>
      <c r="ES88" s="42"/>
      <c r="ET88" s="42"/>
      <c r="EU88" s="42"/>
      <c r="EV88" s="42"/>
      <c r="EW88" s="42"/>
      <c r="EX88" s="42"/>
      <c r="EY88" s="42"/>
      <c r="EZ88" s="42"/>
      <c r="FA88" s="42"/>
      <c r="FB88" s="42"/>
      <c r="FC88" s="42"/>
      <c r="FD88" s="42"/>
      <c r="FE88" s="42"/>
      <c r="FF88" s="42"/>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row>
    <row r="89" spans="1:256" ht="13.8" x14ac:dyDescent="0.3">
      <c r="A89" s="42"/>
      <c r="B89" s="42"/>
      <c r="C89" s="42"/>
      <c r="D89" s="42"/>
      <c r="E89" s="42"/>
      <c r="F89" s="42"/>
      <c r="G89" s="42"/>
      <c r="H89" s="42"/>
      <c r="I89" s="42"/>
      <c r="J89" s="42"/>
      <c r="K89" s="42"/>
      <c r="L89" s="42"/>
      <c r="M89" s="42"/>
      <c r="N89" s="42"/>
      <c r="O89" s="42"/>
      <c r="P89" s="42"/>
      <c r="Q89" s="42"/>
      <c r="R89" s="42"/>
      <c r="S89" s="42"/>
      <c r="T89" s="42"/>
      <c r="U89" s="194"/>
      <c r="V89" s="42"/>
      <c r="W89" s="42"/>
      <c r="X89" s="42"/>
      <c r="Y89" s="42"/>
      <c r="Z89" s="42"/>
      <c r="AA89" s="42"/>
      <c r="AB89" s="195"/>
      <c r="AC89" s="42"/>
      <c r="AD89" s="42"/>
      <c r="AE89" s="195"/>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row>
    <row r="90" spans="1:256" ht="13.8" x14ac:dyDescent="0.3">
      <c r="A90" s="42"/>
      <c r="B90" s="42"/>
      <c r="C90" s="42"/>
      <c r="D90" s="42"/>
      <c r="E90" s="42"/>
      <c r="F90" s="42"/>
      <c r="G90" s="42"/>
      <c r="H90" s="42"/>
      <c r="I90" s="42"/>
      <c r="J90" s="42"/>
      <c r="K90" s="42"/>
      <c r="L90" s="42"/>
      <c r="M90" s="42"/>
      <c r="N90" s="42"/>
      <c r="O90" s="42"/>
      <c r="P90" s="42"/>
      <c r="Q90" s="42"/>
      <c r="R90" s="42"/>
      <c r="S90" s="42"/>
      <c r="T90" s="42"/>
      <c r="U90" s="194"/>
      <c r="V90" s="42"/>
      <c r="W90" s="42"/>
      <c r="X90" s="42"/>
      <c r="Y90" s="42"/>
      <c r="Z90" s="42"/>
      <c r="AA90" s="42"/>
      <c r="AB90" s="195"/>
      <c r="AC90" s="42"/>
      <c r="AD90" s="42"/>
      <c r="AE90" s="195"/>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row>
    <row r="91" spans="1:256" ht="13.8" x14ac:dyDescent="0.3">
      <c r="A91" s="42"/>
      <c r="B91" s="42"/>
      <c r="C91" s="42"/>
      <c r="D91" s="42"/>
      <c r="E91" s="42"/>
      <c r="F91" s="42"/>
      <c r="G91" s="42"/>
      <c r="H91" s="42"/>
      <c r="I91" s="42"/>
      <c r="J91" s="42"/>
      <c r="K91" s="42"/>
      <c r="L91" s="42"/>
      <c r="M91" s="42"/>
      <c r="N91" s="42"/>
      <c r="O91" s="42"/>
      <c r="P91" s="42"/>
      <c r="Q91" s="42"/>
      <c r="R91" s="42"/>
      <c r="S91" s="42"/>
      <c r="T91" s="42"/>
      <c r="U91" s="194"/>
      <c r="V91" s="42"/>
      <c r="W91" s="42"/>
      <c r="X91" s="42"/>
      <c r="Y91" s="42"/>
      <c r="Z91" s="42"/>
      <c r="AA91" s="42"/>
      <c r="AB91" s="195"/>
      <c r="AC91" s="42"/>
      <c r="AD91" s="42"/>
      <c r="AE91" s="195"/>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row>
    <row r="92" spans="1:256" ht="13.8" x14ac:dyDescent="0.3">
      <c r="A92" s="42"/>
      <c r="B92" s="42"/>
      <c r="C92" s="42"/>
      <c r="D92" s="42"/>
      <c r="E92" s="42"/>
      <c r="F92" s="42"/>
      <c r="G92" s="42"/>
      <c r="H92" s="42"/>
      <c r="I92" s="42"/>
      <c r="J92" s="42"/>
      <c r="K92" s="42"/>
      <c r="L92" s="42"/>
      <c r="M92" s="42"/>
      <c r="N92" s="42"/>
      <c r="O92" s="42"/>
      <c r="P92" s="42"/>
      <c r="Q92" s="42"/>
      <c r="R92" s="42"/>
      <c r="S92" s="42"/>
      <c r="T92" s="42"/>
      <c r="U92" s="194"/>
      <c r="V92" s="42"/>
      <c r="W92" s="42"/>
      <c r="X92" s="42"/>
      <c r="Y92" s="42"/>
      <c r="Z92" s="42"/>
      <c r="AA92" s="42"/>
      <c r="AB92" s="195"/>
      <c r="AC92" s="42"/>
      <c r="AD92" s="42"/>
      <c r="AE92" s="195"/>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row>
    <row r="93" spans="1:256" ht="13.8" x14ac:dyDescent="0.3">
      <c r="A93" s="42"/>
      <c r="B93" s="42"/>
      <c r="C93" s="42"/>
      <c r="D93" s="42"/>
      <c r="E93" s="42"/>
      <c r="F93" s="42"/>
      <c r="G93" s="42"/>
      <c r="H93" s="42"/>
      <c r="I93" s="42"/>
      <c r="J93" s="42"/>
      <c r="K93" s="42"/>
      <c r="L93" s="42"/>
      <c r="M93" s="42"/>
      <c r="N93" s="42"/>
      <c r="O93" s="42"/>
      <c r="P93" s="42"/>
      <c r="Q93" s="42"/>
      <c r="R93" s="42"/>
      <c r="S93" s="42"/>
      <c r="T93" s="42"/>
      <c r="U93" s="194"/>
      <c r="V93" s="42"/>
      <c r="W93" s="42"/>
      <c r="X93" s="42"/>
      <c r="Y93" s="42"/>
      <c r="Z93" s="42"/>
      <c r="AA93" s="42"/>
      <c r="AB93" s="195"/>
      <c r="AC93" s="42"/>
      <c r="AD93" s="42"/>
      <c r="AE93" s="195"/>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row>
    <row r="94" spans="1:256" ht="13.8" x14ac:dyDescent="0.3">
      <c r="A94" s="42"/>
      <c r="B94" s="42"/>
      <c r="C94" s="42"/>
      <c r="D94" s="42"/>
      <c r="E94" s="42"/>
      <c r="F94" s="42"/>
      <c r="G94" s="42"/>
      <c r="H94" s="42"/>
      <c r="I94" s="42"/>
      <c r="J94" s="42"/>
      <c r="K94" s="42"/>
      <c r="L94" s="42"/>
      <c r="M94" s="42"/>
      <c r="N94" s="42"/>
      <c r="O94" s="42"/>
      <c r="P94" s="42"/>
      <c r="Q94" s="42"/>
      <c r="R94" s="42"/>
      <c r="S94" s="42"/>
      <c r="T94" s="42"/>
      <c r="U94" s="194"/>
      <c r="V94" s="42"/>
      <c r="W94" s="42"/>
      <c r="X94" s="42"/>
      <c r="Y94" s="42"/>
      <c r="Z94" s="42"/>
      <c r="AA94" s="42"/>
      <c r="AB94" s="195"/>
      <c r="AC94" s="42"/>
      <c r="AD94" s="42"/>
      <c r="AE94" s="195"/>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row>
    <row r="95" spans="1:256" ht="13.8" x14ac:dyDescent="0.3">
      <c r="A95" s="42"/>
      <c r="B95" s="42"/>
      <c r="C95" s="42"/>
      <c r="D95" s="42"/>
      <c r="E95" s="42"/>
      <c r="F95" s="42"/>
      <c r="G95" s="42"/>
      <c r="H95" s="42"/>
      <c r="I95" s="42"/>
      <c r="J95" s="42"/>
      <c r="K95" s="42"/>
      <c r="L95" s="42"/>
      <c r="M95" s="42"/>
      <c r="N95" s="42"/>
      <c r="O95" s="42"/>
      <c r="P95" s="42"/>
      <c r="Q95" s="42"/>
      <c r="R95" s="42"/>
      <c r="S95" s="42"/>
      <c r="T95" s="42"/>
      <c r="U95" s="194"/>
      <c r="V95" s="42"/>
      <c r="W95" s="42"/>
      <c r="X95" s="42"/>
      <c r="Y95" s="42"/>
      <c r="Z95" s="42"/>
      <c r="AA95" s="42"/>
      <c r="AB95" s="195"/>
      <c r="AC95" s="42"/>
      <c r="AD95" s="42"/>
      <c r="AE95" s="195"/>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row>
    <row r="96" spans="1:256" ht="13.8" x14ac:dyDescent="0.3">
      <c r="A96" s="42"/>
      <c r="B96" s="42"/>
      <c r="C96" s="42"/>
      <c r="D96" s="42"/>
      <c r="E96" s="42"/>
      <c r="F96" s="42"/>
      <c r="G96" s="42"/>
      <c r="H96" s="42"/>
      <c r="I96" s="42"/>
      <c r="J96" s="42"/>
      <c r="K96" s="42"/>
      <c r="L96" s="42"/>
      <c r="M96" s="42"/>
      <c r="N96" s="42"/>
      <c r="O96" s="42"/>
      <c r="P96" s="42"/>
      <c r="Q96" s="42"/>
      <c r="R96" s="42"/>
      <c r="S96" s="42"/>
      <c r="T96" s="42"/>
      <c r="U96" s="194"/>
      <c r="V96" s="42"/>
      <c r="W96" s="42"/>
      <c r="X96" s="42"/>
      <c r="Y96" s="42"/>
      <c r="Z96" s="42"/>
      <c r="AA96" s="42"/>
      <c r="AB96" s="195"/>
      <c r="AC96" s="42"/>
      <c r="AD96" s="42"/>
      <c r="AE96" s="195"/>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row>
    <row r="97" spans="1:256" ht="13.8" x14ac:dyDescent="0.3">
      <c r="A97" s="42"/>
      <c r="B97" s="42"/>
      <c r="C97" s="42"/>
      <c r="D97" s="42"/>
      <c r="E97" s="42"/>
      <c r="F97" s="42"/>
      <c r="G97" s="42"/>
      <c r="H97" s="42"/>
      <c r="I97" s="42"/>
      <c r="J97" s="42"/>
      <c r="K97" s="42"/>
      <c r="L97" s="42"/>
      <c r="M97" s="42"/>
      <c r="N97" s="42"/>
      <c r="O97" s="42"/>
      <c r="P97" s="42"/>
      <c r="Q97" s="42"/>
      <c r="R97" s="42"/>
      <c r="S97" s="42"/>
      <c r="T97" s="42"/>
      <c r="U97" s="194"/>
      <c r="V97" s="42"/>
      <c r="W97" s="42"/>
      <c r="X97" s="42"/>
      <c r="Y97" s="42"/>
      <c r="Z97" s="42"/>
      <c r="AA97" s="42"/>
      <c r="AB97" s="195"/>
      <c r="AC97" s="42"/>
      <c r="AD97" s="42"/>
      <c r="AE97" s="195"/>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row>
    <row r="98" spans="1:256" ht="13.8" x14ac:dyDescent="0.3">
      <c r="A98" s="42"/>
      <c r="B98" s="42"/>
      <c r="C98" s="42"/>
      <c r="D98" s="42"/>
      <c r="E98" s="42"/>
      <c r="F98" s="42"/>
      <c r="G98" s="42"/>
      <c r="H98" s="42"/>
      <c r="I98" s="42"/>
      <c r="J98" s="42"/>
      <c r="K98" s="42"/>
      <c r="L98" s="42"/>
      <c r="M98" s="42"/>
      <c r="N98" s="42"/>
      <c r="O98" s="42"/>
      <c r="P98" s="42"/>
      <c r="Q98" s="42"/>
      <c r="R98" s="42"/>
      <c r="S98" s="42"/>
      <c r="T98" s="42"/>
      <c r="U98" s="194"/>
      <c r="V98" s="42"/>
      <c r="W98" s="42"/>
      <c r="X98" s="42"/>
      <c r="Y98" s="42"/>
      <c r="Z98" s="42"/>
      <c r="AA98" s="42"/>
      <c r="AB98" s="195"/>
      <c r="AC98" s="42"/>
      <c r="AD98" s="42"/>
      <c r="AE98" s="195"/>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c r="DX98" s="42"/>
      <c r="DY98" s="42"/>
      <c r="DZ98" s="42"/>
      <c r="EA98" s="42"/>
      <c r="EB98" s="42"/>
      <c r="EC98" s="42"/>
      <c r="ED98" s="42"/>
      <c r="EE98" s="42"/>
      <c r="EF98" s="42"/>
      <c r="EG98" s="42"/>
      <c r="EH98" s="42"/>
      <c r="EI98" s="42"/>
      <c r="EJ98" s="42"/>
      <c r="EK98" s="42"/>
      <c r="EL98" s="42"/>
      <c r="EM98" s="42"/>
      <c r="EN98" s="42"/>
      <c r="EO98" s="42"/>
      <c r="EP98" s="42"/>
      <c r="EQ98" s="42"/>
      <c r="ER98" s="42"/>
      <c r="ES98" s="42"/>
      <c r="ET98" s="42"/>
      <c r="EU98" s="42"/>
      <c r="EV98" s="42"/>
      <c r="EW98" s="42"/>
      <c r="EX98" s="42"/>
      <c r="EY98" s="42"/>
      <c r="EZ98" s="42"/>
      <c r="FA98" s="42"/>
      <c r="FB98" s="42"/>
      <c r="FC98" s="42"/>
      <c r="FD98" s="42"/>
      <c r="FE98" s="42"/>
      <c r="FF98" s="42"/>
      <c r="FG98" s="42"/>
      <c r="FH98" s="42"/>
      <c r="FI98" s="42"/>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row>
    <row r="99" spans="1:256" ht="13.8" x14ac:dyDescent="0.3">
      <c r="A99" s="42"/>
      <c r="B99" s="42"/>
      <c r="C99" s="42"/>
      <c r="D99" s="42"/>
      <c r="E99" s="42"/>
      <c r="F99" s="42"/>
      <c r="G99" s="42"/>
      <c r="H99" s="42"/>
      <c r="I99" s="42"/>
      <c r="J99" s="42"/>
      <c r="K99" s="42"/>
      <c r="L99" s="42"/>
      <c r="M99" s="42"/>
      <c r="N99" s="42"/>
      <c r="O99" s="42"/>
      <c r="P99" s="42"/>
      <c r="Q99" s="42"/>
      <c r="R99" s="42"/>
      <c r="S99" s="42"/>
      <c r="T99" s="42"/>
      <c r="U99" s="194"/>
      <c r="V99" s="42"/>
      <c r="W99" s="42"/>
      <c r="X99" s="42"/>
      <c r="Y99" s="42"/>
      <c r="Z99" s="42"/>
      <c r="AA99" s="42"/>
      <c r="AB99" s="195"/>
      <c r="AC99" s="42"/>
      <c r="AD99" s="42"/>
      <c r="AE99" s="195"/>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c r="DX99" s="42"/>
      <c r="DY99" s="42"/>
      <c r="DZ99" s="42"/>
      <c r="EA99" s="42"/>
      <c r="EB99" s="42"/>
      <c r="EC99" s="42"/>
      <c r="ED99" s="42"/>
      <c r="EE99" s="42"/>
      <c r="EF99" s="42"/>
      <c r="EG99" s="42"/>
      <c r="EH99" s="42"/>
      <c r="EI99" s="42"/>
      <c r="EJ99" s="42"/>
      <c r="EK99" s="42"/>
      <c r="EL99" s="42"/>
      <c r="EM99" s="42"/>
      <c r="EN99" s="42"/>
      <c r="EO99" s="42"/>
      <c r="EP99" s="42"/>
      <c r="EQ99" s="42"/>
      <c r="ER99" s="42"/>
      <c r="ES99" s="42"/>
      <c r="ET99" s="42"/>
      <c r="EU99" s="42"/>
      <c r="EV99" s="42"/>
      <c r="EW99" s="42"/>
      <c r="EX99" s="42"/>
      <c r="EY99" s="42"/>
      <c r="EZ99" s="42"/>
      <c r="FA99" s="42"/>
      <c r="FB99" s="42"/>
      <c r="FC99" s="42"/>
      <c r="FD99" s="42"/>
      <c r="FE99" s="42"/>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row>
    <row r="100" spans="1:256" ht="13.8" x14ac:dyDescent="0.3">
      <c r="A100" s="42"/>
      <c r="B100" s="42"/>
      <c r="C100" s="42"/>
      <c r="D100" s="42"/>
      <c r="E100" s="42"/>
      <c r="F100" s="42"/>
      <c r="G100" s="42"/>
      <c r="H100" s="42"/>
      <c r="I100" s="42"/>
      <c r="J100" s="42"/>
      <c r="K100" s="42"/>
      <c r="L100" s="42"/>
      <c r="M100" s="42"/>
      <c r="N100" s="42"/>
      <c r="O100" s="42"/>
      <c r="P100" s="42"/>
      <c r="Q100" s="42"/>
      <c r="R100" s="42"/>
      <c r="S100" s="42"/>
      <c r="T100" s="42"/>
      <c r="U100" s="194"/>
      <c r="V100" s="42"/>
      <c r="W100" s="42"/>
      <c r="X100" s="42"/>
      <c r="Y100" s="42"/>
      <c r="Z100" s="42"/>
      <c r="AA100" s="42"/>
      <c r="AB100" s="195"/>
      <c r="AC100" s="42"/>
      <c r="AD100" s="42"/>
      <c r="AE100" s="195"/>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c r="DX100" s="42"/>
      <c r="DY100" s="42"/>
      <c r="DZ100" s="42"/>
      <c r="EA100" s="42"/>
      <c r="EB100" s="42"/>
      <c r="EC100" s="42"/>
      <c r="ED100" s="42"/>
      <c r="EE100" s="42"/>
      <c r="EF100" s="42"/>
      <c r="EG100" s="42"/>
      <c r="EH100" s="42"/>
      <c r="EI100" s="42"/>
      <c r="EJ100" s="42"/>
      <c r="EK100" s="42"/>
      <c r="EL100" s="42"/>
      <c r="EM100" s="42"/>
      <c r="EN100" s="42"/>
      <c r="EO100" s="42"/>
      <c r="EP100" s="42"/>
      <c r="EQ100" s="42"/>
      <c r="ER100" s="42"/>
      <c r="ES100" s="42"/>
      <c r="ET100" s="42"/>
      <c r="EU100" s="42"/>
      <c r="EV100" s="42"/>
      <c r="EW100" s="42"/>
      <c r="EX100" s="42"/>
      <c r="EY100" s="42"/>
      <c r="EZ100" s="42"/>
      <c r="FA100" s="42"/>
      <c r="FB100" s="42"/>
      <c r="FC100" s="42"/>
      <c r="FD100" s="42"/>
      <c r="FE100" s="42"/>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row>
    <row r="101" spans="1:256" ht="13.8" x14ac:dyDescent="0.3">
      <c r="A101" s="42"/>
      <c r="B101" s="42"/>
      <c r="C101" s="42"/>
      <c r="D101" s="42"/>
      <c r="E101" s="42"/>
      <c r="F101" s="42"/>
      <c r="G101" s="42"/>
      <c r="H101" s="42"/>
      <c r="I101" s="42"/>
      <c r="J101" s="42"/>
      <c r="K101" s="42"/>
      <c r="L101" s="42"/>
      <c r="M101" s="42"/>
      <c r="N101" s="42"/>
      <c r="O101" s="42"/>
      <c r="P101" s="42"/>
      <c r="Q101" s="42"/>
      <c r="R101" s="42"/>
      <c r="S101" s="42"/>
      <c r="T101" s="42"/>
      <c r="U101" s="194"/>
      <c r="V101" s="42"/>
      <c r="W101" s="42"/>
      <c r="X101" s="42"/>
      <c r="Y101" s="42"/>
      <c r="Z101" s="42"/>
      <c r="AA101" s="42"/>
      <c r="AB101" s="195"/>
      <c r="AC101" s="42"/>
      <c r="AD101" s="42"/>
      <c r="AE101" s="195"/>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row>
    <row r="102" spans="1:256" ht="13.8" x14ac:dyDescent="0.3">
      <c r="A102" s="42"/>
      <c r="B102" s="42"/>
      <c r="C102" s="42"/>
      <c r="D102" s="42"/>
      <c r="E102" s="42"/>
      <c r="F102" s="42"/>
      <c r="G102" s="42"/>
      <c r="H102" s="42"/>
      <c r="I102" s="42"/>
      <c r="J102" s="42"/>
      <c r="K102" s="42"/>
      <c r="L102" s="42"/>
      <c r="M102" s="42"/>
      <c r="N102" s="42"/>
      <c r="O102" s="42"/>
      <c r="P102" s="42"/>
      <c r="Q102" s="42"/>
      <c r="R102" s="42"/>
      <c r="S102" s="42"/>
      <c r="T102" s="42"/>
      <c r="U102" s="194"/>
      <c r="V102" s="42"/>
      <c r="W102" s="42"/>
      <c r="X102" s="42"/>
      <c r="Y102" s="42"/>
      <c r="Z102" s="42"/>
      <c r="AA102" s="42"/>
      <c r="AB102" s="195"/>
      <c r="AC102" s="42"/>
      <c r="AD102" s="42"/>
      <c r="AE102" s="195"/>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row>
    <row r="103" spans="1:256" ht="13.8" x14ac:dyDescent="0.3">
      <c r="A103" s="42"/>
      <c r="B103" s="42"/>
      <c r="C103" s="42"/>
      <c r="D103" s="42"/>
      <c r="E103" s="42"/>
      <c r="F103" s="42"/>
      <c r="G103" s="42"/>
      <c r="H103" s="42"/>
      <c r="I103" s="42"/>
      <c r="J103" s="42"/>
      <c r="K103" s="42"/>
      <c r="L103" s="42"/>
      <c r="M103" s="42"/>
      <c r="N103" s="42"/>
      <c r="O103" s="42"/>
      <c r="P103" s="42"/>
      <c r="Q103" s="42"/>
      <c r="R103" s="42"/>
      <c r="S103" s="42"/>
      <c r="T103" s="42"/>
      <c r="U103" s="194"/>
      <c r="V103" s="42"/>
      <c r="W103" s="42"/>
      <c r="X103" s="42"/>
      <c r="Y103" s="42"/>
      <c r="Z103" s="42"/>
      <c r="AA103" s="42"/>
      <c r="AB103" s="195"/>
      <c r="AC103" s="42"/>
      <c r="AD103" s="42"/>
      <c r="AE103" s="195"/>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row>
    <row r="104" spans="1:256" ht="13.8" x14ac:dyDescent="0.3">
      <c r="A104" s="42"/>
      <c r="B104" s="42"/>
      <c r="C104" s="42"/>
      <c r="D104" s="42"/>
      <c r="E104" s="42"/>
      <c r="F104" s="42"/>
      <c r="G104" s="42"/>
      <c r="H104" s="42"/>
      <c r="I104" s="42"/>
      <c r="J104" s="42"/>
      <c r="K104" s="42"/>
      <c r="L104" s="42"/>
      <c r="M104" s="42"/>
      <c r="N104" s="42"/>
      <c r="O104" s="42"/>
      <c r="P104" s="42"/>
      <c r="Q104" s="42"/>
      <c r="R104" s="42"/>
      <c r="S104" s="42"/>
      <c r="T104" s="42"/>
      <c r="U104" s="194"/>
      <c r="V104" s="42"/>
      <c r="W104" s="42"/>
      <c r="X104" s="42"/>
      <c r="Y104" s="42"/>
      <c r="Z104" s="42"/>
      <c r="AA104" s="42"/>
      <c r="AB104" s="195"/>
      <c r="AC104" s="42"/>
      <c r="AD104" s="42"/>
      <c r="AE104" s="195"/>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row>
    <row r="105" spans="1:256" ht="13.8" x14ac:dyDescent="0.3">
      <c r="A105" s="42"/>
      <c r="B105" s="42"/>
      <c r="C105" s="42"/>
      <c r="D105" s="42"/>
      <c r="E105" s="42"/>
      <c r="F105" s="42"/>
      <c r="G105" s="42"/>
      <c r="H105" s="42"/>
      <c r="I105" s="42"/>
      <c r="J105" s="42"/>
      <c r="K105" s="42"/>
      <c r="L105" s="42"/>
      <c r="M105" s="42"/>
      <c r="N105" s="42"/>
      <c r="O105" s="42"/>
      <c r="P105" s="42"/>
      <c r="Q105" s="42"/>
      <c r="R105" s="42"/>
      <c r="S105" s="42"/>
      <c r="T105" s="42"/>
      <c r="U105" s="194"/>
      <c r="V105" s="42"/>
      <c r="W105" s="42"/>
      <c r="X105" s="42"/>
      <c r="Y105" s="42"/>
      <c r="Z105" s="42"/>
      <c r="AA105" s="42"/>
      <c r="AB105" s="195"/>
      <c r="AC105" s="42"/>
      <c r="AD105" s="42"/>
      <c r="AE105" s="195"/>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row>
    <row r="106" spans="1:256" ht="13.8" x14ac:dyDescent="0.3">
      <c r="A106" s="42"/>
      <c r="B106" s="42"/>
      <c r="C106" s="42"/>
      <c r="D106" s="42"/>
      <c r="E106" s="42"/>
      <c r="F106" s="42"/>
      <c r="G106" s="42"/>
      <c r="H106" s="42"/>
      <c r="I106" s="42"/>
      <c r="J106" s="42"/>
      <c r="K106" s="42"/>
      <c r="L106" s="42"/>
      <c r="M106" s="42"/>
      <c r="N106" s="42"/>
      <c r="O106" s="42"/>
      <c r="P106" s="42"/>
      <c r="Q106" s="42"/>
      <c r="R106" s="42"/>
      <c r="S106" s="42"/>
      <c r="T106" s="42"/>
      <c r="U106" s="194"/>
      <c r="V106" s="42"/>
      <c r="W106" s="42"/>
      <c r="X106" s="42"/>
      <c r="Y106" s="42"/>
      <c r="Z106" s="42"/>
      <c r="AA106" s="42"/>
      <c r="AB106" s="195"/>
      <c r="AC106" s="42"/>
      <c r="AD106" s="42"/>
      <c r="AE106" s="195"/>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row>
    <row r="107" spans="1:256" ht="13.8" x14ac:dyDescent="0.3">
      <c r="A107" s="42"/>
      <c r="B107" s="42"/>
      <c r="C107" s="42"/>
      <c r="D107" s="42"/>
      <c r="E107" s="42"/>
      <c r="F107" s="42"/>
      <c r="G107" s="42"/>
      <c r="H107" s="42"/>
      <c r="I107" s="42"/>
      <c r="J107" s="42"/>
      <c r="K107" s="42"/>
      <c r="L107" s="42"/>
      <c r="M107" s="42"/>
      <c r="N107" s="42"/>
      <c r="O107" s="42"/>
      <c r="P107" s="42"/>
      <c r="Q107" s="42"/>
      <c r="R107" s="42"/>
      <c r="S107" s="42"/>
      <c r="T107" s="42"/>
      <c r="U107" s="194"/>
      <c r="V107" s="42"/>
      <c r="W107" s="42"/>
      <c r="X107" s="42"/>
      <c r="Y107" s="42"/>
      <c r="Z107" s="42"/>
      <c r="AA107" s="42"/>
      <c r="AB107" s="195"/>
      <c r="AC107" s="42"/>
      <c r="AD107" s="42"/>
      <c r="AE107" s="195"/>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c r="DX107" s="42"/>
      <c r="DY107" s="42"/>
      <c r="DZ107" s="42"/>
      <c r="EA107" s="42"/>
      <c r="EB107" s="42"/>
      <c r="EC107" s="42"/>
      <c r="ED107" s="42"/>
      <c r="EE107" s="42"/>
      <c r="EF107" s="42"/>
      <c r="EG107" s="42"/>
      <c r="EH107" s="42"/>
      <c r="EI107" s="42"/>
      <c r="EJ107" s="42"/>
      <c r="EK107" s="42"/>
      <c r="EL107" s="42"/>
      <c r="EM107" s="42"/>
      <c r="EN107" s="42"/>
      <c r="EO107" s="42"/>
      <c r="EP107" s="42"/>
      <c r="EQ107" s="42"/>
      <c r="ER107" s="42"/>
      <c r="ES107" s="42"/>
      <c r="ET107" s="42"/>
      <c r="EU107" s="42"/>
      <c r="EV107" s="42"/>
      <c r="EW107" s="42"/>
      <c r="EX107" s="42"/>
      <c r="EY107" s="42"/>
      <c r="EZ107" s="42"/>
      <c r="FA107" s="42"/>
      <c r="FB107" s="42"/>
      <c r="FC107" s="42"/>
      <c r="FD107" s="42"/>
      <c r="FE107" s="42"/>
      <c r="FF107" s="42"/>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row>
    <row r="108" spans="1:256" ht="13.8" x14ac:dyDescent="0.3">
      <c r="A108" s="42"/>
      <c r="B108" s="42"/>
      <c r="C108" s="42"/>
      <c r="D108" s="42"/>
      <c r="E108" s="42"/>
      <c r="F108" s="42"/>
      <c r="G108" s="42"/>
      <c r="H108" s="42"/>
      <c r="I108" s="42"/>
      <c r="J108" s="42"/>
      <c r="K108" s="42"/>
      <c r="L108" s="42"/>
      <c r="M108" s="42"/>
      <c r="N108" s="42"/>
      <c r="O108" s="42"/>
      <c r="P108" s="42"/>
      <c r="Q108" s="42"/>
      <c r="R108" s="42"/>
      <c r="S108" s="42"/>
      <c r="T108" s="42"/>
      <c r="U108" s="194"/>
      <c r="V108" s="42"/>
      <c r="W108" s="42"/>
      <c r="X108" s="42"/>
      <c r="Y108" s="42"/>
      <c r="Z108" s="42"/>
      <c r="AA108" s="42"/>
      <c r="AB108" s="195"/>
      <c r="AC108" s="42"/>
      <c r="AD108" s="42"/>
      <c r="AE108" s="195"/>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row>
    <row r="109" spans="1:256" ht="13.8" x14ac:dyDescent="0.3">
      <c r="A109" s="42"/>
      <c r="B109" s="42"/>
      <c r="C109" s="42"/>
      <c r="D109" s="42"/>
      <c r="E109" s="42"/>
      <c r="F109" s="42"/>
      <c r="G109" s="42"/>
      <c r="H109" s="42"/>
      <c r="I109" s="42"/>
      <c r="J109" s="42"/>
      <c r="K109" s="42"/>
      <c r="L109" s="42"/>
      <c r="M109" s="42"/>
      <c r="N109" s="42"/>
      <c r="O109" s="42"/>
      <c r="P109" s="42"/>
      <c r="Q109" s="42"/>
      <c r="R109" s="42"/>
      <c r="S109" s="42"/>
      <c r="T109" s="42"/>
      <c r="U109" s="194"/>
      <c r="V109" s="42"/>
      <c r="W109" s="42"/>
      <c r="X109" s="42"/>
      <c r="Y109" s="42"/>
      <c r="Z109" s="42"/>
      <c r="AA109" s="42"/>
      <c r="AB109" s="195"/>
      <c r="AC109" s="42"/>
      <c r="AD109" s="42"/>
      <c r="AE109" s="195"/>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row>
    <row r="110" spans="1:256" ht="13.8" x14ac:dyDescent="0.3">
      <c r="A110" s="42"/>
      <c r="B110" s="42"/>
      <c r="C110" s="42"/>
      <c r="D110" s="42"/>
      <c r="E110" s="42"/>
      <c r="F110" s="42"/>
      <c r="G110" s="42"/>
      <c r="H110" s="42"/>
      <c r="I110" s="42"/>
      <c r="J110" s="42"/>
      <c r="K110" s="42"/>
      <c r="L110" s="42"/>
      <c r="M110" s="42"/>
      <c r="N110" s="42"/>
      <c r="O110" s="42"/>
      <c r="P110" s="42"/>
      <c r="Q110" s="42"/>
      <c r="R110" s="42"/>
      <c r="S110" s="42"/>
      <c r="T110" s="42"/>
      <c r="U110" s="194"/>
      <c r="V110" s="42"/>
      <c r="W110" s="42"/>
      <c r="X110" s="42"/>
      <c r="Y110" s="42"/>
      <c r="Z110" s="42"/>
      <c r="AA110" s="42"/>
      <c r="AB110" s="195"/>
      <c r="AC110" s="42"/>
      <c r="AD110" s="42"/>
      <c r="AE110" s="195"/>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row>
    <row r="111" spans="1:256" ht="13.8" x14ac:dyDescent="0.3">
      <c r="A111" s="42"/>
      <c r="B111" s="42"/>
      <c r="C111" s="42"/>
      <c r="D111" s="42"/>
      <c r="E111" s="42"/>
      <c r="F111" s="42"/>
      <c r="G111" s="42"/>
      <c r="H111" s="42"/>
      <c r="I111" s="42"/>
      <c r="J111" s="42"/>
      <c r="K111" s="42"/>
      <c r="L111" s="42"/>
      <c r="M111" s="42"/>
      <c r="N111" s="42"/>
      <c r="O111" s="42"/>
      <c r="P111" s="42"/>
      <c r="Q111" s="42"/>
      <c r="R111" s="42"/>
      <c r="S111" s="42"/>
      <c r="T111" s="42"/>
      <c r="U111" s="194"/>
      <c r="V111" s="42"/>
      <c r="W111" s="42"/>
      <c r="X111" s="42"/>
      <c r="Y111" s="42"/>
      <c r="Z111" s="42"/>
      <c r="AA111" s="42"/>
      <c r="AB111" s="195"/>
      <c r="AC111" s="42"/>
      <c r="AD111" s="42"/>
      <c r="AE111" s="195"/>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row>
    <row r="112" spans="1:256" ht="13.8" x14ac:dyDescent="0.3">
      <c r="A112" s="42"/>
      <c r="B112" s="42"/>
      <c r="C112" s="42"/>
      <c r="D112" s="42"/>
      <c r="E112" s="42"/>
      <c r="F112" s="42"/>
      <c r="G112" s="42"/>
      <c r="H112" s="42"/>
      <c r="I112" s="42"/>
      <c r="J112" s="42"/>
      <c r="K112" s="42"/>
      <c r="L112" s="42"/>
      <c r="M112" s="42"/>
      <c r="N112" s="42"/>
      <c r="O112" s="42"/>
      <c r="P112" s="42"/>
      <c r="Q112" s="42"/>
      <c r="R112" s="42"/>
      <c r="S112" s="42"/>
      <c r="T112" s="42"/>
      <c r="U112" s="194"/>
      <c r="V112" s="42"/>
      <c r="W112" s="42"/>
      <c r="X112" s="42"/>
      <c r="Y112" s="42"/>
      <c r="Z112" s="42"/>
      <c r="AA112" s="42"/>
      <c r="AB112" s="195"/>
      <c r="AC112" s="42"/>
      <c r="AD112" s="42"/>
      <c r="AE112" s="195"/>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c r="DX112" s="42"/>
      <c r="DY112" s="42"/>
      <c r="DZ112" s="42"/>
      <c r="EA112" s="42"/>
      <c r="EB112" s="42"/>
      <c r="EC112" s="42"/>
      <c r="ED112" s="42"/>
      <c r="EE112" s="42"/>
      <c r="EF112" s="42"/>
      <c r="EG112" s="42"/>
      <c r="EH112" s="42"/>
      <c r="EI112" s="42"/>
      <c r="EJ112" s="42"/>
      <c r="EK112" s="42"/>
      <c r="EL112" s="42"/>
      <c r="EM112" s="42"/>
      <c r="EN112" s="42"/>
      <c r="EO112" s="42"/>
      <c r="EP112" s="42"/>
      <c r="EQ112" s="42"/>
      <c r="ER112" s="42"/>
      <c r="ES112" s="42"/>
      <c r="ET112" s="42"/>
      <c r="EU112" s="42"/>
      <c r="EV112" s="42"/>
      <c r="EW112" s="42"/>
      <c r="EX112" s="42"/>
      <c r="EY112" s="42"/>
      <c r="EZ112" s="42"/>
      <c r="FA112" s="42"/>
      <c r="FB112" s="42"/>
      <c r="FC112" s="42"/>
      <c r="FD112" s="42"/>
      <c r="FE112" s="42"/>
      <c r="FF112" s="42"/>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row>
    <row r="113" spans="1:256" ht="13.8" x14ac:dyDescent="0.3">
      <c r="A113" s="42"/>
      <c r="B113" s="42"/>
      <c r="C113" s="42"/>
      <c r="D113" s="42"/>
      <c r="E113" s="42"/>
      <c r="F113" s="42"/>
      <c r="G113" s="42"/>
      <c r="H113" s="42"/>
      <c r="I113" s="42"/>
      <c r="J113" s="42"/>
      <c r="K113" s="42"/>
      <c r="L113" s="42"/>
      <c r="M113" s="42"/>
      <c r="N113" s="42"/>
      <c r="O113" s="42"/>
      <c r="P113" s="42"/>
      <c r="Q113" s="42"/>
      <c r="R113" s="42"/>
      <c r="S113" s="42"/>
      <c r="T113" s="42"/>
      <c r="U113" s="194"/>
      <c r="V113" s="42"/>
      <c r="W113" s="42"/>
      <c r="X113" s="42"/>
      <c r="Y113" s="42"/>
      <c r="Z113" s="42"/>
      <c r="AA113" s="42"/>
      <c r="AB113" s="195"/>
      <c r="AC113" s="42"/>
      <c r="AD113" s="42"/>
      <c r="AE113" s="195"/>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42"/>
      <c r="FJ113" s="42"/>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row>
    <row r="114" spans="1:256" ht="13.8" x14ac:dyDescent="0.3">
      <c r="A114" s="42"/>
      <c r="B114" s="42"/>
      <c r="C114" s="42"/>
      <c r="D114" s="42"/>
      <c r="E114" s="42"/>
      <c r="F114" s="42"/>
      <c r="G114" s="42"/>
      <c r="H114" s="42"/>
      <c r="I114" s="42"/>
      <c r="J114" s="42"/>
      <c r="K114" s="42"/>
      <c r="L114" s="42"/>
      <c r="M114" s="42"/>
      <c r="N114" s="42"/>
      <c r="O114" s="42"/>
      <c r="P114" s="42"/>
      <c r="Q114" s="42"/>
      <c r="R114" s="42"/>
      <c r="S114" s="42"/>
      <c r="T114" s="42"/>
      <c r="U114" s="194"/>
      <c r="V114" s="42"/>
      <c r="W114" s="42"/>
      <c r="X114" s="42"/>
      <c r="Y114" s="42"/>
      <c r="Z114" s="42"/>
      <c r="AA114" s="42"/>
      <c r="AB114" s="195"/>
      <c r="AC114" s="42"/>
      <c r="AD114" s="42"/>
      <c r="AE114" s="195"/>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row>
    <row r="115" spans="1:256" ht="13.8" x14ac:dyDescent="0.3">
      <c r="A115" s="42"/>
      <c r="B115" s="42"/>
      <c r="C115" s="42"/>
      <c r="D115" s="42"/>
      <c r="E115" s="42"/>
      <c r="F115" s="42"/>
      <c r="G115" s="42"/>
      <c r="H115" s="42"/>
      <c r="I115" s="42"/>
      <c r="J115" s="42"/>
      <c r="K115" s="42"/>
      <c r="L115" s="42"/>
      <c r="M115" s="42"/>
      <c r="N115" s="42"/>
      <c r="O115" s="42"/>
      <c r="P115" s="42"/>
      <c r="Q115" s="42"/>
      <c r="R115" s="42"/>
      <c r="S115" s="42"/>
      <c r="T115" s="42"/>
      <c r="U115" s="194"/>
      <c r="V115" s="42"/>
      <c r="W115" s="42"/>
      <c r="X115" s="42"/>
      <c r="Y115" s="42"/>
      <c r="Z115" s="42"/>
      <c r="AA115" s="42"/>
      <c r="AB115" s="195"/>
      <c r="AC115" s="42"/>
      <c r="AD115" s="42"/>
      <c r="AE115" s="195"/>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c r="DX115" s="42"/>
      <c r="DY115" s="42"/>
      <c r="DZ115" s="42"/>
      <c r="EA115" s="42"/>
      <c r="EB115" s="42"/>
      <c r="EC115" s="42"/>
      <c r="ED115" s="42"/>
      <c r="EE115" s="42"/>
      <c r="EF115" s="42"/>
      <c r="EG115" s="42"/>
      <c r="EH115" s="42"/>
      <c r="EI115" s="42"/>
      <c r="EJ115" s="42"/>
      <c r="EK115" s="42"/>
      <c r="EL115" s="42"/>
      <c r="EM115" s="42"/>
      <c r="EN115" s="42"/>
      <c r="EO115" s="42"/>
      <c r="EP115" s="42"/>
      <c r="EQ115" s="42"/>
      <c r="ER115" s="42"/>
      <c r="ES115" s="42"/>
      <c r="ET115" s="42"/>
      <c r="EU115" s="42"/>
      <c r="EV115" s="42"/>
      <c r="EW115" s="42"/>
      <c r="EX115" s="42"/>
      <c r="EY115" s="42"/>
      <c r="EZ115" s="42"/>
      <c r="FA115" s="42"/>
      <c r="FB115" s="42"/>
      <c r="FC115" s="42"/>
      <c r="FD115" s="42"/>
      <c r="FE115" s="42"/>
      <c r="FF115" s="42"/>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row>
    <row r="116" spans="1:256" ht="13.8" x14ac:dyDescent="0.3">
      <c r="A116" s="42"/>
      <c r="B116" s="42"/>
      <c r="C116" s="42"/>
      <c r="D116" s="42"/>
      <c r="E116" s="42"/>
      <c r="F116" s="42"/>
      <c r="G116" s="42"/>
      <c r="H116" s="42"/>
      <c r="I116" s="42"/>
      <c r="J116" s="42"/>
      <c r="K116" s="42"/>
      <c r="L116" s="42"/>
      <c r="M116" s="42"/>
      <c r="N116" s="42"/>
      <c r="O116" s="42"/>
      <c r="P116" s="42"/>
      <c r="Q116" s="42"/>
      <c r="R116" s="42"/>
      <c r="S116" s="42"/>
      <c r="T116" s="42"/>
      <c r="U116" s="194"/>
      <c r="V116" s="42"/>
      <c r="W116" s="42"/>
      <c r="X116" s="42"/>
      <c r="Y116" s="42"/>
      <c r="Z116" s="42"/>
      <c r="AA116" s="42"/>
      <c r="AB116" s="195"/>
      <c r="AC116" s="42"/>
      <c r="AD116" s="42"/>
      <c r="AE116" s="195"/>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c r="DX116" s="42"/>
      <c r="DY116" s="42"/>
      <c r="DZ116" s="42"/>
      <c r="EA116" s="42"/>
      <c r="EB116" s="42"/>
      <c r="EC116" s="42"/>
      <c r="ED116" s="42"/>
      <c r="EE116" s="42"/>
      <c r="EF116" s="42"/>
      <c r="EG116" s="42"/>
      <c r="EH116" s="42"/>
      <c r="EI116" s="42"/>
      <c r="EJ116" s="42"/>
      <c r="EK116" s="42"/>
      <c r="EL116" s="42"/>
      <c r="EM116" s="42"/>
      <c r="EN116" s="42"/>
      <c r="EO116" s="42"/>
      <c r="EP116" s="42"/>
      <c r="EQ116" s="42"/>
      <c r="ER116" s="42"/>
      <c r="ES116" s="42"/>
      <c r="ET116" s="42"/>
      <c r="EU116" s="42"/>
      <c r="EV116" s="42"/>
      <c r="EW116" s="42"/>
      <c r="EX116" s="42"/>
      <c r="EY116" s="42"/>
      <c r="EZ116" s="42"/>
      <c r="FA116" s="42"/>
      <c r="FB116" s="42"/>
      <c r="FC116" s="42"/>
      <c r="FD116" s="42"/>
      <c r="FE116" s="42"/>
      <c r="FF116" s="42"/>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row>
    <row r="117" spans="1:256" ht="13.8" x14ac:dyDescent="0.3">
      <c r="A117" s="42"/>
      <c r="B117" s="42"/>
      <c r="C117" s="42"/>
      <c r="D117" s="42"/>
      <c r="E117" s="42"/>
      <c r="F117" s="42"/>
      <c r="G117" s="42"/>
      <c r="H117" s="42"/>
      <c r="I117" s="42"/>
      <c r="J117" s="42"/>
      <c r="K117" s="42"/>
      <c r="L117" s="42"/>
      <c r="M117" s="42"/>
      <c r="N117" s="42"/>
      <c r="O117" s="42"/>
      <c r="P117" s="42"/>
      <c r="Q117" s="42"/>
      <c r="R117" s="42"/>
      <c r="S117" s="42"/>
      <c r="T117" s="42"/>
      <c r="U117" s="194"/>
      <c r="V117" s="42"/>
      <c r="W117" s="42"/>
      <c r="X117" s="42"/>
      <c r="Y117" s="42"/>
      <c r="Z117" s="42"/>
      <c r="AA117" s="42"/>
      <c r="AB117" s="195"/>
      <c r="AC117" s="42"/>
      <c r="AD117" s="42"/>
      <c r="AE117" s="195"/>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row>
    <row r="118" spans="1:256" ht="13.8" x14ac:dyDescent="0.3">
      <c r="A118" s="42"/>
      <c r="B118" s="42"/>
      <c r="C118" s="42"/>
      <c r="D118" s="42"/>
      <c r="E118" s="42"/>
      <c r="F118" s="42"/>
      <c r="G118" s="42"/>
      <c r="H118" s="42"/>
      <c r="I118" s="42"/>
      <c r="J118" s="42"/>
      <c r="K118" s="42"/>
      <c r="L118" s="42"/>
      <c r="M118" s="42"/>
      <c r="N118" s="42"/>
      <c r="O118" s="42"/>
      <c r="P118" s="42"/>
      <c r="Q118" s="42"/>
      <c r="R118" s="42"/>
      <c r="S118" s="42"/>
      <c r="T118" s="42"/>
      <c r="U118" s="194"/>
      <c r="V118" s="42"/>
      <c r="W118" s="42"/>
      <c r="X118" s="42"/>
      <c r="Y118" s="42"/>
      <c r="Z118" s="42"/>
      <c r="AA118" s="42"/>
      <c r="AB118" s="195"/>
      <c r="AC118" s="42"/>
      <c r="AD118" s="42"/>
      <c r="AE118" s="195"/>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c r="DX118" s="42"/>
      <c r="DY118" s="42"/>
      <c r="DZ118" s="42"/>
      <c r="EA118" s="42"/>
      <c r="EB118" s="42"/>
      <c r="EC118" s="42"/>
      <c r="ED118" s="42"/>
      <c r="EE118" s="42"/>
      <c r="EF118" s="42"/>
      <c r="EG118" s="42"/>
      <c r="EH118" s="42"/>
      <c r="EI118" s="42"/>
      <c r="EJ118" s="42"/>
      <c r="EK118" s="42"/>
      <c r="EL118" s="42"/>
      <c r="EM118" s="42"/>
      <c r="EN118" s="42"/>
      <c r="EO118" s="42"/>
      <c r="EP118" s="42"/>
      <c r="EQ118" s="42"/>
      <c r="ER118" s="42"/>
      <c r="ES118" s="42"/>
      <c r="ET118" s="42"/>
      <c r="EU118" s="42"/>
      <c r="EV118" s="42"/>
      <c r="EW118" s="42"/>
      <c r="EX118" s="42"/>
      <c r="EY118" s="42"/>
      <c r="EZ118" s="42"/>
      <c r="FA118" s="42"/>
      <c r="FB118" s="42"/>
      <c r="FC118" s="42"/>
      <c r="FD118" s="42"/>
      <c r="FE118" s="42"/>
      <c r="FF118" s="42"/>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row>
    <row r="119" spans="1:256" ht="13.8" x14ac:dyDescent="0.3">
      <c r="A119" s="42"/>
      <c r="B119" s="42"/>
      <c r="C119" s="42"/>
      <c r="D119" s="42"/>
      <c r="E119" s="42"/>
      <c r="F119" s="42"/>
      <c r="G119" s="42"/>
      <c r="H119" s="42"/>
      <c r="I119" s="42"/>
      <c r="J119" s="42"/>
      <c r="K119" s="42"/>
      <c r="L119" s="42"/>
      <c r="M119" s="42"/>
      <c r="N119" s="42"/>
      <c r="O119" s="42"/>
      <c r="P119" s="42"/>
      <c r="Q119" s="42"/>
      <c r="R119" s="42"/>
      <c r="S119" s="42"/>
      <c r="T119" s="42"/>
      <c r="U119" s="194"/>
      <c r="V119" s="42"/>
      <c r="W119" s="42"/>
      <c r="X119" s="42"/>
      <c r="Y119" s="42"/>
      <c r="Z119" s="42"/>
      <c r="AA119" s="42"/>
      <c r="AB119" s="195"/>
      <c r="AC119" s="42"/>
      <c r="AD119" s="42"/>
      <c r="AE119" s="195"/>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c r="DX119" s="42"/>
      <c r="DY119" s="42"/>
      <c r="DZ119" s="42"/>
      <c r="EA119" s="42"/>
      <c r="EB119" s="42"/>
      <c r="EC119" s="42"/>
      <c r="ED119" s="42"/>
      <c r="EE119" s="42"/>
      <c r="EF119" s="42"/>
      <c r="EG119" s="42"/>
      <c r="EH119" s="42"/>
      <c r="EI119" s="42"/>
      <c r="EJ119" s="42"/>
      <c r="EK119" s="42"/>
      <c r="EL119" s="42"/>
      <c r="EM119" s="42"/>
      <c r="EN119" s="42"/>
      <c r="EO119" s="42"/>
      <c r="EP119" s="42"/>
      <c r="EQ119" s="42"/>
      <c r="ER119" s="42"/>
      <c r="ES119" s="42"/>
      <c r="ET119" s="42"/>
      <c r="EU119" s="42"/>
      <c r="EV119" s="42"/>
      <c r="EW119" s="42"/>
      <c r="EX119" s="42"/>
      <c r="EY119" s="42"/>
      <c r="EZ119" s="42"/>
      <c r="FA119" s="42"/>
      <c r="FB119" s="42"/>
      <c r="FC119" s="42"/>
      <c r="FD119" s="42"/>
      <c r="FE119" s="42"/>
      <c r="FF119" s="42"/>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row>
    <row r="120" spans="1:256" ht="13.8" x14ac:dyDescent="0.3">
      <c r="A120" s="42"/>
      <c r="B120" s="42"/>
      <c r="C120" s="42"/>
      <c r="D120" s="42"/>
      <c r="E120" s="42"/>
      <c r="F120" s="42"/>
      <c r="G120" s="42"/>
      <c r="H120" s="42"/>
      <c r="I120" s="42"/>
      <c r="J120" s="42"/>
      <c r="K120" s="42"/>
      <c r="L120" s="42"/>
      <c r="M120" s="42"/>
      <c r="N120" s="42"/>
      <c r="O120" s="42"/>
      <c r="P120" s="42"/>
      <c r="Q120" s="42"/>
      <c r="R120" s="42"/>
      <c r="S120" s="42"/>
      <c r="T120" s="42"/>
      <c r="U120" s="194"/>
      <c r="V120" s="42"/>
      <c r="W120" s="42"/>
      <c r="X120" s="42"/>
      <c r="Y120" s="42"/>
      <c r="Z120" s="42"/>
      <c r="AA120" s="42"/>
      <c r="AB120" s="195"/>
      <c r="AC120" s="42"/>
      <c r="AD120" s="42"/>
      <c r="AE120" s="195"/>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row>
    <row r="121" spans="1:256" ht="13.8" x14ac:dyDescent="0.3">
      <c r="A121" s="42"/>
      <c r="B121" s="42"/>
      <c r="C121" s="42"/>
      <c r="D121" s="42"/>
      <c r="E121" s="42"/>
      <c r="F121" s="42"/>
      <c r="G121" s="42"/>
      <c r="H121" s="42"/>
      <c r="I121" s="42"/>
      <c r="J121" s="42"/>
      <c r="K121" s="42"/>
      <c r="L121" s="42"/>
      <c r="M121" s="42"/>
      <c r="N121" s="42"/>
      <c r="O121" s="42"/>
      <c r="P121" s="42"/>
      <c r="Q121" s="42"/>
      <c r="R121" s="42"/>
      <c r="S121" s="42"/>
      <c r="T121" s="42"/>
      <c r="U121" s="194"/>
      <c r="V121" s="42"/>
      <c r="W121" s="42"/>
      <c r="X121" s="42"/>
      <c r="Y121" s="42"/>
      <c r="Z121" s="42"/>
      <c r="AA121" s="42"/>
      <c r="AB121" s="195"/>
      <c r="AC121" s="42"/>
      <c r="AD121" s="42"/>
      <c r="AE121" s="195"/>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row>
    <row r="122" spans="1:256" ht="13.8" x14ac:dyDescent="0.3">
      <c r="A122" s="42"/>
      <c r="B122" s="42"/>
      <c r="C122" s="42"/>
      <c r="D122" s="42"/>
      <c r="E122" s="42"/>
      <c r="F122" s="42"/>
      <c r="G122" s="42"/>
      <c r="H122" s="42"/>
      <c r="I122" s="42"/>
      <c r="J122" s="42"/>
      <c r="K122" s="42"/>
      <c r="L122" s="42"/>
      <c r="M122" s="42"/>
      <c r="N122" s="42"/>
      <c r="O122" s="42"/>
      <c r="P122" s="42"/>
      <c r="Q122" s="42"/>
      <c r="R122" s="42"/>
      <c r="S122" s="42"/>
      <c r="T122" s="42"/>
      <c r="U122" s="194"/>
      <c r="V122" s="42"/>
      <c r="W122" s="42"/>
      <c r="X122" s="42"/>
      <c r="Y122" s="42"/>
      <c r="Z122" s="42"/>
      <c r="AA122" s="42"/>
      <c r="AB122" s="195"/>
      <c r="AC122" s="42"/>
      <c r="AD122" s="42"/>
      <c r="AE122" s="195"/>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row>
    <row r="123" spans="1:256" ht="13.8" x14ac:dyDescent="0.3">
      <c r="A123" s="42"/>
      <c r="B123" s="42"/>
      <c r="C123" s="42"/>
      <c r="D123" s="42"/>
      <c r="E123" s="42"/>
      <c r="F123" s="42"/>
      <c r="G123" s="42"/>
      <c r="H123" s="42"/>
      <c r="I123" s="42"/>
      <c r="J123" s="42"/>
      <c r="K123" s="42"/>
      <c r="L123" s="42"/>
      <c r="M123" s="42"/>
      <c r="N123" s="42"/>
      <c r="O123" s="42"/>
      <c r="P123" s="42"/>
      <c r="Q123" s="42"/>
      <c r="R123" s="42"/>
      <c r="S123" s="42"/>
      <c r="T123" s="42"/>
      <c r="U123" s="194"/>
      <c r="V123" s="42"/>
      <c r="W123" s="42"/>
      <c r="X123" s="42"/>
      <c r="Y123" s="42"/>
      <c r="Z123" s="42"/>
      <c r="AA123" s="42"/>
      <c r="AB123" s="195"/>
      <c r="AC123" s="42"/>
      <c r="AD123" s="42"/>
      <c r="AE123" s="195"/>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row>
    <row r="124" spans="1:256" ht="13.8" x14ac:dyDescent="0.3">
      <c r="A124" s="42"/>
      <c r="B124" s="42"/>
      <c r="C124" s="42"/>
      <c r="D124" s="42"/>
      <c r="E124" s="42"/>
      <c r="F124" s="42"/>
      <c r="G124" s="42"/>
      <c r="H124" s="42"/>
      <c r="I124" s="42"/>
      <c r="J124" s="42"/>
      <c r="K124" s="42"/>
      <c r="L124" s="42"/>
      <c r="M124" s="42"/>
      <c r="N124" s="42"/>
      <c r="O124" s="42"/>
      <c r="P124" s="42"/>
      <c r="Q124" s="42"/>
      <c r="R124" s="42"/>
      <c r="S124" s="42"/>
      <c r="T124" s="42"/>
      <c r="U124" s="194"/>
      <c r="V124" s="42"/>
      <c r="W124" s="42"/>
      <c r="X124" s="42"/>
      <c r="Y124" s="42"/>
      <c r="Z124" s="42"/>
      <c r="AA124" s="42"/>
      <c r="AB124" s="195"/>
      <c r="AC124" s="42"/>
      <c r="AD124" s="42"/>
      <c r="AE124" s="195"/>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c r="DX124" s="42"/>
      <c r="DY124" s="42"/>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row>
    <row r="125" spans="1:256" ht="13.8" x14ac:dyDescent="0.3">
      <c r="A125" s="42"/>
      <c r="B125" s="42"/>
      <c r="C125" s="42"/>
      <c r="D125" s="42"/>
      <c r="E125" s="42"/>
      <c r="F125" s="42"/>
      <c r="G125" s="42"/>
      <c r="H125" s="42"/>
      <c r="I125" s="42"/>
      <c r="J125" s="42"/>
      <c r="K125" s="42"/>
      <c r="L125" s="42"/>
      <c r="M125" s="42"/>
      <c r="N125" s="42"/>
      <c r="O125" s="42"/>
      <c r="P125" s="42"/>
      <c r="Q125" s="42"/>
      <c r="R125" s="42"/>
      <c r="S125" s="42"/>
      <c r="T125" s="42"/>
      <c r="U125" s="194"/>
      <c r="V125" s="42"/>
      <c r="W125" s="42"/>
      <c r="X125" s="42"/>
      <c r="Y125" s="42"/>
      <c r="Z125" s="42"/>
      <c r="AA125" s="42"/>
      <c r="AB125" s="195"/>
      <c r="AC125" s="42"/>
      <c r="AD125" s="42"/>
      <c r="AE125" s="195"/>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c r="DX125" s="42"/>
      <c r="DY125" s="42"/>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row>
    <row r="126" spans="1:256" ht="13.8" x14ac:dyDescent="0.3">
      <c r="A126" s="42"/>
      <c r="B126" s="42"/>
      <c r="C126" s="42"/>
      <c r="D126" s="42"/>
      <c r="E126" s="42"/>
      <c r="F126" s="42"/>
      <c r="G126" s="42"/>
      <c r="H126" s="42"/>
      <c r="I126" s="42"/>
      <c r="J126" s="42"/>
      <c r="K126" s="42"/>
      <c r="L126" s="42"/>
      <c r="M126" s="42"/>
      <c r="N126" s="42"/>
      <c r="O126" s="42"/>
      <c r="P126" s="42"/>
      <c r="Q126" s="42"/>
      <c r="R126" s="42"/>
      <c r="S126" s="42"/>
      <c r="T126" s="42"/>
      <c r="U126" s="194"/>
      <c r="V126" s="42"/>
      <c r="W126" s="42"/>
      <c r="X126" s="42"/>
      <c r="Y126" s="42"/>
      <c r="Z126" s="42"/>
      <c r="AA126" s="42"/>
      <c r="AB126" s="195"/>
      <c r="AC126" s="42"/>
      <c r="AD126" s="42"/>
      <c r="AE126" s="195"/>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c r="DX126" s="42"/>
      <c r="DY126" s="42"/>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row>
    <row r="127" spans="1:256" ht="13.8" x14ac:dyDescent="0.3">
      <c r="A127" s="42"/>
      <c r="B127" s="42"/>
      <c r="C127" s="42"/>
      <c r="D127" s="42"/>
      <c r="E127" s="42"/>
      <c r="F127" s="42"/>
      <c r="G127" s="42"/>
      <c r="H127" s="42"/>
      <c r="I127" s="42"/>
      <c r="J127" s="42"/>
      <c r="K127" s="42"/>
      <c r="L127" s="42"/>
      <c r="M127" s="42"/>
      <c r="N127" s="42"/>
      <c r="O127" s="42"/>
      <c r="P127" s="42"/>
      <c r="Q127" s="42"/>
      <c r="R127" s="42"/>
      <c r="S127" s="42"/>
      <c r="T127" s="42"/>
      <c r="U127" s="194"/>
      <c r="V127" s="42"/>
      <c r="W127" s="42"/>
      <c r="X127" s="42"/>
      <c r="Y127" s="42"/>
      <c r="Z127" s="42"/>
      <c r="AA127" s="42"/>
      <c r="AB127" s="195"/>
      <c r="AC127" s="42"/>
      <c r="AD127" s="42"/>
      <c r="AE127" s="195"/>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2"/>
      <c r="DR127" s="42"/>
      <c r="DS127" s="42"/>
      <c r="DT127" s="42"/>
      <c r="DU127" s="42"/>
      <c r="DV127" s="42"/>
      <c r="DW127" s="42"/>
      <c r="DX127" s="42"/>
      <c r="DY127" s="42"/>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row>
    <row r="128" spans="1:256" ht="13.8" x14ac:dyDescent="0.3">
      <c r="A128" s="42"/>
      <c r="B128" s="42"/>
      <c r="C128" s="42"/>
      <c r="D128" s="42"/>
      <c r="E128" s="42"/>
      <c r="F128" s="42"/>
      <c r="G128" s="42"/>
      <c r="H128" s="42"/>
      <c r="I128" s="42"/>
      <c r="J128" s="42"/>
      <c r="K128" s="42"/>
      <c r="L128" s="42"/>
      <c r="M128" s="42"/>
      <c r="N128" s="42"/>
      <c r="O128" s="42"/>
      <c r="P128" s="42"/>
      <c r="Q128" s="42"/>
      <c r="R128" s="42"/>
      <c r="S128" s="42"/>
      <c r="T128" s="42"/>
      <c r="U128" s="194"/>
      <c r="V128" s="42"/>
      <c r="W128" s="42"/>
      <c r="X128" s="42"/>
      <c r="Y128" s="42"/>
      <c r="Z128" s="42"/>
      <c r="AA128" s="42"/>
      <c r="AB128" s="195"/>
      <c r="AC128" s="42"/>
      <c r="AD128" s="42"/>
      <c r="AE128" s="195"/>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c r="DX128" s="42"/>
      <c r="DY128" s="42"/>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row>
    <row r="129" spans="1:256" ht="13.8" x14ac:dyDescent="0.3">
      <c r="A129" s="42"/>
      <c r="B129" s="42"/>
      <c r="C129" s="42"/>
      <c r="D129" s="42"/>
      <c r="E129" s="42"/>
      <c r="F129" s="42"/>
      <c r="G129" s="42"/>
      <c r="H129" s="42"/>
      <c r="I129" s="42"/>
      <c r="J129" s="42"/>
      <c r="K129" s="42"/>
      <c r="L129" s="42"/>
      <c r="M129" s="42"/>
      <c r="N129" s="42"/>
      <c r="O129" s="42"/>
      <c r="P129" s="42"/>
      <c r="Q129" s="42"/>
      <c r="R129" s="42"/>
      <c r="S129" s="42"/>
      <c r="T129" s="42"/>
      <c r="U129" s="194"/>
      <c r="V129" s="42"/>
      <c r="W129" s="42"/>
      <c r="X129" s="42"/>
      <c r="Y129" s="42"/>
      <c r="Z129" s="42"/>
      <c r="AA129" s="42"/>
      <c r="AB129" s="195"/>
      <c r="AC129" s="42"/>
      <c r="AD129" s="42"/>
      <c r="AE129" s="195"/>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row>
    <row r="130" spans="1:256" ht="13.8" x14ac:dyDescent="0.3">
      <c r="A130" s="42"/>
      <c r="B130" s="42"/>
      <c r="C130" s="42"/>
      <c r="D130" s="42"/>
      <c r="E130" s="42"/>
      <c r="F130" s="42"/>
      <c r="G130" s="42"/>
      <c r="H130" s="42"/>
      <c r="I130" s="42"/>
      <c r="J130" s="42"/>
      <c r="K130" s="42"/>
      <c r="L130" s="42"/>
      <c r="M130" s="42"/>
      <c r="N130" s="42"/>
      <c r="O130" s="42"/>
      <c r="P130" s="42"/>
      <c r="Q130" s="42"/>
      <c r="R130" s="42"/>
      <c r="S130" s="42"/>
      <c r="T130" s="42"/>
      <c r="U130" s="194"/>
      <c r="V130" s="42"/>
      <c r="W130" s="42"/>
      <c r="X130" s="42"/>
      <c r="Y130" s="42"/>
      <c r="Z130" s="42"/>
      <c r="AA130" s="42"/>
      <c r="AB130" s="195"/>
      <c r="AC130" s="42"/>
      <c r="AD130" s="42"/>
      <c r="AE130" s="195"/>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c r="DX130" s="42"/>
      <c r="DY130" s="42"/>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row>
    <row r="131" spans="1:256" ht="13.8" x14ac:dyDescent="0.3">
      <c r="A131" s="42"/>
      <c r="B131" s="42"/>
      <c r="C131" s="42"/>
      <c r="D131" s="42"/>
      <c r="E131" s="42"/>
      <c r="F131" s="42"/>
      <c r="G131" s="42"/>
      <c r="H131" s="42"/>
      <c r="I131" s="42"/>
      <c r="J131" s="42"/>
      <c r="K131" s="42"/>
      <c r="L131" s="42"/>
      <c r="M131" s="42"/>
      <c r="N131" s="42"/>
      <c r="O131" s="42"/>
      <c r="P131" s="42"/>
      <c r="Q131" s="42"/>
      <c r="R131" s="42"/>
      <c r="S131" s="42"/>
      <c r="T131" s="42"/>
      <c r="U131" s="194"/>
      <c r="V131" s="42"/>
      <c r="W131" s="42"/>
      <c r="X131" s="42"/>
      <c r="Y131" s="42"/>
      <c r="Z131" s="42"/>
      <c r="AA131" s="42"/>
      <c r="AB131" s="195"/>
      <c r="AC131" s="42"/>
      <c r="AD131" s="42"/>
      <c r="AE131" s="195"/>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row>
    <row r="132" spans="1:256" ht="13.8" x14ac:dyDescent="0.3">
      <c r="A132" s="42"/>
      <c r="B132" s="42"/>
      <c r="C132" s="42"/>
      <c r="D132" s="42"/>
      <c r="E132" s="42"/>
      <c r="F132" s="42"/>
      <c r="G132" s="42"/>
      <c r="H132" s="42"/>
      <c r="I132" s="42"/>
      <c r="J132" s="42"/>
      <c r="K132" s="42"/>
      <c r="L132" s="42"/>
      <c r="M132" s="42"/>
      <c r="N132" s="42"/>
      <c r="O132" s="42"/>
      <c r="P132" s="42"/>
      <c r="Q132" s="42"/>
      <c r="R132" s="42"/>
      <c r="S132" s="42"/>
      <c r="T132" s="42"/>
      <c r="U132" s="194"/>
      <c r="V132" s="42"/>
      <c r="W132" s="42"/>
      <c r="X132" s="42"/>
      <c r="Y132" s="42"/>
      <c r="Z132" s="42"/>
      <c r="AA132" s="42"/>
      <c r="AB132" s="195"/>
      <c r="AC132" s="42"/>
      <c r="AD132" s="42"/>
      <c r="AE132" s="195"/>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row>
    <row r="133" spans="1:256" ht="13.8" x14ac:dyDescent="0.3">
      <c r="A133" s="42"/>
      <c r="B133" s="42"/>
      <c r="C133" s="42"/>
      <c r="D133" s="42"/>
      <c r="E133" s="42"/>
      <c r="F133" s="42"/>
      <c r="G133" s="42"/>
      <c r="H133" s="42"/>
      <c r="I133" s="42"/>
      <c r="J133" s="42"/>
      <c r="K133" s="42"/>
      <c r="L133" s="42"/>
      <c r="M133" s="42"/>
      <c r="N133" s="42"/>
      <c r="O133" s="42"/>
      <c r="P133" s="42"/>
      <c r="Q133" s="42"/>
      <c r="R133" s="42"/>
      <c r="S133" s="42"/>
      <c r="T133" s="42"/>
      <c r="U133" s="194"/>
      <c r="V133" s="42"/>
      <c r="W133" s="42"/>
      <c r="X133" s="42"/>
      <c r="Y133" s="42"/>
      <c r="Z133" s="42"/>
      <c r="AA133" s="42"/>
      <c r="AB133" s="195"/>
      <c r="AC133" s="42"/>
      <c r="AD133" s="42"/>
      <c r="AE133" s="195"/>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row>
    <row r="134" spans="1:256" ht="13.8" x14ac:dyDescent="0.3">
      <c r="A134" s="42"/>
      <c r="B134" s="42"/>
      <c r="C134" s="42"/>
      <c r="D134" s="42"/>
      <c r="E134" s="42"/>
      <c r="F134" s="42"/>
      <c r="G134" s="42"/>
      <c r="H134" s="42"/>
      <c r="I134" s="42"/>
      <c r="J134" s="42"/>
      <c r="K134" s="42"/>
      <c r="L134" s="42"/>
      <c r="M134" s="42"/>
      <c r="N134" s="42"/>
      <c r="O134" s="42"/>
      <c r="P134" s="42"/>
      <c r="Q134" s="42"/>
      <c r="R134" s="42"/>
      <c r="S134" s="42"/>
      <c r="T134" s="42"/>
      <c r="U134" s="194"/>
      <c r="V134" s="42"/>
      <c r="W134" s="42"/>
      <c r="X134" s="42"/>
      <c r="Y134" s="42"/>
      <c r="Z134" s="42"/>
      <c r="AA134" s="42"/>
      <c r="AB134" s="195"/>
      <c r="AC134" s="42"/>
      <c r="AD134" s="42"/>
      <c r="AE134" s="195"/>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c r="DX134" s="42"/>
      <c r="DY134" s="42"/>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row>
    <row r="135" spans="1:256" ht="13.8" x14ac:dyDescent="0.3">
      <c r="A135" s="42"/>
      <c r="B135" s="42"/>
      <c r="C135" s="42"/>
      <c r="D135" s="42"/>
      <c r="E135" s="42"/>
      <c r="F135" s="42"/>
      <c r="G135" s="42"/>
      <c r="H135" s="42"/>
      <c r="I135" s="42"/>
      <c r="J135" s="42"/>
      <c r="K135" s="42"/>
      <c r="L135" s="42"/>
      <c r="M135" s="42"/>
      <c r="N135" s="42"/>
      <c r="O135" s="42"/>
      <c r="P135" s="42"/>
      <c r="Q135" s="42"/>
      <c r="R135" s="42"/>
      <c r="S135" s="42"/>
      <c r="T135" s="42"/>
      <c r="U135" s="194"/>
      <c r="V135" s="42"/>
      <c r="W135" s="42"/>
      <c r="X135" s="42"/>
      <c r="Y135" s="42"/>
      <c r="Z135" s="42"/>
      <c r="AA135" s="42"/>
      <c r="AB135" s="195"/>
      <c r="AC135" s="42"/>
      <c r="AD135" s="42"/>
      <c r="AE135" s="195"/>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row>
    <row r="136" spans="1:256" ht="13.8" x14ac:dyDescent="0.3">
      <c r="A136" s="42"/>
      <c r="B136" s="42"/>
      <c r="C136" s="42"/>
      <c r="D136" s="42"/>
      <c r="E136" s="42"/>
      <c r="F136" s="42"/>
      <c r="G136" s="42"/>
      <c r="H136" s="42"/>
      <c r="I136" s="42"/>
      <c r="J136" s="42"/>
      <c r="K136" s="42"/>
      <c r="L136" s="42"/>
      <c r="M136" s="42"/>
      <c r="N136" s="42"/>
      <c r="O136" s="42"/>
      <c r="P136" s="42"/>
      <c r="Q136" s="42"/>
      <c r="R136" s="42"/>
      <c r="S136" s="42"/>
      <c r="T136" s="42"/>
      <c r="U136" s="194"/>
      <c r="V136" s="42"/>
      <c r="W136" s="42"/>
      <c r="X136" s="42"/>
      <c r="Y136" s="42"/>
      <c r="Z136" s="42"/>
      <c r="AA136" s="42"/>
      <c r="AB136" s="195"/>
      <c r="AC136" s="42"/>
      <c r="AD136" s="42"/>
      <c r="AE136" s="195"/>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row>
    <row r="137" spans="1:256" ht="13.8" x14ac:dyDescent="0.3">
      <c r="A137" s="42"/>
      <c r="B137" s="42"/>
      <c r="C137" s="42"/>
      <c r="D137" s="42"/>
      <c r="E137" s="42"/>
      <c r="F137" s="42"/>
      <c r="G137" s="42"/>
      <c r="H137" s="42"/>
      <c r="I137" s="42"/>
      <c r="J137" s="42"/>
      <c r="K137" s="42"/>
      <c r="L137" s="42"/>
      <c r="M137" s="42"/>
      <c r="N137" s="42"/>
      <c r="O137" s="42"/>
      <c r="P137" s="42"/>
      <c r="Q137" s="42"/>
      <c r="R137" s="42"/>
      <c r="S137" s="42"/>
      <c r="T137" s="42"/>
      <c r="U137" s="194"/>
      <c r="V137" s="42"/>
      <c r="W137" s="42"/>
      <c r="X137" s="42"/>
      <c r="Y137" s="42"/>
      <c r="Z137" s="42"/>
      <c r="AA137" s="42"/>
      <c r="AB137" s="195"/>
      <c r="AC137" s="42"/>
      <c r="AD137" s="42"/>
      <c r="AE137" s="195"/>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row>
    <row r="138" spans="1:256" ht="13.8" x14ac:dyDescent="0.3">
      <c r="A138" s="42"/>
      <c r="B138" s="42"/>
      <c r="C138" s="42"/>
      <c r="D138" s="42"/>
      <c r="E138" s="42"/>
      <c r="F138" s="42"/>
      <c r="G138" s="42"/>
      <c r="H138" s="42"/>
      <c r="I138" s="42"/>
      <c r="J138" s="42"/>
      <c r="K138" s="42"/>
      <c r="L138" s="42"/>
      <c r="M138" s="42"/>
      <c r="N138" s="42"/>
      <c r="O138" s="42"/>
      <c r="P138" s="42"/>
      <c r="Q138" s="42"/>
      <c r="R138" s="42"/>
      <c r="S138" s="42"/>
      <c r="T138" s="42"/>
      <c r="U138" s="194"/>
      <c r="V138" s="42"/>
      <c r="W138" s="42"/>
      <c r="X138" s="42"/>
      <c r="Y138" s="42"/>
      <c r="Z138" s="42"/>
      <c r="AA138" s="42"/>
      <c r="AB138" s="195"/>
      <c r="AC138" s="42"/>
      <c r="AD138" s="42"/>
      <c r="AE138" s="195"/>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c r="DX138" s="42"/>
      <c r="DY138" s="42"/>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row>
    <row r="139" spans="1:256" ht="13.8" x14ac:dyDescent="0.3">
      <c r="A139" s="42"/>
      <c r="B139" s="42"/>
      <c r="C139" s="42"/>
      <c r="D139" s="42"/>
      <c r="E139" s="42"/>
      <c r="F139" s="42"/>
      <c r="G139" s="42"/>
      <c r="H139" s="42"/>
      <c r="I139" s="42"/>
      <c r="J139" s="42"/>
      <c r="K139" s="42"/>
      <c r="L139" s="42"/>
      <c r="M139" s="42"/>
      <c r="N139" s="42"/>
      <c r="O139" s="42"/>
      <c r="P139" s="42"/>
      <c r="Q139" s="42"/>
      <c r="R139" s="42"/>
      <c r="S139" s="42"/>
      <c r="T139" s="42"/>
      <c r="U139" s="194"/>
      <c r="V139" s="42"/>
      <c r="W139" s="42"/>
      <c r="X139" s="42"/>
      <c r="Y139" s="42"/>
      <c r="Z139" s="42"/>
      <c r="AA139" s="42"/>
      <c r="AB139" s="195"/>
      <c r="AC139" s="42"/>
      <c r="AD139" s="42"/>
      <c r="AE139" s="195"/>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row>
    <row r="140" spans="1:256" ht="13.8" x14ac:dyDescent="0.3">
      <c r="A140" s="42"/>
      <c r="B140" s="42"/>
      <c r="C140" s="42"/>
      <c r="D140" s="42"/>
      <c r="E140" s="42"/>
      <c r="F140" s="42"/>
      <c r="G140" s="42"/>
      <c r="H140" s="42"/>
      <c r="I140" s="42"/>
      <c r="J140" s="42"/>
      <c r="K140" s="42"/>
      <c r="L140" s="42"/>
      <c r="M140" s="42"/>
      <c r="N140" s="42"/>
      <c r="O140" s="42"/>
      <c r="P140" s="42"/>
      <c r="Q140" s="42"/>
      <c r="R140" s="42"/>
      <c r="S140" s="42"/>
      <c r="T140" s="42"/>
      <c r="U140" s="194"/>
      <c r="V140" s="42"/>
      <c r="W140" s="42"/>
      <c r="X140" s="42"/>
      <c r="Y140" s="42"/>
      <c r="Z140" s="42"/>
      <c r="AA140" s="42"/>
      <c r="AB140" s="195"/>
      <c r="AC140" s="42"/>
      <c r="AD140" s="42"/>
      <c r="AE140" s="195"/>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row>
    <row r="141" spans="1:256" ht="13.8" x14ac:dyDescent="0.3">
      <c r="A141" s="42"/>
      <c r="B141" s="42"/>
      <c r="C141" s="42"/>
      <c r="D141" s="42"/>
      <c r="E141" s="42"/>
      <c r="F141" s="42"/>
      <c r="G141" s="42"/>
      <c r="H141" s="42"/>
      <c r="I141" s="42"/>
      <c r="J141" s="42"/>
      <c r="K141" s="42"/>
      <c r="L141" s="42"/>
      <c r="M141" s="42"/>
      <c r="N141" s="42"/>
      <c r="O141" s="42"/>
      <c r="P141" s="42"/>
      <c r="Q141" s="42"/>
      <c r="R141" s="42"/>
      <c r="S141" s="42"/>
      <c r="T141" s="42"/>
      <c r="U141" s="194"/>
      <c r="V141" s="42"/>
      <c r="W141" s="42"/>
      <c r="X141" s="42"/>
      <c r="Y141" s="42"/>
      <c r="Z141" s="42"/>
      <c r="AA141" s="42"/>
      <c r="AB141" s="195"/>
      <c r="AC141" s="42"/>
      <c r="AD141" s="42"/>
      <c r="AE141" s="195"/>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row>
    <row r="142" spans="1:256" ht="13.8" x14ac:dyDescent="0.3">
      <c r="A142" s="42"/>
      <c r="B142" s="42"/>
      <c r="C142" s="42"/>
      <c r="D142" s="42"/>
      <c r="E142" s="42"/>
      <c r="F142" s="42"/>
      <c r="G142" s="42"/>
      <c r="H142" s="42"/>
      <c r="I142" s="42"/>
      <c r="J142" s="42"/>
      <c r="K142" s="42"/>
      <c r="L142" s="42"/>
      <c r="M142" s="42"/>
      <c r="N142" s="42"/>
      <c r="O142" s="42"/>
      <c r="P142" s="42"/>
      <c r="Q142" s="42"/>
      <c r="R142" s="42"/>
      <c r="S142" s="42"/>
      <c r="T142" s="42"/>
      <c r="U142" s="194"/>
      <c r="V142" s="42"/>
      <c r="W142" s="42"/>
      <c r="X142" s="42"/>
      <c r="Y142" s="42"/>
      <c r="Z142" s="42"/>
      <c r="AA142" s="42"/>
      <c r="AB142" s="195"/>
      <c r="AC142" s="42"/>
      <c r="AD142" s="42"/>
      <c r="AE142" s="195"/>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row>
    <row r="143" spans="1:256" ht="13.8" x14ac:dyDescent="0.3">
      <c r="A143" s="42"/>
      <c r="B143" s="42"/>
      <c r="C143" s="42"/>
      <c r="D143" s="42"/>
      <c r="E143" s="42"/>
      <c r="F143" s="42"/>
      <c r="G143" s="42"/>
      <c r="H143" s="42"/>
      <c r="I143" s="42"/>
      <c r="J143" s="42"/>
      <c r="K143" s="42"/>
      <c r="L143" s="42"/>
      <c r="M143" s="42"/>
      <c r="N143" s="42"/>
      <c r="O143" s="42"/>
      <c r="P143" s="42"/>
      <c r="Q143" s="42"/>
      <c r="R143" s="42"/>
      <c r="S143" s="42"/>
      <c r="T143" s="42"/>
      <c r="U143" s="194"/>
      <c r="V143" s="42"/>
      <c r="W143" s="42"/>
      <c r="X143" s="42"/>
      <c r="Y143" s="42"/>
      <c r="Z143" s="42"/>
      <c r="AA143" s="42"/>
      <c r="AB143" s="195"/>
      <c r="AC143" s="42"/>
      <c r="AD143" s="42"/>
      <c r="AE143" s="195"/>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c r="DX143" s="42"/>
      <c r="DY143" s="42"/>
      <c r="DZ143" s="42"/>
      <c r="EA143" s="42"/>
      <c r="EB143" s="42"/>
      <c r="EC143" s="42"/>
      <c r="ED143" s="42"/>
      <c r="EE143" s="42"/>
      <c r="EF143" s="42"/>
      <c r="EG143" s="42"/>
      <c r="EH143" s="42"/>
      <c r="EI143" s="42"/>
      <c r="EJ143" s="42"/>
      <c r="EK143" s="42"/>
      <c r="EL143" s="42"/>
      <c r="EM143" s="42"/>
      <c r="EN143" s="42"/>
      <c r="EO143" s="42"/>
      <c r="EP143" s="42"/>
      <c r="EQ143" s="42"/>
      <c r="ER143" s="42"/>
      <c r="ES143" s="42"/>
      <c r="ET143" s="42"/>
      <c r="EU143" s="42"/>
      <c r="EV143" s="42"/>
      <c r="EW143" s="42"/>
      <c r="EX143" s="42"/>
      <c r="EY143" s="42"/>
      <c r="EZ143" s="42"/>
      <c r="FA143" s="42"/>
      <c r="FB143" s="42"/>
      <c r="FC143" s="42"/>
      <c r="FD143" s="42"/>
      <c r="FE143" s="42"/>
      <c r="FF143" s="42"/>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row>
    <row r="144" spans="1:256" ht="13.8" x14ac:dyDescent="0.3">
      <c r="A144" s="42"/>
      <c r="B144" s="42"/>
      <c r="C144" s="42"/>
      <c r="D144" s="42"/>
      <c r="E144" s="42"/>
      <c r="F144" s="42"/>
      <c r="G144" s="42"/>
      <c r="H144" s="42"/>
      <c r="I144" s="42"/>
      <c r="J144" s="42"/>
      <c r="K144" s="42"/>
      <c r="L144" s="42"/>
      <c r="M144" s="42"/>
      <c r="N144" s="42"/>
      <c r="O144" s="42"/>
      <c r="P144" s="42"/>
      <c r="Q144" s="42"/>
      <c r="R144" s="42"/>
      <c r="S144" s="42"/>
      <c r="T144" s="42"/>
      <c r="U144" s="194"/>
      <c r="V144" s="42"/>
      <c r="W144" s="42"/>
      <c r="X144" s="42"/>
      <c r="Y144" s="42"/>
      <c r="Z144" s="42"/>
      <c r="AA144" s="42"/>
      <c r="AB144" s="195"/>
      <c r="AC144" s="42"/>
      <c r="AD144" s="42"/>
      <c r="AE144" s="195"/>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c r="DX144" s="42"/>
      <c r="DY144" s="42"/>
      <c r="DZ144" s="42"/>
      <c r="EA144" s="42"/>
      <c r="EB144" s="42"/>
      <c r="EC144" s="42"/>
      <c r="ED144" s="42"/>
      <c r="EE144" s="42"/>
      <c r="EF144" s="42"/>
      <c r="EG144" s="42"/>
      <c r="EH144" s="42"/>
      <c r="EI144" s="42"/>
      <c r="EJ144" s="42"/>
      <c r="EK144" s="42"/>
      <c r="EL144" s="42"/>
      <c r="EM144" s="42"/>
      <c r="EN144" s="42"/>
      <c r="EO144" s="42"/>
      <c r="EP144" s="42"/>
      <c r="EQ144" s="42"/>
      <c r="ER144" s="42"/>
      <c r="ES144" s="42"/>
      <c r="ET144" s="42"/>
      <c r="EU144" s="42"/>
      <c r="EV144" s="42"/>
      <c r="EW144" s="42"/>
      <c r="EX144" s="42"/>
      <c r="EY144" s="42"/>
      <c r="EZ144" s="42"/>
      <c r="FA144" s="42"/>
      <c r="FB144" s="42"/>
      <c r="FC144" s="42"/>
      <c r="FD144" s="42"/>
      <c r="FE144" s="42"/>
      <c r="FF144" s="42"/>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row>
    <row r="145" spans="1:256" ht="13.8" x14ac:dyDescent="0.3">
      <c r="A145" s="42"/>
      <c r="B145" s="42"/>
      <c r="C145" s="42"/>
      <c r="D145" s="42"/>
      <c r="E145" s="42"/>
      <c r="F145" s="42"/>
      <c r="G145" s="42"/>
      <c r="H145" s="42"/>
      <c r="I145" s="42"/>
      <c r="J145" s="42"/>
      <c r="K145" s="42"/>
      <c r="L145" s="42"/>
      <c r="M145" s="42"/>
      <c r="N145" s="42"/>
      <c r="O145" s="42"/>
      <c r="P145" s="42"/>
      <c r="Q145" s="42"/>
      <c r="R145" s="42"/>
      <c r="S145" s="42"/>
      <c r="T145" s="42"/>
      <c r="U145" s="194"/>
      <c r="V145" s="42"/>
      <c r="W145" s="42"/>
      <c r="X145" s="42"/>
      <c r="Y145" s="42"/>
      <c r="Z145" s="42"/>
      <c r="AA145" s="42"/>
      <c r="AB145" s="195"/>
      <c r="AC145" s="42"/>
      <c r="AD145" s="42"/>
      <c r="AE145" s="195"/>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c r="DX145" s="42"/>
      <c r="DY145" s="42"/>
      <c r="DZ145" s="42"/>
      <c r="EA145" s="42"/>
      <c r="EB145" s="42"/>
      <c r="EC145" s="42"/>
      <c r="ED145" s="42"/>
      <c r="EE145" s="42"/>
      <c r="EF145" s="42"/>
      <c r="EG145" s="42"/>
      <c r="EH145" s="42"/>
      <c r="EI145" s="42"/>
      <c r="EJ145" s="42"/>
      <c r="EK145" s="42"/>
      <c r="EL145" s="42"/>
      <c r="EM145" s="42"/>
      <c r="EN145" s="42"/>
      <c r="EO145" s="42"/>
      <c r="EP145" s="42"/>
      <c r="EQ145" s="42"/>
      <c r="ER145" s="42"/>
      <c r="ES145" s="42"/>
      <c r="ET145" s="42"/>
      <c r="EU145" s="42"/>
      <c r="EV145" s="42"/>
      <c r="EW145" s="42"/>
      <c r="EX145" s="42"/>
      <c r="EY145" s="42"/>
      <c r="EZ145" s="42"/>
      <c r="FA145" s="42"/>
      <c r="FB145" s="42"/>
      <c r="FC145" s="42"/>
      <c r="FD145" s="42"/>
      <c r="FE145" s="42"/>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row>
    <row r="146" spans="1:256" ht="13.8" x14ac:dyDescent="0.3">
      <c r="A146" s="42"/>
      <c r="B146" s="42"/>
      <c r="C146" s="42"/>
      <c r="D146" s="42"/>
      <c r="E146" s="42"/>
      <c r="F146" s="42"/>
      <c r="G146" s="42"/>
      <c r="H146" s="42"/>
      <c r="I146" s="42"/>
      <c r="J146" s="42"/>
      <c r="K146" s="42"/>
      <c r="L146" s="42"/>
      <c r="M146" s="42"/>
      <c r="N146" s="42"/>
      <c r="O146" s="42"/>
      <c r="P146" s="42"/>
      <c r="Q146" s="42"/>
      <c r="R146" s="42"/>
      <c r="S146" s="42"/>
      <c r="T146" s="42"/>
      <c r="U146" s="194"/>
      <c r="V146" s="42"/>
      <c r="W146" s="42"/>
      <c r="X146" s="42"/>
      <c r="Y146" s="42"/>
      <c r="Z146" s="42"/>
      <c r="AA146" s="42"/>
      <c r="AB146" s="195"/>
      <c r="AC146" s="42"/>
      <c r="AD146" s="42"/>
      <c r="AE146" s="195"/>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c r="DX146" s="42"/>
      <c r="DY146" s="42"/>
      <c r="DZ146" s="42"/>
      <c r="EA146" s="42"/>
      <c r="EB146" s="42"/>
      <c r="EC146" s="42"/>
      <c r="ED146" s="42"/>
      <c r="EE146" s="42"/>
      <c r="EF146" s="42"/>
      <c r="EG146" s="42"/>
      <c r="EH146" s="42"/>
      <c r="EI146" s="42"/>
      <c r="EJ146" s="42"/>
      <c r="EK146" s="42"/>
      <c r="EL146" s="42"/>
      <c r="EM146" s="42"/>
      <c r="EN146" s="42"/>
      <c r="EO146" s="42"/>
      <c r="EP146" s="42"/>
      <c r="EQ146" s="42"/>
      <c r="ER146" s="42"/>
      <c r="ES146" s="42"/>
      <c r="ET146" s="42"/>
      <c r="EU146" s="42"/>
      <c r="EV146" s="42"/>
      <c r="EW146" s="42"/>
      <c r="EX146" s="42"/>
      <c r="EY146" s="42"/>
      <c r="EZ146" s="42"/>
      <c r="FA146" s="42"/>
      <c r="FB146" s="42"/>
      <c r="FC146" s="42"/>
      <c r="FD146" s="42"/>
      <c r="FE146" s="42"/>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row>
    <row r="147" spans="1:256" ht="13.8" x14ac:dyDescent="0.3">
      <c r="A147" s="42"/>
      <c r="B147" s="42"/>
      <c r="C147" s="42"/>
      <c r="D147" s="42"/>
      <c r="E147" s="42"/>
      <c r="F147" s="42"/>
      <c r="G147" s="42"/>
      <c r="H147" s="42"/>
      <c r="I147" s="42"/>
      <c r="J147" s="42"/>
      <c r="K147" s="42"/>
      <c r="L147" s="42"/>
      <c r="M147" s="42"/>
      <c r="N147" s="42"/>
      <c r="O147" s="42"/>
      <c r="P147" s="42"/>
      <c r="Q147" s="42"/>
      <c r="R147" s="42"/>
      <c r="S147" s="42"/>
      <c r="T147" s="42"/>
      <c r="U147" s="194"/>
      <c r="V147" s="42"/>
      <c r="W147" s="42"/>
      <c r="X147" s="42"/>
      <c r="Y147" s="42"/>
      <c r="Z147" s="42"/>
      <c r="AA147" s="42"/>
      <c r="AB147" s="195"/>
      <c r="AC147" s="42"/>
      <c r="AD147" s="42"/>
      <c r="AE147" s="195"/>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row>
    <row r="148" spans="1:256" ht="13.8" x14ac:dyDescent="0.3">
      <c r="A148" s="42"/>
      <c r="B148" s="42"/>
      <c r="C148" s="42"/>
      <c r="D148" s="42"/>
      <c r="E148" s="42"/>
      <c r="F148" s="42"/>
      <c r="G148" s="42"/>
      <c r="H148" s="42"/>
      <c r="I148" s="42"/>
      <c r="J148" s="42"/>
      <c r="K148" s="42"/>
      <c r="L148" s="42"/>
      <c r="M148" s="42"/>
      <c r="N148" s="42"/>
      <c r="O148" s="42"/>
      <c r="P148" s="42"/>
      <c r="Q148" s="42"/>
      <c r="R148" s="42"/>
      <c r="S148" s="42"/>
      <c r="T148" s="42"/>
      <c r="U148" s="194"/>
      <c r="V148" s="42"/>
      <c r="W148" s="42"/>
      <c r="X148" s="42"/>
      <c r="Y148" s="42"/>
      <c r="Z148" s="42"/>
      <c r="AA148" s="42"/>
      <c r="AB148" s="195"/>
      <c r="AC148" s="42"/>
      <c r="AD148" s="42"/>
      <c r="AE148" s="195"/>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row>
    <row r="149" spans="1:256" ht="13.8" x14ac:dyDescent="0.3">
      <c r="A149" s="42"/>
      <c r="B149" s="42"/>
      <c r="C149" s="42"/>
      <c r="D149" s="42"/>
      <c r="E149" s="42"/>
      <c r="F149" s="42"/>
      <c r="G149" s="42"/>
      <c r="H149" s="42"/>
      <c r="I149" s="42"/>
      <c r="J149" s="42"/>
      <c r="K149" s="42"/>
      <c r="L149" s="42"/>
      <c r="M149" s="42"/>
      <c r="N149" s="42"/>
      <c r="O149" s="42"/>
      <c r="P149" s="42"/>
      <c r="Q149" s="42"/>
      <c r="R149" s="42"/>
      <c r="S149" s="42"/>
      <c r="T149" s="42"/>
      <c r="U149" s="194"/>
      <c r="V149" s="42"/>
      <c r="W149" s="42"/>
      <c r="X149" s="42"/>
      <c r="Y149" s="42"/>
      <c r="Z149" s="42"/>
      <c r="AA149" s="42"/>
      <c r="AB149" s="195"/>
      <c r="AC149" s="42"/>
      <c r="AD149" s="42"/>
      <c r="AE149" s="195"/>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row>
    <row r="150" spans="1:256" ht="13.8" x14ac:dyDescent="0.3">
      <c r="A150" s="42"/>
      <c r="B150" s="42"/>
      <c r="C150" s="42"/>
      <c r="D150" s="42"/>
      <c r="E150" s="42"/>
      <c r="F150" s="42"/>
      <c r="G150" s="42"/>
      <c r="H150" s="42"/>
      <c r="I150" s="42"/>
      <c r="J150" s="42"/>
      <c r="K150" s="42"/>
      <c r="L150" s="42"/>
      <c r="M150" s="42"/>
      <c r="N150" s="42"/>
      <c r="O150" s="42"/>
      <c r="P150" s="42"/>
      <c r="Q150" s="42"/>
      <c r="R150" s="42"/>
      <c r="S150" s="42"/>
      <c r="T150" s="42"/>
      <c r="U150" s="194"/>
      <c r="V150" s="42"/>
      <c r="W150" s="42"/>
      <c r="X150" s="42"/>
      <c r="Y150" s="42"/>
      <c r="Z150" s="42"/>
      <c r="AA150" s="42"/>
      <c r="AB150" s="195"/>
      <c r="AC150" s="42"/>
      <c r="AD150" s="42"/>
      <c r="AE150" s="195"/>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row>
    <row r="151" spans="1:256" ht="13.8" x14ac:dyDescent="0.3">
      <c r="A151" s="42"/>
      <c r="B151" s="42"/>
      <c r="C151" s="42"/>
      <c r="D151" s="42"/>
      <c r="E151" s="42"/>
      <c r="F151" s="42"/>
      <c r="G151" s="42"/>
      <c r="H151" s="42"/>
      <c r="I151" s="42"/>
      <c r="J151" s="42"/>
      <c r="K151" s="42"/>
      <c r="L151" s="42"/>
      <c r="M151" s="42"/>
      <c r="N151" s="42"/>
      <c r="O151" s="42"/>
      <c r="P151" s="42"/>
      <c r="Q151" s="42"/>
      <c r="R151" s="42"/>
      <c r="S151" s="42"/>
      <c r="T151" s="42"/>
      <c r="U151" s="194"/>
      <c r="V151" s="42"/>
      <c r="W151" s="42"/>
      <c r="X151" s="42"/>
      <c r="Y151" s="42"/>
      <c r="Z151" s="42"/>
      <c r="AA151" s="42"/>
      <c r="AB151" s="195"/>
      <c r="AC151" s="42"/>
      <c r="AD151" s="42"/>
      <c r="AE151" s="195"/>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row>
    <row r="152" spans="1:256" ht="13.8" x14ac:dyDescent="0.3">
      <c r="A152" s="42"/>
      <c r="B152" s="42"/>
      <c r="C152" s="42"/>
      <c r="D152" s="42"/>
      <c r="E152" s="42"/>
      <c r="F152" s="42"/>
      <c r="G152" s="42"/>
      <c r="H152" s="42"/>
      <c r="I152" s="42"/>
      <c r="J152" s="42"/>
      <c r="K152" s="42"/>
      <c r="L152" s="42"/>
      <c r="M152" s="42"/>
      <c r="N152" s="42"/>
      <c r="O152" s="42"/>
      <c r="P152" s="42"/>
      <c r="Q152" s="42"/>
      <c r="R152" s="42"/>
      <c r="S152" s="42"/>
      <c r="T152" s="42"/>
      <c r="U152" s="194"/>
      <c r="V152" s="42"/>
      <c r="W152" s="42"/>
      <c r="X152" s="42"/>
      <c r="Y152" s="42"/>
      <c r="Z152" s="42"/>
      <c r="AA152" s="42"/>
      <c r="AB152" s="195"/>
      <c r="AC152" s="42"/>
      <c r="AD152" s="42"/>
      <c r="AE152" s="195"/>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c r="DX152" s="42"/>
      <c r="DY152" s="42"/>
      <c r="DZ152" s="42"/>
      <c r="EA152" s="42"/>
      <c r="EB152" s="42"/>
      <c r="EC152" s="42"/>
      <c r="ED152" s="42"/>
      <c r="EE152" s="42"/>
      <c r="EF152" s="42"/>
      <c r="EG152" s="42"/>
      <c r="EH152" s="42"/>
      <c r="EI152" s="42"/>
      <c r="EJ152" s="42"/>
      <c r="EK152" s="42"/>
      <c r="EL152" s="42"/>
      <c r="EM152" s="42"/>
      <c r="EN152" s="42"/>
      <c r="EO152" s="42"/>
      <c r="EP152" s="42"/>
      <c r="EQ152" s="42"/>
      <c r="ER152" s="42"/>
      <c r="ES152" s="42"/>
      <c r="ET152" s="42"/>
      <c r="EU152" s="42"/>
      <c r="EV152" s="42"/>
      <c r="EW152" s="42"/>
      <c r="EX152" s="42"/>
      <c r="EY152" s="42"/>
      <c r="EZ152" s="42"/>
      <c r="FA152" s="42"/>
      <c r="FB152" s="42"/>
      <c r="FC152" s="42"/>
      <c r="FD152" s="42"/>
      <c r="FE152" s="42"/>
      <c r="FF152" s="42"/>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row>
    <row r="153" spans="1:256" ht="13.8" x14ac:dyDescent="0.3">
      <c r="A153" s="42"/>
      <c r="B153" s="42"/>
      <c r="C153" s="42"/>
      <c r="D153" s="42"/>
      <c r="E153" s="42"/>
      <c r="F153" s="42"/>
      <c r="G153" s="42"/>
      <c r="H153" s="42"/>
      <c r="I153" s="42"/>
      <c r="J153" s="42"/>
      <c r="K153" s="42"/>
      <c r="L153" s="42"/>
      <c r="M153" s="42"/>
      <c r="N153" s="42"/>
      <c r="O153" s="42"/>
      <c r="P153" s="42"/>
      <c r="Q153" s="42"/>
      <c r="R153" s="42"/>
      <c r="S153" s="42"/>
      <c r="T153" s="42"/>
      <c r="U153" s="194"/>
      <c r="V153" s="42"/>
      <c r="W153" s="42"/>
      <c r="X153" s="42"/>
      <c r="Y153" s="42"/>
      <c r="Z153" s="42"/>
      <c r="AA153" s="42"/>
      <c r="AB153" s="195"/>
      <c r="AC153" s="42"/>
      <c r="AD153" s="42"/>
      <c r="AE153" s="195"/>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row>
    <row r="154" spans="1:256" ht="13.8" x14ac:dyDescent="0.3">
      <c r="A154" s="42"/>
      <c r="B154" s="42"/>
      <c r="C154" s="42"/>
      <c r="D154" s="42"/>
      <c r="E154" s="42"/>
      <c r="F154" s="42"/>
      <c r="G154" s="42"/>
      <c r="H154" s="42"/>
      <c r="I154" s="42"/>
      <c r="J154" s="42"/>
      <c r="K154" s="42"/>
      <c r="L154" s="42"/>
      <c r="M154" s="42"/>
      <c r="N154" s="42"/>
      <c r="O154" s="42"/>
      <c r="P154" s="42"/>
      <c r="Q154" s="42"/>
      <c r="R154" s="42"/>
      <c r="S154" s="42"/>
      <c r="T154" s="42"/>
      <c r="U154" s="194"/>
      <c r="V154" s="42"/>
      <c r="W154" s="42"/>
      <c r="X154" s="42"/>
      <c r="Y154" s="42"/>
      <c r="Z154" s="42"/>
      <c r="AA154" s="42"/>
      <c r="AB154" s="195"/>
      <c r="AC154" s="42"/>
      <c r="AD154" s="42"/>
      <c r="AE154" s="195"/>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row>
    <row r="155" spans="1:256" ht="13.8" x14ac:dyDescent="0.3">
      <c r="A155" s="42"/>
      <c r="B155" s="42"/>
      <c r="C155" s="42"/>
      <c r="D155" s="42"/>
      <c r="E155" s="42"/>
      <c r="F155" s="42"/>
      <c r="G155" s="42"/>
      <c r="H155" s="42"/>
      <c r="I155" s="42"/>
      <c r="J155" s="42"/>
      <c r="K155" s="42"/>
      <c r="L155" s="42"/>
      <c r="M155" s="42"/>
      <c r="N155" s="42"/>
      <c r="O155" s="42"/>
      <c r="P155" s="42"/>
      <c r="Q155" s="42"/>
      <c r="R155" s="42"/>
      <c r="S155" s="42"/>
      <c r="T155" s="42"/>
      <c r="U155" s="194"/>
      <c r="V155" s="42"/>
      <c r="W155" s="42"/>
      <c r="X155" s="42"/>
      <c r="Y155" s="42"/>
      <c r="Z155" s="42"/>
      <c r="AA155" s="42"/>
      <c r="AB155" s="195"/>
      <c r="AC155" s="42"/>
      <c r="AD155" s="42"/>
      <c r="AE155" s="195"/>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row>
    <row r="156" spans="1:256" ht="13.8" x14ac:dyDescent="0.3">
      <c r="A156" s="42"/>
      <c r="B156" s="42"/>
      <c r="C156" s="42"/>
      <c r="D156" s="42"/>
      <c r="E156" s="42"/>
      <c r="F156" s="42"/>
      <c r="G156" s="42"/>
      <c r="H156" s="42"/>
      <c r="I156" s="42"/>
      <c r="J156" s="42"/>
      <c r="K156" s="42"/>
      <c r="L156" s="42"/>
      <c r="M156" s="42"/>
      <c r="N156" s="42"/>
      <c r="O156" s="42"/>
      <c r="P156" s="42"/>
      <c r="Q156" s="42"/>
      <c r="R156" s="42"/>
      <c r="S156" s="42"/>
      <c r="T156" s="42"/>
      <c r="U156" s="194"/>
      <c r="V156" s="42"/>
      <c r="W156" s="42"/>
      <c r="X156" s="42"/>
      <c r="Y156" s="42"/>
      <c r="Z156" s="42"/>
      <c r="AA156" s="42"/>
      <c r="AB156" s="195"/>
      <c r="AC156" s="42"/>
      <c r="AD156" s="42"/>
      <c r="AE156" s="195"/>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row>
    <row r="157" spans="1:256" ht="13.8" x14ac:dyDescent="0.3">
      <c r="A157" s="42"/>
      <c r="B157" s="42"/>
      <c r="C157" s="42"/>
      <c r="D157" s="42"/>
      <c r="E157" s="42"/>
      <c r="F157" s="42"/>
      <c r="G157" s="42"/>
      <c r="H157" s="42"/>
      <c r="I157" s="42"/>
      <c r="J157" s="42"/>
      <c r="K157" s="42"/>
      <c r="L157" s="42"/>
      <c r="M157" s="42"/>
      <c r="N157" s="42"/>
      <c r="O157" s="42"/>
      <c r="P157" s="42"/>
      <c r="Q157" s="42"/>
      <c r="R157" s="42"/>
      <c r="S157" s="42"/>
      <c r="T157" s="42"/>
      <c r="U157" s="194"/>
      <c r="V157" s="42"/>
      <c r="W157" s="42"/>
      <c r="X157" s="42"/>
      <c r="Y157" s="42"/>
      <c r="Z157" s="42"/>
      <c r="AA157" s="42"/>
      <c r="AB157" s="195"/>
      <c r="AC157" s="42"/>
      <c r="AD157" s="42"/>
      <c r="AE157" s="195"/>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c r="DX157" s="42"/>
      <c r="DY157" s="42"/>
      <c r="DZ157" s="42"/>
      <c r="EA157" s="42"/>
      <c r="EB157" s="42"/>
      <c r="EC157" s="42"/>
      <c r="ED157" s="42"/>
      <c r="EE157" s="42"/>
      <c r="EF157" s="42"/>
      <c r="EG157" s="42"/>
      <c r="EH157" s="42"/>
      <c r="EI157" s="42"/>
      <c r="EJ157" s="42"/>
      <c r="EK157" s="42"/>
      <c r="EL157" s="42"/>
      <c r="EM157" s="42"/>
      <c r="EN157" s="42"/>
      <c r="EO157" s="42"/>
      <c r="EP157" s="42"/>
      <c r="EQ157" s="42"/>
      <c r="ER157" s="42"/>
      <c r="ES157" s="42"/>
      <c r="ET157" s="42"/>
      <c r="EU157" s="42"/>
      <c r="EV157" s="42"/>
      <c r="EW157" s="42"/>
      <c r="EX157" s="42"/>
      <c r="EY157" s="42"/>
      <c r="EZ157" s="42"/>
      <c r="FA157" s="42"/>
      <c r="FB157" s="42"/>
      <c r="FC157" s="42"/>
      <c r="FD157" s="42"/>
      <c r="FE157" s="42"/>
      <c r="FF157" s="42"/>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row>
    <row r="158" spans="1:256" ht="13.8" x14ac:dyDescent="0.3">
      <c r="A158" s="42"/>
      <c r="B158" s="42"/>
      <c r="C158" s="42"/>
      <c r="D158" s="42"/>
      <c r="E158" s="42"/>
      <c r="F158" s="42"/>
      <c r="G158" s="42"/>
      <c r="H158" s="42"/>
      <c r="I158" s="42"/>
      <c r="J158" s="42"/>
      <c r="K158" s="42"/>
      <c r="L158" s="42"/>
      <c r="M158" s="42"/>
      <c r="N158" s="42"/>
      <c r="O158" s="42"/>
      <c r="P158" s="42"/>
      <c r="Q158" s="42"/>
      <c r="R158" s="42"/>
      <c r="S158" s="42"/>
      <c r="T158" s="42"/>
      <c r="U158" s="194"/>
      <c r="V158" s="42"/>
      <c r="W158" s="42"/>
      <c r="X158" s="42"/>
      <c r="Y158" s="42"/>
      <c r="Z158" s="42"/>
      <c r="AA158" s="42"/>
      <c r="AB158" s="195"/>
      <c r="AC158" s="42"/>
      <c r="AD158" s="42"/>
      <c r="AE158" s="195"/>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row>
    <row r="159" spans="1:256" ht="13.8" x14ac:dyDescent="0.3">
      <c r="A159" s="42"/>
      <c r="B159" s="42"/>
      <c r="C159" s="42"/>
      <c r="D159" s="42"/>
      <c r="E159" s="42"/>
      <c r="F159" s="42"/>
      <c r="G159" s="42"/>
      <c r="H159" s="42"/>
      <c r="I159" s="42"/>
      <c r="J159" s="42"/>
      <c r="K159" s="42"/>
      <c r="L159" s="42"/>
      <c r="M159" s="42"/>
      <c r="N159" s="42"/>
      <c r="O159" s="42"/>
      <c r="P159" s="42"/>
      <c r="Q159" s="42"/>
      <c r="R159" s="42"/>
      <c r="S159" s="42"/>
      <c r="T159" s="42"/>
      <c r="U159" s="194"/>
      <c r="V159" s="42"/>
      <c r="W159" s="42"/>
      <c r="X159" s="42"/>
      <c r="Y159" s="42"/>
      <c r="Z159" s="42"/>
      <c r="AA159" s="42"/>
      <c r="AB159" s="195"/>
      <c r="AC159" s="42"/>
      <c r="AD159" s="42"/>
      <c r="AE159" s="195"/>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row>
    <row r="160" spans="1:256" ht="13.8" x14ac:dyDescent="0.3">
      <c r="A160" s="42"/>
      <c r="B160" s="42"/>
      <c r="C160" s="42"/>
      <c r="D160" s="42"/>
      <c r="E160" s="42"/>
      <c r="F160" s="42"/>
      <c r="G160" s="42"/>
      <c r="H160" s="42"/>
      <c r="I160" s="42"/>
      <c r="J160" s="42"/>
      <c r="K160" s="42"/>
      <c r="L160" s="42"/>
      <c r="M160" s="42"/>
      <c r="N160" s="42"/>
      <c r="O160" s="42"/>
      <c r="P160" s="42"/>
      <c r="Q160" s="42"/>
      <c r="R160" s="42"/>
      <c r="S160" s="42"/>
      <c r="T160" s="42"/>
      <c r="U160" s="194"/>
      <c r="V160" s="42"/>
      <c r="W160" s="42"/>
      <c r="X160" s="42"/>
      <c r="Y160" s="42"/>
      <c r="Z160" s="42"/>
      <c r="AA160" s="42"/>
      <c r="AB160" s="195"/>
      <c r="AC160" s="42"/>
      <c r="AD160" s="42"/>
      <c r="AE160" s="195"/>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row>
    <row r="161" spans="1:256" ht="13.8" x14ac:dyDescent="0.3">
      <c r="A161" s="42"/>
      <c r="B161" s="42"/>
      <c r="C161" s="42"/>
      <c r="D161" s="42"/>
      <c r="E161" s="42"/>
      <c r="F161" s="42"/>
      <c r="G161" s="42"/>
      <c r="H161" s="42"/>
      <c r="I161" s="42"/>
      <c r="J161" s="42"/>
      <c r="K161" s="42"/>
      <c r="L161" s="42"/>
      <c r="M161" s="42"/>
      <c r="N161" s="42"/>
      <c r="O161" s="42"/>
      <c r="P161" s="42"/>
      <c r="Q161" s="42"/>
      <c r="R161" s="42"/>
      <c r="S161" s="42"/>
      <c r="T161" s="42"/>
      <c r="U161" s="194"/>
      <c r="V161" s="42"/>
      <c r="W161" s="42"/>
      <c r="X161" s="42"/>
      <c r="Y161" s="42"/>
      <c r="Z161" s="42"/>
      <c r="AA161" s="42"/>
      <c r="AB161" s="195"/>
      <c r="AC161" s="42"/>
      <c r="AD161" s="42"/>
      <c r="AE161" s="195"/>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row>
    <row r="162" spans="1:256" ht="13.8" x14ac:dyDescent="0.3">
      <c r="A162" s="42"/>
      <c r="B162" s="42"/>
      <c r="C162" s="42"/>
      <c r="D162" s="42"/>
      <c r="E162" s="42"/>
      <c r="F162" s="42"/>
      <c r="G162" s="42"/>
      <c r="H162" s="42"/>
      <c r="I162" s="42"/>
      <c r="J162" s="42"/>
      <c r="K162" s="42"/>
      <c r="L162" s="42"/>
      <c r="M162" s="42"/>
      <c r="N162" s="42"/>
      <c r="O162" s="42"/>
      <c r="P162" s="42"/>
      <c r="Q162" s="42"/>
      <c r="R162" s="42"/>
      <c r="S162" s="42"/>
      <c r="T162" s="42"/>
      <c r="U162" s="194"/>
      <c r="V162" s="42"/>
      <c r="W162" s="42"/>
      <c r="X162" s="42"/>
      <c r="Y162" s="42"/>
      <c r="Z162" s="42"/>
      <c r="AA162" s="42"/>
      <c r="AB162" s="195"/>
      <c r="AC162" s="42"/>
      <c r="AD162" s="42"/>
      <c r="AE162" s="195"/>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c r="DX162" s="42"/>
      <c r="DY162" s="42"/>
      <c r="DZ162" s="42"/>
      <c r="EA162" s="42"/>
      <c r="EB162" s="42"/>
      <c r="EC162" s="42"/>
      <c r="ED162" s="42"/>
      <c r="EE162" s="42"/>
      <c r="EF162" s="42"/>
      <c r="EG162" s="42"/>
      <c r="EH162" s="42"/>
      <c r="EI162" s="42"/>
      <c r="EJ162" s="42"/>
      <c r="EK162" s="42"/>
      <c r="EL162" s="42"/>
      <c r="EM162" s="42"/>
      <c r="EN162" s="42"/>
      <c r="EO162" s="42"/>
      <c r="EP162" s="42"/>
      <c r="EQ162" s="42"/>
      <c r="ER162" s="42"/>
      <c r="ES162" s="42"/>
      <c r="ET162" s="42"/>
      <c r="EU162" s="42"/>
      <c r="EV162" s="42"/>
      <c r="EW162" s="42"/>
      <c r="EX162" s="42"/>
      <c r="EY162" s="42"/>
      <c r="EZ162" s="42"/>
      <c r="FA162" s="42"/>
      <c r="FB162" s="42"/>
      <c r="FC162" s="42"/>
      <c r="FD162" s="42"/>
      <c r="FE162" s="42"/>
      <c r="FF162" s="42"/>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row>
    <row r="163" spans="1:256" ht="13.8" x14ac:dyDescent="0.3">
      <c r="A163" s="42"/>
      <c r="B163" s="42"/>
      <c r="C163" s="42"/>
      <c r="D163" s="42"/>
      <c r="E163" s="42"/>
      <c r="F163" s="42"/>
      <c r="G163" s="42"/>
      <c r="H163" s="42"/>
      <c r="I163" s="42"/>
      <c r="J163" s="42"/>
      <c r="K163" s="42"/>
      <c r="L163" s="42"/>
      <c r="M163" s="42"/>
      <c r="N163" s="42"/>
      <c r="O163" s="42"/>
      <c r="P163" s="42"/>
      <c r="Q163" s="42"/>
      <c r="R163" s="42"/>
      <c r="S163" s="42"/>
      <c r="T163" s="42"/>
      <c r="U163" s="194"/>
      <c r="V163" s="42"/>
      <c r="W163" s="42"/>
      <c r="X163" s="42"/>
      <c r="Y163" s="42"/>
      <c r="Z163" s="42"/>
      <c r="AA163" s="42"/>
      <c r="AB163" s="195"/>
      <c r="AC163" s="42"/>
      <c r="AD163" s="42"/>
      <c r="AE163" s="195"/>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c r="DX163" s="42"/>
      <c r="DY163" s="42"/>
      <c r="DZ163" s="42"/>
      <c r="EA163" s="42"/>
      <c r="EB163" s="42"/>
      <c r="EC163" s="42"/>
      <c r="ED163" s="42"/>
      <c r="EE163" s="42"/>
      <c r="EF163" s="42"/>
      <c r="EG163" s="42"/>
      <c r="EH163" s="42"/>
      <c r="EI163" s="42"/>
      <c r="EJ163" s="42"/>
      <c r="EK163" s="42"/>
      <c r="EL163" s="42"/>
      <c r="EM163" s="42"/>
      <c r="EN163" s="42"/>
      <c r="EO163" s="42"/>
      <c r="EP163" s="42"/>
      <c r="EQ163" s="42"/>
      <c r="ER163" s="42"/>
      <c r="ES163" s="42"/>
      <c r="ET163" s="42"/>
      <c r="EU163" s="42"/>
      <c r="EV163" s="42"/>
      <c r="EW163" s="42"/>
      <c r="EX163" s="42"/>
      <c r="EY163" s="42"/>
      <c r="EZ163" s="42"/>
      <c r="FA163" s="42"/>
      <c r="FB163" s="42"/>
      <c r="FC163" s="42"/>
      <c r="FD163" s="42"/>
      <c r="FE163" s="42"/>
      <c r="FF163" s="42"/>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row>
    <row r="164" spans="1:256" ht="13.8" x14ac:dyDescent="0.3">
      <c r="A164" s="42"/>
      <c r="B164" s="42"/>
      <c r="C164" s="42"/>
      <c r="D164" s="42"/>
      <c r="E164" s="42"/>
      <c r="F164" s="42"/>
      <c r="G164" s="42"/>
      <c r="H164" s="42"/>
      <c r="I164" s="42"/>
      <c r="J164" s="42"/>
      <c r="K164" s="42"/>
      <c r="L164" s="42"/>
      <c r="M164" s="42"/>
      <c r="N164" s="42"/>
      <c r="O164" s="42"/>
      <c r="P164" s="42"/>
      <c r="Q164" s="42"/>
      <c r="R164" s="42"/>
      <c r="S164" s="42"/>
      <c r="T164" s="42"/>
      <c r="U164" s="194"/>
      <c r="V164" s="42"/>
      <c r="W164" s="42"/>
      <c r="X164" s="42"/>
      <c r="Y164" s="42"/>
      <c r="Z164" s="42"/>
      <c r="AA164" s="42"/>
      <c r="AB164" s="195"/>
      <c r="AC164" s="42"/>
      <c r="AD164" s="42"/>
      <c r="AE164" s="195"/>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row>
    <row r="165" spans="1:256" ht="13.8" x14ac:dyDescent="0.3">
      <c r="A165" s="42"/>
      <c r="B165" s="42"/>
      <c r="C165" s="42"/>
      <c r="D165" s="42"/>
      <c r="E165" s="42"/>
      <c r="F165" s="42"/>
      <c r="G165" s="42"/>
      <c r="H165" s="42"/>
      <c r="I165" s="42"/>
      <c r="J165" s="42"/>
      <c r="K165" s="42"/>
      <c r="L165" s="42"/>
      <c r="M165" s="42"/>
      <c r="N165" s="42"/>
      <c r="O165" s="42"/>
      <c r="P165" s="42"/>
      <c r="Q165" s="42"/>
      <c r="R165" s="42"/>
      <c r="S165" s="42"/>
      <c r="T165" s="42"/>
      <c r="U165" s="194"/>
      <c r="V165" s="42"/>
      <c r="W165" s="42"/>
      <c r="X165" s="42"/>
      <c r="Y165" s="42"/>
      <c r="Z165" s="42"/>
      <c r="AA165" s="42"/>
      <c r="AB165" s="195"/>
      <c r="AC165" s="42"/>
      <c r="AD165" s="42"/>
      <c r="AE165" s="195"/>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row>
    <row r="166" spans="1:256" ht="13.8" x14ac:dyDescent="0.3">
      <c r="A166" s="42"/>
      <c r="B166" s="42"/>
      <c r="C166" s="42"/>
      <c r="D166" s="42"/>
      <c r="E166" s="42"/>
      <c r="F166" s="42"/>
      <c r="G166" s="42"/>
      <c r="H166" s="42"/>
      <c r="I166" s="42"/>
      <c r="J166" s="42"/>
      <c r="K166" s="42"/>
      <c r="L166" s="42"/>
      <c r="M166" s="42"/>
      <c r="N166" s="42"/>
      <c r="O166" s="42"/>
      <c r="P166" s="42"/>
      <c r="Q166" s="42"/>
      <c r="R166" s="42"/>
      <c r="S166" s="42"/>
      <c r="T166" s="42"/>
      <c r="U166" s="194"/>
      <c r="V166" s="42"/>
      <c r="W166" s="42"/>
      <c r="X166" s="42"/>
      <c r="Y166" s="42"/>
      <c r="Z166" s="42"/>
      <c r="AA166" s="42"/>
      <c r="AB166" s="195"/>
      <c r="AC166" s="42"/>
      <c r="AD166" s="42"/>
      <c r="AE166" s="195"/>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row>
    <row r="167" spans="1:256" ht="13.8" x14ac:dyDescent="0.3">
      <c r="A167" s="42"/>
      <c r="B167" s="42"/>
      <c r="C167" s="42"/>
      <c r="D167" s="42"/>
      <c r="E167" s="42"/>
      <c r="F167" s="42"/>
      <c r="G167" s="42"/>
      <c r="H167" s="42"/>
      <c r="I167" s="42"/>
      <c r="J167" s="42"/>
      <c r="K167" s="42"/>
      <c r="L167" s="42"/>
      <c r="M167" s="42"/>
      <c r="N167" s="42"/>
      <c r="O167" s="42"/>
      <c r="P167" s="42"/>
      <c r="Q167" s="42"/>
      <c r="R167" s="42"/>
      <c r="S167" s="42"/>
      <c r="T167" s="42"/>
      <c r="U167" s="194"/>
      <c r="V167" s="42"/>
      <c r="W167" s="42"/>
      <c r="X167" s="42"/>
      <c r="Y167" s="42"/>
      <c r="Z167" s="42"/>
      <c r="AA167" s="42"/>
      <c r="AB167" s="195"/>
      <c r="AC167" s="42"/>
      <c r="AD167" s="42"/>
      <c r="AE167" s="195"/>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c r="DX167" s="42"/>
      <c r="DY167" s="42"/>
      <c r="DZ167" s="42"/>
      <c r="EA167" s="42"/>
      <c r="EB167" s="42"/>
      <c r="EC167" s="42"/>
      <c r="ED167" s="42"/>
      <c r="EE167" s="42"/>
      <c r="EF167" s="42"/>
      <c r="EG167" s="42"/>
      <c r="EH167" s="42"/>
      <c r="EI167" s="42"/>
      <c r="EJ167" s="42"/>
      <c r="EK167" s="42"/>
      <c r="EL167" s="42"/>
      <c r="EM167" s="42"/>
      <c r="EN167" s="42"/>
      <c r="EO167" s="42"/>
      <c r="EP167" s="42"/>
      <c r="EQ167" s="42"/>
      <c r="ER167" s="42"/>
      <c r="ES167" s="42"/>
      <c r="ET167" s="42"/>
      <c r="EU167" s="42"/>
      <c r="EV167" s="42"/>
      <c r="EW167" s="42"/>
      <c r="EX167" s="42"/>
      <c r="EY167" s="42"/>
      <c r="EZ167" s="42"/>
      <c r="FA167" s="42"/>
      <c r="FB167" s="42"/>
      <c r="FC167" s="42"/>
      <c r="FD167" s="42"/>
      <c r="FE167" s="42"/>
      <c r="FF167" s="42"/>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row>
    <row r="168" spans="1:256" ht="13.8" x14ac:dyDescent="0.3">
      <c r="A168" s="42"/>
      <c r="B168" s="42"/>
      <c r="C168" s="42"/>
      <c r="D168" s="42"/>
      <c r="E168" s="42"/>
      <c r="F168" s="42"/>
      <c r="G168" s="42"/>
      <c r="H168" s="42"/>
      <c r="I168" s="42"/>
      <c r="J168" s="42"/>
      <c r="K168" s="42"/>
      <c r="L168" s="42"/>
      <c r="M168" s="42"/>
      <c r="N168" s="42"/>
      <c r="O168" s="42"/>
      <c r="P168" s="42"/>
      <c r="Q168" s="42"/>
      <c r="R168" s="42"/>
      <c r="S168" s="42"/>
      <c r="T168" s="42"/>
      <c r="U168" s="194"/>
      <c r="V168" s="42"/>
      <c r="W168" s="42"/>
      <c r="X168" s="42"/>
      <c r="Y168" s="42"/>
      <c r="Z168" s="42"/>
      <c r="AA168" s="42"/>
      <c r="AB168" s="195"/>
      <c r="AC168" s="42"/>
      <c r="AD168" s="42"/>
      <c r="AE168" s="195"/>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row>
    <row r="169" spans="1:256" ht="13.8" x14ac:dyDescent="0.3">
      <c r="A169" s="42"/>
      <c r="B169" s="42"/>
      <c r="C169" s="42"/>
      <c r="D169" s="42"/>
      <c r="E169" s="42"/>
      <c r="F169" s="42"/>
      <c r="G169" s="42"/>
      <c r="H169" s="42"/>
      <c r="I169" s="42"/>
      <c r="J169" s="42"/>
      <c r="K169" s="42"/>
      <c r="L169" s="42"/>
      <c r="M169" s="42"/>
      <c r="N169" s="42"/>
      <c r="O169" s="42"/>
      <c r="P169" s="42"/>
      <c r="Q169" s="42"/>
      <c r="R169" s="42"/>
      <c r="S169" s="42"/>
      <c r="T169" s="42"/>
      <c r="U169" s="194"/>
      <c r="V169" s="42"/>
      <c r="W169" s="42"/>
      <c r="X169" s="42"/>
      <c r="Y169" s="42"/>
      <c r="Z169" s="42"/>
      <c r="AA169" s="42"/>
      <c r="AB169" s="195"/>
      <c r="AC169" s="42"/>
      <c r="AD169" s="42"/>
      <c r="AE169" s="195"/>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row>
    <row r="170" spans="1:256" ht="13.8" x14ac:dyDescent="0.3">
      <c r="A170" s="42"/>
      <c r="B170" s="42"/>
      <c r="C170" s="42"/>
      <c r="D170" s="42"/>
      <c r="E170" s="42"/>
      <c r="F170" s="42"/>
      <c r="G170" s="42"/>
      <c r="H170" s="42"/>
      <c r="I170" s="42"/>
      <c r="J170" s="42"/>
      <c r="K170" s="42"/>
      <c r="L170" s="42"/>
      <c r="M170" s="42"/>
      <c r="N170" s="42"/>
      <c r="O170" s="42"/>
      <c r="P170" s="42"/>
      <c r="Q170" s="42"/>
      <c r="R170" s="42"/>
      <c r="S170" s="42"/>
      <c r="T170" s="42"/>
      <c r="U170" s="194"/>
      <c r="V170" s="42"/>
      <c r="W170" s="42"/>
      <c r="X170" s="42"/>
      <c r="Y170" s="42"/>
      <c r="Z170" s="42"/>
      <c r="AA170" s="42"/>
      <c r="AB170" s="195"/>
      <c r="AC170" s="42"/>
      <c r="AD170" s="42"/>
      <c r="AE170" s="195"/>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row>
    <row r="171" spans="1:256" ht="13.8" x14ac:dyDescent="0.3">
      <c r="A171" s="42"/>
      <c r="B171" s="42"/>
      <c r="C171" s="42"/>
      <c r="D171" s="42"/>
      <c r="E171" s="42"/>
      <c r="F171" s="42"/>
      <c r="G171" s="42"/>
      <c r="H171" s="42"/>
      <c r="I171" s="42"/>
      <c r="J171" s="42"/>
      <c r="K171" s="42"/>
      <c r="L171" s="42"/>
      <c r="M171" s="42"/>
      <c r="N171" s="42"/>
      <c r="O171" s="42"/>
      <c r="P171" s="42"/>
      <c r="Q171" s="42"/>
      <c r="R171" s="42"/>
      <c r="S171" s="42"/>
      <c r="T171" s="42"/>
      <c r="U171" s="194"/>
      <c r="V171" s="42"/>
      <c r="W171" s="42"/>
      <c r="X171" s="42"/>
      <c r="Y171" s="42"/>
      <c r="Z171" s="42"/>
      <c r="AA171" s="42"/>
      <c r="AB171" s="195"/>
      <c r="AC171" s="42"/>
      <c r="AD171" s="42"/>
      <c r="AE171" s="195"/>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row>
    <row r="172" spans="1:256" ht="13.8" x14ac:dyDescent="0.3">
      <c r="A172" s="42"/>
      <c r="B172" s="42"/>
      <c r="C172" s="42"/>
      <c r="D172" s="42"/>
      <c r="E172" s="42"/>
      <c r="F172" s="42"/>
      <c r="G172" s="42"/>
      <c r="H172" s="42"/>
      <c r="I172" s="42"/>
      <c r="J172" s="42"/>
      <c r="K172" s="42"/>
      <c r="L172" s="42"/>
      <c r="M172" s="42"/>
      <c r="N172" s="42"/>
      <c r="O172" s="42"/>
      <c r="P172" s="42"/>
      <c r="Q172" s="42"/>
      <c r="R172" s="42"/>
      <c r="S172" s="42"/>
      <c r="T172" s="42"/>
      <c r="U172" s="194"/>
      <c r="V172" s="42"/>
      <c r="W172" s="42"/>
      <c r="X172" s="42"/>
      <c r="Y172" s="42"/>
      <c r="Z172" s="42"/>
      <c r="AA172" s="42"/>
      <c r="AB172" s="195"/>
      <c r="AC172" s="42"/>
      <c r="AD172" s="42"/>
      <c r="AE172" s="195"/>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row>
    <row r="173" spans="1:256" ht="13.8" x14ac:dyDescent="0.3">
      <c r="A173" s="42"/>
      <c r="B173" s="42"/>
      <c r="C173" s="42"/>
      <c r="D173" s="42"/>
      <c r="E173" s="42"/>
      <c r="F173" s="42"/>
      <c r="G173" s="42"/>
      <c r="H173" s="42"/>
      <c r="I173" s="42"/>
      <c r="J173" s="42"/>
      <c r="K173" s="42"/>
      <c r="L173" s="42"/>
      <c r="M173" s="42"/>
      <c r="N173" s="42"/>
      <c r="O173" s="42"/>
      <c r="P173" s="42"/>
      <c r="Q173" s="42"/>
      <c r="R173" s="42"/>
      <c r="S173" s="42"/>
      <c r="T173" s="42"/>
      <c r="U173" s="194"/>
      <c r="V173" s="42"/>
      <c r="W173" s="42"/>
      <c r="X173" s="42"/>
      <c r="Y173" s="42"/>
      <c r="Z173" s="42"/>
      <c r="AA173" s="42"/>
      <c r="AB173" s="195"/>
      <c r="AC173" s="42"/>
      <c r="AD173" s="42"/>
      <c r="AE173" s="195"/>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row>
    <row r="174" spans="1:256" ht="13.8" x14ac:dyDescent="0.3">
      <c r="A174" s="42"/>
      <c r="B174" s="42"/>
      <c r="C174" s="42"/>
      <c r="D174" s="42"/>
      <c r="E174" s="42"/>
      <c r="F174" s="42"/>
      <c r="G174" s="42"/>
      <c r="H174" s="42"/>
      <c r="I174" s="42"/>
      <c r="J174" s="42"/>
      <c r="K174" s="42"/>
      <c r="L174" s="42"/>
      <c r="M174" s="42"/>
      <c r="N174" s="42"/>
      <c r="O174" s="42"/>
      <c r="P174" s="42"/>
      <c r="Q174" s="42"/>
      <c r="R174" s="42"/>
      <c r="S174" s="42"/>
      <c r="T174" s="42"/>
      <c r="U174" s="194"/>
      <c r="V174" s="42"/>
      <c r="W174" s="42"/>
      <c r="X174" s="42"/>
      <c r="Y174" s="42"/>
      <c r="Z174" s="42"/>
      <c r="AA174" s="42"/>
      <c r="AB174" s="195"/>
      <c r="AC174" s="42"/>
      <c r="AD174" s="42"/>
      <c r="AE174" s="195"/>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row>
    <row r="175" spans="1:256" ht="13.8" x14ac:dyDescent="0.3">
      <c r="A175" s="42"/>
      <c r="B175" s="42"/>
      <c r="C175" s="42"/>
      <c r="D175" s="42"/>
      <c r="E175" s="42"/>
      <c r="F175" s="42"/>
      <c r="G175" s="42"/>
      <c r="H175" s="42"/>
      <c r="I175" s="42"/>
      <c r="J175" s="42"/>
      <c r="K175" s="42"/>
      <c r="L175" s="42"/>
      <c r="M175" s="42"/>
      <c r="N175" s="42"/>
      <c r="O175" s="42"/>
      <c r="P175" s="42"/>
      <c r="Q175" s="42"/>
      <c r="R175" s="42"/>
      <c r="S175" s="42"/>
      <c r="T175" s="42"/>
      <c r="U175" s="194"/>
      <c r="V175" s="42"/>
      <c r="W175" s="42"/>
      <c r="X175" s="42"/>
      <c r="Y175" s="42"/>
      <c r="Z175" s="42"/>
      <c r="AA175" s="42"/>
      <c r="AB175" s="195"/>
      <c r="AC175" s="42"/>
      <c r="AD175" s="42"/>
      <c r="AE175" s="195"/>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row>
    <row r="176" spans="1:256" ht="13.8" x14ac:dyDescent="0.3">
      <c r="A176" s="42"/>
      <c r="B176" s="42"/>
      <c r="C176" s="42"/>
      <c r="D176" s="42"/>
      <c r="E176" s="42"/>
      <c r="F176" s="42"/>
      <c r="G176" s="42"/>
      <c r="H176" s="42"/>
      <c r="I176" s="42"/>
      <c r="J176" s="42"/>
      <c r="K176" s="42"/>
      <c r="L176" s="42"/>
      <c r="M176" s="42"/>
      <c r="N176" s="42"/>
      <c r="O176" s="42"/>
      <c r="P176" s="42"/>
      <c r="Q176" s="42"/>
      <c r="R176" s="42"/>
      <c r="S176" s="42"/>
      <c r="T176" s="42"/>
      <c r="U176" s="194"/>
      <c r="V176" s="42"/>
      <c r="W176" s="42"/>
      <c r="X176" s="42"/>
      <c r="Y176" s="42"/>
      <c r="Z176" s="42"/>
      <c r="AA176" s="42"/>
      <c r="AB176" s="195"/>
      <c r="AC176" s="42"/>
      <c r="AD176" s="42"/>
      <c r="AE176" s="195"/>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row>
    <row r="177" spans="1:256" ht="13.8" x14ac:dyDescent="0.3">
      <c r="A177" s="42"/>
      <c r="B177" s="42"/>
      <c r="C177" s="42"/>
      <c r="D177" s="42"/>
      <c r="E177" s="42"/>
      <c r="F177" s="42"/>
      <c r="G177" s="42"/>
      <c r="H177" s="42"/>
      <c r="I177" s="42"/>
      <c r="J177" s="42"/>
      <c r="K177" s="42"/>
      <c r="L177" s="42"/>
      <c r="M177" s="42"/>
      <c r="N177" s="42"/>
      <c r="O177" s="42"/>
      <c r="P177" s="42"/>
      <c r="Q177" s="42"/>
      <c r="R177" s="42"/>
      <c r="S177" s="42"/>
      <c r="T177" s="42"/>
      <c r="U177" s="194"/>
      <c r="V177" s="42"/>
      <c r="W177" s="42"/>
      <c r="X177" s="42"/>
      <c r="Y177" s="42"/>
      <c r="Z177" s="42"/>
      <c r="AA177" s="42"/>
      <c r="AB177" s="195"/>
      <c r="AC177" s="42"/>
      <c r="AD177" s="42"/>
      <c r="AE177" s="195"/>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row>
    <row r="178" spans="1:256" ht="13.8" x14ac:dyDescent="0.3">
      <c r="A178" s="42"/>
      <c r="B178" s="42"/>
      <c r="C178" s="42"/>
      <c r="D178" s="42"/>
      <c r="E178" s="42"/>
      <c r="F178" s="42"/>
      <c r="G178" s="42"/>
      <c r="H178" s="42"/>
      <c r="I178" s="42"/>
      <c r="J178" s="42"/>
      <c r="K178" s="42"/>
      <c r="L178" s="42"/>
      <c r="M178" s="42"/>
      <c r="N178" s="42"/>
      <c r="O178" s="42"/>
      <c r="P178" s="42"/>
      <c r="Q178" s="42"/>
      <c r="R178" s="42"/>
      <c r="S178" s="42"/>
      <c r="T178" s="42"/>
      <c r="U178" s="194"/>
      <c r="V178" s="42"/>
      <c r="W178" s="42"/>
      <c r="X178" s="42"/>
      <c r="Y178" s="42"/>
      <c r="Z178" s="42"/>
      <c r="AA178" s="42"/>
      <c r="AB178" s="195"/>
      <c r="AC178" s="42"/>
      <c r="AD178" s="42"/>
      <c r="AE178" s="195"/>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row>
    <row r="179" spans="1:256" ht="13.8" x14ac:dyDescent="0.3">
      <c r="A179" s="42"/>
      <c r="B179" s="42"/>
      <c r="C179" s="42"/>
      <c r="D179" s="42"/>
      <c r="E179" s="42"/>
      <c r="F179" s="42"/>
      <c r="G179" s="42"/>
      <c r="H179" s="42"/>
      <c r="I179" s="42"/>
      <c r="J179" s="42"/>
      <c r="K179" s="42"/>
      <c r="L179" s="42"/>
      <c r="M179" s="42"/>
      <c r="N179" s="42"/>
      <c r="O179" s="42"/>
      <c r="P179" s="42"/>
      <c r="Q179" s="42"/>
      <c r="R179" s="42"/>
      <c r="S179" s="42"/>
      <c r="T179" s="42"/>
      <c r="U179" s="194"/>
      <c r="V179" s="42"/>
      <c r="W179" s="42"/>
      <c r="X179" s="42"/>
      <c r="Y179" s="42"/>
      <c r="Z179" s="42"/>
      <c r="AA179" s="42"/>
      <c r="AB179" s="195"/>
      <c r="AC179" s="42"/>
      <c r="AD179" s="42"/>
      <c r="AE179" s="195"/>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row>
    <row r="180" spans="1:256" ht="13.8" x14ac:dyDescent="0.3">
      <c r="A180" s="42"/>
      <c r="B180" s="42"/>
      <c r="C180" s="42"/>
      <c r="D180" s="42"/>
      <c r="E180" s="42"/>
      <c r="F180" s="42"/>
      <c r="G180" s="42"/>
      <c r="H180" s="42"/>
      <c r="I180" s="42"/>
      <c r="J180" s="42"/>
      <c r="K180" s="42"/>
      <c r="L180" s="42"/>
      <c r="M180" s="42"/>
      <c r="N180" s="42"/>
      <c r="O180" s="42"/>
      <c r="P180" s="42"/>
      <c r="Q180" s="42"/>
      <c r="R180" s="42"/>
      <c r="S180" s="42"/>
      <c r="T180" s="42"/>
      <c r="U180" s="194"/>
      <c r="V180" s="42"/>
      <c r="W180" s="42"/>
      <c r="X180" s="42"/>
      <c r="Y180" s="42"/>
      <c r="Z180" s="42"/>
      <c r="AA180" s="42"/>
      <c r="AB180" s="195"/>
      <c r="AC180" s="42"/>
      <c r="AD180" s="42"/>
      <c r="AE180" s="195"/>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row>
    <row r="181" spans="1:256" ht="13.8" x14ac:dyDescent="0.3">
      <c r="A181" s="42"/>
      <c r="B181" s="42"/>
      <c r="C181" s="42"/>
      <c r="D181" s="42"/>
      <c r="E181" s="42"/>
      <c r="F181" s="42"/>
      <c r="G181" s="42"/>
      <c r="H181" s="42"/>
      <c r="I181" s="42"/>
      <c r="J181" s="42"/>
      <c r="K181" s="42"/>
      <c r="L181" s="42"/>
      <c r="M181" s="42"/>
      <c r="N181" s="42"/>
      <c r="O181" s="42"/>
      <c r="P181" s="42"/>
      <c r="Q181" s="42"/>
      <c r="R181" s="42"/>
      <c r="S181" s="42"/>
      <c r="T181" s="42"/>
      <c r="U181" s="194"/>
      <c r="V181" s="42"/>
      <c r="W181" s="42"/>
      <c r="X181" s="42"/>
      <c r="Y181" s="42"/>
      <c r="Z181" s="42"/>
      <c r="AA181" s="42"/>
      <c r="AB181" s="195"/>
      <c r="AC181" s="42"/>
      <c r="AD181" s="42"/>
      <c r="AE181" s="195"/>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row>
    <row r="182" spans="1:256" ht="13.8" x14ac:dyDescent="0.3">
      <c r="A182" s="42"/>
      <c r="B182" s="42"/>
      <c r="C182" s="42"/>
      <c r="D182" s="42"/>
      <c r="E182" s="42"/>
      <c r="F182" s="42"/>
      <c r="G182" s="42"/>
      <c r="H182" s="42"/>
      <c r="I182" s="42"/>
      <c r="J182" s="42"/>
      <c r="K182" s="42"/>
      <c r="L182" s="42"/>
      <c r="M182" s="42"/>
      <c r="N182" s="42"/>
      <c r="O182" s="42"/>
      <c r="P182" s="42"/>
      <c r="Q182" s="42"/>
      <c r="R182" s="42"/>
      <c r="S182" s="42"/>
      <c r="T182" s="42"/>
      <c r="U182" s="194"/>
      <c r="V182" s="42"/>
      <c r="W182" s="42"/>
      <c r="X182" s="42"/>
      <c r="Y182" s="42"/>
      <c r="Z182" s="42"/>
      <c r="AA182" s="42"/>
      <c r="AB182" s="195"/>
      <c r="AC182" s="42"/>
      <c r="AD182" s="42"/>
      <c r="AE182" s="195"/>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row>
    <row r="183" spans="1:256" ht="13.8" x14ac:dyDescent="0.3">
      <c r="A183" s="42"/>
      <c r="B183" s="42"/>
      <c r="C183" s="42"/>
      <c r="D183" s="42"/>
      <c r="E183" s="42"/>
      <c r="F183" s="42"/>
      <c r="G183" s="42"/>
      <c r="H183" s="42"/>
      <c r="I183" s="42"/>
      <c r="J183" s="42"/>
      <c r="K183" s="42"/>
      <c r="L183" s="42"/>
      <c r="M183" s="42"/>
      <c r="N183" s="42"/>
      <c r="O183" s="42"/>
      <c r="P183" s="42"/>
      <c r="Q183" s="42"/>
      <c r="R183" s="42"/>
      <c r="S183" s="42"/>
      <c r="T183" s="42"/>
      <c r="U183" s="194"/>
      <c r="V183" s="42"/>
      <c r="W183" s="42"/>
      <c r="X183" s="42"/>
      <c r="Y183" s="42"/>
      <c r="Z183" s="42"/>
      <c r="AA183" s="42"/>
      <c r="AB183" s="195"/>
      <c r="AC183" s="42"/>
      <c r="AD183" s="42"/>
      <c r="AE183" s="195"/>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row>
    <row r="184" spans="1:256" ht="13.8" x14ac:dyDescent="0.3">
      <c r="A184" s="42"/>
      <c r="B184" s="42"/>
      <c r="C184" s="42"/>
      <c r="D184" s="42"/>
      <c r="E184" s="42"/>
      <c r="F184" s="42"/>
      <c r="G184" s="42"/>
      <c r="H184" s="42"/>
      <c r="I184" s="42"/>
      <c r="J184" s="42"/>
      <c r="K184" s="42"/>
      <c r="L184" s="42"/>
      <c r="M184" s="42"/>
      <c r="N184" s="42"/>
      <c r="O184" s="42"/>
      <c r="P184" s="42"/>
      <c r="Q184" s="42"/>
      <c r="R184" s="42"/>
      <c r="S184" s="42"/>
      <c r="T184" s="42"/>
      <c r="U184" s="194"/>
      <c r="V184" s="42"/>
      <c r="W184" s="42"/>
      <c r="X184" s="42"/>
      <c r="Y184" s="42"/>
      <c r="Z184" s="42"/>
      <c r="AA184" s="42"/>
      <c r="AB184" s="195"/>
      <c r="AC184" s="42"/>
      <c r="AD184" s="42"/>
      <c r="AE184" s="195"/>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row>
    <row r="185" spans="1:256" ht="13.8" x14ac:dyDescent="0.3">
      <c r="A185" s="42"/>
      <c r="B185" s="42"/>
      <c r="C185" s="42"/>
      <c r="D185" s="42"/>
      <c r="E185" s="42"/>
      <c r="F185" s="42"/>
      <c r="G185" s="42"/>
      <c r="H185" s="42"/>
      <c r="I185" s="42"/>
      <c r="J185" s="42"/>
      <c r="K185" s="42"/>
      <c r="L185" s="42"/>
      <c r="M185" s="42"/>
      <c r="N185" s="42"/>
      <c r="O185" s="42"/>
      <c r="P185" s="42"/>
      <c r="Q185" s="42"/>
      <c r="R185" s="42"/>
      <c r="S185" s="42"/>
      <c r="T185" s="42"/>
      <c r="U185" s="194"/>
      <c r="V185" s="42"/>
      <c r="W185" s="42"/>
      <c r="X185" s="42"/>
      <c r="Y185" s="42"/>
      <c r="Z185" s="42"/>
      <c r="AA185" s="42"/>
      <c r="AB185" s="195"/>
      <c r="AC185" s="42"/>
      <c r="AD185" s="42"/>
      <c r="AE185" s="195"/>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row>
    <row r="186" spans="1:256" ht="13.8" x14ac:dyDescent="0.3">
      <c r="A186" s="42"/>
      <c r="B186" s="42"/>
      <c r="C186" s="42"/>
      <c r="D186" s="42"/>
      <c r="E186" s="42"/>
      <c r="F186" s="42"/>
      <c r="G186" s="42"/>
      <c r="H186" s="42"/>
      <c r="I186" s="42"/>
      <c r="J186" s="42"/>
      <c r="K186" s="42"/>
      <c r="L186" s="42"/>
      <c r="M186" s="42"/>
      <c r="N186" s="42"/>
      <c r="O186" s="42"/>
      <c r="P186" s="42"/>
      <c r="Q186" s="42"/>
      <c r="R186" s="42"/>
      <c r="S186" s="42"/>
      <c r="T186" s="42"/>
      <c r="U186" s="194"/>
      <c r="V186" s="42"/>
      <c r="W186" s="42"/>
      <c r="X186" s="42"/>
      <c r="Y186" s="42"/>
      <c r="Z186" s="42"/>
      <c r="AA186" s="42"/>
      <c r="AB186" s="195"/>
      <c r="AC186" s="42"/>
      <c r="AD186" s="42"/>
      <c r="AE186" s="195"/>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row>
    <row r="187" spans="1:256" ht="13.8" x14ac:dyDescent="0.3">
      <c r="A187" s="42"/>
      <c r="B187" s="42"/>
      <c r="C187" s="42"/>
      <c r="D187" s="42"/>
      <c r="E187" s="42"/>
      <c r="F187" s="42"/>
      <c r="G187" s="42"/>
      <c r="H187" s="42"/>
      <c r="I187" s="42"/>
      <c r="J187" s="42"/>
      <c r="K187" s="42"/>
      <c r="L187" s="42"/>
      <c r="M187" s="42"/>
      <c r="N187" s="42"/>
      <c r="O187" s="42"/>
      <c r="P187" s="42"/>
      <c r="Q187" s="42"/>
      <c r="R187" s="42"/>
      <c r="S187" s="42"/>
      <c r="T187" s="42"/>
      <c r="U187" s="194"/>
      <c r="V187" s="42"/>
      <c r="W187" s="42"/>
      <c r="X187" s="42"/>
      <c r="Y187" s="42"/>
      <c r="Z187" s="42"/>
      <c r="AA187" s="42"/>
      <c r="AB187" s="195"/>
      <c r="AC187" s="42"/>
      <c r="AD187" s="42"/>
      <c r="AE187" s="195"/>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row>
    <row r="188" spans="1:256" ht="13.8" x14ac:dyDescent="0.3">
      <c r="A188" s="42"/>
      <c r="B188" s="42"/>
      <c r="C188" s="42"/>
      <c r="D188" s="42"/>
      <c r="E188" s="42"/>
      <c r="F188" s="42"/>
      <c r="G188" s="42"/>
      <c r="H188" s="42"/>
      <c r="I188" s="42"/>
      <c r="J188" s="42"/>
      <c r="K188" s="42"/>
      <c r="L188" s="42"/>
      <c r="M188" s="42"/>
      <c r="N188" s="42"/>
      <c r="O188" s="42"/>
      <c r="P188" s="42"/>
      <c r="Q188" s="42"/>
      <c r="R188" s="42"/>
      <c r="S188" s="42"/>
      <c r="T188" s="42"/>
      <c r="U188" s="194"/>
      <c r="V188" s="42"/>
      <c r="W188" s="42"/>
      <c r="X188" s="42"/>
      <c r="Y188" s="42"/>
      <c r="Z188" s="42"/>
      <c r="AA188" s="42"/>
      <c r="AB188" s="195"/>
      <c r="AC188" s="42"/>
      <c r="AD188" s="42"/>
      <c r="AE188" s="195"/>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row>
    <row r="189" spans="1:256" ht="13.8" x14ac:dyDescent="0.3">
      <c r="A189" s="42"/>
      <c r="B189" s="42"/>
      <c r="C189" s="42"/>
      <c r="D189" s="42"/>
      <c r="E189" s="42"/>
      <c r="F189" s="42"/>
      <c r="G189" s="42"/>
      <c r="H189" s="42"/>
      <c r="I189" s="42"/>
      <c r="J189" s="42"/>
      <c r="K189" s="42"/>
      <c r="L189" s="42"/>
      <c r="M189" s="42"/>
      <c r="N189" s="42"/>
      <c r="O189" s="42"/>
      <c r="P189" s="42"/>
      <c r="Q189" s="42"/>
      <c r="R189" s="42"/>
      <c r="S189" s="42"/>
      <c r="T189" s="42"/>
      <c r="U189" s="194"/>
      <c r="V189" s="42"/>
      <c r="W189" s="42"/>
      <c r="X189" s="42"/>
      <c r="Y189" s="42"/>
      <c r="Z189" s="42"/>
      <c r="AA189" s="42"/>
      <c r="AB189" s="195"/>
      <c r="AC189" s="42"/>
      <c r="AD189" s="42"/>
      <c r="AE189" s="195"/>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row>
    <row r="190" spans="1:256" ht="13.8" x14ac:dyDescent="0.3">
      <c r="A190" s="42"/>
      <c r="B190" s="42"/>
      <c r="C190" s="42"/>
      <c r="D190" s="42"/>
      <c r="E190" s="42"/>
      <c r="F190" s="42"/>
      <c r="G190" s="42"/>
      <c r="H190" s="42"/>
      <c r="I190" s="42"/>
      <c r="J190" s="42"/>
      <c r="K190" s="42"/>
      <c r="L190" s="42"/>
      <c r="M190" s="42"/>
      <c r="N190" s="42"/>
      <c r="O190" s="42"/>
      <c r="P190" s="42"/>
      <c r="Q190" s="42"/>
      <c r="R190" s="42"/>
      <c r="S190" s="42"/>
      <c r="T190" s="42"/>
      <c r="U190" s="194"/>
      <c r="V190" s="42"/>
      <c r="W190" s="42"/>
      <c r="X190" s="42"/>
      <c r="Y190" s="42"/>
      <c r="Z190" s="42"/>
      <c r="AA190" s="42"/>
      <c r="AB190" s="195"/>
      <c r="AC190" s="42"/>
      <c r="AD190" s="42"/>
      <c r="AE190" s="195"/>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row>
    <row r="191" spans="1:256" ht="13.8" x14ac:dyDescent="0.3">
      <c r="A191" s="42"/>
      <c r="B191" s="42"/>
      <c r="C191" s="42"/>
      <c r="D191" s="42"/>
      <c r="E191" s="42"/>
      <c r="F191" s="42"/>
      <c r="G191" s="42"/>
      <c r="H191" s="42"/>
      <c r="I191" s="42"/>
      <c r="J191" s="42"/>
      <c r="K191" s="42"/>
      <c r="L191" s="42"/>
      <c r="M191" s="42"/>
      <c r="N191" s="42"/>
      <c r="O191" s="42"/>
      <c r="P191" s="42"/>
      <c r="Q191" s="42"/>
      <c r="R191" s="42"/>
      <c r="S191" s="42"/>
      <c r="T191" s="42"/>
      <c r="U191" s="194"/>
      <c r="V191" s="42"/>
      <c r="W191" s="42"/>
      <c r="X191" s="42"/>
      <c r="Y191" s="42"/>
      <c r="Z191" s="42"/>
      <c r="AA191" s="42"/>
      <c r="AB191" s="195"/>
      <c r="AC191" s="42"/>
      <c r="AD191" s="42"/>
      <c r="AE191" s="195"/>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row>
    <row r="192" spans="1:256" ht="13.8" x14ac:dyDescent="0.3">
      <c r="A192" s="42"/>
      <c r="B192" s="42"/>
      <c r="C192" s="42"/>
      <c r="D192" s="42"/>
      <c r="E192" s="42"/>
      <c r="F192" s="42"/>
      <c r="G192" s="42"/>
      <c r="H192" s="42"/>
      <c r="I192" s="42"/>
      <c r="J192" s="42"/>
      <c r="K192" s="42"/>
      <c r="L192" s="42"/>
      <c r="M192" s="42"/>
      <c r="N192" s="42"/>
      <c r="O192" s="42"/>
      <c r="P192" s="42"/>
      <c r="Q192" s="42"/>
      <c r="R192" s="42"/>
      <c r="S192" s="42"/>
      <c r="T192" s="42"/>
      <c r="U192" s="194"/>
      <c r="V192" s="42"/>
      <c r="W192" s="42"/>
      <c r="X192" s="42"/>
      <c r="Y192" s="42"/>
      <c r="Z192" s="42"/>
      <c r="AA192" s="42"/>
      <c r="AB192" s="195"/>
      <c r="AC192" s="42"/>
      <c r="AD192" s="42"/>
      <c r="AE192" s="195"/>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row>
    <row r="193" spans="1:256" ht="13.8" x14ac:dyDescent="0.3">
      <c r="A193" s="42"/>
      <c r="B193" s="42"/>
      <c r="C193" s="42"/>
      <c r="D193" s="42"/>
      <c r="E193" s="42"/>
      <c r="F193" s="42"/>
      <c r="G193" s="42"/>
      <c r="H193" s="42"/>
      <c r="I193" s="42"/>
      <c r="J193" s="42"/>
      <c r="K193" s="42"/>
      <c r="L193" s="42"/>
      <c r="M193" s="42"/>
      <c r="N193" s="42"/>
      <c r="O193" s="42"/>
      <c r="P193" s="42"/>
      <c r="Q193" s="42"/>
      <c r="R193" s="42"/>
      <c r="S193" s="42"/>
      <c r="T193" s="42"/>
      <c r="U193" s="194"/>
      <c r="V193" s="42"/>
      <c r="W193" s="42"/>
      <c r="X193" s="42"/>
      <c r="Y193" s="42"/>
      <c r="Z193" s="42"/>
      <c r="AA193" s="42"/>
      <c r="AB193" s="195"/>
      <c r="AC193" s="42"/>
      <c r="AD193" s="42"/>
      <c r="AE193" s="195"/>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row>
    <row r="194" spans="1:256" ht="13.8" x14ac:dyDescent="0.3">
      <c r="A194" s="42"/>
      <c r="B194" s="42"/>
      <c r="C194" s="42"/>
      <c r="D194" s="42"/>
      <c r="E194" s="42"/>
      <c r="F194" s="42"/>
      <c r="G194" s="42"/>
      <c r="H194" s="42"/>
      <c r="I194" s="42"/>
      <c r="J194" s="42"/>
      <c r="K194" s="42"/>
      <c r="L194" s="42"/>
      <c r="M194" s="42"/>
      <c r="N194" s="42"/>
      <c r="O194" s="42"/>
      <c r="P194" s="42"/>
      <c r="Q194" s="42"/>
      <c r="R194" s="42"/>
      <c r="S194" s="42"/>
      <c r="T194" s="42"/>
      <c r="U194" s="194"/>
      <c r="V194" s="42"/>
      <c r="W194" s="42"/>
      <c r="X194" s="42"/>
      <c r="Y194" s="42"/>
      <c r="Z194" s="42"/>
      <c r="AA194" s="42"/>
      <c r="AB194" s="195"/>
      <c r="AC194" s="42"/>
      <c r="AD194" s="42"/>
      <c r="AE194" s="195"/>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row>
    <row r="195" spans="1:256" ht="13.8" x14ac:dyDescent="0.3">
      <c r="A195" s="42"/>
      <c r="B195" s="42"/>
      <c r="C195" s="42"/>
      <c r="D195" s="42"/>
      <c r="E195" s="42"/>
      <c r="F195" s="42"/>
      <c r="G195" s="42"/>
      <c r="H195" s="42"/>
      <c r="I195" s="42"/>
      <c r="J195" s="42"/>
      <c r="K195" s="42"/>
      <c r="L195" s="42"/>
      <c r="M195" s="42"/>
      <c r="N195" s="42"/>
      <c r="O195" s="42"/>
      <c r="P195" s="42"/>
      <c r="Q195" s="42"/>
      <c r="R195" s="42"/>
      <c r="S195" s="42"/>
      <c r="T195" s="42"/>
      <c r="U195" s="194"/>
      <c r="V195" s="42"/>
      <c r="W195" s="42"/>
      <c r="X195" s="42"/>
      <c r="Y195" s="42"/>
      <c r="Z195" s="42"/>
      <c r="AA195" s="42"/>
      <c r="AB195" s="195"/>
      <c r="AC195" s="42"/>
      <c r="AD195" s="42"/>
      <c r="AE195" s="195"/>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row>
    <row r="196" spans="1:256" ht="13.8" x14ac:dyDescent="0.3">
      <c r="A196" s="42"/>
      <c r="B196" s="42"/>
      <c r="C196" s="42"/>
      <c r="D196" s="42"/>
      <c r="E196" s="42"/>
      <c r="F196" s="42"/>
      <c r="G196" s="42"/>
      <c r="H196" s="42"/>
      <c r="I196" s="42"/>
      <c r="J196" s="42"/>
      <c r="K196" s="42"/>
      <c r="L196" s="42"/>
      <c r="M196" s="42"/>
      <c r="N196" s="42"/>
      <c r="O196" s="42"/>
      <c r="P196" s="42"/>
      <c r="Q196" s="42"/>
      <c r="R196" s="42"/>
      <c r="S196" s="42"/>
      <c r="T196" s="42"/>
      <c r="U196" s="194"/>
      <c r="V196" s="42"/>
      <c r="W196" s="42"/>
      <c r="X196" s="42"/>
      <c r="Y196" s="42"/>
      <c r="Z196" s="42"/>
      <c r="AA196" s="42"/>
      <c r="AB196" s="195"/>
      <c r="AC196" s="42"/>
      <c r="AD196" s="42"/>
      <c r="AE196" s="195"/>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row>
    <row r="197" spans="1:256" ht="13.8" x14ac:dyDescent="0.3">
      <c r="A197" s="42"/>
      <c r="B197" s="42"/>
      <c r="C197" s="42"/>
      <c r="D197" s="42"/>
      <c r="E197" s="42"/>
      <c r="F197" s="42"/>
      <c r="G197" s="42"/>
      <c r="H197" s="42"/>
      <c r="I197" s="42"/>
      <c r="J197" s="42"/>
      <c r="K197" s="42"/>
      <c r="L197" s="42"/>
      <c r="M197" s="42"/>
      <c r="N197" s="42"/>
      <c r="O197" s="42"/>
      <c r="P197" s="42"/>
      <c r="Q197" s="42"/>
      <c r="R197" s="42"/>
      <c r="S197" s="42"/>
      <c r="T197" s="42"/>
      <c r="U197" s="194"/>
      <c r="V197" s="42"/>
      <c r="W197" s="42"/>
      <c r="X197" s="42"/>
      <c r="Y197" s="42"/>
      <c r="Z197" s="42"/>
      <c r="AA197" s="42"/>
      <c r="AB197" s="195"/>
      <c r="AC197" s="42"/>
      <c r="AD197" s="42"/>
      <c r="AE197" s="195"/>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row>
    <row r="198" spans="1:256" ht="13.8" x14ac:dyDescent="0.3">
      <c r="A198" s="42"/>
      <c r="B198" s="42"/>
      <c r="C198" s="42"/>
      <c r="D198" s="42"/>
      <c r="E198" s="42"/>
      <c r="F198" s="42"/>
      <c r="G198" s="42"/>
      <c r="H198" s="42"/>
      <c r="I198" s="42"/>
      <c r="J198" s="42"/>
      <c r="K198" s="42"/>
      <c r="L198" s="42"/>
      <c r="M198" s="42"/>
      <c r="N198" s="42"/>
      <c r="O198" s="42"/>
      <c r="P198" s="42"/>
      <c r="Q198" s="42"/>
      <c r="R198" s="42"/>
      <c r="S198" s="42"/>
      <c r="T198" s="42"/>
      <c r="U198" s="194"/>
      <c r="V198" s="42"/>
      <c r="W198" s="42"/>
      <c r="X198" s="42"/>
      <c r="Y198" s="42"/>
      <c r="Z198" s="42"/>
      <c r="AA198" s="42"/>
      <c r="AB198" s="195"/>
      <c r="AC198" s="42"/>
      <c r="AD198" s="42"/>
      <c r="AE198" s="195"/>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row>
    <row r="199" spans="1:256" ht="13.8" x14ac:dyDescent="0.3">
      <c r="A199" s="42"/>
      <c r="B199" s="42"/>
      <c r="C199" s="42"/>
      <c r="D199" s="42"/>
      <c r="E199" s="42"/>
      <c r="F199" s="42"/>
      <c r="G199" s="42"/>
      <c r="H199" s="42"/>
      <c r="I199" s="42"/>
      <c r="J199" s="42"/>
      <c r="K199" s="42"/>
      <c r="L199" s="42"/>
      <c r="M199" s="42"/>
      <c r="N199" s="42"/>
      <c r="O199" s="42"/>
      <c r="P199" s="42"/>
      <c r="Q199" s="42"/>
      <c r="R199" s="42"/>
      <c r="S199" s="42"/>
      <c r="T199" s="42"/>
      <c r="U199" s="194"/>
      <c r="V199" s="42"/>
      <c r="W199" s="42"/>
      <c r="X199" s="42"/>
      <c r="Y199" s="42"/>
      <c r="Z199" s="42"/>
      <c r="AA199" s="42"/>
      <c r="AB199" s="195"/>
      <c r="AC199" s="42"/>
      <c r="AD199" s="42"/>
      <c r="AE199" s="195"/>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row>
    <row r="200" spans="1:256" ht="13.8" x14ac:dyDescent="0.3">
      <c r="A200" s="42"/>
      <c r="B200" s="42"/>
      <c r="C200" s="42"/>
      <c r="D200" s="42"/>
      <c r="E200" s="42"/>
      <c r="F200" s="42"/>
      <c r="G200" s="42"/>
      <c r="H200" s="42"/>
      <c r="I200" s="42"/>
      <c r="J200" s="42"/>
      <c r="K200" s="42"/>
      <c r="L200" s="42"/>
      <c r="M200" s="42"/>
      <c r="N200" s="42"/>
      <c r="O200" s="42"/>
      <c r="P200" s="42"/>
      <c r="Q200" s="42"/>
      <c r="R200" s="42"/>
      <c r="S200" s="42"/>
      <c r="T200" s="42"/>
      <c r="U200" s="194"/>
      <c r="V200" s="42"/>
      <c r="W200" s="42"/>
      <c r="X200" s="42"/>
      <c r="Y200" s="42"/>
      <c r="Z200" s="42"/>
      <c r="AA200" s="42"/>
      <c r="AB200" s="195"/>
      <c r="AC200" s="42"/>
      <c r="AD200" s="42"/>
      <c r="AE200" s="195"/>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row>
    <row r="201" spans="1:256" ht="13.8" x14ac:dyDescent="0.3">
      <c r="A201" s="42"/>
      <c r="B201" s="42"/>
      <c r="C201" s="42"/>
      <c r="D201" s="42"/>
      <c r="E201" s="42"/>
      <c r="F201" s="42"/>
      <c r="G201" s="42"/>
      <c r="H201" s="42"/>
      <c r="I201" s="42"/>
      <c r="J201" s="42"/>
      <c r="K201" s="42"/>
      <c r="L201" s="42"/>
      <c r="M201" s="42"/>
      <c r="N201" s="42"/>
      <c r="O201" s="42"/>
      <c r="P201" s="42"/>
      <c r="Q201" s="42"/>
      <c r="R201" s="42"/>
      <c r="S201" s="42"/>
      <c r="T201" s="42"/>
      <c r="U201" s="194"/>
      <c r="V201" s="42"/>
      <c r="W201" s="42"/>
      <c r="X201" s="42"/>
      <c r="Y201" s="42"/>
      <c r="Z201" s="42"/>
      <c r="AA201" s="42"/>
      <c r="AB201" s="195"/>
      <c r="AC201" s="42"/>
      <c r="AD201" s="42"/>
      <c r="AE201" s="195"/>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row>
    <row r="202" spans="1:256" ht="13.8" x14ac:dyDescent="0.3">
      <c r="A202" s="42"/>
      <c r="B202" s="42"/>
      <c r="C202" s="42"/>
      <c r="D202" s="42"/>
      <c r="E202" s="42"/>
      <c r="F202" s="42"/>
      <c r="G202" s="42"/>
      <c r="H202" s="42"/>
      <c r="I202" s="42"/>
      <c r="J202" s="42"/>
      <c r="K202" s="42"/>
      <c r="L202" s="42"/>
      <c r="M202" s="42"/>
      <c r="N202" s="42"/>
      <c r="O202" s="42"/>
      <c r="P202" s="42"/>
      <c r="Q202" s="42"/>
      <c r="R202" s="42"/>
      <c r="S202" s="42"/>
      <c r="T202" s="42"/>
      <c r="U202" s="194"/>
      <c r="V202" s="42"/>
      <c r="W202" s="42"/>
      <c r="X202" s="42"/>
      <c r="Y202" s="42"/>
      <c r="Z202" s="42"/>
      <c r="AA202" s="42"/>
      <c r="AB202" s="195"/>
      <c r="AC202" s="42"/>
      <c r="AD202" s="42"/>
      <c r="AE202" s="195"/>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row>
    <row r="203" spans="1:256" ht="13.8" x14ac:dyDescent="0.3">
      <c r="A203" s="42"/>
      <c r="B203" s="42"/>
      <c r="C203" s="42"/>
      <c r="D203" s="42"/>
      <c r="E203" s="42"/>
      <c r="F203" s="42"/>
      <c r="G203" s="42"/>
      <c r="H203" s="42"/>
      <c r="I203" s="42"/>
      <c r="J203" s="42"/>
      <c r="K203" s="42"/>
      <c r="L203" s="42"/>
      <c r="M203" s="42"/>
      <c r="N203" s="42"/>
      <c r="O203" s="42"/>
      <c r="P203" s="42"/>
      <c r="Q203" s="42"/>
      <c r="R203" s="42"/>
      <c r="S203" s="42"/>
      <c r="T203" s="42"/>
      <c r="U203" s="194"/>
      <c r="V203" s="42"/>
      <c r="W203" s="42"/>
      <c r="X203" s="42"/>
      <c r="Y203" s="42"/>
      <c r="Z203" s="42"/>
      <c r="AA203" s="42"/>
      <c r="AB203" s="195"/>
      <c r="AC203" s="42"/>
      <c r="AD203" s="42"/>
      <c r="AE203" s="195"/>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row>
    <row r="204" spans="1:256" ht="13.8" x14ac:dyDescent="0.3">
      <c r="A204" s="42"/>
      <c r="B204" s="42"/>
      <c r="C204" s="42"/>
      <c r="D204" s="42"/>
      <c r="E204" s="42"/>
      <c r="F204" s="42"/>
      <c r="G204" s="42"/>
      <c r="H204" s="42"/>
      <c r="I204" s="42"/>
      <c r="J204" s="42"/>
      <c r="K204" s="42"/>
      <c r="L204" s="42"/>
      <c r="M204" s="42"/>
      <c r="N204" s="42"/>
      <c r="O204" s="42"/>
      <c r="P204" s="42"/>
      <c r="Q204" s="42"/>
      <c r="R204" s="42"/>
      <c r="S204" s="42"/>
      <c r="T204" s="42"/>
      <c r="U204" s="194"/>
      <c r="V204" s="42"/>
      <c r="W204" s="42"/>
      <c r="X204" s="42"/>
      <c r="Y204" s="42"/>
      <c r="Z204" s="42"/>
      <c r="AA204" s="42"/>
      <c r="AB204" s="195"/>
      <c r="AC204" s="42"/>
      <c r="AD204" s="42"/>
      <c r="AE204" s="195"/>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row>
    <row r="205" spans="1:256" ht="13.8" x14ac:dyDescent="0.3">
      <c r="A205" s="42"/>
      <c r="B205" s="42"/>
      <c r="C205" s="42"/>
      <c r="D205" s="42"/>
      <c r="E205" s="42"/>
      <c r="F205" s="42"/>
      <c r="G205" s="42"/>
      <c r="H205" s="42"/>
      <c r="I205" s="42"/>
      <c r="J205" s="42"/>
      <c r="K205" s="42"/>
      <c r="L205" s="42"/>
      <c r="M205" s="42"/>
      <c r="N205" s="42"/>
      <c r="O205" s="42"/>
      <c r="P205" s="42"/>
      <c r="Q205" s="42"/>
      <c r="R205" s="42"/>
      <c r="S205" s="42"/>
      <c r="T205" s="42"/>
      <c r="U205" s="194"/>
      <c r="V205" s="42"/>
      <c r="W205" s="42"/>
      <c r="X205" s="42"/>
      <c r="Y205" s="42"/>
      <c r="Z205" s="42"/>
      <c r="AA205" s="42"/>
      <c r="AB205" s="195"/>
      <c r="AC205" s="42"/>
      <c r="AD205" s="42"/>
      <c r="AE205" s="195"/>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row>
    <row r="206" spans="1:256" ht="13.8" x14ac:dyDescent="0.3">
      <c r="A206" s="42"/>
      <c r="B206" s="42"/>
      <c r="C206" s="42"/>
      <c r="D206" s="42"/>
      <c r="E206" s="42"/>
      <c r="F206" s="42"/>
      <c r="G206" s="42"/>
      <c r="H206" s="42"/>
      <c r="I206" s="42"/>
      <c r="J206" s="42"/>
      <c r="K206" s="42"/>
      <c r="L206" s="42"/>
      <c r="M206" s="42"/>
      <c r="N206" s="42"/>
      <c r="O206" s="42"/>
      <c r="P206" s="42"/>
      <c r="Q206" s="42"/>
      <c r="R206" s="42"/>
      <c r="S206" s="42"/>
      <c r="T206" s="42"/>
      <c r="U206" s="194"/>
      <c r="V206" s="42"/>
      <c r="W206" s="42"/>
      <c r="X206" s="42"/>
      <c r="Y206" s="42"/>
      <c r="Z206" s="42"/>
      <c r="AA206" s="42"/>
      <c r="AB206" s="195"/>
      <c r="AC206" s="42"/>
      <c r="AD206" s="42"/>
      <c r="AE206" s="195"/>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row>
    <row r="207" spans="1:256" ht="13.8" x14ac:dyDescent="0.3">
      <c r="A207" s="42"/>
      <c r="B207" s="42"/>
      <c r="C207" s="42"/>
      <c r="D207" s="42"/>
      <c r="E207" s="42"/>
      <c r="F207" s="42"/>
      <c r="G207" s="42"/>
      <c r="H207" s="42"/>
      <c r="I207" s="42"/>
      <c r="J207" s="42"/>
      <c r="K207" s="42"/>
      <c r="L207" s="42"/>
      <c r="M207" s="42"/>
      <c r="N207" s="42"/>
      <c r="O207" s="42"/>
      <c r="P207" s="42"/>
      <c r="Q207" s="42"/>
      <c r="R207" s="42"/>
      <c r="S207" s="42"/>
      <c r="T207" s="42"/>
      <c r="U207" s="194"/>
      <c r="V207" s="42"/>
      <c r="W207" s="42"/>
      <c r="X207" s="42"/>
      <c r="Y207" s="42"/>
      <c r="Z207" s="42"/>
      <c r="AA207" s="42"/>
      <c r="AB207" s="195"/>
      <c r="AC207" s="42"/>
      <c r="AD207" s="42"/>
      <c r="AE207" s="195"/>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row>
    <row r="208" spans="1:256" ht="13.8" x14ac:dyDescent="0.3">
      <c r="A208" s="42"/>
      <c r="B208" s="42"/>
      <c r="C208" s="42"/>
      <c r="D208" s="42"/>
      <c r="E208" s="42"/>
      <c r="F208" s="42"/>
      <c r="G208" s="42"/>
      <c r="H208" s="42"/>
      <c r="I208" s="42"/>
      <c r="J208" s="42"/>
      <c r="K208" s="42"/>
      <c r="L208" s="42"/>
      <c r="M208" s="42"/>
      <c r="N208" s="42"/>
      <c r="O208" s="42"/>
      <c r="P208" s="42"/>
      <c r="Q208" s="42"/>
      <c r="R208" s="42"/>
      <c r="S208" s="42"/>
      <c r="T208" s="42"/>
      <c r="U208" s="194"/>
      <c r="V208" s="42"/>
      <c r="W208" s="42"/>
      <c r="X208" s="42"/>
      <c r="Y208" s="42"/>
      <c r="Z208" s="42"/>
      <c r="AA208" s="42"/>
      <c r="AB208" s="195"/>
      <c r="AC208" s="42"/>
      <c r="AD208" s="42"/>
      <c r="AE208" s="195"/>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row>
    <row r="209" spans="1:256" ht="13.8" x14ac:dyDescent="0.3">
      <c r="A209" s="42"/>
      <c r="B209" s="42"/>
      <c r="C209" s="42"/>
      <c r="D209" s="42"/>
      <c r="E209" s="42"/>
      <c r="F209" s="42"/>
      <c r="G209" s="42"/>
      <c r="H209" s="42"/>
      <c r="I209" s="42"/>
      <c r="J209" s="42"/>
      <c r="K209" s="42"/>
      <c r="L209" s="42"/>
      <c r="M209" s="42"/>
      <c r="N209" s="42"/>
      <c r="O209" s="42"/>
      <c r="P209" s="42"/>
      <c r="Q209" s="42"/>
      <c r="R209" s="42"/>
      <c r="S209" s="42"/>
      <c r="T209" s="42"/>
      <c r="U209" s="194"/>
      <c r="V209" s="42"/>
      <c r="W209" s="42"/>
      <c r="X209" s="42"/>
      <c r="Y209" s="42"/>
      <c r="Z209" s="42"/>
      <c r="AA209" s="42"/>
      <c r="AB209" s="195"/>
      <c r="AC209" s="42"/>
      <c r="AD209" s="42"/>
      <c r="AE209" s="195"/>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row>
    <row r="210" spans="1:256" ht="13.8" x14ac:dyDescent="0.3">
      <c r="A210" s="42"/>
      <c r="B210" s="42"/>
      <c r="C210" s="42"/>
      <c r="D210" s="42"/>
      <c r="E210" s="42"/>
      <c r="F210" s="42"/>
      <c r="G210" s="42"/>
      <c r="H210" s="42"/>
      <c r="I210" s="42"/>
      <c r="J210" s="42"/>
      <c r="K210" s="42"/>
      <c r="L210" s="42"/>
      <c r="M210" s="42"/>
      <c r="N210" s="42"/>
      <c r="O210" s="42"/>
      <c r="P210" s="42"/>
      <c r="Q210" s="42"/>
      <c r="R210" s="42"/>
      <c r="S210" s="42"/>
      <c r="T210" s="42"/>
      <c r="U210" s="194"/>
      <c r="V210" s="42"/>
      <c r="W210" s="42"/>
      <c r="X210" s="42"/>
      <c r="Y210" s="42"/>
      <c r="Z210" s="42"/>
      <c r="AA210" s="42"/>
      <c r="AB210" s="195"/>
      <c r="AC210" s="42"/>
      <c r="AD210" s="42"/>
      <c r="AE210" s="195"/>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row>
    <row r="211" spans="1:256" ht="13.8" x14ac:dyDescent="0.3">
      <c r="A211" s="42"/>
      <c r="B211" s="42"/>
      <c r="C211" s="42"/>
      <c r="D211" s="42"/>
      <c r="E211" s="42"/>
      <c r="F211" s="42"/>
      <c r="G211" s="42"/>
      <c r="H211" s="42"/>
      <c r="I211" s="42"/>
      <c r="J211" s="42"/>
      <c r="K211" s="42"/>
      <c r="L211" s="42"/>
      <c r="M211" s="42"/>
      <c r="N211" s="42"/>
      <c r="O211" s="42"/>
      <c r="P211" s="42"/>
      <c r="Q211" s="42"/>
      <c r="R211" s="42"/>
      <c r="S211" s="42"/>
      <c r="T211" s="42"/>
      <c r="U211" s="194"/>
      <c r="V211" s="42"/>
      <c r="W211" s="42"/>
      <c r="X211" s="42"/>
      <c r="Y211" s="42"/>
      <c r="Z211" s="42"/>
      <c r="AA211" s="42"/>
      <c r="AB211" s="195"/>
      <c r="AC211" s="42"/>
      <c r="AD211" s="42"/>
      <c r="AE211" s="195"/>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row>
    <row r="212" spans="1:256" ht="13.8" x14ac:dyDescent="0.3">
      <c r="A212" s="42"/>
      <c r="B212" s="42"/>
      <c r="C212" s="42"/>
      <c r="D212" s="42"/>
      <c r="E212" s="42"/>
      <c r="F212" s="42"/>
      <c r="G212" s="42"/>
      <c r="H212" s="42"/>
      <c r="I212" s="42"/>
      <c r="J212" s="42"/>
      <c r="K212" s="42"/>
      <c r="L212" s="42"/>
      <c r="M212" s="42"/>
      <c r="N212" s="42"/>
      <c r="O212" s="42"/>
      <c r="P212" s="42"/>
      <c r="Q212" s="42"/>
      <c r="R212" s="42"/>
      <c r="S212" s="42"/>
      <c r="T212" s="42"/>
      <c r="U212" s="194"/>
      <c r="V212" s="42"/>
      <c r="W212" s="42"/>
      <c r="X212" s="42"/>
      <c r="Y212" s="42"/>
      <c r="Z212" s="42"/>
      <c r="AA212" s="42"/>
      <c r="AB212" s="195"/>
      <c r="AC212" s="42"/>
      <c r="AD212" s="42"/>
      <c r="AE212" s="195"/>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row>
    <row r="213" spans="1:256" ht="13.8" x14ac:dyDescent="0.3">
      <c r="A213" s="42"/>
      <c r="B213" s="42"/>
      <c r="C213" s="42"/>
      <c r="D213" s="42"/>
      <c r="E213" s="42"/>
      <c r="F213" s="42"/>
      <c r="G213" s="42"/>
      <c r="H213" s="42"/>
      <c r="I213" s="42"/>
      <c r="J213" s="42"/>
      <c r="K213" s="42"/>
      <c r="L213" s="42"/>
      <c r="M213" s="42"/>
      <c r="N213" s="42"/>
      <c r="O213" s="42"/>
      <c r="P213" s="42"/>
      <c r="Q213" s="42"/>
      <c r="R213" s="42"/>
      <c r="S213" s="42"/>
      <c r="T213" s="42"/>
      <c r="U213" s="194"/>
      <c r="V213" s="42"/>
      <c r="W213" s="42"/>
      <c r="X213" s="42"/>
      <c r="Y213" s="42"/>
      <c r="Z213" s="42"/>
      <c r="AA213" s="42"/>
      <c r="AB213" s="195"/>
      <c r="AC213" s="42"/>
      <c r="AD213" s="42"/>
      <c r="AE213" s="195"/>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row>
    <row r="214" spans="1:256" ht="13.8" x14ac:dyDescent="0.3">
      <c r="A214" s="42"/>
      <c r="B214" s="42"/>
      <c r="C214" s="42"/>
      <c r="D214" s="42"/>
      <c r="E214" s="42"/>
      <c r="F214" s="42"/>
      <c r="G214" s="42"/>
      <c r="H214" s="42"/>
      <c r="I214" s="42"/>
      <c r="J214" s="42"/>
      <c r="K214" s="42"/>
      <c r="L214" s="42"/>
      <c r="M214" s="42"/>
      <c r="N214" s="42"/>
      <c r="O214" s="42"/>
      <c r="P214" s="42"/>
      <c r="Q214" s="42"/>
      <c r="R214" s="42"/>
      <c r="S214" s="42"/>
      <c r="T214" s="42"/>
      <c r="U214" s="194"/>
      <c r="V214" s="42"/>
      <c r="W214" s="42"/>
      <c r="X214" s="42"/>
      <c r="Y214" s="42"/>
      <c r="Z214" s="42"/>
      <c r="AA214" s="42"/>
      <c r="AB214" s="195"/>
      <c r="AC214" s="42"/>
      <c r="AD214" s="42"/>
      <c r="AE214" s="195"/>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row>
    <row r="215" spans="1:256" ht="13.8" x14ac:dyDescent="0.3">
      <c r="A215" s="42"/>
      <c r="B215" s="42"/>
      <c r="C215" s="42"/>
      <c r="D215" s="42"/>
      <c r="E215" s="42"/>
      <c r="F215" s="42"/>
      <c r="G215" s="42"/>
      <c r="H215" s="42"/>
      <c r="I215" s="42"/>
      <c r="J215" s="42"/>
      <c r="K215" s="42"/>
      <c r="L215" s="42"/>
      <c r="M215" s="42"/>
      <c r="N215" s="42"/>
      <c r="O215" s="42"/>
      <c r="P215" s="42"/>
      <c r="Q215" s="42"/>
      <c r="R215" s="42"/>
      <c r="S215" s="42"/>
      <c r="T215" s="42"/>
      <c r="U215" s="194"/>
      <c r="V215" s="42"/>
      <c r="W215" s="42"/>
      <c r="X215" s="42"/>
      <c r="Y215" s="42"/>
      <c r="Z215" s="42"/>
      <c r="AA215" s="42"/>
      <c r="AB215" s="195"/>
      <c r="AC215" s="42"/>
      <c r="AD215" s="42"/>
      <c r="AE215" s="195"/>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row>
    <row r="216" spans="1:256" ht="13.8" x14ac:dyDescent="0.3">
      <c r="A216" s="42"/>
      <c r="B216" s="42"/>
      <c r="C216" s="42"/>
      <c r="D216" s="42"/>
      <c r="E216" s="42"/>
      <c r="F216" s="42"/>
      <c r="G216" s="42"/>
      <c r="H216" s="42"/>
      <c r="I216" s="42"/>
      <c r="J216" s="42"/>
      <c r="K216" s="42"/>
      <c r="L216" s="42"/>
      <c r="M216" s="42"/>
      <c r="N216" s="42"/>
      <c r="O216" s="42"/>
      <c r="P216" s="42"/>
      <c r="Q216" s="42"/>
      <c r="R216" s="42"/>
      <c r="S216" s="42"/>
      <c r="T216" s="42"/>
      <c r="U216" s="194"/>
      <c r="V216" s="42"/>
      <c r="W216" s="42"/>
      <c r="X216" s="42"/>
      <c r="Y216" s="42"/>
      <c r="Z216" s="42"/>
      <c r="AA216" s="42"/>
      <c r="AB216" s="195"/>
      <c r="AC216" s="42"/>
      <c r="AD216" s="42"/>
      <c r="AE216" s="195"/>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row>
    <row r="217" spans="1:256" ht="13.8" x14ac:dyDescent="0.3">
      <c r="A217" s="42"/>
      <c r="B217" s="42"/>
      <c r="C217" s="42"/>
      <c r="D217" s="42"/>
      <c r="E217" s="42"/>
      <c r="F217" s="42"/>
      <c r="G217" s="42"/>
      <c r="H217" s="42"/>
      <c r="I217" s="42"/>
      <c r="J217" s="42"/>
      <c r="K217" s="42"/>
      <c r="L217" s="42"/>
      <c r="M217" s="42"/>
      <c r="N217" s="42"/>
      <c r="O217" s="42"/>
      <c r="P217" s="42"/>
      <c r="Q217" s="42"/>
      <c r="R217" s="42"/>
      <c r="S217" s="42"/>
      <c r="T217" s="42"/>
      <c r="U217" s="194"/>
      <c r="V217" s="42"/>
      <c r="W217" s="42"/>
      <c r="X217" s="42"/>
      <c r="Y217" s="42"/>
      <c r="Z217" s="42"/>
      <c r="AA217" s="42"/>
      <c r="AB217" s="195"/>
      <c r="AC217" s="42"/>
      <c r="AD217" s="42"/>
      <c r="AE217" s="195"/>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2"/>
      <c r="DR217" s="42"/>
      <c r="DS217" s="42"/>
      <c r="DT217" s="42"/>
      <c r="DU217" s="42"/>
      <c r="DV217" s="42"/>
      <c r="DW217" s="42"/>
      <c r="DX217" s="42"/>
      <c r="DY217" s="42"/>
      <c r="DZ217" s="42"/>
      <c r="EA217" s="42"/>
      <c r="EB217" s="42"/>
      <c r="EC217" s="42"/>
      <c r="ED217" s="42"/>
      <c r="EE217" s="42"/>
      <c r="EF217" s="42"/>
      <c r="EG217" s="42"/>
      <c r="EH217" s="42"/>
      <c r="EI217" s="42"/>
      <c r="EJ217" s="42"/>
      <c r="EK217" s="42"/>
      <c r="EL217" s="42"/>
      <c r="EM217" s="42"/>
      <c r="EN217" s="42"/>
      <c r="EO217" s="42"/>
      <c r="EP217" s="42"/>
      <c r="EQ217" s="42"/>
      <c r="ER217" s="42"/>
      <c r="ES217" s="42"/>
      <c r="ET217" s="42"/>
      <c r="EU217" s="42"/>
      <c r="EV217" s="42"/>
      <c r="EW217" s="42"/>
      <c r="EX217" s="42"/>
      <c r="EY217" s="42"/>
      <c r="EZ217" s="42"/>
      <c r="FA217" s="42"/>
      <c r="FB217" s="42"/>
      <c r="FC217" s="42"/>
      <c r="FD217" s="42"/>
      <c r="FE217" s="42"/>
      <c r="FF217" s="42"/>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row>
    <row r="218" spans="1:256" ht="13.8" x14ac:dyDescent="0.3">
      <c r="A218" s="42"/>
      <c r="B218" s="42"/>
      <c r="C218" s="42"/>
      <c r="D218" s="42"/>
      <c r="E218" s="42"/>
      <c r="F218" s="42"/>
      <c r="G218" s="42"/>
      <c r="H218" s="42"/>
      <c r="I218" s="42"/>
      <c r="J218" s="42"/>
      <c r="K218" s="42"/>
      <c r="L218" s="42"/>
      <c r="M218" s="42"/>
      <c r="N218" s="42"/>
      <c r="O218" s="42"/>
      <c r="P218" s="42"/>
      <c r="Q218" s="42"/>
      <c r="R218" s="42"/>
      <c r="S218" s="42"/>
      <c r="T218" s="42"/>
      <c r="U218" s="194"/>
      <c r="V218" s="42"/>
      <c r="W218" s="42"/>
      <c r="X218" s="42"/>
      <c r="Y218" s="42"/>
      <c r="Z218" s="42"/>
      <c r="AA218" s="42"/>
      <c r="AB218" s="195"/>
      <c r="AC218" s="42"/>
      <c r="AD218" s="42"/>
      <c r="AE218" s="195"/>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row>
    <row r="219" spans="1:256" ht="13.8" x14ac:dyDescent="0.3">
      <c r="A219" s="42"/>
      <c r="B219" s="42"/>
      <c r="C219" s="42"/>
      <c r="D219" s="42"/>
      <c r="E219" s="42"/>
      <c r="F219" s="42"/>
      <c r="G219" s="42"/>
      <c r="H219" s="42"/>
      <c r="I219" s="42"/>
      <c r="J219" s="42"/>
      <c r="K219" s="42"/>
      <c r="L219" s="42"/>
      <c r="M219" s="42"/>
      <c r="N219" s="42"/>
      <c r="O219" s="42"/>
      <c r="P219" s="42"/>
      <c r="Q219" s="42"/>
      <c r="R219" s="42"/>
      <c r="S219" s="42"/>
      <c r="T219" s="42"/>
      <c r="U219" s="194"/>
      <c r="V219" s="42"/>
      <c r="W219" s="42"/>
      <c r="X219" s="42"/>
      <c r="Y219" s="42"/>
      <c r="Z219" s="42"/>
      <c r="AA219" s="42"/>
      <c r="AB219" s="195"/>
      <c r="AC219" s="42"/>
      <c r="AD219" s="42"/>
      <c r="AE219" s="195"/>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row>
    <row r="220" spans="1:256" ht="13.8" x14ac:dyDescent="0.3">
      <c r="A220" s="42"/>
      <c r="B220" s="42"/>
      <c r="C220" s="42"/>
      <c r="D220" s="42"/>
      <c r="E220" s="42"/>
      <c r="F220" s="42"/>
      <c r="G220" s="42"/>
      <c r="H220" s="42"/>
      <c r="I220" s="42"/>
      <c r="J220" s="42"/>
      <c r="K220" s="42"/>
      <c r="L220" s="42"/>
      <c r="M220" s="42"/>
      <c r="N220" s="42"/>
      <c r="O220" s="42"/>
      <c r="P220" s="42"/>
      <c r="Q220" s="42"/>
      <c r="R220" s="42"/>
      <c r="S220" s="42"/>
      <c r="T220" s="42"/>
      <c r="U220" s="194"/>
      <c r="V220" s="42"/>
      <c r="W220" s="42"/>
      <c r="X220" s="42"/>
      <c r="Y220" s="42"/>
      <c r="Z220" s="42"/>
      <c r="AA220" s="42"/>
      <c r="AB220" s="195"/>
      <c r="AC220" s="42"/>
      <c r="AD220" s="42"/>
      <c r="AE220" s="195"/>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row>
    <row r="221" spans="1:256" ht="13.8" x14ac:dyDescent="0.3">
      <c r="A221" s="42"/>
      <c r="B221" s="42"/>
      <c r="C221" s="42"/>
      <c r="D221" s="42"/>
      <c r="E221" s="42"/>
      <c r="F221" s="42"/>
      <c r="G221" s="42"/>
      <c r="H221" s="42"/>
      <c r="I221" s="42"/>
      <c r="J221" s="42"/>
      <c r="K221" s="42"/>
      <c r="L221" s="42"/>
      <c r="M221" s="42"/>
      <c r="N221" s="42"/>
      <c r="O221" s="42"/>
      <c r="P221" s="42"/>
      <c r="Q221" s="42"/>
      <c r="R221" s="42"/>
      <c r="S221" s="42"/>
      <c r="T221" s="42"/>
      <c r="U221" s="194"/>
      <c r="V221" s="42"/>
      <c r="W221" s="42"/>
      <c r="X221" s="42"/>
      <c r="Y221" s="42"/>
      <c r="Z221" s="42"/>
      <c r="AA221" s="42"/>
      <c r="AB221" s="195"/>
      <c r="AC221" s="42"/>
      <c r="AD221" s="42"/>
      <c r="AE221" s="195"/>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row>
    <row r="222" spans="1:256" ht="13.8" x14ac:dyDescent="0.3">
      <c r="A222" s="42"/>
      <c r="B222" s="42"/>
      <c r="C222" s="42"/>
      <c r="D222" s="42"/>
      <c r="E222" s="42"/>
      <c r="F222" s="42"/>
      <c r="G222" s="42"/>
      <c r="H222" s="42"/>
      <c r="I222" s="42"/>
      <c r="J222" s="42"/>
      <c r="K222" s="42"/>
      <c r="L222" s="42"/>
      <c r="M222" s="42"/>
      <c r="N222" s="42"/>
      <c r="O222" s="42"/>
      <c r="P222" s="42"/>
      <c r="Q222" s="42"/>
      <c r="R222" s="42"/>
      <c r="S222" s="42"/>
      <c r="T222" s="42"/>
      <c r="U222" s="194"/>
      <c r="V222" s="42"/>
      <c r="W222" s="42"/>
      <c r="X222" s="42"/>
      <c r="Y222" s="42"/>
      <c r="Z222" s="42"/>
      <c r="AA222" s="42"/>
      <c r="AB222" s="195"/>
      <c r="AC222" s="42"/>
      <c r="AD222" s="42"/>
      <c r="AE222" s="195"/>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2"/>
      <c r="BJ222" s="42"/>
      <c r="BK222" s="42"/>
      <c r="BL222" s="42"/>
      <c r="BM222" s="42"/>
      <c r="BN222" s="42"/>
      <c r="BO222" s="42"/>
      <c r="BP222" s="42"/>
      <c r="BQ222" s="42"/>
      <c r="BR222" s="42"/>
      <c r="BS222" s="42"/>
      <c r="BT222" s="42"/>
      <c r="BU222" s="42"/>
      <c r="BV222" s="42"/>
      <c r="BW222" s="42"/>
      <c r="BX222" s="42"/>
      <c r="BY222" s="42"/>
      <c r="BZ222" s="42"/>
      <c r="CA222" s="42"/>
      <c r="CB222" s="42"/>
      <c r="CC222" s="42"/>
      <c r="CD222" s="42"/>
      <c r="CE222" s="42"/>
      <c r="CF222" s="42"/>
      <c r="CG222" s="42"/>
      <c r="CH222" s="42"/>
      <c r="CI222" s="42"/>
      <c r="CJ222" s="42"/>
      <c r="CK222" s="42"/>
      <c r="CL222" s="42"/>
      <c r="CM222" s="42"/>
      <c r="CN222" s="42"/>
      <c r="CO222" s="42"/>
      <c r="CP222" s="42"/>
      <c r="CQ222" s="42"/>
      <c r="CR222" s="42"/>
      <c r="CS222" s="42"/>
      <c r="CT222" s="42"/>
      <c r="CU222" s="42"/>
      <c r="CV222" s="42"/>
      <c r="CW222" s="42"/>
      <c r="CX222" s="42"/>
      <c r="CY222" s="42"/>
      <c r="CZ222" s="42"/>
      <c r="DA222" s="42"/>
      <c r="DB222" s="42"/>
      <c r="DC222" s="42"/>
      <c r="DD222" s="42"/>
      <c r="DE222" s="42"/>
      <c r="DF222" s="42"/>
      <c r="DG222" s="42"/>
      <c r="DH222" s="42"/>
      <c r="DI222" s="42"/>
      <c r="DJ222" s="42"/>
      <c r="DK222" s="42"/>
      <c r="DL222" s="42"/>
      <c r="DM222" s="42"/>
      <c r="DN222" s="42"/>
      <c r="DO222" s="42"/>
      <c r="DP222" s="42"/>
      <c r="DQ222" s="42"/>
      <c r="DR222" s="42"/>
      <c r="DS222" s="42"/>
      <c r="DT222" s="42"/>
      <c r="DU222" s="42"/>
      <c r="DV222" s="42"/>
      <c r="DW222" s="42"/>
      <c r="DX222" s="42"/>
      <c r="DY222" s="42"/>
      <c r="DZ222" s="42"/>
      <c r="EA222" s="42"/>
      <c r="EB222" s="42"/>
      <c r="EC222" s="42"/>
      <c r="ED222" s="42"/>
      <c r="EE222" s="42"/>
      <c r="EF222" s="42"/>
      <c r="EG222" s="42"/>
      <c r="EH222" s="42"/>
      <c r="EI222" s="42"/>
      <c r="EJ222" s="42"/>
      <c r="EK222" s="42"/>
      <c r="EL222" s="42"/>
      <c r="EM222" s="42"/>
      <c r="EN222" s="42"/>
      <c r="EO222" s="42"/>
      <c r="EP222" s="42"/>
      <c r="EQ222" s="42"/>
      <c r="ER222" s="42"/>
      <c r="ES222" s="42"/>
      <c r="ET222" s="42"/>
      <c r="EU222" s="42"/>
      <c r="EV222" s="42"/>
      <c r="EW222" s="42"/>
      <c r="EX222" s="42"/>
      <c r="EY222" s="42"/>
      <c r="EZ222" s="42"/>
      <c r="FA222" s="42"/>
      <c r="FB222" s="42"/>
      <c r="FC222" s="42"/>
      <c r="FD222" s="42"/>
      <c r="FE222" s="42"/>
      <c r="FF222" s="42"/>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row>
    <row r="223" spans="1:256" ht="13.8" x14ac:dyDescent="0.3">
      <c r="A223" s="42"/>
      <c r="B223" s="42"/>
      <c r="C223" s="42"/>
      <c r="D223" s="42"/>
      <c r="E223" s="42"/>
      <c r="F223" s="42"/>
      <c r="G223" s="42"/>
      <c r="H223" s="42"/>
      <c r="I223" s="42"/>
      <c r="J223" s="42"/>
      <c r="K223" s="42"/>
      <c r="L223" s="42"/>
      <c r="M223" s="42"/>
      <c r="N223" s="42"/>
      <c r="O223" s="42"/>
      <c r="P223" s="42"/>
      <c r="Q223" s="42"/>
      <c r="R223" s="42"/>
      <c r="S223" s="42"/>
      <c r="T223" s="42"/>
      <c r="U223" s="194"/>
      <c r="V223" s="42"/>
      <c r="W223" s="42"/>
      <c r="X223" s="42"/>
      <c r="Y223" s="42"/>
      <c r="Z223" s="42"/>
      <c r="AA223" s="42"/>
      <c r="AB223" s="195"/>
      <c r="AC223" s="42"/>
      <c r="AD223" s="42"/>
      <c r="AE223" s="195"/>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c r="BM223" s="42"/>
      <c r="BN223" s="42"/>
      <c r="BO223" s="42"/>
      <c r="BP223" s="42"/>
      <c r="BQ223" s="42"/>
      <c r="BR223" s="42"/>
      <c r="BS223" s="42"/>
      <c r="BT223" s="42"/>
      <c r="BU223" s="42"/>
      <c r="BV223" s="42"/>
      <c r="BW223" s="42"/>
      <c r="BX223" s="42"/>
      <c r="BY223" s="42"/>
      <c r="BZ223" s="42"/>
      <c r="CA223" s="42"/>
      <c r="CB223" s="42"/>
      <c r="CC223" s="42"/>
      <c r="CD223" s="42"/>
      <c r="CE223" s="42"/>
      <c r="CF223" s="42"/>
      <c r="CG223" s="42"/>
      <c r="CH223" s="42"/>
      <c r="CI223" s="42"/>
      <c r="CJ223" s="42"/>
      <c r="CK223" s="42"/>
      <c r="CL223" s="42"/>
      <c r="CM223" s="42"/>
      <c r="CN223" s="42"/>
      <c r="CO223" s="42"/>
      <c r="CP223" s="42"/>
      <c r="CQ223" s="42"/>
      <c r="CR223" s="42"/>
      <c r="CS223" s="42"/>
      <c r="CT223" s="42"/>
      <c r="CU223" s="42"/>
      <c r="CV223" s="42"/>
      <c r="CW223" s="42"/>
      <c r="CX223" s="42"/>
      <c r="CY223" s="42"/>
      <c r="CZ223" s="42"/>
      <c r="DA223" s="42"/>
      <c r="DB223" s="42"/>
      <c r="DC223" s="42"/>
      <c r="DD223" s="42"/>
      <c r="DE223" s="42"/>
      <c r="DF223" s="42"/>
      <c r="DG223" s="42"/>
      <c r="DH223" s="42"/>
      <c r="DI223" s="42"/>
      <c r="DJ223" s="42"/>
      <c r="DK223" s="42"/>
      <c r="DL223" s="42"/>
      <c r="DM223" s="42"/>
      <c r="DN223" s="42"/>
      <c r="DO223" s="42"/>
      <c r="DP223" s="42"/>
      <c r="DQ223" s="42"/>
      <c r="DR223" s="42"/>
      <c r="DS223" s="42"/>
      <c r="DT223" s="42"/>
      <c r="DU223" s="42"/>
      <c r="DV223" s="42"/>
      <c r="DW223" s="42"/>
      <c r="DX223" s="42"/>
      <c r="DY223" s="42"/>
      <c r="DZ223" s="42"/>
      <c r="EA223" s="42"/>
      <c r="EB223" s="42"/>
      <c r="EC223" s="42"/>
      <c r="ED223" s="42"/>
      <c r="EE223" s="42"/>
      <c r="EF223" s="42"/>
      <c r="EG223" s="42"/>
      <c r="EH223" s="42"/>
      <c r="EI223" s="42"/>
      <c r="EJ223" s="42"/>
      <c r="EK223" s="42"/>
      <c r="EL223" s="42"/>
      <c r="EM223" s="42"/>
      <c r="EN223" s="42"/>
      <c r="EO223" s="42"/>
      <c r="EP223" s="42"/>
      <c r="EQ223" s="42"/>
      <c r="ER223" s="42"/>
      <c r="ES223" s="42"/>
      <c r="ET223" s="42"/>
      <c r="EU223" s="42"/>
      <c r="EV223" s="42"/>
      <c r="EW223" s="42"/>
      <c r="EX223" s="42"/>
      <c r="EY223" s="42"/>
      <c r="EZ223" s="42"/>
      <c r="FA223" s="42"/>
      <c r="FB223" s="42"/>
      <c r="FC223" s="42"/>
      <c r="FD223" s="42"/>
      <c r="FE223" s="42"/>
      <c r="FF223" s="42"/>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row>
    <row r="224" spans="1:256" ht="13.8" x14ac:dyDescent="0.3">
      <c r="A224" s="42"/>
      <c r="B224" s="42"/>
      <c r="C224" s="42"/>
      <c r="D224" s="42"/>
      <c r="E224" s="42"/>
      <c r="F224" s="42"/>
      <c r="G224" s="42"/>
      <c r="H224" s="42"/>
      <c r="I224" s="42"/>
      <c r="J224" s="42"/>
      <c r="K224" s="42"/>
      <c r="L224" s="42"/>
      <c r="M224" s="42"/>
      <c r="N224" s="42"/>
      <c r="O224" s="42"/>
      <c r="P224" s="42"/>
      <c r="Q224" s="42"/>
      <c r="R224" s="42"/>
      <c r="S224" s="42"/>
      <c r="T224" s="42"/>
      <c r="U224" s="194"/>
      <c r="V224" s="42"/>
      <c r="W224" s="42"/>
      <c r="X224" s="42"/>
      <c r="Y224" s="42"/>
      <c r="Z224" s="42"/>
      <c r="AA224" s="42"/>
      <c r="AB224" s="195"/>
      <c r="AC224" s="42"/>
      <c r="AD224" s="42"/>
      <c r="AE224" s="195"/>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c r="BI224" s="42"/>
      <c r="BJ224" s="42"/>
      <c r="BK224" s="42"/>
      <c r="BL224" s="42"/>
      <c r="BM224" s="42"/>
      <c r="BN224" s="42"/>
      <c r="BO224" s="42"/>
      <c r="BP224" s="42"/>
      <c r="BQ224" s="42"/>
      <c r="BR224" s="42"/>
      <c r="BS224" s="42"/>
      <c r="BT224" s="42"/>
      <c r="BU224" s="42"/>
      <c r="BV224" s="42"/>
      <c r="BW224" s="42"/>
      <c r="BX224" s="42"/>
      <c r="BY224" s="42"/>
      <c r="BZ224" s="42"/>
      <c r="CA224" s="42"/>
      <c r="CB224" s="42"/>
      <c r="CC224" s="42"/>
      <c r="CD224" s="42"/>
      <c r="CE224" s="42"/>
      <c r="CF224" s="42"/>
      <c r="CG224" s="42"/>
      <c r="CH224" s="42"/>
      <c r="CI224" s="42"/>
      <c r="CJ224" s="42"/>
      <c r="CK224" s="42"/>
      <c r="CL224" s="42"/>
      <c r="CM224" s="42"/>
      <c r="CN224" s="42"/>
      <c r="CO224" s="42"/>
      <c r="CP224" s="42"/>
      <c r="CQ224" s="42"/>
      <c r="CR224" s="42"/>
      <c r="CS224" s="42"/>
      <c r="CT224" s="42"/>
      <c r="CU224" s="42"/>
      <c r="CV224" s="42"/>
      <c r="CW224" s="42"/>
      <c r="CX224" s="42"/>
      <c r="CY224" s="42"/>
      <c r="CZ224" s="42"/>
      <c r="DA224" s="42"/>
      <c r="DB224" s="42"/>
      <c r="DC224" s="42"/>
      <c r="DD224" s="42"/>
      <c r="DE224" s="42"/>
      <c r="DF224" s="42"/>
      <c r="DG224" s="42"/>
      <c r="DH224" s="42"/>
      <c r="DI224" s="42"/>
      <c r="DJ224" s="42"/>
      <c r="DK224" s="42"/>
      <c r="DL224" s="42"/>
      <c r="DM224" s="42"/>
      <c r="DN224" s="42"/>
      <c r="DO224" s="42"/>
      <c r="DP224" s="42"/>
      <c r="DQ224" s="42"/>
      <c r="DR224" s="42"/>
      <c r="DS224" s="42"/>
      <c r="DT224" s="42"/>
      <c r="DU224" s="42"/>
      <c r="DV224" s="42"/>
      <c r="DW224" s="42"/>
      <c r="DX224" s="42"/>
      <c r="DY224" s="42"/>
      <c r="DZ224" s="42"/>
      <c r="EA224" s="42"/>
      <c r="EB224" s="42"/>
      <c r="EC224" s="42"/>
      <c r="ED224" s="42"/>
      <c r="EE224" s="42"/>
      <c r="EF224" s="42"/>
      <c r="EG224" s="42"/>
      <c r="EH224" s="42"/>
      <c r="EI224" s="42"/>
      <c r="EJ224" s="42"/>
      <c r="EK224" s="42"/>
      <c r="EL224" s="42"/>
      <c r="EM224" s="42"/>
      <c r="EN224" s="42"/>
      <c r="EO224" s="42"/>
      <c r="EP224" s="42"/>
      <c r="EQ224" s="42"/>
      <c r="ER224" s="42"/>
      <c r="ES224" s="42"/>
      <c r="ET224" s="42"/>
      <c r="EU224" s="42"/>
      <c r="EV224" s="42"/>
      <c r="EW224" s="42"/>
      <c r="EX224" s="42"/>
      <c r="EY224" s="42"/>
      <c r="EZ224" s="42"/>
      <c r="FA224" s="42"/>
      <c r="FB224" s="42"/>
      <c r="FC224" s="42"/>
      <c r="FD224" s="42"/>
      <c r="FE224" s="42"/>
      <c r="FF224" s="42"/>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row>
    <row r="225" spans="1:256" ht="13.8" x14ac:dyDescent="0.3">
      <c r="A225" s="42"/>
      <c r="B225" s="42"/>
      <c r="C225" s="42"/>
      <c r="D225" s="42"/>
      <c r="E225" s="42"/>
      <c r="F225" s="42"/>
      <c r="G225" s="42"/>
      <c r="H225" s="42"/>
      <c r="I225" s="42"/>
      <c r="J225" s="42"/>
      <c r="K225" s="42"/>
      <c r="L225" s="42"/>
      <c r="M225" s="42"/>
      <c r="N225" s="42"/>
      <c r="O225" s="42"/>
      <c r="P225" s="42"/>
      <c r="Q225" s="42"/>
      <c r="R225" s="42"/>
      <c r="S225" s="42"/>
      <c r="T225" s="42"/>
      <c r="U225" s="194"/>
      <c r="V225" s="42"/>
      <c r="W225" s="42"/>
      <c r="X225" s="42"/>
      <c r="Y225" s="42"/>
      <c r="Z225" s="42"/>
      <c r="AA225" s="42"/>
      <c r="AB225" s="195"/>
      <c r="AC225" s="42"/>
      <c r="AD225" s="42"/>
      <c r="AE225" s="195"/>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42"/>
      <c r="BH225" s="42"/>
      <c r="BI225" s="42"/>
      <c r="BJ225" s="42"/>
      <c r="BK225" s="42"/>
      <c r="BL225" s="42"/>
      <c r="BM225" s="42"/>
      <c r="BN225" s="42"/>
      <c r="BO225" s="42"/>
      <c r="BP225" s="42"/>
      <c r="BQ225" s="42"/>
      <c r="BR225" s="42"/>
      <c r="BS225" s="42"/>
      <c r="BT225" s="42"/>
      <c r="BU225" s="42"/>
      <c r="BV225" s="42"/>
      <c r="BW225" s="42"/>
      <c r="BX225" s="42"/>
      <c r="BY225" s="42"/>
      <c r="BZ225" s="42"/>
      <c r="CA225" s="42"/>
      <c r="CB225" s="42"/>
      <c r="CC225" s="42"/>
      <c r="CD225" s="42"/>
      <c r="CE225" s="42"/>
      <c r="CF225" s="42"/>
      <c r="CG225" s="42"/>
      <c r="CH225" s="42"/>
      <c r="CI225" s="42"/>
      <c r="CJ225" s="42"/>
      <c r="CK225" s="42"/>
      <c r="CL225" s="42"/>
      <c r="CM225" s="42"/>
      <c r="CN225" s="42"/>
      <c r="CO225" s="42"/>
      <c r="CP225" s="42"/>
      <c r="CQ225" s="42"/>
      <c r="CR225" s="42"/>
      <c r="CS225" s="42"/>
      <c r="CT225" s="42"/>
      <c r="CU225" s="42"/>
      <c r="CV225" s="42"/>
      <c r="CW225" s="42"/>
      <c r="CX225" s="42"/>
      <c r="CY225" s="42"/>
      <c r="CZ225" s="42"/>
      <c r="DA225" s="42"/>
      <c r="DB225" s="42"/>
      <c r="DC225" s="42"/>
      <c r="DD225" s="42"/>
      <c r="DE225" s="42"/>
      <c r="DF225" s="42"/>
      <c r="DG225" s="42"/>
      <c r="DH225" s="42"/>
      <c r="DI225" s="42"/>
      <c r="DJ225" s="42"/>
      <c r="DK225" s="42"/>
      <c r="DL225" s="42"/>
      <c r="DM225" s="42"/>
      <c r="DN225" s="42"/>
      <c r="DO225" s="42"/>
      <c r="DP225" s="42"/>
      <c r="DQ225" s="42"/>
      <c r="DR225" s="42"/>
      <c r="DS225" s="42"/>
      <c r="DT225" s="42"/>
      <c r="DU225" s="42"/>
      <c r="DV225" s="42"/>
      <c r="DW225" s="42"/>
      <c r="DX225" s="42"/>
      <c r="DY225" s="42"/>
      <c r="DZ225" s="42"/>
      <c r="EA225" s="42"/>
      <c r="EB225" s="42"/>
      <c r="EC225" s="42"/>
      <c r="ED225" s="42"/>
      <c r="EE225" s="42"/>
      <c r="EF225" s="42"/>
      <c r="EG225" s="42"/>
      <c r="EH225" s="42"/>
      <c r="EI225" s="42"/>
      <c r="EJ225" s="42"/>
      <c r="EK225" s="42"/>
      <c r="EL225" s="42"/>
      <c r="EM225" s="42"/>
      <c r="EN225" s="42"/>
      <c r="EO225" s="42"/>
      <c r="EP225" s="42"/>
      <c r="EQ225" s="42"/>
      <c r="ER225" s="42"/>
      <c r="ES225" s="42"/>
      <c r="ET225" s="42"/>
      <c r="EU225" s="42"/>
      <c r="EV225" s="42"/>
      <c r="EW225" s="42"/>
      <c r="EX225" s="42"/>
      <c r="EY225" s="42"/>
      <c r="EZ225" s="42"/>
      <c r="FA225" s="42"/>
      <c r="FB225" s="42"/>
      <c r="FC225" s="42"/>
      <c r="FD225" s="42"/>
      <c r="FE225" s="42"/>
      <c r="FF225" s="42"/>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row>
    <row r="226" spans="1:256" ht="13.8" x14ac:dyDescent="0.3">
      <c r="A226" s="42"/>
      <c r="B226" s="42"/>
      <c r="C226" s="42"/>
      <c r="D226" s="42"/>
      <c r="E226" s="42"/>
      <c r="F226" s="42"/>
      <c r="G226" s="42"/>
      <c r="H226" s="42"/>
      <c r="I226" s="42"/>
      <c r="J226" s="42"/>
      <c r="K226" s="42"/>
      <c r="L226" s="42"/>
      <c r="M226" s="42"/>
      <c r="N226" s="42"/>
      <c r="O226" s="42"/>
      <c r="P226" s="42"/>
      <c r="Q226" s="42"/>
      <c r="R226" s="42"/>
      <c r="S226" s="42"/>
      <c r="T226" s="42"/>
      <c r="U226" s="194"/>
      <c r="V226" s="42"/>
      <c r="W226" s="42"/>
      <c r="X226" s="42"/>
      <c r="Y226" s="42"/>
      <c r="Z226" s="42"/>
      <c r="AA226" s="42"/>
      <c r="AB226" s="195"/>
      <c r="AC226" s="42"/>
      <c r="AD226" s="42"/>
      <c r="AE226" s="195"/>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42"/>
      <c r="BH226" s="42"/>
      <c r="BI226" s="42"/>
      <c r="BJ226" s="42"/>
      <c r="BK226" s="42"/>
      <c r="BL226" s="42"/>
      <c r="BM226" s="42"/>
      <c r="BN226" s="42"/>
      <c r="BO226" s="42"/>
      <c r="BP226" s="42"/>
      <c r="BQ226" s="42"/>
      <c r="BR226" s="42"/>
      <c r="BS226" s="42"/>
      <c r="BT226" s="42"/>
      <c r="BU226" s="42"/>
      <c r="BV226" s="42"/>
      <c r="BW226" s="42"/>
      <c r="BX226" s="42"/>
      <c r="BY226" s="42"/>
      <c r="BZ226" s="42"/>
      <c r="CA226" s="42"/>
      <c r="CB226" s="42"/>
      <c r="CC226" s="42"/>
      <c r="CD226" s="42"/>
      <c r="CE226" s="42"/>
      <c r="CF226" s="42"/>
      <c r="CG226" s="42"/>
      <c r="CH226" s="42"/>
      <c r="CI226" s="42"/>
      <c r="CJ226" s="42"/>
      <c r="CK226" s="42"/>
      <c r="CL226" s="42"/>
      <c r="CM226" s="42"/>
      <c r="CN226" s="42"/>
      <c r="CO226" s="42"/>
      <c r="CP226" s="42"/>
      <c r="CQ226" s="42"/>
      <c r="CR226" s="42"/>
      <c r="CS226" s="42"/>
      <c r="CT226" s="42"/>
      <c r="CU226" s="42"/>
      <c r="CV226" s="42"/>
      <c r="CW226" s="42"/>
      <c r="CX226" s="42"/>
      <c r="CY226" s="42"/>
      <c r="CZ226" s="42"/>
      <c r="DA226" s="42"/>
      <c r="DB226" s="42"/>
      <c r="DC226" s="42"/>
      <c r="DD226" s="42"/>
      <c r="DE226" s="42"/>
      <c r="DF226" s="42"/>
      <c r="DG226" s="42"/>
      <c r="DH226" s="42"/>
      <c r="DI226" s="42"/>
      <c r="DJ226" s="42"/>
      <c r="DK226" s="42"/>
      <c r="DL226" s="42"/>
      <c r="DM226" s="42"/>
      <c r="DN226" s="42"/>
      <c r="DO226" s="42"/>
      <c r="DP226" s="42"/>
      <c r="DQ226" s="42"/>
      <c r="DR226" s="42"/>
      <c r="DS226" s="42"/>
      <c r="DT226" s="42"/>
      <c r="DU226" s="42"/>
      <c r="DV226" s="42"/>
      <c r="DW226" s="42"/>
      <c r="DX226" s="42"/>
      <c r="DY226" s="42"/>
      <c r="DZ226" s="42"/>
      <c r="EA226" s="42"/>
      <c r="EB226" s="42"/>
      <c r="EC226" s="42"/>
      <c r="ED226" s="42"/>
      <c r="EE226" s="42"/>
      <c r="EF226" s="42"/>
      <c r="EG226" s="42"/>
      <c r="EH226" s="42"/>
      <c r="EI226" s="42"/>
      <c r="EJ226" s="42"/>
      <c r="EK226" s="42"/>
      <c r="EL226" s="42"/>
      <c r="EM226" s="42"/>
      <c r="EN226" s="42"/>
      <c r="EO226" s="42"/>
      <c r="EP226" s="42"/>
      <c r="EQ226" s="42"/>
      <c r="ER226" s="42"/>
      <c r="ES226" s="42"/>
      <c r="ET226" s="42"/>
      <c r="EU226" s="42"/>
      <c r="EV226" s="42"/>
      <c r="EW226" s="42"/>
      <c r="EX226" s="42"/>
      <c r="EY226" s="42"/>
      <c r="EZ226" s="42"/>
      <c r="FA226" s="42"/>
      <c r="FB226" s="42"/>
      <c r="FC226" s="42"/>
      <c r="FD226" s="42"/>
      <c r="FE226" s="42"/>
      <c r="FF226" s="42"/>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row>
    <row r="227" spans="1:256" ht="13.8" x14ac:dyDescent="0.3">
      <c r="A227" s="42"/>
      <c r="B227" s="42"/>
      <c r="C227" s="42"/>
      <c r="D227" s="42"/>
      <c r="E227" s="42"/>
      <c r="F227" s="42"/>
      <c r="G227" s="42"/>
      <c r="H227" s="42"/>
      <c r="I227" s="42"/>
      <c r="J227" s="42"/>
      <c r="K227" s="42"/>
      <c r="L227" s="42"/>
      <c r="M227" s="42"/>
      <c r="N227" s="42"/>
      <c r="O227" s="42"/>
      <c r="P227" s="42"/>
      <c r="Q227" s="42"/>
      <c r="R227" s="42"/>
      <c r="S227" s="42"/>
      <c r="T227" s="42"/>
      <c r="U227" s="194"/>
      <c r="V227" s="42"/>
      <c r="W227" s="42"/>
      <c r="X227" s="42"/>
      <c r="Y227" s="42"/>
      <c r="Z227" s="42"/>
      <c r="AA227" s="42"/>
      <c r="AB227" s="195"/>
      <c r="AC227" s="42"/>
      <c r="AD227" s="42"/>
      <c r="AE227" s="195"/>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42"/>
      <c r="BH227" s="42"/>
      <c r="BI227" s="42"/>
      <c r="BJ227" s="42"/>
      <c r="BK227" s="42"/>
      <c r="BL227" s="42"/>
      <c r="BM227" s="42"/>
      <c r="BN227" s="42"/>
      <c r="BO227" s="42"/>
      <c r="BP227" s="42"/>
      <c r="BQ227" s="42"/>
      <c r="BR227" s="42"/>
      <c r="BS227" s="42"/>
      <c r="BT227" s="42"/>
      <c r="BU227" s="42"/>
      <c r="BV227" s="42"/>
      <c r="BW227" s="42"/>
      <c r="BX227" s="42"/>
      <c r="BY227" s="42"/>
      <c r="BZ227" s="42"/>
      <c r="CA227" s="42"/>
      <c r="CB227" s="42"/>
      <c r="CC227" s="42"/>
      <c r="CD227" s="42"/>
      <c r="CE227" s="42"/>
      <c r="CF227" s="42"/>
      <c r="CG227" s="42"/>
      <c r="CH227" s="42"/>
      <c r="CI227" s="42"/>
      <c r="CJ227" s="42"/>
      <c r="CK227" s="42"/>
      <c r="CL227" s="42"/>
      <c r="CM227" s="42"/>
      <c r="CN227" s="42"/>
      <c r="CO227" s="42"/>
      <c r="CP227" s="42"/>
      <c r="CQ227" s="42"/>
      <c r="CR227" s="42"/>
      <c r="CS227" s="42"/>
      <c r="CT227" s="42"/>
      <c r="CU227" s="42"/>
      <c r="CV227" s="42"/>
      <c r="CW227" s="42"/>
      <c r="CX227" s="42"/>
      <c r="CY227" s="42"/>
      <c r="CZ227" s="42"/>
      <c r="DA227" s="42"/>
      <c r="DB227" s="42"/>
      <c r="DC227" s="42"/>
      <c r="DD227" s="42"/>
      <c r="DE227" s="42"/>
      <c r="DF227" s="42"/>
      <c r="DG227" s="42"/>
      <c r="DH227" s="42"/>
      <c r="DI227" s="42"/>
      <c r="DJ227" s="42"/>
      <c r="DK227" s="42"/>
      <c r="DL227" s="42"/>
      <c r="DM227" s="42"/>
      <c r="DN227" s="42"/>
      <c r="DO227" s="42"/>
      <c r="DP227" s="42"/>
      <c r="DQ227" s="42"/>
      <c r="DR227" s="42"/>
      <c r="DS227" s="42"/>
      <c r="DT227" s="42"/>
      <c r="DU227" s="42"/>
      <c r="DV227" s="42"/>
      <c r="DW227" s="42"/>
      <c r="DX227" s="42"/>
      <c r="DY227" s="42"/>
      <c r="DZ227" s="42"/>
      <c r="EA227" s="42"/>
      <c r="EB227" s="42"/>
      <c r="EC227" s="42"/>
      <c r="ED227" s="42"/>
      <c r="EE227" s="42"/>
      <c r="EF227" s="42"/>
      <c r="EG227" s="42"/>
      <c r="EH227" s="42"/>
      <c r="EI227" s="42"/>
      <c r="EJ227" s="42"/>
      <c r="EK227" s="42"/>
      <c r="EL227" s="42"/>
      <c r="EM227" s="42"/>
      <c r="EN227" s="42"/>
      <c r="EO227" s="42"/>
      <c r="EP227" s="42"/>
      <c r="EQ227" s="42"/>
      <c r="ER227" s="42"/>
      <c r="ES227" s="42"/>
      <c r="ET227" s="42"/>
      <c r="EU227" s="42"/>
      <c r="EV227" s="42"/>
      <c r="EW227" s="42"/>
      <c r="EX227" s="42"/>
      <c r="EY227" s="42"/>
      <c r="EZ227" s="42"/>
      <c r="FA227" s="42"/>
      <c r="FB227" s="42"/>
      <c r="FC227" s="42"/>
      <c r="FD227" s="42"/>
      <c r="FE227" s="42"/>
      <c r="FF227" s="42"/>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row>
    <row r="228" spans="1:256" ht="13.8" x14ac:dyDescent="0.3">
      <c r="A228" s="42"/>
      <c r="B228" s="42"/>
      <c r="C228" s="42"/>
      <c r="D228" s="42"/>
      <c r="E228" s="42"/>
      <c r="F228" s="42"/>
      <c r="G228" s="42"/>
      <c r="H228" s="42"/>
      <c r="I228" s="42"/>
      <c r="J228" s="42"/>
      <c r="K228" s="42"/>
      <c r="L228" s="42"/>
      <c r="M228" s="42"/>
      <c r="N228" s="42"/>
      <c r="O228" s="42"/>
      <c r="P228" s="42"/>
      <c r="Q228" s="42"/>
      <c r="R228" s="42"/>
      <c r="S228" s="42"/>
      <c r="T228" s="42"/>
      <c r="U228" s="194"/>
      <c r="V228" s="42"/>
      <c r="W228" s="42"/>
      <c r="X228" s="42"/>
      <c r="Y228" s="42"/>
      <c r="Z228" s="42"/>
      <c r="AA228" s="42"/>
      <c r="AB228" s="195"/>
      <c r="AC228" s="42"/>
      <c r="AD228" s="42"/>
      <c r="AE228" s="195"/>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c r="BJ228" s="42"/>
      <c r="BK228" s="42"/>
      <c r="BL228" s="42"/>
      <c r="BM228" s="42"/>
      <c r="BN228" s="42"/>
      <c r="BO228" s="42"/>
      <c r="BP228" s="42"/>
      <c r="BQ228" s="42"/>
      <c r="BR228" s="42"/>
      <c r="BS228" s="42"/>
      <c r="BT228" s="42"/>
      <c r="BU228" s="42"/>
      <c r="BV228" s="42"/>
      <c r="BW228" s="42"/>
      <c r="BX228" s="42"/>
      <c r="BY228" s="42"/>
      <c r="BZ228" s="42"/>
      <c r="CA228" s="42"/>
      <c r="CB228" s="42"/>
      <c r="CC228" s="42"/>
      <c r="CD228" s="42"/>
      <c r="CE228" s="42"/>
      <c r="CF228" s="42"/>
      <c r="CG228" s="42"/>
      <c r="CH228" s="42"/>
      <c r="CI228" s="42"/>
      <c r="CJ228" s="42"/>
      <c r="CK228" s="42"/>
      <c r="CL228" s="42"/>
      <c r="CM228" s="42"/>
      <c r="CN228" s="42"/>
      <c r="CO228" s="42"/>
      <c r="CP228" s="42"/>
      <c r="CQ228" s="42"/>
      <c r="CR228" s="42"/>
      <c r="CS228" s="42"/>
      <c r="CT228" s="42"/>
      <c r="CU228" s="42"/>
      <c r="CV228" s="42"/>
      <c r="CW228" s="42"/>
      <c r="CX228" s="42"/>
      <c r="CY228" s="42"/>
      <c r="CZ228" s="42"/>
      <c r="DA228" s="42"/>
      <c r="DB228" s="42"/>
      <c r="DC228" s="42"/>
      <c r="DD228" s="42"/>
      <c r="DE228" s="42"/>
      <c r="DF228" s="42"/>
      <c r="DG228" s="42"/>
      <c r="DH228" s="42"/>
      <c r="DI228" s="42"/>
      <c r="DJ228" s="42"/>
      <c r="DK228" s="42"/>
      <c r="DL228" s="42"/>
      <c r="DM228" s="42"/>
      <c r="DN228" s="42"/>
      <c r="DO228" s="42"/>
      <c r="DP228" s="42"/>
      <c r="DQ228" s="42"/>
      <c r="DR228" s="42"/>
      <c r="DS228" s="42"/>
      <c r="DT228" s="42"/>
      <c r="DU228" s="42"/>
      <c r="DV228" s="42"/>
      <c r="DW228" s="42"/>
      <c r="DX228" s="42"/>
      <c r="DY228" s="42"/>
      <c r="DZ228" s="42"/>
      <c r="EA228" s="42"/>
      <c r="EB228" s="42"/>
      <c r="EC228" s="42"/>
      <c r="ED228" s="42"/>
      <c r="EE228" s="42"/>
      <c r="EF228" s="42"/>
      <c r="EG228" s="42"/>
      <c r="EH228" s="42"/>
      <c r="EI228" s="42"/>
      <c r="EJ228" s="42"/>
      <c r="EK228" s="42"/>
      <c r="EL228" s="42"/>
      <c r="EM228" s="42"/>
      <c r="EN228" s="42"/>
      <c r="EO228" s="42"/>
      <c r="EP228" s="42"/>
      <c r="EQ228" s="42"/>
      <c r="ER228" s="42"/>
      <c r="ES228" s="42"/>
      <c r="ET228" s="42"/>
      <c r="EU228" s="42"/>
      <c r="EV228" s="42"/>
      <c r="EW228" s="42"/>
      <c r="EX228" s="42"/>
      <c r="EY228" s="42"/>
      <c r="EZ228" s="42"/>
      <c r="FA228" s="42"/>
      <c r="FB228" s="42"/>
      <c r="FC228" s="42"/>
      <c r="FD228" s="42"/>
      <c r="FE228" s="42"/>
      <c r="FF228" s="42"/>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row>
    <row r="229" spans="1:256" ht="13.8" x14ac:dyDescent="0.3">
      <c r="A229" s="42"/>
      <c r="B229" s="42"/>
      <c r="C229" s="42"/>
      <c r="D229" s="42"/>
      <c r="E229" s="42"/>
      <c r="F229" s="42"/>
      <c r="G229" s="42"/>
      <c r="H229" s="42"/>
      <c r="I229" s="42"/>
      <c r="J229" s="42"/>
      <c r="K229" s="42"/>
      <c r="L229" s="42"/>
      <c r="M229" s="42"/>
      <c r="N229" s="42"/>
      <c r="O229" s="42"/>
      <c r="P229" s="42"/>
      <c r="Q229" s="42"/>
      <c r="R229" s="42"/>
      <c r="S229" s="42"/>
      <c r="T229" s="42"/>
      <c r="U229" s="194"/>
      <c r="V229" s="42"/>
      <c r="W229" s="42"/>
      <c r="X229" s="42"/>
      <c r="Y229" s="42"/>
      <c r="Z229" s="42"/>
      <c r="AA229" s="42"/>
      <c r="AB229" s="195"/>
      <c r="AC229" s="42"/>
      <c r="AD229" s="42"/>
      <c r="AE229" s="195"/>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s="42"/>
      <c r="BZ229" s="42"/>
      <c r="CA229" s="42"/>
      <c r="CB229" s="42"/>
      <c r="CC229" s="42"/>
      <c r="CD229" s="42"/>
      <c r="CE229" s="42"/>
      <c r="CF229" s="42"/>
      <c r="CG229" s="42"/>
      <c r="CH229" s="42"/>
      <c r="CI229" s="42"/>
      <c r="CJ229" s="42"/>
      <c r="CK229" s="42"/>
      <c r="CL229" s="42"/>
      <c r="CM229" s="42"/>
      <c r="CN229" s="42"/>
      <c r="CO229" s="42"/>
      <c r="CP229" s="42"/>
      <c r="CQ229" s="42"/>
      <c r="CR229" s="42"/>
      <c r="CS229" s="42"/>
      <c r="CT229" s="42"/>
      <c r="CU229" s="42"/>
      <c r="CV229" s="42"/>
      <c r="CW229" s="42"/>
      <c r="CX229" s="42"/>
      <c r="CY229" s="42"/>
      <c r="CZ229" s="42"/>
      <c r="DA229" s="42"/>
      <c r="DB229" s="42"/>
      <c r="DC229" s="42"/>
      <c r="DD229" s="42"/>
      <c r="DE229" s="42"/>
      <c r="DF229" s="42"/>
      <c r="DG229" s="42"/>
      <c r="DH229" s="42"/>
      <c r="DI229" s="42"/>
      <c r="DJ229" s="42"/>
      <c r="DK229" s="42"/>
      <c r="DL229" s="42"/>
      <c r="DM229" s="42"/>
      <c r="DN229" s="42"/>
      <c r="DO229" s="42"/>
      <c r="DP229" s="42"/>
      <c r="DQ229" s="42"/>
      <c r="DR229" s="42"/>
      <c r="DS229" s="42"/>
      <c r="DT229" s="42"/>
      <c r="DU229" s="42"/>
      <c r="DV229" s="42"/>
      <c r="DW229" s="42"/>
      <c r="DX229" s="42"/>
      <c r="DY229" s="42"/>
      <c r="DZ229" s="42"/>
      <c r="EA229" s="42"/>
      <c r="EB229" s="42"/>
      <c r="EC229" s="42"/>
      <c r="ED229" s="42"/>
      <c r="EE229" s="42"/>
      <c r="EF229" s="42"/>
      <c r="EG229" s="42"/>
      <c r="EH229" s="42"/>
      <c r="EI229" s="42"/>
      <c r="EJ229" s="42"/>
      <c r="EK229" s="42"/>
      <c r="EL229" s="42"/>
      <c r="EM229" s="42"/>
      <c r="EN229" s="42"/>
      <c r="EO229" s="42"/>
      <c r="EP229" s="42"/>
      <c r="EQ229" s="42"/>
      <c r="ER229" s="42"/>
      <c r="ES229" s="42"/>
      <c r="ET229" s="42"/>
      <c r="EU229" s="42"/>
      <c r="EV229" s="42"/>
      <c r="EW229" s="42"/>
      <c r="EX229" s="42"/>
      <c r="EY229" s="42"/>
      <c r="EZ229" s="42"/>
      <c r="FA229" s="42"/>
      <c r="FB229" s="42"/>
      <c r="FC229" s="42"/>
      <c r="FD229" s="42"/>
      <c r="FE229" s="42"/>
      <c r="FF229" s="42"/>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row>
    <row r="230" spans="1:256" ht="13.8" x14ac:dyDescent="0.3">
      <c r="A230" s="42"/>
      <c r="B230" s="42"/>
      <c r="C230" s="42"/>
      <c r="D230" s="42"/>
      <c r="E230" s="42"/>
      <c r="F230" s="42"/>
      <c r="G230" s="42"/>
      <c r="H230" s="42"/>
      <c r="I230" s="42"/>
      <c r="J230" s="42"/>
      <c r="K230" s="42"/>
      <c r="L230" s="42"/>
      <c r="M230" s="42"/>
      <c r="N230" s="42"/>
      <c r="O230" s="42"/>
      <c r="P230" s="42"/>
      <c r="Q230" s="42"/>
      <c r="R230" s="42"/>
      <c r="S230" s="42"/>
      <c r="T230" s="42"/>
      <c r="U230" s="194"/>
      <c r="V230" s="42"/>
      <c r="W230" s="42"/>
      <c r="X230" s="42"/>
      <c r="Y230" s="42"/>
      <c r="Z230" s="42"/>
      <c r="AA230" s="42"/>
      <c r="AB230" s="195"/>
      <c r="AC230" s="42"/>
      <c r="AD230" s="42"/>
      <c r="AE230" s="195"/>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42"/>
      <c r="BH230" s="42"/>
      <c r="BI230" s="42"/>
      <c r="BJ230" s="42"/>
      <c r="BK230" s="42"/>
      <c r="BL230" s="42"/>
      <c r="BM230" s="42"/>
      <c r="BN230" s="42"/>
      <c r="BO230" s="42"/>
      <c r="BP230" s="42"/>
      <c r="BQ230" s="42"/>
      <c r="BR230" s="42"/>
      <c r="BS230" s="42"/>
      <c r="BT230" s="42"/>
      <c r="BU230" s="42"/>
      <c r="BV230" s="42"/>
      <c r="BW230" s="42"/>
      <c r="BX230" s="42"/>
      <c r="BY230" s="42"/>
      <c r="BZ230" s="42"/>
      <c r="CA230" s="42"/>
      <c r="CB230" s="42"/>
      <c r="CC230" s="42"/>
      <c r="CD230" s="42"/>
      <c r="CE230" s="42"/>
      <c r="CF230" s="42"/>
      <c r="CG230" s="42"/>
      <c r="CH230" s="42"/>
      <c r="CI230" s="42"/>
      <c r="CJ230" s="42"/>
      <c r="CK230" s="42"/>
      <c r="CL230" s="42"/>
      <c r="CM230" s="42"/>
      <c r="CN230" s="42"/>
      <c r="CO230" s="42"/>
      <c r="CP230" s="42"/>
      <c r="CQ230" s="42"/>
      <c r="CR230" s="42"/>
      <c r="CS230" s="42"/>
      <c r="CT230" s="42"/>
      <c r="CU230" s="42"/>
      <c r="CV230" s="42"/>
      <c r="CW230" s="42"/>
      <c r="CX230" s="42"/>
      <c r="CY230" s="42"/>
      <c r="CZ230" s="42"/>
      <c r="DA230" s="42"/>
      <c r="DB230" s="42"/>
      <c r="DC230" s="42"/>
      <c r="DD230" s="42"/>
      <c r="DE230" s="42"/>
      <c r="DF230" s="42"/>
      <c r="DG230" s="42"/>
      <c r="DH230" s="42"/>
      <c r="DI230" s="42"/>
      <c r="DJ230" s="42"/>
      <c r="DK230" s="42"/>
      <c r="DL230" s="42"/>
      <c r="DM230" s="42"/>
      <c r="DN230" s="42"/>
      <c r="DO230" s="42"/>
      <c r="DP230" s="42"/>
      <c r="DQ230" s="42"/>
      <c r="DR230" s="42"/>
      <c r="DS230" s="42"/>
      <c r="DT230" s="42"/>
      <c r="DU230" s="42"/>
      <c r="DV230" s="42"/>
      <c r="DW230" s="42"/>
      <c r="DX230" s="42"/>
      <c r="DY230" s="42"/>
      <c r="DZ230" s="42"/>
      <c r="EA230" s="42"/>
      <c r="EB230" s="42"/>
      <c r="EC230" s="42"/>
      <c r="ED230" s="42"/>
      <c r="EE230" s="42"/>
      <c r="EF230" s="42"/>
      <c r="EG230" s="42"/>
      <c r="EH230" s="42"/>
      <c r="EI230" s="42"/>
      <c r="EJ230" s="42"/>
      <c r="EK230" s="42"/>
      <c r="EL230" s="42"/>
      <c r="EM230" s="42"/>
      <c r="EN230" s="42"/>
      <c r="EO230" s="42"/>
      <c r="EP230" s="42"/>
      <c r="EQ230" s="42"/>
      <c r="ER230" s="42"/>
      <c r="ES230" s="42"/>
      <c r="ET230" s="42"/>
      <c r="EU230" s="42"/>
      <c r="EV230" s="42"/>
      <c r="EW230" s="42"/>
      <c r="EX230" s="42"/>
      <c r="EY230" s="42"/>
      <c r="EZ230" s="42"/>
      <c r="FA230" s="42"/>
      <c r="FB230" s="42"/>
      <c r="FC230" s="42"/>
      <c r="FD230" s="42"/>
      <c r="FE230" s="42"/>
      <c r="FF230" s="42"/>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row>
    <row r="231" spans="1:256" ht="13.8" x14ac:dyDescent="0.3">
      <c r="A231" s="42"/>
      <c r="B231" s="42"/>
      <c r="C231" s="42"/>
      <c r="D231" s="42"/>
      <c r="E231" s="42"/>
      <c r="F231" s="42"/>
      <c r="G231" s="42"/>
      <c r="H231" s="42"/>
      <c r="I231" s="42"/>
      <c r="J231" s="42"/>
      <c r="K231" s="42"/>
      <c r="L231" s="42"/>
      <c r="M231" s="42"/>
      <c r="N231" s="42"/>
      <c r="O231" s="42"/>
      <c r="P231" s="42"/>
      <c r="Q231" s="42"/>
      <c r="R231" s="42"/>
      <c r="S231" s="42"/>
      <c r="T231" s="42"/>
      <c r="U231" s="194"/>
      <c r="V231" s="42"/>
      <c r="W231" s="42"/>
      <c r="X231" s="42"/>
      <c r="Y231" s="42"/>
      <c r="Z231" s="42"/>
      <c r="AA231" s="42"/>
      <c r="AB231" s="195"/>
      <c r="AC231" s="42"/>
      <c r="AD231" s="42"/>
      <c r="AE231" s="195"/>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s="42"/>
      <c r="BZ231" s="42"/>
      <c r="CA231" s="42"/>
      <c r="CB231" s="42"/>
      <c r="CC231" s="42"/>
      <c r="CD231" s="42"/>
      <c r="CE231" s="42"/>
      <c r="CF231" s="42"/>
      <c r="CG231" s="42"/>
      <c r="CH231" s="42"/>
      <c r="CI231" s="42"/>
      <c r="CJ231" s="42"/>
      <c r="CK231" s="42"/>
      <c r="CL231" s="42"/>
      <c r="CM231" s="42"/>
      <c r="CN231" s="42"/>
      <c r="CO231" s="42"/>
      <c r="CP231" s="42"/>
      <c r="CQ231" s="42"/>
      <c r="CR231" s="42"/>
      <c r="CS231" s="42"/>
      <c r="CT231" s="42"/>
      <c r="CU231" s="42"/>
      <c r="CV231" s="42"/>
      <c r="CW231" s="42"/>
      <c r="CX231" s="42"/>
      <c r="CY231" s="42"/>
      <c r="CZ231" s="42"/>
      <c r="DA231" s="42"/>
      <c r="DB231" s="42"/>
      <c r="DC231" s="42"/>
      <c r="DD231" s="42"/>
      <c r="DE231" s="42"/>
      <c r="DF231" s="42"/>
      <c r="DG231" s="42"/>
      <c r="DH231" s="42"/>
      <c r="DI231" s="42"/>
      <c r="DJ231" s="42"/>
      <c r="DK231" s="42"/>
      <c r="DL231" s="42"/>
      <c r="DM231" s="42"/>
      <c r="DN231" s="42"/>
      <c r="DO231" s="42"/>
      <c r="DP231" s="42"/>
      <c r="DQ231" s="42"/>
      <c r="DR231" s="42"/>
      <c r="DS231" s="42"/>
      <c r="DT231" s="42"/>
      <c r="DU231" s="42"/>
      <c r="DV231" s="42"/>
      <c r="DW231" s="42"/>
      <c r="DX231" s="42"/>
      <c r="DY231" s="42"/>
      <c r="DZ231" s="42"/>
      <c r="EA231" s="42"/>
      <c r="EB231" s="42"/>
      <c r="EC231" s="42"/>
      <c r="ED231" s="42"/>
      <c r="EE231" s="42"/>
      <c r="EF231" s="42"/>
      <c r="EG231" s="42"/>
      <c r="EH231" s="42"/>
      <c r="EI231" s="42"/>
      <c r="EJ231" s="42"/>
      <c r="EK231" s="42"/>
      <c r="EL231" s="42"/>
      <c r="EM231" s="42"/>
      <c r="EN231" s="42"/>
      <c r="EO231" s="42"/>
      <c r="EP231" s="42"/>
      <c r="EQ231" s="42"/>
      <c r="ER231" s="42"/>
      <c r="ES231" s="42"/>
      <c r="ET231" s="42"/>
      <c r="EU231" s="42"/>
      <c r="EV231" s="42"/>
      <c r="EW231" s="42"/>
      <c r="EX231" s="42"/>
      <c r="EY231" s="42"/>
      <c r="EZ231" s="42"/>
      <c r="FA231" s="42"/>
      <c r="FB231" s="42"/>
      <c r="FC231" s="42"/>
      <c r="FD231" s="42"/>
      <c r="FE231" s="42"/>
      <c r="FF231" s="42"/>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row>
    <row r="232" spans="1:256" ht="13.8" x14ac:dyDescent="0.3">
      <c r="A232" s="42"/>
      <c r="B232" s="42"/>
      <c r="C232" s="42"/>
      <c r="D232" s="42"/>
      <c r="E232" s="42"/>
      <c r="F232" s="42"/>
      <c r="G232" s="42"/>
      <c r="H232" s="42"/>
      <c r="I232" s="42"/>
      <c r="J232" s="42"/>
      <c r="K232" s="42"/>
      <c r="L232" s="42"/>
      <c r="M232" s="42"/>
      <c r="N232" s="42"/>
      <c r="O232" s="42"/>
      <c r="P232" s="42"/>
      <c r="Q232" s="42"/>
      <c r="R232" s="42"/>
      <c r="S232" s="42"/>
      <c r="T232" s="42"/>
      <c r="U232" s="194"/>
      <c r="V232" s="42"/>
      <c r="W232" s="42"/>
      <c r="X232" s="42"/>
      <c r="Y232" s="42"/>
      <c r="Z232" s="42"/>
      <c r="AA232" s="42"/>
      <c r="AB232" s="195"/>
      <c r="AC232" s="42"/>
      <c r="AD232" s="42"/>
      <c r="AE232" s="195"/>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c r="BS232" s="42"/>
      <c r="BT232" s="42"/>
      <c r="BU232" s="42"/>
      <c r="BV232" s="42"/>
      <c r="BW232" s="42"/>
      <c r="BX232" s="42"/>
      <c r="BY232" s="42"/>
      <c r="BZ232" s="42"/>
      <c r="CA232" s="42"/>
      <c r="CB232" s="42"/>
      <c r="CC232" s="42"/>
      <c r="CD232" s="42"/>
      <c r="CE232" s="42"/>
      <c r="CF232" s="42"/>
      <c r="CG232" s="42"/>
      <c r="CH232" s="42"/>
      <c r="CI232" s="42"/>
      <c r="CJ232" s="42"/>
      <c r="CK232" s="42"/>
      <c r="CL232" s="42"/>
      <c r="CM232" s="42"/>
      <c r="CN232" s="42"/>
      <c r="CO232" s="42"/>
      <c r="CP232" s="42"/>
      <c r="CQ232" s="42"/>
      <c r="CR232" s="42"/>
      <c r="CS232" s="42"/>
      <c r="CT232" s="42"/>
      <c r="CU232" s="42"/>
      <c r="CV232" s="42"/>
      <c r="CW232" s="42"/>
      <c r="CX232" s="42"/>
      <c r="CY232" s="42"/>
      <c r="CZ232" s="42"/>
      <c r="DA232" s="42"/>
      <c r="DB232" s="42"/>
      <c r="DC232" s="42"/>
      <c r="DD232" s="42"/>
      <c r="DE232" s="42"/>
      <c r="DF232" s="42"/>
      <c r="DG232" s="42"/>
      <c r="DH232" s="42"/>
      <c r="DI232" s="42"/>
      <c r="DJ232" s="42"/>
      <c r="DK232" s="42"/>
      <c r="DL232" s="42"/>
      <c r="DM232" s="42"/>
      <c r="DN232" s="42"/>
      <c r="DO232" s="42"/>
      <c r="DP232" s="42"/>
      <c r="DQ232" s="42"/>
      <c r="DR232" s="42"/>
      <c r="DS232" s="42"/>
      <c r="DT232" s="42"/>
      <c r="DU232" s="42"/>
      <c r="DV232" s="42"/>
      <c r="DW232" s="42"/>
      <c r="DX232" s="42"/>
      <c r="DY232" s="42"/>
      <c r="DZ232" s="42"/>
      <c r="EA232" s="42"/>
      <c r="EB232" s="42"/>
      <c r="EC232" s="42"/>
      <c r="ED232" s="42"/>
      <c r="EE232" s="42"/>
      <c r="EF232" s="42"/>
      <c r="EG232" s="42"/>
      <c r="EH232" s="42"/>
      <c r="EI232" s="42"/>
      <c r="EJ232" s="42"/>
      <c r="EK232" s="42"/>
      <c r="EL232" s="42"/>
      <c r="EM232" s="42"/>
      <c r="EN232" s="42"/>
      <c r="EO232" s="42"/>
      <c r="EP232" s="42"/>
      <c r="EQ232" s="42"/>
      <c r="ER232" s="42"/>
      <c r="ES232" s="42"/>
      <c r="ET232" s="42"/>
      <c r="EU232" s="42"/>
      <c r="EV232" s="42"/>
      <c r="EW232" s="42"/>
      <c r="EX232" s="42"/>
      <c r="EY232" s="42"/>
      <c r="EZ232" s="42"/>
      <c r="FA232" s="42"/>
      <c r="FB232" s="42"/>
      <c r="FC232" s="42"/>
      <c r="FD232" s="42"/>
      <c r="FE232" s="42"/>
      <c r="FF232" s="42"/>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row>
    <row r="233" spans="1:256" ht="13.8" x14ac:dyDescent="0.3">
      <c r="A233" s="42"/>
      <c r="B233" s="42"/>
      <c r="C233" s="42"/>
      <c r="D233" s="42"/>
      <c r="E233" s="42"/>
      <c r="F233" s="42"/>
      <c r="G233" s="42"/>
      <c r="H233" s="42"/>
      <c r="I233" s="42"/>
      <c r="J233" s="42"/>
      <c r="K233" s="42"/>
      <c r="L233" s="42"/>
      <c r="M233" s="42"/>
      <c r="N233" s="42"/>
      <c r="O233" s="42"/>
      <c r="P233" s="42"/>
      <c r="Q233" s="42"/>
      <c r="R233" s="42"/>
      <c r="S233" s="42"/>
      <c r="T233" s="42"/>
      <c r="U233" s="194"/>
      <c r="V233" s="42"/>
      <c r="W233" s="42"/>
      <c r="X233" s="42"/>
      <c r="Y233" s="42"/>
      <c r="Z233" s="42"/>
      <c r="AA233" s="42"/>
      <c r="AB233" s="195"/>
      <c r="AC233" s="42"/>
      <c r="AD233" s="42"/>
      <c r="AE233" s="195"/>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s="42"/>
      <c r="BZ233" s="42"/>
      <c r="CA233" s="42"/>
      <c r="CB233" s="42"/>
      <c r="CC233" s="42"/>
      <c r="CD233" s="42"/>
      <c r="CE233" s="42"/>
      <c r="CF233" s="42"/>
      <c r="CG233" s="42"/>
      <c r="CH233" s="42"/>
      <c r="CI233" s="42"/>
      <c r="CJ233" s="42"/>
      <c r="CK233" s="42"/>
      <c r="CL233" s="42"/>
      <c r="CM233" s="42"/>
      <c r="CN233" s="42"/>
      <c r="CO233" s="42"/>
      <c r="CP233" s="42"/>
      <c r="CQ233" s="42"/>
      <c r="CR233" s="42"/>
      <c r="CS233" s="42"/>
      <c r="CT233" s="42"/>
      <c r="CU233" s="42"/>
      <c r="CV233" s="42"/>
      <c r="CW233" s="42"/>
      <c r="CX233" s="42"/>
      <c r="CY233" s="42"/>
      <c r="CZ233" s="42"/>
      <c r="DA233" s="42"/>
      <c r="DB233" s="42"/>
      <c r="DC233" s="42"/>
      <c r="DD233" s="42"/>
      <c r="DE233" s="42"/>
      <c r="DF233" s="42"/>
      <c r="DG233" s="42"/>
      <c r="DH233" s="42"/>
      <c r="DI233" s="42"/>
      <c r="DJ233" s="42"/>
      <c r="DK233" s="42"/>
      <c r="DL233" s="42"/>
      <c r="DM233" s="42"/>
      <c r="DN233" s="42"/>
      <c r="DO233" s="42"/>
      <c r="DP233" s="42"/>
      <c r="DQ233" s="42"/>
      <c r="DR233" s="42"/>
      <c r="DS233" s="42"/>
      <c r="DT233" s="42"/>
      <c r="DU233" s="42"/>
      <c r="DV233" s="42"/>
      <c r="DW233" s="42"/>
      <c r="DX233" s="42"/>
      <c r="DY233" s="42"/>
      <c r="DZ233" s="42"/>
      <c r="EA233" s="42"/>
      <c r="EB233" s="42"/>
      <c r="EC233" s="42"/>
      <c r="ED233" s="42"/>
      <c r="EE233" s="42"/>
      <c r="EF233" s="42"/>
      <c r="EG233" s="42"/>
      <c r="EH233" s="42"/>
      <c r="EI233" s="42"/>
      <c r="EJ233" s="42"/>
      <c r="EK233" s="42"/>
      <c r="EL233" s="42"/>
      <c r="EM233" s="42"/>
      <c r="EN233" s="42"/>
      <c r="EO233" s="42"/>
      <c r="EP233" s="42"/>
      <c r="EQ233" s="42"/>
      <c r="ER233" s="42"/>
      <c r="ES233" s="42"/>
      <c r="ET233" s="42"/>
      <c r="EU233" s="42"/>
      <c r="EV233" s="42"/>
      <c r="EW233" s="42"/>
      <c r="EX233" s="42"/>
      <c r="EY233" s="42"/>
      <c r="EZ233" s="42"/>
      <c r="FA233" s="42"/>
      <c r="FB233" s="42"/>
      <c r="FC233" s="42"/>
      <c r="FD233" s="42"/>
      <c r="FE233" s="42"/>
      <c r="FF233" s="42"/>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row>
    <row r="234" spans="1:256" ht="13.8" x14ac:dyDescent="0.3">
      <c r="A234" s="42"/>
      <c r="B234" s="42"/>
      <c r="C234" s="42"/>
      <c r="D234" s="42"/>
      <c r="E234" s="42"/>
      <c r="F234" s="42"/>
      <c r="G234" s="42"/>
      <c r="H234" s="42"/>
      <c r="I234" s="42"/>
      <c r="J234" s="42"/>
      <c r="K234" s="42"/>
      <c r="L234" s="42"/>
      <c r="M234" s="42"/>
      <c r="N234" s="42"/>
      <c r="O234" s="42"/>
      <c r="P234" s="42"/>
      <c r="Q234" s="42"/>
      <c r="R234" s="42"/>
      <c r="S234" s="42"/>
      <c r="T234" s="42"/>
      <c r="U234" s="194"/>
      <c r="V234" s="42"/>
      <c r="W234" s="42"/>
      <c r="X234" s="42"/>
      <c r="Y234" s="42"/>
      <c r="Z234" s="42"/>
      <c r="AA234" s="42"/>
      <c r="AB234" s="195"/>
      <c r="AC234" s="42"/>
      <c r="AD234" s="42"/>
      <c r="AE234" s="195"/>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c r="BM234" s="42"/>
      <c r="BN234" s="42"/>
      <c r="BO234" s="42"/>
      <c r="BP234" s="42"/>
      <c r="BQ234" s="42"/>
      <c r="BR234" s="42"/>
      <c r="BS234" s="42"/>
      <c r="BT234" s="42"/>
      <c r="BU234" s="42"/>
      <c r="BV234" s="42"/>
      <c r="BW234" s="42"/>
      <c r="BX234" s="42"/>
      <c r="BY234" s="42"/>
      <c r="BZ234" s="42"/>
      <c r="CA234" s="42"/>
      <c r="CB234" s="42"/>
      <c r="CC234" s="42"/>
      <c r="CD234" s="42"/>
      <c r="CE234" s="42"/>
      <c r="CF234" s="42"/>
      <c r="CG234" s="42"/>
      <c r="CH234" s="42"/>
      <c r="CI234" s="42"/>
      <c r="CJ234" s="42"/>
      <c r="CK234" s="42"/>
      <c r="CL234" s="42"/>
      <c r="CM234" s="42"/>
      <c r="CN234" s="42"/>
      <c r="CO234" s="42"/>
      <c r="CP234" s="42"/>
      <c r="CQ234" s="42"/>
      <c r="CR234" s="42"/>
      <c r="CS234" s="42"/>
      <c r="CT234" s="42"/>
      <c r="CU234" s="42"/>
      <c r="CV234" s="42"/>
      <c r="CW234" s="42"/>
      <c r="CX234" s="42"/>
      <c r="CY234" s="42"/>
      <c r="CZ234" s="42"/>
      <c r="DA234" s="42"/>
      <c r="DB234" s="42"/>
      <c r="DC234" s="42"/>
      <c r="DD234" s="42"/>
      <c r="DE234" s="42"/>
      <c r="DF234" s="42"/>
      <c r="DG234" s="42"/>
      <c r="DH234" s="42"/>
      <c r="DI234" s="42"/>
      <c r="DJ234" s="42"/>
      <c r="DK234" s="42"/>
      <c r="DL234" s="42"/>
      <c r="DM234" s="42"/>
      <c r="DN234" s="42"/>
      <c r="DO234" s="42"/>
      <c r="DP234" s="42"/>
      <c r="DQ234" s="42"/>
      <c r="DR234" s="42"/>
      <c r="DS234" s="42"/>
      <c r="DT234" s="42"/>
      <c r="DU234" s="42"/>
      <c r="DV234" s="42"/>
      <c r="DW234" s="42"/>
      <c r="DX234" s="42"/>
      <c r="DY234" s="42"/>
      <c r="DZ234" s="42"/>
      <c r="EA234" s="42"/>
      <c r="EB234" s="42"/>
      <c r="EC234" s="42"/>
      <c r="ED234" s="42"/>
      <c r="EE234" s="42"/>
      <c r="EF234" s="42"/>
      <c r="EG234" s="42"/>
      <c r="EH234" s="42"/>
      <c r="EI234" s="42"/>
      <c r="EJ234" s="42"/>
      <c r="EK234" s="42"/>
      <c r="EL234" s="42"/>
      <c r="EM234" s="42"/>
      <c r="EN234" s="42"/>
      <c r="EO234" s="42"/>
      <c r="EP234" s="42"/>
      <c r="EQ234" s="42"/>
      <c r="ER234" s="42"/>
      <c r="ES234" s="42"/>
      <c r="ET234" s="42"/>
      <c r="EU234" s="42"/>
      <c r="EV234" s="42"/>
      <c r="EW234" s="42"/>
      <c r="EX234" s="42"/>
      <c r="EY234" s="42"/>
      <c r="EZ234" s="42"/>
      <c r="FA234" s="42"/>
      <c r="FB234" s="42"/>
      <c r="FC234" s="42"/>
      <c r="FD234" s="42"/>
      <c r="FE234" s="42"/>
      <c r="FF234" s="42"/>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row>
    <row r="235" spans="1:256" ht="13.8" x14ac:dyDescent="0.3">
      <c r="A235" s="42"/>
      <c r="B235" s="42"/>
      <c r="C235" s="42"/>
      <c r="D235" s="42"/>
      <c r="E235" s="42"/>
      <c r="F235" s="42"/>
      <c r="G235" s="42"/>
      <c r="H235" s="42"/>
      <c r="I235" s="42"/>
      <c r="J235" s="42"/>
      <c r="K235" s="42"/>
      <c r="L235" s="42"/>
      <c r="M235" s="42"/>
      <c r="N235" s="42"/>
      <c r="O235" s="42"/>
      <c r="P235" s="42"/>
      <c r="Q235" s="42"/>
      <c r="R235" s="42"/>
      <c r="S235" s="42"/>
      <c r="T235" s="42"/>
      <c r="U235" s="194"/>
      <c r="V235" s="42"/>
      <c r="W235" s="42"/>
      <c r="X235" s="42"/>
      <c r="Y235" s="42"/>
      <c r="Z235" s="42"/>
      <c r="AA235" s="42"/>
      <c r="AB235" s="195"/>
      <c r="AC235" s="42"/>
      <c r="AD235" s="42"/>
      <c r="AE235" s="195"/>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42"/>
      <c r="BH235" s="42"/>
      <c r="BI235" s="42"/>
      <c r="BJ235" s="42"/>
      <c r="BK235" s="42"/>
      <c r="BL235" s="42"/>
      <c r="BM235" s="42"/>
      <c r="BN235" s="42"/>
      <c r="BO235" s="42"/>
      <c r="BP235" s="42"/>
      <c r="BQ235" s="42"/>
      <c r="BR235" s="42"/>
      <c r="BS235" s="42"/>
      <c r="BT235" s="42"/>
      <c r="BU235" s="42"/>
      <c r="BV235" s="42"/>
      <c r="BW235" s="42"/>
      <c r="BX235" s="42"/>
      <c r="BY235" s="42"/>
      <c r="BZ235" s="42"/>
      <c r="CA235" s="42"/>
      <c r="CB235" s="42"/>
      <c r="CC235" s="42"/>
      <c r="CD235" s="42"/>
      <c r="CE235" s="42"/>
      <c r="CF235" s="42"/>
      <c r="CG235" s="42"/>
      <c r="CH235" s="42"/>
      <c r="CI235" s="42"/>
      <c r="CJ235" s="42"/>
      <c r="CK235" s="42"/>
      <c r="CL235" s="42"/>
      <c r="CM235" s="42"/>
      <c r="CN235" s="42"/>
      <c r="CO235" s="42"/>
      <c r="CP235" s="42"/>
      <c r="CQ235" s="42"/>
      <c r="CR235" s="42"/>
      <c r="CS235" s="42"/>
      <c r="CT235" s="42"/>
      <c r="CU235" s="42"/>
      <c r="CV235" s="42"/>
      <c r="CW235" s="42"/>
      <c r="CX235" s="42"/>
      <c r="CY235" s="42"/>
      <c r="CZ235" s="42"/>
      <c r="DA235" s="42"/>
      <c r="DB235" s="42"/>
      <c r="DC235" s="42"/>
      <c r="DD235" s="42"/>
      <c r="DE235" s="42"/>
      <c r="DF235" s="42"/>
      <c r="DG235" s="42"/>
      <c r="DH235" s="42"/>
      <c r="DI235" s="42"/>
      <c r="DJ235" s="42"/>
      <c r="DK235" s="42"/>
      <c r="DL235" s="42"/>
      <c r="DM235" s="42"/>
      <c r="DN235" s="42"/>
      <c r="DO235" s="42"/>
      <c r="DP235" s="42"/>
      <c r="DQ235" s="42"/>
      <c r="DR235" s="42"/>
      <c r="DS235" s="42"/>
      <c r="DT235" s="42"/>
      <c r="DU235" s="42"/>
      <c r="DV235" s="42"/>
      <c r="DW235" s="42"/>
      <c r="DX235" s="42"/>
      <c r="DY235" s="42"/>
      <c r="DZ235" s="42"/>
      <c r="EA235" s="42"/>
      <c r="EB235" s="42"/>
      <c r="EC235" s="42"/>
      <c r="ED235" s="42"/>
      <c r="EE235" s="42"/>
      <c r="EF235" s="42"/>
      <c r="EG235" s="42"/>
      <c r="EH235" s="42"/>
      <c r="EI235" s="42"/>
      <c r="EJ235" s="42"/>
      <c r="EK235" s="42"/>
      <c r="EL235" s="42"/>
      <c r="EM235" s="42"/>
      <c r="EN235" s="42"/>
      <c r="EO235" s="42"/>
      <c r="EP235" s="42"/>
      <c r="EQ235" s="42"/>
      <c r="ER235" s="42"/>
      <c r="ES235" s="42"/>
      <c r="ET235" s="42"/>
      <c r="EU235" s="42"/>
      <c r="EV235" s="42"/>
      <c r="EW235" s="42"/>
      <c r="EX235" s="42"/>
      <c r="EY235" s="42"/>
      <c r="EZ235" s="42"/>
      <c r="FA235" s="42"/>
      <c r="FB235" s="42"/>
      <c r="FC235" s="42"/>
      <c r="FD235" s="42"/>
      <c r="FE235" s="42"/>
      <c r="FF235" s="42"/>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row>
    <row r="236" spans="1:256" ht="13.8" x14ac:dyDescent="0.3">
      <c r="A236" s="42"/>
      <c r="B236" s="42"/>
      <c r="C236" s="42"/>
      <c r="D236" s="42"/>
      <c r="E236" s="42"/>
      <c r="F236" s="42"/>
      <c r="G236" s="42"/>
      <c r="H236" s="42"/>
      <c r="I236" s="42"/>
      <c r="J236" s="42"/>
      <c r="K236" s="42"/>
      <c r="L236" s="42"/>
      <c r="M236" s="42"/>
      <c r="N236" s="42"/>
      <c r="O236" s="42"/>
      <c r="P236" s="42"/>
      <c r="Q236" s="42"/>
      <c r="R236" s="42"/>
      <c r="S236" s="42"/>
      <c r="T236" s="42"/>
      <c r="U236" s="194"/>
      <c r="V236" s="42"/>
      <c r="W236" s="42"/>
      <c r="X236" s="42"/>
      <c r="Y236" s="42"/>
      <c r="Z236" s="42"/>
      <c r="AA236" s="42"/>
      <c r="AB236" s="195"/>
      <c r="AC236" s="42"/>
      <c r="AD236" s="42"/>
      <c r="AE236" s="195"/>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42"/>
      <c r="BH236" s="42"/>
      <c r="BI236" s="42"/>
      <c r="BJ236" s="42"/>
      <c r="BK236" s="42"/>
      <c r="BL236" s="42"/>
      <c r="BM236" s="42"/>
      <c r="BN236" s="42"/>
      <c r="BO236" s="42"/>
      <c r="BP236" s="42"/>
      <c r="BQ236" s="42"/>
      <c r="BR236" s="42"/>
      <c r="BS236" s="42"/>
      <c r="BT236" s="42"/>
      <c r="BU236" s="42"/>
      <c r="BV236" s="42"/>
      <c r="BW236" s="42"/>
      <c r="BX236" s="42"/>
      <c r="BY236" s="42"/>
      <c r="BZ236" s="42"/>
      <c r="CA236" s="42"/>
      <c r="CB236" s="42"/>
      <c r="CC236" s="42"/>
      <c r="CD236" s="42"/>
      <c r="CE236" s="42"/>
      <c r="CF236" s="42"/>
      <c r="CG236" s="42"/>
      <c r="CH236" s="42"/>
      <c r="CI236" s="42"/>
      <c r="CJ236" s="42"/>
      <c r="CK236" s="42"/>
      <c r="CL236" s="42"/>
      <c r="CM236" s="42"/>
      <c r="CN236" s="42"/>
      <c r="CO236" s="42"/>
      <c r="CP236" s="42"/>
      <c r="CQ236" s="42"/>
      <c r="CR236" s="42"/>
      <c r="CS236" s="42"/>
      <c r="CT236" s="42"/>
      <c r="CU236" s="42"/>
      <c r="CV236" s="42"/>
      <c r="CW236" s="42"/>
      <c r="CX236" s="42"/>
      <c r="CY236" s="42"/>
      <c r="CZ236" s="42"/>
      <c r="DA236" s="42"/>
      <c r="DB236" s="42"/>
      <c r="DC236" s="42"/>
      <c r="DD236" s="42"/>
      <c r="DE236" s="42"/>
      <c r="DF236" s="42"/>
      <c r="DG236" s="42"/>
      <c r="DH236" s="42"/>
      <c r="DI236" s="42"/>
      <c r="DJ236" s="42"/>
      <c r="DK236" s="42"/>
      <c r="DL236" s="42"/>
      <c r="DM236" s="42"/>
      <c r="DN236" s="42"/>
      <c r="DO236" s="42"/>
      <c r="DP236" s="42"/>
      <c r="DQ236" s="42"/>
      <c r="DR236" s="42"/>
      <c r="DS236" s="42"/>
      <c r="DT236" s="42"/>
      <c r="DU236" s="42"/>
      <c r="DV236" s="42"/>
      <c r="DW236" s="42"/>
      <c r="DX236" s="42"/>
      <c r="DY236" s="42"/>
      <c r="DZ236" s="42"/>
      <c r="EA236" s="42"/>
      <c r="EB236" s="42"/>
      <c r="EC236" s="42"/>
      <c r="ED236" s="42"/>
      <c r="EE236" s="42"/>
      <c r="EF236" s="42"/>
      <c r="EG236" s="42"/>
      <c r="EH236" s="42"/>
      <c r="EI236" s="42"/>
      <c r="EJ236" s="42"/>
      <c r="EK236" s="42"/>
      <c r="EL236" s="42"/>
      <c r="EM236" s="42"/>
      <c r="EN236" s="42"/>
      <c r="EO236" s="42"/>
      <c r="EP236" s="42"/>
      <c r="EQ236" s="42"/>
      <c r="ER236" s="42"/>
      <c r="ES236" s="42"/>
      <c r="ET236" s="42"/>
      <c r="EU236" s="42"/>
      <c r="EV236" s="42"/>
      <c r="EW236" s="42"/>
      <c r="EX236" s="42"/>
      <c r="EY236" s="42"/>
      <c r="EZ236" s="42"/>
      <c r="FA236" s="42"/>
      <c r="FB236" s="42"/>
      <c r="FC236" s="42"/>
      <c r="FD236" s="42"/>
      <c r="FE236" s="42"/>
      <c r="FF236" s="42"/>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row>
    <row r="237" spans="1:256" ht="13.8" x14ac:dyDescent="0.3">
      <c r="A237" s="42"/>
      <c r="B237" s="42"/>
      <c r="C237" s="42"/>
      <c r="D237" s="42"/>
      <c r="E237" s="42"/>
      <c r="F237" s="42"/>
      <c r="G237" s="42"/>
      <c r="H237" s="42"/>
      <c r="I237" s="42"/>
      <c r="J237" s="42"/>
      <c r="K237" s="42"/>
      <c r="L237" s="42"/>
      <c r="M237" s="42"/>
      <c r="N237" s="42"/>
      <c r="O237" s="42"/>
      <c r="P237" s="42"/>
      <c r="Q237" s="42"/>
      <c r="R237" s="42"/>
      <c r="S237" s="42"/>
      <c r="T237" s="42"/>
      <c r="U237" s="194"/>
      <c r="V237" s="42"/>
      <c r="W237" s="42"/>
      <c r="X237" s="42"/>
      <c r="Y237" s="42"/>
      <c r="Z237" s="42"/>
      <c r="AA237" s="42"/>
      <c r="AB237" s="195"/>
      <c r="AC237" s="42"/>
      <c r="AD237" s="42"/>
      <c r="AE237" s="195"/>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c r="BM237" s="42"/>
      <c r="BN237" s="42"/>
      <c r="BO237" s="42"/>
      <c r="BP237" s="42"/>
      <c r="BQ237" s="42"/>
      <c r="BR237" s="42"/>
      <c r="BS237" s="42"/>
      <c r="BT237" s="42"/>
      <c r="BU237" s="42"/>
      <c r="BV237" s="42"/>
      <c r="BW237" s="42"/>
      <c r="BX237" s="42"/>
      <c r="BY237" s="42"/>
      <c r="BZ237" s="42"/>
      <c r="CA237" s="42"/>
      <c r="CB237" s="42"/>
      <c r="CC237" s="42"/>
      <c r="CD237" s="42"/>
      <c r="CE237" s="42"/>
      <c r="CF237" s="42"/>
      <c r="CG237" s="42"/>
      <c r="CH237" s="42"/>
      <c r="CI237" s="42"/>
      <c r="CJ237" s="42"/>
      <c r="CK237" s="42"/>
      <c r="CL237" s="42"/>
      <c r="CM237" s="42"/>
      <c r="CN237" s="42"/>
      <c r="CO237" s="42"/>
      <c r="CP237" s="42"/>
      <c r="CQ237" s="42"/>
      <c r="CR237" s="42"/>
      <c r="CS237" s="42"/>
      <c r="CT237" s="42"/>
      <c r="CU237" s="42"/>
      <c r="CV237" s="42"/>
      <c r="CW237" s="42"/>
      <c r="CX237" s="42"/>
      <c r="CY237" s="42"/>
      <c r="CZ237" s="42"/>
      <c r="DA237" s="42"/>
      <c r="DB237" s="42"/>
      <c r="DC237" s="42"/>
      <c r="DD237" s="42"/>
      <c r="DE237" s="42"/>
      <c r="DF237" s="42"/>
      <c r="DG237" s="42"/>
      <c r="DH237" s="42"/>
      <c r="DI237" s="42"/>
      <c r="DJ237" s="42"/>
      <c r="DK237" s="42"/>
      <c r="DL237" s="42"/>
      <c r="DM237" s="42"/>
      <c r="DN237" s="42"/>
      <c r="DO237" s="42"/>
      <c r="DP237" s="42"/>
      <c r="DQ237" s="42"/>
      <c r="DR237" s="42"/>
      <c r="DS237" s="42"/>
      <c r="DT237" s="42"/>
      <c r="DU237" s="42"/>
      <c r="DV237" s="42"/>
      <c r="DW237" s="42"/>
      <c r="DX237" s="42"/>
      <c r="DY237" s="42"/>
      <c r="DZ237" s="42"/>
      <c r="EA237" s="42"/>
      <c r="EB237" s="42"/>
      <c r="EC237" s="42"/>
      <c r="ED237" s="42"/>
      <c r="EE237" s="42"/>
      <c r="EF237" s="42"/>
      <c r="EG237" s="42"/>
      <c r="EH237" s="42"/>
      <c r="EI237" s="42"/>
      <c r="EJ237" s="42"/>
      <c r="EK237" s="42"/>
      <c r="EL237" s="42"/>
      <c r="EM237" s="42"/>
      <c r="EN237" s="42"/>
      <c r="EO237" s="42"/>
      <c r="EP237" s="42"/>
      <c r="EQ237" s="42"/>
      <c r="ER237" s="42"/>
      <c r="ES237" s="42"/>
      <c r="ET237" s="42"/>
      <c r="EU237" s="42"/>
      <c r="EV237" s="42"/>
      <c r="EW237" s="42"/>
      <c r="EX237" s="42"/>
      <c r="EY237" s="42"/>
      <c r="EZ237" s="42"/>
      <c r="FA237" s="42"/>
      <c r="FB237" s="42"/>
      <c r="FC237" s="42"/>
      <c r="FD237" s="42"/>
      <c r="FE237" s="42"/>
      <c r="FF237" s="42"/>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row>
    <row r="238" spans="1:256" ht="13.8" x14ac:dyDescent="0.3">
      <c r="A238" s="42"/>
      <c r="B238" s="42"/>
      <c r="C238" s="42"/>
      <c r="D238" s="42"/>
      <c r="E238" s="42"/>
      <c r="F238" s="42"/>
      <c r="G238" s="42"/>
      <c r="H238" s="42"/>
      <c r="I238" s="42"/>
      <c r="J238" s="42"/>
      <c r="K238" s="42"/>
      <c r="L238" s="42"/>
      <c r="M238" s="42"/>
      <c r="N238" s="42"/>
      <c r="O238" s="42"/>
      <c r="P238" s="42"/>
      <c r="Q238" s="42"/>
      <c r="R238" s="42"/>
      <c r="S238" s="42"/>
      <c r="T238" s="42"/>
      <c r="U238" s="194"/>
      <c r="V238" s="42"/>
      <c r="W238" s="42"/>
      <c r="X238" s="42"/>
      <c r="Y238" s="42"/>
      <c r="Z238" s="42"/>
      <c r="AA238" s="42"/>
      <c r="AB238" s="195"/>
      <c r="AC238" s="42"/>
      <c r="AD238" s="42"/>
      <c r="AE238" s="195"/>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42"/>
      <c r="BH238" s="42"/>
      <c r="BI238" s="42"/>
      <c r="BJ238" s="42"/>
      <c r="BK238" s="42"/>
      <c r="BL238" s="42"/>
      <c r="BM238" s="42"/>
      <c r="BN238" s="42"/>
      <c r="BO238" s="42"/>
      <c r="BP238" s="42"/>
      <c r="BQ238" s="42"/>
      <c r="BR238" s="42"/>
      <c r="BS238" s="42"/>
      <c r="BT238" s="42"/>
      <c r="BU238" s="42"/>
      <c r="BV238" s="42"/>
      <c r="BW238" s="42"/>
      <c r="BX238" s="42"/>
      <c r="BY238" s="42"/>
      <c r="BZ238" s="42"/>
      <c r="CA238" s="42"/>
      <c r="CB238" s="42"/>
      <c r="CC238" s="42"/>
      <c r="CD238" s="42"/>
      <c r="CE238" s="42"/>
      <c r="CF238" s="42"/>
      <c r="CG238" s="42"/>
      <c r="CH238" s="42"/>
      <c r="CI238" s="42"/>
      <c r="CJ238" s="42"/>
      <c r="CK238" s="42"/>
      <c r="CL238" s="42"/>
      <c r="CM238" s="42"/>
      <c r="CN238" s="42"/>
      <c r="CO238" s="42"/>
      <c r="CP238" s="42"/>
      <c r="CQ238" s="42"/>
      <c r="CR238" s="42"/>
      <c r="CS238" s="42"/>
      <c r="CT238" s="42"/>
      <c r="CU238" s="42"/>
      <c r="CV238" s="42"/>
      <c r="CW238" s="42"/>
      <c r="CX238" s="42"/>
      <c r="CY238" s="42"/>
      <c r="CZ238" s="42"/>
      <c r="DA238" s="42"/>
      <c r="DB238" s="42"/>
      <c r="DC238" s="42"/>
      <c r="DD238" s="42"/>
      <c r="DE238" s="42"/>
      <c r="DF238" s="42"/>
      <c r="DG238" s="42"/>
      <c r="DH238" s="42"/>
      <c r="DI238" s="42"/>
      <c r="DJ238" s="42"/>
      <c r="DK238" s="42"/>
      <c r="DL238" s="42"/>
      <c r="DM238" s="42"/>
      <c r="DN238" s="42"/>
      <c r="DO238" s="42"/>
      <c r="DP238" s="42"/>
      <c r="DQ238" s="42"/>
      <c r="DR238" s="42"/>
      <c r="DS238" s="42"/>
      <c r="DT238" s="42"/>
      <c r="DU238" s="42"/>
      <c r="DV238" s="42"/>
      <c r="DW238" s="42"/>
      <c r="DX238" s="42"/>
      <c r="DY238" s="42"/>
      <c r="DZ238" s="42"/>
      <c r="EA238" s="42"/>
      <c r="EB238" s="42"/>
      <c r="EC238" s="42"/>
      <c r="ED238" s="42"/>
      <c r="EE238" s="42"/>
      <c r="EF238" s="42"/>
      <c r="EG238" s="42"/>
      <c r="EH238" s="42"/>
      <c r="EI238" s="42"/>
      <c r="EJ238" s="42"/>
      <c r="EK238" s="42"/>
      <c r="EL238" s="42"/>
      <c r="EM238" s="42"/>
      <c r="EN238" s="42"/>
      <c r="EO238" s="42"/>
      <c r="EP238" s="42"/>
      <c r="EQ238" s="42"/>
      <c r="ER238" s="42"/>
      <c r="ES238" s="42"/>
      <c r="ET238" s="42"/>
      <c r="EU238" s="42"/>
      <c r="EV238" s="42"/>
      <c r="EW238" s="42"/>
      <c r="EX238" s="42"/>
      <c r="EY238" s="42"/>
      <c r="EZ238" s="42"/>
      <c r="FA238" s="42"/>
      <c r="FB238" s="42"/>
      <c r="FC238" s="42"/>
      <c r="FD238" s="42"/>
      <c r="FE238" s="42"/>
      <c r="FF238" s="42"/>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row>
    <row r="239" spans="1:256" ht="13.8" x14ac:dyDescent="0.3">
      <c r="A239" s="42"/>
      <c r="B239" s="42"/>
      <c r="C239" s="42"/>
      <c r="D239" s="42"/>
      <c r="E239" s="42"/>
      <c r="F239" s="42"/>
      <c r="G239" s="42"/>
      <c r="H239" s="42"/>
      <c r="I239" s="42"/>
      <c r="J239" s="42"/>
      <c r="K239" s="42"/>
      <c r="L239" s="42"/>
      <c r="M239" s="42"/>
      <c r="N239" s="42"/>
      <c r="O239" s="42"/>
      <c r="P239" s="42"/>
      <c r="Q239" s="42"/>
      <c r="R239" s="42"/>
      <c r="S239" s="42"/>
      <c r="T239" s="42"/>
      <c r="U239" s="194"/>
      <c r="V239" s="42"/>
      <c r="W239" s="42"/>
      <c r="X239" s="42"/>
      <c r="Y239" s="42"/>
      <c r="Z239" s="42"/>
      <c r="AA239" s="42"/>
      <c r="AB239" s="195"/>
      <c r="AC239" s="42"/>
      <c r="AD239" s="42"/>
      <c r="AE239" s="195"/>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42"/>
      <c r="BH239" s="42"/>
      <c r="BI239" s="42"/>
      <c r="BJ239" s="42"/>
      <c r="BK239" s="42"/>
      <c r="BL239" s="42"/>
      <c r="BM239" s="42"/>
      <c r="BN239" s="42"/>
      <c r="BO239" s="42"/>
      <c r="BP239" s="42"/>
      <c r="BQ239" s="42"/>
      <c r="BR239" s="42"/>
      <c r="BS239" s="42"/>
      <c r="BT239" s="42"/>
      <c r="BU239" s="42"/>
      <c r="BV239" s="42"/>
      <c r="BW239" s="42"/>
      <c r="BX239" s="42"/>
      <c r="BY239" s="42"/>
      <c r="BZ239" s="42"/>
      <c r="CA239" s="42"/>
      <c r="CB239" s="42"/>
      <c r="CC239" s="42"/>
      <c r="CD239" s="42"/>
      <c r="CE239" s="42"/>
      <c r="CF239" s="42"/>
      <c r="CG239" s="42"/>
      <c r="CH239" s="42"/>
      <c r="CI239" s="42"/>
      <c r="CJ239" s="42"/>
      <c r="CK239" s="42"/>
      <c r="CL239" s="42"/>
      <c r="CM239" s="42"/>
      <c r="CN239" s="42"/>
      <c r="CO239" s="42"/>
      <c r="CP239" s="42"/>
      <c r="CQ239" s="42"/>
      <c r="CR239" s="42"/>
      <c r="CS239" s="42"/>
      <c r="CT239" s="42"/>
      <c r="CU239" s="42"/>
      <c r="CV239" s="42"/>
      <c r="CW239" s="42"/>
      <c r="CX239" s="42"/>
      <c r="CY239" s="42"/>
      <c r="CZ239" s="42"/>
      <c r="DA239" s="42"/>
      <c r="DB239" s="42"/>
      <c r="DC239" s="42"/>
      <c r="DD239" s="42"/>
      <c r="DE239" s="42"/>
      <c r="DF239" s="42"/>
      <c r="DG239" s="42"/>
      <c r="DH239" s="42"/>
      <c r="DI239" s="42"/>
      <c r="DJ239" s="42"/>
      <c r="DK239" s="42"/>
      <c r="DL239" s="42"/>
      <c r="DM239" s="42"/>
      <c r="DN239" s="42"/>
      <c r="DO239" s="42"/>
      <c r="DP239" s="42"/>
      <c r="DQ239" s="42"/>
      <c r="DR239" s="42"/>
      <c r="DS239" s="42"/>
      <c r="DT239" s="42"/>
      <c r="DU239" s="42"/>
      <c r="DV239" s="42"/>
      <c r="DW239" s="42"/>
      <c r="DX239" s="42"/>
      <c r="DY239" s="42"/>
      <c r="DZ239" s="42"/>
      <c r="EA239" s="42"/>
      <c r="EB239" s="42"/>
      <c r="EC239" s="42"/>
      <c r="ED239" s="42"/>
      <c r="EE239" s="42"/>
      <c r="EF239" s="42"/>
      <c r="EG239" s="42"/>
      <c r="EH239" s="42"/>
      <c r="EI239" s="42"/>
      <c r="EJ239" s="42"/>
      <c r="EK239" s="42"/>
      <c r="EL239" s="42"/>
      <c r="EM239" s="42"/>
      <c r="EN239" s="42"/>
      <c r="EO239" s="42"/>
      <c r="EP239" s="42"/>
      <c r="EQ239" s="42"/>
      <c r="ER239" s="42"/>
      <c r="ES239" s="42"/>
      <c r="ET239" s="42"/>
      <c r="EU239" s="42"/>
      <c r="EV239" s="42"/>
      <c r="EW239" s="42"/>
      <c r="EX239" s="42"/>
      <c r="EY239" s="42"/>
      <c r="EZ239" s="42"/>
      <c r="FA239" s="42"/>
      <c r="FB239" s="42"/>
      <c r="FC239" s="42"/>
      <c r="FD239" s="42"/>
      <c r="FE239" s="42"/>
      <c r="FF239" s="42"/>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row>
    <row r="240" spans="1:256" ht="13.8" x14ac:dyDescent="0.3">
      <c r="A240" s="42"/>
      <c r="B240" s="42"/>
      <c r="C240" s="42"/>
      <c r="D240" s="42"/>
      <c r="E240" s="42"/>
      <c r="F240" s="42"/>
      <c r="G240" s="42"/>
      <c r="H240" s="42"/>
      <c r="I240" s="42"/>
      <c r="J240" s="42"/>
      <c r="K240" s="42"/>
      <c r="L240" s="42"/>
      <c r="M240" s="42"/>
      <c r="N240" s="42"/>
      <c r="O240" s="42"/>
      <c r="P240" s="42"/>
      <c r="Q240" s="42"/>
      <c r="R240" s="42"/>
      <c r="S240" s="42"/>
      <c r="T240" s="42"/>
      <c r="U240" s="194"/>
      <c r="V240" s="42"/>
      <c r="W240" s="42"/>
      <c r="X240" s="42"/>
      <c r="Y240" s="42"/>
      <c r="Z240" s="42"/>
      <c r="AA240" s="42"/>
      <c r="AB240" s="195"/>
      <c r="AC240" s="42"/>
      <c r="AD240" s="42"/>
      <c r="AE240" s="195"/>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42"/>
      <c r="BH240" s="42"/>
      <c r="BI240" s="42"/>
      <c r="BJ240" s="42"/>
      <c r="BK240" s="42"/>
      <c r="BL240" s="42"/>
      <c r="BM240" s="42"/>
      <c r="BN240" s="42"/>
      <c r="BO240" s="42"/>
      <c r="BP240" s="42"/>
      <c r="BQ240" s="42"/>
      <c r="BR240" s="42"/>
      <c r="BS240" s="42"/>
      <c r="BT240" s="42"/>
      <c r="BU240" s="42"/>
      <c r="BV240" s="42"/>
      <c r="BW240" s="42"/>
      <c r="BX240" s="42"/>
      <c r="BY240" s="42"/>
      <c r="BZ240" s="42"/>
      <c r="CA240" s="42"/>
      <c r="CB240" s="42"/>
      <c r="CC240" s="42"/>
      <c r="CD240" s="42"/>
      <c r="CE240" s="42"/>
      <c r="CF240" s="42"/>
      <c r="CG240" s="42"/>
      <c r="CH240" s="42"/>
      <c r="CI240" s="42"/>
      <c r="CJ240" s="42"/>
      <c r="CK240" s="42"/>
      <c r="CL240" s="42"/>
      <c r="CM240" s="42"/>
      <c r="CN240" s="42"/>
      <c r="CO240" s="42"/>
      <c r="CP240" s="42"/>
      <c r="CQ240" s="42"/>
      <c r="CR240" s="42"/>
      <c r="CS240" s="42"/>
      <c r="CT240" s="42"/>
      <c r="CU240" s="42"/>
      <c r="CV240" s="42"/>
      <c r="CW240" s="42"/>
      <c r="CX240" s="42"/>
      <c r="CY240" s="42"/>
      <c r="CZ240" s="42"/>
      <c r="DA240" s="42"/>
      <c r="DB240" s="42"/>
      <c r="DC240" s="42"/>
      <c r="DD240" s="42"/>
      <c r="DE240" s="42"/>
      <c r="DF240" s="42"/>
      <c r="DG240" s="42"/>
      <c r="DH240" s="42"/>
      <c r="DI240" s="42"/>
      <c r="DJ240" s="42"/>
      <c r="DK240" s="42"/>
      <c r="DL240" s="42"/>
      <c r="DM240" s="42"/>
      <c r="DN240" s="42"/>
      <c r="DO240" s="42"/>
      <c r="DP240" s="42"/>
      <c r="DQ240" s="42"/>
      <c r="DR240" s="42"/>
      <c r="DS240" s="42"/>
      <c r="DT240" s="42"/>
      <c r="DU240" s="42"/>
      <c r="DV240" s="42"/>
      <c r="DW240" s="42"/>
      <c r="DX240" s="42"/>
      <c r="DY240" s="42"/>
      <c r="DZ240" s="42"/>
      <c r="EA240" s="42"/>
      <c r="EB240" s="42"/>
      <c r="EC240" s="42"/>
      <c r="ED240" s="42"/>
      <c r="EE240" s="42"/>
      <c r="EF240" s="42"/>
      <c r="EG240" s="42"/>
      <c r="EH240" s="42"/>
      <c r="EI240" s="42"/>
      <c r="EJ240" s="42"/>
      <c r="EK240" s="42"/>
      <c r="EL240" s="42"/>
      <c r="EM240" s="42"/>
      <c r="EN240" s="42"/>
      <c r="EO240" s="42"/>
      <c r="EP240" s="42"/>
      <c r="EQ240" s="42"/>
      <c r="ER240" s="42"/>
      <c r="ES240" s="42"/>
      <c r="ET240" s="42"/>
      <c r="EU240" s="42"/>
      <c r="EV240" s="42"/>
      <c r="EW240" s="42"/>
      <c r="EX240" s="42"/>
      <c r="EY240" s="42"/>
      <c r="EZ240" s="42"/>
      <c r="FA240" s="42"/>
      <c r="FB240" s="42"/>
      <c r="FC240" s="42"/>
      <c r="FD240" s="42"/>
      <c r="FE240" s="42"/>
      <c r="FF240" s="42"/>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row>
    <row r="241" spans="1:256" ht="13.8" x14ac:dyDescent="0.3">
      <c r="A241" s="42"/>
      <c r="B241" s="42"/>
      <c r="C241" s="42"/>
      <c r="D241" s="42"/>
      <c r="E241" s="42"/>
      <c r="F241" s="42"/>
      <c r="G241" s="42"/>
      <c r="H241" s="42"/>
      <c r="I241" s="42"/>
      <c r="J241" s="42"/>
      <c r="K241" s="42"/>
      <c r="L241" s="42"/>
      <c r="M241" s="42"/>
      <c r="N241" s="42"/>
      <c r="O241" s="42"/>
      <c r="P241" s="42"/>
      <c r="Q241" s="42"/>
      <c r="R241" s="42"/>
      <c r="S241" s="42"/>
      <c r="T241" s="42"/>
      <c r="U241" s="194"/>
      <c r="V241" s="42"/>
      <c r="W241" s="42"/>
      <c r="X241" s="42"/>
      <c r="Y241" s="42"/>
      <c r="Z241" s="42"/>
      <c r="AA241" s="42"/>
      <c r="AB241" s="195"/>
      <c r="AC241" s="42"/>
      <c r="AD241" s="42"/>
      <c r="AE241" s="195"/>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2"/>
      <c r="BL241" s="42"/>
      <c r="BM241" s="42"/>
      <c r="BN241" s="42"/>
      <c r="BO241" s="42"/>
      <c r="BP241" s="42"/>
      <c r="BQ241" s="42"/>
      <c r="BR241" s="42"/>
      <c r="BS241" s="42"/>
      <c r="BT241" s="42"/>
      <c r="BU241" s="42"/>
      <c r="BV241" s="42"/>
      <c r="BW241" s="42"/>
      <c r="BX241" s="42"/>
      <c r="BY241" s="42"/>
      <c r="BZ241" s="42"/>
      <c r="CA241" s="42"/>
      <c r="CB241" s="42"/>
      <c r="CC241" s="42"/>
      <c r="CD241" s="42"/>
      <c r="CE241" s="42"/>
      <c r="CF241" s="42"/>
      <c r="CG241" s="42"/>
      <c r="CH241" s="42"/>
      <c r="CI241" s="42"/>
      <c r="CJ241" s="42"/>
      <c r="CK241" s="42"/>
      <c r="CL241" s="42"/>
      <c r="CM241" s="42"/>
      <c r="CN241" s="42"/>
      <c r="CO241" s="42"/>
      <c r="CP241" s="42"/>
      <c r="CQ241" s="42"/>
      <c r="CR241" s="42"/>
      <c r="CS241" s="42"/>
      <c r="CT241" s="42"/>
      <c r="CU241" s="42"/>
      <c r="CV241" s="42"/>
      <c r="CW241" s="42"/>
      <c r="CX241" s="42"/>
      <c r="CY241" s="42"/>
      <c r="CZ241" s="42"/>
      <c r="DA241" s="42"/>
      <c r="DB241" s="42"/>
      <c r="DC241" s="42"/>
      <c r="DD241" s="42"/>
      <c r="DE241" s="42"/>
      <c r="DF241" s="42"/>
      <c r="DG241" s="42"/>
      <c r="DH241" s="42"/>
      <c r="DI241" s="42"/>
      <c r="DJ241" s="42"/>
      <c r="DK241" s="42"/>
      <c r="DL241" s="42"/>
      <c r="DM241" s="42"/>
      <c r="DN241" s="42"/>
      <c r="DO241" s="42"/>
      <c r="DP241" s="42"/>
      <c r="DQ241" s="42"/>
      <c r="DR241" s="42"/>
      <c r="DS241" s="42"/>
      <c r="DT241" s="42"/>
      <c r="DU241" s="42"/>
      <c r="DV241" s="42"/>
      <c r="DW241" s="42"/>
      <c r="DX241" s="42"/>
      <c r="DY241" s="42"/>
      <c r="DZ241" s="42"/>
      <c r="EA241" s="42"/>
      <c r="EB241" s="42"/>
      <c r="EC241" s="42"/>
      <c r="ED241" s="42"/>
      <c r="EE241" s="42"/>
      <c r="EF241" s="42"/>
      <c r="EG241" s="42"/>
      <c r="EH241" s="42"/>
      <c r="EI241" s="42"/>
      <c r="EJ241" s="42"/>
      <c r="EK241" s="42"/>
      <c r="EL241" s="42"/>
      <c r="EM241" s="42"/>
      <c r="EN241" s="42"/>
      <c r="EO241" s="42"/>
      <c r="EP241" s="42"/>
      <c r="EQ241" s="42"/>
      <c r="ER241" s="42"/>
      <c r="ES241" s="42"/>
      <c r="ET241" s="42"/>
      <c r="EU241" s="42"/>
      <c r="EV241" s="42"/>
      <c r="EW241" s="42"/>
      <c r="EX241" s="42"/>
      <c r="EY241" s="42"/>
      <c r="EZ241" s="42"/>
      <c r="FA241" s="42"/>
      <c r="FB241" s="42"/>
      <c r="FC241" s="42"/>
      <c r="FD241" s="42"/>
      <c r="FE241" s="42"/>
      <c r="FF241" s="42"/>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row>
    <row r="242" spans="1:256" ht="13.8" x14ac:dyDescent="0.3">
      <c r="A242" s="42"/>
      <c r="B242" s="42"/>
      <c r="C242" s="42"/>
      <c r="D242" s="42"/>
      <c r="E242" s="42"/>
      <c r="F242" s="42"/>
      <c r="G242" s="42"/>
      <c r="H242" s="42"/>
      <c r="I242" s="42"/>
      <c r="J242" s="42"/>
      <c r="K242" s="42"/>
      <c r="L242" s="42"/>
      <c r="M242" s="42"/>
      <c r="N242" s="42"/>
      <c r="O242" s="42"/>
      <c r="P242" s="42"/>
      <c r="Q242" s="42"/>
      <c r="R242" s="42"/>
      <c r="S242" s="42"/>
      <c r="T242" s="42"/>
      <c r="U242" s="194"/>
      <c r="V242" s="42"/>
      <c r="W242" s="42"/>
      <c r="X242" s="42"/>
      <c r="Y242" s="42"/>
      <c r="Z242" s="42"/>
      <c r="AA242" s="42"/>
      <c r="AB242" s="195"/>
      <c r="AC242" s="42"/>
      <c r="AD242" s="42"/>
      <c r="AE242" s="195"/>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42"/>
      <c r="BH242" s="42"/>
      <c r="BI242" s="42"/>
      <c r="BJ242" s="42"/>
      <c r="BK242" s="42"/>
      <c r="BL242" s="42"/>
      <c r="BM242" s="42"/>
      <c r="BN242" s="42"/>
      <c r="BO242" s="42"/>
      <c r="BP242" s="42"/>
      <c r="BQ242" s="42"/>
      <c r="BR242" s="42"/>
      <c r="BS242" s="42"/>
      <c r="BT242" s="42"/>
      <c r="BU242" s="42"/>
      <c r="BV242" s="42"/>
      <c r="BW242" s="42"/>
      <c r="BX242" s="42"/>
      <c r="BY242" s="42"/>
      <c r="BZ242" s="42"/>
      <c r="CA242" s="42"/>
      <c r="CB242" s="42"/>
      <c r="CC242" s="42"/>
      <c r="CD242" s="42"/>
      <c r="CE242" s="42"/>
      <c r="CF242" s="42"/>
      <c r="CG242" s="42"/>
      <c r="CH242" s="42"/>
      <c r="CI242" s="42"/>
      <c r="CJ242" s="42"/>
      <c r="CK242" s="42"/>
      <c r="CL242" s="42"/>
      <c r="CM242" s="42"/>
      <c r="CN242" s="42"/>
      <c r="CO242" s="42"/>
      <c r="CP242" s="42"/>
      <c r="CQ242" s="42"/>
      <c r="CR242" s="42"/>
      <c r="CS242" s="42"/>
      <c r="CT242" s="42"/>
      <c r="CU242" s="42"/>
      <c r="CV242" s="42"/>
      <c r="CW242" s="42"/>
      <c r="CX242" s="42"/>
      <c r="CY242" s="42"/>
      <c r="CZ242" s="42"/>
      <c r="DA242" s="42"/>
      <c r="DB242" s="42"/>
      <c r="DC242" s="42"/>
      <c r="DD242" s="42"/>
      <c r="DE242" s="42"/>
      <c r="DF242" s="42"/>
      <c r="DG242" s="42"/>
      <c r="DH242" s="42"/>
      <c r="DI242" s="42"/>
      <c r="DJ242" s="42"/>
      <c r="DK242" s="42"/>
      <c r="DL242" s="42"/>
      <c r="DM242" s="42"/>
      <c r="DN242" s="42"/>
      <c r="DO242" s="42"/>
      <c r="DP242" s="42"/>
      <c r="DQ242" s="42"/>
      <c r="DR242" s="42"/>
      <c r="DS242" s="42"/>
      <c r="DT242" s="42"/>
      <c r="DU242" s="42"/>
      <c r="DV242" s="42"/>
      <c r="DW242" s="42"/>
      <c r="DX242" s="42"/>
      <c r="DY242" s="42"/>
      <c r="DZ242" s="42"/>
      <c r="EA242" s="42"/>
      <c r="EB242" s="42"/>
      <c r="EC242" s="42"/>
      <c r="ED242" s="42"/>
      <c r="EE242" s="42"/>
      <c r="EF242" s="42"/>
      <c r="EG242" s="42"/>
      <c r="EH242" s="42"/>
      <c r="EI242" s="42"/>
      <c r="EJ242" s="42"/>
      <c r="EK242" s="42"/>
      <c r="EL242" s="42"/>
      <c r="EM242" s="42"/>
      <c r="EN242" s="42"/>
      <c r="EO242" s="42"/>
      <c r="EP242" s="42"/>
      <c r="EQ242" s="42"/>
      <c r="ER242" s="42"/>
      <c r="ES242" s="42"/>
      <c r="ET242" s="42"/>
      <c r="EU242" s="42"/>
      <c r="EV242" s="42"/>
      <c r="EW242" s="42"/>
      <c r="EX242" s="42"/>
      <c r="EY242" s="42"/>
      <c r="EZ242" s="42"/>
      <c r="FA242" s="42"/>
      <c r="FB242" s="42"/>
      <c r="FC242" s="42"/>
      <c r="FD242" s="42"/>
      <c r="FE242" s="42"/>
      <c r="FF242" s="42"/>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row>
    <row r="243" spans="1:256" ht="13.8" x14ac:dyDescent="0.3">
      <c r="A243" s="42"/>
      <c r="B243" s="42"/>
      <c r="C243" s="42"/>
      <c r="D243" s="42"/>
      <c r="E243" s="42"/>
      <c r="F243" s="42"/>
      <c r="G243" s="42"/>
      <c r="H243" s="42"/>
      <c r="I243" s="42"/>
      <c r="J243" s="42"/>
      <c r="K243" s="42"/>
      <c r="L243" s="42"/>
      <c r="M243" s="42"/>
      <c r="N243" s="42"/>
      <c r="O243" s="42"/>
      <c r="P243" s="42"/>
      <c r="Q243" s="42"/>
      <c r="R243" s="42"/>
      <c r="S243" s="42"/>
      <c r="T243" s="42"/>
      <c r="U243" s="194"/>
      <c r="V243" s="42"/>
      <c r="W243" s="42"/>
      <c r="X243" s="42"/>
      <c r="Y243" s="42"/>
      <c r="Z243" s="42"/>
      <c r="AA243" s="42"/>
      <c r="AB243" s="195"/>
      <c r="AC243" s="42"/>
      <c r="AD243" s="42"/>
      <c r="AE243" s="195"/>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42"/>
      <c r="BH243" s="42"/>
      <c r="BI243" s="42"/>
      <c r="BJ243" s="42"/>
      <c r="BK243" s="42"/>
      <c r="BL243" s="42"/>
      <c r="BM243" s="42"/>
      <c r="BN243" s="42"/>
      <c r="BO243" s="42"/>
      <c r="BP243" s="42"/>
      <c r="BQ243" s="42"/>
      <c r="BR243" s="42"/>
      <c r="BS243" s="42"/>
      <c r="BT243" s="42"/>
      <c r="BU243" s="42"/>
      <c r="BV243" s="42"/>
      <c r="BW243" s="42"/>
      <c r="BX243" s="42"/>
      <c r="BY243" s="42"/>
      <c r="BZ243" s="42"/>
      <c r="CA243" s="42"/>
      <c r="CB243" s="42"/>
      <c r="CC243" s="42"/>
      <c r="CD243" s="42"/>
      <c r="CE243" s="42"/>
      <c r="CF243" s="42"/>
      <c r="CG243" s="42"/>
      <c r="CH243" s="42"/>
      <c r="CI243" s="42"/>
      <c r="CJ243" s="42"/>
      <c r="CK243" s="42"/>
      <c r="CL243" s="42"/>
      <c r="CM243" s="42"/>
      <c r="CN243" s="42"/>
      <c r="CO243" s="42"/>
      <c r="CP243" s="42"/>
      <c r="CQ243" s="42"/>
      <c r="CR243" s="42"/>
      <c r="CS243" s="42"/>
      <c r="CT243" s="42"/>
      <c r="CU243" s="42"/>
      <c r="CV243" s="42"/>
      <c r="CW243" s="42"/>
      <c r="CX243" s="42"/>
      <c r="CY243" s="42"/>
      <c r="CZ243" s="42"/>
      <c r="DA243" s="42"/>
      <c r="DB243" s="42"/>
      <c r="DC243" s="42"/>
      <c r="DD243" s="42"/>
      <c r="DE243" s="42"/>
      <c r="DF243" s="42"/>
      <c r="DG243" s="42"/>
      <c r="DH243" s="42"/>
      <c r="DI243" s="42"/>
      <c r="DJ243" s="42"/>
      <c r="DK243" s="42"/>
      <c r="DL243" s="42"/>
      <c r="DM243" s="42"/>
      <c r="DN243" s="42"/>
      <c r="DO243" s="42"/>
      <c r="DP243" s="42"/>
      <c r="DQ243" s="42"/>
      <c r="DR243" s="42"/>
      <c r="DS243" s="42"/>
      <c r="DT243" s="42"/>
      <c r="DU243" s="42"/>
      <c r="DV243" s="42"/>
      <c r="DW243" s="42"/>
      <c r="DX243" s="42"/>
      <c r="DY243" s="42"/>
      <c r="DZ243" s="42"/>
      <c r="EA243" s="42"/>
      <c r="EB243" s="42"/>
      <c r="EC243" s="42"/>
      <c r="ED243" s="42"/>
      <c r="EE243" s="42"/>
      <c r="EF243" s="42"/>
      <c r="EG243" s="42"/>
      <c r="EH243" s="42"/>
      <c r="EI243" s="42"/>
      <c r="EJ243" s="42"/>
      <c r="EK243" s="42"/>
      <c r="EL243" s="42"/>
      <c r="EM243" s="42"/>
      <c r="EN243" s="42"/>
      <c r="EO243" s="42"/>
      <c r="EP243" s="42"/>
      <c r="EQ243" s="42"/>
      <c r="ER243" s="42"/>
      <c r="ES243" s="42"/>
      <c r="ET243" s="42"/>
      <c r="EU243" s="42"/>
      <c r="EV243" s="42"/>
      <c r="EW243" s="42"/>
      <c r="EX243" s="42"/>
      <c r="EY243" s="42"/>
      <c r="EZ243" s="42"/>
      <c r="FA243" s="42"/>
      <c r="FB243" s="42"/>
      <c r="FC243" s="42"/>
      <c r="FD243" s="42"/>
      <c r="FE243" s="42"/>
      <c r="FF243" s="42"/>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row>
    <row r="244" spans="1:256" ht="13.8" x14ac:dyDescent="0.3">
      <c r="A244" s="42"/>
      <c r="B244" s="42"/>
      <c r="C244" s="42"/>
      <c r="D244" s="42"/>
      <c r="E244" s="42"/>
      <c r="F244" s="42"/>
      <c r="G244" s="42"/>
      <c r="H244" s="42"/>
      <c r="I244" s="42"/>
      <c r="J244" s="42"/>
      <c r="K244" s="42"/>
      <c r="L244" s="42"/>
      <c r="M244" s="42"/>
      <c r="N244" s="42"/>
      <c r="O244" s="42"/>
      <c r="P244" s="42"/>
      <c r="Q244" s="42"/>
      <c r="R244" s="42"/>
      <c r="S244" s="42"/>
      <c r="T244" s="42"/>
      <c r="U244" s="194"/>
      <c r="V244" s="42"/>
      <c r="W244" s="42"/>
      <c r="X244" s="42"/>
      <c r="Y244" s="42"/>
      <c r="Z244" s="42"/>
      <c r="AA244" s="42"/>
      <c r="AB244" s="195"/>
      <c r="AC244" s="42"/>
      <c r="AD244" s="42"/>
      <c r="AE244" s="195"/>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c r="BM244" s="42"/>
      <c r="BN244" s="42"/>
      <c r="BO244" s="42"/>
      <c r="BP244" s="42"/>
      <c r="BQ244" s="42"/>
      <c r="BR244" s="42"/>
      <c r="BS244" s="42"/>
      <c r="BT244" s="42"/>
      <c r="BU244" s="42"/>
      <c r="BV244" s="42"/>
      <c r="BW244" s="42"/>
      <c r="BX244" s="42"/>
      <c r="BY244" s="42"/>
      <c r="BZ244" s="42"/>
      <c r="CA244" s="42"/>
      <c r="CB244" s="42"/>
      <c r="CC244" s="42"/>
      <c r="CD244" s="42"/>
      <c r="CE244" s="42"/>
      <c r="CF244" s="42"/>
      <c r="CG244" s="42"/>
      <c r="CH244" s="42"/>
      <c r="CI244" s="42"/>
      <c r="CJ244" s="42"/>
      <c r="CK244" s="42"/>
      <c r="CL244" s="42"/>
      <c r="CM244" s="42"/>
      <c r="CN244" s="42"/>
      <c r="CO244" s="42"/>
      <c r="CP244" s="42"/>
      <c r="CQ244" s="42"/>
      <c r="CR244" s="42"/>
      <c r="CS244" s="42"/>
      <c r="CT244" s="42"/>
      <c r="CU244" s="42"/>
      <c r="CV244" s="42"/>
      <c r="CW244" s="42"/>
      <c r="CX244" s="42"/>
      <c r="CY244" s="42"/>
      <c r="CZ244" s="42"/>
      <c r="DA244" s="42"/>
      <c r="DB244" s="42"/>
      <c r="DC244" s="42"/>
      <c r="DD244" s="42"/>
      <c r="DE244" s="42"/>
      <c r="DF244" s="42"/>
      <c r="DG244" s="42"/>
      <c r="DH244" s="42"/>
      <c r="DI244" s="42"/>
      <c r="DJ244" s="42"/>
      <c r="DK244" s="42"/>
      <c r="DL244" s="42"/>
      <c r="DM244" s="42"/>
      <c r="DN244" s="42"/>
      <c r="DO244" s="42"/>
      <c r="DP244" s="42"/>
      <c r="DQ244" s="42"/>
      <c r="DR244" s="42"/>
      <c r="DS244" s="42"/>
      <c r="DT244" s="42"/>
      <c r="DU244" s="42"/>
      <c r="DV244" s="42"/>
      <c r="DW244" s="42"/>
      <c r="DX244" s="42"/>
      <c r="DY244" s="42"/>
      <c r="DZ244" s="42"/>
      <c r="EA244" s="42"/>
      <c r="EB244" s="42"/>
      <c r="EC244" s="42"/>
      <c r="ED244" s="42"/>
      <c r="EE244" s="42"/>
      <c r="EF244" s="42"/>
      <c r="EG244" s="42"/>
      <c r="EH244" s="42"/>
      <c r="EI244" s="42"/>
      <c r="EJ244" s="42"/>
      <c r="EK244" s="42"/>
      <c r="EL244" s="42"/>
      <c r="EM244" s="42"/>
      <c r="EN244" s="42"/>
      <c r="EO244" s="42"/>
      <c r="EP244" s="42"/>
      <c r="EQ244" s="42"/>
      <c r="ER244" s="42"/>
      <c r="ES244" s="42"/>
      <c r="ET244" s="42"/>
      <c r="EU244" s="42"/>
      <c r="EV244" s="42"/>
      <c r="EW244" s="42"/>
      <c r="EX244" s="42"/>
      <c r="EY244" s="42"/>
      <c r="EZ244" s="42"/>
      <c r="FA244" s="42"/>
      <c r="FB244" s="42"/>
      <c r="FC244" s="42"/>
      <c r="FD244" s="42"/>
      <c r="FE244" s="42"/>
      <c r="FF244" s="42"/>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row>
    <row r="245" spans="1:256" ht="13.8" x14ac:dyDescent="0.3">
      <c r="A245" s="42"/>
      <c r="B245" s="42"/>
      <c r="C245" s="42"/>
      <c r="D245" s="42"/>
      <c r="E245" s="42"/>
      <c r="F245" s="42"/>
      <c r="G245" s="42"/>
      <c r="H245" s="42"/>
      <c r="I245" s="42"/>
      <c r="J245" s="42"/>
      <c r="K245" s="42"/>
      <c r="L245" s="42"/>
      <c r="M245" s="42"/>
      <c r="N245" s="42"/>
      <c r="O245" s="42"/>
      <c r="P245" s="42"/>
      <c r="Q245" s="42"/>
      <c r="R245" s="42"/>
      <c r="S245" s="42"/>
      <c r="T245" s="42"/>
      <c r="U245" s="194"/>
      <c r="V245" s="42"/>
      <c r="W245" s="42"/>
      <c r="X245" s="42"/>
      <c r="Y245" s="42"/>
      <c r="Z245" s="42"/>
      <c r="AA245" s="42"/>
      <c r="AB245" s="195"/>
      <c r="AC245" s="42"/>
      <c r="AD245" s="42"/>
      <c r="AE245" s="195"/>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42"/>
      <c r="BH245" s="42"/>
      <c r="BI245" s="42"/>
      <c r="BJ245" s="42"/>
      <c r="BK245" s="42"/>
      <c r="BL245" s="42"/>
      <c r="BM245" s="42"/>
      <c r="BN245" s="42"/>
      <c r="BO245" s="42"/>
      <c r="BP245" s="42"/>
      <c r="BQ245" s="42"/>
      <c r="BR245" s="42"/>
      <c r="BS245" s="42"/>
      <c r="BT245" s="42"/>
      <c r="BU245" s="42"/>
      <c r="BV245" s="42"/>
      <c r="BW245" s="42"/>
      <c r="BX245" s="42"/>
      <c r="BY245" s="42"/>
      <c r="BZ245" s="42"/>
      <c r="CA245" s="42"/>
      <c r="CB245" s="42"/>
      <c r="CC245" s="42"/>
      <c r="CD245" s="42"/>
      <c r="CE245" s="42"/>
      <c r="CF245" s="42"/>
      <c r="CG245" s="42"/>
      <c r="CH245" s="42"/>
      <c r="CI245" s="42"/>
      <c r="CJ245" s="42"/>
      <c r="CK245" s="42"/>
      <c r="CL245" s="42"/>
      <c r="CM245" s="42"/>
      <c r="CN245" s="42"/>
      <c r="CO245" s="42"/>
      <c r="CP245" s="42"/>
      <c r="CQ245" s="42"/>
      <c r="CR245" s="42"/>
      <c r="CS245" s="42"/>
      <c r="CT245" s="42"/>
      <c r="CU245" s="42"/>
      <c r="CV245" s="42"/>
      <c r="CW245" s="42"/>
      <c r="CX245" s="42"/>
      <c r="CY245" s="42"/>
      <c r="CZ245" s="42"/>
      <c r="DA245" s="42"/>
      <c r="DB245" s="42"/>
      <c r="DC245" s="42"/>
      <c r="DD245" s="42"/>
      <c r="DE245" s="42"/>
      <c r="DF245" s="42"/>
      <c r="DG245" s="42"/>
      <c r="DH245" s="42"/>
      <c r="DI245" s="42"/>
      <c r="DJ245" s="42"/>
      <c r="DK245" s="42"/>
      <c r="DL245" s="42"/>
      <c r="DM245" s="42"/>
      <c r="DN245" s="42"/>
      <c r="DO245" s="42"/>
      <c r="DP245" s="42"/>
      <c r="DQ245" s="42"/>
      <c r="DR245" s="42"/>
      <c r="DS245" s="42"/>
      <c r="DT245" s="42"/>
      <c r="DU245" s="42"/>
      <c r="DV245" s="42"/>
      <c r="DW245" s="42"/>
      <c r="DX245" s="42"/>
      <c r="DY245" s="42"/>
      <c r="DZ245" s="42"/>
      <c r="EA245" s="42"/>
      <c r="EB245" s="42"/>
      <c r="EC245" s="42"/>
      <c r="ED245" s="42"/>
      <c r="EE245" s="42"/>
      <c r="EF245" s="42"/>
      <c r="EG245" s="42"/>
      <c r="EH245" s="42"/>
      <c r="EI245" s="42"/>
      <c r="EJ245" s="42"/>
      <c r="EK245" s="42"/>
      <c r="EL245" s="42"/>
      <c r="EM245" s="42"/>
      <c r="EN245" s="42"/>
      <c r="EO245" s="42"/>
      <c r="EP245" s="42"/>
      <c r="EQ245" s="42"/>
      <c r="ER245" s="42"/>
      <c r="ES245" s="42"/>
      <c r="ET245" s="42"/>
      <c r="EU245" s="42"/>
      <c r="EV245" s="42"/>
      <c r="EW245" s="42"/>
      <c r="EX245" s="42"/>
      <c r="EY245" s="42"/>
      <c r="EZ245" s="42"/>
      <c r="FA245" s="42"/>
      <c r="FB245" s="42"/>
      <c r="FC245" s="42"/>
      <c r="FD245" s="42"/>
      <c r="FE245" s="42"/>
      <c r="FF245" s="42"/>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row>
    <row r="246" spans="1:256" ht="13.8" x14ac:dyDescent="0.3">
      <c r="A246" s="42"/>
      <c r="B246" s="42"/>
      <c r="C246" s="42"/>
      <c r="D246" s="42"/>
      <c r="E246" s="42"/>
      <c r="F246" s="42"/>
      <c r="G246" s="42"/>
      <c r="H246" s="42"/>
      <c r="I246" s="42"/>
      <c r="J246" s="42"/>
      <c r="K246" s="42"/>
      <c r="L246" s="42"/>
      <c r="M246" s="42"/>
      <c r="N246" s="42"/>
      <c r="O246" s="42"/>
      <c r="P246" s="42"/>
      <c r="Q246" s="42"/>
      <c r="R246" s="42"/>
      <c r="S246" s="42"/>
      <c r="T246" s="42"/>
      <c r="U246" s="194"/>
      <c r="V246" s="42"/>
      <c r="W246" s="42"/>
      <c r="X246" s="42"/>
      <c r="Y246" s="42"/>
      <c r="Z246" s="42"/>
      <c r="AA246" s="42"/>
      <c r="AB246" s="195"/>
      <c r="AC246" s="42"/>
      <c r="AD246" s="42"/>
      <c r="AE246" s="195"/>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2"/>
      <c r="DR246" s="42"/>
      <c r="DS246" s="42"/>
      <c r="DT246" s="42"/>
      <c r="DU246" s="42"/>
      <c r="DV246" s="42"/>
      <c r="DW246" s="42"/>
      <c r="DX246" s="42"/>
      <c r="DY246" s="42"/>
      <c r="DZ246" s="42"/>
      <c r="EA246" s="42"/>
      <c r="EB246" s="42"/>
      <c r="EC246" s="42"/>
      <c r="ED246" s="42"/>
      <c r="EE246" s="42"/>
      <c r="EF246" s="42"/>
      <c r="EG246" s="42"/>
      <c r="EH246" s="42"/>
      <c r="EI246" s="42"/>
      <c r="EJ246" s="42"/>
      <c r="EK246" s="42"/>
      <c r="EL246" s="42"/>
      <c r="EM246" s="42"/>
      <c r="EN246" s="42"/>
      <c r="EO246" s="42"/>
      <c r="EP246" s="42"/>
      <c r="EQ246" s="42"/>
      <c r="ER246" s="42"/>
      <c r="ES246" s="42"/>
      <c r="ET246" s="42"/>
      <c r="EU246" s="42"/>
      <c r="EV246" s="42"/>
      <c r="EW246" s="42"/>
      <c r="EX246" s="42"/>
      <c r="EY246" s="42"/>
      <c r="EZ246" s="42"/>
      <c r="FA246" s="42"/>
      <c r="FB246" s="42"/>
      <c r="FC246" s="42"/>
      <c r="FD246" s="42"/>
      <c r="FE246" s="42"/>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row>
    <row r="247" spans="1:256" ht="13.8" x14ac:dyDescent="0.3">
      <c r="A247" s="42"/>
      <c r="B247" s="42"/>
      <c r="C247" s="42"/>
      <c r="D247" s="42"/>
      <c r="E247" s="42"/>
      <c r="F247" s="42"/>
      <c r="G247" s="42"/>
      <c r="H247" s="42"/>
      <c r="I247" s="42"/>
      <c r="J247" s="42"/>
      <c r="K247" s="42"/>
      <c r="L247" s="42"/>
      <c r="M247" s="42"/>
      <c r="N247" s="42"/>
      <c r="O247" s="42"/>
      <c r="P247" s="42"/>
      <c r="Q247" s="42"/>
      <c r="R247" s="42"/>
      <c r="S247" s="42"/>
      <c r="T247" s="42"/>
      <c r="U247" s="194"/>
      <c r="V247" s="42"/>
      <c r="W247" s="42"/>
      <c r="X247" s="42"/>
      <c r="Y247" s="42"/>
      <c r="Z247" s="42"/>
      <c r="AA247" s="42"/>
      <c r="AB247" s="195"/>
      <c r="AC247" s="42"/>
      <c r="AD247" s="42"/>
      <c r="AE247" s="195"/>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42"/>
      <c r="BH247" s="42"/>
      <c r="BI247" s="42"/>
      <c r="BJ247" s="42"/>
      <c r="BK247" s="42"/>
      <c r="BL247" s="42"/>
      <c r="BM247" s="42"/>
      <c r="BN247" s="42"/>
      <c r="BO247" s="42"/>
      <c r="BP247" s="42"/>
      <c r="BQ247" s="42"/>
      <c r="BR247" s="42"/>
      <c r="BS247" s="42"/>
      <c r="BT247" s="42"/>
      <c r="BU247" s="42"/>
      <c r="BV247" s="42"/>
      <c r="BW247" s="42"/>
      <c r="BX247" s="42"/>
      <c r="BY247" s="42"/>
      <c r="BZ247" s="42"/>
      <c r="CA247" s="42"/>
      <c r="CB247" s="42"/>
      <c r="CC247" s="42"/>
      <c r="CD247" s="42"/>
      <c r="CE247" s="42"/>
      <c r="CF247" s="42"/>
      <c r="CG247" s="42"/>
      <c r="CH247" s="42"/>
      <c r="CI247" s="42"/>
      <c r="CJ247" s="42"/>
      <c r="CK247" s="42"/>
      <c r="CL247" s="42"/>
      <c r="CM247" s="42"/>
      <c r="CN247" s="42"/>
      <c r="CO247" s="42"/>
      <c r="CP247" s="42"/>
      <c r="CQ247" s="42"/>
      <c r="CR247" s="42"/>
      <c r="CS247" s="42"/>
      <c r="CT247" s="42"/>
      <c r="CU247" s="42"/>
      <c r="CV247" s="42"/>
      <c r="CW247" s="42"/>
      <c r="CX247" s="42"/>
      <c r="CY247" s="42"/>
      <c r="CZ247" s="42"/>
      <c r="DA247" s="42"/>
      <c r="DB247" s="42"/>
      <c r="DC247" s="42"/>
      <c r="DD247" s="42"/>
      <c r="DE247" s="42"/>
      <c r="DF247" s="42"/>
      <c r="DG247" s="42"/>
      <c r="DH247" s="42"/>
      <c r="DI247" s="42"/>
      <c r="DJ247" s="42"/>
      <c r="DK247" s="42"/>
      <c r="DL247" s="42"/>
      <c r="DM247" s="42"/>
      <c r="DN247" s="42"/>
      <c r="DO247" s="42"/>
      <c r="DP247" s="42"/>
      <c r="DQ247" s="42"/>
      <c r="DR247" s="42"/>
      <c r="DS247" s="42"/>
      <c r="DT247" s="42"/>
      <c r="DU247" s="42"/>
      <c r="DV247" s="42"/>
      <c r="DW247" s="42"/>
      <c r="DX247" s="42"/>
      <c r="DY247" s="42"/>
      <c r="DZ247" s="42"/>
      <c r="EA247" s="42"/>
      <c r="EB247" s="42"/>
      <c r="EC247" s="42"/>
      <c r="ED247" s="42"/>
      <c r="EE247" s="42"/>
      <c r="EF247" s="42"/>
      <c r="EG247" s="42"/>
      <c r="EH247" s="42"/>
      <c r="EI247" s="42"/>
      <c r="EJ247" s="42"/>
      <c r="EK247" s="42"/>
      <c r="EL247" s="42"/>
      <c r="EM247" s="42"/>
      <c r="EN247" s="42"/>
      <c r="EO247" s="42"/>
      <c r="EP247" s="42"/>
      <c r="EQ247" s="42"/>
      <c r="ER247" s="42"/>
      <c r="ES247" s="42"/>
      <c r="ET247" s="42"/>
      <c r="EU247" s="42"/>
      <c r="EV247" s="42"/>
      <c r="EW247" s="42"/>
      <c r="EX247" s="42"/>
      <c r="EY247" s="42"/>
      <c r="EZ247" s="42"/>
      <c r="FA247" s="42"/>
      <c r="FB247" s="42"/>
      <c r="FC247" s="42"/>
      <c r="FD247" s="42"/>
      <c r="FE247" s="42"/>
      <c r="FF247" s="42"/>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row>
    <row r="248" spans="1:256" ht="13.8" x14ac:dyDescent="0.3">
      <c r="A248" s="42"/>
      <c r="B248" s="42"/>
      <c r="C248" s="42"/>
      <c r="D248" s="42"/>
      <c r="E248" s="42"/>
      <c r="F248" s="42"/>
      <c r="G248" s="42"/>
      <c r="H248" s="42"/>
      <c r="I248" s="42"/>
      <c r="J248" s="42"/>
      <c r="K248" s="42"/>
      <c r="L248" s="42"/>
      <c r="M248" s="42"/>
      <c r="N248" s="42"/>
      <c r="O248" s="42"/>
      <c r="P248" s="42"/>
      <c r="Q248" s="42"/>
      <c r="R248" s="42"/>
      <c r="S248" s="42"/>
      <c r="T248" s="42"/>
      <c r="U248" s="194"/>
      <c r="V248" s="42"/>
      <c r="W248" s="42"/>
      <c r="X248" s="42"/>
      <c r="Y248" s="42"/>
      <c r="Z248" s="42"/>
      <c r="AA248" s="42"/>
      <c r="AB248" s="195"/>
      <c r="AC248" s="42"/>
      <c r="AD248" s="42"/>
      <c r="AE248" s="195"/>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42"/>
      <c r="BH248" s="42"/>
      <c r="BI248" s="42"/>
      <c r="BJ248" s="42"/>
      <c r="BK248" s="42"/>
      <c r="BL248" s="42"/>
      <c r="BM248" s="42"/>
      <c r="BN248" s="42"/>
      <c r="BO248" s="42"/>
      <c r="BP248" s="42"/>
      <c r="BQ248" s="42"/>
      <c r="BR248" s="42"/>
      <c r="BS248" s="42"/>
      <c r="BT248" s="42"/>
      <c r="BU248" s="42"/>
      <c r="BV248" s="42"/>
      <c r="BW248" s="42"/>
      <c r="BX248" s="42"/>
      <c r="BY248" s="42"/>
      <c r="BZ248" s="42"/>
      <c r="CA248" s="42"/>
      <c r="CB248" s="42"/>
      <c r="CC248" s="42"/>
      <c r="CD248" s="42"/>
      <c r="CE248" s="42"/>
      <c r="CF248" s="42"/>
      <c r="CG248" s="42"/>
      <c r="CH248" s="42"/>
      <c r="CI248" s="42"/>
      <c r="CJ248" s="42"/>
      <c r="CK248" s="42"/>
      <c r="CL248" s="42"/>
      <c r="CM248" s="42"/>
      <c r="CN248" s="42"/>
      <c r="CO248" s="42"/>
      <c r="CP248" s="42"/>
      <c r="CQ248" s="42"/>
      <c r="CR248" s="42"/>
      <c r="CS248" s="42"/>
      <c r="CT248" s="42"/>
      <c r="CU248" s="42"/>
      <c r="CV248" s="42"/>
      <c r="CW248" s="42"/>
      <c r="CX248" s="42"/>
      <c r="CY248" s="42"/>
      <c r="CZ248" s="42"/>
      <c r="DA248" s="42"/>
      <c r="DB248" s="42"/>
      <c r="DC248" s="42"/>
      <c r="DD248" s="42"/>
      <c r="DE248" s="42"/>
      <c r="DF248" s="42"/>
      <c r="DG248" s="42"/>
      <c r="DH248" s="42"/>
      <c r="DI248" s="42"/>
      <c r="DJ248" s="42"/>
      <c r="DK248" s="42"/>
      <c r="DL248" s="42"/>
      <c r="DM248" s="42"/>
      <c r="DN248" s="42"/>
      <c r="DO248" s="42"/>
      <c r="DP248" s="42"/>
      <c r="DQ248" s="42"/>
      <c r="DR248" s="42"/>
      <c r="DS248" s="42"/>
      <c r="DT248" s="42"/>
      <c r="DU248" s="42"/>
      <c r="DV248" s="42"/>
      <c r="DW248" s="42"/>
      <c r="DX248" s="42"/>
      <c r="DY248" s="42"/>
      <c r="DZ248" s="42"/>
      <c r="EA248" s="42"/>
      <c r="EB248" s="42"/>
      <c r="EC248" s="42"/>
      <c r="ED248" s="42"/>
      <c r="EE248" s="42"/>
      <c r="EF248" s="42"/>
      <c r="EG248" s="42"/>
      <c r="EH248" s="42"/>
      <c r="EI248" s="42"/>
      <c r="EJ248" s="42"/>
      <c r="EK248" s="42"/>
      <c r="EL248" s="42"/>
      <c r="EM248" s="42"/>
      <c r="EN248" s="42"/>
      <c r="EO248" s="42"/>
      <c r="EP248" s="42"/>
      <c r="EQ248" s="42"/>
      <c r="ER248" s="42"/>
      <c r="ES248" s="42"/>
      <c r="ET248" s="42"/>
      <c r="EU248" s="42"/>
      <c r="EV248" s="42"/>
      <c r="EW248" s="42"/>
      <c r="EX248" s="42"/>
      <c r="EY248" s="42"/>
      <c r="EZ248" s="42"/>
      <c r="FA248" s="42"/>
      <c r="FB248" s="42"/>
      <c r="FC248" s="42"/>
      <c r="FD248" s="42"/>
      <c r="FE248" s="42"/>
      <c r="FF248" s="42"/>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row>
    <row r="249" spans="1:256" ht="13.8" x14ac:dyDescent="0.3">
      <c r="A249" s="42"/>
      <c r="B249" s="42"/>
      <c r="C249" s="42"/>
      <c r="D249" s="42"/>
      <c r="E249" s="42"/>
      <c r="F249" s="42"/>
      <c r="G249" s="42"/>
      <c r="H249" s="42"/>
      <c r="I249" s="42"/>
      <c r="J249" s="42"/>
      <c r="K249" s="42"/>
      <c r="L249" s="42"/>
      <c r="M249" s="42"/>
      <c r="N249" s="42"/>
      <c r="O249" s="42"/>
      <c r="P249" s="42"/>
      <c r="Q249" s="42"/>
      <c r="R249" s="42"/>
      <c r="S249" s="42"/>
      <c r="T249" s="42"/>
      <c r="U249" s="194"/>
      <c r="V249" s="42"/>
      <c r="W249" s="42"/>
      <c r="X249" s="42"/>
      <c r="Y249" s="42"/>
      <c r="Z249" s="42"/>
      <c r="AA249" s="42"/>
      <c r="AB249" s="195"/>
      <c r="AC249" s="42"/>
      <c r="AD249" s="42"/>
      <c r="AE249" s="195"/>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42"/>
      <c r="BH249" s="42"/>
      <c r="BI249" s="42"/>
      <c r="BJ249" s="42"/>
      <c r="BK249" s="42"/>
      <c r="BL249" s="42"/>
      <c r="BM249" s="42"/>
      <c r="BN249" s="42"/>
      <c r="BO249" s="42"/>
      <c r="BP249" s="42"/>
      <c r="BQ249" s="42"/>
      <c r="BR249" s="42"/>
      <c r="BS249" s="42"/>
      <c r="BT249" s="42"/>
      <c r="BU249" s="42"/>
      <c r="BV249" s="42"/>
      <c r="BW249" s="42"/>
      <c r="BX249" s="42"/>
      <c r="BY249" s="42"/>
      <c r="BZ249" s="42"/>
      <c r="CA249" s="42"/>
      <c r="CB249" s="42"/>
      <c r="CC249" s="42"/>
      <c r="CD249" s="42"/>
      <c r="CE249" s="42"/>
      <c r="CF249" s="42"/>
      <c r="CG249" s="42"/>
      <c r="CH249" s="42"/>
      <c r="CI249" s="42"/>
      <c r="CJ249" s="42"/>
      <c r="CK249" s="42"/>
      <c r="CL249" s="42"/>
      <c r="CM249" s="42"/>
      <c r="CN249" s="42"/>
      <c r="CO249" s="42"/>
      <c r="CP249" s="42"/>
      <c r="CQ249" s="42"/>
      <c r="CR249" s="42"/>
      <c r="CS249" s="42"/>
      <c r="CT249" s="42"/>
      <c r="CU249" s="42"/>
      <c r="CV249" s="42"/>
      <c r="CW249" s="42"/>
      <c r="CX249" s="42"/>
      <c r="CY249" s="42"/>
      <c r="CZ249" s="42"/>
      <c r="DA249" s="42"/>
      <c r="DB249" s="42"/>
      <c r="DC249" s="42"/>
      <c r="DD249" s="42"/>
      <c r="DE249" s="42"/>
      <c r="DF249" s="42"/>
      <c r="DG249" s="42"/>
      <c r="DH249" s="42"/>
      <c r="DI249" s="42"/>
      <c r="DJ249" s="42"/>
      <c r="DK249" s="42"/>
      <c r="DL249" s="42"/>
      <c r="DM249" s="42"/>
      <c r="DN249" s="42"/>
      <c r="DO249" s="42"/>
      <c r="DP249" s="42"/>
      <c r="DQ249" s="42"/>
      <c r="DR249" s="42"/>
      <c r="DS249" s="42"/>
      <c r="DT249" s="42"/>
      <c r="DU249" s="42"/>
      <c r="DV249" s="42"/>
      <c r="DW249" s="42"/>
      <c r="DX249" s="42"/>
      <c r="DY249" s="42"/>
      <c r="DZ249" s="42"/>
      <c r="EA249" s="42"/>
      <c r="EB249" s="42"/>
      <c r="EC249" s="42"/>
      <c r="ED249" s="42"/>
      <c r="EE249" s="42"/>
      <c r="EF249" s="42"/>
      <c r="EG249" s="42"/>
      <c r="EH249" s="42"/>
      <c r="EI249" s="42"/>
      <c r="EJ249" s="42"/>
      <c r="EK249" s="42"/>
      <c r="EL249" s="42"/>
      <c r="EM249" s="42"/>
      <c r="EN249" s="42"/>
      <c r="EO249" s="42"/>
      <c r="EP249" s="42"/>
      <c r="EQ249" s="42"/>
      <c r="ER249" s="42"/>
      <c r="ES249" s="42"/>
      <c r="ET249" s="42"/>
      <c r="EU249" s="42"/>
      <c r="EV249" s="42"/>
      <c r="EW249" s="42"/>
      <c r="EX249" s="42"/>
      <c r="EY249" s="42"/>
      <c r="EZ249" s="42"/>
      <c r="FA249" s="42"/>
      <c r="FB249" s="42"/>
      <c r="FC249" s="42"/>
      <c r="FD249" s="42"/>
      <c r="FE249" s="42"/>
      <c r="FF249" s="42"/>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row>
    <row r="250" spans="1:256" ht="13.8" x14ac:dyDescent="0.3">
      <c r="A250" s="42"/>
      <c r="B250" s="42"/>
      <c r="C250" s="42"/>
      <c r="D250" s="42"/>
      <c r="E250" s="42"/>
      <c r="F250" s="42"/>
      <c r="G250" s="42"/>
      <c r="H250" s="42"/>
      <c r="I250" s="42"/>
      <c r="J250" s="42"/>
      <c r="K250" s="42"/>
      <c r="L250" s="42"/>
      <c r="M250" s="42"/>
      <c r="N250" s="42"/>
      <c r="O250" s="42"/>
      <c r="P250" s="42"/>
      <c r="Q250" s="42"/>
      <c r="R250" s="42"/>
      <c r="S250" s="42"/>
      <c r="T250" s="42"/>
      <c r="U250" s="194"/>
      <c r="V250" s="42"/>
      <c r="W250" s="42"/>
      <c r="X250" s="42"/>
      <c r="Y250" s="42"/>
      <c r="Z250" s="42"/>
      <c r="AA250" s="42"/>
      <c r="AB250" s="195"/>
      <c r="AC250" s="42"/>
      <c r="AD250" s="42"/>
      <c r="AE250" s="195"/>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42"/>
      <c r="BH250" s="42"/>
      <c r="BI250" s="42"/>
      <c r="BJ250" s="42"/>
      <c r="BK250" s="42"/>
      <c r="BL250" s="42"/>
      <c r="BM250" s="42"/>
      <c r="BN250" s="42"/>
      <c r="BO250" s="42"/>
      <c r="BP250" s="42"/>
      <c r="BQ250" s="42"/>
      <c r="BR250" s="42"/>
      <c r="BS250" s="42"/>
      <c r="BT250" s="42"/>
      <c r="BU250" s="42"/>
      <c r="BV250" s="42"/>
      <c r="BW250" s="42"/>
      <c r="BX250" s="42"/>
      <c r="BY250" s="42"/>
      <c r="BZ250" s="42"/>
      <c r="CA250" s="42"/>
      <c r="CB250" s="42"/>
      <c r="CC250" s="42"/>
      <c r="CD250" s="42"/>
      <c r="CE250" s="42"/>
      <c r="CF250" s="42"/>
      <c r="CG250" s="42"/>
      <c r="CH250" s="42"/>
      <c r="CI250" s="42"/>
      <c r="CJ250" s="42"/>
      <c r="CK250" s="42"/>
      <c r="CL250" s="42"/>
      <c r="CM250" s="42"/>
      <c r="CN250" s="42"/>
      <c r="CO250" s="42"/>
      <c r="CP250" s="42"/>
      <c r="CQ250" s="42"/>
      <c r="CR250" s="42"/>
      <c r="CS250" s="42"/>
      <c r="CT250" s="42"/>
      <c r="CU250" s="42"/>
      <c r="CV250" s="42"/>
      <c r="CW250" s="42"/>
      <c r="CX250" s="42"/>
      <c r="CY250" s="42"/>
      <c r="CZ250" s="42"/>
      <c r="DA250" s="42"/>
      <c r="DB250" s="42"/>
      <c r="DC250" s="42"/>
      <c r="DD250" s="42"/>
      <c r="DE250" s="42"/>
      <c r="DF250" s="42"/>
      <c r="DG250" s="42"/>
      <c r="DH250" s="42"/>
      <c r="DI250" s="42"/>
      <c r="DJ250" s="42"/>
      <c r="DK250" s="42"/>
      <c r="DL250" s="42"/>
      <c r="DM250" s="42"/>
      <c r="DN250" s="42"/>
      <c r="DO250" s="42"/>
      <c r="DP250" s="42"/>
      <c r="DQ250" s="42"/>
      <c r="DR250" s="42"/>
      <c r="DS250" s="42"/>
      <c r="DT250" s="42"/>
      <c r="DU250" s="42"/>
      <c r="DV250" s="42"/>
      <c r="DW250" s="42"/>
      <c r="DX250" s="42"/>
      <c r="DY250" s="42"/>
      <c r="DZ250" s="42"/>
      <c r="EA250" s="42"/>
      <c r="EB250" s="42"/>
      <c r="EC250" s="42"/>
      <c r="ED250" s="42"/>
      <c r="EE250" s="42"/>
      <c r="EF250" s="42"/>
      <c r="EG250" s="42"/>
      <c r="EH250" s="42"/>
      <c r="EI250" s="42"/>
      <c r="EJ250" s="42"/>
      <c r="EK250" s="42"/>
      <c r="EL250" s="42"/>
      <c r="EM250" s="42"/>
      <c r="EN250" s="42"/>
      <c r="EO250" s="42"/>
      <c r="EP250" s="42"/>
      <c r="EQ250" s="42"/>
      <c r="ER250" s="42"/>
      <c r="ES250" s="42"/>
      <c r="ET250" s="42"/>
      <c r="EU250" s="42"/>
      <c r="EV250" s="42"/>
      <c r="EW250" s="42"/>
      <c r="EX250" s="42"/>
      <c r="EY250" s="42"/>
      <c r="EZ250" s="42"/>
      <c r="FA250" s="42"/>
      <c r="FB250" s="42"/>
      <c r="FC250" s="42"/>
      <c r="FD250" s="42"/>
      <c r="FE250" s="42"/>
      <c r="FF250" s="42"/>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row>
    <row r="251" spans="1:256" ht="13.8" x14ac:dyDescent="0.3">
      <c r="A251" s="42"/>
      <c r="B251" s="42"/>
      <c r="C251" s="42"/>
      <c r="D251" s="42"/>
      <c r="E251" s="42"/>
      <c r="F251" s="42"/>
      <c r="G251" s="42"/>
      <c r="H251" s="42"/>
      <c r="I251" s="42"/>
      <c r="J251" s="42"/>
      <c r="K251" s="42"/>
      <c r="L251" s="42"/>
      <c r="M251" s="42"/>
      <c r="N251" s="42"/>
      <c r="O251" s="42"/>
      <c r="P251" s="42"/>
      <c r="Q251" s="42"/>
      <c r="R251" s="42"/>
      <c r="S251" s="42"/>
      <c r="T251" s="42"/>
      <c r="U251" s="194"/>
      <c r="V251" s="42"/>
      <c r="W251" s="42"/>
      <c r="X251" s="42"/>
      <c r="Y251" s="42"/>
      <c r="Z251" s="42"/>
      <c r="AA251" s="42"/>
      <c r="AB251" s="195"/>
      <c r="AC251" s="42"/>
      <c r="AD251" s="42"/>
      <c r="AE251" s="195"/>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42"/>
      <c r="BH251" s="42"/>
      <c r="BI251" s="42"/>
      <c r="BJ251" s="42"/>
      <c r="BK251" s="42"/>
      <c r="BL251" s="42"/>
      <c r="BM251" s="42"/>
      <c r="BN251" s="42"/>
      <c r="BO251" s="42"/>
      <c r="BP251" s="42"/>
      <c r="BQ251" s="42"/>
      <c r="BR251" s="42"/>
      <c r="BS251" s="42"/>
      <c r="BT251" s="42"/>
      <c r="BU251" s="42"/>
      <c r="BV251" s="42"/>
      <c r="BW251" s="42"/>
      <c r="BX251" s="42"/>
      <c r="BY251" s="42"/>
      <c r="BZ251" s="42"/>
      <c r="CA251" s="42"/>
      <c r="CB251" s="42"/>
      <c r="CC251" s="42"/>
      <c r="CD251" s="42"/>
      <c r="CE251" s="42"/>
      <c r="CF251" s="42"/>
      <c r="CG251" s="42"/>
      <c r="CH251" s="42"/>
      <c r="CI251" s="42"/>
      <c r="CJ251" s="42"/>
      <c r="CK251" s="42"/>
      <c r="CL251" s="42"/>
      <c r="CM251" s="42"/>
      <c r="CN251" s="42"/>
      <c r="CO251" s="42"/>
      <c r="CP251" s="42"/>
      <c r="CQ251" s="42"/>
      <c r="CR251" s="42"/>
      <c r="CS251" s="42"/>
      <c r="CT251" s="42"/>
      <c r="CU251" s="42"/>
      <c r="CV251" s="42"/>
      <c r="CW251" s="42"/>
      <c r="CX251" s="42"/>
      <c r="CY251" s="42"/>
      <c r="CZ251" s="42"/>
      <c r="DA251" s="42"/>
      <c r="DB251" s="42"/>
      <c r="DC251" s="42"/>
      <c r="DD251" s="42"/>
      <c r="DE251" s="42"/>
      <c r="DF251" s="42"/>
      <c r="DG251" s="42"/>
      <c r="DH251" s="42"/>
      <c r="DI251" s="42"/>
      <c r="DJ251" s="42"/>
      <c r="DK251" s="42"/>
      <c r="DL251" s="42"/>
      <c r="DM251" s="42"/>
      <c r="DN251" s="42"/>
      <c r="DO251" s="42"/>
      <c r="DP251" s="42"/>
      <c r="DQ251" s="42"/>
      <c r="DR251" s="42"/>
      <c r="DS251" s="42"/>
      <c r="DT251" s="42"/>
      <c r="DU251" s="42"/>
      <c r="DV251" s="42"/>
      <c r="DW251" s="42"/>
      <c r="DX251" s="42"/>
      <c r="DY251" s="42"/>
      <c r="DZ251" s="42"/>
      <c r="EA251" s="42"/>
      <c r="EB251" s="42"/>
      <c r="EC251" s="42"/>
      <c r="ED251" s="42"/>
      <c r="EE251" s="42"/>
      <c r="EF251" s="42"/>
      <c r="EG251" s="42"/>
      <c r="EH251" s="42"/>
      <c r="EI251" s="42"/>
      <c r="EJ251" s="42"/>
      <c r="EK251" s="42"/>
      <c r="EL251" s="42"/>
      <c r="EM251" s="42"/>
      <c r="EN251" s="42"/>
      <c r="EO251" s="42"/>
      <c r="EP251" s="42"/>
      <c r="EQ251" s="42"/>
      <c r="ER251" s="42"/>
      <c r="ES251" s="42"/>
      <c r="ET251" s="42"/>
      <c r="EU251" s="42"/>
      <c r="EV251" s="42"/>
      <c r="EW251" s="42"/>
      <c r="EX251" s="42"/>
      <c r="EY251" s="42"/>
      <c r="EZ251" s="42"/>
      <c r="FA251" s="42"/>
      <c r="FB251" s="42"/>
      <c r="FC251" s="42"/>
      <c r="FD251" s="42"/>
      <c r="FE251" s="42"/>
      <c r="FF251" s="42"/>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row>
    <row r="252" spans="1:256" ht="13.8" x14ac:dyDescent="0.3">
      <c r="A252" s="42"/>
      <c r="B252" s="42"/>
      <c r="C252" s="42"/>
      <c r="D252" s="42"/>
      <c r="E252" s="42"/>
      <c r="F252" s="42"/>
      <c r="G252" s="42"/>
      <c r="H252" s="42"/>
      <c r="I252" s="42"/>
      <c r="J252" s="42"/>
      <c r="K252" s="42"/>
      <c r="L252" s="42"/>
      <c r="M252" s="42"/>
      <c r="N252" s="42"/>
      <c r="O252" s="42"/>
      <c r="P252" s="42"/>
      <c r="Q252" s="42"/>
      <c r="R252" s="42"/>
      <c r="S252" s="42"/>
      <c r="T252" s="42"/>
      <c r="U252" s="194"/>
      <c r="V252" s="42"/>
      <c r="W252" s="42"/>
      <c r="X252" s="42"/>
      <c r="Y252" s="42"/>
      <c r="Z252" s="42"/>
      <c r="AA252" s="42"/>
      <c r="AB252" s="195"/>
      <c r="AC252" s="42"/>
      <c r="AD252" s="42"/>
      <c r="AE252" s="195"/>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2"/>
      <c r="BL252" s="42"/>
      <c r="BM252" s="42"/>
      <c r="BN252" s="42"/>
      <c r="BO252" s="42"/>
      <c r="BP252" s="42"/>
      <c r="BQ252" s="42"/>
      <c r="BR252" s="42"/>
      <c r="BS252" s="42"/>
      <c r="BT252" s="42"/>
      <c r="BU252" s="42"/>
      <c r="BV252" s="42"/>
      <c r="BW252" s="42"/>
      <c r="BX252" s="42"/>
      <c r="BY252" s="42"/>
      <c r="BZ252" s="42"/>
      <c r="CA252" s="42"/>
      <c r="CB252" s="42"/>
      <c r="CC252" s="42"/>
      <c r="CD252" s="42"/>
      <c r="CE252" s="42"/>
      <c r="CF252" s="42"/>
      <c r="CG252" s="42"/>
      <c r="CH252" s="42"/>
      <c r="CI252" s="42"/>
      <c r="CJ252" s="42"/>
      <c r="CK252" s="42"/>
      <c r="CL252" s="42"/>
      <c r="CM252" s="42"/>
      <c r="CN252" s="42"/>
      <c r="CO252" s="42"/>
      <c r="CP252" s="42"/>
      <c r="CQ252" s="42"/>
      <c r="CR252" s="42"/>
      <c r="CS252" s="42"/>
      <c r="CT252" s="42"/>
      <c r="CU252" s="42"/>
      <c r="CV252" s="42"/>
      <c r="CW252" s="42"/>
      <c r="CX252" s="42"/>
      <c r="CY252" s="42"/>
      <c r="CZ252" s="42"/>
      <c r="DA252" s="42"/>
      <c r="DB252" s="42"/>
      <c r="DC252" s="42"/>
      <c r="DD252" s="42"/>
      <c r="DE252" s="42"/>
      <c r="DF252" s="42"/>
      <c r="DG252" s="42"/>
      <c r="DH252" s="42"/>
      <c r="DI252" s="42"/>
      <c r="DJ252" s="42"/>
      <c r="DK252" s="42"/>
      <c r="DL252" s="42"/>
      <c r="DM252" s="42"/>
      <c r="DN252" s="42"/>
      <c r="DO252" s="42"/>
      <c r="DP252" s="42"/>
      <c r="DQ252" s="42"/>
      <c r="DR252" s="42"/>
      <c r="DS252" s="42"/>
      <c r="DT252" s="42"/>
      <c r="DU252" s="42"/>
      <c r="DV252" s="42"/>
      <c r="DW252" s="42"/>
      <c r="DX252" s="42"/>
      <c r="DY252" s="42"/>
      <c r="DZ252" s="42"/>
      <c r="EA252" s="42"/>
      <c r="EB252" s="42"/>
      <c r="EC252" s="42"/>
      <c r="ED252" s="42"/>
      <c r="EE252" s="42"/>
      <c r="EF252" s="42"/>
      <c r="EG252" s="42"/>
      <c r="EH252" s="42"/>
      <c r="EI252" s="42"/>
      <c r="EJ252" s="42"/>
      <c r="EK252" s="42"/>
      <c r="EL252" s="42"/>
      <c r="EM252" s="42"/>
      <c r="EN252" s="42"/>
      <c r="EO252" s="42"/>
      <c r="EP252" s="42"/>
      <c r="EQ252" s="42"/>
      <c r="ER252" s="42"/>
      <c r="ES252" s="42"/>
      <c r="ET252" s="42"/>
      <c r="EU252" s="42"/>
      <c r="EV252" s="42"/>
      <c r="EW252" s="42"/>
      <c r="EX252" s="42"/>
      <c r="EY252" s="42"/>
      <c r="EZ252" s="42"/>
      <c r="FA252" s="42"/>
      <c r="FB252" s="42"/>
      <c r="FC252" s="42"/>
      <c r="FD252" s="42"/>
      <c r="FE252" s="42"/>
      <c r="FF252" s="42"/>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row>
    <row r="253" spans="1:256" ht="13.8" x14ac:dyDescent="0.3">
      <c r="A253" s="42"/>
      <c r="B253" s="42"/>
      <c r="C253" s="42"/>
      <c r="D253" s="42"/>
      <c r="E253" s="42"/>
      <c r="F253" s="42"/>
      <c r="G253" s="42"/>
      <c r="H253" s="42"/>
      <c r="I253" s="42"/>
      <c r="J253" s="42"/>
      <c r="K253" s="42"/>
      <c r="L253" s="42"/>
      <c r="M253" s="42"/>
      <c r="N253" s="42"/>
      <c r="O253" s="42"/>
      <c r="P253" s="42"/>
      <c r="Q253" s="42"/>
      <c r="R253" s="42"/>
      <c r="S253" s="42"/>
      <c r="T253" s="42"/>
      <c r="U253" s="194"/>
      <c r="V253" s="42"/>
      <c r="W253" s="42"/>
      <c r="X253" s="42"/>
      <c r="Y253" s="42"/>
      <c r="Z253" s="42"/>
      <c r="AA253" s="42"/>
      <c r="AB253" s="195"/>
      <c r="AC253" s="42"/>
      <c r="AD253" s="42"/>
      <c r="AE253" s="195"/>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42"/>
      <c r="BH253" s="42"/>
      <c r="BI253" s="42"/>
      <c r="BJ253" s="42"/>
      <c r="BK253" s="42"/>
      <c r="BL253" s="42"/>
      <c r="BM253" s="42"/>
      <c r="BN253" s="42"/>
      <c r="BO253" s="42"/>
      <c r="BP253" s="42"/>
      <c r="BQ253" s="42"/>
      <c r="BR253" s="42"/>
      <c r="BS253" s="42"/>
      <c r="BT253" s="42"/>
      <c r="BU253" s="42"/>
      <c r="BV253" s="42"/>
      <c r="BW253" s="42"/>
      <c r="BX253" s="42"/>
      <c r="BY253" s="42"/>
      <c r="BZ253" s="42"/>
      <c r="CA253" s="42"/>
      <c r="CB253" s="42"/>
      <c r="CC253" s="42"/>
      <c r="CD253" s="42"/>
      <c r="CE253" s="42"/>
      <c r="CF253" s="42"/>
      <c r="CG253" s="42"/>
      <c r="CH253" s="42"/>
      <c r="CI253" s="42"/>
      <c r="CJ253" s="42"/>
      <c r="CK253" s="42"/>
      <c r="CL253" s="42"/>
      <c r="CM253" s="42"/>
      <c r="CN253" s="42"/>
      <c r="CO253" s="42"/>
      <c r="CP253" s="42"/>
      <c r="CQ253" s="42"/>
      <c r="CR253" s="42"/>
      <c r="CS253" s="42"/>
      <c r="CT253" s="42"/>
      <c r="CU253" s="42"/>
      <c r="CV253" s="42"/>
      <c r="CW253" s="42"/>
      <c r="CX253" s="42"/>
      <c r="CY253" s="42"/>
      <c r="CZ253" s="42"/>
      <c r="DA253" s="42"/>
      <c r="DB253" s="42"/>
      <c r="DC253" s="42"/>
      <c r="DD253" s="42"/>
      <c r="DE253" s="42"/>
      <c r="DF253" s="42"/>
      <c r="DG253" s="42"/>
      <c r="DH253" s="42"/>
      <c r="DI253" s="42"/>
      <c r="DJ253" s="42"/>
      <c r="DK253" s="42"/>
      <c r="DL253" s="42"/>
      <c r="DM253" s="42"/>
      <c r="DN253" s="42"/>
      <c r="DO253" s="42"/>
      <c r="DP253" s="42"/>
      <c r="DQ253" s="42"/>
      <c r="DR253" s="42"/>
      <c r="DS253" s="42"/>
      <c r="DT253" s="42"/>
      <c r="DU253" s="42"/>
      <c r="DV253" s="42"/>
      <c r="DW253" s="42"/>
      <c r="DX253" s="42"/>
      <c r="DY253" s="42"/>
      <c r="DZ253" s="42"/>
      <c r="EA253" s="42"/>
      <c r="EB253" s="42"/>
      <c r="EC253" s="42"/>
      <c r="ED253" s="42"/>
      <c r="EE253" s="42"/>
      <c r="EF253" s="42"/>
      <c r="EG253" s="42"/>
      <c r="EH253" s="42"/>
      <c r="EI253" s="42"/>
      <c r="EJ253" s="42"/>
      <c r="EK253" s="42"/>
      <c r="EL253" s="42"/>
      <c r="EM253" s="42"/>
      <c r="EN253" s="42"/>
      <c r="EO253" s="42"/>
      <c r="EP253" s="42"/>
      <c r="EQ253" s="42"/>
      <c r="ER253" s="42"/>
      <c r="ES253" s="42"/>
      <c r="ET253" s="42"/>
      <c r="EU253" s="42"/>
      <c r="EV253" s="42"/>
      <c r="EW253" s="42"/>
      <c r="EX253" s="42"/>
      <c r="EY253" s="42"/>
      <c r="EZ253" s="42"/>
      <c r="FA253" s="42"/>
      <c r="FB253" s="42"/>
      <c r="FC253" s="42"/>
      <c r="FD253" s="42"/>
      <c r="FE253" s="42"/>
      <c r="FF253" s="42"/>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row>
    <row r="254" spans="1:256" ht="13.8" x14ac:dyDescent="0.3">
      <c r="A254" s="42"/>
      <c r="B254" s="42"/>
      <c r="C254" s="42"/>
      <c r="D254" s="42"/>
      <c r="E254" s="42"/>
      <c r="F254" s="42"/>
      <c r="G254" s="42"/>
      <c r="H254" s="42"/>
      <c r="I254" s="42"/>
      <c r="J254" s="42"/>
      <c r="K254" s="42"/>
      <c r="L254" s="42"/>
      <c r="M254" s="42"/>
      <c r="N254" s="42"/>
      <c r="O254" s="42"/>
      <c r="P254" s="42"/>
      <c r="Q254" s="42"/>
      <c r="R254" s="42"/>
      <c r="S254" s="42"/>
      <c r="T254" s="42"/>
      <c r="U254" s="194"/>
      <c r="V254" s="42"/>
      <c r="W254" s="42"/>
      <c r="X254" s="42"/>
      <c r="Y254" s="42"/>
      <c r="Z254" s="42"/>
      <c r="AA254" s="42"/>
      <c r="AB254" s="195"/>
      <c r="AC254" s="42"/>
      <c r="AD254" s="42"/>
      <c r="AE254" s="195"/>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c r="BM254" s="42"/>
      <c r="BN254" s="42"/>
      <c r="BO254" s="42"/>
      <c r="BP254" s="42"/>
      <c r="BQ254" s="42"/>
      <c r="BR254" s="42"/>
      <c r="BS254" s="42"/>
      <c r="BT254" s="42"/>
      <c r="BU254" s="42"/>
      <c r="BV254" s="42"/>
      <c r="BW254" s="42"/>
      <c r="BX254" s="42"/>
      <c r="BY254" s="42"/>
      <c r="BZ254" s="42"/>
      <c r="CA254" s="42"/>
      <c r="CB254" s="42"/>
      <c r="CC254" s="42"/>
      <c r="CD254" s="42"/>
      <c r="CE254" s="42"/>
      <c r="CF254" s="42"/>
      <c r="CG254" s="42"/>
      <c r="CH254" s="42"/>
      <c r="CI254" s="42"/>
      <c r="CJ254" s="42"/>
      <c r="CK254" s="42"/>
      <c r="CL254" s="42"/>
      <c r="CM254" s="42"/>
      <c r="CN254" s="42"/>
      <c r="CO254" s="42"/>
      <c r="CP254" s="42"/>
      <c r="CQ254" s="42"/>
      <c r="CR254" s="42"/>
      <c r="CS254" s="42"/>
      <c r="CT254" s="42"/>
      <c r="CU254" s="42"/>
      <c r="CV254" s="42"/>
      <c r="CW254" s="42"/>
      <c r="CX254" s="42"/>
      <c r="CY254" s="42"/>
      <c r="CZ254" s="42"/>
      <c r="DA254" s="42"/>
      <c r="DB254" s="42"/>
      <c r="DC254" s="42"/>
      <c r="DD254" s="42"/>
      <c r="DE254" s="42"/>
      <c r="DF254" s="42"/>
      <c r="DG254" s="42"/>
      <c r="DH254" s="42"/>
      <c r="DI254" s="42"/>
      <c r="DJ254" s="42"/>
      <c r="DK254" s="42"/>
      <c r="DL254" s="42"/>
      <c r="DM254" s="42"/>
      <c r="DN254" s="42"/>
      <c r="DO254" s="42"/>
      <c r="DP254" s="42"/>
      <c r="DQ254" s="42"/>
      <c r="DR254" s="42"/>
      <c r="DS254" s="42"/>
      <c r="DT254" s="42"/>
      <c r="DU254" s="42"/>
      <c r="DV254" s="42"/>
      <c r="DW254" s="42"/>
      <c r="DX254" s="42"/>
      <c r="DY254" s="42"/>
      <c r="DZ254" s="42"/>
      <c r="EA254" s="42"/>
      <c r="EB254" s="42"/>
      <c r="EC254" s="42"/>
      <c r="ED254" s="42"/>
      <c r="EE254" s="42"/>
      <c r="EF254" s="42"/>
      <c r="EG254" s="42"/>
      <c r="EH254" s="42"/>
      <c r="EI254" s="42"/>
      <c r="EJ254" s="42"/>
      <c r="EK254" s="42"/>
      <c r="EL254" s="42"/>
      <c r="EM254" s="42"/>
      <c r="EN254" s="42"/>
      <c r="EO254" s="42"/>
      <c r="EP254" s="42"/>
      <c r="EQ254" s="42"/>
      <c r="ER254" s="42"/>
      <c r="ES254" s="42"/>
      <c r="ET254" s="42"/>
      <c r="EU254" s="42"/>
      <c r="EV254" s="42"/>
      <c r="EW254" s="42"/>
      <c r="EX254" s="42"/>
      <c r="EY254" s="42"/>
      <c r="EZ254" s="42"/>
      <c r="FA254" s="42"/>
      <c r="FB254" s="42"/>
      <c r="FC254" s="42"/>
      <c r="FD254" s="42"/>
      <c r="FE254" s="42"/>
      <c r="FF254" s="42"/>
      <c r="FG254" s="42"/>
      <c r="FH254" s="42"/>
      <c r="FI254" s="42"/>
      <c r="FJ254" s="42"/>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row>
    <row r="255" spans="1:256" ht="13.8" x14ac:dyDescent="0.3">
      <c r="A255" s="42"/>
      <c r="B255" s="42"/>
      <c r="C255" s="42"/>
      <c r="D255" s="42"/>
      <c r="E255" s="42"/>
      <c r="F255" s="42"/>
      <c r="G255" s="42"/>
      <c r="H255" s="42"/>
      <c r="I255" s="42"/>
      <c r="J255" s="42"/>
      <c r="K255" s="42"/>
      <c r="L255" s="42"/>
      <c r="M255" s="42"/>
      <c r="N255" s="42"/>
      <c r="O255" s="42"/>
      <c r="P255" s="42"/>
      <c r="Q255" s="42"/>
      <c r="R255" s="42"/>
      <c r="S255" s="42"/>
      <c r="T255" s="42"/>
      <c r="U255" s="194"/>
      <c r="V255" s="42"/>
      <c r="W255" s="42"/>
      <c r="X255" s="42"/>
      <c r="Y255" s="42"/>
      <c r="Z255" s="42"/>
      <c r="AA255" s="42"/>
      <c r="AB255" s="195"/>
      <c r="AC255" s="42"/>
      <c r="AD255" s="42"/>
      <c r="AE255" s="195"/>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42"/>
      <c r="BH255" s="42"/>
      <c r="BI255" s="42"/>
      <c r="BJ255" s="42"/>
      <c r="BK255" s="42"/>
      <c r="BL255" s="42"/>
      <c r="BM255" s="42"/>
      <c r="BN255" s="42"/>
      <c r="BO255" s="42"/>
      <c r="BP255" s="42"/>
      <c r="BQ255" s="42"/>
      <c r="BR255" s="42"/>
      <c r="BS255" s="42"/>
      <c r="BT255" s="42"/>
      <c r="BU255" s="42"/>
      <c r="BV255" s="42"/>
      <c r="BW255" s="42"/>
      <c r="BX255" s="42"/>
      <c r="BY255" s="42"/>
      <c r="BZ255" s="42"/>
      <c r="CA255" s="42"/>
      <c r="CB255" s="42"/>
      <c r="CC255" s="42"/>
      <c r="CD255" s="42"/>
      <c r="CE255" s="42"/>
      <c r="CF255" s="42"/>
      <c r="CG255" s="42"/>
      <c r="CH255" s="42"/>
      <c r="CI255" s="42"/>
      <c r="CJ255" s="42"/>
      <c r="CK255" s="42"/>
      <c r="CL255" s="42"/>
      <c r="CM255" s="42"/>
      <c r="CN255" s="42"/>
      <c r="CO255" s="42"/>
      <c r="CP255" s="42"/>
      <c r="CQ255" s="42"/>
      <c r="CR255" s="42"/>
      <c r="CS255" s="42"/>
      <c r="CT255" s="42"/>
      <c r="CU255" s="42"/>
      <c r="CV255" s="42"/>
      <c r="CW255" s="42"/>
      <c r="CX255" s="42"/>
      <c r="CY255" s="42"/>
      <c r="CZ255" s="42"/>
      <c r="DA255" s="42"/>
      <c r="DB255" s="42"/>
      <c r="DC255" s="42"/>
      <c r="DD255" s="42"/>
      <c r="DE255" s="42"/>
      <c r="DF255" s="42"/>
      <c r="DG255" s="42"/>
      <c r="DH255" s="42"/>
      <c r="DI255" s="42"/>
      <c r="DJ255" s="42"/>
      <c r="DK255" s="42"/>
      <c r="DL255" s="42"/>
      <c r="DM255" s="42"/>
      <c r="DN255" s="42"/>
      <c r="DO255" s="42"/>
      <c r="DP255" s="42"/>
      <c r="DQ255" s="42"/>
      <c r="DR255" s="42"/>
      <c r="DS255" s="42"/>
      <c r="DT255" s="42"/>
      <c r="DU255" s="42"/>
      <c r="DV255" s="42"/>
      <c r="DW255" s="42"/>
      <c r="DX255" s="42"/>
      <c r="DY255" s="42"/>
      <c r="DZ255" s="42"/>
      <c r="EA255" s="42"/>
      <c r="EB255" s="42"/>
      <c r="EC255" s="42"/>
      <c r="ED255" s="42"/>
      <c r="EE255" s="42"/>
      <c r="EF255" s="42"/>
      <c r="EG255" s="42"/>
      <c r="EH255" s="42"/>
      <c r="EI255" s="42"/>
      <c r="EJ255" s="42"/>
      <c r="EK255" s="42"/>
      <c r="EL255" s="42"/>
      <c r="EM255" s="42"/>
      <c r="EN255" s="42"/>
      <c r="EO255" s="42"/>
      <c r="EP255" s="42"/>
      <c r="EQ255" s="42"/>
      <c r="ER255" s="42"/>
      <c r="ES255" s="42"/>
      <c r="ET255" s="42"/>
      <c r="EU255" s="42"/>
      <c r="EV255" s="42"/>
      <c r="EW255" s="42"/>
      <c r="EX255" s="42"/>
      <c r="EY255" s="42"/>
      <c r="EZ255" s="42"/>
      <c r="FA255" s="42"/>
      <c r="FB255" s="42"/>
      <c r="FC255" s="42"/>
      <c r="FD255" s="42"/>
      <c r="FE255" s="42"/>
      <c r="FF255" s="42"/>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row>
    <row r="256" spans="1:256" ht="13.8" x14ac:dyDescent="0.3">
      <c r="A256" s="42"/>
      <c r="B256" s="42"/>
      <c r="C256" s="42"/>
      <c r="D256" s="42"/>
      <c r="E256" s="42"/>
      <c r="F256" s="42"/>
      <c r="G256" s="42"/>
      <c r="H256" s="42"/>
      <c r="I256" s="42"/>
      <c r="J256" s="42"/>
      <c r="K256" s="42"/>
      <c r="L256" s="42"/>
      <c r="M256" s="42"/>
      <c r="N256" s="42"/>
      <c r="O256" s="42"/>
      <c r="P256" s="42"/>
      <c r="Q256" s="42"/>
      <c r="R256" s="42"/>
      <c r="S256" s="42"/>
      <c r="T256" s="42"/>
      <c r="U256" s="194"/>
      <c r="V256" s="42"/>
      <c r="W256" s="42"/>
      <c r="X256" s="42"/>
      <c r="Y256" s="42"/>
      <c r="Z256" s="42"/>
      <c r="AA256" s="42"/>
      <c r="AB256" s="195"/>
      <c r="AC256" s="42"/>
      <c r="AD256" s="42"/>
      <c r="AE256" s="195"/>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42"/>
      <c r="BH256" s="42"/>
      <c r="BI256" s="42"/>
      <c r="BJ256" s="42"/>
      <c r="BK256" s="42"/>
      <c r="BL256" s="42"/>
      <c r="BM256" s="42"/>
      <c r="BN256" s="42"/>
      <c r="BO256" s="42"/>
      <c r="BP256" s="42"/>
      <c r="BQ256" s="42"/>
      <c r="BR256" s="42"/>
      <c r="BS256" s="42"/>
      <c r="BT256" s="42"/>
      <c r="BU256" s="42"/>
      <c r="BV256" s="42"/>
      <c r="BW256" s="42"/>
      <c r="BX256" s="42"/>
      <c r="BY256" s="42"/>
      <c r="BZ256" s="42"/>
      <c r="CA256" s="42"/>
      <c r="CB256" s="42"/>
      <c r="CC256" s="42"/>
      <c r="CD256" s="42"/>
      <c r="CE256" s="42"/>
      <c r="CF256" s="42"/>
      <c r="CG256" s="42"/>
      <c r="CH256" s="42"/>
      <c r="CI256" s="42"/>
      <c r="CJ256" s="42"/>
      <c r="CK256" s="42"/>
      <c r="CL256" s="42"/>
      <c r="CM256" s="42"/>
      <c r="CN256" s="42"/>
      <c r="CO256" s="42"/>
      <c r="CP256" s="42"/>
      <c r="CQ256" s="42"/>
      <c r="CR256" s="42"/>
      <c r="CS256" s="42"/>
      <c r="CT256" s="42"/>
      <c r="CU256" s="42"/>
      <c r="CV256" s="42"/>
      <c r="CW256" s="42"/>
      <c r="CX256" s="42"/>
      <c r="CY256" s="42"/>
      <c r="CZ256" s="42"/>
      <c r="DA256" s="42"/>
      <c r="DB256" s="42"/>
      <c r="DC256" s="42"/>
      <c r="DD256" s="42"/>
      <c r="DE256" s="42"/>
      <c r="DF256" s="42"/>
      <c r="DG256" s="42"/>
      <c r="DH256" s="42"/>
      <c r="DI256" s="42"/>
      <c r="DJ256" s="42"/>
      <c r="DK256" s="42"/>
      <c r="DL256" s="42"/>
      <c r="DM256" s="42"/>
      <c r="DN256" s="42"/>
      <c r="DO256" s="42"/>
      <c r="DP256" s="42"/>
      <c r="DQ256" s="42"/>
      <c r="DR256" s="42"/>
      <c r="DS256" s="42"/>
      <c r="DT256" s="42"/>
      <c r="DU256" s="42"/>
      <c r="DV256" s="42"/>
      <c r="DW256" s="42"/>
      <c r="DX256" s="42"/>
      <c r="DY256" s="42"/>
      <c r="DZ256" s="42"/>
      <c r="EA256" s="42"/>
      <c r="EB256" s="42"/>
      <c r="EC256" s="42"/>
      <c r="ED256" s="42"/>
      <c r="EE256" s="42"/>
      <c r="EF256" s="42"/>
      <c r="EG256" s="42"/>
      <c r="EH256" s="42"/>
      <c r="EI256" s="42"/>
      <c r="EJ256" s="42"/>
      <c r="EK256" s="42"/>
      <c r="EL256" s="42"/>
      <c r="EM256" s="42"/>
      <c r="EN256" s="42"/>
      <c r="EO256" s="42"/>
      <c r="EP256" s="42"/>
      <c r="EQ256" s="42"/>
      <c r="ER256" s="42"/>
      <c r="ES256" s="42"/>
      <c r="ET256" s="42"/>
      <c r="EU256" s="42"/>
      <c r="EV256" s="42"/>
      <c r="EW256" s="42"/>
      <c r="EX256" s="42"/>
      <c r="EY256" s="42"/>
      <c r="EZ256" s="42"/>
      <c r="FA256" s="42"/>
      <c r="FB256" s="42"/>
      <c r="FC256" s="42"/>
      <c r="FD256" s="42"/>
      <c r="FE256" s="42"/>
      <c r="FF256" s="42"/>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row>
    <row r="257" spans="1:256" ht="13.8" x14ac:dyDescent="0.3">
      <c r="A257" s="42"/>
      <c r="B257" s="42"/>
      <c r="C257" s="42"/>
      <c r="D257" s="42"/>
      <c r="E257" s="42"/>
      <c r="F257" s="42"/>
      <c r="G257" s="42"/>
      <c r="H257" s="42"/>
      <c r="I257" s="42"/>
      <c r="J257" s="42"/>
      <c r="K257" s="42"/>
      <c r="L257" s="42"/>
      <c r="M257" s="42"/>
      <c r="N257" s="42"/>
      <c r="O257" s="42"/>
      <c r="P257" s="42"/>
      <c r="Q257" s="42"/>
      <c r="R257" s="42"/>
      <c r="S257" s="42"/>
      <c r="T257" s="42"/>
      <c r="U257" s="194"/>
      <c r="V257" s="42"/>
      <c r="W257" s="42"/>
      <c r="X257" s="42"/>
      <c r="Y257" s="42"/>
      <c r="Z257" s="42"/>
      <c r="AA257" s="42"/>
      <c r="AB257" s="195"/>
      <c r="AC257" s="42"/>
      <c r="AD257" s="42"/>
      <c r="AE257" s="195"/>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42"/>
      <c r="BH257" s="42"/>
      <c r="BI257" s="42"/>
      <c r="BJ257" s="42"/>
      <c r="BK257" s="42"/>
      <c r="BL257" s="42"/>
      <c r="BM257" s="42"/>
      <c r="BN257" s="42"/>
      <c r="BO257" s="42"/>
      <c r="BP257" s="42"/>
      <c r="BQ257" s="42"/>
      <c r="BR257" s="42"/>
      <c r="BS257" s="42"/>
      <c r="BT257" s="42"/>
      <c r="BU257" s="42"/>
      <c r="BV257" s="42"/>
      <c r="BW257" s="42"/>
      <c r="BX257" s="42"/>
      <c r="BY257" s="42"/>
      <c r="BZ257" s="42"/>
      <c r="CA257" s="42"/>
      <c r="CB257" s="42"/>
      <c r="CC257" s="42"/>
      <c r="CD257" s="42"/>
      <c r="CE257" s="42"/>
      <c r="CF257" s="42"/>
      <c r="CG257" s="42"/>
      <c r="CH257" s="42"/>
      <c r="CI257" s="42"/>
      <c r="CJ257" s="42"/>
      <c r="CK257" s="42"/>
      <c r="CL257" s="42"/>
      <c r="CM257" s="42"/>
      <c r="CN257" s="42"/>
      <c r="CO257" s="42"/>
      <c r="CP257" s="42"/>
      <c r="CQ257" s="42"/>
      <c r="CR257" s="42"/>
      <c r="CS257" s="42"/>
      <c r="CT257" s="42"/>
      <c r="CU257" s="42"/>
      <c r="CV257" s="42"/>
      <c r="CW257" s="42"/>
      <c r="CX257" s="42"/>
      <c r="CY257" s="42"/>
      <c r="CZ257" s="42"/>
      <c r="DA257" s="42"/>
      <c r="DB257" s="42"/>
      <c r="DC257" s="42"/>
      <c r="DD257" s="42"/>
      <c r="DE257" s="42"/>
      <c r="DF257" s="42"/>
      <c r="DG257" s="42"/>
      <c r="DH257" s="42"/>
      <c r="DI257" s="42"/>
      <c r="DJ257" s="42"/>
      <c r="DK257" s="42"/>
      <c r="DL257" s="42"/>
      <c r="DM257" s="42"/>
      <c r="DN257" s="42"/>
      <c r="DO257" s="42"/>
      <c r="DP257" s="42"/>
      <c r="DQ257" s="42"/>
      <c r="DR257" s="42"/>
      <c r="DS257" s="42"/>
      <c r="DT257" s="42"/>
      <c r="DU257" s="42"/>
      <c r="DV257" s="42"/>
      <c r="DW257" s="42"/>
      <c r="DX257" s="42"/>
      <c r="DY257" s="42"/>
      <c r="DZ257" s="42"/>
      <c r="EA257" s="42"/>
      <c r="EB257" s="42"/>
      <c r="EC257" s="42"/>
      <c r="ED257" s="42"/>
      <c r="EE257" s="42"/>
      <c r="EF257" s="42"/>
      <c r="EG257" s="42"/>
      <c r="EH257" s="42"/>
      <c r="EI257" s="42"/>
      <c r="EJ257" s="42"/>
      <c r="EK257" s="42"/>
      <c r="EL257" s="42"/>
      <c r="EM257" s="42"/>
      <c r="EN257" s="42"/>
      <c r="EO257" s="42"/>
      <c r="EP257" s="42"/>
      <c r="EQ257" s="42"/>
      <c r="ER257" s="42"/>
      <c r="ES257" s="42"/>
      <c r="ET257" s="42"/>
      <c r="EU257" s="42"/>
      <c r="EV257" s="42"/>
      <c r="EW257" s="42"/>
      <c r="EX257" s="42"/>
      <c r="EY257" s="42"/>
      <c r="EZ257" s="42"/>
      <c r="FA257" s="42"/>
      <c r="FB257" s="42"/>
      <c r="FC257" s="42"/>
      <c r="FD257" s="42"/>
      <c r="FE257" s="42"/>
      <c r="FF257" s="42"/>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row>
    <row r="258" spans="1:256" ht="13.8" x14ac:dyDescent="0.3">
      <c r="A258" s="42"/>
      <c r="B258" s="42"/>
      <c r="C258" s="42"/>
      <c r="D258" s="42"/>
      <c r="E258" s="42"/>
      <c r="F258" s="42"/>
      <c r="G258" s="42"/>
      <c r="H258" s="42"/>
      <c r="I258" s="42"/>
      <c r="J258" s="42"/>
      <c r="K258" s="42"/>
      <c r="L258" s="42"/>
      <c r="M258" s="42"/>
      <c r="N258" s="42"/>
      <c r="O258" s="42"/>
      <c r="P258" s="42"/>
      <c r="Q258" s="42"/>
      <c r="R258" s="42"/>
      <c r="S258" s="42"/>
      <c r="T258" s="42"/>
      <c r="U258" s="194"/>
      <c r="V258" s="42"/>
      <c r="W258" s="42"/>
      <c r="X258" s="42"/>
      <c r="Y258" s="42"/>
      <c r="Z258" s="42"/>
      <c r="AA258" s="42"/>
      <c r="AB258" s="195"/>
      <c r="AC258" s="42"/>
      <c r="AD258" s="42"/>
      <c r="AE258" s="195"/>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42"/>
      <c r="BH258" s="42"/>
      <c r="BI258" s="42"/>
      <c r="BJ258" s="42"/>
      <c r="BK258" s="42"/>
      <c r="BL258" s="42"/>
      <c r="BM258" s="42"/>
      <c r="BN258" s="42"/>
      <c r="BO258" s="42"/>
      <c r="BP258" s="42"/>
      <c r="BQ258" s="42"/>
      <c r="BR258" s="42"/>
      <c r="BS258" s="42"/>
      <c r="BT258" s="42"/>
      <c r="BU258" s="42"/>
      <c r="BV258" s="42"/>
      <c r="BW258" s="42"/>
      <c r="BX258" s="42"/>
      <c r="BY258" s="42"/>
      <c r="BZ258" s="42"/>
      <c r="CA258" s="42"/>
      <c r="CB258" s="42"/>
      <c r="CC258" s="42"/>
      <c r="CD258" s="42"/>
      <c r="CE258" s="42"/>
      <c r="CF258" s="42"/>
      <c r="CG258" s="42"/>
      <c r="CH258" s="42"/>
      <c r="CI258" s="42"/>
      <c r="CJ258" s="42"/>
      <c r="CK258" s="42"/>
      <c r="CL258" s="42"/>
      <c r="CM258" s="42"/>
      <c r="CN258" s="42"/>
      <c r="CO258" s="42"/>
      <c r="CP258" s="42"/>
      <c r="CQ258" s="42"/>
      <c r="CR258" s="42"/>
      <c r="CS258" s="42"/>
      <c r="CT258" s="42"/>
      <c r="CU258" s="42"/>
      <c r="CV258" s="42"/>
      <c r="CW258" s="42"/>
      <c r="CX258" s="42"/>
      <c r="CY258" s="42"/>
      <c r="CZ258" s="42"/>
      <c r="DA258" s="42"/>
      <c r="DB258" s="42"/>
      <c r="DC258" s="42"/>
      <c r="DD258" s="42"/>
      <c r="DE258" s="42"/>
      <c r="DF258" s="42"/>
      <c r="DG258" s="42"/>
      <c r="DH258" s="42"/>
      <c r="DI258" s="42"/>
      <c r="DJ258" s="42"/>
      <c r="DK258" s="42"/>
      <c r="DL258" s="42"/>
      <c r="DM258" s="42"/>
      <c r="DN258" s="42"/>
      <c r="DO258" s="42"/>
      <c r="DP258" s="42"/>
      <c r="DQ258" s="42"/>
      <c r="DR258" s="42"/>
      <c r="DS258" s="42"/>
      <c r="DT258" s="42"/>
      <c r="DU258" s="42"/>
      <c r="DV258" s="42"/>
      <c r="DW258" s="42"/>
      <c r="DX258" s="42"/>
      <c r="DY258" s="42"/>
      <c r="DZ258" s="42"/>
      <c r="EA258" s="42"/>
      <c r="EB258" s="42"/>
      <c r="EC258" s="42"/>
      <c r="ED258" s="42"/>
      <c r="EE258" s="42"/>
      <c r="EF258" s="42"/>
      <c r="EG258" s="42"/>
      <c r="EH258" s="42"/>
      <c r="EI258" s="42"/>
      <c r="EJ258" s="42"/>
      <c r="EK258" s="42"/>
      <c r="EL258" s="42"/>
      <c r="EM258" s="42"/>
      <c r="EN258" s="42"/>
      <c r="EO258" s="42"/>
      <c r="EP258" s="42"/>
      <c r="EQ258" s="42"/>
      <c r="ER258" s="42"/>
      <c r="ES258" s="42"/>
      <c r="ET258" s="42"/>
      <c r="EU258" s="42"/>
      <c r="EV258" s="42"/>
      <c r="EW258" s="42"/>
      <c r="EX258" s="42"/>
      <c r="EY258" s="42"/>
      <c r="EZ258" s="42"/>
      <c r="FA258" s="42"/>
      <c r="FB258" s="42"/>
      <c r="FC258" s="42"/>
      <c r="FD258" s="42"/>
      <c r="FE258" s="42"/>
      <c r="FF258" s="42"/>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row>
    <row r="259" spans="1:256" ht="13.8" x14ac:dyDescent="0.3">
      <c r="A259" s="42"/>
      <c r="B259" s="42"/>
      <c r="C259" s="42"/>
      <c r="D259" s="42"/>
      <c r="E259" s="42"/>
      <c r="F259" s="42"/>
      <c r="G259" s="42"/>
      <c r="H259" s="42"/>
      <c r="I259" s="42"/>
      <c r="J259" s="42"/>
      <c r="K259" s="42"/>
      <c r="L259" s="42"/>
      <c r="M259" s="42"/>
      <c r="N259" s="42"/>
      <c r="O259" s="42"/>
      <c r="P259" s="42"/>
      <c r="Q259" s="42"/>
      <c r="R259" s="42"/>
      <c r="S259" s="42"/>
      <c r="T259" s="42"/>
      <c r="U259" s="194"/>
      <c r="V259" s="42"/>
      <c r="W259" s="42"/>
      <c r="X259" s="42"/>
      <c r="Y259" s="42"/>
      <c r="Z259" s="42"/>
      <c r="AA259" s="42"/>
      <c r="AB259" s="195"/>
      <c r="AC259" s="42"/>
      <c r="AD259" s="42"/>
      <c r="AE259" s="195"/>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42"/>
      <c r="BH259" s="42"/>
      <c r="BI259" s="42"/>
      <c r="BJ259" s="42"/>
      <c r="BK259" s="42"/>
      <c r="BL259" s="42"/>
      <c r="BM259" s="42"/>
      <c r="BN259" s="42"/>
      <c r="BO259" s="42"/>
      <c r="BP259" s="42"/>
      <c r="BQ259" s="42"/>
      <c r="BR259" s="42"/>
      <c r="BS259" s="42"/>
      <c r="BT259" s="42"/>
      <c r="BU259" s="42"/>
      <c r="BV259" s="42"/>
      <c r="BW259" s="42"/>
      <c r="BX259" s="42"/>
      <c r="BY259" s="42"/>
      <c r="BZ259" s="42"/>
      <c r="CA259" s="42"/>
      <c r="CB259" s="42"/>
      <c r="CC259" s="42"/>
      <c r="CD259" s="42"/>
      <c r="CE259" s="42"/>
      <c r="CF259" s="42"/>
      <c r="CG259" s="42"/>
      <c r="CH259" s="42"/>
      <c r="CI259" s="42"/>
      <c r="CJ259" s="42"/>
      <c r="CK259" s="42"/>
      <c r="CL259" s="42"/>
      <c r="CM259" s="42"/>
      <c r="CN259" s="42"/>
      <c r="CO259" s="42"/>
      <c r="CP259" s="42"/>
      <c r="CQ259" s="42"/>
      <c r="CR259" s="42"/>
      <c r="CS259" s="42"/>
      <c r="CT259" s="42"/>
      <c r="CU259" s="42"/>
      <c r="CV259" s="42"/>
      <c r="CW259" s="42"/>
      <c r="CX259" s="42"/>
      <c r="CY259" s="42"/>
      <c r="CZ259" s="42"/>
      <c r="DA259" s="42"/>
      <c r="DB259" s="42"/>
      <c r="DC259" s="42"/>
      <c r="DD259" s="42"/>
      <c r="DE259" s="42"/>
      <c r="DF259" s="42"/>
      <c r="DG259" s="42"/>
      <c r="DH259" s="42"/>
      <c r="DI259" s="42"/>
      <c r="DJ259" s="42"/>
      <c r="DK259" s="42"/>
      <c r="DL259" s="42"/>
      <c r="DM259" s="42"/>
      <c r="DN259" s="42"/>
      <c r="DO259" s="42"/>
      <c r="DP259" s="42"/>
      <c r="DQ259" s="42"/>
      <c r="DR259" s="42"/>
      <c r="DS259" s="42"/>
      <c r="DT259" s="42"/>
      <c r="DU259" s="42"/>
      <c r="DV259" s="42"/>
      <c r="DW259" s="42"/>
      <c r="DX259" s="42"/>
      <c r="DY259" s="42"/>
      <c r="DZ259" s="42"/>
      <c r="EA259" s="42"/>
      <c r="EB259" s="42"/>
      <c r="EC259" s="42"/>
      <c r="ED259" s="42"/>
      <c r="EE259" s="42"/>
      <c r="EF259" s="42"/>
      <c r="EG259" s="42"/>
      <c r="EH259" s="42"/>
      <c r="EI259" s="42"/>
      <c r="EJ259" s="42"/>
      <c r="EK259" s="42"/>
      <c r="EL259" s="42"/>
      <c r="EM259" s="42"/>
      <c r="EN259" s="42"/>
      <c r="EO259" s="42"/>
      <c r="EP259" s="42"/>
      <c r="EQ259" s="42"/>
      <c r="ER259" s="42"/>
      <c r="ES259" s="42"/>
      <c r="ET259" s="42"/>
      <c r="EU259" s="42"/>
      <c r="EV259" s="42"/>
      <c r="EW259" s="42"/>
      <c r="EX259" s="42"/>
      <c r="EY259" s="42"/>
      <c r="EZ259" s="42"/>
      <c r="FA259" s="42"/>
      <c r="FB259" s="42"/>
      <c r="FC259" s="42"/>
      <c r="FD259" s="42"/>
      <c r="FE259" s="42"/>
      <c r="FF259" s="42"/>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row>
    <row r="260" spans="1:256" ht="13.8" x14ac:dyDescent="0.3">
      <c r="A260" s="42"/>
      <c r="B260" s="42"/>
      <c r="C260" s="42"/>
      <c r="D260" s="42"/>
      <c r="E260" s="42"/>
      <c r="F260" s="42"/>
      <c r="G260" s="42"/>
      <c r="H260" s="42"/>
      <c r="I260" s="42"/>
      <c r="J260" s="42"/>
      <c r="K260" s="42"/>
      <c r="L260" s="42"/>
      <c r="M260" s="42"/>
      <c r="N260" s="42"/>
      <c r="O260" s="42"/>
      <c r="P260" s="42"/>
      <c r="Q260" s="42"/>
      <c r="R260" s="42"/>
      <c r="S260" s="42"/>
      <c r="T260" s="42"/>
      <c r="U260" s="194"/>
      <c r="V260" s="42"/>
      <c r="W260" s="42"/>
      <c r="X260" s="42"/>
      <c r="Y260" s="42"/>
      <c r="Z260" s="42"/>
      <c r="AA260" s="42"/>
      <c r="AB260" s="195"/>
      <c r="AC260" s="42"/>
      <c r="AD260" s="42"/>
      <c r="AE260" s="195"/>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42"/>
      <c r="BH260" s="42"/>
      <c r="BI260" s="42"/>
      <c r="BJ260" s="42"/>
      <c r="BK260" s="42"/>
      <c r="BL260" s="42"/>
      <c r="BM260" s="42"/>
      <c r="BN260" s="42"/>
      <c r="BO260" s="42"/>
      <c r="BP260" s="42"/>
      <c r="BQ260" s="42"/>
      <c r="BR260" s="42"/>
      <c r="BS260" s="42"/>
      <c r="BT260" s="42"/>
      <c r="BU260" s="42"/>
      <c r="BV260" s="42"/>
      <c r="BW260" s="42"/>
      <c r="BX260" s="42"/>
      <c r="BY260" s="42"/>
      <c r="BZ260" s="42"/>
      <c r="CA260" s="42"/>
      <c r="CB260" s="42"/>
      <c r="CC260" s="42"/>
      <c r="CD260" s="42"/>
      <c r="CE260" s="42"/>
      <c r="CF260" s="42"/>
      <c r="CG260" s="42"/>
      <c r="CH260" s="42"/>
      <c r="CI260" s="42"/>
      <c r="CJ260" s="42"/>
      <c r="CK260" s="42"/>
      <c r="CL260" s="42"/>
      <c r="CM260" s="42"/>
      <c r="CN260" s="42"/>
      <c r="CO260" s="42"/>
      <c r="CP260" s="42"/>
      <c r="CQ260" s="42"/>
      <c r="CR260" s="42"/>
      <c r="CS260" s="42"/>
      <c r="CT260" s="42"/>
      <c r="CU260" s="42"/>
      <c r="CV260" s="42"/>
      <c r="CW260" s="42"/>
      <c r="CX260" s="42"/>
      <c r="CY260" s="42"/>
      <c r="CZ260" s="42"/>
      <c r="DA260" s="42"/>
      <c r="DB260" s="42"/>
      <c r="DC260" s="42"/>
      <c r="DD260" s="42"/>
      <c r="DE260" s="42"/>
      <c r="DF260" s="42"/>
      <c r="DG260" s="42"/>
      <c r="DH260" s="42"/>
      <c r="DI260" s="42"/>
      <c r="DJ260" s="42"/>
      <c r="DK260" s="42"/>
      <c r="DL260" s="42"/>
      <c r="DM260" s="42"/>
      <c r="DN260" s="42"/>
      <c r="DO260" s="42"/>
      <c r="DP260" s="42"/>
      <c r="DQ260" s="42"/>
      <c r="DR260" s="42"/>
      <c r="DS260" s="42"/>
      <c r="DT260" s="42"/>
      <c r="DU260" s="42"/>
      <c r="DV260" s="42"/>
      <c r="DW260" s="42"/>
      <c r="DX260" s="42"/>
      <c r="DY260" s="42"/>
      <c r="DZ260" s="42"/>
      <c r="EA260" s="42"/>
      <c r="EB260" s="42"/>
      <c r="EC260" s="42"/>
      <c r="ED260" s="42"/>
      <c r="EE260" s="42"/>
      <c r="EF260" s="42"/>
      <c r="EG260" s="42"/>
      <c r="EH260" s="42"/>
      <c r="EI260" s="42"/>
      <c r="EJ260" s="42"/>
      <c r="EK260" s="42"/>
      <c r="EL260" s="42"/>
      <c r="EM260" s="42"/>
      <c r="EN260" s="42"/>
      <c r="EO260" s="42"/>
      <c r="EP260" s="42"/>
      <c r="EQ260" s="42"/>
      <c r="ER260" s="42"/>
      <c r="ES260" s="42"/>
      <c r="ET260" s="42"/>
      <c r="EU260" s="42"/>
      <c r="EV260" s="42"/>
      <c r="EW260" s="42"/>
      <c r="EX260" s="42"/>
      <c r="EY260" s="42"/>
      <c r="EZ260" s="42"/>
      <c r="FA260" s="42"/>
      <c r="FB260" s="42"/>
      <c r="FC260" s="42"/>
      <c r="FD260" s="42"/>
      <c r="FE260" s="42"/>
      <c r="FF260" s="42"/>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row>
    <row r="261" spans="1:256" ht="13.8" x14ac:dyDescent="0.3">
      <c r="A261" s="42"/>
      <c r="B261" s="42"/>
      <c r="C261" s="42"/>
      <c r="D261" s="42"/>
      <c r="E261" s="42"/>
      <c r="F261" s="42"/>
      <c r="G261" s="42"/>
      <c r="H261" s="42"/>
      <c r="I261" s="42"/>
      <c r="J261" s="42"/>
      <c r="K261" s="42"/>
      <c r="L261" s="42"/>
      <c r="M261" s="42"/>
      <c r="N261" s="42"/>
      <c r="O261" s="42"/>
      <c r="P261" s="42"/>
      <c r="Q261" s="42"/>
      <c r="R261" s="42"/>
      <c r="S261" s="42"/>
      <c r="T261" s="42"/>
      <c r="U261" s="194"/>
      <c r="V261" s="42"/>
      <c r="W261" s="42"/>
      <c r="X261" s="42"/>
      <c r="Y261" s="42"/>
      <c r="Z261" s="42"/>
      <c r="AA261" s="42"/>
      <c r="AB261" s="195"/>
      <c r="AC261" s="42"/>
      <c r="AD261" s="42"/>
      <c r="AE261" s="195"/>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42"/>
      <c r="BH261" s="42"/>
      <c r="BI261" s="42"/>
      <c r="BJ261" s="42"/>
      <c r="BK261" s="42"/>
      <c r="BL261" s="42"/>
      <c r="BM261" s="42"/>
      <c r="BN261" s="42"/>
      <c r="BO261" s="42"/>
      <c r="BP261" s="42"/>
      <c r="BQ261" s="42"/>
      <c r="BR261" s="42"/>
      <c r="BS261" s="42"/>
      <c r="BT261" s="42"/>
      <c r="BU261" s="42"/>
      <c r="BV261" s="42"/>
      <c r="BW261" s="42"/>
      <c r="BX261" s="42"/>
      <c r="BY261" s="42"/>
      <c r="BZ261" s="42"/>
      <c r="CA261" s="42"/>
      <c r="CB261" s="42"/>
      <c r="CC261" s="42"/>
      <c r="CD261" s="42"/>
      <c r="CE261" s="42"/>
      <c r="CF261" s="42"/>
      <c r="CG261" s="42"/>
      <c r="CH261" s="42"/>
      <c r="CI261" s="42"/>
      <c r="CJ261" s="42"/>
      <c r="CK261" s="42"/>
      <c r="CL261" s="42"/>
      <c r="CM261" s="42"/>
      <c r="CN261" s="42"/>
      <c r="CO261" s="42"/>
      <c r="CP261" s="42"/>
      <c r="CQ261" s="42"/>
      <c r="CR261" s="42"/>
      <c r="CS261" s="42"/>
      <c r="CT261" s="42"/>
      <c r="CU261" s="42"/>
      <c r="CV261" s="42"/>
      <c r="CW261" s="42"/>
      <c r="CX261" s="42"/>
      <c r="CY261" s="42"/>
      <c r="CZ261" s="42"/>
      <c r="DA261" s="42"/>
      <c r="DB261" s="42"/>
      <c r="DC261" s="42"/>
      <c r="DD261" s="42"/>
      <c r="DE261" s="42"/>
      <c r="DF261" s="42"/>
      <c r="DG261" s="42"/>
      <c r="DH261" s="42"/>
      <c r="DI261" s="42"/>
      <c r="DJ261" s="42"/>
      <c r="DK261" s="42"/>
      <c r="DL261" s="42"/>
      <c r="DM261" s="42"/>
      <c r="DN261" s="42"/>
      <c r="DO261" s="42"/>
      <c r="DP261" s="42"/>
      <c r="DQ261" s="42"/>
      <c r="DR261" s="42"/>
      <c r="DS261" s="42"/>
      <c r="DT261" s="42"/>
      <c r="DU261" s="42"/>
      <c r="DV261" s="42"/>
      <c r="DW261" s="42"/>
      <c r="DX261" s="42"/>
      <c r="DY261" s="42"/>
      <c r="DZ261" s="42"/>
      <c r="EA261" s="42"/>
      <c r="EB261" s="42"/>
      <c r="EC261" s="42"/>
      <c r="ED261" s="42"/>
      <c r="EE261" s="42"/>
      <c r="EF261" s="42"/>
      <c r="EG261" s="42"/>
      <c r="EH261" s="42"/>
      <c r="EI261" s="42"/>
      <c r="EJ261" s="42"/>
      <c r="EK261" s="42"/>
      <c r="EL261" s="42"/>
      <c r="EM261" s="42"/>
      <c r="EN261" s="42"/>
      <c r="EO261" s="42"/>
      <c r="EP261" s="42"/>
      <c r="EQ261" s="42"/>
      <c r="ER261" s="42"/>
      <c r="ES261" s="42"/>
      <c r="ET261" s="42"/>
      <c r="EU261" s="42"/>
      <c r="EV261" s="42"/>
      <c r="EW261" s="42"/>
      <c r="EX261" s="42"/>
      <c r="EY261" s="42"/>
      <c r="EZ261" s="42"/>
      <c r="FA261" s="42"/>
      <c r="FB261" s="42"/>
      <c r="FC261" s="42"/>
      <c r="FD261" s="42"/>
      <c r="FE261" s="42"/>
      <c r="FF261" s="42"/>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row>
    <row r="262" spans="1:256" ht="13.8" x14ac:dyDescent="0.3">
      <c r="A262" s="42"/>
      <c r="B262" s="42"/>
      <c r="C262" s="42"/>
      <c r="D262" s="42"/>
      <c r="E262" s="42"/>
      <c r="F262" s="42"/>
      <c r="G262" s="42"/>
      <c r="H262" s="42"/>
      <c r="I262" s="42"/>
      <c r="J262" s="42"/>
      <c r="K262" s="42"/>
      <c r="L262" s="42"/>
      <c r="M262" s="42"/>
      <c r="N262" s="42"/>
      <c r="O262" s="42"/>
      <c r="P262" s="42"/>
      <c r="Q262" s="42"/>
      <c r="R262" s="42"/>
      <c r="S262" s="42"/>
      <c r="T262" s="42"/>
      <c r="U262" s="194"/>
      <c r="V262" s="42"/>
      <c r="W262" s="42"/>
      <c r="X262" s="42"/>
      <c r="Y262" s="42"/>
      <c r="Z262" s="42"/>
      <c r="AA262" s="42"/>
      <c r="AB262" s="195"/>
      <c r="AC262" s="42"/>
      <c r="AD262" s="42"/>
      <c r="AE262" s="195"/>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42"/>
      <c r="BH262" s="42"/>
      <c r="BI262" s="42"/>
      <c r="BJ262" s="42"/>
      <c r="BK262" s="42"/>
      <c r="BL262" s="42"/>
      <c r="BM262" s="42"/>
      <c r="BN262" s="42"/>
      <c r="BO262" s="42"/>
      <c r="BP262" s="42"/>
      <c r="BQ262" s="42"/>
      <c r="BR262" s="42"/>
      <c r="BS262" s="42"/>
      <c r="BT262" s="42"/>
      <c r="BU262" s="42"/>
      <c r="BV262" s="42"/>
      <c r="BW262" s="42"/>
      <c r="BX262" s="42"/>
      <c r="BY262" s="42"/>
      <c r="BZ262" s="42"/>
      <c r="CA262" s="42"/>
      <c r="CB262" s="42"/>
      <c r="CC262" s="42"/>
      <c r="CD262" s="42"/>
      <c r="CE262" s="42"/>
      <c r="CF262" s="42"/>
      <c r="CG262" s="42"/>
      <c r="CH262" s="42"/>
      <c r="CI262" s="42"/>
      <c r="CJ262" s="42"/>
      <c r="CK262" s="42"/>
      <c r="CL262" s="42"/>
      <c r="CM262" s="42"/>
      <c r="CN262" s="42"/>
      <c r="CO262" s="42"/>
      <c r="CP262" s="42"/>
      <c r="CQ262" s="42"/>
      <c r="CR262" s="42"/>
      <c r="CS262" s="42"/>
      <c r="CT262" s="42"/>
      <c r="CU262" s="42"/>
      <c r="CV262" s="42"/>
      <c r="CW262" s="42"/>
      <c r="CX262" s="42"/>
      <c r="CY262" s="42"/>
      <c r="CZ262" s="42"/>
      <c r="DA262" s="42"/>
      <c r="DB262" s="42"/>
      <c r="DC262" s="42"/>
      <c r="DD262" s="42"/>
      <c r="DE262" s="42"/>
      <c r="DF262" s="42"/>
      <c r="DG262" s="42"/>
      <c r="DH262" s="42"/>
      <c r="DI262" s="42"/>
      <c r="DJ262" s="42"/>
      <c r="DK262" s="42"/>
      <c r="DL262" s="42"/>
      <c r="DM262" s="42"/>
      <c r="DN262" s="42"/>
      <c r="DO262" s="42"/>
      <c r="DP262" s="42"/>
      <c r="DQ262" s="42"/>
      <c r="DR262" s="42"/>
      <c r="DS262" s="42"/>
      <c r="DT262" s="42"/>
      <c r="DU262" s="42"/>
      <c r="DV262" s="42"/>
      <c r="DW262" s="42"/>
      <c r="DX262" s="42"/>
      <c r="DY262" s="42"/>
      <c r="DZ262" s="42"/>
      <c r="EA262" s="42"/>
      <c r="EB262" s="42"/>
      <c r="EC262" s="42"/>
      <c r="ED262" s="42"/>
      <c r="EE262" s="42"/>
      <c r="EF262" s="42"/>
      <c r="EG262" s="42"/>
      <c r="EH262" s="42"/>
      <c r="EI262" s="42"/>
      <c r="EJ262" s="42"/>
      <c r="EK262" s="42"/>
      <c r="EL262" s="42"/>
      <c r="EM262" s="42"/>
      <c r="EN262" s="42"/>
      <c r="EO262" s="42"/>
      <c r="EP262" s="42"/>
      <c r="EQ262" s="42"/>
      <c r="ER262" s="42"/>
      <c r="ES262" s="42"/>
      <c r="ET262" s="42"/>
      <c r="EU262" s="42"/>
      <c r="EV262" s="42"/>
      <c r="EW262" s="42"/>
      <c r="EX262" s="42"/>
      <c r="EY262" s="42"/>
      <c r="EZ262" s="42"/>
      <c r="FA262" s="42"/>
      <c r="FB262" s="42"/>
      <c r="FC262" s="42"/>
      <c r="FD262" s="42"/>
      <c r="FE262" s="42"/>
      <c r="FF262" s="42"/>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row>
    <row r="263" spans="1:256" ht="13.8" x14ac:dyDescent="0.3">
      <c r="A263" s="42"/>
      <c r="B263" s="42"/>
      <c r="C263" s="42"/>
      <c r="D263" s="42"/>
      <c r="E263" s="42"/>
      <c r="F263" s="42"/>
      <c r="G263" s="42"/>
      <c r="H263" s="42"/>
      <c r="I263" s="42"/>
      <c r="J263" s="42"/>
      <c r="K263" s="42"/>
      <c r="L263" s="42"/>
      <c r="M263" s="42"/>
      <c r="N263" s="42"/>
      <c r="O263" s="42"/>
      <c r="P263" s="42"/>
      <c r="Q263" s="42"/>
      <c r="R263" s="42"/>
      <c r="S263" s="42"/>
      <c r="T263" s="42"/>
      <c r="U263" s="194"/>
      <c r="V263" s="42"/>
      <c r="W263" s="42"/>
      <c r="X263" s="42"/>
      <c r="Y263" s="42"/>
      <c r="Z263" s="42"/>
      <c r="AA263" s="42"/>
      <c r="AB263" s="195"/>
      <c r="AC263" s="42"/>
      <c r="AD263" s="42"/>
      <c r="AE263" s="195"/>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2"/>
      <c r="BL263" s="42"/>
      <c r="BM263" s="42"/>
      <c r="BN263" s="42"/>
      <c r="BO263" s="42"/>
      <c r="BP263" s="42"/>
      <c r="BQ263" s="42"/>
      <c r="BR263" s="42"/>
      <c r="BS263" s="42"/>
      <c r="BT263" s="42"/>
      <c r="BU263" s="42"/>
      <c r="BV263" s="42"/>
      <c r="BW263" s="42"/>
      <c r="BX263" s="42"/>
      <c r="BY263" s="42"/>
      <c r="BZ263" s="42"/>
      <c r="CA263" s="42"/>
      <c r="CB263" s="42"/>
      <c r="CC263" s="42"/>
      <c r="CD263" s="42"/>
      <c r="CE263" s="42"/>
      <c r="CF263" s="42"/>
      <c r="CG263" s="42"/>
      <c r="CH263" s="42"/>
      <c r="CI263" s="42"/>
      <c r="CJ263" s="42"/>
      <c r="CK263" s="42"/>
      <c r="CL263" s="42"/>
      <c r="CM263" s="42"/>
      <c r="CN263" s="42"/>
      <c r="CO263" s="42"/>
      <c r="CP263" s="42"/>
      <c r="CQ263" s="42"/>
      <c r="CR263" s="42"/>
      <c r="CS263" s="42"/>
      <c r="CT263" s="42"/>
      <c r="CU263" s="42"/>
      <c r="CV263" s="42"/>
      <c r="CW263" s="42"/>
      <c r="CX263" s="42"/>
      <c r="CY263" s="42"/>
      <c r="CZ263" s="42"/>
      <c r="DA263" s="42"/>
      <c r="DB263" s="42"/>
      <c r="DC263" s="42"/>
      <c r="DD263" s="42"/>
      <c r="DE263" s="42"/>
      <c r="DF263" s="42"/>
      <c r="DG263" s="42"/>
      <c r="DH263" s="42"/>
      <c r="DI263" s="42"/>
      <c r="DJ263" s="42"/>
      <c r="DK263" s="42"/>
      <c r="DL263" s="42"/>
      <c r="DM263" s="42"/>
      <c r="DN263" s="42"/>
      <c r="DO263" s="42"/>
      <c r="DP263" s="42"/>
      <c r="DQ263" s="42"/>
      <c r="DR263" s="42"/>
      <c r="DS263" s="42"/>
      <c r="DT263" s="42"/>
      <c r="DU263" s="42"/>
      <c r="DV263" s="42"/>
      <c r="DW263" s="42"/>
      <c r="DX263" s="42"/>
      <c r="DY263" s="42"/>
      <c r="DZ263" s="42"/>
      <c r="EA263" s="42"/>
      <c r="EB263" s="42"/>
      <c r="EC263" s="42"/>
      <c r="ED263" s="42"/>
      <c r="EE263" s="42"/>
      <c r="EF263" s="42"/>
      <c r="EG263" s="42"/>
      <c r="EH263" s="42"/>
      <c r="EI263" s="42"/>
      <c r="EJ263" s="42"/>
      <c r="EK263" s="42"/>
      <c r="EL263" s="42"/>
      <c r="EM263" s="42"/>
      <c r="EN263" s="42"/>
      <c r="EO263" s="42"/>
      <c r="EP263" s="42"/>
      <c r="EQ263" s="42"/>
      <c r="ER263" s="42"/>
      <c r="ES263" s="42"/>
      <c r="ET263" s="42"/>
      <c r="EU263" s="42"/>
      <c r="EV263" s="42"/>
      <c r="EW263" s="42"/>
      <c r="EX263" s="42"/>
      <c r="EY263" s="42"/>
      <c r="EZ263" s="42"/>
      <c r="FA263" s="42"/>
      <c r="FB263" s="42"/>
      <c r="FC263" s="42"/>
      <c r="FD263" s="42"/>
      <c r="FE263" s="42"/>
      <c r="FF263" s="42"/>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row>
    <row r="264" spans="1:256" ht="13.8" x14ac:dyDescent="0.3">
      <c r="A264" s="42"/>
      <c r="B264" s="42"/>
      <c r="C264" s="42"/>
      <c r="D264" s="42"/>
      <c r="E264" s="42"/>
      <c r="F264" s="42"/>
      <c r="G264" s="42"/>
      <c r="H264" s="42"/>
      <c r="I264" s="42"/>
      <c r="J264" s="42"/>
      <c r="K264" s="42"/>
      <c r="L264" s="42"/>
      <c r="M264" s="42"/>
      <c r="N264" s="42"/>
      <c r="O264" s="42"/>
      <c r="P264" s="42"/>
      <c r="Q264" s="42"/>
      <c r="R264" s="42"/>
      <c r="S264" s="42"/>
      <c r="T264" s="42"/>
      <c r="U264" s="194"/>
      <c r="V264" s="42"/>
      <c r="W264" s="42"/>
      <c r="X264" s="42"/>
      <c r="Y264" s="42"/>
      <c r="Z264" s="42"/>
      <c r="AA264" s="42"/>
      <c r="AB264" s="195"/>
      <c r="AC264" s="42"/>
      <c r="AD264" s="42"/>
      <c r="AE264" s="195"/>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42"/>
      <c r="BH264" s="42"/>
      <c r="BI264" s="42"/>
      <c r="BJ264" s="42"/>
      <c r="BK264" s="42"/>
      <c r="BL264" s="42"/>
      <c r="BM264" s="42"/>
      <c r="BN264" s="42"/>
      <c r="BO264" s="42"/>
      <c r="BP264" s="42"/>
      <c r="BQ264" s="42"/>
      <c r="BR264" s="42"/>
      <c r="BS264" s="42"/>
      <c r="BT264" s="42"/>
      <c r="BU264" s="42"/>
      <c r="BV264" s="42"/>
      <c r="BW264" s="42"/>
      <c r="BX264" s="42"/>
      <c r="BY264" s="42"/>
      <c r="BZ264" s="42"/>
      <c r="CA264" s="42"/>
      <c r="CB264" s="42"/>
      <c r="CC264" s="42"/>
      <c r="CD264" s="42"/>
      <c r="CE264" s="42"/>
      <c r="CF264" s="42"/>
      <c r="CG264" s="42"/>
      <c r="CH264" s="42"/>
      <c r="CI264" s="42"/>
      <c r="CJ264" s="42"/>
      <c r="CK264" s="42"/>
      <c r="CL264" s="42"/>
      <c r="CM264" s="42"/>
      <c r="CN264" s="42"/>
      <c r="CO264" s="42"/>
      <c r="CP264" s="42"/>
      <c r="CQ264" s="42"/>
      <c r="CR264" s="42"/>
      <c r="CS264" s="42"/>
      <c r="CT264" s="42"/>
      <c r="CU264" s="42"/>
      <c r="CV264" s="42"/>
      <c r="CW264" s="42"/>
      <c r="CX264" s="42"/>
      <c r="CY264" s="42"/>
      <c r="CZ264" s="42"/>
      <c r="DA264" s="42"/>
      <c r="DB264" s="42"/>
      <c r="DC264" s="42"/>
      <c r="DD264" s="42"/>
      <c r="DE264" s="42"/>
      <c r="DF264" s="42"/>
      <c r="DG264" s="42"/>
      <c r="DH264" s="42"/>
      <c r="DI264" s="42"/>
      <c r="DJ264" s="42"/>
      <c r="DK264" s="42"/>
      <c r="DL264" s="42"/>
      <c r="DM264" s="42"/>
      <c r="DN264" s="42"/>
      <c r="DO264" s="42"/>
      <c r="DP264" s="42"/>
      <c r="DQ264" s="42"/>
      <c r="DR264" s="42"/>
      <c r="DS264" s="42"/>
      <c r="DT264" s="42"/>
      <c r="DU264" s="42"/>
      <c r="DV264" s="42"/>
      <c r="DW264" s="42"/>
      <c r="DX264" s="42"/>
      <c r="DY264" s="42"/>
      <c r="DZ264" s="42"/>
      <c r="EA264" s="42"/>
      <c r="EB264" s="42"/>
      <c r="EC264" s="42"/>
      <c r="ED264" s="42"/>
      <c r="EE264" s="42"/>
      <c r="EF264" s="42"/>
      <c r="EG264" s="42"/>
      <c r="EH264" s="42"/>
      <c r="EI264" s="42"/>
      <c r="EJ264" s="42"/>
      <c r="EK264" s="42"/>
      <c r="EL264" s="42"/>
      <c r="EM264" s="42"/>
      <c r="EN264" s="42"/>
      <c r="EO264" s="42"/>
      <c r="EP264" s="42"/>
      <c r="EQ264" s="42"/>
      <c r="ER264" s="42"/>
      <c r="ES264" s="42"/>
      <c r="ET264" s="42"/>
      <c r="EU264" s="42"/>
      <c r="EV264" s="42"/>
      <c r="EW264" s="42"/>
      <c r="EX264" s="42"/>
      <c r="EY264" s="42"/>
      <c r="EZ264" s="42"/>
      <c r="FA264" s="42"/>
      <c r="FB264" s="42"/>
      <c r="FC264" s="42"/>
      <c r="FD264" s="42"/>
      <c r="FE264" s="42"/>
      <c r="FF264" s="42"/>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row>
    <row r="265" spans="1:256" ht="13.8" x14ac:dyDescent="0.3">
      <c r="A265" s="42"/>
      <c r="B265" s="42"/>
      <c r="C265" s="42"/>
      <c r="D265" s="42"/>
      <c r="E265" s="42"/>
      <c r="F265" s="42"/>
      <c r="G265" s="42"/>
      <c r="H265" s="42"/>
      <c r="I265" s="42"/>
      <c r="J265" s="42"/>
      <c r="K265" s="42"/>
      <c r="L265" s="42"/>
      <c r="M265" s="42"/>
      <c r="N265" s="42"/>
      <c r="O265" s="42"/>
      <c r="P265" s="42"/>
      <c r="Q265" s="42"/>
      <c r="R265" s="42"/>
      <c r="S265" s="42"/>
      <c r="T265" s="42"/>
      <c r="U265" s="194"/>
      <c r="V265" s="42"/>
      <c r="W265" s="42"/>
      <c r="X265" s="42"/>
      <c r="Y265" s="42"/>
      <c r="Z265" s="42"/>
      <c r="AA265" s="42"/>
      <c r="AB265" s="195"/>
      <c r="AC265" s="42"/>
      <c r="AD265" s="42"/>
      <c r="AE265" s="195"/>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42"/>
      <c r="BH265" s="42"/>
      <c r="BI265" s="42"/>
      <c r="BJ265" s="42"/>
      <c r="BK265" s="42"/>
      <c r="BL265" s="42"/>
      <c r="BM265" s="42"/>
      <c r="BN265" s="42"/>
      <c r="BO265" s="42"/>
      <c r="BP265" s="42"/>
      <c r="BQ265" s="42"/>
      <c r="BR265" s="42"/>
      <c r="BS265" s="42"/>
      <c r="BT265" s="42"/>
      <c r="BU265" s="42"/>
      <c r="BV265" s="42"/>
      <c r="BW265" s="42"/>
      <c r="BX265" s="42"/>
      <c r="BY265" s="42"/>
      <c r="BZ265" s="42"/>
      <c r="CA265" s="42"/>
      <c r="CB265" s="42"/>
      <c r="CC265" s="42"/>
      <c r="CD265" s="42"/>
      <c r="CE265" s="42"/>
      <c r="CF265" s="42"/>
      <c r="CG265" s="42"/>
      <c r="CH265" s="42"/>
      <c r="CI265" s="42"/>
      <c r="CJ265" s="42"/>
      <c r="CK265" s="42"/>
      <c r="CL265" s="42"/>
      <c r="CM265" s="42"/>
      <c r="CN265" s="42"/>
      <c r="CO265" s="42"/>
      <c r="CP265" s="42"/>
      <c r="CQ265" s="42"/>
      <c r="CR265" s="42"/>
      <c r="CS265" s="42"/>
      <c r="CT265" s="42"/>
      <c r="CU265" s="42"/>
      <c r="CV265" s="42"/>
      <c r="CW265" s="42"/>
      <c r="CX265" s="42"/>
      <c r="CY265" s="42"/>
      <c r="CZ265" s="42"/>
      <c r="DA265" s="42"/>
      <c r="DB265" s="42"/>
      <c r="DC265" s="42"/>
      <c r="DD265" s="42"/>
      <c r="DE265" s="42"/>
      <c r="DF265" s="42"/>
      <c r="DG265" s="42"/>
      <c r="DH265" s="42"/>
      <c r="DI265" s="42"/>
      <c r="DJ265" s="42"/>
      <c r="DK265" s="42"/>
      <c r="DL265" s="42"/>
      <c r="DM265" s="42"/>
      <c r="DN265" s="42"/>
      <c r="DO265" s="42"/>
      <c r="DP265" s="42"/>
      <c r="DQ265" s="42"/>
      <c r="DR265" s="42"/>
      <c r="DS265" s="42"/>
      <c r="DT265" s="42"/>
      <c r="DU265" s="42"/>
      <c r="DV265" s="42"/>
      <c r="DW265" s="42"/>
      <c r="DX265" s="42"/>
      <c r="DY265" s="42"/>
      <c r="DZ265" s="42"/>
      <c r="EA265" s="42"/>
      <c r="EB265" s="42"/>
      <c r="EC265" s="42"/>
      <c r="ED265" s="42"/>
      <c r="EE265" s="42"/>
      <c r="EF265" s="42"/>
      <c r="EG265" s="42"/>
      <c r="EH265" s="42"/>
      <c r="EI265" s="42"/>
      <c r="EJ265" s="42"/>
      <c r="EK265" s="42"/>
      <c r="EL265" s="42"/>
      <c r="EM265" s="42"/>
      <c r="EN265" s="42"/>
      <c r="EO265" s="42"/>
      <c r="EP265" s="42"/>
      <c r="EQ265" s="42"/>
      <c r="ER265" s="42"/>
      <c r="ES265" s="42"/>
      <c r="ET265" s="42"/>
      <c r="EU265" s="42"/>
      <c r="EV265" s="42"/>
      <c r="EW265" s="42"/>
      <c r="EX265" s="42"/>
      <c r="EY265" s="42"/>
      <c r="EZ265" s="42"/>
      <c r="FA265" s="42"/>
      <c r="FB265" s="42"/>
      <c r="FC265" s="42"/>
      <c r="FD265" s="42"/>
      <c r="FE265" s="42"/>
      <c r="FF265" s="42"/>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row>
    <row r="266" spans="1:256" ht="13.8" x14ac:dyDescent="0.3">
      <c r="A266" s="42"/>
      <c r="B266" s="42"/>
      <c r="C266" s="42"/>
      <c r="D266" s="42"/>
      <c r="E266" s="42"/>
      <c r="F266" s="42"/>
      <c r="G266" s="42"/>
      <c r="H266" s="42"/>
      <c r="I266" s="42"/>
      <c r="J266" s="42"/>
      <c r="K266" s="42"/>
      <c r="L266" s="42"/>
      <c r="M266" s="42"/>
      <c r="N266" s="42"/>
      <c r="O266" s="42"/>
      <c r="P266" s="42"/>
      <c r="Q266" s="42"/>
      <c r="R266" s="42"/>
      <c r="S266" s="42"/>
      <c r="T266" s="42"/>
      <c r="U266" s="194"/>
      <c r="V266" s="42"/>
      <c r="W266" s="42"/>
      <c r="X266" s="42"/>
      <c r="Y266" s="42"/>
      <c r="Z266" s="42"/>
      <c r="AA266" s="42"/>
      <c r="AB266" s="195"/>
      <c r="AC266" s="42"/>
      <c r="AD266" s="42"/>
      <c r="AE266" s="195"/>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row>
    <row r="267" spans="1:256" ht="13.8" x14ac:dyDescent="0.3">
      <c r="A267" s="42"/>
      <c r="B267" s="42"/>
      <c r="C267" s="42"/>
      <c r="D267" s="42"/>
      <c r="E267" s="42"/>
      <c r="F267" s="42"/>
      <c r="G267" s="42"/>
      <c r="H267" s="42"/>
      <c r="I267" s="42"/>
      <c r="J267" s="42"/>
      <c r="K267" s="42"/>
      <c r="L267" s="42"/>
      <c r="M267" s="42"/>
      <c r="N267" s="42"/>
      <c r="O267" s="42"/>
      <c r="P267" s="42"/>
      <c r="Q267" s="42"/>
      <c r="R267" s="42"/>
      <c r="S267" s="42"/>
      <c r="T267" s="42"/>
      <c r="U267" s="194"/>
      <c r="V267" s="42"/>
      <c r="W267" s="42"/>
      <c r="X267" s="42"/>
      <c r="Y267" s="42"/>
      <c r="Z267" s="42"/>
      <c r="AA267" s="42"/>
      <c r="AB267" s="195"/>
      <c r="AC267" s="42"/>
      <c r="AD267" s="42"/>
      <c r="AE267" s="195"/>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row>
    <row r="268" spans="1:256" ht="13.8" x14ac:dyDescent="0.3">
      <c r="A268" s="42"/>
      <c r="B268" s="42"/>
      <c r="C268" s="42"/>
      <c r="D268" s="42"/>
      <c r="E268" s="42"/>
      <c r="F268" s="42"/>
      <c r="G268" s="42"/>
      <c r="H268" s="42"/>
      <c r="I268" s="42"/>
      <c r="J268" s="42"/>
      <c r="K268" s="42"/>
      <c r="L268" s="42"/>
      <c r="M268" s="42"/>
      <c r="N268" s="42"/>
      <c r="O268" s="42"/>
      <c r="P268" s="42"/>
      <c r="Q268" s="42"/>
      <c r="R268" s="42"/>
      <c r="S268" s="42"/>
      <c r="T268" s="42"/>
      <c r="U268" s="194"/>
      <c r="V268" s="42"/>
      <c r="W268" s="42"/>
      <c r="X268" s="42"/>
      <c r="Y268" s="42"/>
      <c r="Z268" s="42"/>
      <c r="AA268" s="42"/>
      <c r="AB268" s="195"/>
      <c r="AC268" s="42"/>
      <c r="AD268" s="42"/>
      <c r="AE268" s="195"/>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row>
    <row r="269" spans="1:256" ht="13.8" x14ac:dyDescent="0.3">
      <c r="A269" s="42"/>
      <c r="B269" s="42"/>
      <c r="C269" s="42"/>
      <c r="D269" s="42"/>
      <c r="E269" s="42"/>
      <c r="F269" s="42"/>
      <c r="G269" s="42"/>
      <c r="H269" s="42"/>
      <c r="I269" s="42"/>
      <c r="J269" s="42"/>
      <c r="K269" s="42"/>
      <c r="L269" s="42"/>
      <c r="M269" s="42"/>
      <c r="N269" s="42"/>
      <c r="O269" s="42"/>
      <c r="P269" s="42"/>
      <c r="Q269" s="42"/>
      <c r="R269" s="42"/>
      <c r="S269" s="42"/>
      <c r="T269" s="42"/>
      <c r="U269" s="194"/>
      <c r="V269" s="42"/>
      <c r="W269" s="42"/>
      <c r="X269" s="42"/>
      <c r="Y269" s="42"/>
      <c r="Z269" s="42"/>
      <c r="AA269" s="42"/>
      <c r="AB269" s="195"/>
      <c r="AC269" s="42"/>
      <c r="AD269" s="42"/>
      <c r="AE269" s="195"/>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row>
    <row r="270" spans="1:256" ht="13.8" x14ac:dyDescent="0.3">
      <c r="A270" s="42"/>
      <c r="B270" s="42"/>
      <c r="C270" s="42"/>
      <c r="D270" s="42"/>
      <c r="E270" s="42"/>
      <c r="F270" s="42"/>
      <c r="G270" s="42"/>
      <c r="H270" s="42"/>
      <c r="I270" s="42"/>
      <c r="J270" s="42"/>
      <c r="K270" s="42"/>
      <c r="L270" s="42"/>
      <c r="M270" s="42"/>
      <c r="N270" s="42"/>
      <c r="O270" s="42"/>
      <c r="P270" s="42"/>
      <c r="Q270" s="42"/>
      <c r="R270" s="42"/>
      <c r="S270" s="42"/>
      <c r="T270" s="42"/>
      <c r="U270" s="194"/>
      <c r="V270" s="42"/>
      <c r="W270" s="42"/>
      <c r="X270" s="42"/>
      <c r="Y270" s="42"/>
      <c r="Z270" s="42"/>
      <c r="AA270" s="42"/>
      <c r="AB270" s="195"/>
      <c r="AC270" s="42"/>
      <c r="AD270" s="42"/>
      <c r="AE270" s="195"/>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row>
    <row r="271" spans="1:256" ht="13.8" x14ac:dyDescent="0.3">
      <c r="A271" s="42"/>
      <c r="B271" s="42"/>
      <c r="C271" s="42"/>
      <c r="D271" s="42"/>
      <c r="E271" s="42"/>
      <c r="F271" s="42"/>
      <c r="G271" s="42"/>
      <c r="H271" s="42"/>
      <c r="I271" s="42"/>
      <c r="J271" s="42"/>
      <c r="K271" s="42"/>
      <c r="L271" s="42"/>
      <c r="M271" s="42"/>
      <c r="N271" s="42"/>
      <c r="O271" s="42"/>
      <c r="P271" s="42"/>
      <c r="Q271" s="42"/>
      <c r="R271" s="42"/>
      <c r="S271" s="42"/>
      <c r="T271" s="42"/>
      <c r="U271" s="194"/>
      <c r="V271" s="42"/>
      <c r="W271" s="42"/>
      <c r="X271" s="42"/>
      <c r="Y271" s="42"/>
      <c r="Z271" s="42"/>
      <c r="AA271" s="42"/>
      <c r="AB271" s="195"/>
      <c r="AC271" s="42"/>
      <c r="AD271" s="42"/>
      <c r="AE271" s="195"/>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row>
    <row r="272" spans="1:256" ht="13.8" x14ac:dyDescent="0.3">
      <c r="A272" s="42"/>
      <c r="B272" s="42"/>
      <c r="C272" s="42"/>
      <c r="D272" s="42"/>
      <c r="E272" s="42"/>
      <c r="F272" s="42"/>
      <c r="G272" s="42"/>
      <c r="H272" s="42"/>
      <c r="I272" s="42"/>
      <c r="J272" s="42"/>
      <c r="K272" s="42"/>
      <c r="L272" s="42"/>
      <c r="M272" s="42"/>
      <c r="N272" s="42"/>
      <c r="O272" s="42"/>
      <c r="P272" s="42"/>
      <c r="Q272" s="42"/>
      <c r="R272" s="42"/>
      <c r="S272" s="42"/>
      <c r="T272" s="42"/>
      <c r="U272" s="194"/>
      <c r="V272" s="42"/>
      <c r="W272" s="42"/>
      <c r="X272" s="42"/>
      <c r="Y272" s="42"/>
      <c r="Z272" s="42"/>
      <c r="AA272" s="42"/>
      <c r="AB272" s="195"/>
      <c r="AC272" s="42"/>
      <c r="AD272" s="42"/>
      <c r="AE272" s="195"/>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row>
    <row r="273" spans="1:256" ht="13.8" x14ac:dyDescent="0.3">
      <c r="A273" s="42"/>
      <c r="B273" s="42"/>
      <c r="C273" s="42"/>
      <c r="D273" s="42"/>
      <c r="E273" s="42"/>
      <c r="F273" s="42"/>
      <c r="G273" s="42"/>
      <c r="H273" s="42"/>
      <c r="I273" s="42"/>
      <c r="J273" s="42"/>
      <c r="K273" s="42"/>
      <c r="L273" s="42"/>
      <c r="M273" s="42"/>
      <c r="N273" s="42"/>
      <c r="O273" s="42"/>
      <c r="P273" s="42"/>
      <c r="Q273" s="42"/>
      <c r="R273" s="42"/>
      <c r="S273" s="42"/>
      <c r="T273" s="42"/>
      <c r="U273" s="194"/>
      <c r="V273" s="42"/>
      <c r="W273" s="42"/>
      <c r="X273" s="42"/>
      <c r="Y273" s="42"/>
      <c r="Z273" s="42"/>
      <c r="AA273" s="42"/>
      <c r="AB273" s="195"/>
      <c r="AC273" s="42"/>
      <c r="AD273" s="42"/>
      <c r="AE273" s="195"/>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row>
    <row r="274" spans="1:256" ht="13.8" x14ac:dyDescent="0.3">
      <c r="A274" s="42"/>
      <c r="B274" s="42"/>
      <c r="C274" s="42"/>
      <c r="D274" s="42"/>
      <c r="E274" s="42"/>
      <c r="F274" s="42"/>
      <c r="G274" s="42"/>
      <c r="H274" s="42"/>
      <c r="I274" s="42"/>
      <c r="J274" s="42"/>
      <c r="K274" s="42"/>
      <c r="L274" s="42"/>
      <c r="M274" s="42"/>
      <c r="N274" s="42"/>
      <c r="O274" s="42"/>
      <c r="P274" s="42"/>
      <c r="Q274" s="42"/>
      <c r="R274" s="42"/>
      <c r="S274" s="42"/>
      <c r="T274" s="42"/>
      <c r="U274" s="194"/>
      <c r="V274" s="42"/>
      <c r="W274" s="42"/>
      <c r="X274" s="42"/>
      <c r="Y274" s="42"/>
      <c r="Z274" s="42"/>
      <c r="AA274" s="42"/>
      <c r="AB274" s="195"/>
      <c r="AC274" s="42"/>
      <c r="AD274" s="42"/>
      <c r="AE274" s="195"/>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row>
    <row r="275" spans="1:256" ht="13.8" x14ac:dyDescent="0.3">
      <c r="A275" s="42"/>
      <c r="B275" s="42"/>
      <c r="C275" s="42"/>
      <c r="D275" s="42"/>
      <c r="E275" s="42"/>
      <c r="F275" s="42"/>
      <c r="G275" s="42"/>
      <c r="H275" s="42"/>
      <c r="I275" s="42"/>
      <c r="J275" s="42"/>
      <c r="K275" s="42"/>
      <c r="L275" s="42"/>
      <c r="M275" s="42"/>
      <c r="N275" s="42"/>
      <c r="O275" s="42"/>
      <c r="P275" s="42"/>
      <c r="Q275" s="42"/>
      <c r="R275" s="42"/>
      <c r="S275" s="42"/>
      <c r="T275" s="42"/>
      <c r="U275" s="194"/>
      <c r="V275" s="42"/>
      <c r="W275" s="42"/>
      <c r="X275" s="42"/>
      <c r="Y275" s="42"/>
      <c r="Z275" s="42"/>
      <c r="AA275" s="42"/>
      <c r="AB275" s="195"/>
      <c r="AC275" s="42"/>
      <c r="AD275" s="42"/>
      <c r="AE275" s="195"/>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row>
    <row r="276" spans="1:256" ht="13.8" x14ac:dyDescent="0.3">
      <c r="A276" s="42"/>
      <c r="B276" s="42"/>
      <c r="C276" s="42"/>
      <c r="D276" s="42"/>
      <c r="E276" s="42"/>
      <c r="F276" s="42"/>
      <c r="G276" s="42"/>
      <c r="H276" s="42"/>
      <c r="I276" s="42"/>
      <c r="J276" s="42"/>
      <c r="K276" s="42"/>
      <c r="L276" s="42"/>
      <c r="M276" s="42"/>
      <c r="N276" s="42"/>
      <c r="O276" s="42"/>
      <c r="P276" s="42"/>
      <c r="Q276" s="42"/>
      <c r="R276" s="42"/>
      <c r="S276" s="42"/>
      <c r="T276" s="42"/>
      <c r="U276" s="194"/>
      <c r="V276" s="42"/>
      <c r="W276" s="42"/>
      <c r="X276" s="42"/>
      <c r="Y276" s="42"/>
      <c r="Z276" s="42"/>
      <c r="AA276" s="42"/>
      <c r="AB276" s="195"/>
      <c r="AC276" s="42"/>
      <c r="AD276" s="42"/>
      <c r="AE276" s="195"/>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row>
    <row r="277" spans="1:256" ht="13.8" x14ac:dyDescent="0.3">
      <c r="A277" s="42"/>
      <c r="B277" s="42"/>
      <c r="C277" s="42"/>
      <c r="D277" s="42"/>
      <c r="E277" s="42"/>
      <c r="F277" s="42"/>
      <c r="G277" s="42"/>
      <c r="H277" s="42"/>
      <c r="I277" s="42"/>
      <c r="J277" s="42"/>
      <c r="K277" s="42"/>
      <c r="L277" s="42"/>
      <c r="M277" s="42"/>
      <c r="N277" s="42"/>
      <c r="O277" s="42"/>
      <c r="P277" s="42"/>
      <c r="Q277" s="42"/>
      <c r="R277" s="42"/>
      <c r="S277" s="42"/>
      <c r="T277" s="42"/>
      <c r="U277" s="194"/>
      <c r="V277" s="42"/>
      <c r="W277" s="42"/>
      <c r="X277" s="42"/>
      <c r="Y277" s="42"/>
      <c r="Z277" s="42"/>
      <c r="AA277" s="42"/>
      <c r="AB277" s="195"/>
      <c r="AC277" s="42"/>
      <c r="AD277" s="42"/>
      <c r="AE277" s="195"/>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row>
    <row r="278" spans="1:256" ht="13.8" x14ac:dyDescent="0.3">
      <c r="A278" s="42"/>
      <c r="B278" s="42"/>
      <c r="C278" s="42"/>
      <c r="D278" s="42"/>
      <c r="E278" s="42"/>
      <c r="F278" s="42"/>
      <c r="G278" s="42"/>
      <c r="H278" s="42"/>
      <c r="I278" s="42"/>
      <c r="J278" s="42"/>
      <c r="K278" s="42"/>
      <c r="L278" s="42"/>
      <c r="M278" s="42"/>
      <c r="N278" s="42"/>
      <c r="O278" s="42"/>
      <c r="P278" s="42"/>
      <c r="Q278" s="42"/>
      <c r="R278" s="42"/>
      <c r="S278" s="42"/>
      <c r="T278" s="42"/>
      <c r="U278" s="194"/>
      <c r="V278" s="42"/>
      <c r="W278" s="42"/>
      <c r="X278" s="42"/>
      <c r="Y278" s="42"/>
      <c r="Z278" s="42"/>
      <c r="AA278" s="42"/>
      <c r="AB278" s="195"/>
      <c r="AC278" s="42"/>
      <c r="AD278" s="42"/>
      <c r="AE278" s="195"/>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row>
    <row r="279" spans="1:256" ht="13.8" x14ac:dyDescent="0.3">
      <c r="A279" s="42"/>
      <c r="B279" s="42"/>
      <c r="C279" s="42"/>
      <c r="D279" s="42"/>
      <c r="E279" s="42"/>
      <c r="F279" s="42"/>
      <c r="G279" s="42"/>
      <c r="H279" s="42"/>
      <c r="I279" s="42"/>
      <c r="J279" s="42"/>
      <c r="K279" s="42"/>
      <c r="L279" s="42"/>
      <c r="M279" s="42"/>
      <c r="N279" s="42"/>
      <c r="O279" s="42"/>
      <c r="P279" s="42"/>
      <c r="Q279" s="42"/>
      <c r="R279" s="42"/>
      <c r="S279" s="42"/>
      <c r="T279" s="42"/>
      <c r="U279" s="194"/>
      <c r="V279" s="42"/>
      <c r="W279" s="42"/>
      <c r="X279" s="42"/>
      <c r="Y279" s="42"/>
      <c r="Z279" s="42"/>
      <c r="AA279" s="42"/>
      <c r="AB279" s="195"/>
      <c r="AC279" s="42"/>
      <c r="AD279" s="42"/>
      <c r="AE279" s="195"/>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row>
    <row r="280" spans="1:256" ht="13.8" x14ac:dyDescent="0.3">
      <c r="A280" s="42"/>
      <c r="B280" s="42"/>
      <c r="C280" s="42"/>
      <c r="D280" s="42"/>
      <c r="E280" s="42"/>
      <c r="F280" s="42"/>
      <c r="G280" s="42"/>
      <c r="H280" s="42"/>
      <c r="I280" s="42"/>
      <c r="J280" s="42"/>
      <c r="K280" s="42"/>
      <c r="L280" s="42"/>
      <c r="M280" s="42"/>
      <c r="N280" s="42"/>
      <c r="O280" s="42"/>
      <c r="P280" s="42"/>
      <c r="Q280" s="42"/>
      <c r="R280" s="42"/>
      <c r="S280" s="42"/>
      <c r="T280" s="42"/>
      <c r="U280" s="194"/>
      <c r="V280" s="42"/>
      <c r="W280" s="42"/>
      <c r="X280" s="42"/>
      <c r="Y280" s="42"/>
      <c r="Z280" s="42"/>
      <c r="AA280" s="42"/>
      <c r="AB280" s="195"/>
      <c r="AC280" s="42"/>
      <c r="AD280" s="42"/>
      <c r="AE280" s="195"/>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row>
    <row r="281" spans="1:256" ht="13.8" x14ac:dyDescent="0.3">
      <c r="A281" s="42"/>
      <c r="B281" s="42"/>
      <c r="C281" s="42"/>
      <c r="D281" s="42"/>
      <c r="E281" s="42"/>
      <c r="F281" s="42"/>
      <c r="G281" s="42"/>
      <c r="H281" s="42"/>
      <c r="I281" s="42"/>
      <c r="J281" s="42"/>
      <c r="K281" s="42"/>
      <c r="L281" s="42"/>
      <c r="M281" s="42"/>
      <c r="N281" s="42"/>
      <c r="O281" s="42"/>
      <c r="P281" s="42"/>
      <c r="Q281" s="42"/>
      <c r="R281" s="42"/>
      <c r="S281" s="42"/>
      <c r="T281" s="42"/>
      <c r="U281" s="194"/>
      <c r="V281" s="42"/>
      <c r="W281" s="42"/>
      <c r="X281" s="42"/>
      <c r="Y281" s="42"/>
      <c r="Z281" s="42"/>
      <c r="AA281" s="42"/>
      <c r="AB281" s="195"/>
      <c r="AC281" s="42"/>
      <c r="AD281" s="42"/>
      <c r="AE281" s="195"/>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row>
    <row r="282" spans="1:256" ht="13.8" x14ac:dyDescent="0.3">
      <c r="A282" s="42"/>
      <c r="B282" s="42"/>
      <c r="C282" s="42"/>
      <c r="D282" s="42"/>
      <c r="E282" s="42"/>
      <c r="F282" s="42"/>
      <c r="G282" s="42"/>
      <c r="H282" s="42"/>
      <c r="I282" s="42"/>
      <c r="J282" s="42"/>
      <c r="K282" s="42"/>
      <c r="L282" s="42"/>
      <c r="M282" s="42"/>
      <c r="N282" s="42"/>
      <c r="O282" s="42"/>
      <c r="P282" s="42"/>
      <c r="Q282" s="42"/>
      <c r="R282" s="42"/>
      <c r="S282" s="42"/>
      <c r="T282" s="42"/>
      <c r="U282" s="194"/>
      <c r="V282" s="42"/>
      <c r="W282" s="42"/>
      <c r="X282" s="42"/>
      <c r="Y282" s="42"/>
      <c r="Z282" s="42"/>
      <c r="AA282" s="42"/>
      <c r="AB282" s="195"/>
      <c r="AC282" s="42"/>
      <c r="AD282" s="42"/>
      <c r="AE282" s="195"/>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row>
    <row r="283" spans="1:256" ht="13.8" x14ac:dyDescent="0.3">
      <c r="A283" s="42"/>
      <c r="B283" s="42"/>
      <c r="C283" s="42"/>
      <c r="D283" s="42"/>
      <c r="E283" s="42"/>
      <c r="F283" s="42"/>
      <c r="G283" s="42"/>
      <c r="H283" s="42"/>
      <c r="I283" s="42"/>
      <c r="J283" s="42"/>
      <c r="K283" s="42"/>
      <c r="L283" s="42"/>
      <c r="M283" s="42"/>
      <c r="N283" s="42"/>
      <c r="O283" s="42"/>
      <c r="P283" s="42"/>
      <c r="Q283" s="42"/>
      <c r="R283" s="42"/>
      <c r="S283" s="42"/>
      <c r="T283" s="42"/>
      <c r="U283" s="194"/>
      <c r="V283" s="42"/>
      <c r="W283" s="42"/>
      <c r="X283" s="42"/>
      <c r="Y283" s="42"/>
      <c r="Z283" s="42"/>
      <c r="AA283" s="42"/>
      <c r="AB283" s="195"/>
      <c r="AC283" s="42"/>
      <c r="AD283" s="42"/>
      <c r="AE283" s="195"/>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row>
    <row r="284" spans="1:256" ht="13.8" x14ac:dyDescent="0.3">
      <c r="A284" s="42"/>
      <c r="B284" s="42"/>
      <c r="C284" s="42"/>
      <c r="D284" s="42"/>
      <c r="E284" s="42"/>
      <c r="F284" s="42"/>
      <c r="G284" s="42"/>
      <c r="H284" s="42"/>
      <c r="I284" s="42"/>
      <c r="J284" s="42"/>
      <c r="K284" s="42"/>
      <c r="L284" s="42"/>
      <c r="M284" s="42"/>
      <c r="N284" s="42"/>
      <c r="O284" s="42"/>
      <c r="P284" s="42"/>
      <c r="Q284" s="42"/>
      <c r="R284" s="42"/>
      <c r="S284" s="42"/>
      <c r="T284" s="42"/>
      <c r="U284" s="194"/>
      <c r="V284" s="42"/>
      <c r="W284" s="42"/>
      <c r="X284" s="42"/>
      <c r="Y284" s="42"/>
      <c r="Z284" s="42"/>
      <c r="AA284" s="42"/>
      <c r="AB284" s="195"/>
      <c r="AC284" s="42"/>
      <c r="AD284" s="42"/>
      <c r="AE284" s="195"/>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row>
    <row r="285" spans="1:256" ht="13.8" x14ac:dyDescent="0.3">
      <c r="A285" s="42"/>
      <c r="B285" s="42"/>
      <c r="C285" s="42"/>
      <c r="D285" s="42"/>
      <c r="E285" s="42"/>
      <c r="F285" s="42"/>
      <c r="G285" s="42"/>
      <c r="H285" s="42"/>
      <c r="I285" s="42"/>
      <c r="J285" s="42"/>
      <c r="K285" s="42"/>
      <c r="L285" s="42"/>
      <c r="M285" s="42"/>
      <c r="N285" s="42"/>
      <c r="O285" s="42"/>
      <c r="P285" s="42"/>
      <c r="Q285" s="42"/>
      <c r="R285" s="42"/>
      <c r="S285" s="42"/>
      <c r="T285" s="42"/>
      <c r="U285" s="194"/>
      <c r="V285" s="42"/>
      <c r="W285" s="42"/>
      <c r="X285" s="42"/>
      <c r="Y285" s="42"/>
      <c r="Z285" s="42"/>
      <c r="AA285" s="42"/>
      <c r="AB285" s="195"/>
      <c r="AC285" s="42"/>
      <c r="AD285" s="42"/>
      <c r="AE285" s="195"/>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row>
    <row r="286" spans="1:256" ht="13.8" x14ac:dyDescent="0.3">
      <c r="A286" s="42"/>
      <c r="B286" s="42"/>
      <c r="C286" s="42"/>
      <c r="D286" s="42"/>
      <c r="E286" s="42"/>
      <c r="F286" s="42"/>
      <c r="G286" s="42"/>
      <c r="H286" s="42"/>
      <c r="I286" s="42"/>
      <c r="J286" s="42"/>
      <c r="K286" s="42"/>
      <c r="L286" s="42"/>
      <c r="M286" s="42"/>
      <c r="N286" s="42"/>
      <c r="O286" s="42"/>
      <c r="P286" s="42"/>
      <c r="Q286" s="42"/>
      <c r="R286" s="42"/>
      <c r="S286" s="42"/>
      <c r="T286" s="42"/>
      <c r="U286" s="194"/>
      <c r="V286" s="42"/>
      <c r="W286" s="42"/>
      <c r="X286" s="42"/>
      <c r="Y286" s="42"/>
      <c r="Z286" s="42"/>
      <c r="AA286" s="42"/>
      <c r="AB286" s="195"/>
      <c r="AC286" s="42"/>
      <c r="AD286" s="42"/>
      <c r="AE286" s="195"/>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row>
    <row r="287" spans="1:256" ht="13.8" x14ac:dyDescent="0.3">
      <c r="A287" s="42"/>
      <c r="B287" s="42"/>
      <c r="C287" s="42"/>
      <c r="D287" s="42"/>
      <c r="E287" s="42"/>
      <c r="F287" s="42"/>
      <c r="G287" s="42"/>
      <c r="H287" s="42"/>
      <c r="I287" s="42"/>
      <c r="J287" s="42"/>
      <c r="K287" s="42"/>
      <c r="L287" s="42"/>
      <c r="M287" s="42"/>
      <c r="N287" s="42"/>
      <c r="O287" s="42"/>
      <c r="P287" s="42"/>
      <c r="Q287" s="42"/>
      <c r="R287" s="42"/>
      <c r="S287" s="42"/>
      <c r="T287" s="42"/>
      <c r="U287" s="194"/>
      <c r="V287" s="42"/>
      <c r="W287" s="42"/>
      <c r="X287" s="42"/>
      <c r="Y287" s="42"/>
      <c r="Z287" s="42"/>
      <c r="AA287" s="42"/>
      <c r="AB287" s="195"/>
      <c r="AC287" s="42"/>
      <c r="AD287" s="42"/>
      <c r="AE287" s="195"/>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row>
    <row r="288" spans="1:256" ht="13.8" x14ac:dyDescent="0.3">
      <c r="A288" s="42"/>
      <c r="B288" s="42"/>
      <c r="C288" s="42"/>
      <c r="D288" s="42"/>
      <c r="E288" s="42"/>
      <c r="F288" s="42"/>
      <c r="G288" s="42"/>
      <c r="H288" s="42"/>
      <c r="I288" s="42"/>
      <c r="J288" s="42"/>
      <c r="K288" s="42"/>
      <c r="L288" s="42"/>
      <c r="M288" s="42"/>
      <c r="N288" s="42"/>
      <c r="O288" s="42"/>
      <c r="P288" s="42"/>
      <c r="Q288" s="42"/>
      <c r="R288" s="42"/>
      <c r="S288" s="42"/>
      <c r="T288" s="42"/>
      <c r="U288" s="194"/>
      <c r="V288" s="42"/>
      <c r="W288" s="42"/>
      <c r="X288" s="42"/>
      <c r="Y288" s="42"/>
      <c r="Z288" s="42"/>
      <c r="AA288" s="42"/>
      <c r="AB288" s="195"/>
      <c r="AC288" s="42"/>
      <c r="AD288" s="42"/>
      <c r="AE288" s="195"/>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row>
    <row r="289" spans="1:256" ht="13.8" x14ac:dyDescent="0.3">
      <c r="A289" s="42"/>
      <c r="B289" s="42"/>
      <c r="C289" s="42"/>
      <c r="D289" s="42"/>
      <c r="E289" s="42"/>
      <c r="F289" s="42"/>
      <c r="G289" s="42"/>
      <c r="H289" s="42"/>
      <c r="I289" s="42"/>
      <c r="J289" s="42"/>
      <c r="K289" s="42"/>
      <c r="L289" s="42"/>
      <c r="M289" s="42"/>
      <c r="N289" s="42"/>
      <c r="O289" s="42"/>
      <c r="P289" s="42"/>
      <c r="Q289" s="42"/>
      <c r="R289" s="42"/>
      <c r="S289" s="42"/>
      <c r="T289" s="42"/>
      <c r="U289" s="194"/>
      <c r="V289" s="42"/>
      <c r="W289" s="42"/>
      <c r="X289" s="42"/>
      <c r="Y289" s="42"/>
      <c r="Z289" s="42"/>
      <c r="AA289" s="42"/>
      <c r="AB289" s="195"/>
      <c r="AC289" s="42"/>
      <c r="AD289" s="42"/>
      <c r="AE289" s="195"/>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row>
    <row r="290" spans="1:256" ht="13.8" x14ac:dyDescent="0.3">
      <c r="A290" s="42"/>
      <c r="B290" s="42"/>
      <c r="C290" s="42"/>
      <c r="D290" s="42"/>
      <c r="E290" s="42"/>
      <c r="F290" s="42"/>
      <c r="G290" s="42"/>
      <c r="H290" s="42"/>
      <c r="I290" s="42"/>
      <c r="J290" s="42"/>
      <c r="K290" s="42"/>
      <c r="L290" s="42"/>
      <c r="M290" s="42"/>
      <c r="N290" s="42"/>
      <c r="O290" s="42"/>
      <c r="P290" s="42"/>
      <c r="Q290" s="42"/>
      <c r="R290" s="42"/>
      <c r="S290" s="42"/>
      <c r="T290" s="42"/>
      <c r="U290" s="194"/>
      <c r="V290" s="42"/>
      <c r="W290" s="42"/>
      <c r="X290" s="42"/>
      <c r="Y290" s="42"/>
      <c r="Z290" s="42"/>
      <c r="AA290" s="42"/>
      <c r="AB290" s="195"/>
      <c r="AC290" s="42"/>
      <c r="AD290" s="42"/>
      <c r="AE290" s="195"/>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row>
    <row r="291" spans="1:256" ht="13.8" x14ac:dyDescent="0.3">
      <c r="A291" s="42"/>
      <c r="B291" s="42"/>
      <c r="C291" s="42"/>
      <c r="D291" s="42"/>
      <c r="E291" s="42"/>
      <c r="F291" s="42"/>
      <c r="G291" s="42"/>
      <c r="H291" s="42"/>
      <c r="I291" s="42"/>
      <c r="J291" s="42"/>
      <c r="K291" s="42"/>
      <c r="L291" s="42"/>
      <c r="M291" s="42"/>
      <c r="N291" s="42"/>
      <c r="O291" s="42"/>
      <c r="P291" s="42"/>
      <c r="Q291" s="42"/>
      <c r="R291" s="42"/>
      <c r="S291" s="42"/>
      <c r="T291" s="42"/>
      <c r="U291" s="194"/>
      <c r="V291" s="42"/>
      <c r="W291" s="42"/>
      <c r="X291" s="42"/>
      <c r="Y291" s="42"/>
      <c r="Z291" s="42"/>
      <c r="AA291" s="42"/>
      <c r="AB291" s="195"/>
      <c r="AC291" s="42"/>
      <c r="AD291" s="42"/>
      <c r="AE291" s="195"/>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row>
    <row r="292" spans="1:256" ht="13.8" x14ac:dyDescent="0.3">
      <c r="A292" s="42"/>
      <c r="B292" s="42"/>
      <c r="C292" s="42"/>
      <c r="D292" s="42"/>
      <c r="E292" s="42"/>
      <c r="F292" s="42"/>
      <c r="G292" s="42"/>
      <c r="H292" s="42"/>
      <c r="I292" s="42"/>
      <c r="J292" s="42"/>
      <c r="K292" s="42"/>
      <c r="L292" s="42"/>
      <c r="M292" s="42"/>
      <c r="N292" s="42"/>
      <c r="O292" s="42"/>
      <c r="P292" s="42"/>
      <c r="Q292" s="42"/>
      <c r="R292" s="42"/>
      <c r="S292" s="42"/>
      <c r="T292" s="42"/>
      <c r="U292" s="194"/>
      <c r="V292" s="42"/>
      <c r="W292" s="42"/>
      <c r="X292" s="42"/>
      <c r="Y292" s="42"/>
      <c r="Z292" s="42"/>
      <c r="AA292" s="42"/>
      <c r="AB292" s="195"/>
      <c r="AC292" s="42"/>
      <c r="AD292" s="42"/>
      <c r="AE292" s="195"/>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row>
    <row r="293" spans="1:256" ht="13.8" x14ac:dyDescent="0.3">
      <c r="A293" s="42"/>
      <c r="B293" s="42"/>
      <c r="C293" s="42"/>
      <c r="D293" s="42"/>
      <c r="E293" s="42"/>
      <c r="F293" s="42"/>
      <c r="G293" s="42"/>
      <c r="H293" s="42"/>
      <c r="I293" s="42"/>
      <c r="J293" s="42"/>
      <c r="K293" s="42"/>
      <c r="L293" s="42"/>
      <c r="M293" s="42"/>
      <c r="N293" s="42"/>
      <c r="O293" s="42"/>
      <c r="P293" s="42"/>
      <c r="Q293" s="42"/>
      <c r="R293" s="42"/>
      <c r="S293" s="42"/>
      <c r="T293" s="42"/>
      <c r="U293" s="194"/>
      <c r="V293" s="42"/>
      <c r="W293" s="42"/>
      <c r="X293" s="42"/>
      <c r="Y293" s="42"/>
      <c r="Z293" s="42"/>
      <c r="AA293" s="42"/>
      <c r="AB293" s="195"/>
      <c r="AC293" s="42"/>
      <c r="AD293" s="42"/>
      <c r="AE293" s="195"/>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row>
    <row r="294" spans="1:256" ht="13.8" x14ac:dyDescent="0.3">
      <c r="A294" s="42"/>
      <c r="B294" s="42"/>
      <c r="C294" s="42"/>
      <c r="D294" s="42"/>
      <c r="E294" s="42"/>
      <c r="F294" s="42"/>
      <c r="G294" s="42"/>
      <c r="H294" s="42"/>
      <c r="I294" s="42"/>
      <c r="J294" s="42"/>
      <c r="K294" s="42"/>
      <c r="L294" s="42"/>
      <c r="M294" s="42"/>
      <c r="N294" s="42"/>
      <c r="O294" s="42"/>
      <c r="P294" s="42"/>
      <c r="Q294" s="42"/>
      <c r="R294" s="42"/>
      <c r="S294" s="42"/>
      <c r="T294" s="42"/>
      <c r="U294" s="194"/>
      <c r="V294" s="42"/>
      <c r="W294" s="42"/>
      <c r="X294" s="42"/>
      <c r="Y294" s="42"/>
      <c r="Z294" s="42"/>
      <c r="AA294" s="42"/>
      <c r="AB294" s="195"/>
      <c r="AC294" s="42"/>
      <c r="AD294" s="42"/>
      <c r="AE294" s="195"/>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row>
    <row r="295" spans="1:256" ht="13.8" x14ac:dyDescent="0.3">
      <c r="A295" s="42"/>
      <c r="B295" s="42"/>
      <c r="C295" s="42"/>
      <c r="D295" s="42"/>
      <c r="E295" s="42"/>
      <c r="F295" s="42"/>
      <c r="G295" s="42"/>
      <c r="H295" s="42"/>
      <c r="I295" s="42"/>
      <c r="J295" s="42"/>
      <c r="K295" s="42"/>
      <c r="L295" s="42"/>
      <c r="M295" s="42"/>
      <c r="N295" s="42"/>
      <c r="O295" s="42"/>
      <c r="P295" s="42"/>
      <c r="Q295" s="42"/>
      <c r="R295" s="42"/>
      <c r="S295" s="42"/>
      <c r="T295" s="42"/>
      <c r="U295" s="194"/>
      <c r="V295" s="42"/>
      <c r="W295" s="42"/>
      <c r="X295" s="42"/>
      <c r="Y295" s="42"/>
      <c r="Z295" s="42"/>
      <c r="AA295" s="42"/>
      <c r="AB295" s="195"/>
      <c r="AC295" s="42"/>
      <c r="AD295" s="42"/>
      <c r="AE295" s="195"/>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row>
    <row r="296" spans="1:256" ht="13.8" x14ac:dyDescent="0.3">
      <c r="A296" s="42"/>
      <c r="B296" s="42"/>
      <c r="C296" s="42"/>
      <c r="D296" s="42"/>
      <c r="E296" s="42"/>
      <c r="F296" s="42"/>
      <c r="G296" s="42"/>
      <c r="H296" s="42"/>
      <c r="I296" s="42"/>
      <c r="J296" s="42"/>
      <c r="K296" s="42"/>
      <c r="L296" s="42"/>
      <c r="M296" s="42"/>
      <c r="N296" s="42"/>
      <c r="O296" s="42"/>
      <c r="P296" s="42"/>
      <c r="Q296" s="42"/>
      <c r="R296" s="42"/>
      <c r="S296" s="42"/>
      <c r="T296" s="42"/>
      <c r="U296" s="194"/>
      <c r="V296" s="42"/>
      <c r="W296" s="42"/>
      <c r="X296" s="42"/>
      <c r="Y296" s="42"/>
      <c r="Z296" s="42"/>
      <c r="AA296" s="42"/>
      <c r="AB296" s="195"/>
      <c r="AC296" s="42"/>
      <c r="AD296" s="42"/>
      <c r="AE296" s="195"/>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row>
    <row r="297" spans="1:256" ht="13.8" x14ac:dyDescent="0.3">
      <c r="A297" s="42"/>
      <c r="B297" s="42"/>
      <c r="C297" s="42"/>
      <c r="D297" s="42"/>
      <c r="E297" s="42"/>
      <c r="F297" s="42"/>
      <c r="G297" s="42"/>
      <c r="H297" s="42"/>
      <c r="I297" s="42"/>
      <c r="J297" s="42"/>
      <c r="K297" s="42"/>
      <c r="L297" s="42"/>
      <c r="M297" s="42"/>
      <c r="N297" s="42"/>
      <c r="O297" s="42"/>
      <c r="P297" s="42"/>
      <c r="Q297" s="42"/>
      <c r="R297" s="42"/>
      <c r="S297" s="42"/>
      <c r="T297" s="42"/>
      <c r="U297" s="194"/>
      <c r="V297" s="42"/>
      <c r="W297" s="42"/>
      <c r="X297" s="42"/>
      <c r="Y297" s="42"/>
      <c r="Z297" s="42"/>
      <c r="AA297" s="42"/>
      <c r="AB297" s="195"/>
      <c r="AC297" s="42"/>
      <c r="AD297" s="42"/>
      <c r="AE297" s="195"/>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row>
    <row r="298" spans="1:256" ht="13.8" x14ac:dyDescent="0.3">
      <c r="A298" s="42"/>
      <c r="B298" s="42"/>
      <c r="C298" s="42"/>
      <c r="D298" s="42"/>
      <c r="E298" s="42"/>
      <c r="F298" s="42"/>
      <c r="G298" s="42"/>
      <c r="H298" s="42"/>
      <c r="I298" s="42"/>
      <c r="J298" s="42"/>
      <c r="K298" s="42"/>
      <c r="L298" s="42"/>
      <c r="M298" s="42"/>
      <c r="N298" s="42"/>
      <c r="O298" s="42"/>
      <c r="P298" s="42"/>
      <c r="Q298" s="42"/>
      <c r="R298" s="42"/>
      <c r="S298" s="42"/>
      <c r="T298" s="42"/>
      <c r="U298" s="194"/>
      <c r="V298" s="42"/>
      <c r="W298" s="42"/>
      <c r="X298" s="42"/>
      <c r="Y298" s="42"/>
      <c r="Z298" s="42"/>
      <c r="AA298" s="42"/>
      <c r="AB298" s="195"/>
      <c r="AC298" s="42"/>
      <c r="AD298" s="42"/>
      <c r="AE298" s="195"/>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row>
    <row r="299" spans="1:256" ht="13.8" x14ac:dyDescent="0.3">
      <c r="A299" s="42"/>
      <c r="B299" s="42"/>
      <c r="C299" s="42"/>
      <c r="D299" s="42"/>
      <c r="E299" s="42"/>
      <c r="F299" s="42"/>
      <c r="G299" s="42"/>
      <c r="H299" s="42"/>
      <c r="I299" s="42"/>
      <c r="J299" s="42"/>
      <c r="K299" s="42"/>
      <c r="L299" s="42"/>
      <c r="M299" s="42"/>
      <c r="N299" s="42"/>
      <c r="O299" s="42"/>
      <c r="P299" s="42"/>
      <c r="Q299" s="42"/>
      <c r="R299" s="42"/>
      <c r="S299" s="42"/>
      <c r="T299" s="42"/>
      <c r="U299" s="194"/>
      <c r="V299" s="42"/>
      <c r="W299" s="42"/>
      <c r="X299" s="42"/>
      <c r="Y299" s="42"/>
      <c r="Z299" s="42"/>
      <c r="AA299" s="42"/>
      <c r="AB299" s="195"/>
      <c r="AC299" s="42"/>
      <c r="AD299" s="42"/>
      <c r="AE299" s="195"/>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row>
    <row r="300" spans="1:256" ht="13.8" x14ac:dyDescent="0.3">
      <c r="A300" s="42"/>
      <c r="B300" s="42"/>
      <c r="C300" s="42"/>
      <c r="D300" s="42"/>
      <c r="E300" s="42"/>
      <c r="F300" s="42"/>
      <c r="G300" s="42"/>
      <c r="H300" s="42"/>
      <c r="I300" s="42"/>
      <c r="J300" s="42"/>
      <c r="K300" s="42"/>
      <c r="L300" s="42"/>
      <c r="M300" s="42"/>
      <c r="N300" s="42"/>
      <c r="O300" s="42"/>
      <c r="P300" s="42"/>
      <c r="Q300" s="42"/>
      <c r="R300" s="42"/>
      <c r="S300" s="42"/>
      <c r="T300" s="42"/>
      <c r="U300" s="194"/>
      <c r="V300" s="42"/>
      <c r="W300" s="42"/>
      <c r="X300" s="42"/>
      <c r="Y300" s="42"/>
      <c r="Z300" s="42"/>
      <c r="AA300" s="42"/>
      <c r="AB300" s="195"/>
      <c r="AC300" s="42"/>
      <c r="AD300" s="42"/>
      <c r="AE300" s="195"/>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row>
    <row r="301" spans="1:256" ht="13.8" x14ac:dyDescent="0.3">
      <c r="A301" s="42"/>
      <c r="B301" s="42"/>
      <c r="C301" s="42"/>
      <c r="D301" s="42"/>
      <c r="E301" s="42"/>
      <c r="F301" s="42"/>
      <c r="G301" s="42"/>
      <c r="H301" s="42"/>
      <c r="I301" s="42"/>
      <c r="J301" s="42"/>
      <c r="K301" s="42"/>
      <c r="L301" s="42"/>
      <c r="M301" s="42"/>
      <c r="N301" s="42"/>
      <c r="O301" s="42"/>
      <c r="P301" s="42"/>
      <c r="Q301" s="42"/>
      <c r="R301" s="42"/>
      <c r="S301" s="42"/>
      <c r="T301" s="42"/>
      <c r="U301" s="194"/>
      <c r="V301" s="42"/>
      <c r="W301" s="42"/>
      <c r="X301" s="42"/>
      <c r="Y301" s="42"/>
      <c r="Z301" s="42"/>
      <c r="AA301" s="42"/>
      <c r="AB301" s="195"/>
      <c r="AC301" s="42"/>
      <c r="AD301" s="42"/>
      <c r="AE301" s="195"/>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row>
    <row r="302" spans="1:256" ht="13.8" x14ac:dyDescent="0.3">
      <c r="A302" s="42"/>
      <c r="B302" s="42"/>
      <c r="C302" s="42"/>
      <c r="D302" s="42"/>
      <c r="E302" s="42"/>
      <c r="F302" s="42"/>
      <c r="G302" s="42"/>
      <c r="H302" s="42"/>
      <c r="I302" s="42"/>
      <c r="J302" s="42"/>
      <c r="K302" s="42"/>
      <c r="L302" s="42"/>
      <c r="M302" s="42"/>
      <c r="N302" s="42"/>
      <c r="O302" s="42"/>
      <c r="P302" s="42"/>
      <c r="Q302" s="42"/>
      <c r="R302" s="42"/>
      <c r="S302" s="42"/>
      <c r="T302" s="42"/>
      <c r="U302" s="194"/>
      <c r="V302" s="42"/>
      <c r="W302" s="42"/>
      <c r="X302" s="42"/>
      <c r="Y302" s="42"/>
      <c r="Z302" s="42"/>
      <c r="AA302" s="42"/>
      <c r="AB302" s="195"/>
      <c r="AC302" s="42"/>
      <c r="AD302" s="42"/>
      <c r="AE302" s="195"/>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row>
    <row r="303" spans="1:256" ht="13.8" x14ac:dyDescent="0.3">
      <c r="A303" s="42"/>
      <c r="B303" s="42"/>
      <c r="C303" s="42"/>
      <c r="D303" s="42"/>
      <c r="E303" s="42"/>
      <c r="F303" s="42"/>
      <c r="G303" s="42"/>
      <c r="H303" s="42"/>
      <c r="I303" s="42"/>
      <c r="J303" s="42"/>
      <c r="K303" s="42"/>
      <c r="L303" s="42"/>
      <c r="M303" s="42"/>
      <c r="N303" s="42"/>
      <c r="O303" s="42"/>
      <c r="P303" s="42"/>
      <c r="Q303" s="42"/>
      <c r="R303" s="42"/>
      <c r="S303" s="42"/>
      <c r="T303" s="42"/>
      <c r="U303" s="194"/>
      <c r="V303" s="42"/>
      <c r="W303" s="42"/>
      <c r="X303" s="42"/>
      <c r="Y303" s="42"/>
      <c r="Z303" s="42"/>
      <c r="AA303" s="42"/>
      <c r="AB303" s="195"/>
      <c r="AC303" s="42"/>
      <c r="AD303" s="42"/>
      <c r="AE303" s="195"/>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row>
    <row r="304" spans="1:256" ht="13.8" x14ac:dyDescent="0.3">
      <c r="A304" s="42"/>
      <c r="B304" s="42"/>
      <c r="C304" s="42"/>
      <c r="D304" s="42"/>
      <c r="E304" s="42"/>
      <c r="F304" s="42"/>
      <c r="G304" s="42"/>
      <c r="H304" s="42"/>
      <c r="I304" s="42"/>
      <c r="J304" s="42"/>
      <c r="K304" s="42"/>
      <c r="L304" s="42"/>
      <c r="M304" s="42"/>
      <c r="N304" s="42"/>
      <c r="O304" s="42"/>
      <c r="P304" s="42"/>
      <c r="Q304" s="42"/>
      <c r="R304" s="42"/>
      <c r="S304" s="42"/>
      <c r="T304" s="42"/>
      <c r="U304" s="194"/>
      <c r="V304" s="42"/>
      <c r="W304" s="42"/>
      <c r="X304" s="42"/>
      <c r="Y304" s="42"/>
      <c r="Z304" s="42"/>
      <c r="AA304" s="42"/>
      <c r="AB304" s="195"/>
      <c r="AC304" s="42"/>
      <c r="AD304" s="42"/>
      <c r="AE304" s="195"/>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row>
    <row r="305" spans="1:256" ht="13.8" x14ac:dyDescent="0.3">
      <c r="A305" s="42"/>
      <c r="B305" s="42"/>
      <c r="C305" s="42"/>
      <c r="D305" s="42"/>
      <c r="E305" s="42"/>
      <c r="F305" s="42"/>
      <c r="G305" s="42"/>
      <c r="H305" s="42"/>
      <c r="I305" s="42"/>
      <c r="J305" s="42"/>
      <c r="K305" s="42"/>
      <c r="L305" s="42"/>
      <c r="M305" s="42"/>
      <c r="N305" s="42"/>
      <c r="O305" s="42"/>
      <c r="P305" s="42"/>
      <c r="Q305" s="42"/>
      <c r="R305" s="42"/>
      <c r="S305" s="42"/>
      <c r="T305" s="42"/>
      <c r="U305" s="194"/>
      <c r="V305" s="42"/>
      <c r="W305" s="42"/>
      <c r="X305" s="42"/>
      <c r="Y305" s="42"/>
      <c r="Z305" s="42"/>
      <c r="AA305" s="42"/>
      <c r="AB305" s="195"/>
      <c r="AC305" s="42"/>
      <c r="AD305" s="42"/>
      <c r="AE305" s="195"/>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row>
    <row r="306" spans="1:256" ht="13.8" x14ac:dyDescent="0.3">
      <c r="A306" s="42"/>
      <c r="B306" s="42"/>
      <c r="C306" s="42"/>
      <c r="D306" s="42"/>
      <c r="E306" s="42"/>
      <c r="F306" s="42"/>
      <c r="G306" s="42"/>
      <c r="H306" s="42"/>
      <c r="I306" s="42"/>
      <c r="J306" s="42"/>
      <c r="K306" s="42"/>
      <c r="L306" s="42"/>
      <c r="M306" s="42"/>
      <c r="N306" s="42"/>
      <c r="O306" s="42"/>
      <c r="P306" s="42"/>
      <c r="Q306" s="42"/>
      <c r="R306" s="42"/>
      <c r="S306" s="42"/>
      <c r="T306" s="42"/>
      <c r="U306" s="194"/>
      <c r="V306" s="42"/>
      <c r="W306" s="42"/>
      <c r="X306" s="42"/>
      <c r="Y306" s="42"/>
      <c r="Z306" s="42"/>
      <c r="AA306" s="42"/>
      <c r="AB306" s="195"/>
      <c r="AC306" s="42"/>
      <c r="AD306" s="42"/>
      <c r="AE306" s="195"/>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row>
    <row r="307" spans="1:256" ht="13.8" x14ac:dyDescent="0.3">
      <c r="A307" s="42"/>
      <c r="B307" s="42"/>
      <c r="C307" s="42"/>
      <c r="D307" s="42"/>
      <c r="E307" s="42"/>
      <c r="F307" s="42"/>
      <c r="G307" s="42"/>
      <c r="H307" s="42"/>
      <c r="I307" s="42"/>
      <c r="J307" s="42"/>
      <c r="K307" s="42"/>
      <c r="L307" s="42"/>
      <c r="M307" s="42"/>
      <c r="N307" s="42"/>
      <c r="O307" s="42"/>
      <c r="P307" s="42"/>
      <c r="Q307" s="42"/>
      <c r="R307" s="42"/>
      <c r="S307" s="42"/>
      <c r="T307" s="42"/>
      <c r="U307" s="194"/>
      <c r="V307" s="42"/>
      <c r="W307" s="42"/>
      <c r="X307" s="42"/>
      <c r="Y307" s="42"/>
      <c r="Z307" s="42"/>
      <c r="AA307" s="42"/>
      <c r="AB307" s="195"/>
      <c r="AC307" s="42"/>
      <c r="AD307" s="42"/>
      <c r="AE307" s="195"/>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row>
    <row r="308" spans="1:256" ht="13.8" x14ac:dyDescent="0.3">
      <c r="A308" s="42"/>
      <c r="B308" s="42"/>
      <c r="C308" s="42"/>
      <c r="D308" s="42"/>
      <c r="E308" s="42"/>
      <c r="F308" s="42"/>
      <c r="G308" s="42"/>
      <c r="H308" s="42"/>
      <c r="I308" s="42"/>
      <c r="J308" s="42"/>
      <c r="K308" s="42"/>
      <c r="L308" s="42"/>
      <c r="M308" s="42"/>
      <c r="N308" s="42"/>
      <c r="O308" s="42"/>
      <c r="P308" s="42"/>
      <c r="Q308" s="42"/>
      <c r="R308" s="42"/>
      <c r="S308" s="42"/>
      <c r="T308" s="42"/>
      <c r="U308" s="194"/>
      <c r="V308" s="42"/>
      <c r="W308" s="42"/>
      <c r="X308" s="42"/>
      <c r="Y308" s="42"/>
      <c r="Z308" s="42"/>
      <c r="AA308" s="42"/>
      <c r="AB308" s="195"/>
      <c r="AC308" s="42"/>
      <c r="AD308" s="42"/>
      <c r="AE308" s="195"/>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row>
    <row r="309" spans="1:256" ht="13.8" x14ac:dyDescent="0.3">
      <c r="A309" s="42"/>
      <c r="B309" s="42"/>
      <c r="C309" s="42"/>
      <c r="D309" s="42"/>
      <c r="E309" s="42"/>
      <c r="F309" s="42"/>
      <c r="G309" s="42"/>
      <c r="H309" s="42"/>
      <c r="I309" s="42"/>
      <c r="J309" s="42"/>
      <c r="K309" s="42"/>
      <c r="L309" s="42"/>
      <c r="M309" s="42"/>
      <c r="N309" s="42"/>
      <c r="O309" s="42"/>
      <c r="P309" s="42"/>
      <c r="Q309" s="42"/>
      <c r="R309" s="42"/>
      <c r="S309" s="42"/>
      <c r="T309" s="42"/>
      <c r="U309" s="194"/>
      <c r="V309" s="42"/>
      <c r="W309" s="42"/>
      <c r="X309" s="42"/>
      <c r="Y309" s="42"/>
      <c r="Z309" s="42"/>
      <c r="AA309" s="42"/>
      <c r="AB309" s="195"/>
      <c r="AC309" s="42"/>
      <c r="AD309" s="42"/>
      <c r="AE309" s="195"/>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row>
    <row r="310" spans="1:256" ht="13.8" x14ac:dyDescent="0.3">
      <c r="A310" s="42"/>
      <c r="B310" s="42"/>
      <c r="C310" s="42"/>
      <c r="D310" s="42"/>
      <c r="E310" s="42"/>
      <c r="F310" s="42"/>
      <c r="G310" s="42"/>
      <c r="H310" s="42"/>
      <c r="I310" s="42"/>
      <c r="J310" s="42"/>
      <c r="K310" s="42"/>
      <c r="L310" s="42"/>
      <c r="M310" s="42"/>
      <c r="N310" s="42"/>
      <c r="O310" s="42"/>
      <c r="P310" s="42"/>
      <c r="Q310" s="42"/>
      <c r="R310" s="42"/>
      <c r="S310" s="42"/>
      <c r="T310" s="42"/>
      <c r="U310" s="194"/>
      <c r="V310" s="42"/>
      <c r="W310" s="42"/>
      <c r="X310" s="42"/>
      <c r="Y310" s="42"/>
      <c r="Z310" s="42"/>
      <c r="AA310" s="42"/>
      <c r="AB310" s="195"/>
      <c r="AC310" s="42"/>
      <c r="AD310" s="42"/>
      <c r="AE310" s="195"/>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row>
    <row r="311" spans="1:256" ht="13.8" x14ac:dyDescent="0.3">
      <c r="A311" s="42"/>
      <c r="B311" s="42"/>
      <c r="C311" s="42"/>
      <c r="D311" s="42"/>
      <c r="E311" s="42"/>
      <c r="F311" s="42"/>
      <c r="G311" s="42"/>
      <c r="H311" s="42"/>
      <c r="I311" s="42"/>
      <c r="J311" s="42"/>
      <c r="K311" s="42"/>
      <c r="L311" s="42"/>
      <c r="M311" s="42"/>
      <c r="N311" s="42"/>
      <c r="O311" s="42"/>
      <c r="P311" s="42"/>
      <c r="Q311" s="42"/>
      <c r="R311" s="42"/>
      <c r="S311" s="42"/>
      <c r="T311" s="42"/>
      <c r="U311" s="194"/>
      <c r="V311" s="42"/>
      <c r="W311" s="42"/>
      <c r="X311" s="42"/>
      <c r="Y311" s="42"/>
      <c r="Z311" s="42"/>
      <c r="AA311" s="42"/>
      <c r="AB311" s="195"/>
      <c r="AC311" s="42"/>
      <c r="AD311" s="42"/>
      <c r="AE311" s="195"/>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row>
    <row r="312" spans="1:256" ht="13.8" x14ac:dyDescent="0.3">
      <c r="A312" s="42"/>
      <c r="B312" s="42"/>
      <c r="C312" s="42"/>
      <c r="D312" s="42"/>
      <c r="E312" s="42"/>
      <c r="F312" s="42"/>
      <c r="G312" s="42"/>
      <c r="H312" s="42"/>
      <c r="I312" s="42"/>
      <c r="J312" s="42"/>
      <c r="K312" s="42"/>
      <c r="L312" s="42"/>
      <c r="M312" s="42"/>
      <c r="N312" s="42"/>
      <c r="O312" s="42"/>
      <c r="P312" s="42"/>
      <c r="Q312" s="42"/>
      <c r="R312" s="42"/>
      <c r="S312" s="42"/>
      <c r="T312" s="42"/>
      <c r="U312" s="194"/>
      <c r="V312" s="42"/>
      <c r="W312" s="42"/>
      <c r="X312" s="42"/>
      <c r="Y312" s="42"/>
      <c r="Z312" s="42"/>
      <c r="AA312" s="42"/>
      <c r="AB312" s="195"/>
      <c r="AC312" s="42"/>
      <c r="AD312" s="42"/>
      <c r="AE312" s="195"/>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row>
    <row r="313" spans="1:256" ht="13.8" x14ac:dyDescent="0.3">
      <c r="A313" s="42"/>
      <c r="B313" s="42"/>
      <c r="C313" s="42"/>
      <c r="D313" s="42"/>
      <c r="E313" s="42"/>
      <c r="F313" s="42"/>
      <c r="G313" s="42"/>
      <c r="H313" s="42"/>
      <c r="I313" s="42"/>
      <c r="J313" s="42"/>
      <c r="K313" s="42"/>
      <c r="L313" s="42"/>
      <c r="M313" s="42"/>
      <c r="N313" s="42"/>
      <c r="O313" s="42"/>
      <c r="P313" s="42"/>
      <c r="Q313" s="42"/>
      <c r="R313" s="42"/>
      <c r="S313" s="42"/>
      <c r="T313" s="42"/>
      <c r="U313" s="194"/>
      <c r="V313" s="42"/>
      <c r="W313" s="42"/>
      <c r="X313" s="42"/>
      <c r="Y313" s="42"/>
      <c r="Z313" s="42"/>
      <c r="AA313" s="42"/>
      <c r="AB313" s="195"/>
      <c r="AC313" s="42"/>
      <c r="AD313" s="42"/>
      <c r="AE313" s="195"/>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row>
    <row r="314" spans="1:256" ht="13.8" x14ac:dyDescent="0.3">
      <c r="A314" s="42"/>
      <c r="B314" s="42"/>
      <c r="C314" s="42"/>
      <c r="D314" s="42"/>
      <c r="E314" s="42"/>
      <c r="F314" s="42"/>
      <c r="G314" s="42"/>
      <c r="H314" s="42"/>
      <c r="I314" s="42"/>
      <c r="J314" s="42"/>
      <c r="K314" s="42"/>
      <c r="L314" s="42"/>
      <c r="M314" s="42"/>
      <c r="N314" s="42"/>
      <c r="O314" s="42"/>
      <c r="P314" s="42"/>
      <c r="Q314" s="42"/>
      <c r="R314" s="42"/>
      <c r="S314" s="42"/>
      <c r="T314" s="42"/>
      <c r="U314" s="194"/>
      <c r="V314" s="42"/>
      <c r="W314" s="42"/>
      <c r="X314" s="42"/>
      <c r="Y314" s="42"/>
      <c r="Z314" s="42"/>
      <c r="AA314" s="42"/>
      <c r="AB314" s="195"/>
      <c r="AC314" s="42"/>
      <c r="AD314" s="42"/>
      <c r="AE314" s="195"/>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row>
    <row r="315" spans="1:256" ht="13.8" x14ac:dyDescent="0.3">
      <c r="A315" s="42"/>
      <c r="B315" s="42"/>
      <c r="C315" s="42"/>
      <c r="D315" s="42"/>
      <c r="E315" s="42"/>
      <c r="F315" s="42"/>
      <c r="G315" s="42"/>
      <c r="H315" s="42"/>
      <c r="I315" s="42"/>
      <c r="J315" s="42"/>
      <c r="K315" s="42"/>
      <c r="L315" s="42"/>
      <c r="M315" s="42"/>
      <c r="N315" s="42"/>
      <c r="O315" s="42"/>
      <c r="P315" s="42"/>
      <c r="Q315" s="42"/>
      <c r="R315" s="42"/>
      <c r="S315" s="42"/>
      <c r="T315" s="42"/>
      <c r="U315" s="194"/>
      <c r="V315" s="42"/>
      <c r="W315" s="42"/>
      <c r="X315" s="42"/>
      <c r="Y315" s="42"/>
      <c r="Z315" s="42"/>
      <c r="AA315" s="42"/>
      <c r="AB315" s="195"/>
      <c r="AC315" s="42"/>
      <c r="AD315" s="42"/>
      <c r="AE315" s="195"/>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row>
    <row r="316" spans="1:256" ht="13.8" x14ac:dyDescent="0.3">
      <c r="A316" s="42"/>
      <c r="B316" s="42"/>
      <c r="C316" s="42"/>
      <c r="D316" s="42"/>
      <c r="E316" s="42"/>
      <c r="F316" s="42"/>
      <c r="G316" s="42"/>
      <c r="H316" s="42"/>
      <c r="I316" s="42"/>
      <c r="J316" s="42"/>
      <c r="K316" s="42"/>
      <c r="L316" s="42"/>
      <c r="M316" s="42"/>
      <c r="N316" s="42"/>
      <c r="O316" s="42"/>
      <c r="P316" s="42"/>
      <c r="Q316" s="42"/>
      <c r="R316" s="42"/>
      <c r="S316" s="42"/>
      <c r="T316" s="42"/>
      <c r="U316" s="194"/>
      <c r="V316" s="42"/>
      <c r="W316" s="42"/>
      <c r="X316" s="42"/>
      <c r="Y316" s="42"/>
      <c r="Z316" s="42"/>
      <c r="AA316" s="42"/>
      <c r="AB316" s="195"/>
      <c r="AC316" s="42"/>
      <c r="AD316" s="42"/>
      <c r="AE316" s="195"/>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row>
    <row r="317" spans="1:256" ht="13.8" x14ac:dyDescent="0.3">
      <c r="A317" s="42"/>
      <c r="B317" s="42"/>
      <c r="C317" s="42"/>
      <c r="D317" s="42"/>
      <c r="E317" s="42"/>
      <c r="F317" s="42"/>
      <c r="G317" s="42"/>
      <c r="H317" s="42"/>
      <c r="I317" s="42"/>
      <c r="J317" s="42"/>
      <c r="K317" s="42"/>
      <c r="L317" s="42"/>
      <c r="M317" s="42"/>
      <c r="N317" s="42"/>
      <c r="O317" s="42"/>
      <c r="P317" s="42"/>
      <c r="Q317" s="42"/>
      <c r="R317" s="42"/>
      <c r="S317" s="42"/>
      <c r="T317" s="42"/>
      <c r="U317" s="194"/>
      <c r="V317" s="42"/>
      <c r="W317" s="42"/>
      <c r="X317" s="42"/>
      <c r="Y317" s="42"/>
      <c r="Z317" s="42"/>
      <c r="AA317" s="42"/>
      <c r="AB317" s="195"/>
      <c r="AC317" s="42"/>
      <c r="AD317" s="42"/>
      <c r="AE317" s="195"/>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42"/>
      <c r="BH317" s="42"/>
      <c r="BI317" s="42"/>
      <c r="BJ317" s="42"/>
      <c r="BK317" s="42"/>
      <c r="BL317" s="42"/>
      <c r="BM317" s="42"/>
      <c r="BN317" s="42"/>
      <c r="BO317" s="42"/>
      <c r="BP317" s="42"/>
      <c r="BQ317" s="42"/>
      <c r="BR317" s="42"/>
      <c r="BS317" s="42"/>
      <c r="BT317" s="42"/>
      <c r="BU317" s="42"/>
      <c r="BV317" s="42"/>
      <c r="BW317" s="42"/>
      <c r="BX317" s="42"/>
      <c r="BY317" s="42"/>
      <c r="BZ317" s="42"/>
      <c r="CA317" s="42"/>
      <c r="CB317" s="42"/>
      <c r="CC317" s="42"/>
      <c r="CD317" s="42"/>
      <c r="CE317" s="42"/>
      <c r="CF317" s="42"/>
      <c r="CG317" s="42"/>
      <c r="CH317" s="42"/>
      <c r="CI317" s="42"/>
      <c r="CJ317" s="42"/>
      <c r="CK317" s="42"/>
      <c r="CL317" s="42"/>
      <c r="CM317" s="42"/>
      <c r="CN317" s="42"/>
      <c r="CO317" s="42"/>
      <c r="CP317" s="42"/>
      <c r="CQ317" s="42"/>
      <c r="CR317" s="42"/>
      <c r="CS317" s="42"/>
      <c r="CT317" s="42"/>
      <c r="CU317" s="42"/>
      <c r="CV317" s="42"/>
      <c r="CW317" s="42"/>
      <c r="CX317" s="42"/>
      <c r="CY317" s="42"/>
      <c r="CZ317" s="42"/>
      <c r="DA317" s="42"/>
      <c r="DB317" s="42"/>
      <c r="DC317" s="42"/>
      <c r="DD317" s="42"/>
      <c r="DE317" s="42"/>
      <c r="DF317" s="42"/>
      <c r="DG317" s="42"/>
      <c r="DH317" s="42"/>
      <c r="DI317" s="42"/>
      <c r="DJ317" s="42"/>
      <c r="DK317" s="42"/>
      <c r="DL317" s="42"/>
      <c r="DM317" s="42"/>
      <c r="DN317" s="42"/>
      <c r="DO317" s="42"/>
      <c r="DP317" s="42"/>
      <c r="DQ317" s="42"/>
      <c r="DR317" s="42"/>
      <c r="DS317" s="42"/>
      <c r="DT317" s="42"/>
      <c r="DU317" s="42"/>
      <c r="DV317" s="42"/>
      <c r="DW317" s="42"/>
      <c r="DX317" s="42"/>
      <c r="DY317" s="42"/>
      <c r="DZ317" s="42"/>
      <c r="EA317" s="42"/>
      <c r="EB317" s="42"/>
      <c r="EC317" s="42"/>
      <c r="ED317" s="42"/>
      <c r="EE317" s="42"/>
      <c r="EF317" s="42"/>
      <c r="EG317" s="42"/>
      <c r="EH317" s="42"/>
      <c r="EI317" s="42"/>
      <c r="EJ317" s="42"/>
      <c r="EK317" s="42"/>
      <c r="EL317" s="42"/>
      <c r="EM317" s="42"/>
      <c r="EN317" s="42"/>
      <c r="EO317" s="42"/>
      <c r="EP317" s="42"/>
      <c r="EQ317" s="42"/>
      <c r="ER317" s="42"/>
      <c r="ES317" s="42"/>
      <c r="ET317" s="42"/>
      <c r="EU317" s="42"/>
      <c r="EV317" s="42"/>
      <c r="EW317" s="42"/>
      <c r="EX317" s="42"/>
      <c r="EY317" s="42"/>
      <c r="EZ317" s="42"/>
      <c r="FA317" s="42"/>
      <c r="FB317" s="42"/>
      <c r="FC317" s="42"/>
      <c r="FD317" s="42"/>
      <c r="FE317" s="42"/>
      <c r="FF317" s="42"/>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row>
    <row r="318" spans="1:256" ht="13.8" x14ac:dyDescent="0.3">
      <c r="A318" s="42"/>
      <c r="B318" s="42"/>
      <c r="C318" s="42"/>
      <c r="D318" s="42"/>
      <c r="E318" s="42"/>
      <c r="F318" s="42"/>
      <c r="G318" s="42"/>
      <c r="H318" s="42"/>
      <c r="I318" s="42"/>
      <c r="J318" s="42"/>
      <c r="K318" s="42"/>
      <c r="L318" s="42"/>
      <c r="M318" s="42"/>
      <c r="N318" s="42"/>
      <c r="O318" s="42"/>
      <c r="P318" s="42"/>
      <c r="Q318" s="42"/>
      <c r="R318" s="42"/>
      <c r="S318" s="42"/>
      <c r="T318" s="42"/>
      <c r="U318" s="194"/>
      <c r="V318" s="42"/>
      <c r="W318" s="42"/>
      <c r="X318" s="42"/>
      <c r="Y318" s="42"/>
      <c r="Z318" s="42"/>
      <c r="AA318" s="42"/>
      <c r="AB318" s="195"/>
      <c r="AC318" s="42"/>
      <c r="AD318" s="42"/>
      <c r="AE318" s="195"/>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42"/>
      <c r="BH318" s="42"/>
      <c r="BI318" s="42"/>
      <c r="BJ318" s="42"/>
      <c r="BK318" s="42"/>
      <c r="BL318" s="42"/>
      <c r="BM318" s="42"/>
      <c r="BN318" s="42"/>
      <c r="BO318" s="42"/>
      <c r="BP318" s="42"/>
      <c r="BQ318" s="42"/>
      <c r="BR318" s="42"/>
      <c r="BS318" s="42"/>
      <c r="BT318" s="42"/>
      <c r="BU318" s="42"/>
      <c r="BV318" s="42"/>
      <c r="BW318" s="42"/>
      <c r="BX318" s="42"/>
      <c r="BY318" s="42"/>
      <c r="BZ318" s="42"/>
      <c r="CA318" s="42"/>
      <c r="CB318" s="42"/>
      <c r="CC318" s="42"/>
      <c r="CD318" s="42"/>
      <c r="CE318" s="42"/>
      <c r="CF318" s="42"/>
      <c r="CG318" s="42"/>
      <c r="CH318" s="42"/>
      <c r="CI318" s="42"/>
      <c r="CJ318" s="42"/>
      <c r="CK318" s="42"/>
      <c r="CL318" s="42"/>
      <c r="CM318" s="42"/>
      <c r="CN318" s="42"/>
      <c r="CO318" s="42"/>
      <c r="CP318" s="42"/>
      <c r="CQ318" s="42"/>
      <c r="CR318" s="42"/>
      <c r="CS318" s="42"/>
      <c r="CT318" s="42"/>
      <c r="CU318" s="42"/>
      <c r="CV318" s="42"/>
      <c r="CW318" s="42"/>
      <c r="CX318" s="42"/>
      <c r="CY318" s="42"/>
      <c r="CZ318" s="42"/>
      <c r="DA318" s="42"/>
      <c r="DB318" s="42"/>
      <c r="DC318" s="42"/>
      <c r="DD318" s="42"/>
      <c r="DE318" s="42"/>
      <c r="DF318" s="42"/>
      <c r="DG318" s="42"/>
      <c r="DH318" s="42"/>
      <c r="DI318" s="42"/>
      <c r="DJ318" s="42"/>
      <c r="DK318" s="42"/>
      <c r="DL318" s="42"/>
      <c r="DM318" s="42"/>
      <c r="DN318" s="42"/>
      <c r="DO318" s="42"/>
      <c r="DP318" s="42"/>
      <c r="DQ318" s="42"/>
      <c r="DR318" s="42"/>
      <c r="DS318" s="42"/>
      <c r="DT318" s="42"/>
      <c r="DU318" s="42"/>
      <c r="DV318" s="42"/>
      <c r="DW318" s="42"/>
      <c r="DX318" s="42"/>
      <c r="DY318" s="42"/>
      <c r="DZ318" s="42"/>
      <c r="EA318" s="42"/>
      <c r="EB318" s="42"/>
      <c r="EC318" s="42"/>
      <c r="ED318" s="42"/>
      <c r="EE318" s="42"/>
      <c r="EF318" s="42"/>
      <c r="EG318" s="42"/>
      <c r="EH318" s="42"/>
      <c r="EI318" s="42"/>
      <c r="EJ318" s="42"/>
      <c r="EK318" s="42"/>
      <c r="EL318" s="42"/>
      <c r="EM318" s="42"/>
      <c r="EN318" s="42"/>
      <c r="EO318" s="42"/>
      <c r="EP318" s="42"/>
      <c r="EQ318" s="42"/>
      <c r="ER318" s="42"/>
      <c r="ES318" s="42"/>
      <c r="ET318" s="42"/>
      <c r="EU318" s="42"/>
      <c r="EV318" s="42"/>
      <c r="EW318" s="42"/>
      <c r="EX318" s="42"/>
      <c r="EY318" s="42"/>
      <c r="EZ318" s="42"/>
      <c r="FA318" s="42"/>
      <c r="FB318" s="42"/>
      <c r="FC318" s="42"/>
      <c r="FD318" s="42"/>
      <c r="FE318" s="42"/>
      <c r="FF318" s="42"/>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row>
    <row r="319" spans="1:256" ht="13.8" x14ac:dyDescent="0.3">
      <c r="A319" s="42"/>
      <c r="B319" s="42"/>
      <c r="C319" s="42"/>
      <c r="D319" s="42"/>
      <c r="E319" s="42"/>
      <c r="F319" s="42"/>
      <c r="G319" s="42"/>
      <c r="H319" s="42"/>
      <c r="I319" s="42"/>
      <c r="J319" s="42"/>
      <c r="K319" s="42"/>
      <c r="L319" s="42"/>
      <c r="M319" s="42"/>
      <c r="N319" s="42"/>
      <c r="O319" s="42"/>
      <c r="P319" s="42"/>
      <c r="Q319" s="42"/>
      <c r="R319" s="42"/>
      <c r="S319" s="42"/>
      <c r="T319" s="42"/>
      <c r="U319" s="194"/>
      <c r="V319" s="42"/>
      <c r="W319" s="42"/>
      <c r="X319" s="42"/>
      <c r="Y319" s="42"/>
      <c r="Z319" s="42"/>
      <c r="AA319" s="42"/>
      <c r="AB319" s="195"/>
      <c r="AC319" s="42"/>
      <c r="AD319" s="42"/>
      <c r="AE319" s="195"/>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42"/>
      <c r="BH319" s="42"/>
      <c r="BI319" s="42"/>
      <c r="BJ319" s="42"/>
      <c r="BK319" s="42"/>
      <c r="BL319" s="42"/>
      <c r="BM319" s="42"/>
      <c r="BN319" s="42"/>
      <c r="BO319" s="42"/>
      <c r="BP319" s="42"/>
      <c r="BQ319" s="42"/>
      <c r="BR319" s="42"/>
      <c r="BS319" s="42"/>
      <c r="BT319" s="42"/>
      <c r="BU319" s="42"/>
      <c r="BV319" s="42"/>
      <c r="BW319" s="42"/>
      <c r="BX319" s="42"/>
      <c r="BY319" s="42"/>
      <c r="BZ319" s="42"/>
      <c r="CA319" s="42"/>
      <c r="CB319" s="42"/>
      <c r="CC319" s="42"/>
      <c r="CD319" s="42"/>
      <c r="CE319" s="42"/>
      <c r="CF319" s="42"/>
      <c r="CG319" s="42"/>
      <c r="CH319" s="42"/>
      <c r="CI319" s="42"/>
      <c r="CJ319" s="42"/>
      <c r="CK319" s="42"/>
      <c r="CL319" s="42"/>
      <c r="CM319" s="42"/>
      <c r="CN319" s="42"/>
      <c r="CO319" s="42"/>
      <c r="CP319" s="42"/>
      <c r="CQ319" s="42"/>
      <c r="CR319" s="42"/>
      <c r="CS319" s="42"/>
      <c r="CT319" s="42"/>
      <c r="CU319" s="42"/>
      <c r="CV319" s="42"/>
      <c r="CW319" s="42"/>
      <c r="CX319" s="42"/>
      <c r="CY319" s="42"/>
      <c r="CZ319" s="42"/>
      <c r="DA319" s="42"/>
      <c r="DB319" s="42"/>
      <c r="DC319" s="42"/>
      <c r="DD319" s="42"/>
      <c r="DE319" s="42"/>
      <c r="DF319" s="42"/>
      <c r="DG319" s="42"/>
      <c r="DH319" s="42"/>
      <c r="DI319" s="42"/>
      <c r="DJ319" s="42"/>
      <c r="DK319" s="42"/>
      <c r="DL319" s="42"/>
      <c r="DM319" s="42"/>
      <c r="DN319" s="42"/>
      <c r="DO319" s="42"/>
      <c r="DP319" s="42"/>
      <c r="DQ319" s="42"/>
      <c r="DR319" s="42"/>
      <c r="DS319" s="42"/>
      <c r="DT319" s="42"/>
      <c r="DU319" s="42"/>
      <c r="DV319" s="42"/>
      <c r="DW319" s="42"/>
      <c r="DX319" s="42"/>
      <c r="DY319" s="42"/>
      <c r="DZ319" s="42"/>
      <c r="EA319" s="42"/>
      <c r="EB319" s="42"/>
      <c r="EC319" s="42"/>
      <c r="ED319" s="42"/>
      <c r="EE319" s="42"/>
      <c r="EF319" s="42"/>
      <c r="EG319" s="42"/>
      <c r="EH319" s="42"/>
      <c r="EI319" s="42"/>
      <c r="EJ319" s="42"/>
      <c r="EK319" s="42"/>
      <c r="EL319" s="42"/>
      <c r="EM319" s="42"/>
      <c r="EN319" s="42"/>
      <c r="EO319" s="42"/>
      <c r="EP319" s="42"/>
      <c r="EQ319" s="42"/>
      <c r="ER319" s="42"/>
      <c r="ES319" s="42"/>
      <c r="ET319" s="42"/>
      <c r="EU319" s="42"/>
      <c r="EV319" s="42"/>
      <c r="EW319" s="42"/>
      <c r="EX319" s="42"/>
      <c r="EY319" s="42"/>
      <c r="EZ319" s="42"/>
      <c r="FA319" s="42"/>
      <c r="FB319" s="42"/>
      <c r="FC319" s="42"/>
      <c r="FD319" s="42"/>
      <c r="FE319" s="42"/>
      <c r="FF319" s="42"/>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row>
    <row r="320" spans="1:256" ht="13.8" x14ac:dyDescent="0.3">
      <c r="A320" s="42"/>
      <c r="B320" s="42"/>
      <c r="C320" s="42"/>
      <c r="D320" s="42"/>
      <c r="E320" s="42"/>
      <c r="F320" s="42"/>
      <c r="G320" s="42"/>
      <c r="H320" s="42"/>
      <c r="I320" s="42"/>
      <c r="J320" s="42"/>
      <c r="K320" s="42"/>
      <c r="L320" s="42"/>
      <c r="M320" s="42"/>
      <c r="N320" s="42"/>
      <c r="O320" s="42"/>
      <c r="P320" s="42"/>
      <c r="Q320" s="42"/>
      <c r="R320" s="42"/>
      <c r="S320" s="42"/>
      <c r="T320" s="42"/>
      <c r="U320" s="194"/>
      <c r="V320" s="42"/>
      <c r="W320" s="42"/>
      <c r="X320" s="42"/>
      <c r="Y320" s="42"/>
      <c r="Z320" s="42"/>
      <c r="AA320" s="42"/>
      <c r="AB320" s="195"/>
      <c r="AC320" s="42"/>
      <c r="AD320" s="42"/>
      <c r="AE320" s="195"/>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c r="BM320" s="42"/>
      <c r="BN320" s="42"/>
      <c r="BO320" s="42"/>
      <c r="BP320" s="42"/>
      <c r="BQ320" s="42"/>
      <c r="BR320" s="42"/>
      <c r="BS320" s="42"/>
      <c r="BT320" s="42"/>
      <c r="BU320" s="42"/>
      <c r="BV320" s="42"/>
      <c r="BW320" s="42"/>
      <c r="BX320" s="42"/>
      <c r="BY320" s="42"/>
      <c r="BZ320" s="42"/>
      <c r="CA320" s="42"/>
      <c r="CB320" s="42"/>
      <c r="CC320" s="42"/>
      <c r="CD320" s="42"/>
      <c r="CE320" s="42"/>
      <c r="CF320" s="42"/>
      <c r="CG320" s="42"/>
      <c r="CH320" s="42"/>
      <c r="CI320" s="42"/>
      <c r="CJ320" s="42"/>
      <c r="CK320" s="42"/>
      <c r="CL320" s="42"/>
      <c r="CM320" s="42"/>
      <c r="CN320" s="42"/>
      <c r="CO320" s="42"/>
      <c r="CP320" s="42"/>
      <c r="CQ320" s="42"/>
      <c r="CR320" s="42"/>
      <c r="CS320" s="42"/>
      <c r="CT320" s="42"/>
      <c r="CU320" s="42"/>
      <c r="CV320" s="42"/>
      <c r="CW320" s="42"/>
      <c r="CX320" s="42"/>
      <c r="CY320" s="42"/>
      <c r="CZ320" s="42"/>
      <c r="DA320" s="42"/>
      <c r="DB320" s="42"/>
      <c r="DC320" s="42"/>
      <c r="DD320" s="42"/>
      <c r="DE320" s="42"/>
      <c r="DF320" s="42"/>
      <c r="DG320" s="42"/>
      <c r="DH320" s="42"/>
      <c r="DI320" s="42"/>
      <c r="DJ320" s="42"/>
      <c r="DK320" s="42"/>
      <c r="DL320" s="42"/>
      <c r="DM320" s="42"/>
      <c r="DN320" s="42"/>
      <c r="DO320" s="42"/>
      <c r="DP320" s="42"/>
      <c r="DQ320" s="42"/>
      <c r="DR320" s="42"/>
      <c r="DS320" s="42"/>
      <c r="DT320" s="42"/>
      <c r="DU320" s="42"/>
      <c r="DV320" s="42"/>
      <c r="DW320" s="42"/>
      <c r="DX320" s="42"/>
      <c r="DY320" s="42"/>
      <c r="DZ320" s="42"/>
      <c r="EA320" s="42"/>
      <c r="EB320" s="42"/>
      <c r="EC320" s="42"/>
      <c r="ED320" s="42"/>
      <c r="EE320" s="42"/>
      <c r="EF320" s="42"/>
      <c r="EG320" s="42"/>
      <c r="EH320" s="42"/>
      <c r="EI320" s="42"/>
      <c r="EJ320" s="42"/>
      <c r="EK320" s="42"/>
      <c r="EL320" s="42"/>
      <c r="EM320" s="42"/>
      <c r="EN320" s="42"/>
      <c r="EO320" s="42"/>
      <c r="EP320" s="42"/>
      <c r="EQ320" s="42"/>
      <c r="ER320" s="42"/>
      <c r="ES320" s="42"/>
      <c r="ET320" s="42"/>
      <c r="EU320" s="42"/>
      <c r="EV320" s="42"/>
      <c r="EW320" s="42"/>
      <c r="EX320" s="42"/>
      <c r="EY320" s="42"/>
      <c r="EZ320" s="42"/>
      <c r="FA320" s="42"/>
      <c r="FB320" s="42"/>
      <c r="FC320" s="42"/>
      <c r="FD320" s="42"/>
      <c r="FE320" s="42"/>
      <c r="FF320" s="42"/>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row>
    <row r="321" spans="1:256" ht="13.8" x14ac:dyDescent="0.3">
      <c r="A321" s="42"/>
      <c r="B321" s="42"/>
      <c r="C321" s="42"/>
      <c r="D321" s="42"/>
      <c r="E321" s="42"/>
      <c r="F321" s="42"/>
      <c r="G321" s="42"/>
      <c r="H321" s="42"/>
      <c r="I321" s="42"/>
      <c r="J321" s="42"/>
      <c r="K321" s="42"/>
      <c r="L321" s="42"/>
      <c r="M321" s="42"/>
      <c r="N321" s="42"/>
      <c r="O321" s="42"/>
      <c r="P321" s="42"/>
      <c r="Q321" s="42"/>
      <c r="R321" s="42"/>
      <c r="S321" s="42"/>
      <c r="T321" s="42"/>
      <c r="U321" s="194"/>
      <c r="V321" s="42"/>
      <c r="W321" s="42"/>
      <c r="X321" s="42"/>
      <c r="Y321" s="42"/>
      <c r="Z321" s="42"/>
      <c r="AA321" s="42"/>
      <c r="AB321" s="195"/>
      <c r="AC321" s="42"/>
      <c r="AD321" s="42"/>
      <c r="AE321" s="195"/>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42"/>
      <c r="BH321" s="42"/>
      <c r="BI321" s="42"/>
      <c r="BJ321" s="42"/>
      <c r="BK321" s="42"/>
      <c r="BL321" s="42"/>
      <c r="BM321" s="42"/>
      <c r="BN321" s="42"/>
      <c r="BO321" s="42"/>
      <c r="BP321" s="42"/>
      <c r="BQ321" s="42"/>
      <c r="BR321" s="42"/>
      <c r="BS321" s="42"/>
      <c r="BT321" s="42"/>
      <c r="BU321" s="42"/>
      <c r="BV321" s="42"/>
      <c r="BW321" s="42"/>
      <c r="BX321" s="42"/>
      <c r="BY321" s="42"/>
      <c r="BZ321" s="42"/>
      <c r="CA321" s="42"/>
      <c r="CB321" s="42"/>
      <c r="CC321" s="42"/>
      <c r="CD321" s="42"/>
      <c r="CE321" s="42"/>
      <c r="CF321" s="42"/>
      <c r="CG321" s="42"/>
      <c r="CH321" s="42"/>
      <c r="CI321" s="42"/>
      <c r="CJ321" s="42"/>
      <c r="CK321" s="42"/>
      <c r="CL321" s="42"/>
      <c r="CM321" s="42"/>
      <c r="CN321" s="42"/>
      <c r="CO321" s="42"/>
      <c r="CP321" s="42"/>
      <c r="CQ321" s="42"/>
      <c r="CR321" s="42"/>
      <c r="CS321" s="42"/>
      <c r="CT321" s="42"/>
      <c r="CU321" s="42"/>
      <c r="CV321" s="42"/>
      <c r="CW321" s="42"/>
      <c r="CX321" s="42"/>
      <c r="CY321" s="42"/>
      <c r="CZ321" s="42"/>
      <c r="DA321" s="42"/>
      <c r="DB321" s="42"/>
      <c r="DC321" s="42"/>
      <c r="DD321" s="42"/>
      <c r="DE321" s="42"/>
      <c r="DF321" s="42"/>
      <c r="DG321" s="42"/>
      <c r="DH321" s="42"/>
      <c r="DI321" s="42"/>
      <c r="DJ321" s="42"/>
      <c r="DK321" s="42"/>
      <c r="DL321" s="42"/>
      <c r="DM321" s="42"/>
      <c r="DN321" s="42"/>
      <c r="DO321" s="42"/>
      <c r="DP321" s="42"/>
      <c r="DQ321" s="42"/>
      <c r="DR321" s="42"/>
      <c r="DS321" s="42"/>
      <c r="DT321" s="42"/>
      <c r="DU321" s="42"/>
      <c r="DV321" s="42"/>
      <c r="DW321" s="42"/>
      <c r="DX321" s="42"/>
      <c r="DY321" s="42"/>
      <c r="DZ321" s="42"/>
      <c r="EA321" s="42"/>
      <c r="EB321" s="42"/>
      <c r="EC321" s="42"/>
      <c r="ED321" s="42"/>
      <c r="EE321" s="42"/>
      <c r="EF321" s="42"/>
      <c r="EG321" s="42"/>
      <c r="EH321" s="42"/>
      <c r="EI321" s="42"/>
      <c r="EJ321" s="42"/>
      <c r="EK321" s="42"/>
      <c r="EL321" s="42"/>
      <c r="EM321" s="42"/>
      <c r="EN321" s="42"/>
      <c r="EO321" s="42"/>
      <c r="EP321" s="42"/>
      <c r="EQ321" s="42"/>
      <c r="ER321" s="42"/>
      <c r="ES321" s="42"/>
      <c r="ET321" s="42"/>
      <c r="EU321" s="42"/>
      <c r="EV321" s="42"/>
      <c r="EW321" s="42"/>
      <c r="EX321" s="42"/>
      <c r="EY321" s="42"/>
      <c r="EZ321" s="42"/>
      <c r="FA321" s="42"/>
      <c r="FB321" s="42"/>
      <c r="FC321" s="42"/>
      <c r="FD321" s="42"/>
      <c r="FE321" s="42"/>
      <c r="FF321" s="42"/>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row>
    <row r="322" spans="1:256" ht="13.8" x14ac:dyDescent="0.3">
      <c r="A322" s="42"/>
      <c r="B322" s="42"/>
      <c r="C322" s="42"/>
      <c r="D322" s="42"/>
      <c r="E322" s="42"/>
      <c r="F322" s="42"/>
      <c r="G322" s="42"/>
      <c r="H322" s="42"/>
      <c r="I322" s="42"/>
      <c r="J322" s="42"/>
      <c r="K322" s="42"/>
      <c r="L322" s="42"/>
      <c r="M322" s="42"/>
      <c r="N322" s="42"/>
      <c r="O322" s="42"/>
      <c r="P322" s="42"/>
      <c r="Q322" s="42"/>
      <c r="R322" s="42"/>
      <c r="S322" s="42"/>
      <c r="T322" s="42"/>
      <c r="U322" s="194"/>
      <c r="V322" s="42"/>
      <c r="W322" s="42"/>
      <c r="X322" s="42"/>
      <c r="Y322" s="42"/>
      <c r="Z322" s="42"/>
      <c r="AA322" s="42"/>
      <c r="AB322" s="195"/>
      <c r="AC322" s="42"/>
      <c r="AD322" s="42"/>
      <c r="AE322" s="195"/>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42"/>
      <c r="BH322" s="42"/>
      <c r="BI322" s="42"/>
      <c r="BJ322" s="42"/>
      <c r="BK322" s="42"/>
      <c r="BL322" s="42"/>
      <c r="BM322" s="42"/>
      <c r="BN322" s="42"/>
      <c r="BO322" s="42"/>
      <c r="BP322" s="42"/>
      <c r="BQ322" s="42"/>
      <c r="BR322" s="42"/>
      <c r="BS322" s="42"/>
      <c r="BT322" s="42"/>
      <c r="BU322" s="42"/>
      <c r="BV322" s="42"/>
      <c r="BW322" s="42"/>
      <c r="BX322" s="42"/>
      <c r="BY322" s="42"/>
      <c r="BZ322" s="42"/>
      <c r="CA322" s="42"/>
      <c r="CB322" s="42"/>
      <c r="CC322" s="42"/>
      <c r="CD322" s="42"/>
      <c r="CE322" s="42"/>
      <c r="CF322" s="42"/>
      <c r="CG322" s="42"/>
      <c r="CH322" s="42"/>
      <c r="CI322" s="42"/>
      <c r="CJ322" s="42"/>
      <c r="CK322" s="42"/>
      <c r="CL322" s="42"/>
      <c r="CM322" s="42"/>
      <c r="CN322" s="42"/>
      <c r="CO322" s="42"/>
      <c r="CP322" s="42"/>
      <c r="CQ322" s="42"/>
      <c r="CR322" s="42"/>
      <c r="CS322" s="42"/>
      <c r="CT322" s="42"/>
      <c r="CU322" s="42"/>
      <c r="CV322" s="42"/>
      <c r="CW322" s="42"/>
      <c r="CX322" s="42"/>
      <c r="CY322" s="42"/>
      <c r="CZ322" s="42"/>
      <c r="DA322" s="42"/>
      <c r="DB322" s="42"/>
      <c r="DC322" s="42"/>
      <c r="DD322" s="42"/>
      <c r="DE322" s="42"/>
      <c r="DF322" s="42"/>
      <c r="DG322" s="42"/>
      <c r="DH322" s="42"/>
      <c r="DI322" s="42"/>
      <c r="DJ322" s="42"/>
      <c r="DK322" s="42"/>
      <c r="DL322" s="42"/>
      <c r="DM322" s="42"/>
      <c r="DN322" s="42"/>
      <c r="DO322" s="42"/>
      <c r="DP322" s="42"/>
      <c r="DQ322" s="42"/>
      <c r="DR322" s="42"/>
      <c r="DS322" s="42"/>
      <c r="DT322" s="42"/>
      <c r="DU322" s="42"/>
      <c r="DV322" s="42"/>
      <c r="DW322" s="42"/>
      <c r="DX322" s="42"/>
      <c r="DY322" s="42"/>
      <c r="DZ322" s="42"/>
      <c r="EA322" s="42"/>
      <c r="EB322" s="42"/>
      <c r="EC322" s="42"/>
      <c r="ED322" s="42"/>
      <c r="EE322" s="42"/>
      <c r="EF322" s="42"/>
      <c r="EG322" s="42"/>
      <c r="EH322" s="42"/>
      <c r="EI322" s="42"/>
      <c r="EJ322" s="42"/>
      <c r="EK322" s="42"/>
      <c r="EL322" s="42"/>
      <c r="EM322" s="42"/>
      <c r="EN322" s="42"/>
      <c r="EO322" s="42"/>
      <c r="EP322" s="42"/>
      <c r="EQ322" s="42"/>
      <c r="ER322" s="42"/>
      <c r="ES322" s="42"/>
      <c r="ET322" s="42"/>
      <c r="EU322" s="42"/>
      <c r="EV322" s="42"/>
      <c r="EW322" s="42"/>
      <c r="EX322" s="42"/>
      <c r="EY322" s="42"/>
      <c r="EZ322" s="42"/>
      <c r="FA322" s="42"/>
      <c r="FB322" s="42"/>
      <c r="FC322" s="42"/>
      <c r="FD322" s="42"/>
      <c r="FE322" s="42"/>
      <c r="FF322" s="42"/>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row>
    <row r="323" spans="1:256" ht="13.8" x14ac:dyDescent="0.3">
      <c r="A323" s="42"/>
      <c r="B323" s="42"/>
      <c r="C323" s="42"/>
      <c r="D323" s="42"/>
      <c r="E323" s="42"/>
      <c r="F323" s="42"/>
      <c r="G323" s="42"/>
      <c r="H323" s="42"/>
      <c r="I323" s="42"/>
      <c r="J323" s="42"/>
      <c r="K323" s="42"/>
      <c r="L323" s="42"/>
      <c r="M323" s="42"/>
      <c r="N323" s="42"/>
      <c r="O323" s="42"/>
      <c r="P323" s="42"/>
      <c r="Q323" s="42"/>
      <c r="R323" s="42"/>
      <c r="S323" s="42"/>
      <c r="T323" s="42"/>
      <c r="U323" s="194"/>
      <c r="V323" s="42"/>
      <c r="W323" s="42"/>
      <c r="X323" s="42"/>
      <c r="Y323" s="42"/>
      <c r="Z323" s="42"/>
      <c r="AA323" s="42"/>
      <c r="AB323" s="195"/>
      <c r="AC323" s="42"/>
      <c r="AD323" s="42"/>
      <c r="AE323" s="195"/>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c r="BM323" s="42"/>
      <c r="BN323" s="42"/>
      <c r="BO323" s="42"/>
      <c r="BP323" s="42"/>
      <c r="BQ323" s="42"/>
      <c r="BR323" s="42"/>
      <c r="BS323" s="42"/>
      <c r="BT323" s="42"/>
      <c r="BU323" s="42"/>
      <c r="BV323" s="42"/>
      <c r="BW323" s="42"/>
      <c r="BX323" s="42"/>
      <c r="BY323" s="42"/>
      <c r="BZ323" s="42"/>
      <c r="CA323" s="42"/>
      <c r="CB323" s="42"/>
      <c r="CC323" s="42"/>
      <c r="CD323" s="42"/>
      <c r="CE323" s="42"/>
      <c r="CF323" s="42"/>
      <c r="CG323" s="42"/>
      <c r="CH323" s="42"/>
      <c r="CI323" s="42"/>
      <c r="CJ323" s="42"/>
      <c r="CK323" s="42"/>
      <c r="CL323" s="42"/>
      <c r="CM323" s="42"/>
      <c r="CN323" s="42"/>
      <c r="CO323" s="42"/>
      <c r="CP323" s="42"/>
      <c r="CQ323" s="42"/>
      <c r="CR323" s="42"/>
      <c r="CS323" s="42"/>
      <c r="CT323" s="42"/>
      <c r="CU323" s="42"/>
      <c r="CV323" s="42"/>
      <c r="CW323" s="42"/>
      <c r="CX323" s="42"/>
      <c r="CY323" s="42"/>
      <c r="CZ323" s="42"/>
      <c r="DA323" s="42"/>
      <c r="DB323" s="42"/>
      <c r="DC323" s="42"/>
      <c r="DD323" s="42"/>
      <c r="DE323" s="42"/>
      <c r="DF323" s="42"/>
      <c r="DG323" s="42"/>
      <c r="DH323" s="42"/>
      <c r="DI323" s="42"/>
      <c r="DJ323" s="42"/>
      <c r="DK323" s="42"/>
      <c r="DL323" s="42"/>
      <c r="DM323" s="42"/>
      <c r="DN323" s="42"/>
      <c r="DO323" s="42"/>
      <c r="DP323" s="42"/>
      <c r="DQ323" s="42"/>
      <c r="DR323" s="42"/>
      <c r="DS323" s="42"/>
      <c r="DT323" s="42"/>
      <c r="DU323" s="42"/>
      <c r="DV323" s="42"/>
      <c r="DW323" s="42"/>
      <c r="DX323" s="42"/>
      <c r="DY323" s="42"/>
      <c r="DZ323" s="42"/>
      <c r="EA323" s="42"/>
      <c r="EB323" s="42"/>
      <c r="EC323" s="42"/>
      <c r="ED323" s="42"/>
      <c r="EE323" s="42"/>
      <c r="EF323" s="42"/>
      <c r="EG323" s="42"/>
      <c r="EH323" s="42"/>
      <c r="EI323" s="42"/>
      <c r="EJ323" s="42"/>
      <c r="EK323" s="42"/>
      <c r="EL323" s="42"/>
      <c r="EM323" s="42"/>
      <c r="EN323" s="42"/>
      <c r="EO323" s="42"/>
      <c r="EP323" s="42"/>
      <c r="EQ323" s="42"/>
      <c r="ER323" s="42"/>
      <c r="ES323" s="42"/>
      <c r="ET323" s="42"/>
      <c r="EU323" s="42"/>
      <c r="EV323" s="42"/>
      <c r="EW323" s="42"/>
      <c r="EX323" s="42"/>
      <c r="EY323" s="42"/>
      <c r="EZ323" s="42"/>
      <c r="FA323" s="42"/>
      <c r="FB323" s="42"/>
      <c r="FC323" s="42"/>
      <c r="FD323" s="42"/>
      <c r="FE323" s="42"/>
      <c r="FF323" s="42"/>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row>
    <row r="324" spans="1:256" ht="13.8" x14ac:dyDescent="0.3">
      <c r="A324" s="42"/>
      <c r="B324" s="42"/>
      <c r="C324" s="42"/>
      <c r="D324" s="42"/>
      <c r="E324" s="42"/>
      <c r="F324" s="42"/>
      <c r="G324" s="42"/>
      <c r="H324" s="42"/>
      <c r="I324" s="42"/>
      <c r="J324" s="42"/>
      <c r="K324" s="42"/>
      <c r="L324" s="42"/>
      <c r="M324" s="42"/>
      <c r="N324" s="42"/>
      <c r="O324" s="42"/>
      <c r="P324" s="42"/>
      <c r="Q324" s="42"/>
      <c r="R324" s="42"/>
      <c r="S324" s="42"/>
      <c r="T324" s="42"/>
      <c r="U324" s="194"/>
      <c r="V324" s="42"/>
      <c r="W324" s="42"/>
      <c r="X324" s="42"/>
      <c r="Y324" s="42"/>
      <c r="Z324" s="42"/>
      <c r="AA324" s="42"/>
      <c r="AB324" s="195"/>
      <c r="AC324" s="42"/>
      <c r="AD324" s="42"/>
      <c r="AE324" s="195"/>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c r="BM324" s="42"/>
      <c r="BN324" s="42"/>
      <c r="BO324" s="42"/>
      <c r="BP324" s="42"/>
      <c r="BQ324" s="42"/>
      <c r="BR324" s="42"/>
      <c r="BS324" s="42"/>
      <c r="BT324" s="42"/>
      <c r="BU324" s="42"/>
      <c r="BV324" s="42"/>
      <c r="BW324" s="42"/>
      <c r="BX324" s="42"/>
      <c r="BY324" s="42"/>
      <c r="BZ324" s="42"/>
      <c r="CA324" s="42"/>
      <c r="CB324" s="42"/>
      <c r="CC324" s="42"/>
      <c r="CD324" s="42"/>
      <c r="CE324" s="42"/>
      <c r="CF324" s="42"/>
      <c r="CG324" s="42"/>
      <c r="CH324" s="42"/>
      <c r="CI324" s="42"/>
      <c r="CJ324" s="42"/>
      <c r="CK324" s="42"/>
      <c r="CL324" s="42"/>
      <c r="CM324" s="42"/>
      <c r="CN324" s="42"/>
      <c r="CO324" s="42"/>
      <c r="CP324" s="42"/>
      <c r="CQ324" s="42"/>
      <c r="CR324" s="42"/>
      <c r="CS324" s="42"/>
      <c r="CT324" s="42"/>
      <c r="CU324" s="42"/>
      <c r="CV324" s="42"/>
      <c r="CW324" s="42"/>
      <c r="CX324" s="42"/>
      <c r="CY324" s="42"/>
      <c r="CZ324" s="42"/>
      <c r="DA324" s="42"/>
      <c r="DB324" s="42"/>
      <c r="DC324" s="42"/>
      <c r="DD324" s="42"/>
      <c r="DE324" s="42"/>
      <c r="DF324" s="42"/>
      <c r="DG324" s="42"/>
      <c r="DH324" s="42"/>
      <c r="DI324" s="42"/>
      <c r="DJ324" s="42"/>
      <c r="DK324" s="42"/>
      <c r="DL324" s="42"/>
      <c r="DM324" s="42"/>
      <c r="DN324" s="42"/>
      <c r="DO324" s="42"/>
      <c r="DP324" s="42"/>
      <c r="DQ324" s="42"/>
      <c r="DR324" s="42"/>
      <c r="DS324" s="42"/>
      <c r="DT324" s="42"/>
      <c r="DU324" s="42"/>
      <c r="DV324" s="42"/>
      <c r="DW324" s="42"/>
      <c r="DX324" s="42"/>
      <c r="DY324" s="42"/>
      <c r="DZ324" s="42"/>
      <c r="EA324" s="42"/>
      <c r="EB324" s="42"/>
      <c r="EC324" s="42"/>
      <c r="ED324" s="42"/>
      <c r="EE324" s="42"/>
      <c r="EF324" s="42"/>
      <c r="EG324" s="42"/>
      <c r="EH324" s="42"/>
      <c r="EI324" s="42"/>
      <c r="EJ324" s="42"/>
      <c r="EK324" s="42"/>
      <c r="EL324" s="42"/>
      <c r="EM324" s="42"/>
      <c r="EN324" s="42"/>
      <c r="EO324" s="42"/>
      <c r="EP324" s="42"/>
      <c r="EQ324" s="42"/>
      <c r="ER324" s="42"/>
      <c r="ES324" s="42"/>
      <c r="ET324" s="42"/>
      <c r="EU324" s="42"/>
      <c r="EV324" s="42"/>
      <c r="EW324" s="42"/>
      <c r="EX324" s="42"/>
      <c r="EY324" s="42"/>
      <c r="EZ324" s="42"/>
      <c r="FA324" s="42"/>
      <c r="FB324" s="42"/>
      <c r="FC324" s="42"/>
      <c r="FD324" s="42"/>
      <c r="FE324" s="42"/>
      <c r="FF324" s="42"/>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row>
    <row r="325" spans="1:256" ht="13.8" x14ac:dyDescent="0.3">
      <c r="A325" s="42"/>
      <c r="B325" s="42"/>
      <c r="C325" s="42"/>
      <c r="D325" s="42"/>
      <c r="E325" s="42"/>
      <c r="F325" s="42"/>
      <c r="G325" s="42"/>
      <c r="H325" s="42"/>
      <c r="I325" s="42"/>
      <c r="J325" s="42"/>
      <c r="K325" s="42"/>
      <c r="L325" s="42"/>
      <c r="M325" s="42"/>
      <c r="N325" s="42"/>
      <c r="O325" s="42"/>
      <c r="P325" s="42"/>
      <c r="Q325" s="42"/>
      <c r="R325" s="42"/>
      <c r="S325" s="42"/>
      <c r="T325" s="42"/>
      <c r="U325" s="194"/>
      <c r="V325" s="42"/>
      <c r="W325" s="42"/>
      <c r="X325" s="42"/>
      <c r="Y325" s="42"/>
      <c r="Z325" s="42"/>
      <c r="AA325" s="42"/>
      <c r="AB325" s="195"/>
      <c r="AC325" s="42"/>
      <c r="AD325" s="42"/>
      <c r="AE325" s="195"/>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c r="BM325" s="42"/>
      <c r="BN325" s="42"/>
      <c r="BO325" s="42"/>
      <c r="BP325" s="42"/>
      <c r="BQ325" s="42"/>
      <c r="BR325" s="42"/>
      <c r="BS325" s="42"/>
      <c r="BT325" s="42"/>
      <c r="BU325" s="42"/>
      <c r="BV325" s="42"/>
      <c r="BW325" s="42"/>
      <c r="BX325" s="42"/>
      <c r="BY325" s="42"/>
      <c r="BZ325" s="42"/>
      <c r="CA325" s="42"/>
      <c r="CB325" s="42"/>
      <c r="CC325" s="42"/>
      <c r="CD325" s="42"/>
      <c r="CE325" s="42"/>
      <c r="CF325" s="42"/>
      <c r="CG325" s="42"/>
      <c r="CH325" s="42"/>
      <c r="CI325" s="42"/>
      <c r="CJ325" s="42"/>
      <c r="CK325" s="42"/>
      <c r="CL325" s="42"/>
      <c r="CM325" s="42"/>
      <c r="CN325" s="42"/>
      <c r="CO325" s="42"/>
      <c r="CP325" s="42"/>
      <c r="CQ325" s="42"/>
      <c r="CR325" s="42"/>
      <c r="CS325" s="42"/>
      <c r="CT325" s="42"/>
      <c r="CU325" s="42"/>
      <c r="CV325" s="42"/>
      <c r="CW325" s="42"/>
      <c r="CX325" s="42"/>
      <c r="CY325" s="42"/>
      <c r="CZ325" s="42"/>
      <c r="DA325" s="42"/>
      <c r="DB325" s="42"/>
      <c r="DC325" s="42"/>
      <c r="DD325" s="42"/>
      <c r="DE325" s="42"/>
      <c r="DF325" s="42"/>
      <c r="DG325" s="42"/>
      <c r="DH325" s="42"/>
      <c r="DI325" s="42"/>
      <c r="DJ325" s="42"/>
      <c r="DK325" s="42"/>
      <c r="DL325" s="42"/>
      <c r="DM325" s="42"/>
      <c r="DN325" s="42"/>
      <c r="DO325" s="42"/>
      <c r="DP325" s="42"/>
      <c r="DQ325" s="42"/>
      <c r="DR325" s="42"/>
      <c r="DS325" s="42"/>
      <c r="DT325" s="42"/>
      <c r="DU325" s="42"/>
      <c r="DV325" s="42"/>
      <c r="DW325" s="42"/>
      <c r="DX325" s="42"/>
      <c r="DY325" s="42"/>
      <c r="DZ325" s="42"/>
      <c r="EA325" s="42"/>
      <c r="EB325" s="42"/>
      <c r="EC325" s="42"/>
      <c r="ED325" s="42"/>
      <c r="EE325" s="42"/>
      <c r="EF325" s="42"/>
      <c r="EG325" s="42"/>
      <c r="EH325" s="42"/>
      <c r="EI325" s="42"/>
      <c r="EJ325" s="42"/>
      <c r="EK325" s="42"/>
      <c r="EL325" s="42"/>
      <c r="EM325" s="42"/>
      <c r="EN325" s="42"/>
      <c r="EO325" s="42"/>
      <c r="EP325" s="42"/>
      <c r="EQ325" s="42"/>
      <c r="ER325" s="42"/>
      <c r="ES325" s="42"/>
      <c r="ET325" s="42"/>
      <c r="EU325" s="42"/>
      <c r="EV325" s="42"/>
      <c r="EW325" s="42"/>
      <c r="EX325" s="42"/>
      <c r="EY325" s="42"/>
      <c r="EZ325" s="42"/>
      <c r="FA325" s="42"/>
      <c r="FB325" s="42"/>
      <c r="FC325" s="42"/>
      <c r="FD325" s="42"/>
      <c r="FE325" s="42"/>
      <c r="FF325" s="42"/>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row>
    <row r="326" spans="1:256" ht="13.8" x14ac:dyDescent="0.3">
      <c r="A326" s="42"/>
      <c r="B326" s="42"/>
      <c r="C326" s="42"/>
      <c r="D326" s="42"/>
      <c r="E326" s="42"/>
      <c r="F326" s="42"/>
      <c r="G326" s="42"/>
      <c r="H326" s="42"/>
      <c r="I326" s="42"/>
      <c r="J326" s="42"/>
      <c r="K326" s="42"/>
      <c r="L326" s="42"/>
      <c r="M326" s="42"/>
      <c r="N326" s="42"/>
      <c r="O326" s="42"/>
      <c r="P326" s="42"/>
      <c r="Q326" s="42"/>
      <c r="R326" s="42"/>
      <c r="S326" s="42"/>
      <c r="T326" s="42"/>
      <c r="U326" s="194"/>
      <c r="V326" s="42"/>
      <c r="W326" s="42"/>
      <c r="X326" s="42"/>
      <c r="Y326" s="42"/>
      <c r="Z326" s="42"/>
      <c r="AA326" s="42"/>
      <c r="AB326" s="195"/>
      <c r="AC326" s="42"/>
      <c r="AD326" s="42"/>
      <c r="AE326" s="195"/>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c r="BM326" s="42"/>
      <c r="BN326" s="42"/>
      <c r="BO326" s="42"/>
      <c r="BP326" s="42"/>
      <c r="BQ326" s="42"/>
      <c r="BR326" s="42"/>
      <c r="BS326" s="42"/>
      <c r="BT326" s="42"/>
      <c r="BU326" s="42"/>
      <c r="BV326" s="42"/>
      <c r="BW326" s="42"/>
      <c r="BX326" s="42"/>
      <c r="BY326" s="42"/>
      <c r="BZ326" s="42"/>
      <c r="CA326" s="42"/>
      <c r="CB326" s="42"/>
      <c r="CC326" s="42"/>
      <c r="CD326" s="42"/>
      <c r="CE326" s="42"/>
      <c r="CF326" s="42"/>
      <c r="CG326" s="42"/>
      <c r="CH326" s="42"/>
      <c r="CI326" s="42"/>
      <c r="CJ326" s="42"/>
      <c r="CK326" s="42"/>
      <c r="CL326" s="42"/>
      <c r="CM326" s="42"/>
      <c r="CN326" s="42"/>
      <c r="CO326" s="42"/>
      <c r="CP326" s="42"/>
      <c r="CQ326" s="42"/>
      <c r="CR326" s="42"/>
      <c r="CS326" s="42"/>
      <c r="CT326" s="42"/>
      <c r="CU326" s="42"/>
      <c r="CV326" s="42"/>
      <c r="CW326" s="42"/>
      <c r="CX326" s="42"/>
      <c r="CY326" s="42"/>
      <c r="CZ326" s="42"/>
      <c r="DA326" s="42"/>
      <c r="DB326" s="42"/>
      <c r="DC326" s="42"/>
      <c r="DD326" s="42"/>
      <c r="DE326" s="42"/>
      <c r="DF326" s="42"/>
      <c r="DG326" s="42"/>
      <c r="DH326" s="42"/>
      <c r="DI326" s="42"/>
      <c r="DJ326" s="42"/>
      <c r="DK326" s="42"/>
      <c r="DL326" s="42"/>
      <c r="DM326" s="42"/>
      <c r="DN326" s="42"/>
      <c r="DO326" s="42"/>
      <c r="DP326" s="42"/>
      <c r="DQ326" s="42"/>
      <c r="DR326" s="42"/>
      <c r="DS326" s="42"/>
      <c r="DT326" s="42"/>
      <c r="DU326" s="42"/>
      <c r="DV326" s="42"/>
      <c r="DW326" s="42"/>
      <c r="DX326" s="42"/>
      <c r="DY326" s="42"/>
      <c r="DZ326" s="42"/>
      <c r="EA326" s="42"/>
      <c r="EB326" s="42"/>
      <c r="EC326" s="42"/>
      <c r="ED326" s="42"/>
      <c r="EE326" s="42"/>
      <c r="EF326" s="42"/>
      <c r="EG326" s="42"/>
      <c r="EH326" s="42"/>
      <c r="EI326" s="42"/>
      <c r="EJ326" s="42"/>
      <c r="EK326" s="42"/>
      <c r="EL326" s="42"/>
      <c r="EM326" s="42"/>
      <c r="EN326" s="42"/>
      <c r="EO326" s="42"/>
      <c r="EP326" s="42"/>
      <c r="EQ326" s="42"/>
      <c r="ER326" s="42"/>
      <c r="ES326" s="42"/>
      <c r="ET326" s="42"/>
      <c r="EU326" s="42"/>
      <c r="EV326" s="42"/>
      <c r="EW326" s="42"/>
      <c r="EX326" s="42"/>
      <c r="EY326" s="42"/>
      <c r="EZ326" s="42"/>
      <c r="FA326" s="42"/>
      <c r="FB326" s="42"/>
      <c r="FC326" s="42"/>
      <c r="FD326" s="42"/>
      <c r="FE326" s="42"/>
      <c r="FF326" s="42"/>
      <c r="FG326" s="42"/>
      <c r="FH326" s="42"/>
      <c r="FI326" s="42"/>
      <c r="FJ326" s="42"/>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row>
    <row r="327" spans="1:256" ht="13.8" x14ac:dyDescent="0.3">
      <c r="A327" s="42"/>
      <c r="B327" s="42"/>
      <c r="C327" s="42"/>
      <c r="D327" s="42"/>
      <c r="E327" s="42"/>
      <c r="F327" s="42"/>
      <c r="G327" s="42"/>
      <c r="H327" s="42"/>
      <c r="I327" s="42"/>
      <c r="J327" s="42"/>
      <c r="K327" s="42"/>
      <c r="L327" s="42"/>
      <c r="M327" s="42"/>
      <c r="N327" s="42"/>
      <c r="O327" s="42"/>
      <c r="P327" s="42"/>
      <c r="Q327" s="42"/>
      <c r="R327" s="42"/>
      <c r="S327" s="42"/>
      <c r="T327" s="42"/>
      <c r="U327" s="194"/>
      <c r="V327" s="42"/>
      <c r="W327" s="42"/>
      <c r="X327" s="42"/>
      <c r="Y327" s="42"/>
      <c r="Z327" s="42"/>
      <c r="AA327" s="42"/>
      <c r="AB327" s="195"/>
      <c r="AC327" s="42"/>
      <c r="AD327" s="42"/>
      <c r="AE327" s="195"/>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42"/>
      <c r="BH327" s="42"/>
      <c r="BI327" s="42"/>
      <c r="BJ327" s="42"/>
      <c r="BK327" s="42"/>
      <c r="BL327" s="42"/>
      <c r="BM327" s="42"/>
      <c r="BN327" s="42"/>
      <c r="BO327" s="42"/>
      <c r="BP327" s="42"/>
      <c r="BQ327" s="42"/>
      <c r="BR327" s="42"/>
      <c r="BS327" s="42"/>
      <c r="BT327" s="42"/>
      <c r="BU327" s="42"/>
      <c r="BV327" s="42"/>
      <c r="BW327" s="42"/>
      <c r="BX327" s="42"/>
      <c r="BY327" s="42"/>
      <c r="BZ327" s="42"/>
      <c r="CA327" s="42"/>
      <c r="CB327" s="42"/>
      <c r="CC327" s="42"/>
      <c r="CD327" s="42"/>
      <c r="CE327" s="42"/>
      <c r="CF327" s="42"/>
      <c r="CG327" s="42"/>
      <c r="CH327" s="42"/>
      <c r="CI327" s="42"/>
      <c r="CJ327" s="42"/>
      <c r="CK327" s="42"/>
      <c r="CL327" s="42"/>
      <c r="CM327" s="42"/>
      <c r="CN327" s="42"/>
      <c r="CO327" s="42"/>
      <c r="CP327" s="42"/>
      <c r="CQ327" s="42"/>
      <c r="CR327" s="42"/>
      <c r="CS327" s="42"/>
      <c r="CT327" s="42"/>
      <c r="CU327" s="42"/>
      <c r="CV327" s="42"/>
      <c r="CW327" s="42"/>
      <c r="CX327" s="42"/>
      <c r="CY327" s="42"/>
      <c r="CZ327" s="42"/>
      <c r="DA327" s="42"/>
      <c r="DB327" s="42"/>
      <c r="DC327" s="42"/>
      <c r="DD327" s="42"/>
      <c r="DE327" s="42"/>
      <c r="DF327" s="42"/>
      <c r="DG327" s="42"/>
      <c r="DH327" s="42"/>
      <c r="DI327" s="42"/>
      <c r="DJ327" s="42"/>
      <c r="DK327" s="42"/>
      <c r="DL327" s="42"/>
      <c r="DM327" s="42"/>
      <c r="DN327" s="42"/>
      <c r="DO327" s="42"/>
      <c r="DP327" s="42"/>
      <c r="DQ327" s="42"/>
      <c r="DR327" s="42"/>
      <c r="DS327" s="42"/>
      <c r="DT327" s="42"/>
      <c r="DU327" s="42"/>
      <c r="DV327" s="42"/>
      <c r="DW327" s="42"/>
      <c r="DX327" s="42"/>
      <c r="DY327" s="42"/>
      <c r="DZ327" s="42"/>
      <c r="EA327" s="42"/>
      <c r="EB327" s="42"/>
      <c r="EC327" s="42"/>
      <c r="ED327" s="42"/>
      <c r="EE327" s="42"/>
      <c r="EF327" s="42"/>
      <c r="EG327" s="42"/>
      <c r="EH327" s="42"/>
      <c r="EI327" s="42"/>
      <c r="EJ327" s="42"/>
      <c r="EK327" s="42"/>
      <c r="EL327" s="42"/>
      <c r="EM327" s="42"/>
      <c r="EN327" s="42"/>
      <c r="EO327" s="42"/>
      <c r="EP327" s="42"/>
      <c r="EQ327" s="42"/>
      <c r="ER327" s="42"/>
      <c r="ES327" s="42"/>
      <c r="ET327" s="42"/>
      <c r="EU327" s="42"/>
      <c r="EV327" s="42"/>
      <c r="EW327" s="42"/>
      <c r="EX327" s="42"/>
      <c r="EY327" s="42"/>
      <c r="EZ327" s="42"/>
      <c r="FA327" s="42"/>
      <c r="FB327" s="42"/>
      <c r="FC327" s="42"/>
      <c r="FD327" s="42"/>
      <c r="FE327" s="42"/>
      <c r="FF327" s="42"/>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row>
    <row r="328" spans="1:256" ht="13.8" x14ac:dyDescent="0.3">
      <c r="A328" s="42"/>
      <c r="B328" s="42"/>
      <c r="C328" s="42"/>
      <c r="D328" s="42"/>
      <c r="E328" s="42"/>
      <c r="F328" s="42"/>
      <c r="G328" s="42"/>
      <c r="H328" s="42"/>
      <c r="I328" s="42"/>
      <c r="J328" s="42"/>
      <c r="K328" s="42"/>
      <c r="L328" s="42"/>
      <c r="M328" s="42"/>
      <c r="N328" s="42"/>
      <c r="O328" s="42"/>
      <c r="P328" s="42"/>
      <c r="Q328" s="42"/>
      <c r="R328" s="42"/>
      <c r="S328" s="42"/>
      <c r="T328" s="42"/>
      <c r="U328" s="194"/>
      <c r="V328" s="42"/>
      <c r="W328" s="42"/>
      <c r="X328" s="42"/>
      <c r="Y328" s="42"/>
      <c r="Z328" s="42"/>
      <c r="AA328" s="42"/>
      <c r="AB328" s="195"/>
      <c r="AC328" s="42"/>
      <c r="AD328" s="42"/>
      <c r="AE328" s="195"/>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42"/>
      <c r="BH328" s="42"/>
      <c r="BI328" s="42"/>
      <c r="BJ328" s="42"/>
      <c r="BK328" s="42"/>
      <c r="BL328" s="42"/>
      <c r="BM328" s="42"/>
      <c r="BN328" s="42"/>
      <c r="BO328" s="42"/>
      <c r="BP328" s="42"/>
      <c r="BQ328" s="42"/>
      <c r="BR328" s="42"/>
      <c r="BS328" s="42"/>
      <c r="BT328" s="42"/>
      <c r="BU328" s="42"/>
      <c r="BV328" s="42"/>
      <c r="BW328" s="42"/>
      <c r="BX328" s="42"/>
      <c r="BY328" s="42"/>
      <c r="BZ328" s="42"/>
      <c r="CA328" s="42"/>
      <c r="CB328" s="42"/>
      <c r="CC328" s="42"/>
      <c r="CD328" s="42"/>
      <c r="CE328" s="42"/>
      <c r="CF328" s="42"/>
      <c r="CG328" s="42"/>
      <c r="CH328" s="42"/>
      <c r="CI328" s="42"/>
      <c r="CJ328" s="42"/>
      <c r="CK328" s="42"/>
      <c r="CL328" s="42"/>
      <c r="CM328" s="42"/>
      <c r="CN328" s="42"/>
      <c r="CO328" s="42"/>
      <c r="CP328" s="42"/>
      <c r="CQ328" s="42"/>
      <c r="CR328" s="42"/>
      <c r="CS328" s="42"/>
      <c r="CT328" s="42"/>
      <c r="CU328" s="42"/>
      <c r="CV328" s="42"/>
      <c r="CW328" s="42"/>
      <c r="CX328" s="42"/>
      <c r="CY328" s="42"/>
      <c r="CZ328" s="42"/>
      <c r="DA328" s="42"/>
      <c r="DB328" s="42"/>
      <c r="DC328" s="42"/>
      <c r="DD328" s="42"/>
      <c r="DE328" s="42"/>
      <c r="DF328" s="42"/>
      <c r="DG328" s="42"/>
      <c r="DH328" s="42"/>
      <c r="DI328" s="42"/>
      <c r="DJ328" s="42"/>
      <c r="DK328" s="42"/>
      <c r="DL328" s="42"/>
      <c r="DM328" s="42"/>
      <c r="DN328" s="42"/>
      <c r="DO328" s="42"/>
      <c r="DP328" s="42"/>
      <c r="DQ328" s="42"/>
      <c r="DR328" s="42"/>
      <c r="DS328" s="42"/>
      <c r="DT328" s="42"/>
      <c r="DU328" s="42"/>
      <c r="DV328" s="42"/>
      <c r="DW328" s="42"/>
      <c r="DX328" s="42"/>
      <c r="DY328" s="42"/>
      <c r="DZ328" s="42"/>
      <c r="EA328" s="42"/>
      <c r="EB328" s="42"/>
      <c r="EC328" s="42"/>
      <c r="ED328" s="42"/>
      <c r="EE328" s="42"/>
      <c r="EF328" s="42"/>
      <c r="EG328" s="42"/>
      <c r="EH328" s="42"/>
      <c r="EI328" s="42"/>
      <c r="EJ328" s="42"/>
      <c r="EK328" s="42"/>
      <c r="EL328" s="42"/>
      <c r="EM328" s="42"/>
      <c r="EN328" s="42"/>
      <c r="EO328" s="42"/>
      <c r="EP328" s="42"/>
      <c r="EQ328" s="42"/>
      <c r="ER328" s="42"/>
      <c r="ES328" s="42"/>
      <c r="ET328" s="42"/>
      <c r="EU328" s="42"/>
      <c r="EV328" s="42"/>
      <c r="EW328" s="42"/>
      <c r="EX328" s="42"/>
      <c r="EY328" s="42"/>
      <c r="EZ328" s="42"/>
      <c r="FA328" s="42"/>
      <c r="FB328" s="42"/>
      <c r="FC328" s="42"/>
      <c r="FD328" s="42"/>
      <c r="FE328" s="42"/>
      <c r="FF328" s="42"/>
      <c r="FG328" s="42"/>
      <c r="FH328" s="42"/>
      <c r="FI328" s="42"/>
      <c r="FJ328" s="42"/>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row>
    <row r="329" spans="1:256" ht="13.8" x14ac:dyDescent="0.3">
      <c r="A329" s="42"/>
      <c r="B329" s="42"/>
      <c r="C329" s="42"/>
      <c r="D329" s="42"/>
      <c r="E329" s="42"/>
      <c r="F329" s="42"/>
      <c r="G329" s="42"/>
      <c r="H329" s="42"/>
      <c r="I329" s="42"/>
      <c r="J329" s="42"/>
      <c r="K329" s="42"/>
      <c r="L329" s="42"/>
      <c r="M329" s="42"/>
      <c r="N329" s="42"/>
      <c r="O329" s="42"/>
      <c r="P329" s="42"/>
      <c r="Q329" s="42"/>
      <c r="R329" s="42"/>
      <c r="S329" s="42"/>
      <c r="T329" s="42"/>
      <c r="U329" s="194"/>
      <c r="V329" s="42"/>
      <c r="W329" s="42"/>
      <c r="X329" s="42"/>
      <c r="Y329" s="42"/>
      <c r="Z329" s="42"/>
      <c r="AA329" s="42"/>
      <c r="AB329" s="195"/>
      <c r="AC329" s="42"/>
      <c r="AD329" s="42"/>
      <c r="AE329" s="195"/>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42"/>
      <c r="BH329" s="42"/>
      <c r="BI329" s="42"/>
      <c r="BJ329" s="42"/>
      <c r="BK329" s="42"/>
      <c r="BL329" s="42"/>
      <c r="BM329" s="42"/>
      <c r="BN329" s="42"/>
      <c r="BO329" s="42"/>
      <c r="BP329" s="42"/>
      <c r="BQ329" s="42"/>
      <c r="BR329" s="42"/>
      <c r="BS329" s="42"/>
      <c r="BT329" s="42"/>
      <c r="BU329" s="42"/>
      <c r="BV329" s="42"/>
      <c r="BW329" s="42"/>
      <c r="BX329" s="42"/>
      <c r="BY329" s="42"/>
      <c r="BZ329" s="42"/>
      <c r="CA329" s="42"/>
      <c r="CB329" s="42"/>
      <c r="CC329" s="42"/>
      <c r="CD329" s="42"/>
      <c r="CE329" s="42"/>
      <c r="CF329" s="42"/>
      <c r="CG329" s="42"/>
      <c r="CH329" s="42"/>
      <c r="CI329" s="42"/>
      <c r="CJ329" s="42"/>
      <c r="CK329" s="42"/>
      <c r="CL329" s="42"/>
      <c r="CM329" s="42"/>
      <c r="CN329" s="42"/>
      <c r="CO329" s="42"/>
      <c r="CP329" s="42"/>
      <c r="CQ329" s="42"/>
      <c r="CR329" s="42"/>
      <c r="CS329" s="42"/>
      <c r="CT329" s="42"/>
      <c r="CU329" s="42"/>
      <c r="CV329" s="42"/>
      <c r="CW329" s="42"/>
      <c r="CX329" s="42"/>
      <c r="CY329" s="42"/>
      <c r="CZ329" s="42"/>
      <c r="DA329" s="42"/>
      <c r="DB329" s="42"/>
      <c r="DC329" s="42"/>
      <c r="DD329" s="42"/>
      <c r="DE329" s="42"/>
      <c r="DF329" s="42"/>
      <c r="DG329" s="42"/>
      <c r="DH329" s="42"/>
      <c r="DI329" s="42"/>
      <c r="DJ329" s="42"/>
      <c r="DK329" s="42"/>
      <c r="DL329" s="42"/>
      <c r="DM329" s="42"/>
      <c r="DN329" s="42"/>
      <c r="DO329" s="42"/>
      <c r="DP329" s="42"/>
      <c r="DQ329" s="42"/>
      <c r="DR329" s="42"/>
      <c r="DS329" s="42"/>
      <c r="DT329" s="42"/>
      <c r="DU329" s="42"/>
      <c r="DV329" s="42"/>
      <c r="DW329" s="42"/>
      <c r="DX329" s="42"/>
      <c r="DY329" s="42"/>
      <c r="DZ329" s="42"/>
      <c r="EA329" s="42"/>
      <c r="EB329" s="42"/>
      <c r="EC329" s="42"/>
      <c r="ED329" s="42"/>
      <c r="EE329" s="42"/>
      <c r="EF329" s="42"/>
      <c r="EG329" s="42"/>
      <c r="EH329" s="42"/>
      <c r="EI329" s="42"/>
      <c r="EJ329" s="42"/>
      <c r="EK329" s="42"/>
      <c r="EL329" s="42"/>
      <c r="EM329" s="42"/>
      <c r="EN329" s="42"/>
      <c r="EO329" s="42"/>
      <c r="EP329" s="42"/>
      <c r="EQ329" s="42"/>
      <c r="ER329" s="42"/>
      <c r="ES329" s="42"/>
      <c r="ET329" s="42"/>
      <c r="EU329" s="42"/>
      <c r="EV329" s="42"/>
      <c r="EW329" s="42"/>
      <c r="EX329" s="42"/>
      <c r="EY329" s="42"/>
      <c r="EZ329" s="42"/>
      <c r="FA329" s="42"/>
      <c r="FB329" s="42"/>
      <c r="FC329" s="42"/>
      <c r="FD329" s="42"/>
      <c r="FE329" s="42"/>
      <c r="FF329" s="42"/>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row>
    <row r="330" spans="1:256" ht="13.8" x14ac:dyDescent="0.3">
      <c r="A330" s="42"/>
      <c r="B330" s="42"/>
      <c r="C330" s="42"/>
      <c r="D330" s="42"/>
      <c r="E330" s="42"/>
      <c r="F330" s="42"/>
      <c r="G330" s="42"/>
      <c r="H330" s="42"/>
      <c r="I330" s="42"/>
      <c r="J330" s="42"/>
      <c r="K330" s="42"/>
      <c r="L330" s="42"/>
      <c r="M330" s="42"/>
      <c r="N330" s="42"/>
      <c r="O330" s="42"/>
      <c r="P330" s="42"/>
      <c r="Q330" s="42"/>
      <c r="R330" s="42"/>
      <c r="S330" s="42"/>
      <c r="T330" s="42"/>
      <c r="U330" s="194"/>
      <c r="V330" s="42"/>
      <c r="W330" s="42"/>
      <c r="X330" s="42"/>
      <c r="Y330" s="42"/>
      <c r="Z330" s="42"/>
      <c r="AA330" s="42"/>
      <c r="AB330" s="195"/>
      <c r="AC330" s="42"/>
      <c r="AD330" s="42"/>
      <c r="AE330" s="195"/>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42"/>
      <c r="BH330" s="42"/>
      <c r="BI330" s="42"/>
      <c r="BJ330" s="42"/>
      <c r="BK330" s="42"/>
      <c r="BL330" s="42"/>
      <c r="BM330" s="42"/>
      <c r="BN330" s="42"/>
      <c r="BO330" s="42"/>
      <c r="BP330" s="42"/>
      <c r="BQ330" s="42"/>
      <c r="BR330" s="42"/>
      <c r="BS330" s="42"/>
      <c r="BT330" s="42"/>
      <c r="BU330" s="42"/>
      <c r="BV330" s="42"/>
      <c r="BW330" s="42"/>
      <c r="BX330" s="42"/>
      <c r="BY330" s="42"/>
      <c r="BZ330" s="42"/>
      <c r="CA330" s="42"/>
      <c r="CB330" s="42"/>
      <c r="CC330" s="42"/>
      <c r="CD330" s="42"/>
      <c r="CE330" s="42"/>
      <c r="CF330" s="42"/>
      <c r="CG330" s="42"/>
      <c r="CH330" s="42"/>
      <c r="CI330" s="42"/>
      <c r="CJ330" s="42"/>
      <c r="CK330" s="42"/>
      <c r="CL330" s="42"/>
      <c r="CM330" s="42"/>
      <c r="CN330" s="42"/>
      <c r="CO330" s="42"/>
      <c r="CP330" s="42"/>
      <c r="CQ330" s="42"/>
      <c r="CR330" s="42"/>
      <c r="CS330" s="42"/>
      <c r="CT330" s="42"/>
      <c r="CU330" s="42"/>
      <c r="CV330" s="42"/>
      <c r="CW330" s="42"/>
      <c r="CX330" s="42"/>
      <c r="CY330" s="42"/>
      <c r="CZ330" s="42"/>
      <c r="DA330" s="42"/>
      <c r="DB330" s="42"/>
      <c r="DC330" s="42"/>
      <c r="DD330" s="42"/>
      <c r="DE330" s="42"/>
      <c r="DF330" s="42"/>
      <c r="DG330" s="42"/>
      <c r="DH330" s="42"/>
      <c r="DI330" s="42"/>
      <c r="DJ330" s="42"/>
      <c r="DK330" s="42"/>
      <c r="DL330" s="42"/>
      <c r="DM330" s="42"/>
      <c r="DN330" s="42"/>
      <c r="DO330" s="42"/>
      <c r="DP330" s="42"/>
      <c r="DQ330" s="42"/>
      <c r="DR330" s="42"/>
      <c r="DS330" s="42"/>
      <c r="DT330" s="42"/>
      <c r="DU330" s="42"/>
      <c r="DV330" s="42"/>
      <c r="DW330" s="42"/>
      <c r="DX330" s="42"/>
      <c r="DY330" s="42"/>
      <c r="DZ330" s="42"/>
      <c r="EA330" s="42"/>
      <c r="EB330" s="42"/>
      <c r="EC330" s="42"/>
      <c r="ED330" s="42"/>
      <c r="EE330" s="42"/>
      <c r="EF330" s="42"/>
      <c r="EG330" s="42"/>
      <c r="EH330" s="42"/>
      <c r="EI330" s="42"/>
      <c r="EJ330" s="42"/>
      <c r="EK330" s="42"/>
      <c r="EL330" s="42"/>
      <c r="EM330" s="42"/>
      <c r="EN330" s="42"/>
      <c r="EO330" s="42"/>
      <c r="EP330" s="42"/>
      <c r="EQ330" s="42"/>
      <c r="ER330" s="42"/>
      <c r="ES330" s="42"/>
      <c r="ET330" s="42"/>
      <c r="EU330" s="42"/>
      <c r="EV330" s="42"/>
      <c r="EW330" s="42"/>
      <c r="EX330" s="42"/>
      <c r="EY330" s="42"/>
      <c r="EZ330" s="42"/>
      <c r="FA330" s="42"/>
      <c r="FB330" s="42"/>
      <c r="FC330" s="42"/>
      <c r="FD330" s="42"/>
      <c r="FE330" s="42"/>
      <c r="FF330" s="42"/>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row>
    <row r="331" spans="1:256" ht="13.8" x14ac:dyDescent="0.3">
      <c r="A331" s="42"/>
      <c r="B331" s="42"/>
      <c r="C331" s="42"/>
      <c r="D331" s="42"/>
      <c r="E331" s="42"/>
      <c r="F331" s="42"/>
      <c r="G331" s="42"/>
      <c r="H331" s="42"/>
      <c r="I331" s="42"/>
      <c r="J331" s="42"/>
      <c r="K331" s="42"/>
      <c r="L331" s="42"/>
      <c r="M331" s="42"/>
      <c r="N331" s="42"/>
      <c r="O331" s="42"/>
      <c r="P331" s="42"/>
      <c r="Q331" s="42"/>
      <c r="R331" s="42"/>
      <c r="S331" s="42"/>
      <c r="T331" s="42"/>
      <c r="U331" s="194"/>
      <c r="V331" s="42"/>
      <c r="W331" s="42"/>
      <c r="X331" s="42"/>
      <c r="Y331" s="42"/>
      <c r="Z331" s="42"/>
      <c r="AA331" s="42"/>
      <c r="AB331" s="195"/>
      <c r="AC331" s="42"/>
      <c r="AD331" s="42"/>
      <c r="AE331" s="195"/>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c r="BM331" s="42"/>
      <c r="BN331" s="42"/>
      <c r="BO331" s="42"/>
      <c r="BP331" s="42"/>
      <c r="BQ331" s="42"/>
      <c r="BR331" s="42"/>
      <c r="BS331" s="42"/>
      <c r="BT331" s="42"/>
      <c r="BU331" s="42"/>
      <c r="BV331" s="42"/>
      <c r="BW331" s="42"/>
      <c r="BX331" s="42"/>
      <c r="BY331" s="42"/>
      <c r="BZ331" s="42"/>
      <c r="CA331" s="42"/>
      <c r="CB331" s="42"/>
      <c r="CC331" s="42"/>
      <c r="CD331" s="42"/>
      <c r="CE331" s="42"/>
      <c r="CF331" s="42"/>
      <c r="CG331" s="42"/>
      <c r="CH331" s="42"/>
      <c r="CI331" s="42"/>
      <c r="CJ331" s="42"/>
      <c r="CK331" s="42"/>
      <c r="CL331" s="42"/>
      <c r="CM331" s="42"/>
      <c r="CN331" s="42"/>
      <c r="CO331" s="42"/>
      <c r="CP331" s="42"/>
      <c r="CQ331" s="42"/>
      <c r="CR331" s="42"/>
      <c r="CS331" s="42"/>
      <c r="CT331" s="42"/>
      <c r="CU331" s="42"/>
      <c r="CV331" s="42"/>
      <c r="CW331" s="42"/>
      <c r="CX331" s="42"/>
      <c r="CY331" s="42"/>
      <c r="CZ331" s="42"/>
      <c r="DA331" s="42"/>
      <c r="DB331" s="42"/>
      <c r="DC331" s="42"/>
      <c r="DD331" s="42"/>
      <c r="DE331" s="42"/>
      <c r="DF331" s="42"/>
      <c r="DG331" s="42"/>
      <c r="DH331" s="42"/>
      <c r="DI331" s="42"/>
      <c r="DJ331" s="42"/>
      <c r="DK331" s="42"/>
      <c r="DL331" s="42"/>
      <c r="DM331" s="42"/>
      <c r="DN331" s="42"/>
      <c r="DO331" s="42"/>
      <c r="DP331" s="42"/>
      <c r="DQ331" s="42"/>
      <c r="DR331" s="42"/>
      <c r="DS331" s="42"/>
      <c r="DT331" s="42"/>
      <c r="DU331" s="42"/>
      <c r="DV331" s="42"/>
      <c r="DW331" s="42"/>
      <c r="DX331" s="42"/>
      <c r="DY331" s="42"/>
      <c r="DZ331" s="42"/>
      <c r="EA331" s="42"/>
      <c r="EB331" s="42"/>
      <c r="EC331" s="42"/>
      <c r="ED331" s="42"/>
      <c r="EE331" s="42"/>
      <c r="EF331" s="42"/>
      <c r="EG331" s="42"/>
      <c r="EH331" s="42"/>
      <c r="EI331" s="42"/>
      <c r="EJ331" s="42"/>
      <c r="EK331" s="42"/>
      <c r="EL331" s="42"/>
      <c r="EM331" s="42"/>
      <c r="EN331" s="42"/>
      <c r="EO331" s="42"/>
      <c r="EP331" s="42"/>
      <c r="EQ331" s="42"/>
      <c r="ER331" s="42"/>
      <c r="ES331" s="42"/>
      <c r="ET331" s="42"/>
      <c r="EU331" s="42"/>
      <c r="EV331" s="42"/>
      <c r="EW331" s="42"/>
      <c r="EX331" s="42"/>
      <c r="EY331" s="42"/>
      <c r="EZ331" s="42"/>
      <c r="FA331" s="42"/>
      <c r="FB331" s="42"/>
      <c r="FC331" s="42"/>
      <c r="FD331" s="42"/>
      <c r="FE331" s="42"/>
      <c r="FF331" s="42"/>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row>
    <row r="332" spans="1:256" ht="13.8" x14ac:dyDescent="0.3">
      <c r="A332" s="42"/>
      <c r="B332" s="42"/>
      <c r="C332" s="42"/>
      <c r="D332" s="42"/>
      <c r="E332" s="42"/>
      <c r="F332" s="42"/>
      <c r="G332" s="42"/>
      <c r="H332" s="42"/>
      <c r="I332" s="42"/>
      <c r="J332" s="42"/>
      <c r="K332" s="42"/>
      <c r="L332" s="42"/>
      <c r="M332" s="42"/>
      <c r="N332" s="42"/>
      <c r="O332" s="42"/>
      <c r="P332" s="42"/>
      <c r="Q332" s="42"/>
      <c r="R332" s="42"/>
      <c r="S332" s="42"/>
      <c r="T332" s="42"/>
      <c r="U332" s="194"/>
      <c r="V332" s="42"/>
      <c r="W332" s="42"/>
      <c r="X332" s="42"/>
      <c r="Y332" s="42"/>
      <c r="Z332" s="42"/>
      <c r="AA332" s="42"/>
      <c r="AB332" s="195"/>
      <c r="AC332" s="42"/>
      <c r="AD332" s="42"/>
      <c r="AE332" s="195"/>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42"/>
      <c r="BH332" s="42"/>
      <c r="BI332" s="42"/>
      <c r="BJ332" s="42"/>
      <c r="BK332" s="42"/>
      <c r="BL332" s="42"/>
      <c r="BM332" s="42"/>
      <c r="BN332" s="42"/>
      <c r="BO332" s="42"/>
      <c r="BP332" s="42"/>
      <c r="BQ332" s="42"/>
      <c r="BR332" s="42"/>
      <c r="BS332" s="42"/>
      <c r="BT332" s="42"/>
      <c r="BU332" s="42"/>
      <c r="BV332" s="42"/>
      <c r="BW332" s="42"/>
      <c r="BX332" s="42"/>
      <c r="BY332" s="42"/>
      <c r="BZ332" s="42"/>
      <c r="CA332" s="42"/>
      <c r="CB332" s="42"/>
      <c r="CC332" s="42"/>
      <c r="CD332" s="42"/>
      <c r="CE332" s="42"/>
      <c r="CF332" s="42"/>
      <c r="CG332" s="42"/>
      <c r="CH332" s="42"/>
      <c r="CI332" s="42"/>
      <c r="CJ332" s="42"/>
      <c r="CK332" s="42"/>
      <c r="CL332" s="42"/>
      <c r="CM332" s="42"/>
      <c r="CN332" s="42"/>
      <c r="CO332" s="42"/>
      <c r="CP332" s="42"/>
      <c r="CQ332" s="42"/>
      <c r="CR332" s="42"/>
      <c r="CS332" s="42"/>
      <c r="CT332" s="42"/>
      <c r="CU332" s="42"/>
      <c r="CV332" s="42"/>
      <c r="CW332" s="42"/>
      <c r="CX332" s="42"/>
      <c r="CY332" s="42"/>
      <c r="CZ332" s="42"/>
      <c r="DA332" s="42"/>
      <c r="DB332" s="42"/>
      <c r="DC332" s="42"/>
      <c r="DD332" s="42"/>
      <c r="DE332" s="42"/>
      <c r="DF332" s="42"/>
      <c r="DG332" s="42"/>
      <c r="DH332" s="42"/>
      <c r="DI332" s="42"/>
      <c r="DJ332" s="42"/>
      <c r="DK332" s="42"/>
      <c r="DL332" s="42"/>
      <c r="DM332" s="42"/>
      <c r="DN332" s="42"/>
      <c r="DO332" s="42"/>
      <c r="DP332" s="42"/>
      <c r="DQ332" s="42"/>
      <c r="DR332" s="42"/>
      <c r="DS332" s="42"/>
      <c r="DT332" s="42"/>
      <c r="DU332" s="42"/>
      <c r="DV332" s="42"/>
      <c r="DW332" s="42"/>
      <c r="DX332" s="42"/>
      <c r="DY332" s="42"/>
      <c r="DZ332" s="42"/>
      <c r="EA332" s="42"/>
      <c r="EB332" s="42"/>
      <c r="EC332" s="42"/>
      <c r="ED332" s="42"/>
      <c r="EE332" s="42"/>
      <c r="EF332" s="42"/>
      <c r="EG332" s="42"/>
      <c r="EH332" s="42"/>
      <c r="EI332" s="42"/>
      <c r="EJ332" s="42"/>
      <c r="EK332" s="42"/>
      <c r="EL332" s="42"/>
      <c r="EM332" s="42"/>
      <c r="EN332" s="42"/>
      <c r="EO332" s="42"/>
      <c r="EP332" s="42"/>
      <c r="EQ332" s="42"/>
      <c r="ER332" s="42"/>
      <c r="ES332" s="42"/>
      <c r="ET332" s="42"/>
      <c r="EU332" s="42"/>
      <c r="EV332" s="42"/>
      <c r="EW332" s="42"/>
      <c r="EX332" s="42"/>
      <c r="EY332" s="42"/>
      <c r="EZ332" s="42"/>
      <c r="FA332" s="42"/>
      <c r="FB332" s="42"/>
      <c r="FC332" s="42"/>
      <c r="FD332" s="42"/>
      <c r="FE332" s="42"/>
      <c r="FF332" s="42"/>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row>
    <row r="333" spans="1:256" ht="13.8" x14ac:dyDescent="0.3">
      <c r="A333" s="42"/>
      <c r="B333" s="42"/>
      <c r="C333" s="42"/>
      <c r="D333" s="42"/>
      <c r="E333" s="42"/>
      <c r="F333" s="42"/>
      <c r="G333" s="42"/>
      <c r="H333" s="42"/>
      <c r="I333" s="42"/>
      <c r="J333" s="42"/>
      <c r="K333" s="42"/>
      <c r="L333" s="42"/>
      <c r="M333" s="42"/>
      <c r="N333" s="42"/>
      <c r="O333" s="42"/>
      <c r="P333" s="42"/>
      <c r="Q333" s="42"/>
      <c r="R333" s="42"/>
      <c r="S333" s="42"/>
      <c r="T333" s="42"/>
      <c r="U333" s="194"/>
      <c r="V333" s="42"/>
      <c r="W333" s="42"/>
      <c r="X333" s="42"/>
      <c r="Y333" s="42"/>
      <c r="Z333" s="42"/>
      <c r="AA333" s="42"/>
      <c r="AB333" s="195"/>
      <c r="AC333" s="42"/>
      <c r="AD333" s="42"/>
      <c r="AE333" s="195"/>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42"/>
      <c r="BH333" s="42"/>
      <c r="BI333" s="42"/>
      <c r="BJ333" s="42"/>
      <c r="BK333" s="42"/>
      <c r="BL333" s="42"/>
      <c r="BM333" s="42"/>
      <c r="BN333" s="42"/>
      <c r="BO333" s="42"/>
      <c r="BP333" s="42"/>
      <c r="BQ333" s="42"/>
      <c r="BR333" s="42"/>
      <c r="BS333" s="42"/>
      <c r="BT333" s="42"/>
      <c r="BU333" s="42"/>
      <c r="BV333" s="42"/>
      <c r="BW333" s="42"/>
      <c r="BX333" s="42"/>
      <c r="BY333" s="42"/>
      <c r="BZ333" s="42"/>
      <c r="CA333" s="42"/>
      <c r="CB333" s="42"/>
      <c r="CC333" s="42"/>
      <c r="CD333" s="42"/>
      <c r="CE333" s="42"/>
      <c r="CF333" s="42"/>
      <c r="CG333" s="42"/>
      <c r="CH333" s="42"/>
      <c r="CI333" s="42"/>
      <c r="CJ333" s="42"/>
      <c r="CK333" s="42"/>
      <c r="CL333" s="42"/>
      <c r="CM333" s="42"/>
      <c r="CN333" s="42"/>
      <c r="CO333" s="42"/>
      <c r="CP333" s="42"/>
      <c r="CQ333" s="42"/>
      <c r="CR333" s="42"/>
      <c r="CS333" s="42"/>
      <c r="CT333" s="42"/>
      <c r="CU333" s="42"/>
      <c r="CV333" s="42"/>
      <c r="CW333" s="42"/>
      <c r="CX333" s="42"/>
      <c r="CY333" s="42"/>
      <c r="CZ333" s="42"/>
      <c r="DA333" s="42"/>
      <c r="DB333" s="42"/>
      <c r="DC333" s="42"/>
      <c r="DD333" s="42"/>
      <c r="DE333" s="42"/>
      <c r="DF333" s="42"/>
      <c r="DG333" s="42"/>
      <c r="DH333" s="42"/>
      <c r="DI333" s="42"/>
      <c r="DJ333" s="42"/>
      <c r="DK333" s="42"/>
      <c r="DL333" s="42"/>
      <c r="DM333" s="42"/>
      <c r="DN333" s="42"/>
      <c r="DO333" s="42"/>
      <c r="DP333" s="42"/>
      <c r="DQ333" s="42"/>
      <c r="DR333" s="42"/>
      <c r="DS333" s="42"/>
      <c r="DT333" s="42"/>
      <c r="DU333" s="42"/>
      <c r="DV333" s="42"/>
      <c r="DW333" s="42"/>
      <c r="DX333" s="42"/>
      <c r="DY333" s="42"/>
      <c r="DZ333" s="42"/>
      <c r="EA333" s="42"/>
      <c r="EB333" s="42"/>
      <c r="EC333" s="42"/>
      <c r="ED333" s="42"/>
      <c r="EE333" s="42"/>
      <c r="EF333" s="42"/>
      <c r="EG333" s="42"/>
      <c r="EH333" s="42"/>
      <c r="EI333" s="42"/>
      <c r="EJ333" s="42"/>
      <c r="EK333" s="42"/>
      <c r="EL333" s="42"/>
      <c r="EM333" s="42"/>
      <c r="EN333" s="42"/>
      <c r="EO333" s="42"/>
      <c r="EP333" s="42"/>
      <c r="EQ333" s="42"/>
      <c r="ER333" s="42"/>
      <c r="ES333" s="42"/>
      <c r="ET333" s="42"/>
      <c r="EU333" s="42"/>
      <c r="EV333" s="42"/>
      <c r="EW333" s="42"/>
      <c r="EX333" s="42"/>
      <c r="EY333" s="42"/>
      <c r="EZ333" s="42"/>
      <c r="FA333" s="42"/>
      <c r="FB333" s="42"/>
      <c r="FC333" s="42"/>
      <c r="FD333" s="42"/>
      <c r="FE333" s="42"/>
      <c r="FF333" s="42"/>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row>
    <row r="334" spans="1:256" ht="13.8" x14ac:dyDescent="0.3">
      <c r="A334" s="42"/>
      <c r="B334" s="42"/>
      <c r="C334" s="42"/>
      <c r="D334" s="42"/>
      <c r="E334" s="42"/>
      <c r="F334" s="42"/>
      <c r="G334" s="42"/>
      <c r="H334" s="42"/>
      <c r="I334" s="42"/>
      <c r="J334" s="42"/>
      <c r="K334" s="42"/>
      <c r="L334" s="42"/>
      <c r="M334" s="42"/>
      <c r="N334" s="42"/>
      <c r="O334" s="42"/>
      <c r="P334" s="42"/>
      <c r="Q334" s="42"/>
      <c r="R334" s="42"/>
      <c r="S334" s="42"/>
      <c r="T334" s="42"/>
      <c r="U334" s="194"/>
      <c r="V334" s="42"/>
      <c r="W334" s="42"/>
      <c r="X334" s="42"/>
      <c r="Y334" s="42"/>
      <c r="Z334" s="42"/>
      <c r="AA334" s="42"/>
      <c r="AB334" s="195"/>
      <c r="AC334" s="42"/>
      <c r="AD334" s="42"/>
      <c r="AE334" s="195"/>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42"/>
      <c r="BH334" s="42"/>
      <c r="BI334" s="42"/>
      <c r="BJ334" s="42"/>
      <c r="BK334" s="42"/>
      <c r="BL334" s="42"/>
      <c r="BM334" s="42"/>
      <c r="BN334" s="42"/>
      <c r="BO334" s="42"/>
      <c r="BP334" s="42"/>
      <c r="BQ334" s="42"/>
      <c r="BR334" s="42"/>
      <c r="BS334" s="42"/>
      <c r="BT334" s="42"/>
      <c r="BU334" s="42"/>
      <c r="BV334" s="42"/>
      <c r="BW334" s="42"/>
      <c r="BX334" s="42"/>
      <c r="BY334" s="42"/>
      <c r="BZ334" s="42"/>
      <c r="CA334" s="42"/>
      <c r="CB334" s="42"/>
      <c r="CC334" s="42"/>
      <c r="CD334" s="42"/>
      <c r="CE334" s="42"/>
      <c r="CF334" s="42"/>
      <c r="CG334" s="42"/>
      <c r="CH334" s="42"/>
      <c r="CI334" s="42"/>
      <c r="CJ334" s="42"/>
      <c r="CK334" s="42"/>
      <c r="CL334" s="42"/>
      <c r="CM334" s="42"/>
      <c r="CN334" s="42"/>
      <c r="CO334" s="42"/>
      <c r="CP334" s="42"/>
      <c r="CQ334" s="42"/>
      <c r="CR334" s="42"/>
      <c r="CS334" s="42"/>
      <c r="CT334" s="42"/>
      <c r="CU334" s="42"/>
      <c r="CV334" s="42"/>
      <c r="CW334" s="42"/>
      <c r="CX334" s="42"/>
      <c r="CY334" s="42"/>
      <c r="CZ334" s="42"/>
      <c r="DA334" s="42"/>
      <c r="DB334" s="42"/>
      <c r="DC334" s="42"/>
      <c r="DD334" s="42"/>
      <c r="DE334" s="42"/>
      <c r="DF334" s="42"/>
      <c r="DG334" s="42"/>
      <c r="DH334" s="42"/>
      <c r="DI334" s="42"/>
      <c r="DJ334" s="42"/>
      <c r="DK334" s="42"/>
      <c r="DL334" s="42"/>
      <c r="DM334" s="42"/>
      <c r="DN334" s="42"/>
      <c r="DO334" s="42"/>
      <c r="DP334" s="42"/>
      <c r="DQ334" s="42"/>
      <c r="DR334" s="42"/>
      <c r="DS334" s="42"/>
      <c r="DT334" s="42"/>
      <c r="DU334" s="42"/>
      <c r="DV334" s="42"/>
      <c r="DW334" s="42"/>
      <c r="DX334" s="42"/>
      <c r="DY334" s="42"/>
      <c r="DZ334" s="42"/>
      <c r="EA334" s="42"/>
      <c r="EB334" s="42"/>
      <c r="EC334" s="42"/>
      <c r="ED334" s="42"/>
      <c r="EE334" s="42"/>
      <c r="EF334" s="42"/>
      <c r="EG334" s="42"/>
      <c r="EH334" s="42"/>
      <c r="EI334" s="42"/>
      <c r="EJ334" s="42"/>
      <c r="EK334" s="42"/>
      <c r="EL334" s="42"/>
      <c r="EM334" s="42"/>
      <c r="EN334" s="42"/>
      <c r="EO334" s="42"/>
      <c r="EP334" s="42"/>
      <c r="EQ334" s="42"/>
      <c r="ER334" s="42"/>
      <c r="ES334" s="42"/>
      <c r="ET334" s="42"/>
      <c r="EU334" s="42"/>
      <c r="EV334" s="42"/>
      <c r="EW334" s="42"/>
      <c r="EX334" s="42"/>
      <c r="EY334" s="42"/>
      <c r="EZ334" s="42"/>
      <c r="FA334" s="42"/>
      <c r="FB334" s="42"/>
      <c r="FC334" s="42"/>
      <c r="FD334" s="42"/>
      <c r="FE334" s="42"/>
      <c r="FF334" s="42"/>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row>
    <row r="335" spans="1:256" ht="13.8" x14ac:dyDescent="0.3">
      <c r="A335" s="42"/>
      <c r="B335" s="42"/>
      <c r="C335" s="42"/>
      <c r="D335" s="42"/>
      <c r="E335" s="42"/>
      <c r="F335" s="42"/>
      <c r="G335" s="42"/>
      <c r="H335" s="42"/>
      <c r="I335" s="42"/>
      <c r="J335" s="42"/>
      <c r="K335" s="42"/>
      <c r="L335" s="42"/>
      <c r="M335" s="42"/>
      <c r="N335" s="42"/>
      <c r="O335" s="42"/>
      <c r="P335" s="42"/>
      <c r="Q335" s="42"/>
      <c r="R335" s="42"/>
      <c r="S335" s="42"/>
      <c r="T335" s="42"/>
      <c r="U335" s="194"/>
      <c r="V335" s="42"/>
      <c r="W335" s="42"/>
      <c r="X335" s="42"/>
      <c r="Y335" s="42"/>
      <c r="Z335" s="42"/>
      <c r="AA335" s="42"/>
      <c r="AB335" s="195"/>
      <c r="AC335" s="42"/>
      <c r="AD335" s="42"/>
      <c r="AE335" s="195"/>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42"/>
      <c r="BH335" s="42"/>
      <c r="BI335" s="42"/>
      <c r="BJ335" s="42"/>
      <c r="BK335" s="42"/>
      <c r="BL335" s="42"/>
      <c r="BM335" s="42"/>
      <c r="BN335" s="42"/>
      <c r="BO335" s="42"/>
      <c r="BP335" s="42"/>
      <c r="BQ335" s="42"/>
      <c r="BR335" s="42"/>
      <c r="BS335" s="42"/>
      <c r="BT335" s="42"/>
      <c r="BU335" s="42"/>
      <c r="BV335" s="42"/>
      <c r="BW335" s="42"/>
      <c r="BX335" s="42"/>
      <c r="BY335" s="42"/>
      <c r="BZ335" s="42"/>
      <c r="CA335" s="42"/>
      <c r="CB335" s="42"/>
      <c r="CC335" s="42"/>
      <c r="CD335" s="42"/>
      <c r="CE335" s="42"/>
      <c r="CF335" s="42"/>
      <c r="CG335" s="42"/>
      <c r="CH335" s="42"/>
      <c r="CI335" s="42"/>
      <c r="CJ335" s="42"/>
      <c r="CK335" s="42"/>
      <c r="CL335" s="42"/>
      <c r="CM335" s="42"/>
      <c r="CN335" s="42"/>
      <c r="CO335" s="42"/>
      <c r="CP335" s="42"/>
      <c r="CQ335" s="42"/>
      <c r="CR335" s="42"/>
      <c r="CS335" s="42"/>
      <c r="CT335" s="42"/>
      <c r="CU335" s="42"/>
      <c r="CV335" s="42"/>
      <c r="CW335" s="42"/>
      <c r="CX335" s="42"/>
      <c r="CY335" s="42"/>
      <c r="CZ335" s="42"/>
      <c r="DA335" s="42"/>
      <c r="DB335" s="42"/>
      <c r="DC335" s="42"/>
      <c r="DD335" s="42"/>
      <c r="DE335" s="42"/>
      <c r="DF335" s="42"/>
      <c r="DG335" s="42"/>
      <c r="DH335" s="42"/>
      <c r="DI335" s="42"/>
      <c r="DJ335" s="42"/>
      <c r="DK335" s="42"/>
      <c r="DL335" s="42"/>
      <c r="DM335" s="42"/>
      <c r="DN335" s="42"/>
      <c r="DO335" s="42"/>
      <c r="DP335" s="42"/>
      <c r="DQ335" s="42"/>
      <c r="DR335" s="42"/>
      <c r="DS335" s="42"/>
      <c r="DT335" s="42"/>
      <c r="DU335" s="42"/>
      <c r="DV335" s="42"/>
      <c r="DW335" s="42"/>
      <c r="DX335" s="42"/>
      <c r="DY335" s="42"/>
      <c r="DZ335" s="42"/>
      <c r="EA335" s="42"/>
      <c r="EB335" s="42"/>
      <c r="EC335" s="42"/>
      <c r="ED335" s="42"/>
      <c r="EE335" s="42"/>
      <c r="EF335" s="42"/>
      <c r="EG335" s="42"/>
      <c r="EH335" s="42"/>
      <c r="EI335" s="42"/>
      <c r="EJ335" s="42"/>
      <c r="EK335" s="42"/>
      <c r="EL335" s="42"/>
      <c r="EM335" s="42"/>
      <c r="EN335" s="42"/>
      <c r="EO335" s="42"/>
      <c r="EP335" s="42"/>
      <c r="EQ335" s="42"/>
      <c r="ER335" s="42"/>
      <c r="ES335" s="42"/>
      <c r="ET335" s="42"/>
      <c r="EU335" s="42"/>
      <c r="EV335" s="42"/>
      <c r="EW335" s="42"/>
      <c r="EX335" s="42"/>
      <c r="EY335" s="42"/>
      <c r="EZ335" s="42"/>
      <c r="FA335" s="42"/>
      <c r="FB335" s="42"/>
      <c r="FC335" s="42"/>
      <c r="FD335" s="42"/>
      <c r="FE335" s="42"/>
      <c r="FF335" s="42"/>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row>
    <row r="336" spans="1:256" ht="13.8" x14ac:dyDescent="0.3">
      <c r="A336" s="42"/>
      <c r="B336" s="42"/>
      <c r="C336" s="42"/>
      <c r="D336" s="42"/>
      <c r="E336" s="42"/>
      <c r="F336" s="42"/>
      <c r="G336" s="42"/>
      <c r="H336" s="42"/>
      <c r="I336" s="42"/>
      <c r="J336" s="42"/>
      <c r="K336" s="42"/>
      <c r="L336" s="42"/>
      <c r="M336" s="42"/>
      <c r="N336" s="42"/>
      <c r="O336" s="42"/>
      <c r="P336" s="42"/>
      <c r="Q336" s="42"/>
      <c r="R336" s="42"/>
      <c r="S336" s="42"/>
      <c r="T336" s="42"/>
      <c r="U336" s="194"/>
      <c r="V336" s="42"/>
      <c r="W336" s="42"/>
      <c r="X336" s="42"/>
      <c r="Y336" s="42"/>
      <c r="Z336" s="42"/>
      <c r="AA336" s="42"/>
      <c r="AB336" s="195"/>
      <c r="AC336" s="42"/>
      <c r="AD336" s="42"/>
      <c r="AE336" s="195"/>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42"/>
      <c r="BH336" s="42"/>
      <c r="BI336" s="42"/>
      <c r="BJ336" s="42"/>
      <c r="BK336" s="42"/>
      <c r="BL336" s="42"/>
      <c r="BM336" s="42"/>
      <c r="BN336" s="42"/>
      <c r="BO336" s="42"/>
      <c r="BP336" s="42"/>
      <c r="BQ336" s="42"/>
      <c r="BR336" s="42"/>
      <c r="BS336" s="42"/>
      <c r="BT336" s="42"/>
      <c r="BU336" s="42"/>
      <c r="BV336" s="42"/>
      <c r="BW336" s="42"/>
      <c r="BX336" s="42"/>
      <c r="BY336" s="42"/>
      <c r="BZ336" s="42"/>
      <c r="CA336" s="42"/>
      <c r="CB336" s="42"/>
      <c r="CC336" s="42"/>
      <c r="CD336" s="42"/>
      <c r="CE336" s="42"/>
      <c r="CF336" s="42"/>
      <c r="CG336" s="42"/>
      <c r="CH336" s="42"/>
      <c r="CI336" s="42"/>
      <c r="CJ336" s="42"/>
      <c r="CK336" s="42"/>
      <c r="CL336" s="42"/>
      <c r="CM336" s="42"/>
      <c r="CN336" s="42"/>
      <c r="CO336" s="42"/>
      <c r="CP336" s="42"/>
      <c r="CQ336" s="42"/>
      <c r="CR336" s="42"/>
      <c r="CS336" s="42"/>
      <c r="CT336" s="42"/>
      <c r="CU336" s="42"/>
      <c r="CV336" s="42"/>
      <c r="CW336" s="42"/>
      <c r="CX336" s="42"/>
      <c r="CY336" s="42"/>
      <c r="CZ336" s="42"/>
      <c r="DA336" s="42"/>
      <c r="DB336" s="42"/>
      <c r="DC336" s="42"/>
      <c r="DD336" s="42"/>
      <c r="DE336" s="42"/>
      <c r="DF336" s="42"/>
      <c r="DG336" s="42"/>
      <c r="DH336" s="42"/>
      <c r="DI336" s="42"/>
      <c r="DJ336" s="42"/>
      <c r="DK336" s="42"/>
      <c r="DL336" s="42"/>
      <c r="DM336" s="42"/>
      <c r="DN336" s="42"/>
      <c r="DO336" s="42"/>
      <c r="DP336" s="42"/>
      <c r="DQ336" s="42"/>
      <c r="DR336" s="42"/>
      <c r="DS336" s="42"/>
      <c r="DT336" s="42"/>
      <c r="DU336" s="42"/>
      <c r="DV336" s="42"/>
      <c r="DW336" s="42"/>
      <c r="DX336" s="42"/>
      <c r="DY336" s="42"/>
      <c r="DZ336" s="42"/>
      <c r="EA336" s="42"/>
      <c r="EB336" s="42"/>
      <c r="EC336" s="42"/>
      <c r="ED336" s="42"/>
      <c r="EE336" s="42"/>
      <c r="EF336" s="42"/>
      <c r="EG336" s="42"/>
      <c r="EH336" s="42"/>
      <c r="EI336" s="42"/>
      <c r="EJ336" s="42"/>
      <c r="EK336" s="42"/>
      <c r="EL336" s="42"/>
      <c r="EM336" s="42"/>
      <c r="EN336" s="42"/>
      <c r="EO336" s="42"/>
      <c r="EP336" s="42"/>
      <c r="EQ336" s="42"/>
      <c r="ER336" s="42"/>
      <c r="ES336" s="42"/>
      <c r="ET336" s="42"/>
      <c r="EU336" s="42"/>
      <c r="EV336" s="42"/>
      <c r="EW336" s="42"/>
      <c r="EX336" s="42"/>
      <c r="EY336" s="42"/>
      <c r="EZ336" s="42"/>
      <c r="FA336" s="42"/>
      <c r="FB336" s="42"/>
      <c r="FC336" s="42"/>
      <c r="FD336" s="42"/>
      <c r="FE336" s="42"/>
      <c r="FF336" s="42"/>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row>
    <row r="337" spans="1:256" ht="13.8" x14ac:dyDescent="0.3">
      <c r="A337" s="42"/>
      <c r="B337" s="42"/>
      <c r="C337" s="42"/>
      <c r="D337" s="42"/>
      <c r="E337" s="42"/>
      <c r="F337" s="42"/>
      <c r="G337" s="42"/>
      <c r="H337" s="42"/>
      <c r="I337" s="42"/>
      <c r="J337" s="42"/>
      <c r="K337" s="42"/>
      <c r="L337" s="42"/>
      <c r="M337" s="42"/>
      <c r="N337" s="42"/>
      <c r="O337" s="42"/>
      <c r="P337" s="42"/>
      <c r="Q337" s="42"/>
      <c r="R337" s="42"/>
      <c r="S337" s="42"/>
      <c r="T337" s="42"/>
      <c r="U337" s="194"/>
      <c r="V337" s="42"/>
      <c r="W337" s="42"/>
      <c r="X337" s="42"/>
      <c r="Y337" s="42"/>
      <c r="Z337" s="42"/>
      <c r="AA337" s="42"/>
      <c r="AB337" s="195"/>
      <c r="AC337" s="42"/>
      <c r="AD337" s="42"/>
      <c r="AE337" s="195"/>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42"/>
      <c r="BH337" s="42"/>
      <c r="BI337" s="42"/>
      <c r="BJ337" s="42"/>
      <c r="BK337" s="42"/>
      <c r="BL337" s="42"/>
      <c r="BM337" s="42"/>
      <c r="BN337" s="42"/>
      <c r="BO337" s="42"/>
      <c r="BP337" s="42"/>
      <c r="BQ337" s="42"/>
      <c r="BR337" s="42"/>
      <c r="BS337" s="42"/>
      <c r="BT337" s="42"/>
      <c r="BU337" s="42"/>
      <c r="BV337" s="42"/>
      <c r="BW337" s="42"/>
      <c r="BX337" s="42"/>
      <c r="BY337" s="42"/>
      <c r="BZ337" s="42"/>
      <c r="CA337" s="42"/>
      <c r="CB337" s="42"/>
      <c r="CC337" s="42"/>
      <c r="CD337" s="42"/>
      <c r="CE337" s="42"/>
      <c r="CF337" s="42"/>
      <c r="CG337" s="42"/>
      <c r="CH337" s="42"/>
      <c r="CI337" s="42"/>
      <c r="CJ337" s="42"/>
      <c r="CK337" s="42"/>
      <c r="CL337" s="42"/>
      <c r="CM337" s="42"/>
      <c r="CN337" s="42"/>
      <c r="CO337" s="42"/>
      <c r="CP337" s="42"/>
      <c r="CQ337" s="42"/>
      <c r="CR337" s="42"/>
      <c r="CS337" s="42"/>
      <c r="CT337" s="42"/>
      <c r="CU337" s="42"/>
      <c r="CV337" s="42"/>
      <c r="CW337" s="42"/>
      <c r="CX337" s="42"/>
      <c r="CY337" s="42"/>
      <c r="CZ337" s="42"/>
      <c r="DA337" s="42"/>
      <c r="DB337" s="42"/>
      <c r="DC337" s="42"/>
      <c r="DD337" s="42"/>
      <c r="DE337" s="42"/>
      <c r="DF337" s="42"/>
      <c r="DG337" s="42"/>
      <c r="DH337" s="42"/>
      <c r="DI337" s="42"/>
      <c r="DJ337" s="42"/>
      <c r="DK337" s="42"/>
      <c r="DL337" s="42"/>
      <c r="DM337" s="42"/>
      <c r="DN337" s="42"/>
      <c r="DO337" s="42"/>
      <c r="DP337" s="42"/>
      <c r="DQ337" s="42"/>
      <c r="DR337" s="42"/>
      <c r="DS337" s="42"/>
      <c r="DT337" s="42"/>
      <c r="DU337" s="42"/>
      <c r="DV337" s="42"/>
      <c r="DW337" s="42"/>
      <c r="DX337" s="42"/>
      <c r="DY337" s="42"/>
      <c r="DZ337" s="42"/>
      <c r="EA337" s="42"/>
      <c r="EB337" s="42"/>
      <c r="EC337" s="42"/>
      <c r="ED337" s="42"/>
      <c r="EE337" s="42"/>
      <c r="EF337" s="42"/>
      <c r="EG337" s="42"/>
      <c r="EH337" s="42"/>
      <c r="EI337" s="42"/>
      <c r="EJ337" s="42"/>
      <c r="EK337" s="42"/>
      <c r="EL337" s="42"/>
      <c r="EM337" s="42"/>
      <c r="EN337" s="42"/>
      <c r="EO337" s="42"/>
      <c r="EP337" s="42"/>
      <c r="EQ337" s="42"/>
      <c r="ER337" s="42"/>
      <c r="ES337" s="42"/>
      <c r="ET337" s="42"/>
      <c r="EU337" s="42"/>
      <c r="EV337" s="42"/>
      <c r="EW337" s="42"/>
      <c r="EX337" s="42"/>
      <c r="EY337" s="42"/>
      <c r="EZ337" s="42"/>
      <c r="FA337" s="42"/>
      <c r="FB337" s="42"/>
      <c r="FC337" s="42"/>
      <c r="FD337" s="42"/>
      <c r="FE337" s="42"/>
      <c r="FF337" s="42"/>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row>
    <row r="338" spans="1:256" ht="13.8" x14ac:dyDescent="0.3">
      <c r="A338" s="42"/>
      <c r="B338" s="42"/>
      <c r="C338" s="42"/>
      <c r="D338" s="42"/>
      <c r="E338" s="42"/>
      <c r="F338" s="42"/>
      <c r="G338" s="42"/>
      <c r="H338" s="42"/>
      <c r="I338" s="42"/>
      <c r="J338" s="42"/>
      <c r="K338" s="42"/>
      <c r="L338" s="42"/>
      <c r="M338" s="42"/>
      <c r="N338" s="42"/>
      <c r="O338" s="42"/>
      <c r="P338" s="42"/>
      <c r="Q338" s="42"/>
      <c r="R338" s="42"/>
      <c r="S338" s="42"/>
      <c r="T338" s="42"/>
      <c r="U338" s="194"/>
      <c r="V338" s="42"/>
      <c r="W338" s="42"/>
      <c r="X338" s="42"/>
      <c r="Y338" s="42"/>
      <c r="Z338" s="42"/>
      <c r="AA338" s="42"/>
      <c r="AB338" s="195"/>
      <c r="AC338" s="42"/>
      <c r="AD338" s="42"/>
      <c r="AE338" s="195"/>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c r="BM338" s="42"/>
      <c r="BN338" s="42"/>
      <c r="BO338" s="42"/>
      <c r="BP338" s="42"/>
      <c r="BQ338" s="42"/>
      <c r="BR338" s="42"/>
      <c r="BS338" s="42"/>
      <c r="BT338" s="42"/>
      <c r="BU338" s="42"/>
      <c r="BV338" s="42"/>
      <c r="BW338" s="42"/>
      <c r="BX338" s="42"/>
      <c r="BY338" s="42"/>
      <c r="BZ338" s="42"/>
      <c r="CA338" s="42"/>
      <c r="CB338" s="42"/>
      <c r="CC338" s="42"/>
      <c r="CD338" s="42"/>
      <c r="CE338" s="42"/>
      <c r="CF338" s="42"/>
      <c r="CG338" s="42"/>
      <c r="CH338" s="42"/>
      <c r="CI338" s="42"/>
      <c r="CJ338" s="42"/>
      <c r="CK338" s="42"/>
      <c r="CL338" s="42"/>
      <c r="CM338" s="42"/>
      <c r="CN338" s="42"/>
      <c r="CO338" s="42"/>
      <c r="CP338" s="42"/>
      <c r="CQ338" s="42"/>
      <c r="CR338" s="42"/>
      <c r="CS338" s="42"/>
      <c r="CT338" s="42"/>
      <c r="CU338" s="42"/>
      <c r="CV338" s="42"/>
      <c r="CW338" s="42"/>
      <c r="CX338" s="42"/>
      <c r="CY338" s="42"/>
      <c r="CZ338" s="42"/>
      <c r="DA338" s="42"/>
      <c r="DB338" s="42"/>
      <c r="DC338" s="42"/>
      <c r="DD338" s="42"/>
      <c r="DE338" s="42"/>
      <c r="DF338" s="42"/>
      <c r="DG338" s="42"/>
      <c r="DH338" s="42"/>
      <c r="DI338" s="42"/>
      <c r="DJ338" s="42"/>
      <c r="DK338" s="42"/>
      <c r="DL338" s="42"/>
      <c r="DM338" s="42"/>
      <c r="DN338" s="42"/>
      <c r="DO338" s="42"/>
      <c r="DP338" s="42"/>
      <c r="DQ338" s="42"/>
      <c r="DR338" s="42"/>
      <c r="DS338" s="42"/>
      <c r="DT338" s="42"/>
      <c r="DU338" s="42"/>
      <c r="DV338" s="42"/>
      <c r="DW338" s="42"/>
      <c r="DX338" s="42"/>
      <c r="DY338" s="42"/>
      <c r="DZ338" s="42"/>
      <c r="EA338" s="42"/>
      <c r="EB338" s="42"/>
      <c r="EC338" s="42"/>
      <c r="ED338" s="42"/>
      <c r="EE338" s="42"/>
      <c r="EF338" s="42"/>
      <c r="EG338" s="42"/>
      <c r="EH338" s="42"/>
      <c r="EI338" s="42"/>
      <c r="EJ338" s="42"/>
      <c r="EK338" s="42"/>
      <c r="EL338" s="42"/>
      <c r="EM338" s="42"/>
      <c r="EN338" s="42"/>
      <c r="EO338" s="42"/>
      <c r="EP338" s="42"/>
      <c r="EQ338" s="42"/>
      <c r="ER338" s="42"/>
      <c r="ES338" s="42"/>
      <c r="ET338" s="42"/>
      <c r="EU338" s="42"/>
      <c r="EV338" s="42"/>
      <c r="EW338" s="42"/>
      <c r="EX338" s="42"/>
      <c r="EY338" s="42"/>
      <c r="EZ338" s="42"/>
      <c r="FA338" s="42"/>
      <c r="FB338" s="42"/>
      <c r="FC338" s="42"/>
      <c r="FD338" s="42"/>
      <c r="FE338" s="42"/>
      <c r="FF338" s="42"/>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row>
    <row r="339" spans="1:256" ht="13.8" x14ac:dyDescent="0.3">
      <c r="A339" s="42"/>
      <c r="B339" s="42"/>
      <c r="C339" s="42"/>
      <c r="D339" s="42"/>
      <c r="E339" s="42"/>
      <c r="F339" s="42"/>
      <c r="G339" s="42"/>
      <c r="H339" s="42"/>
      <c r="I339" s="42"/>
      <c r="J339" s="42"/>
      <c r="K339" s="42"/>
      <c r="L339" s="42"/>
      <c r="M339" s="42"/>
      <c r="N339" s="42"/>
      <c r="O339" s="42"/>
      <c r="P339" s="42"/>
      <c r="Q339" s="42"/>
      <c r="R339" s="42"/>
      <c r="S339" s="42"/>
      <c r="T339" s="42"/>
      <c r="U339" s="194"/>
      <c r="V339" s="42"/>
      <c r="W339" s="42"/>
      <c r="X339" s="42"/>
      <c r="Y339" s="42"/>
      <c r="Z339" s="42"/>
      <c r="AA339" s="42"/>
      <c r="AB339" s="195"/>
      <c r="AC339" s="42"/>
      <c r="AD339" s="42"/>
      <c r="AE339" s="195"/>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42"/>
      <c r="BH339" s="42"/>
      <c r="BI339" s="42"/>
      <c r="BJ339" s="42"/>
      <c r="BK339" s="42"/>
      <c r="BL339" s="42"/>
      <c r="BM339" s="42"/>
      <c r="BN339" s="42"/>
      <c r="BO339" s="42"/>
      <c r="BP339" s="42"/>
      <c r="BQ339" s="42"/>
      <c r="BR339" s="42"/>
      <c r="BS339" s="42"/>
      <c r="BT339" s="42"/>
      <c r="BU339" s="42"/>
      <c r="BV339" s="42"/>
      <c r="BW339" s="42"/>
      <c r="BX339" s="42"/>
      <c r="BY339" s="42"/>
      <c r="BZ339" s="42"/>
      <c r="CA339" s="42"/>
      <c r="CB339" s="42"/>
      <c r="CC339" s="42"/>
      <c r="CD339" s="42"/>
      <c r="CE339" s="42"/>
      <c r="CF339" s="42"/>
      <c r="CG339" s="42"/>
      <c r="CH339" s="42"/>
      <c r="CI339" s="42"/>
      <c r="CJ339" s="42"/>
      <c r="CK339" s="42"/>
      <c r="CL339" s="42"/>
      <c r="CM339" s="42"/>
      <c r="CN339" s="42"/>
      <c r="CO339" s="42"/>
      <c r="CP339" s="42"/>
      <c r="CQ339" s="42"/>
      <c r="CR339" s="42"/>
      <c r="CS339" s="42"/>
      <c r="CT339" s="42"/>
      <c r="CU339" s="42"/>
      <c r="CV339" s="42"/>
      <c r="CW339" s="42"/>
      <c r="CX339" s="42"/>
      <c r="CY339" s="42"/>
      <c r="CZ339" s="42"/>
      <c r="DA339" s="42"/>
      <c r="DB339" s="42"/>
      <c r="DC339" s="42"/>
      <c r="DD339" s="42"/>
      <c r="DE339" s="42"/>
      <c r="DF339" s="42"/>
      <c r="DG339" s="42"/>
      <c r="DH339" s="42"/>
      <c r="DI339" s="42"/>
      <c r="DJ339" s="42"/>
      <c r="DK339" s="42"/>
      <c r="DL339" s="42"/>
      <c r="DM339" s="42"/>
      <c r="DN339" s="42"/>
      <c r="DO339" s="42"/>
      <c r="DP339" s="42"/>
      <c r="DQ339" s="42"/>
      <c r="DR339" s="42"/>
      <c r="DS339" s="42"/>
      <c r="DT339" s="42"/>
      <c r="DU339" s="42"/>
      <c r="DV339" s="42"/>
      <c r="DW339" s="42"/>
      <c r="DX339" s="42"/>
      <c r="DY339" s="42"/>
      <c r="DZ339" s="42"/>
      <c r="EA339" s="42"/>
      <c r="EB339" s="42"/>
      <c r="EC339" s="42"/>
      <c r="ED339" s="42"/>
      <c r="EE339" s="42"/>
      <c r="EF339" s="42"/>
      <c r="EG339" s="42"/>
      <c r="EH339" s="42"/>
      <c r="EI339" s="42"/>
      <c r="EJ339" s="42"/>
      <c r="EK339" s="42"/>
      <c r="EL339" s="42"/>
      <c r="EM339" s="42"/>
      <c r="EN339" s="42"/>
      <c r="EO339" s="42"/>
      <c r="EP339" s="42"/>
      <c r="EQ339" s="42"/>
      <c r="ER339" s="42"/>
      <c r="ES339" s="42"/>
      <c r="ET339" s="42"/>
      <c r="EU339" s="42"/>
      <c r="EV339" s="42"/>
      <c r="EW339" s="42"/>
      <c r="EX339" s="42"/>
      <c r="EY339" s="42"/>
      <c r="EZ339" s="42"/>
      <c r="FA339" s="42"/>
      <c r="FB339" s="42"/>
      <c r="FC339" s="42"/>
      <c r="FD339" s="42"/>
      <c r="FE339" s="42"/>
      <c r="FF339" s="42"/>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row>
    <row r="340" spans="1:256" ht="13.8" x14ac:dyDescent="0.3">
      <c r="A340" s="42"/>
      <c r="B340" s="42"/>
      <c r="C340" s="42"/>
      <c r="D340" s="42"/>
      <c r="E340" s="42"/>
      <c r="F340" s="42"/>
      <c r="G340" s="42"/>
      <c r="H340" s="42"/>
      <c r="I340" s="42"/>
      <c r="J340" s="42"/>
      <c r="K340" s="42"/>
      <c r="L340" s="42"/>
      <c r="M340" s="42"/>
      <c r="N340" s="42"/>
      <c r="O340" s="42"/>
      <c r="P340" s="42"/>
      <c r="Q340" s="42"/>
      <c r="R340" s="42"/>
      <c r="S340" s="42"/>
      <c r="T340" s="42"/>
      <c r="U340" s="194"/>
      <c r="V340" s="42"/>
      <c r="W340" s="42"/>
      <c r="X340" s="42"/>
      <c r="Y340" s="42"/>
      <c r="Z340" s="42"/>
      <c r="AA340" s="42"/>
      <c r="AB340" s="195"/>
      <c r="AC340" s="42"/>
      <c r="AD340" s="42"/>
      <c r="AE340" s="195"/>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42"/>
      <c r="BH340" s="42"/>
      <c r="BI340" s="42"/>
      <c r="BJ340" s="42"/>
      <c r="BK340" s="42"/>
      <c r="BL340" s="42"/>
      <c r="BM340" s="42"/>
      <c r="BN340" s="42"/>
      <c r="BO340" s="42"/>
      <c r="BP340" s="42"/>
      <c r="BQ340" s="42"/>
      <c r="BR340" s="42"/>
      <c r="BS340" s="42"/>
      <c r="BT340" s="42"/>
      <c r="BU340" s="42"/>
      <c r="BV340" s="42"/>
      <c r="BW340" s="42"/>
      <c r="BX340" s="42"/>
      <c r="BY340" s="42"/>
      <c r="BZ340" s="42"/>
      <c r="CA340" s="42"/>
      <c r="CB340" s="42"/>
      <c r="CC340" s="42"/>
      <c r="CD340" s="42"/>
      <c r="CE340" s="42"/>
      <c r="CF340" s="42"/>
      <c r="CG340" s="42"/>
      <c r="CH340" s="42"/>
      <c r="CI340" s="42"/>
      <c r="CJ340" s="42"/>
      <c r="CK340" s="42"/>
      <c r="CL340" s="42"/>
      <c r="CM340" s="42"/>
      <c r="CN340" s="42"/>
      <c r="CO340" s="42"/>
      <c r="CP340" s="42"/>
      <c r="CQ340" s="42"/>
      <c r="CR340" s="42"/>
      <c r="CS340" s="42"/>
      <c r="CT340" s="42"/>
      <c r="CU340" s="42"/>
      <c r="CV340" s="42"/>
      <c r="CW340" s="42"/>
      <c r="CX340" s="42"/>
      <c r="CY340" s="42"/>
      <c r="CZ340" s="42"/>
      <c r="DA340" s="42"/>
      <c r="DB340" s="42"/>
      <c r="DC340" s="42"/>
      <c r="DD340" s="42"/>
      <c r="DE340" s="42"/>
      <c r="DF340" s="42"/>
      <c r="DG340" s="42"/>
      <c r="DH340" s="42"/>
      <c r="DI340" s="42"/>
      <c r="DJ340" s="42"/>
      <c r="DK340" s="42"/>
      <c r="DL340" s="42"/>
      <c r="DM340" s="42"/>
      <c r="DN340" s="42"/>
      <c r="DO340" s="42"/>
      <c r="DP340" s="42"/>
      <c r="DQ340" s="42"/>
      <c r="DR340" s="42"/>
      <c r="DS340" s="42"/>
      <c r="DT340" s="42"/>
      <c r="DU340" s="42"/>
      <c r="DV340" s="42"/>
      <c r="DW340" s="42"/>
      <c r="DX340" s="42"/>
      <c r="DY340" s="42"/>
      <c r="DZ340" s="42"/>
      <c r="EA340" s="42"/>
      <c r="EB340" s="42"/>
      <c r="EC340" s="42"/>
      <c r="ED340" s="42"/>
      <c r="EE340" s="42"/>
      <c r="EF340" s="42"/>
      <c r="EG340" s="42"/>
      <c r="EH340" s="42"/>
      <c r="EI340" s="42"/>
      <c r="EJ340" s="42"/>
      <c r="EK340" s="42"/>
      <c r="EL340" s="42"/>
      <c r="EM340" s="42"/>
      <c r="EN340" s="42"/>
      <c r="EO340" s="42"/>
      <c r="EP340" s="42"/>
      <c r="EQ340" s="42"/>
      <c r="ER340" s="42"/>
      <c r="ES340" s="42"/>
      <c r="ET340" s="42"/>
      <c r="EU340" s="42"/>
      <c r="EV340" s="42"/>
      <c r="EW340" s="42"/>
      <c r="EX340" s="42"/>
      <c r="EY340" s="42"/>
      <c r="EZ340" s="42"/>
      <c r="FA340" s="42"/>
      <c r="FB340" s="42"/>
      <c r="FC340" s="42"/>
      <c r="FD340" s="42"/>
      <c r="FE340" s="42"/>
      <c r="FF340" s="42"/>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row>
    <row r="341" spans="1:256" ht="13.8" x14ac:dyDescent="0.3">
      <c r="A341" s="42"/>
      <c r="B341" s="42"/>
      <c r="C341" s="42"/>
      <c r="D341" s="42"/>
      <c r="E341" s="42"/>
      <c r="F341" s="42"/>
      <c r="G341" s="42"/>
      <c r="H341" s="42"/>
      <c r="I341" s="42"/>
      <c r="J341" s="42"/>
      <c r="K341" s="42"/>
      <c r="L341" s="42"/>
      <c r="M341" s="42"/>
      <c r="N341" s="42"/>
      <c r="O341" s="42"/>
      <c r="P341" s="42"/>
      <c r="Q341" s="42"/>
      <c r="R341" s="42"/>
      <c r="S341" s="42"/>
      <c r="T341" s="42"/>
      <c r="U341" s="194"/>
      <c r="V341" s="42"/>
      <c r="W341" s="42"/>
      <c r="X341" s="42"/>
      <c r="Y341" s="42"/>
      <c r="Z341" s="42"/>
      <c r="AA341" s="42"/>
      <c r="AB341" s="195"/>
      <c r="AC341" s="42"/>
      <c r="AD341" s="42"/>
      <c r="AE341" s="195"/>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42"/>
      <c r="BH341" s="42"/>
      <c r="BI341" s="42"/>
      <c r="BJ341" s="42"/>
      <c r="BK341" s="42"/>
      <c r="BL341" s="42"/>
      <c r="BM341" s="42"/>
      <c r="BN341" s="42"/>
      <c r="BO341" s="42"/>
      <c r="BP341" s="42"/>
      <c r="BQ341" s="42"/>
      <c r="BR341" s="42"/>
      <c r="BS341" s="42"/>
      <c r="BT341" s="42"/>
      <c r="BU341" s="42"/>
      <c r="BV341" s="42"/>
      <c r="BW341" s="42"/>
      <c r="BX341" s="42"/>
      <c r="BY341" s="42"/>
      <c r="BZ341" s="42"/>
      <c r="CA341" s="42"/>
      <c r="CB341" s="42"/>
      <c r="CC341" s="42"/>
      <c r="CD341" s="42"/>
      <c r="CE341" s="42"/>
      <c r="CF341" s="42"/>
      <c r="CG341" s="42"/>
      <c r="CH341" s="42"/>
      <c r="CI341" s="42"/>
      <c r="CJ341" s="42"/>
      <c r="CK341" s="42"/>
      <c r="CL341" s="42"/>
      <c r="CM341" s="42"/>
      <c r="CN341" s="42"/>
      <c r="CO341" s="42"/>
      <c r="CP341" s="42"/>
      <c r="CQ341" s="42"/>
      <c r="CR341" s="42"/>
      <c r="CS341" s="42"/>
      <c r="CT341" s="42"/>
      <c r="CU341" s="42"/>
      <c r="CV341" s="42"/>
      <c r="CW341" s="42"/>
      <c r="CX341" s="42"/>
      <c r="CY341" s="42"/>
      <c r="CZ341" s="42"/>
      <c r="DA341" s="42"/>
      <c r="DB341" s="42"/>
      <c r="DC341" s="42"/>
      <c r="DD341" s="42"/>
      <c r="DE341" s="42"/>
      <c r="DF341" s="42"/>
      <c r="DG341" s="42"/>
      <c r="DH341" s="42"/>
      <c r="DI341" s="42"/>
      <c r="DJ341" s="42"/>
      <c r="DK341" s="42"/>
      <c r="DL341" s="42"/>
      <c r="DM341" s="42"/>
      <c r="DN341" s="42"/>
      <c r="DO341" s="42"/>
      <c r="DP341" s="42"/>
      <c r="DQ341" s="42"/>
      <c r="DR341" s="42"/>
      <c r="DS341" s="42"/>
      <c r="DT341" s="42"/>
      <c r="DU341" s="42"/>
      <c r="DV341" s="42"/>
      <c r="DW341" s="42"/>
      <c r="DX341" s="42"/>
      <c r="DY341" s="42"/>
      <c r="DZ341" s="42"/>
      <c r="EA341" s="42"/>
      <c r="EB341" s="42"/>
      <c r="EC341" s="42"/>
      <c r="ED341" s="42"/>
      <c r="EE341" s="42"/>
      <c r="EF341" s="42"/>
      <c r="EG341" s="42"/>
      <c r="EH341" s="42"/>
      <c r="EI341" s="42"/>
      <c r="EJ341" s="42"/>
      <c r="EK341" s="42"/>
      <c r="EL341" s="42"/>
      <c r="EM341" s="42"/>
      <c r="EN341" s="42"/>
      <c r="EO341" s="42"/>
      <c r="EP341" s="42"/>
      <c r="EQ341" s="42"/>
      <c r="ER341" s="42"/>
      <c r="ES341" s="42"/>
      <c r="ET341" s="42"/>
      <c r="EU341" s="42"/>
      <c r="EV341" s="42"/>
      <c r="EW341" s="42"/>
      <c r="EX341" s="42"/>
      <c r="EY341" s="42"/>
      <c r="EZ341" s="42"/>
      <c r="FA341" s="42"/>
      <c r="FB341" s="42"/>
      <c r="FC341" s="42"/>
      <c r="FD341" s="42"/>
      <c r="FE341" s="42"/>
      <c r="FF341" s="42"/>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row>
    <row r="342" spans="1:256" ht="13.8" x14ac:dyDescent="0.3">
      <c r="A342" s="42"/>
      <c r="B342" s="42"/>
      <c r="C342" s="42"/>
      <c r="D342" s="42"/>
      <c r="E342" s="42"/>
      <c r="F342" s="42"/>
      <c r="G342" s="42"/>
      <c r="H342" s="42"/>
      <c r="I342" s="42"/>
      <c r="J342" s="42"/>
      <c r="K342" s="42"/>
      <c r="L342" s="42"/>
      <c r="M342" s="42"/>
      <c r="N342" s="42"/>
      <c r="O342" s="42"/>
      <c r="P342" s="42"/>
      <c r="Q342" s="42"/>
      <c r="R342" s="42"/>
      <c r="S342" s="42"/>
      <c r="T342" s="42"/>
      <c r="U342" s="194"/>
      <c r="V342" s="42"/>
      <c r="W342" s="42"/>
      <c r="X342" s="42"/>
      <c r="Y342" s="42"/>
      <c r="Z342" s="42"/>
      <c r="AA342" s="42"/>
      <c r="AB342" s="195"/>
      <c r="AC342" s="42"/>
      <c r="AD342" s="42"/>
      <c r="AE342" s="195"/>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42"/>
      <c r="BH342" s="42"/>
      <c r="BI342" s="42"/>
      <c r="BJ342" s="42"/>
      <c r="BK342" s="42"/>
      <c r="BL342" s="42"/>
      <c r="BM342" s="42"/>
      <c r="BN342" s="42"/>
      <c r="BO342" s="42"/>
      <c r="BP342" s="42"/>
      <c r="BQ342" s="42"/>
      <c r="BR342" s="42"/>
      <c r="BS342" s="42"/>
      <c r="BT342" s="42"/>
      <c r="BU342" s="42"/>
      <c r="BV342" s="42"/>
      <c r="BW342" s="42"/>
      <c r="BX342" s="42"/>
      <c r="BY342" s="42"/>
      <c r="BZ342" s="42"/>
      <c r="CA342" s="42"/>
      <c r="CB342" s="42"/>
      <c r="CC342" s="42"/>
      <c r="CD342" s="42"/>
      <c r="CE342" s="42"/>
      <c r="CF342" s="42"/>
      <c r="CG342" s="42"/>
      <c r="CH342" s="42"/>
      <c r="CI342" s="42"/>
      <c r="CJ342" s="42"/>
      <c r="CK342" s="42"/>
      <c r="CL342" s="42"/>
      <c r="CM342" s="42"/>
      <c r="CN342" s="42"/>
      <c r="CO342" s="42"/>
      <c r="CP342" s="42"/>
      <c r="CQ342" s="42"/>
      <c r="CR342" s="42"/>
      <c r="CS342" s="42"/>
      <c r="CT342" s="42"/>
      <c r="CU342" s="42"/>
      <c r="CV342" s="42"/>
      <c r="CW342" s="42"/>
      <c r="CX342" s="42"/>
      <c r="CY342" s="42"/>
      <c r="CZ342" s="42"/>
      <c r="DA342" s="42"/>
      <c r="DB342" s="42"/>
      <c r="DC342" s="42"/>
      <c r="DD342" s="42"/>
      <c r="DE342" s="42"/>
      <c r="DF342" s="42"/>
      <c r="DG342" s="42"/>
      <c r="DH342" s="42"/>
      <c r="DI342" s="42"/>
      <c r="DJ342" s="42"/>
      <c r="DK342" s="42"/>
      <c r="DL342" s="42"/>
      <c r="DM342" s="42"/>
      <c r="DN342" s="42"/>
      <c r="DO342" s="42"/>
      <c r="DP342" s="42"/>
      <c r="DQ342" s="42"/>
      <c r="DR342" s="42"/>
      <c r="DS342" s="42"/>
      <c r="DT342" s="42"/>
      <c r="DU342" s="42"/>
      <c r="DV342" s="42"/>
      <c r="DW342" s="42"/>
      <c r="DX342" s="42"/>
      <c r="DY342" s="42"/>
      <c r="DZ342" s="42"/>
      <c r="EA342" s="42"/>
      <c r="EB342" s="42"/>
      <c r="EC342" s="42"/>
      <c r="ED342" s="42"/>
      <c r="EE342" s="42"/>
      <c r="EF342" s="42"/>
      <c r="EG342" s="42"/>
      <c r="EH342" s="42"/>
      <c r="EI342" s="42"/>
      <c r="EJ342" s="42"/>
      <c r="EK342" s="42"/>
      <c r="EL342" s="42"/>
      <c r="EM342" s="42"/>
      <c r="EN342" s="42"/>
      <c r="EO342" s="42"/>
      <c r="EP342" s="42"/>
      <c r="EQ342" s="42"/>
      <c r="ER342" s="42"/>
      <c r="ES342" s="42"/>
      <c r="ET342" s="42"/>
      <c r="EU342" s="42"/>
      <c r="EV342" s="42"/>
      <c r="EW342" s="42"/>
      <c r="EX342" s="42"/>
      <c r="EY342" s="42"/>
      <c r="EZ342" s="42"/>
      <c r="FA342" s="42"/>
      <c r="FB342" s="42"/>
      <c r="FC342" s="42"/>
      <c r="FD342" s="42"/>
      <c r="FE342" s="42"/>
      <c r="FF342" s="42"/>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row>
    <row r="343" spans="1:256" ht="13.8" x14ac:dyDescent="0.3">
      <c r="A343" s="42"/>
      <c r="B343" s="42"/>
      <c r="C343" s="42"/>
      <c r="D343" s="42"/>
      <c r="E343" s="42"/>
      <c r="F343" s="42"/>
      <c r="G343" s="42"/>
      <c r="H343" s="42"/>
      <c r="I343" s="42"/>
      <c r="J343" s="42"/>
      <c r="K343" s="42"/>
      <c r="L343" s="42"/>
      <c r="M343" s="42"/>
      <c r="N343" s="42"/>
      <c r="O343" s="42"/>
      <c r="P343" s="42"/>
      <c r="Q343" s="42"/>
      <c r="R343" s="42"/>
      <c r="S343" s="42"/>
      <c r="T343" s="42"/>
      <c r="U343" s="194"/>
      <c r="V343" s="42"/>
      <c r="W343" s="42"/>
      <c r="X343" s="42"/>
      <c r="Y343" s="42"/>
      <c r="Z343" s="42"/>
      <c r="AA343" s="42"/>
      <c r="AB343" s="195"/>
      <c r="AC343" s="42"/>
      <c r="AD343" s="42"/>
      <c r="AE343" s="195"/>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42"/>
      <c r="BH343" s="42"/>
      <c r="BI343" s="42"/>
      <c r="BJ343" s="42"/>
      <c r="BK343" s="42"/>
      <c r="BL343" s="42"/>
      <c r="BM343" s="42"/>
      <c r="BN343" s="42"/>
      <c r="BO343" s="42"/>
      <c r="BP343" s="42"/>
      <c r="BQ343" s="42"/>
      <c r="BR343" s="42"/>
      <c r="BS343" s="42"/>
      <c r="BT343" s="42"/>
      <c r="BU343" s="42"/>
      <c r="BV343" s="42"/>
      <c r="BW343" s="42"/>
      <c r="BX343" s="42"/>
      <c r="BY343" s="42"/>
      <c r="BZ343" s="42"/>
      <c r="CA343" s="42"/>
      <c r="CB343" s="42"/>
      <c r="CC343" s="42"/>
      <c r="CD343" s="42"/>
      <c r="CE343" s="42"/>
      <c r="CF343" s="42"/>
      <c r="CG343" s="42"/>
      <c r="CH343" s="42"/>
      <c r="CI343" s="42"/>
      <c r="CJ343" s="42"/>
      <c r="CK343" s="42"/>
      <c r="CL343" s="42"/>
      <c r="CM343" s="42"/>
      <c r="CN343" s="42"/>
      <c r="CO343" s="42"/>
      <c r="CP343" s="42"/>
      <c r="CQ343" s="42"/>
      <c r="CR343" s="42"/>
      <c r="CS343" s="42"/>
      <c r="CT343" s="42"/>
      <c r="CU343" s="42"/>
      <c r="CV343" s="42"/>
      <c r="CW343" s="42"/>
      <c r="CX343" s="42"/>
      <c r="CY343" s="42"/>
      <c r="CZ343" s="42"/>
      <c r="DA343" s="42"/>
      <c r="DB343" s="42"/>
      <c r="DC343" s="42"/>
      <c r="DD343" s="42"/>
      <c r="DE343" s="42"/>
      <c r="DF343" s="42"/>
      <c r="DG343" s="42"/>
      <c r="DH343" s="42"/>
      <c r="DI343" s="42"/>
      <c r="DJ343" s="42"/>
      <c r="DK343" s="42"/>
      <c r="DL343" s="42"/>
      <c r="DM343" s="42"/>
      <c r="DN343" s="42"/>
      <c r="DO343" s="42"/>
      <c r="DP343" s="42"/>
      <c r="DQ343" s="42"/>
      <c r="DR343" s="42"/>
      <c r="DS343" s="42"/>
      <c r="DT343" s="42"/>
      <c r="DU343" s="42"/>
      <c r="DV343" s="42"/>
      <c r="DW343" s="42"/>
      <c r="DX343" s="42"/>
      <c r="DY343" s="42"/>
      <c r="DZ343" s="42"/>
      <c r="EA343" s="42"/>
      <c r="EB343" s="42"/>
      <c r="EC343" s="42"/>
      <c r="ED343" s="42"/>
      <c r="EE343" s="42"/>
      <c r="EF343" s="42"/>
      <c r="EG343" s="42"/>
      <c r="EH343" s="42"/>
      <c r="EI343" s="42"/>
      <c r="EJ343" s="42"/>
      <c r="EK343" s="42"/>
      <c r="EL343" s="42"/>
      <c r="EM343" s="42"/>
      <c r="EN343" s="42"/>
      <c r="EO343" s="42"/>
      <c r="EP343" s="42"/>
      <c r="EQ343" s="42"/>
      <c r="ER343" s="42"/>
      <c r="ES343" s="42"/>
      <c r="ET343" s="42"/>
      <c r="EU343" s="42"/>
      <c r="EV343" s="42"/>
      <c r="EW343" s="42"/>
      <c r="EX343" s="42"/>
      <c r="EY343" s="42"/>
      <c r="EZ343" s="42"/>
      <c r="FA343" s="42"/>
      <c r="FB343" s="42"/>
      <c r="FC343" s="42"/>
      <c r="FD343" s="42"/>
      <c r="FE343" s="42"/>
      <c r="FF343" s="42"/>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row>
    <row r="344" spans="1:256" ht="13.8" x14ac:dyDescent="0.3">
      <c r="A344" s="42"/>
      <c r="B344" s="42"/>
      <c r="C344" s="42"/>
      <c r="D344" s="42"/>
      <c r="E344" s="42"/>
      <c r="F344" s="42"/>
      <c r="G344" s="42"/>
      <c r="H344" s="42"/>
      <c r="I344" s="42"/>
      <c r="J344" s="42"/>
      <c r="K344" s="42"/>
      <c r="L344" s="42"/>
      <c r="M344" s="42"/>
      <c r="N344" s="42"/>
      <c r="O344" s="42"/>
      <c r="P344" s="42"/>
      <c r="Q344" s="42"/>
      <c r="R344" s="42"/>
      <c r="S344" s="42"/>
      <c r="T344" s="42"/>
      <c r="U344" s="194"/>
      <c r="V344" s="42"/>
      <c r="W344" s="42"/>
      <c r="X344" s="42"/>
      <c r="Y344" s="42"/>
      <c r="Z344" s="42"/>
      <c r="AA344" s="42"/>
      <c r="AB344" s="195"/>
      <c r="AC344" s="42"/>
      <c r="AD344" s="42"/>
      <c r="AE344" s="195"/>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42"/>
      <c r="BH344" s="42"/>
      <c r="BI344" s="42"/>
      <c r="BJ344" s="42"/>
      <c r="BK344" s="42"/>
      <c r="BL344" s="42"/>
      <c r="BM344" s="42"/>
      <c r="BN344" s="42"/>
      <c r="BO344" s="42"/>
      <c r="BP344" s="42"/>
      <c r="BQ344" s="42"/>
      <c r="BR344" s="42"/>
      <c r="BS344" s="42"/>
      <c r="BT344" s="42"/>
      <c r="BU344" s="42"/>
      <c r="BV344" s="42"/>
      <c r="BW344" s="42"/>
      <c r="BX344" s="42"/>
      <c r="BY344" s="42"/>
      <c r="BZ344" s="42"/>
      <c r="CA344" s="42"/>
      <c r="CB344" s="42"/>
      <c r="CC344" s="42"/>
      <c r="CD344" s="42"/>
      <c r="CE344" s="42"/>
      <c r="CF344" s="42"/>
      <c r="CG344" s="42"/>
      <c r="CH344" s="42"/>
      <c r="CI344" s="42"/>
      <c r="CJ344" s="42"/>
      <c r="CK344" s="42"/>
      <c r="CL344" s="42"/>
      <c r="CM344" s="42"/>
      <c r="CN344" s="42"/>
      <c r="CO344" s="42"/>
      <c r="CP344" s="42"/>
      <c r="CQ344" s="42"/>
      <c r="CR344" s="42"/>
      <c r="CS344" s="42"/>
      <c r="CT344" s="42"/>
      <c r="CU344" s="42"/>
      <c r="CV344" s="42"/>
      <c r="CW344" s="42"/>
      <c r="CX344" s="42"/>
      <c r="CY344" s="42"/>
      <c r="CZ344" s="42"/>
      <c r="DA344" s="42"/>
      <c r="DB344" s="42"/>
      <c r="DC344" s="42"/>
      <c r="DD344" s="42"/>
      <c r="DE344" s="42"/>
      <c r="DF344" s="42"/>
      <c r="DG344" s="42"/>
      <c r="DH344" s="42"/>
      <c r="DI344" s="42"/>
      <c r="DJ344" s="42"/>
      <c r="DK344" s="42"/>
      <c r="DL344" s="42"/>
      <c r="DM344" s="42"/>
      <c r="DN344" s="42"/>
      <c r="DO344" s="42"/>
      <c r="DP344" s="42"/>
      <c r="DQ344" s="42"/>
      <c r="DR344" s="42"/>
      <c r="DS344" s="42"/>
      <c r="DT344" s="42"/>
      <c r="DU344" s="42"/>
      <c r="DV344" s="42"/>
      <c r="DW344" s="42"/>
      <c r="DX344" s="42"/>
      <c r="DY344" s="42"/>
      <c r="DZ344" s="42"/>
      <c r="EA344" s="42"/>
      <c r="EB344" s="42"/>
      <c r="EC344" s="42"/>
      <c r="ED344" s="42"/>
      <c r="EE344" s="42"/>
      <c r="EF344" s="42"/>
      <c r="EG344" s="42"/>
      <c r="EH344" s="42"/>
      <c r="EI344" s="42"/>
      <c r="EJ344" s="42"/>
      <c r="EK344" s="42"/>
      <c r="EL344" s="42"/>
      <c r="EM344" s="42"/>
      <c r="EN344" s="42"/>
      <c r="EO344" s="42"/>
      <c r="EP344" s="42"/>
      <c r="EQ344" s="42"/>
      <c r="ER344" s="42"/>
      <c r="ES344" s="42"/>
      <c r="ET344" s="42"/>
      <c r="EU344" s="42"/>
      <c r="EV344" s="42"/>
      <c r="EW344" s="42"/>
      <c r="EX344" s="42"/>
      <c r="EY344" s="42"/>
      <c r="EZ344" s="42"/>
      <c r="FA344" s="42"/>
      <c r="FB344" s="42"/>
      <c r="FC344" s="42"/>
      <c r="FD344" s="42"/>
      <c r="FE344" s="42"/>
      <c r="FF344" s="42"/>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row>
    <row r="345" spans="1:256" ht="13.8" x14ac:dyDescent="0.3">
      <c r="A345" s="42"/>
      <c r="B345" s="42"/>
      <c r="C345" s="42"/>
      <c r="D345" s="42"/>
      <c r="E345" s="42"/>
      <c r="F345" s="42"/>
      <c r="G345" s="42"/>
      <c r="H345" s="42"/>
      <c r="I345" s="42"/>
      <c r="J345" s="42"/>
      <c r="K345" s="42"/>
      <c r="L345" s="42"/>
      <c r="M345" s="42"/>
      <c r="N345" s="42"/>
      <c r="O345" s="42"/>
      <c r="P345" s="42"/>
      <c r="Q345" s="42"/>
      <c r="R345" s="42"/>
      <c r="S345" s="42"/>
      <c r="T345" s="42"/>
      <c r="U345" s="194"/>
      <c r="V345" s="42"/>
      <c r="W345" s="42"/>
      <c r="X345" s="42"/>
      <c r="Y345" s="42"/>
      <c r="Z345" s="42"/>
      <c r="AA345" s="42"/>
      <c r="AB345" s="195"/>
      <c r="AC345" s="42"/>
      <c r="AD345" s="42"/>
      <c r="AE345" s="195"/>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2"/>
      <c r="DR345" s="42"/>
      <c r="DS345" s="42"/>
      <c r="DT345" s="42"/>
      <c r="DU345" s="42"/>
      <c r="DV345" s="42"/>
      <c r="DW345" s="42"/>
      <c r="DX345" s="42"/>
      <c r="DY345" s="42"/>
      <c r="DZ345" s="42"/>
      <c r="EA345" s="42"/>
      <c r="EB345" s="42"/>
      <c r="EC345" s="42"/>
      <c r="ED345" s="42"/>
      <c r="EE345" s="42"/>
      <c r="EF345" s="42"/>
      <c r="EG345" s="42"/>
      <c r="EH345" s="42"/>
      <c r="EI345" s="42"/>
      <c r="EJ345" s="42"/>
      <c r="EK345" s="42"/>
      <c r="EL345" s="42"/>
      <c r="EM345" s="42"/>
      <c r="EN345" s="42"/>
      <c r="EO345" s="42"/>
      <c r="EP345" s="42"/>
      <c r="EQ345" s="42"/>
      <c r="ER345" s="42"/>
      <c r="ES345" s="42"/>
      <c r="ET345" s="42"/>
      <c r="EU345" s="42"/>
      <c r="EV345" s="42"/>
      <c r="EW345" s="42"/>
      <c r="EX345" s="42"/>
      <c r="EY345" s="42"/>
      <c r="EZ345" s="42"/>
      <c r="FA345" s="42"/>
      <c r="FB345" s="42"/>
      <c r="FC345" s="42"/>
      <c r="FD345" s="42"/>
      <c r="FE345" s="42"/>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row>
    <row r="346" spans="1:256" ht="13.8" x14ac:dyDescent="0.3">
      <c r="A346" s="42"/>
      <c r="B346" s="42"/>
      <c r="C346" s="42"/>
      <c r="D346" s="42"/>
      <c r="E346" s="42"/>
      <c r="F346" s="42"/>
      <c r="G346" s="42"/>
      <c r="H346" s="42"/>
      <c r="I346" s="42"/>
      <c r="J346" s="42"/>
      <c r="K346" s="42"/>
      <c r="L346" s="42"/>
      <c r="M346" s="42"/>
      <c r="N346" s="42"/>
      <c r="O346" s="42"/>
      <c r="P346" s="42"/>
      <c r="Q346" s="42"/>
      <c r="R346" s="42"/>
      <c r="S346" s="42"/>
      <c r="T346" s="42"/>
      <c r="U346" s="194"/>
      <c r="V346" s="42"/>
      <c r="W346" s="42"/>
      <c r="X346" s="42"/>
      <c r="Y346" s="42"/>
      <c r="Z346" s="42"/>
      <c r="AA346" s="42"/>
      <c r="AB346" s="195"/>
      <c r="AC346" s="42"/>
      <c r="AD346" s="42"/>
      <c r="AE346" s="195"/>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42"/>
      <c r="BH346" s="42"/>
      <c r="BI346" s="42"/>
      <c r="BJ346" s="42"/>
      <c r="BK346" s="42"/>
      <c r="BL346" s="42"/>
      <c r="BM346" s="42"/>
      <c r="BN346" s="42"/>
      <c r="BO346" s="42"/>
      <c r="BP346" s="42"/>
      <c r="BQ346" s="42"/>
      <c r="BR346" s="42"/>
      <c r="BS346" s="42"/>
      <c r="BT346" s="42"/>
      <c r="BU346" s="42"/>
      <c r="BV346" s="42"/>
      <c r="BW346" s="42"/>
      <c r="BX346" s="42"/>
      <c r="BY346" s="42"/>
      <c r="BZ346" s="42"/>
      <c r="CA346" s="42"/>
      <c r="CB346" s="42"/>
      <c r="CC346" s="42"/>
      <c r="CD346" s="42"/>
      <c r="CE346" s="42"/>
      <c r="CF346" s="42"/>
      <c r="CG346" s="42"/>
      <c r="CH346" s="42"/>
      <c r="CI346" s="42"/>
      <c r="CJ346" s="42"/>
      <c r="CK346" s="42"/>
      <c r="CL346" s="42"/>
      <c r="CM346" s="42"/>
      <c r="CN346" s="42"/>
      <c r="CO346" s="42"/>
      <c r="CP346" s="42"/>
      <c r="CQ346" s="42"/>
      <c r="CR346" s="42"/>
      <c r="CS346" s="42"/>
      <c r="CT346" s="42"/>
      <c r="CU346" s="42"/>
      <c r="CV346" s="42"/>
      <c r="CW346" s="42"/>
      <c r="CX346" s="42"/>
      <c r="CY346" s="42"/>
      <c r="CZ346" s="42"/>
      <c r="DA346" s="42"/>
      <c r="DB346" s="42"/>
      <c r="DC346" s="42"/>
      <c r="DD346" s="42"/>
      <c r="DE346" s="42"/>
      <c r="DF346" s="42"/>
      <c r="DG346" s="42"/>
      <c r="DH346" s="42"/>
      <c r="DI346" s="42"/>
      <c r="DJ346" s="42"/>
      <c r="DK346" s="42"/>
      <c r="DL346" s="42"/>
      <c r="DM346" s="42"/>
      <c r="DN346" s="42"/>
      <c r="DO346" s="42"/>
      <c r="DP346" s="42"/>
      <c r="DQ346" s="42"/>
      <c r="DR346" s="42"/>
      <c r="DS346" s="42"/>
      <c r="DT346" s="42"/>
      <c r="DU346" s="42"/>
      <c r="DV346" s="42"/>
      <c r="DW346" s="42"/>
      <c r="DX346" s="42"/>
      <c r="DY346" s="42"/>
      <c r="DZ346" s="42"/>
      <c r="EA346" s="42"/>
      <c r="EB346" s="42"/>
      <c r="EC346" s="42"/>
      <c r="ED346" s="42"/>
      <c r="EE346" s="42"/>
      <c r="EF346" s="42"/>
      <c r="EG346" s="42"/>
      <c r="EH346" s="42"/>
      <c r="EI346" s="42"/>
      <c r="EJ346" s="42"/>
      <c r="EK346" s="42"/>
      <c r="EL346" s="42"/>
      <c r="EM346" s="42"/>
      <c r="EN346" s="42"/>
      <c r="EO346" s="42"/>
      <c r="EP346" s="42"/>
      <c r="EQ346" s="42"/>
      <c r="ER346" s="42"/>
      <c r="ES346" s="42"/>
      <c r="ET346" s="42"/>
      <c r="EU346" s="42"/>
      <c r="EV346" s="42"/>
      <c r="EW346" s="42"/>
      <c r="EX346" s="42"/>
      <c r="EY346" s="42"/>
      <c r="EZ346" s="42"/>
      <c r="FA346" s="42"/>
      <c r="FB346" s="42"/>
      <c r="FC346" s="42"/>
      <c r="FD346" s="42"/>
      <c r="FE346" s="42"/>
      <c r="FF346" s="42"/>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row>
    <row r="347" spans="1:256" ht="13.8" x14ac:dyDescent="0.3">
      <c r="A347" s="42"/>
      <c r="B347" s="42"/>
      <c r="C347" s="42"/>
      <c r="D347" s="42"/>
      <c r="E347" s="42"/>
      <c r="F347" s="42"/>
      <c r="G347" s="42"/>
      <c r="H347" s="42"/>
      <c r="I347" s="42"/>
      <c r="J347" s="42"/>
      <c r="K347" s="42"/>
      <c r="L347" s="42"/>
      <c r="M347" s="42"/>
      <c r="N347" s="42"/>
      <c r="O347" s="42"/>
      <c r="P347" s="42"/>
      <c r="Q347" s="42"/>
      <c r="R347" s="42"/>
      <c r="S347" s="42"/>
      <c r="T347" s="42"/>
      <c r="U347" s="194"/>
      <c r="V347" s="42"/>
      <c r="W347" s="42"/>
      <c r="X347" s="42"/>
      <c r="Y347" s="42"/>
      <c r="Z347" s="42"/>
      <c r="AA347" s="42"/>
      <c r="AB347" s="195"/>
      <c r="AC347" s="42"/>
      <c r="AD347" s="42"/>
      <c r="AE347" s="195"/>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42"/>
      <c r="BH347" s="42"/>
      <c r="BI347" s="42"/>
      <c r="BJ347" s="42"/>
      <c r="BK347" s="42"/>
      <c r="BL347" s="42"/>
      <c r="BM347" s="42"/>
      <c r="BN347" s="42"/>
      <c r="BO347" s="42"/>
      <c r="BP347" s="42"/>
      <c r="BQ347" s="42"/>
      <c r="BR347" s="42"/>
      <c r="BS347" s="42"/>
      <c r="BT347" s="42"/>
      <c r="BU347" s="42"/>
      <c r="BV347" s="42"/>
      <c r="BW347" s="42"/>
      <c r="BX347" s="42"/>
      <c r="BY347" s="42"/>
      <c r="BZ347" s="42"/>
      <c r="CA347" s="42"/>
      <c r="CB347" s="42"/>
      <c r="CC347" s="42"/>
      <c r="CD347" s="42"/>
      <c r="CE347" s="42"/>
      <c r="CF347" s="42"/>
      <c r="CG347" s="42"/>
      <c r="CH347" s="42"/>
      <c r="CI347" s="42"/>
      <c r="CJ347" s="42"/>
      <c r="CK347" s="42"/>
      <c r="CL347" s="42"/>
      <c r="CM347" s="42"/>
      <c r="CN347" s="42"/>
      <c r="CO347" s="42"/>
      <c r="CP347" s="42"/>
      <c r="CQ347" s="42"/>
      <c r="CR347" s="42"/>
      <c r="CS347" s="42"/>
      <c r="CT347" s="42"/>
      <c r="CU347" s="42"/>
      <c r="CV347" s="42"/>
      <c r="CW347" s="42"/>
      <c r="CX347" s="42"/>
      <c r="CY347" s="42"/>
      <c r="CZ347" s="42"/>
      <c r="DA347" s="42"/>
      <c r="DB347" s="42"/>
      <c r="DC347" s="42"/>
      <c r="DD347" s="42"/>
      <c r="DE347" s="42"/>
      <c r="DF347" s="42"/>
      <c r="DG347" s="42"/>
      <c r="DH347" s="42"/>
      <c r="DI347" s="42"/>
      <c r="DJ347" s="42"/>
      <c r="DK347" s="42"/>
      <c r="DL347" s="42"/>
      <c r="DM347" s="42"/>
      <c r="DN347" s="42"/>
      <c r="DO347" s="42"/>
      <c r="DP347" s="42"/>
      <c r="DQ347" s="42"/>
      <c r="DR347" s="42"/>
      <c r="DS347" s="42"/>
      <c r="DT347" s="42"/>
      <c r="DU347" s="42"/>
      <c r="DV347" s="42"/>
      <c r="DW347" s="42"/>
      <c r="DX347" s="42"/>
      <c r="DY347" s="42"/>
      <c r="DZ347" s="42"/>
      <c r="EA347" s="42"/>
      <c r="EB347" s="42"/>
      <c r="EC347" s="42"/>
      <c r="ED347" s="42"/>
      <c r="EE347" s="42"/>
      <c r="EF347" s="42"/>
      <c r="EG347" s="42"/>
      <c r="EH347" s="42"/>
      <c r="EI347" s="42"/>
      <c r="EJ347" s="42"/>
      <c r="EK347" s="42"/>
      <c r="EL347" s="42"/>
      <c r="EM347" s="42"/>
      <c r="EN347" s="42"/>
      <c r="EO347" s="42"/>
      <c r="EP347" s="42"/>
      <c r="EQ347" s="42"/>
      <c r="ER347" s="42"/>
      <c r="ES347" s="42"/>
      <c r="ET347" s="42"/>
      <c r="EU347" s="42"/>
      <c r="EV347" s="42"/>
      <c r="EW347" s="42"/>
      <c r="EX347" s="42"/>
      <c r="EY347" s="42"/>
      <c r="EZ347" s="42"/>
      <c r="FA347" s="42"/>
      <c r="FB347" s="42"/>
      <c r="FC347" s="42"/>
      <c r="FD347" s="42"/>
      <c r="FE347" s="42"/>
      <c r="FF347" s="42"/>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row>
    <row r="348" spans="1:256" ht="13.8" x14ac:dyDescent="0.3">
      <c r="A348" s="42"/>
      <c r="B348" s="42"/>
      <c r="C348" s="42"/>
      <c r="D348" s="42"/>
      <c r="E348" s="42"/>
      <c r="F348" s="42"/>
      <c r="G348" s="42"/>
      <c r="H348" s="42"/>
      <c r="I348" s="42"/>
      <c r="J348" s="42"/>
      <c r="K348" s="42"/>
      <c r="L348" s="42"/>
      <c r="M348" s="42"/>
      <c r="N348" s="42"/>
      <c r="O348" s="42"/>
      <c r="P348" s="42"/>
      <c r="Q348" s="42"/>
      <c r="R348" s="42"/>
      <c r="S348" s="42"/>
      <c r="T348" s="42"/>
      <c r="U348" s="194"/>
      <c r="V348" s="42"/>
      <c r="W348" s="42"/>
      <c r="X348" s="42"/>
      <c r="Y348" s="42"/>
      <c r="Z348" s="42"/>
      <c r="AA348" s="42"/>
      <c r="AB348" s="195"/>
      <c r="AC348" s="42"/>
      <c r="AD348" s="42"/>
      <c r="AE348" s="195"/>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42"/>
      <c r="BH348" s="42"/>
      <c r="BI348" s="42"/>
      <c r="BJ348" s="42"/>
      <c r="BK348" s="42"/>
      <c r="BL348" s="42"/>
      <c r="BM348" s="42"/>
      <c r="BN348" s="42"/>
      <c r="BO348" s="42"/>
      <c r="BP348" s="42"/>
      <c r="BQ348" s="42"/>
      <c r="BR348" s="42"/>
      <c r="BS348" s="42"/>
      <c r="BT348" s="42"/>
      <c r="BU348" s="42"/>
      <c r="BV348" s="42"/>
      <c r="BW348" s="42"/>
      <c r="BX348" s="42"/>
      <c r="BY348" s="42"/>
      <c r="BZ348" s="42"/>
      <c r="CA348" s="42"/>
      <c r="CB348" s="42"/>
      <c r="CC348" s="42"/>
      <c r="CD348" s="42"/>
      <c r="CE348" s="42"/>
      <c r="CF348" s="42"/>
      <c r="CG348" s="42"/>
      <c r="CH348" s="42"/>
      <c r="CI348" s="42"/>
      <c r="CJ348" s="42"/>
      <c r="CK348" s="42"/>
      <c r="CL348" s="42"/>
      <c r="CM348" s="42"/>
      <c r="CN348" s="42"/>
      <c r="CO348" s="42"/>
      <c r="CP348" s="42"/>
      <c r="CQ348" s="42"/>
      <c r="CR348" s="42"/>
      <c r="CS348" s="42"/>
      <c r="CT348" s="42"/>
      <c r="CU348" s="42"/>
      <c r="CV348" s="42"/>
      <c r="CW348" s="42"/>
      <c r="CX348" s="42"/>
      <c r="CY348" s="42"/>
      <c r="CZ348" s="42"/>
      <c r="DA348" s="42"/>
      <c r="DB348" s="42"/>
      <c r="DC348" s="42"/>
      <c r="DD348" s="42"/>
      <c r="DE348" s="42"/>
      <c r="DF348" s="42"/>
      <c r="DG348" s="42"/>
      <c r="DH348" s="42"/>
      <c r="DI348" s="42"/>
      <c r="DJ348" s="42"/>
      <c r="DK348" s="42"/>
      <c r="DL348" s="42"/>
      <c r="DM348" s="42"/>
      <c r="DN348" s="42"/>
      <c r="DO348" s="42"/>
      <c r="DP348" s="42"/>
      <c r="DQ348" s="42"/>
      <c r="DR348" s="42"/>
      <c r="DS348" s="42"/>
      <c r="DT348" s="42"/>
      <c r="DU348" s="42"/>
      <c r="DV348" s="42"/>
      <c r="DW348" s="42"/>
      <c r="DX348" s="42"/>
      <c r="DY348" s="42"/>
      <c r="DZ348" s="42"/>
      <c r="EA348" s="42"/>
      <c r="EB348" s="42"/>
      <c r="EC348" s="42"/>
      <c r="ED348" s="42"/>
      <c r="EE348" s="42"/>
      <c r="EF348" s="42"/>
      <c r="EG348" s="42"/>
      <c r="EH348" s="42"/>
      <c r="EI348" s="42"/>
      <c r="EJ348" s="42"/>
      <c r="EK348" s="42"/>
      <c r="EL348" s="42"/>
      <c r="EM348" s="42"/>
      <c r="EN348" s="42"/>
      <c r="EO348" s="42"/>
      <c r="EP348" s="42"/>
      <c r="EQ348" s="42"/>
      <c r="ER348" s="42"/>
      <c r="ES348" s="42"/>
      <c r="ET348" s="42"/>
      <c r="EU348" s="42"/>
      <c r="EV348" s="42"/>
      <c r="EW348" s="42"/>
      <c r="EX348" s="42"/>
      <c r="EY348" s="42"/>
      <c r="EZ348" s="42"/>
      <c r="FA348" s="42"/>
      <c r="FB348" s="42"/>
      <c r="FC348" s="42"/>
      <c r="FD348" s="42"/>
      <c r="FE348" s="42"/>
      <c r="FF348" s="42"/>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row>
    <row r="349" spans="1:256" ht="13.8" x14ac:dyDescent="0.3">
      <c r="A349" s="42"/>
      <c r="B349" s="42"/>
      <c r="C349" s="42"/>
      <c r="D349" s="42"/>
      <c r="E349" s="42"/>
      <c r="F349" s="42"/>
      <c r="G349" s="42"/>
      <c r="H349" s="42"/>
      <c r="I349" s="42"/>
      <c r="J349" s="42"/>
      <c r="K349" s="42"/>
      <c r="L349" s="42"/>
      <c r="M349" s="42"/>
      <c r="N349" s="42"/>
      <c r="O349" s="42"/>
      <c r="P349" s="42"/>
      <c r="Q349" s="42"/>
      <c r="R349" s="42"/>
      <c r="S349" s="42"/>
      <c r="T349" s="42"/>
      <c r="U349" s="194"/>
      <c r="V349" s="42"/>
      <c r="W349" s="42"/>
      <c r="X349" s="42"/>
      <c r="Y349" s="42"/>
      <c r="Z349" s="42"/>
      <c r="AA349" s="42"/>
      <c r="AB349" s="195"/>
      <c r="AC349" s="42"/>
      <c r="AD349" s="42"/>
      <c r="AE349" s="195"/>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42"/>
      <c r="BH349" s="42"/>
      <c r="BI349" s="42"/>
      <c r="BJ349" s="42"/>
      <c r="BK349" s="42"/>
      <c r="BL349" s="42"/>
      <c r="BM349" s="42"/>
      <c r="BN349" s="42"/>
      <c r="BO349" s="42"/>
      <c r="BP349" s="42"/>
      <c r="BQ349" s="42"/>
      <c r="BR349" s="42"/>
      <c r="BS349" s="42"/>
      <c r="BT349" s="42"/>
      <c r="BU349" s="42"/>
      <c r="BV349" s="42"/>
      <c r="BW349" s="42"/>
      <c r="BX349" s="42"/>
      <c r="BY349" s="42"/>
      <c r="BZ349" s="42"/>
      <c r="CA349" s="42"/>
      <c r="CB349" s="42"/>
      <c r="CC349" s="42"/>
      <c r="CD349" s="42"/>
      <c r="CE349" s="42"/>
      <c r="CF349" s="42"/>
      <c r="CG349" s="42"/>
      <c r="CH349" s="42"/>
      <c r="CI349" s="42"/>
      <c r="CJ349" s="42"/>
      <c r="CK349" s="42"/>
      <c r="CL349" s="42"/>
      <c r="CM349" s="42"/>
      <c r="CN349" s="42"/>
      <c r="CO349" s="42"/>
      <c r="CP349" s="42"/>
      <c r="CQ349" s="42"/>
      <c r="CR349" s="42"/>
      <c r="CS349" s="42"/>
      <c r="CT349" s="42"/>
      <c r="CU349" s="42"/>
      <c r="CV349" s="42"/>
      <c r="CW349" s="42"/>
      <c r="CX349" s="42"/>
      <c r="CY349" s="42"/>
      <c r="CZ349" s="42"/>
      <c r="DA349" s="42"/>
      <c r="DB349" s="42"/>
      <c r="DC349" s="42"/>
      <c r="DD349" s="42"/>
      <c r="DE349" s="42"/>
      <c r="DF349" s="42"/>
      <c r="DG349" s="42"/>
      <c r="DH349" s="42"/>
      <c r="DI349" s="42"/>
      <c r="DJ349" s="42"/>
      <c r="DK349" s="42"/>
      <c r="DL349" s="42"/>
      <c r="DM349" s="42"/>
      <c r="DN349" s="42"/>
      <c r="DO349" s="42"/>
      <c r="DP349" s="42"/>
      <c r="DQ349" s="42"/>
      <c r="DR349" s="42"/>
      <c r="DS349" s="42"/>
      <c r="DT349" s="42"/>
      <c r="DU349" s="42"/>
      <c r="DV349" s="42"/>
      <c r="DW349" s="42"/>
      <c r="DX349" s="42"/>
      <c r="DY349" s="42"/>
      <c r="DZ349" s="42"/>
      <c r="EA349" s="42"/>
      <c r="EB349" s="42"/>
      <c r="EC349" s="42"/>
      <c r="ED349" s="42"/>
      <c r="EE349" s="42"/>
      <c r="EF349" s="42"/>
      <c r="EG349" s="42"/>
      <c r="EH349" s="42"/>
      <c r="EI349" s="42"/>
      <c r="EJ349" s="42"/>
      <c r="EK349" s="42"/>
      <c r="EL349" s="42"/>
      <c r="EM349" s="42"/>
      <c r="EN349" s="42"/>
      <c r="EO349" s="42"/>
      <c r="EP349" s="42"/>
      <c r="EQ349" s="42"/>
      <c r="ER349" s="42"/>
      <c r="ES349" s="42"/>
      <c r="ET349" s="42"/>
      <c r="EU349" s="42"/>
      <c r="EV349" s="42"/>
      <c r="EW349" s="42"/>
      <c r="EX349" s="42"/>
      <c r="EY349" s="42"/>
      <c r="EZ349" s="42"/>
      <c r="FA349" s="42"/>
      <c r="FB349" s="42"/>
      <c r="FC349" s="42"/>
      <c r="FD349" s="42"/>
      <c r="FE349" s="42"/>
      <c r="FF349" s="42"/>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row>
    <row r="350" spans="1:256" ht="13.8" x14ac:dyDescent="0.3">
      <c r="A350" s="42"/>
      <c r="B350" s="42"/>
      <c r="C350" s="42"/>
      <c r="D350" s="42"/>
      <c r="E350" s="42"/>
      <c r="F350" s="42"/>
      <c r="G350" s="42"/>
      <c r="H350" s="42"/>
      <c r="I350" s="42"/>
      <c r="J350" s="42"/>
      <c r="K350" s="42"/>
      <c r="L350" s="42"/>
      <c r="M350" s="42"/>
      <c r="N350" s="42"/>
      <c r="O350" s="42"/>
      <c r="P350" s="42"/>
      <c r="Q350" s="42"/>
      <c r="R350" s="42"/>
      <c r="S350" s="42"/>
      <c r="T350" s="42"/>
      <c r="U350" s="194"/>
      <c r="V350" s="42"/>
      <c r="W350" s="42"/>
      <c r="X350" s="42"/>
      <c r="Y350" s="42"/>
      <c r="Z350" s="42"/>
      <c r="AA350" s="42"/>
      <c r="AB350" s="195"/>
      <c r="AC350" s="42"/>
      <c r="AD350" s="42"/>
      <c r="AE350" s="195"/>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42"/>
      <c r="BH350" s="42"/>
      <c r="BI350" s="42"/>
      <c r="BJ350" s="42"/>
      <c r="BK350" s="42"/>
      <c r="BL350" s="42"/>
      <c r="BM350" s="42"/>
      <c r="BN350" s="42"/>
      <c r="BO350" s="42"/>
      <c r="BP350" s="42"/>
      <c r="BQ350" s="42"/>
      <c r="BR350" s="42"/>
      <c r="BS350" s="42"/>
      <c r="BT350" s="42"/>
      <c r="BU350" s="42"/>
      <c r="BV350" s="42"/>
      <c r="BW350" s="42"/>
      <c r="BX350" s="42"/>
      <c r="BY350" s="42"/>
      <c r="BZ350" s="42"/>
      <c r="CA350" s="42"/>
      <c r="CB350" s="42"/>
      <c r="CC350" s="42"/>
      <c r="CD350" s="42"/>
      <c r="CE350" s="42"/>
      <c r="CF350" s="42"/>
      <c r="CG350" s="42"/>
      <c r="CH350" s="42"/>
      <c r="CI350" s="42"/>
      <c r="CJ350" s="42"/>
      <c r="CK350" s="42"/>
      <c r="CL350" s="42"/>
      <c r="CM350" s="42"/>
      <c r="CN350" s="42"/>
      <c r="CO350" s="42"/>
      <c r="CP350" s="42"/>
      <c r="CQ350" s="42"/>
      <c r="CR350" s="42"/>
      <c r="CS350" s="42"/>
      <c r="CT350" s="42"/>
      <c r="CU350" s="42"/>
      <c r="CV350" s="42"/>
      <c r="CW350" s="42"/>
      <c r="CX350" s="42"/>
      <c r="CY350" s="42"/>
      <c r="CZ350" s="42"/>
      <c r="DA350" s="42"/>
      <c r="DB350" s="42"/>
      <c r="DC350" s="42"/>
      <c r="DD350" s="42"/>
      <c r="DE350" s="42"/>
      <c r="DF350" s="42"/>
      <c r="DG350" s="42"/>
      <c r="DH350" s="42"/>
      <c r="DI350" s="42"/>
      <c r="DJ350" s="42"/>
      <c r="DK350" s="42"/>
      <c r="DL350" s="42"/>
      <c r="DM350" s="42"/>
      <c r="DN350" s="42"/>
      <c r="DO350" s="42"/>
      <c r="DP350" s="42"/>
      <c r="DQ350" s="42"/>
      <c r="DR350" s="42"/>
      <c r="DS350" s="42"/>
      <c r="DT350" s="42"/>
      <c r="DU350" s="42"/>
      <c r="DV350" s="42"/>
      <c r="DW350" s="42"/>
      <c r="DX350" s="42"/>
      <c r="DY350" s="42"/>
      <c r="DZ350" s="42"/>
      <c r="EA350" s="42"/>
      <c r="EB350" s="42"/>
      <c r="EC350" s="42"/>
      <c r="ED350" s="42"/>
      <c r="EE350" s="42"/>
      <c r="EF350" s="42"/>
      <c r="EG350" s="42"/>
      <c r="EH350" s="42"/>
      <c r="EI350" s="42"/>
      <c r="EJ350" s="42"/>
      <c r="EK350" s="42"/>
      <c r="EL350" s="42"/>
      <c r="EM350" s="42"/>
      <c r="EN350" s="42"/>
      <c r="EO350" s="42"/>
      <c r="EP350" s="42"/>
      <c r="EQ350" s="42"/>
      <c r="ER350" s="42"/>
      <c r="ES350" s="42"/>
      <c r="ET350" s="42"/>
      <c r="EU350" s="42"/>
      <c r="EV350" s="42"/>
      <c r="EW350" s="42"/>
      <c r="EX350" s="42"/>
      <c r="EY350" s="42"/>
      <c r="EZ350" s="42"/>
      <c r="FA350" s="42"/>
      <c r="FB350" s="42"/>
      <c r="FC350" s="42"/>
      <c r="FD350" s="42"/>
      <c r="FE350" s="42"/>
      <c r="FF350" s="42"/>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row>
    <row r="351" spans="1:256" ht="13.8" x14ac:dyDescent="0.3">
      <c r="A351" s="42"/>
      <c r="B351" s="42"/>
      <c r="C351" s="42"/>
      <c r="D351" s="42"/>
      <c r="E351" s="42"/>
      <c r="F351" s="42"/>
      <c r="G351" s="42"/>
      <c r="H351" s="42"/>
      <c r="I351" s="42"/>
      <c r="J351" s="42"/>
      <c r="K351" s="42"/>
      <c r="L351" s="42"/>
      <c r="M351" s="42"/>
      <c r="N351" s="42"/>
      <c r="O351" s="42"/>
      <c r="P351" s="42"/>
      <c r="Q351" s="42"/>
      <c r="R351" s="42"/>
      <c r="S351" s="42"/>
      <c r="T351" s="42"/>
      <c r="U351" s="194"/>
      <c r="V351" s="42"/>
      <c r="W351" s="42"/>
      <c r="X351" s="42"/>
      <c r="Y351" s="42"/>
      <c r="Z351" s="42"/>
      <c r="AA351" s="42"/>
      <c r="AB351" s="195"/>
      <c r="AC351" s="42"/>
      <c r="AD351" s="42"/>
      <c r="AE351" s="195"/>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42"/>
      <c r="BH351" s="42"/>
      <c r="BI351" s="42"/>
      <c r="BJ351" s="42"/>
      <c r="BK351" s="42"/>
      <c r="BL351" s="42"/>
      <c r="BM351" s="42"/>
      <c r="BN351" s="42"/>
      <c r="BO351" s="42"/>
      <c r="BP351" s="42"/>
      <c r="BQ351" s="42"/>
      <c r="BR351" s="42"/>
      <c r="BS351" s="42"/>
      <c r="BT351" s="42"/>
      <c r="BU351" s="42"/>
      <c r="BV351" s="42"/>
      <c r="BW351" s="42"/>
      <c r="BX351" s="42"/>
      <c r="BY351" s="42"/>
      <c r="BZ351" s="42"/>
      <c r="CA351" s="42"/>
      <c r="CB351" s="42"/>
      <c r="CC351" s="42"/>
      <c r="CD351" s="42"/>
      <c r="CE351" s="42"/>
      <c r="CF351" s="42"/>
      <c r="CG351" s="42"/>
      <c r="CH351" s="42"/>
      <c r="CI351" s="42"/>
      <c r="CJ351" s="42"/>
      <c r="CK351" s="42"/>
      <c r="CL351" s="42"/>
      <c r="CM351" s="42"/>
      <c r="CN351" s="42"/>
      <c r="CO351" s="42"/>
      <c r="CP351" s="42"/>
      <c r="CQ351" s="42"/>
      <c r="CR351" s="42"/>
      <c r="CS351" s="42"/>
      <c r="CT351" s="42"/>
      <c r="CU351" s="42"/>
      <c r="CV351" s="42"/>
      <c r="CW351" s="42"/>
      <c r="CX351" s="42"/>
      <c r="CY351" s="42"/>
      <c r="CZ351" s="42"/>
      <c r="DA351" s="42"/>
      <c r="DB351" s="42"/>
      <c r="DC351" s="42"/>
      <c r="DD351" s="42"/>
      <c r="DE351" s="42"/>
      <c r="DF351" s="42"/>
      <c r="DG351" s="42"/>
      <c r="DH351" s="42"/>
      <c r="DI351" s="42"/>
      <c r="DJ351" s="42"/>
      <c r="DK351" s="42"/>
      <c r="DL351" s="42"/>
      <c r="DM351" s="42"/>
      <c r="DN351" s="42"/>
      <c r="DO351" s="42"/>
      <c r="DP351" s="42"/>
      <c r="DQ351" s="42"/>
      <c r="DR351" s="42"/>
      <c r="DS351" s="42"/>
      <c r="DT351" s="42"/>
      <c r="DU351" s="42"/>
      <c r="DV351" s="42"/>
      <c r="DW351" s="42"/>
      <c r="DX351" s="42"/>
      <c r="DY351" s="42"/>
      <c r="DZ351" s="42"/>
      <c r="EA351" s="42"/>
      <c r="EB351" s="42"/>
      <c r="EC351" s="42"/>
      <c r="ED351" s="42"/>
      <c r="EE351" s="42"/>
      <c r="EF351" s="42"/>
      <c r="EG351" s="42"/>
      <c r="EH351" s="42"/>
      <c r="EI351" s="42"/>
      <c r="EJ351" s="42"/>
      <c r="EK351" s="42"/>
      <c r="EL351" s="42"/>
      <c r="EM351" s="42"/>
      <c r="EN351" s="42"/>
      <c r="EO351" s="42"/>
      <c r="EP351" s="42"/>
      <c r="EQ351" s="42"/>
      <c r="ER351" s="42"/>
      <c r="ES351" s="42"/>
      <c r="ET351" s="42"/>
      <c r="EU351" s="42"/>
      <c r="EV351" s="42"/>
      <c r="EW351" s="42"/>
      <c r="EX351" s="42"/>
      <c r="EY351" s="42"/>
      <c r="EZ351" s="42"/>
      <c r="FA351" s="42"/>
      <c r="FB351" s="42"/>
      <c r="FC351" s="42"/>
      <c r="FD351" s="42"/>
      <c r="FE351" s="42"/>
      <c r="FF351" s="42"/>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row>
    <row r="352" spans="1:256" ht="13.8" x14ac:dyDescent="0.3">
      <c r="A352" s="42"/>
      <c r="B352" s="42"/>
      <c r="C352" s="42"/>
      <c r="D352" s="42"/>
      <c r="E352" s="42"/>
      <c r="F352" s="42"/>
      <c r="G352" s="42"/>
      <c r="H352" s="42"/>
      <c r="I352" s="42"/>
      <c r="J352" s="42"/>
      <c r="K352" s="42"/>
      <c r="L352" s="42"/>
      <c r="M352" s="42"/>
      <c r="N352" s="42"/>
      <c r="O352" s="42"/>
      <c r="P352" s="42"/>
      <c r="Q352" s="42"/>
      <c r="R352" s="42"/>
      <c r="S352" s="42"/>
      <c r="T352" s="42"/>
      <c r="U352" s="194"/>
      <c r="V352" s="42"/>
      <c r="W352" s="42"/>
      <c r="X352" s="42"/>
      <c r="Y352" s="42"/>
      <c r="Z352" s="42"/>
      <c r="AA352" s="42"/>
      <c r="AB352" s="195"/>
      <c r="AC352" s="42"/>
      <c r="AD352" s="42"/>
      <c r="AE352" s="195"/>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42"/>
      <c r="BH352" s="42"/>
      <c r="BI352" s="42"/>
      <c r="BJ352" s="42"/>
      <c r="BK352" s="42"/>
      <c r="BL352" s="42"/>
      <c r="BM352" s="42"/>
      <c r="BN352" s="42"/>
      <c r="BO352" s="42"/>
      <c r="BP352" s="42"/>
      <c r="BQ352" s="42"/>
      <c r="BR352" s="42"/>
      <c r="BS352" s="42"/>
      <c r="BT352" s="42"/>
      <c r="BU352" s="42"/>
      <c r="BV352" s="42"/>
      <c r="BW352" s="42"/>
      <c r="BX352" s="42"/>
      <c r="BY352" s="42"/>
      <c r="BZ352" s="42"/>
      <c r="CA352" s="42"/>
      <c r="CB352" s="42"/>
      <c r="CC352" s="42"/>
      <c r="CD352" s="42"/>
      <c r="CE352" s="42"/>
      <c r="CF352" s="42"/>
      <c r="CG352" s="42"/>
      <c r="CH352" s="42"/>
      <c r="CI352" s="42"/>
      <c r="CJ352" s="42"/>
      <c r="CK352" s="42"/>
      <c r="CL352" s="42"/>
      <c r="CM352" s="42"/>
      <c r="CN352" s="42"/>
      <c r="CO352" s="42"/>
      <c r="CP352" s="42"/>
      <c r="CQ352" s="42"/>
      <c r="CR352" s="42"/>
      <c r="CS352" s="42"/>
      <c r="CT352" s="42"/>
      <c r="CU352" s="42"/>
      <c r="CV352" s="42"/>
      <c r="CW352" s="42"/>
      <c r="CX352" s="42"/>
      <c r="CY352" s="42"/>
      <c r="CZ352" s="42"/>
      <c r="DA352" s="42"/>
      <c r="DB352" s="42"/>
      <c r="DC352" s="42"/>
      <c r="DD352" s="42"/>
      <c r="DE352" s="42"/>
      <c r="DF352" s="42"/>
      <c r="DG352" s="42"/>
      <c r="DH352" s="42"/>
      <c r="DI352" s="42"/>
      <c r="DJ352" s="42"/>
      <c r="DK352" s="42"/>
      <c r="DL352" s="42"/>
      <c r="DM352" s="42"/>
      <c r="DN352" s="42"/>
      <c r="DO352" s="42"/>
      <c r="DP352" s="42"/>
      <c r="DQ352" s="42"/>
      <c r="DR352" s="42"/>
      <c r="DS352" s="42"/>
      <c r="DT352" s="42"/>
      <c r="DU352" s="42"/>
      <c r="DV352" s="42"/>
      <c r="DW352" s="42"/>
      <c r="DX352" s="42"/>
      <c r="DY352" s="42"/>
      <c r="DZ352" s="42"/>
      <c r="EA352" s="42"/>
      <c r="EB352" s="42"/>
      <c r="EC352" s="42"/>
      <c r="ED352" s="42"/>
      <c r="EE352" s="42"/>
      <c r="EF352" s="42"/>
      <c r="EG352" s="42"/>
      <c r="EH352" s="42"/>
      <c r="EI352" s="42"/>
      <c r="EJ352" s="42"/>
      <c r="EK352" s="42"/>
      <c r="EL352" s="42"/>
      <c r="EM352" s="42"/>
      <c r="EN352" s="42"/>
      <c r="EO352" s="42"/>
      <c r="EP352" s="42"/>
      <c r="EQ352" s="42"/>
      <c r="ER352" s="42"/>
      <c r="ES352" s="42"/>
      <c r="ET352" s="42"/>
      <c r="EU352" s="42"/>
      <c r="EV352" s="42"/>
      <c r="EW352" s="42"/>
      <c r="EX352" s="42"/>
      <c r="EY352" s="42"/>
      <c r="EZ352" s="42"/>
      <c r="FA352" s="42"/>
      <c r="FB352" s="42"/>
      <c r="FC352" s="42"/>
      <c r="FD352" s="42"/>
      <c r="FE352" s="42"/>
      <c r="FF352" s="42"/>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row>
    <row r="353" spans="1:256" ht="13.8" x14ac:dyDescent="0.3">
      <c r="A353" s="42"/>
      <c r="B353" s="42"/>
      <c r="C353" s="42"/>
      <c r="D353" s="42"/>
      <c r="E353" s="42"/>
      <c r="F353" s="42"/>
      <c r="G353" s="42"/>
      <c r="H353" s="42"/>
      <c r="I353" s="42"/>
      <c r="J353" s="42"/>
      <c r="K353" s="42"/>
      <c r="L353" s="42"/>
      <c r="M353" s="42"/>
      <c r="N353" s="42"/>
      <c r="O353" s="42"/>
      <c r="P353" s="42"/>
      <c r="Q353" s="42"/>
      <c r="R353" s="42"/>
      <c r="S353" s="42"/>
      <c r="T353" s="42"/>
      <c r="U353" s="194"/>
      <c r="V353" s="42"/>
      <c r="W353" s="42"/>
      <c r="X353" s="42"/>
      <c r="Y353" s="42"/>
      <c r="Z353" s="42"/>
      <c r="AA353" s="42"/>
      <c r="AB353" s="195"/>
      <c r="AC353" s="42"/>
      <c r="AD353" s="42"/>
      <c r="AE353" s="195"/>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42"/>
      <c r="BH353" s="42"/>
      <c r="BI353" s="42"/>
      <c r="BJ353" s="42"/>
      <c r="BK353" s="42"/>
      <c r="BL353" s="42"/>
      <c r="BM353" s="42"/>
      <c r="BN353" s="42"/>
      <c r="BO353" s="42"/>
      <c r="BP353" s="42"/>
      <c r="BQ353" s="42"/>
      <c r="BR353" s="42"/>
      <c r="BS353" s="42"/>
      <c r="BT353" s="42"/>
      <c r="BU353" s="42"/>
      <c r="BV353" s="42"/>
      <c r="BW353" s="42"/>
      <c r="BX353" s="42"/>
      <c r="BY353" s="42"/>
      <c r="BZ353" s="42"/>
      <c r="CA353" s="42"/>
      <c r="CB353" s="42"/>
      <c r="CC353" s="42"/>
      <c r="CD353" s="42"/>
      <c r="CE353" s="42"/>
      <c r="CF353" s="42"/>
      <c r="CG353" s="42"/>
      <c r="CH353" s="42"/>
      <c r="CI353" s="42"/>
      <c r="CJ353" s="42"/>
      <c r="CK353" s="42"/>
      <c r="CL353" s="42"/>
      <c r="CM353" s="42"/>
      <c r="CN353" s="42"/>
      <c r="CO353" s="42"/>
      <c r="CP353" s="42"/>
      <c r="CQ353" s="42"/>
      <c r="CR353" s="42"/>
      <c r="CS353" s="42"/>
      <c r="CT353" s="42"/>
      <c r="CU353" s="42"/>
      <c r="CV353" s="42"/>
      <c r="CW353" s="42"/>
      <c r="CX353" s="42"/>
      <c r="CY353" s="42"/>
      <c r="CZ353" s="42"/>
      <c r="DA353" s="42"/>
      <c r="DB353" s="42"/>
      <c r="DC353" s="42"/>
      <c r="DD353" s="42"/>
      <c r="DE353" s="42"/>
      <c r="DF353" s="42"/>
      <c r="DG353" s="42"/>
      <c r="DH353" s="42"/>
      <c r="DI353" s="42"/>
      <c r="DJ353" s="42"/>
      <c r="DK353" s="42"/>
      <c r="DL353" s="42"/>
      <c r="DM353" s="42"/>
      <c r="DN353" s="42"/>
      <c r="DO353" s="42"/>
      <c r="DP353" s="42"/>
      <c r="DQ353" s="42"/>
      <c r="DR353" s="42"/>
      <c r="DS353" s="42"/>
      <c r="DT353" s="42"/>
      <c r="DU353" s="42"/>
      <c r="DV353" s="42"/>
      <c r="DW353" s="42"/>
      <c r="DX353" s="42"/>
      <c r="DY353" s="42"/>
      <c r="DZ353" s="42"/>
      <c r="EA353" s="42"/>
      <c r="EB353" s="42"/>
      <c r="EC353" s="42"/>
      <c r="ED353" s="42"/>
      <c r="EE353" s="42"/>
      <c r="EF353" s="42"/>
      <c r="EG353" s="42"/>
      <c r="EH353" s="42"/>
      <c r="EI353" s="42"/>
      <c r="EJ353" s="42"/>
      <c r="EK353" s="42"/>
      <c r="EL353" s="42"/>
      <c r="EM353" s="42"/>
      <c r="EN353" s="42"/>
      <c r="EO353" s="42"/>
      <c r="EP353" s="42"/>
      <c r="EQ353" s="42"/>
      <c r="ER353" s="42"/>
      <c r="ES353" s="42"/>
      <c r="ET353" s="42"/>
      <c r="EU353" s="42"/>
      <c r="EV353" s="42"/>
      <c r="EW353" s="42"/>
      <c r="EX353" s="42"/>
      <c r="EY353" s="42"/>
      <c r="EZ353" s="42"/>
      <c r="FA353" s="42"/>
      <c r="FB353" s="42"/>
      <c r="FC353" s="42"/>
      <c r="FD353" s="42"/>
      <c r="FE353" s="42"/>
      <c r="FF353" s="42"/>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row>
    <row r="354" spans="1:256" ht="13.8" x14ac:dyDescent="0.3">
      <c r="A354" s="42"/>
      <c r="B354" s="42"/>
      <c r="C354" s="42"/>
      <c r="D354" s="42"/>
      <c r="E354" s="42"/>
      <c r="F354" s="42"/>
      <c r="G354" s="42"/>
      <c r="H354" s="42"/>
      <c r="I354" s="42"/>
      <c r="J354" s="42"/>
      <c r="K354" s="42"/>
      <c r="L354" s="42"/>
      <c r="M354" s="42"/>
      <c r="N354" s="42"/>
      <c r="O354" s="42"/>
      <c r="P354" s="42"/>
      <c r="Q354" s="42"/>
      <c r="R354" s="42"/>
      <c r="S354" s="42"/>
      <c r="T354" s="42"/>
      <c r="U354" s="194"/>
      <c r="V354" s="42"/>
      <c r="W354" s="42"/>
      <c r="X354" s="42"/>
      <c r="Y354" s="42"/>
      <c r="Z354" s="42"/>
      <c r="AA354" s="42"/>
      <c r="AB354" s="195"/>
      <c r="AC354" s="42"/>
      <c r="AD354" s="42"/>
      <c r="AE354" s="195"/>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42"/>
      <c r="BH354" s="42"/>
      <c r="BI354" s="42"/>
      <c r="BJ354" s="42"/>
      <c r="BK354" s="42"/>
      <c r="BL354" s="42"/>
      <c r="BM354" s="42"/>
      <c r="BN354" s="42"/>
      <c r="BO354" s="42"/>
      <c r="BP354" s="42"/>
      <c r="BQ354" s="42"/>
      <c r="BR354" s="42"/>
      <c r="BS354" s="42"/>
      <c r="BT354" s="42"/>
      <c r="BU354" s="42"/>
      <c r="BV354" s="42"/>
      <c r="BW354" s="42"/>
      <c r="BX354" s="42"/>
      <c r="BY354" s="42"/>
      <c r="BZ354" s="42"/>
      <c r="CA354" s="42"/>
      <c r="CB354" s="42"/>
      <c r="CC354" s="42"/>
      <c r="CD354" s="42"/>
      <c r="CE354" s="42"/>
      <c r="CF354" s="42"/>
      <c r="CG354" s="42"/>
      <c r="CH354" s="42"/>
      <c r="CI354" s="42"/>
      <c r="CJ354" s="42"/>
      <c r="CK354" s="42"/>
      <c r="CL354" s="42"/>
      <c r="CM354" s="42"/>
      <c r="CN354" s="42"/>
      <c r="CO354" s="42"/>
      <c r="CP354" s="42"/>
      <c r="CQ354" s="42"/>
      <c r="CR354" s="42"/>
      <c r="CS354" s="42"/>
      <c r="CT354" s="42"/>
      <c r="CU354" s="42"/>
      <c r="CV354" s="42"/>
      <c r="CW354" s="42"/>
      <c r="CX354" s="42"/>
      <c r="CY354" s="42"/>
      <c r="CZ354" s="42"/>
      <c r="DA354" s="42"/>
      <c r="DB354" s="42"/>
      <c r="DC354" s="42"/>
      <c r="DD354" s="42"/>
      <c r="DE354" s="42"/>
      <c r="DF354" s="42"/>
      <c r="DG354" s="42"/>
      <c r="DH354" s="42"/>
      <c r="DI354" s="42"/>
      <c r="DJ354" s="42"/>
      <c r="DK354" s="42"/>
      <c r="DL354" s="42"/>
      <c r="DM354" s="42"/>
      <c r="DN354" s="42"/>
      <c r="DO354" s="42"/>
      <c r="DP354" s="42"/>
      <c r="DQ354" s="42"/>
      <c r="DR354" s="42"/>
      <c r="DS354" s="42"/>
      <c r="DT354" s="42"/>
      <c r="DU354" s="42"/>
      <c r="DV354" s="42"/>
      <c r="DW354" s="42"/>
      <c r="DX354" s="42"/>
      <c r="DY354" s="42"/>
      <c r="DZ354" s="42"/>
      <c r="EA354" s="42"/>
      <c r="EB354" s="42"/>
      <c r="EC354" s="42"/>
      <c r="ED354" s="42"/>
      <c r="EE354" s="42"/>
      <c r="EF354" s="42"/>
      <c r="EG354" s="42"/>
      <c r="EH354" s="42"/>
      <c r="EI354" s="42"/>
      <c r="EJ354" s="42"/>
      <c r="EK354" s="42"/>
      <c r="EL354" s="42"/>
      <c r="EM354" s="42"/>
      <c r="EN354" s="42"/>
      <c r="EO354" s="42"/>
      <c r="EP354" s="42"/>
      <c r="EQ354" s="42"/>
      <c r="ER354" s="42"/>
      <c r="ES354" s="42"/>
      <c r="ET354" s="42"/>
      <c r="EU354" s="42"/>
      <c r="EV354" s="42"/>
      <c r="EW354" s="42"/>
      <c r="EX354" s="42"/>
      <c r="EY354" s="42"/>
      <c r="EZ354" s="42"/>
      <c r="FA354" s="42"/>
      <c r="FB354" s="42"/>
      <c r="FC354" s="42"/>
      <c r="FD354" s="42"/>
      <c r="FE354" s="42"/>
      <c r="FF354" s="42"/>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row>
    <row r="355" spans="1:256" ht="13.8" x14ac:dyDescent="0.3">
      <c r="A355" s="42"/>
      <c r="B355" s="42"/>
      <c r="C355" s="42"/>
      <c r="D355" s="42"/>
      <c r="E355" s="42"/>
      <c r="F355" s="42"/>
      <c r="G355" s="42"/>
      <c r="H355" s="42"/>
      <c r="I355" s="42"/>
      <c r="J355" s="42"/>
      <c r="K355" s="42"/>
      <c r="L355" s="42"/>
      <c r="M355" s="42"/>
      <c r="N355" s="42"/>
      <c r="O355" s="42"/>
      <c r="P355" s="42"/>
      <c r="Q355" s="42"/>
      <c r="R355" s="42"/>
      <c r="S355" s="42"/>
      <c r="T355" s="42"/>
      <c r="U355" s="194"/>
      <c r="V355" s="42"/>
      <c r="W355" s="42"/>
      <c r="X355" s="42"/>
      <c r="Y355" s="42"/>
      <c r="Z355" s="42"/>
      <c r="AA355" s="42"/>
      <c r="AB355" s="195"/>
      <c r="AC355" s="42"/>
      <c r="AD355" s="42"/>
      <c r="AE355" s="195"/>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42"/>
      <c r="BH355" s="42"/>
      <c r="BI355" s="42"/>
      <c r="BJ355" s="42"/>
      <c r="BK355" s="42"/>
      <c r="BL355" s="42"/>
      <c r="BM355" s="42"/>
      <c r="BN355" s="42"/>
      <c r="BO355" s="42"/>
      <c r="BP355" s="42"/>
      <c r="BQ355" s="42"/>
      <c r="BR355" s="42"/>
      <c r="BS355" s="42"/>
      <c r="BT355" s="42"/>
      <c r="BU355" s="42"/>
      <c r="BV355" s="42"/>
      <c r="BW355" s="42"/>
      <c r="BX355" s="42"/>
      <c r="BY355" s="42"/>
      <c r="BZ355" s="42"/>
      <c r="CA355" s="42"/>
      <c r="CB355" s="42"/>
      <c r="CC355" s="42"/>
      <c r="CD355" s="42"/>
      <c r="CE355" s="42"/>
      <c r="CF355" s="42"/>
      <c r="CG355" s="42"/>
      <c r="CH355" s="42"/>
      <c r="CI355" s="42"/>
      <c r="CJ355" s="42"/>
      <c r="CK355" s="42"/>
      <c r="CL355" s="42"/>
      <c r="CM355" s="42"/>
      <c r="CN355" s="42"/>
      <c r="CO355" s="42"/>
      <c r="CP355" s="42"/>
      <c r="CQ355" s="42"/>
      <c r="CR355" s="42"/>
      <c r="CS355" s="42"/>
      <c r="CT355" s="42"/>
      <c r="CU355" s="42"/>
      <c r="CV355" s="42"/>
      <c r="CW355" s="42"/>
      <c r="CX355" s="42"/>
      <c r="CY355" s="42"/>
      <c r="CZ355" s="42"/>
      <c r="DA355" s="42"/>
      <c r="DB355" s="42"/>
      <c r="DC355" s="42"/>
      <c r="DD355" s="42"/>
      <c r="DE355" s="42"/>
      <c r="DF355" s="42"/>
      <c r="DG355" s="42"/>
      <c r="DH355" s="42"/>
      <c r="DI355" s="42"/>
      <c r="DJ355" s="42"/>
      <c r="DK355" s="42"/>
      <c r="DL355" s="42"/>
      <c r="DM355" s="42"/>
      <c r="DN355" s="42"/>
      <c r="DO355" s="42"/>
      <c r="DP355" s="42"/>
      <c r="DQ355" s="42"/>
      <c r="DR355" s="42"/>
      <c r="DS355" s="42"/>
      <c r="DT355" s="42"/>
      <c r="DU355" s="42"/>
      <c r="DV355" s="42"/>
      <c r="DW355" s="42"/>
      <c r="DX355" s="42"/>
      <c r="DY355" s="42"/>
      <c r="DZ355" s="42"/>
      <c r="EA355" s="42"/>
      <c r="EB355" s="42"/>
      <c r="EC355" s="42"/>
      <c r="ED355" s="42"/>
      <c r="EE355" s="42"/>
      <c r="EF355" s="42"/>
      <c r="EG355" s="42"/>
      <c r="EH355" s="42"/>
      <c r="EI355" s="42"/>
      <c r="EJ355" s="42"/>
      <c r="EK355" s="42"/>
      <c r="EL355" s="42"/>
      <c r="EM355" s="42"/>
      <c r="EN355" s="42"/>
      <c r="EO355" s="42"/>
      <c r="EP355" s="42"/>
      <c r="EQ355" s="42"/>
      <c r="ER355" s="42"/>
      <c r="ES355" s="42"/>
      <c r="ET355" s="42"/>
      <c r="EU355" s="42"/>
      <c r="EV355" s="42"/>
      <c r="EW355" s="42"/>
      <c r="EX355" s="42"/>
      <c r="EY355" s="42"/>
      <c r="EZ355" s="42"/>
      <c r="FA355" s="42"/>
      <c r="FB355" s="42"/>
      <c r="FC355" s="42"/>
      <c r="FD355" s="42"/>
      <c r="FE355" s="42"/>
      <c r="FF355" s="42"/>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row>
    <row r="356" spans="1:256" ht="13.8" x14ac:dyDescent="0.3">
      <c r="A356" s="42"/>
      <c r="B356" s="42"/>
      <c r="C356" s="42"/>
      <c r="D356" s="42"/>
      <c r="E356" s="42"/>
      <c r="F356" s="42"/>
      <c r="G356" s="42"/>
      <c r="H356" s="42"/>
      <c r="I356" s="42"/>
      <c r="J356" s="42"/>
      <c r="K356" s="42"/>
      <c r="L356" s="42"/>
      <c r="M356" s="42"/>
      <c r="N356" s="42"/>
      <c r="O356" s="42"/>
      <c r="P356" s="42"/>
      <c r="Q356" s="42"/>
      <c r="R356" s="42"/>
      <c r="S356" s="42"/>
      <c r="T356" s="42"/>
      <c r="U356" s="194"/>
      <c r="V356" s="42"/>
      <c r="W356" s="42"/>
      <c r="X356" s="42"/>
      <c r="Y356" s="42"/>
      <c r="Z356" s="42"/>
      <c r="AA356" s="42"/>
      <c r="AB356" s="195"/>
      <c r="AC356" s="42"/>
      <c r="AD356" s="42"/>
      <c r="AE356" s="195"/>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42"/>
      <c r="BH356" s="42"/>
      <c r="BI356" s="42"/>
      <c r="BJ356" s="42"/>
      <c r="BK356" s="42"/>
      <c r="BL356" s="42"/>
      <c r="BM356" s="42"/>
      <c r="BN356" s="42"/>
      <c r="BO356" s="42"/>
      <c r="BP356" s="42"/>
      <c r="BQ356" s="42"/>
      <c r="BR356" s="42"/>
      <c r="BS356" s="42"/>
      <c r="BT356" s="42"/>
      <c r="BU356" s="42"/>
      <c r="BV356" s="42"/>
      <c r="BW356" s="42"/>
      <c r="BX356" s="42"/>
      <c r="BY356" s="42"/>
      <c r="BZ356" s="42"/>
      <c r="CA356" s="42"/>
      <c r="CB356" s="42"/>
      <c r="CC356" s="42"/>
      <c r="CD356" s="42"/>
      <c r="CE356" s="42"/>
      <c r="CF356" s="42"/>
      <c r="CG356" s="42"/>
      <c r="CH356" s="42"/>
      <c r="CI356" s="42"/>
      <c r="CJ356" s="42"/>
      <c r="CK356" s="42"/>
      <c r="CL356" s="42"/>
      <c r="CM356" s="42"/>
      <c r="CN356" s="42"/>
      <c r="CO356" s="42"/>
      <c r="CP356" s="42"/>
      <c r="CQ356" s="42"/>
      <c r="CR356" s="42"/>
      <c r="CS356" s="42"/>
      <c r="CT356" s="42"/>
      <c r="CU356" s="42"/>
      <c r="CV356" s="42"/>
      <c r="CW356" s="42"/>
      <c r="CX356" s="42"/>
      <c r="CY356" s="42"/>
      <c r="CZ356" s="42"/>
      <c r="DA356" s="42"/>
      <c r="DB356" s="42"/>
      <c r="DC356" s="42"/>
      <c r="DD356" s="42"/>
      <c r="DE356" s="42"/>
      <c r="DF356" s="42"/>
      <c r="DG356" s="42"/>
      <c r="DH356" s="42"/>
      <c r="DI356" s="42"/>
      <c r="DJ356" s="42"/>
      <c r="DK356" s="42"/>
      <c r="DL356" s="42"/>
      <c r="DM356" s="42"/>
      <c r="DN356" s="42"/>
      <c r="DO356" s="42"/>
      <c r="DP356" s="42"/>
      <c r="DQ356" s="42"/>
      <c r="DR356" s="42"/>
      <c r="DS356" s="42"/>
      <c r="DT356" s="42"/>
      <c r="DU356" s="42"/>
      <c r="DV356" s="42"/>
      <c r="DW356" s="42"/>
      <c r="DX356" s="42"/>
      <c r="DY356" s="42"/>
      <c r="DZ356" s="42"/>
      <c r="EA356" s="42"/>
      <c r="EB356" s="42"/>
      <c r="EC356" s="42"/>
      <c r="ED356" s="42"/>
      <c r="EE356" s="42"/>
      <c r="EF356" s="42"/>
      <c r="EG356" s="42"/>
      <c r="EH356" s="42"/>
      <c r="EI356" s="42"/>
      <c r="EJ356" s="42"/>
      <c r="EK356" s="42"/>
      <c r="EL356" s="42"/>
      <c r="EM356" s="42"/>
      <c r="EN356" s="42"/>
      <c r="EO356" s="42"/>
      <c r="EP356" s="42"/>
      <c r="EQ356" s="42"/>
      <c r="ER356" s="42"/>
      <c r="ES356" s="42"/>
      <c r="ET356" s="42"/>
      <c r="EU356" s="42"/>
      <c r="EV356" s="42"/>
      <c r="EW356" s="42"/>
      <c r="EX356" s="42"/>
      <c r="EY356" s="42"/>
      <c r="EZ356" s="42"/>
      <c r="FA356" s="42"/>
      <c r="FB356" s="42"/>
      <c r="FC356" s="42"/>
      <c r="FD356" s="42"/>
      <c r="FE356" s="42"/>
      <c r="FF356" s="42"/>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row>
    <row r="357" spans="1:256" ht="13.8" x14ac:dyDescent="0.3">
      <c r="A357" s="42"/>
      <c r="B357" s="42"/>
      <c r="C357" s="42"/>
      <c r="D357" s="42"/>
      <c r="E357" s="42"/>
      <c r="F357" s="42"/>
      <c r="G357" s="42"/>
      <c r="H357" s="42"/>
      <c r="I357" s="42"/>
      <c r="J357" s="42"/>
      <c r="K357" s="42"/>
      <c r="L357" s="42"/>
      <c r="M357" s="42"/>
      <c r="N357" s="42"/>
      <c r="O357" s="42"/>
      <c r="P357" s="42"/>
      <c r="Q357" s="42"/>
      <c r="R357" s="42"/>
      <c r="S357" s="42"/>
      <c r="T357" s="42"/>
      <c r="U357" s="194"/>
      <c r="V357" s="42"/>
      <c r="W357" s="42"/>
      <c r="X357" s="42"/>
      <c r="Y357" s="42"/>
      <c r="Z357" s="42"/>
      <c r="AA357" s="42"/>
      <c r="AB357" s="195"/>
      <c r="AC357" s="42"/>
      <c r="AD357" s="42"/>
      <c r="AE357" s="195"/>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c r="BM357" s="42"/>
      <c r="BN357" s="42"/>
      <c r="BO357" s="42"/>
      <c r="BP357" s="42"/>
      <c r="BQ357" s="42"/>
      <c r="BR357" s="42"/>
      <c r="BS357" s="42"/>
      <c r="BT357" s="42"/>
      <c r="BU357" s="42"/>
      <c r="BV357" s="42"/>
      <c r="BW357" s="42"/>
      <c r="BX357" s="42"/>
      <c r="BY357" s="42"/>
      <c r="BZ357" s="42"/>
      <c r="CA357" s="42"/>
      <c r="CB357" s="42"/>
      <c r="CC357" s="42"/>
      <c r="CD357" s="42"/>
      <c r="CE357" s="42"/>
      <c r="CF357" s="42"/>
      <c r="CG357" s="42"/>
      <c r="CH357" s="42"/>
      <c r="CI357" s="42"/>
      <c r="CJ357" s="42"/>
      <c r="CK357" s="42"/>
      <c r="CL357" s="42"/>
      <c r="CM357" s="42"/>
      <c r="CN357" s="42"/>
      <c r="CO357" s="42"/>
      <c r="CP357" s="42"/>
      <c r="CQ357" s="42"/>
      <c r="CR357" s="42"/>
      <c r="CS357" s="42"/>
      <c r="CT357" s="42"/>
      <c r="CU357" s="42"/>
      <c r="CV357" s="42"/>
      <c r="CW357" s="42"/>
      <c r="CX357" s="42"/>
      <c r="CY357" s="42"/>
      <c r="CZ357" s="42"/>
      <c r="DA357" s="42"/>
      <c r="DB357" s="42"/>
      <c r="DC357" s="42"/>
      <c r="DD357" s="42"/>
      <c r="DE357" s="42"/>
      <c r="DF357" s="42"/>
      <c r="DG357" s="42"/>
      <c r="DH357" s="42"/>
      <c r="DI357" s="42"/>
      <c r="DJ357" s="42"/>
      <c r="DK357" s="42"/>
      <c r="DL357" s="42"/>
      <c r="DM357" s="42"/>
      <c r="DN357" s="42"/>
      <c r="DO357" s="42"/>
      <c r="DP357" s="42"/>
      <c r="DQ357" s="42"/>
      <c r="DR357" s="42"/>
      <c r="DS357" s="42"/>
      <c r="DT357" s="42"/>
      <c r="DU357" s="42"/>
      <c r="DV357" s="42"/>
      <c r="DW357" s="42"/>
      <c r="DX357" s="42"/>
      <c r="DY357" s="42"/>
      <c r="DZ357" s="42"/>
      <c r="EA357" s="42"/>
      <c r="EB357" s="42"/>
      <c r="EC357" s="42"/>
      <c r="ED357" s="42"/>
      <c r="EE357" s="42"/>
      <c r="EF357" s="42"/>
      <c r="EG357" s="42"/>
      <c r="EH357" s="42"/>
      <c r="EI357" s="42"/>
      <c r="EJ357" s="42"/>
      <c r="EK357" s="42"/>
      <c r="EL357" s="42"/>
      <c r="EM357" s="42"/>
      <c r="EN357" s="42"/>
      <c r="EO357" s="42"/>
      <c r="EP357" s="42"/>
      <c r="EQ357" s="42"/>
      <c r="ER357" s="42"/>
      <c r="ES357" s="42"/>
      <c r="ET357" s="42"/>
      <c r="EU357" s="42"/>
      <c r="EV357" s="42"/>
      <c r="EW357" s="42"/>
      <c r="EX357" s="42"/>
      <c r="EY357" s="42"/>
      <c r="EZ357" s="42"/>
      <c r="FA357" s="42"/>
      <c r="FB357" s="42"/>
      <c r="FC357" s="42"/>
      <c r="FD357" s="42"/>
      <c r="FE357" s="42"/>
      <c r="FF357" s="42"/>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row>
    <row r="358" spans="1:256" ht="13.8" x14ac:dyDescent="0.3">
      <c r="A358" s="42"/>
      <c r="B358" s="42"/>
      <c r="C358" s="42"/>
      <c r="D358" s="42"/>
      <c r="E358" s="42"/>
      <c r="F358" s="42"/>
      <c r="G358" s="42"/>
      <c r="H358" s="42"/>
      <c r="I358" s="42"/>
      <c r="J358" s="42"/>
      <c r="K358" s="42"/>
      <c r="L358" s="42"/>
      <c r="M358" s="42"/>
      <c r="N358" s="42"/>
      <c r="O358" s="42"/>
      <c r="P358" s="42"/>
      <c r="Q358" s="42"/>
      <c r="R358" s="42"/>
      <c r="S358" s="42"/>
      <c r="T358" s="42"/>
      <c r="U358" s="194"/>
      <c r="V358" s="42"/>
      <c r="W358" s="42"/>
      <c r="X358" s="42"/>
      <c r="Y358" s="42"/>
      <c r="Z358" s="42"/>
      <c r="AA358" s="42"/>
      <c r="AB358" s="195"/>
      <c r="AC358" s="42"/>
      <c r="AD358" s="42"/>
      <c r="AE358" s="195"/>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42"/>
      <c r="BH358" s="42"/>
      <c r="BI358" s="42"/>
      <c r="BJ358" s="42"/>
      <c r="BK358" s="42"/>
      <c r="BL358" s="42"/>
      <c r="BM358" s="42"/>
      <c r="BN358" s="42"/>
      <c r="BO358" s="42"/>
      <c r="BP358" s="42"/>
      <c r="BQ358" s="42"/>
      <c r="BR358" s="42"/>
      <c r="BS358" s="42"/>
      <c r="BT358" s="42"/>
      <c r="BU358" s="42"/>
      <c r="BV358" s="42"/>
      <c r="BW358" s="42"/>
      <c r="BX358" s="42"/>
      <c r="BY358" s="42"/>
      <c r="BZ358" s="42"/>
      <c r="CA358" s="42"/>
      <c r="CB358" s="42"/>
      <c r="CC358" s="42"/>
      <c r="CD358" s="42"/>
      <c r="CE358" s="42"/>
      <c r="CF358" s="42"/>
      <c r="CG358" s="42"/>
      <c r="CH358" s="42"/>
      <c r="CI358" s="42"/>
      <c r="CJ358" s="42"/>
      <c r="CK358" s="42"/>
      <c r="CL358" s="42"/>
      <c r="CM358" s="42"/>
      <c r="CN358" s="42"/>
      <c r="CO358" s="42"/>
      <c r="CP358" s="42"/>
      <c r="CQ358" s="42"/>
      <c r="CR358" s="42"/>
      <c r="CS358" s="42"/>
      <c r="CT358" s="42"/>
      <c r="CU358" s="42"/>
      <c r="CV358" s="42"/>
      <c r="CW358" s="42"/>
      <c r="CX358" s="42"/>
      <c r="CY358" s="42"/>
      <c r="CZ358" s="42"/>
      <c r="DA358" s="42"/>
      <c r="DB358" s="42"/>
      <c r="DC358" s="42"/>
      <c r="DD358" s="42"/>
      <c r="DE358" s="42"/>
      <c r="DF358" s="42"/>
      <c r="DG358" s="42"/>
      <c r="DH358" s="42"/>
      <c r="DI358" s="42"/>
      <c r="DJ358" s="42"/>
      <c r="DK358" s="42"/>
      <c r="DL358" s="42"/>
      <c r="DM358" s="42"/>
      <c r="DN358" s="42"/>
      <c r="DO358" s="42"/>
      <c r="DP358" s="42"/>
      <c r="DQ358" s="42"/>
      <c r="DR358" s="42"/>
      <c r="DS358" s="42"/>
      <c r="DT358" s="42"/>
      <c r="DU358" s="42"/>
      <c r="DV358" s="42"/>
      <c r="DW358" s="42"/>
      <c r="DX358" s="42"/>
      <c r="DY358" s="42"/>
      <c r="DZ358" s="42"/>
      <c r="EA358" s="42"/>
      <c r="EB358" s="42"/>
      <c r="EC358" s="42"/>
      <c r="ED358" s="42"/>
      <c r="EE358" s="42"/>
      <c r="EF358" s="42"/>
      <c r="EG358" s="42"/>
      <c r="EH358" s="42"/>
      <c r="EI358" s="42"/>
      <c r="EJ358" s="42"/>
      <c r="EK358" s="42"/>
      <c r="EL358" s="42"/>
      <c r="EM358" s="42"/>
      <c r="EN358" s="42"/>
      <c r="EO358" s="42"/>
      <c r="EP358" s="42"/>
      <c r="EQ358" s="42"/>
      <c r="ER358" s="42"/>
      <c r="ES358" s="42"/>
      <c r="ET358" s="42"/>
      <c r="EU358" s="42"/>
      <c r="EV358" s="42"/>
      <c r="EW358" s="42"/>
      <c r="EX358" s="42"/>
      <c r="EY358" s="42"/>
      <c r="EZ358" s="42"/>
      <c r="FA358" s="42"/>
      <c r="FB358" s="42"/>
      <c r="FC358" s="42"/>
      <c r="FD358" s="42"/>
      <c r="FE358" s="42"/>
      <c r="FF358" s="42"/>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row>
    <row r="359" spans="1:256" ht="13.8" x14ac:dyDescent="0.3">
      <c r="A359" s="42"/>
      <c r="B359" s="42"/>
      <c r="C359" s="42"/>
      <c r="D359" s="42"/>
      <c r="E359" s="42"/>
      <c r="F359" s="42"/>
      <c r="G359" s="42"/>
      <c r="H359" s="42"/>
      <c r="I359" s="42"/>
      <c r="J359" s="42"/>
      <c r="K359" s="42"/>
      <c r="L359" s="42"/>
      <c r="M359" s="42"/>
      <c r="N359" s="42"/>
      <c r="O359" s="42"/>
      <c r="P359" s="42"/>
      <c r="Q359" s="42"/>
      <c r="R359" s="42"/>
      <c r="S359" s="42"/>
      <c r="T359" s="42"/>
      <c r="U359" s="194"/>
      <c r="V359" s="42"/>
      <c r="W359" s="42"/>
      <c r="X359" s="42"/>
      <c r="Y359" s="42"/>
      <c r="Z359" s="42"/>
      <c r="AA359" s="42"/>
      <c r="AB359" s="195"/>
      <c r="AC359" s="42"/>
      <c r="AD359" s="42"/>
      <c r="AE359" s="195"/>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42"/>
      <c r="BH359" s="42"/>
      <c r="BI359" s="42"/>
      <c r="BJ359" s="42"/>
      <c r="BK359" s="42"/>
      <c r="BL359" s="42"/>
      <c r="BM359" s="42"/>
      <c r="BN359" s="42"/>
      <c r="BO359" s="42"/>
      <c r="BP359" s="42"/>
      <c r="BQ359" s="42"/>
      <c r="BR359" s="42"/>
      <c r="BS359" s="42"/>
      <c r="BT359" s="42"/>
      <c r="BU359" s="42"/>
      <c r="BV359" s="42"/>
      <c r="BW359" s="42"/>
      <c r="BX359" s="42"/>
      <c r="BY359" s="42"/>
      <c r="BZ359" s="42"/>
      <c r="CA359" s="42"/>
      <c r="CB359" s="42"/>
      <c r="CC359" s="42"/>
      <c r="CD359" s="42"/>
      <c r="CE359" s="42"/>
      <c r="CF359" s="42"/>
      <c r="CG359" s="42"/>
      <c r="CH359" s="42"/>
      <c r="CI359" s="42"/>
      <c r="CJ359" s="42"/>
      <c r="CK359" s="42"/>
      <c r="CL359" s="42"/>
      <c r="CM359" s="42"/>
      <c r="CN359" s="42"/>
      <c r="CO359" s="42"/>
      <c r="CP359" s="42"/>
      <c r="CQ359" s="42"/>
      <c r="CR359" s="42"/>
      <c r="CS359" s="42"/>
      <c r="CT359" s="42"/>
      <c r="CU359" s="42"/>
      <c r="CV359" s="42"/>
      <c r="CW359" s="42"/>
      <c r="CX359" s="42"/>
      <c r="CY359" s="42"/>
      <c r="CZ359" s="42"/>
      <c r="DA359" s="42"/>
      <c r="DB359" s="42"/>
      <c r="DC359" s="42"/>
      <c r="DD359" s="42"/>
      <c r="DE359" s="42"/>
      <c r="DF359" s="42"/>
      <c r="DG359" s="42"/>
      <c r="DH359" s="42"/>
      <c r="DI359" s="42"/>
      <c r="DJ359" s="42"/>
      <c r="DK359" s="42"/>
      <c r="DL359" s="42"/>
      <c r="DM359" s="42"/>
      <c r="DN359" s="42"/>
      <c r="DO359" s="42"/>
      <c r="DP359" s="42"/>
      <c r="DQ359" s="42"/>
      <c r="DR359" s="42"/>
      <c r="DS359" s="42"/>
      <c r="DT359" s="42"/>
      <c r="DU359" s="42"/>
      <c r="DV359" s="42"/>
      <c r="DW359" s="42"/>
      <c r="DX359" s="42"/>
      <c r="DY359" s="42"/>
      <c r="DZ359" s="42"/>
      <c r="EA359" s="42"/>
      <c r="EB359" s="42"/>
      <c r="EC359" s="42"/>
      <c r="ED359" s="42"/>
      <c r="EE359" s="42"/>
      <c r="EF359" s="42"/>
      <c r="EG359" s="42"/>
      <c r="EH359" s="42"/>
      <c r="EI359" s="42"/>
      <c r="EJ359" s="42"/>
      <c r="EK359" s="42"/>
      <c r="EL359" s="42"/>
      <c r="EM359" s="42"/>
      <c r="EN359" s="42"/>
      <c r="EO359" s="42"/>
      <c r="EP359" s="42"/>
      <c r="EQ359" s="42"/>
      <c r="ER359" s="42"/>
      <c r="ES359" s="42"/>
      <c r="ET359" s="42"/>
      <c r="EU359" s="42"/>
      <c r="EV359" s="42"/>
      <c r="EW359" s="42"/>
      <c r="EX359" s="42"/>
      <c r="EY359" s="42"/>
      <c r="EZ359" s="42"/>
      <c r="FA359" s="42"/>
      <c r="FB359" s="42"/>
      <c r="FC359" s="42"/>
      <c r="FD359" s="42"/>
      <c r="FE359" s="42"/>
      <c r="FF359" s="42"/>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row>
    <row r="360" spans="1:256" ht="13.8" x14ac:dyDescent="0.3">
      <c r="A360" s="42"/>
      <c r="B360" s="42"/>
      <c r="C360" s="42"/>
      <c r="D360" s="42"/>
      <c r="E360" s="42"/>
      <c r="F360" s="42"/>
      <c r="G360" s="42"/>
      <c r="H360" s="42"/>
      <c r="I360" s="42"/>
      <c r="J360" s="42"/>
      <c r="K360" s="42"/>
      <c r="L360" s="42"/>
      <c r="M360" s="42"/>
      <c r="N360" s="42"/>
      <c r="O360" s="42"/>
      <c r="P360" s="42"/>
      <c r="Q360" s="42"/>
      <c r="R360" s="42"/>
      <c r="S360" s="42"/>
      <c r="T360" s="42"/>
      <c r="U360" s="194"/>
      <c r="V360" s="42"/>
      <c r="W360" s="42"/>
      <c r="X360" s="42"/>
      <c r="Y360" s="42"/>
      <c r="Z360" s="42"/>
      <c r="AA360" s="42"/>
      <c r="AB360" s="195"/>
      <c r="AC360" s="42"/>
      <c r="AD360" s="42"/>
      <c r="AE360" s="195"/>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c r="BM360" s="42"/>
      <c r="BN360" s="42"/>
      <c r="BO360" s="42"/>
      <c r="BP360" s="42"/>
      <c r="BQ360" s="42"/>
      <c r="BR360" s="42"/>
      <c r="BS360" s="42"/>
      <c r="BT360" s="42"/>
      <c r="BU360" s="42"/>
      <c r="BV360" s="42"/>
      <c r="BW360" s="42"/>
      <c r="BX360" s="42"/>
      <c r="BY360" s="42"/>
      <c r="BZ360" s="42"/>
      <c r="CA360" s="42"/>
      <c r="CB360" s="42"/>
      <c r="CC360" s="42"/>
      <c r="CD360" s="42"/>
      <c r="CE360" s="42"/>
      <c r="CF360" s="42"/>
      <c r="CG360" s="42"/>
      <c r="CH360" s="42"/>
      <c r="CI360" s="42"/>
      <c r="CJ360" s="42"/>
      <c r="CK360" s="42"/>
      <c r="CL360" s="42"/>
      <c r="CM360" s="42"/>
      <c r="CN360" s="42"/>
      <c r="CO360" s="42"/>
      <c r="CP360" s="42"/>
      <c r="CQ360" s="42"/>
      <c r="CR360" s="42"/>
      <c r="CS360" s="42"/>
      <c r="CT360" s="42"/>
      <c r="CU360" s="42"/>
      <c r="CV360" s="42"/>
      <c r="CW360" s="42"/>
      <c r="CX360" s="42"/>
      <c r="CY360" s="42"/>
      <c r="CZ360" s="42"/>
      <c r="DA360" s="42"/>
      <c r="DB360" s="42"/>
      <c r="DC360" s="42"/>
      <c r="DD360" s="42"/>
      <c r="DE360" s="42"/>
      <c r="DF360" s="42"/>
      <c r="DG360" s="42"/>
      <c r="DH360" s="42"/>
      <c r="DI360" s="42"/>
      <c r="DJ360" s="42"/>
      <c r="DK360" s="42"/>
      <c r="DL360" s="42"/>
      <c r="DM360" s="42"/>
      <c r="DN360" s="42"/>
      <c r="DO360" s="42"/>
      <c r="DP360" s="42"/>
      <c r="DQ360" s="42"/>
      <c r="DR360" s="42"/>
      <c r="DS360" s="42"/>
      <c r="DT360" s="42"/>
      <c r="DU360" s="42"/>
      <c r="DV360" s="42"/>
      <c r="DW360" s="42"/>
      <c r="DX360" s="42"/>
      <c r="DY360" s="42"/>
      <c r="DZ360" s="42"/>
      <c r="EA360" s="42"/>
      <c r="EB360" s="42"/>
      <c r="EC360" s="42"/>
      <c r="ED360" s="42"/>
      <c r="EE360" s="42"/>
      <c r="EF360" s="42"/>
      <c r="EG360" s="42"/>
      <c r="EH360" s="42"/>
      <c r="EI360" s="42"/>
      <c r="EJ360" s="42"/>
      <c r="EK360" s="42"/>
      <c r="EL360" s="42"/>
      <c r="EM360" s="42"/>
      <c r="EN360" s="42"/>
      <c r="EO360" s="42"/>
      <c r="EP360" s="42"/>
      <c r="EQ360" s="42"/>
      <c r="ER360" s="42"/>
      <c r="ES360" s="42"/>
      <c r="ET360" s="42"/>
      <c r="EU360" s="42"/>
      <c r="EV360" s="42"/>
      <c r="EW360" s="42"/>
      <c r="EX360" s="42"/>
      <c r="EY360" s="42"/>
      <c r="EZ360" s="42"/>
      <c r="FA360" s="42"/>
      <c r="FB360" s="42"/>
      <c r="FC360" s="42"/>
      <c r="FD360" s="42"/>
      <c r="FE360" s="42"/>
      <c r="FF360" s="42"/>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row>
    <row r="361" spans="1:256" ht="13.8" x14ac:dyDescent="0.3">
      <c r="A361" s="42"/>
      <c r="B361" s="42"/>
      <c r="C361" s="42"/>
      <c r="D361" s="42"/>
      <c r="E361" s="42"/>
      <c r="F361" s="42"/>
      <c r="G361" s="42"/>
      <c r="H361" s="42"/>
      <c r="I361" s="42"/>
      <c r="J361" s="42"/>
      <c r="K361" s="42"/>
      <c r="L361" s="42"/>
      <c r="M361" s="42"/>
      <c r="N361" s="42"/>
      <c r="O361" s="42"/>
      <c r="P361" s="42"/>
      <c r="Q361" s="42"/>
      <c r="R361" s="42"/>
      <c r="S361" s="42"/>
      <c r="T361" s="42"/>
      <c r="U361" s="194"/>
      <c r="V361" s="42"/>
      <c r="W361" s="42"/>
      <c r="X361" s="42"/>
      <c r="Y361" s="42"/>
      <c r="Z361" s="42"/>
      <c r="AA361" s="42"/>
      <c r="AB361" s="195"/>
      <c r="AC361" s="42"/>
      <c r="AD361" s="42"/>
      <c r="AE361" s="195"/>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42"/>
      <c r="BH361" s="42"/>
      <c r="BI361" s="42"/>
      <c r="BJ361" s="42"/>
      <c r="BK361" s="42"/>
      <c r="BL361" s="42"/>
      <c r="BM361" s="42"/>
      <c r="BN361" s="42"/>
      <c r="BO361" s="42"/>
      <c r="BP361" s="42"/>
      <c r="BQ361" s="42"/>
      <c r="BR361" s="42"/>
      <c r="BS361" s="42"/>
      <c r="BT361" s="42"/>
      <c r="BU361" s="42"/>
      <c r="BV361" s="42"/>
      <c r="BW361" s="42"/>
      <c r="BX361" s="42"/>
      <c r="BY361" s="42"/>
      <c r="BZ361" s="42"/>
      <c r="CA361" s="42"/>
      <c r="CB361" s="42"/>
      <c r="CC361" s="42"/>
      <c r="CD361" s="42"/>
      <c r="CE361" s="42"/>
      <c r="CF361" s="42"/>
      <c r="CG361" s="42"/>
      <c r="CH361" s="42"/>
      <c r="CI361" s="42"/>
      <c r="CJ361" s="42"/>
      <c r="CK361" s="42"/>
      <c r="CL361" s="42"/>
      <c r="CM361" s="42"/>
      <c r="CN361" s="42"/>
      <c r="CO361" s="42"/>
      <c r="CP361" s="42"/>
      <c r="CQ361" s="42"/>
      <c r="CR361" s="42"/>
      <c r="CS361" s="42"/>
      <c r="CT361" s="42"/>
      <c r="CU361" s="42"/>
      <c r="CV361" s="42"/>
      <c r="CW361" s="42"/>
      <c r="CX361" s="42"/>
      <c r="CY361" s="42"/>
      <c r="CZ361" s="42"/>
      <c r="DA361" s="42"/>
      <c r="DB361" s="42"/>
      <c r="DC361" s="42"/>
      <c r="DD361" s="42"/>
      <c r="DE361" s="42"/>
      <c r="DF361" s="42"/>
      <c r="DG361" s="42"/>
      <c r="DH361" s="42"/>
      <c r="DI361" s="42"/>
      <c r="DJ361" s="42"/>
      <c r="DK361" s="42"/>
      <c r="DL361" s="42"/>
      <c r="DM361" s="42"/>
      <c r="DN361" s="42"/>
      <c r="DO361" s="42"/>
      <c r="DP361" s="42"/>
      <c r="DQ361" s="42"/>
      <c r="DR361" s="42"/>
      <c r="DS361" s="42"/>
      <c r="DT361" s="42"/>
      <c r="DU361" s="42"/>
      <c r="DV361" s="42"/>
      <c r="DW361" s="42"/>
      <c r="DX361" s="42"/>
      <c r="DY361" s="42"/>
      <c r="DZ361" s="42"/>
      <c r="EA361" s="42"/>
      <c r="EB361" s="42"/>
      <c r="EC361" s="42"/>
      <c r="ED361" s="42"/>
      <c r="EE361" s="42"/>
      <c r="EF361" s="42"/>
      <c r="EG361" s="42"/>
      <c r="EH361" s="42"/>
      <c r="EI361" s="42"/>
      <c r="EJ361" s="42"/>
      <c r="EK361" s="42"/>
      <c r="EL361" s="42"/>
      <c r="EM361" s="42"/>
      <c r="EN361" s="42"/>
      <c r="EO361" s="42"/>
      <c r="EP361" s="42"/>
      <c r="EQ361" s="42"/>
      <c r="ER361" s="42"/>
      <c r="ES361" s="42"/>
      <c r="ET361" s="42"/>
      <c r="EU361" s="42"/>
      <c r="EV361" s="42"/>
      <c r="EW361" s="42"/>
      <c r="EX361" s="42"/>
      <c r="EY361" s="42"/>
      <c r="EZ361" s="42"/>
      <c r="FA361" s="42"/>
      <c r="FB361" s="42"/>
      <c r="FC361" s="42"/>
      <c r="FD361" s="42"/>
      <c r="FE361" s="42"/>
      <c r="FF361" s="42"/>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row>
    <row r="362" spans="1:256" ht="13.8" x14ac:dyDescent="0.3">
      <c r="A362" s="42"/>
      <c r="B362" s="42"/>
      <c r="C362" s="42"/>
      <c r="D362" s="42"/>
      <c r="E362" s="42"/>
      <c r="F362" s="42"/>
      <c r="G362" s="42"/>
      <c r="H362" s="42"/>
      <c r="I362" s="42"/>
      <c r="J362" s="42"/>
      <c r="K362" s="42"/>
      <c r="L362" s="42"/>
      <c r="M362" s="42"/>
      <c r="N362" s="42"/>
      <c r="O362" s="42"/>
      <c r="P362" s="42"/>
      <c r="Q362" s="42"/>
      <c r="R362" s="42"/>
      <c r="S362" s="42"/>
      <c r="T362" s="42"/>
      <c r="U362" s="194"/>
      <c r="V362" s="42"/>
      <c r="W362" s="42"/>
      <c r="X362" s="42"/>
      <c r="Y362" s="42"/>
      <c r="Z362" s="42"/>
      <c r="AA362" s="42"/>
      <c r="AB362" s="195"/>
      <c r="AC362" s="42"/>
      <c r="AD362" s="42"/>
      <c r="AE362" s="195"/>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42"/>
      <c r="BH362" s="42"/>
      <c r="BI362" s="42"/>
      <c r="BJ362" s="42"/>
      <c r="BK362" s="42"/>
      <c r="BL362" s="42"/>
      <c r="BM362" s="42"/>
      <c r="BN362" s="42"/>
      <c r="BO362" s="42"/>
      <c r="BP362" s="42"/>
      <c r="BQ362" s="42"/>
      <c r="BR362" s="42"/>
      <c r="BS362" s="42"/>
      <c r="BT362" s="42"/>
      <c r="BU362" s="42"/>
      <c r="BV362" s="42"/>
      <c r="BW362" s="42"/>
      <c r="BX362" s="42"/>
      <c r="BY362" s="42"/>
      <c r="BZ362" s="42"/>
      <c r="CA362" s="42"/>
      <c r="CB362" s="42"/>
      <c r="CC362" s="42"/>
      <c r="CD362" s="42"/>
      <c r="CE362" s="42"/>
      <c r="CF362" s="42"/>
      <c r="CG362" s="42"/>
      <c r="CH362" s="42"/>
      <c r="CI362" s="42"/>
      <c r="CJ362" s="42"/>
      <c r="CK362" s="42"/>
      <c r="CL362" s="42"/>
      <c r="CM362" s="42"/>
      <c r="CN362" s="42"/>
      <c r="CO362" s="42"/>
      <c r="CP362" s="42"/>
      <c r="CQ362" s="42"/>
      <c r="CR362" s="42"/>
      <c r="CS362" s="42"/>
      <c r="CT362" s="42"/>
      <c r="CU362" s="42"/>
      <c r="CV362" s="42"/>
      <c r="CW362" s="42"/>
      <c r="CX362" s="42"/>
      <c r="CY362" s="42"/>
      <c r="CZ362" s="42"/>
      <c r="DA362" s="42"/>
      <c r="DB362" s="42"/>
      <c r="DC362" s="42"/>
      <c r="DD362" s="42"/>
      <c r="DE362" s="42"/>
      <c r="DF362" s="42"/>
      <c r="DG362" s="42"/>
      <c r="DH362" s="42"/>
      <c r="DI362" s="42"/>
      <c r="DJ362" s="42"/>
      <c r="DK362" s="42"/>
      <c r="DL362" s="42"/>
      <c r="DM362" s="42"/>
      <c r="DN362" s="42"/>
      <c r="DO362" s="42"/>
      <c r="DP362" s="42"/>
      <c r="DQ362" s="42"/>
      <c r="DR362" s="42"/>
      <c r="DS362" s="42"/>
      <c r="DT362" s="42"/>
      <c r="DU362" s="42"/>
      <c r="DV362" s="42"/>
      <c r="DW362" s="42"/>
      <c r="DX362" s="42"/>
      <c r="DY362" s="42"/>
      <c r="DZ362" s="42"/>
      <c r="EA362" s="42"/>
      <c r="EB362" s="42"/>
      <c r="EC362" s="42"/>
      <c r="ED362" s="42"/>
      <c r="EE362" s="42"/>
      <c r="EF362" s="42"/>
      <c r="EG362" s="42"/>
      <c r="EH362" s="42"/>
      <c r="EI362" s="42"/>
      <c r="EJ362" s="42"/>
      <c r="EK362" s="42"/>
      <c r="EL362" s="42"/>
      <c r="EM362" s="42"/>
      <c r="EN362" s="42"/>
      <c r="EO362" s="42"/>
      <c r="EP362" s="42"/>
      <c r="EQ362" s="42"/>
      <c r="ER362" s="42"/>
      <c r="ES362" s="42"/>
      <c r="ET362" s="42"/>
      <c r="EU362" s="42"/>
      <c r="EV362" s="42"/>
      <c r="EW362" s="42"/>
      <c r="EX362" s="42"/>
      <c r="EY362" s="42"/>
      <c r="EZ362" s="42"/>
      <c r="FA362" s="42"/>
      <c r="FB362" s="42"/>
      <c r="FC362" s="42"/>
      <c r="FD362" s="42"/>
      <c r="FE362" s="42"/>
      <c r="FF362" s="42"/>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row>
    <row r="363" spans="1:256" ht="13.8" x14ac:dyDescent="0.3">
      <c r="A363" s="42"/>
      <c r="B363" s="42"/>
      <c r="C363" s="42"/>
      <c r="D363" s="42"/>
      <c r="E363" s="42"/>
      <c r="F363" s="42"/>
      <c r="G363" s="42"/>
      <c r="H363" s="42"/>
      <c r="I363" s="42"/>
      <c r="J363" s="42"/>
      <c r="K363" s="42"/>
      <c r="L363" s="42"/>
      <c r="M363" s="42"/>
      <c r="N363" s="42"/>
      <c r="O363" s="42"/>
      <c r="P363" s="42"/>
      <c r="Q363" s="42"/>
      <c r="R363" s="42"/>
      <c r="S363" s="42"/>
      <c r="T363" s="42"/>
      <c r="U363" s="194"/>
      <c r="V363" s="42"/>
      <c r="W363" s="42"/>
      <c r="X363" s="42"/>
      <c r="Y363" s="42"/>
      <c r="Z363" s="42"/>
      <c r="AA363" s="42"/>
      <c r="AB363" s="195"/>
      <c r="AC363" s="42"/>
      <c r="AD363" s="42"/>
      <c r="AE363" s="195"/>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42"/>
      <c r="BH363" s="42"/>
      <c r="BI363" s="42"/>
      <c r="BJ363" s="42"/>
      <c r="BK363" s="42"/>
      <c r="BL363" s="42"/>
      <c r="BM363" s="42"/>
      <c r="BN363" s="42"/>
      <c r="BO363" s="42"/>
      <c r="BP363" s="42"/>
      <c r="BQ363" s="42"/>
      <c r="BR363" s="42"/>
      <c r="BS363" s="42"/>
      <c r="BT363" s="42"/>
      <c r="BU363" s="42"/>
      <c r="BV363" s="42"/>
      <c r="BW363" s="42"/>
      <c r="BX363" s="42"/>
      <c r="BY363" s="42"/>
      <c r="BZ363" s="42"/>
      <c r="CA363" s="42"/>
      <c r="CB363" s="42"/>
      <c r="CC363" s="42"/>
      <c r="CD363" s="42"/>
      <c r="CE363" s="42"/>
      <c r="CF363" s="42"/>
      <c r="CG363" s="42"/>
      <c r="CH363" s="42"/>
      <c r="CI363" s="42"/>
      <c r="CJ363" s="42"/>
      <c r="CK363" s="42"/>
      <c r="CL363" s="42"/>
      <c r="CM363" s="42"/>
      <c r="CN363" s="42"/>
      <c r="CO363" s="42"/>
      <c r="CP363" s="42"/>
      <c r="CQ363" s="42"/>
      <c r="CR363" s="42"/>
      <c r="CS363" s="42"/>
      <c r="CT363" s="42"/>
      <c r="CU363" s="42"/>
      <c r="CV363" s="42"/>
      <c r="CW363" s="42"/>
      <c r="CX363" s="42"/>
      <c r="CY363" s="42"/>
      <c r="CZ363" s="42"/>
      <c r="DA363" s="42"/>
      <c r="DB363" s="42"/>
      <c r="DC363" s="42"/>
      <c r="DD363" s="42"/>
      <c r="DE363" s="42"/>
      <c r="DF363" s="42"/>
      <c r="DG363" s="42"/>
      <c r="DH363" s="42"/>
      <c r="DI363" s="42"/>
      <c r="DJ363" s="42"/>
      <c r="DK363" s="42"/>
      <c r="DL363" s="42"/>
      <c r="DM363" s="42"/>
      <c r="DN363" s="42"/>
      <c r="DO363" s="42"/>
      <c r="DP363" s="42"/>
      <c r="DQ363" s="42"/>
      <c r="DR363" s="42"/>
      <c r="DS363" s="42"/>
      <c r="DT363" s="42"/>
      <c r="DU363" s="42"/>
      <c r="DV363" s="42"/>
      <c r="DW363" s="42"/>
      <c r="DX363" s="42"/>
      <c r="DY363" s="42"/>
      <c r="DZ363" s="42"/>
      <c r="EA363" s="42"/>
      <c r="EB363" s="42"/>
      <c r="EC363" s="42"/>
      <c r="ED363" s="42"/>
      <c r="EE363" s="42"/>
      <c r="EF363" s="42"/>
      <c r="EG363" s="42"/>
      <c r="EH363" s="42"/>
      <c r="EI363" s="42"/>
      <c r="EJ363" s="42"/>
      <c r="EK363" s="42"/>
      <c r="EL363" s="42"/>
      <c r="EM363" s="42"/>
      <c r="EN363" s="42"/>
      <c r="EO363" s="42"/>
      <c r="EP363" s="42"/>
      <c r="EQ363" s="42"/>
      <c r="ER363" s="42"/>
      <c r="ES363" s="42"/>
      <c r="ET363" s="42"/>
      <c r="EU363" s="42"/>
      <c r="EV363" s="42"/>
      <c r="EW363" s="42"/>
      <c r="EX363" s="42"/>
      <c r="EY363" s="42"/>
      <c r="EZ363" s="42"/>
      <c r="FA363" s="42"/>
      <c r="FB363" s="42"/>
      <c r="FC363" s="42"/>
      <c r="FD363" s="42"/>
      <c r="FE363" s="42"/>
      <c r="FF363" s="42"/>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row>
    <row r="364" spans="1:256" ht="13.8" x14ac:dyDescent="0.3">
      <c r="A364" s="42"/>
      <c r="B364" s="42"/>
      <c r="C364" s="42"/>
      <c r="D364" s="42"/>
      <c r="E364" s="42"/>
      <c r="F364" s="42"/>
      <c r="G364" s="42"/>
      <c r="H364" s="42"/>
      <c r="I364" s="42"/>
      <c r="J364" s="42"/>
      <c r="K364" s="42"/>
      <c r="L364" s="42"/>
      <c r="M364" s="42"/>
      <c r="N364" s="42"/>
      <c r="O364" s="42"/>
      <c r="P364" s="42"/>
      <c r="Q364" s="42"/>
      <c r="R364" s="42"/>
      <c r="S364" s="42"/>
      <c r="T364" s="42"/>
      <c r="U364" s="194"/>
      <c r="V364" s="42"/>
      <c r="W364" s="42"/>
      <c r="X364" s="42"/>
      <c r="Y364" s="42"/>
      <c r="Z364" s="42"/>
      <c r="AA364" s="42"/>
      <c r="AB364" s="195"/>
      <c r="AC364" s="42"/>
      <c r="AD364" s="42"/>
      <c r="AE364" s="195"/>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c r="BM364" s="42"/>
      <c r="BN364" s="42"/>
      <c r="BO364" s="42"/>
      <c r="BP364" s="42"/>
      <c r="BQ364" s="42"/>
      <c r="BR364" s="42"/>
      <c r="BS364" s="42"/>
      <c r="BT364" s="42"/>
      <c r="BU364" s="42"/>
      <c r="BV364" s="42"/>
      <c r="BW364" s="42"/>
      <c r="BX364" s="42"/>
      <c r="BY364" s="42"/>
      <c r="BZ364" s="42"/>
      <c r="CA364" s="42"/>
      <c r="CB364" s="42"/>
      <c r="CC364" s="42"/>
      <c r="CD364" s="42"/>
      <c r="CE364" s="42"/>
      <c r="CF364" s="42"/>
      <c r="CG364" s="42"/>
      <c r="CH364" s="42"/>
      <c r="CI364" s="42"/>
      <c r="CJ364" s="42"/>
      <c r="CK364" s="42"/>
      <c r="CL364" s="42"/>
      <c r="CM364" s="42"/>
      <c r="CN364" s="42"/>
      <c r="CO364" s="42"/>
      <c r="CP364" s="42"/>
      <c r="CQ364" s="42"/>
      <c r="CR364" s="42"/>
      <c r="CS364" s="42"/>
      <c r="CT364" s="42"/>
      <c r="CU364" s="42"/>
      <c r="CV364" s="42"/>
      <c r="CW364" s="42"/>
      <c r="CX364" s="42"/>
      <c r="CY364" s="42"/>
      <c r="CZ364" s="42"/>
      <c r="DA364" s="42"/>
      <c r="DB364" s="42"/>
      <c r="DC364" s="42"/>
      <c r="DD364" s="42"/>
      <c r="DE364" s="42"/>
      <c r="DF364" s="42"/>
      <c r="DG364" s="42"/>
      <c r="DH364" s="42"/>
      <c r="DI364" s="42"/>
      <c r="DJ364" s="42"/>
      <c r="DK364" s="42"/>
      <c r="DL364" s="42"/>
      <c r="DM364" s="42"/>
      <c r="DN364" s="42"/>
      <c r="DO364" s="42"/>
      <c r="DP364" s="42"/>
      <c r="DQ364" s="42"/>
      <c r="DR364" s="42"/>
      <c r="DS364" s="42"/>
      <c r="DT364" s="42"/>
      <c r="DU364" s="42"/>
      <c r="DV364" s="42"/>
      <c r="DW364" s="42"/>
      <c r="DX364" s="42"/>
      <c r="DY364" s="42"/>
      <c r="DZ364" s="42"/>
      <c r="EA364" s="42"/>
      <c r="EB364" s="42"/>
      <c r="EC364" s="42"/>
      <c r="ED364" s="42"/>
      <c r="EE364" s="42"/>
      <c r="EF364" s="42"/>
      <c r="EG364" s="42"/>
      <c r="EH364" s="42"/>
      <c r="EI364" s="42"/>
      <c r="EJ364" s="42"/>
      <c r="EK364" s="42"/>
      <c r="EL364" s="42"/>
      <c r="EM364" s="42"/>
      <c r="EN364" s="42"/>
      <c r="EO364" s="42"/>
      <c r="EP364" s="42"/>
      <c r="EQ364" s="42"/>
      <c r="ER364" s="42"/>
      <c r="ES364" s="42"/>
      <c r="ET364" s="42"/>
      <c r="EU364" s="42"/>
      <c r="EV364" s="42"/>
      <c r="EW364" s="42"/>
      <c r="EX364" s="42"/>
      <c r="EY364" s="42"/>
      <c r="EZ364" s="42"/>
      <c r="FA364" s="42"/>
      <c r="FB364" s="42"/>
      <c r="FC364" s="42"/>
      <c r="FD364" s="42"/>
      <c r="FE364" s="42"/>
      <c r="FF364" s="42"/>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row>
    <row r="365" spans="1:256" ht="13.8" x14ac:dyDescent="0.3">
      <c r="A365" s="42"/>
      <c r="B365" s="42"/>
      <c r="C365" s="42"/>
      <c r="D365" s="42"/>
      <c r="E365" s="42"/>
      <c r="F365" s="42"/>
      <c r="G365" s="42"/>
      <c r="H365" s="42"/>
      <c r="I365" s="42"/>
      <c r="J365" s="42"/>
      <c r="K365" s="42"/>
      <c r="L365" s="42"/>
      <c r="M365" s="42"/>
      <c r="N365" s="42"/>
      <c r="O365" s="42"/>
      <c r="P365" s="42"/>
      <c r="Q365" s="42"/>
      <c r="R365" s="42"/>
      <c r="S365" s="42"/>
      <c r="T365" s="42"/>
      <c r="U365" s="194"/>
      <c r="V365" s="42"/>
      <c r="W365" s="42"/>
      <c r="X365" s="42"/>
      <c r="Y365" s="42"/>
      <c r="Z365" s="42"/>
      <c r="AA365" s="42"/>
      <c r="AB365" s="195"/>
      <c r="AC365" s="42"/>
      <c r="AD365" s="42"/>
      <c r="AE365" s="195"/>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42"/>
      <c r="BH365" s="42"/>
      <c r="BI365" s="42"/>
      <c r="BJ365" s="42"/>
      <c r="BK365" s="42"/>
      <c r="BL365" s="42"/>
      <c r="BM365" s="42"/>
      <c r="BN365" s="42"/>
      <c r="BO365" s="42"/>
      <c r="BP365" s="42"/>
      <c r="BQ365" s="42"/>
      <c r="BR365" s="42"/>
      <c r="BS365" s="42"/>
      <c r="BT365" s="42"/>
      <c r="BU365" s="42"/>
      <c r="BV365" s="42"/>
      <c r="BW365" s="42"/>
      <c r="BX365" s="42"/>
      <c r="BY365" s="42"/>
      <c r="BZ365" s="42"/>
      <c r="CA365" s="42"/>
      <c r="CB365" s="42"/>
      <c r="CC365" s="42"/>
      <c r="CD365" s="42"/>
      <c r="CE365" s="42"/>
      <c r="CF365" s="42"/>
      <c r="CG365" s="42"/>
      <c r="CH365" s="42"/>
      <c r="CI365" s="42"/>
      <c r="CJ365" s="42"/>
      <c r="CK365" s="42"/>
      <c r="CL365" s="42"/>
      <c r="CM365" s="42"/>
      <c r="CN365" s="42"/>
      <c r="CO365" s="42"/>
      <c r="CP365" s="42"/>
      <c r="CQ365" s="42"/>
      <c r="CR365" s="42"/>
      <c r="CS365" s="42"/>
      <c r="CT365" s="42"/>
      <c r="CU365" s="42"/>
      <c r="CV365" s="42"/>
      <c r="CW365" s="42"/>
      <c r="CX365" s="42"/>
      <c r="CY365" s="42"/>
      <c r="CZ365" s="42"/>
      <c r="DA365" s="42"/>
      <c r="DB365" s="42"/>
      <c r="DC365" s="42"/>
      <c r="DD365" s="42"/>
      <c r="DE365" s="42"/>
      <c r="DF365" s="42"/>
      <c r="DG365" s="42"/>
      <c r="DH365" s="42"/>
      <c r="DI365" s="42"/>
      <c r="DJ365" s="42"/>
      <c r="DK365" s="42"/>
      <c r="DL365" s="42"/>
      <c r="DM365" s="42"/>
      <c r="DN365" s="42"/>
      <c r="DO365" s="42"/>
      <c r="DP365" s="42"/>
      <c r="DQ365" s="42"/>
      <c r="DR365" s="42"/>
      <c r="DS365" s="42"/>
      <c r="DT365" s="42"/>
      <c r="DU365" s="42"/>
      <c r="DV365" s="42"/>
      <c r="DW365" s="42"/>
      <c r="DX365" s="42"/>
      <c r="DY365" s="42"/>
      <c r="DZ365" s="42"/>
      <c r="EA365" s="42"/>
      <c r="EB365" s="42"/>
      <c r="EC365" s="42"/>
      <c r="ED365" s="42"/>
      <c r="EE365" s="42"/>
      <c r="EF365" s="42"/>
      <c r="EG365" s="42"/>
      <c r="EH365" s="42"/>
      <c r="EI365" s="42"/>
      <c r="EJ365" s="42"/>
      <c r="EK365" s="42"/>
      <c r="EL365" s="42"/>
      <c r="EM365" s="42"/>
      <c r="EN365" s="42"/>
      <c r="EO365" s="42"/>
      <c r="EP365" s="42"/>
      <c r="EQ365" s="42"/>
      <c r="ER365" s="42"/>
      <c r="ES365" s="42"/>
      <c r="ET365" s="42"/>
      <c r="EU365" s="42"/>
      <c r="EV365" s="42"/>
      <c r="EW365" s="42"/>
      <c r="EX365" s="42"/>
      <c r="EY365" s="42"/>
      <c r="EZ365" s="42"/>
      <c r="FA365" s="42"/>
      <c r="FB365" s="42"/>
      <c r="FC365" s="42"/>
      <c r="FD365" s="42"/>
      <c r="FE365" s="42"/>
      <c r="FF365" s="42"/>
      <c r="FG365" s="42"/>
      <c r="FH365" s="42"/>
      <c r="FI365" s="42"/>
      <c r="FJ365" s="42"/>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row>
    <row r="366" spans="1:256" ht="13.8" x14ac:dyDescent="0.3">
      <c r="A366" s="42"/>
      <c r="B366" s="42"/>
      <c r="C366" s="42"/>
      <c r="D366" s="42"/>
      <c r="E366" s="42"/>
      <c r="F366" s="42"/>
      <c r="G366" s="42"/>
      <c r="H366" s="42"/>
      <c r="I366" s="42"/>
      <c r="J366" s="42"/>
      <c r="K366" s="42"/>
      <c r="L366" s="42"/>
      <c r="M366" s="42"/>
      <c r="N366" s="42"/>
      <c r="O366" s="42"/>
      <c r="P366" s="42"/>
      <c r="Q366" s="42"/>
      <c r="R366" s="42"/>
      <c r="S366" s="42"/>
      <c r="T366" s="42"/>
      <c r="U366" s="194"/>
      <c r="V366" s="42"/>
      <c r="W366" s="42"/>
      <c r="X366" s="42"/>
      <c r="Y366" s="42"/>
      <c r="Z366" s="42"/>
      <c r="AA366" s="42"/>
      <c r="AB366" s="195"/>
      <c r="AC366" s="42"/>
      <c r="AD366" s="42"/>
      <c r="AE366" s="195"/>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42"/>
      <c r="BH366" s="42"/>
      <c r="BI366" s="42"/>
      <c r="BJ366" s="42"/>
      <c r="BK366" s="42"/>
      <c r="BL366" s="42"/>
      <c r="BM366" s="42"/>
      <c r="BN366" s="42"/>
      <c r="BO366" s="42"/>
      <c r="BP366" s="42"/>
      <c r="BQ366" s="42"/>
      <c r="BR366" s="42"/>
      <c r="BS366" s="42"/>
      <c r="BT366" s="42"/>
      <c r="BU366" s="42"/>
      <c r="BV366" s="42"/>
      <c r="BW366" s="42"/>
      <c r="BX366" s="42"/>
      <c r="BY366" s="42"/>
      <c r="BZ366" s="42"/>
      <c r="CA366" s="42"/>
      <c r="CB366" s="42"/>
      <c r="CC366" s="42"/>
      <c r="CD366" s="42"/>
      <c r="CE366" s="42"/>
      <c r="CF366" s="42"/>
      <c r="CG366" s="42"/>
      <c r="CH366" s="42"/>
      <c r="CI366" s="42"/>
      <c r="CJ366" s="42"/>
      <c r="CK366" s="42"/>
      <c r="CL366" s="42"/>
      <c r="CM366" s="42"/>
      <c r="CN366" s="42"/>
      <c r="CO366" s="42"/>
      <c r="CP366" s="42"/>
      <c r="CQ366" s="42"/>
      <c r="CR366" s="42"/>
      <c r="CS366" s="42"/>
      <c r="CT366" s="42"/>
      <c r="CU366" s="42"/>
      <c r="CV366" s="42"/>
      <c r="CW366" s="42"/>
      <c r="CX366" s="42"/>
      <c r="CY366" s="42"/>
      <c r="CZ366" s="42"/>
      <c r="DA366" s="42"/>
      <c r="DB366" s="42"/>
      <c r="DC366" s="42"/>
      <c r="DD366" s="42"/>
      <c r="DE366" s="42"/>
      <c r="DF366" s="42"/>
      <c r="DG366" s="42"/>
      <c r="DH366" s="42"/>
      <c r="DI366" s="42"/>
      <c r="DJ366" s="42"/>
      <c r="DK366" s="42"/>
      <c r="DL366" s="42"/>
      <c r="DM366" s="42"/>
      <c r="DN366" s="42"/>
      <c r="DO366" s="42"/>
      <c r="DP366" s="42"/>
      <c r="DQ366" s="42"/>
      <c r="DR366" s="42"/>
      <c r="DS366" s="42"/>
      <c r="DT366" s="42"/>
      <c r="DU366" s="42"/>
      <c r="DV366" s="42"/>
      <c r="DW366" s="42"/>
      <c r="DX366" s="42"/>
      <c r="DY366" s="42"/>
      <c r="DZ366" s="42"/>
      <c r="EA366" s="42"/>
      <c r="EB366" s="42"/>
      <c r="EC366" s="42"/>
      <c r="ED366" s="42"/>
      <c r="EE366" s="42"/>
      <c r="EF366" s="42"/>
      <c r="EG366" s="42"/>
      <c r="EH366" s="42"/>
      <c r="EI366" s="42"/>
      <c r="EJ366" s="42"/>
      <c r="EK366" s="42"/>
      <c r="EL366" s="42"/>
      <c r="EM366" s="42"/>
      <c r="EN366" s="42"/>
      <c r="EO366" s="42"/>
      <c r="EP366" s="42"/>
      <c r="EQ366" s="42"/>
      <c r="ER366" s="42"/>
      <c r="ES366" s="42"/>
      <c r="ET366" s="42"/>
      <c r="EU366" s="42"/>
      <c r="EV366" s="42"/>
      <c r="EW366" s="42"/>
      <c r="EX366" s="42"/>
      <c r="EY366" s="42"/>
      <c r="EZ366" s="42"/>
      <c r="FA366" s="42"/>
      <c r="FB366" s="42"/>
      <c r="FC366" s="42"/>
      <c r="FD366" s="42"/>
      <c r="FE366" s="42"/>
      <c r="FF366" s="42"/>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row>
    <row r="367" spans="1:256" ht="13.8" x14ac:dyDescent="0.3">
      <c r="A367" s="42"/>
      <c r="B367" s="42"/>
      <c r="C367" s="42"/>
      <c r="D367" s="42"/>
      <c r="E367" s="42"/>
      <c r="F367" s="42"/>
      <c r="G367" s="42"/>
      <c r="H367" s="42"/>
      <c r="I367" s="42"/>
      <c r="J367" s="42"/>
      <c r="K367" s="42"/>
      <c r="L367" s="42"/>
      <c r="M367" s="42"/>
      <c r="N367" s="42"/>
      <c r="O367" s="42"/>
      <c r="P367" s="42"/>
      <c r="Q367" s="42"/>
      <c r="R367" s="42"/>
      <c r="S367" s="42"/>
      <c r="T367" s="42"/>
      <c r="U367" s="194"/>
      <c r="V367" s="42"/>
      <c r="W367" s="42"/>
      <c r="X367" s="42"/>
      <c r="Y367" s="42"/>
      <c r="Z367" s="42"/>
      <c r="AA367" s="42"/>
      <c r="AB367" s="195"/>
      <c r="AC367" s="42"/>
      <c r="AD367" s="42"/>
      <c r="AE367" s="195"/>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42"/>
      <c r="BH367" s="42"/>
      <c r="BI367" s="42"/>
      <c r="BJ367" s="42"/>
      <c r="BK367" s="42"/>
      <c r="BL367" s="42"/>
      <c r="BM367" s="42"/>
      <c r="BN367" s="42"/>
      <c r="BO367" s="42"/>
      <c r="BP367" s="42"/>
      <c r="BQ367" s="42"/>
      <c r="BR367" s="42"/>
      <c r="BS367" s="42"/>
      <c r="BT367" s="42"/>
      <c r="BU367" s="42"/>
      <c r="BV367" s="42"/>
      <c r="BW367" s="42"/>
      <c r="BX367" s="42"/>
      <c r="BY367" s="42"/>
      <c r="BZ367" s="42"/>
      <c r="CA367" s="42"/>
      <c r="CB367" s="42"/>
      <c r="CC367" s="42"/>
      <c r="CD367" s="42"/>
      <c r="CE367" s="42"/>
      <c r="CF367" s="42"/>
      <c r="CG367" s="42"/>
      <c r="CH367" s="42"/>
      <c r="CI367" s="42"/>
      <c r="CJ367" s="42"/>
      <c r="CK367" s="42"/>
      <c r="CL367" s="42"/>
      <c r="CM367" s="42"/>
      <c r="CN367" s="42"/>
      <c r="CO367" s="42"/>
      <c r="CP367" s="42"/>
      <c r="CQ367" s="42"/>
      <c r="CR367" s="42"/>
      <c r="CS367" s="42"/>
      <c r="CT367" s="42"/>
      <c r="CU367" s="42"/>
      <c r="CV367" s="42"/>
      <c r="CW367" s="42"/>
      <c r="CX367" s="42"/>
      <c r="CY367" s="42"/>
      <c r="CZ367" s="42"/>
      <c r="DA367" s="42"/>
      <c r="DB367" s="42"/>
      <c r="DC367" s="42"/>
      <c r="DD367" s="42"/>
      <c r="DE367" s="42"/>
      <c r="DF367" s="42"/>
      <c r="DG367" s="42"/>
      <c r="DH367" s="42"/>
      <c r="DI367" s="42"/>
      <c r="DJ367" s="42"/>
      <c r="DK367" s="42"/>
      <c r="DL367" s="42"/>
      <c r="DM367" s="42"/>
      <c r="DN367" s="42"/>
      <c r="DO367" s="42"/>
      <c r="DP367" s="42"/>
      <c r="DQ367" s="42"/>
      <c r="DR367" s="42"/>
      <c r="DS367" s="42"/>
      <c r="DT367" s="42"/>
      <c r="DU367" s="42"/>
      <c r="DV367" s="42"/>
      <c r="DW367" s="42"/>
      <c r="DX367" s="42"/>
      <c r="DY367" s="42"/>
      <c r="DZ367" s="42"/>
      <c r="EA367" s="42"/>
      <c r="EB367" s="42"/>
      <c r="EC367" s="42"/>
      <c r="ED367" s="42"/>
      <c r="EE367" s="42"/>
      <c r="EF367" s="42"/>
      <c r="EG367" s="42"/>
      <c r="EH367" s="42"/>
      <c r="EI367" s="42"/>
      <c r="EJ367" s="42"/>
      <c r="EK367" s="42"/>
      <c r="EL367" s="42"/>
      <c r="EM367" s="42"/>
      <c r="EN367" s="42"/>
      <c r="EO367" s="42"/>
      <c r="EP367" s="42"/>
      <c r="EQ367" s="42"/>
      <c r="ER367" s="42"/>
      <c r="ES367" s="42"/>
      <c r="ET367" s="42"/>
      <c r="EU367" s="42"/>
      <c r="EV367" s="42"/>
      <c r="EW367" s="42"/>
      <c r="EX367" s="42"/>
      <c r="EY367" s="42"/>
      <c r="EZ367" s="42"/>
      <c r="FA367" s="42"/>
      <c r="FB367" s="42"/>
      <c r="FC367" s="42"/>
      <c r="FD367" s="42"/>
      <c r="FE367" s="42"/>
      <c r="FF367" s="42"/>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row>
    <row r="368" spans="1:256" ht="13.8" x14ac:dyDescent="0.3">
      <c r="A368" s="42"/>
      <c r="B368" s="42"/>
      <c r="C368" s="42"/>
      <c r="D368" s="42"/>
      <c r="E368" s="42"/>
      <c r="F368" s="42"/>
      <c r="G368" s="42"/>
      <c r="H368" s="42"/>
      <c r="I368" s="42"/>
      <c r="J368" s="42"/>
      <c r="K368" s="42"/>
      <c r="L368" s="42"/>
      <c r="M368" s="42"/>
      <c r="N368" s="42"/>
      <c r="O368" s="42"/>
      <c r="P368" s="42"/>
      <c r="Q368" s="42"/>
      <c r="R368" s="42"/>
      <c r="S368" s="42"/>
      <c r="T368" s="42"/>
      <c r="U368" s="194"/>
      <c r="V368" s="42"/>
      <c r="W368" s="42"/>
      <c r="X368" s="42"/>
      <c r="Y368" s="42"/>
      <c r="Z368" s="42"/>
      <c r="AA368" s="42"/>
      <c r="AB368" s="195"/>
      <c r="AC368" s="42"/>
      <c r="AD368" s="42"/>
      <c r="AE368" s="195"/>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42"/>
      <c r="BH368" s="42"/>
      <c r="BI368" s="42"/>
      <c r="BJ368" s="42"/>
      <c r="BK368" s="42"/>
      <c r="BL368" s="42"/>
      <c r="BM368" s="42"/>
      <c r="BN368" s="42"/>
      <c r="BO368" s="42"/>
      <c r="BP368" s="42"/>
      <c r="BQ368" s="42"/>
      <c r="BR368" s="42"/>
      <c r="BS368" s="42"/>
      <c r="BT368" s="42"/>
      <c r="BU368" s="42"/>
      <c r="BV368" s="42"/>
      <c r="BW368" s="42"/>
      <c r="BX368" s="42"/>
      <c r="BY368" s="42"/>
      <c r="BZ368" s="42"/>
      <c r="CA368" s="42"/>
      <c r="CB368" s="42"/>
      <c r="CC368" s="42"/>
      <c r="CD368" s="42"/>
      <c r="CE368" s="42"/>
      <c r="CF368" s="42"/>
      <c r="CG368" s="42"/>
      <c r="CH368" s="42"/>
      <c r="CI368" s="42"/>
      <c r="CJ368" s="42"/>
      <c r="CK368" s="42"/>
      <c r="CL368" s="42"/>
      <c r="CM368" s="42"/>
      <c r="CN368" s="42"/>
      <c r="CO368" s="42"/>
      <c r="CP368" s="42"/>
      <c r="CQ368" s="42"/>
      <c r="CR368" s="42"/>
      <c r="CS368" s="42"/>
      <c r="CT368" s="42"/>
      <c r="CU368" s="42"/>
      <c r="CV368" s="42"/>
      <c r="CW368" s="42"/>
      <c r="CX368" s="42"/>
      <c r="CY368" s="42"/>
      <c r="CZ368" s="42"/>
      <c r="DA368" s="42"/>
      <c r="DB368" s="42"/>
      <c r="DC368" s="42"/>
      <c r="DD368" s="42"/>
      <c r="DE368" s="42"/>
      <c r="DF368" s="42"/>
      <c r="DG368" s="42"/>
      <c r="DH368" s="42"/>
      <c r="DI368" s="42"/>
      <c r="DJ368" s="42"/>
      <c r="DK368" s="42"/>
      <c r="DL368" s="42"/>
      <c r="DM368" s="42"/>
      <c r="DN368" s="42"/>
      <c r="DO368" s="42"/>
      <c r="DP368" s="42"/>
      <c r="DQ368" s="42"/>
      <c r="DR368" s="42"/>
      <c r="DS368" s="42"/>
      <c r="DT368" s="42"/>
      <c r="DU368" s="42"/>
      <c r="DV368" s="42"/>
      <c r="DW368" s="42"/>
      <c r="DX368" s="42"/>
      <c r="DY368" s="42"/>
      <c r="DZ368" s="42"/>
      <c r="EA368" s="42"/>
      <c r="EB368" s="42"/>
      <c r="EC368" s="42"/>
      <c r="ED368" s="42"/>
      <c r="EE368" s="42"/>
      <c r="EF368" s="42"/>
      <c r="EG368" s="42"/>
      <c r="EH368" s="42"/>
      <c r="EI368" s="42"/>
      <c r="EJ368" s="42"/>
      <c r="EK368" s="42"/>
      <c r="EL368" s="42"/>
      <c r="EM368" s="42"/>
      <c r="EN368" s="42"/>
      <c r="EO368" s="42"/>
      <c r="EP368" s="42"/>
      <c r="EQ368" s="42"/>
      <c r="ER368" s="42"/>
      <c r="ES368" s="42"/>
      <c r="ET368" s="42"/>
      <c r="EU368" s="42"/>
      <c r="EV368" s="42"/>
      <c r="EW368" s="42"/>
      <c r="EX368" s="42"/>
      <c r="EY368" s="42"/>
      <c r="EZ368" s="42"/>
      <c r="FA368" s="42"/>
      <c r="FB368" s="42"/>
      <c r="FC368" s="42"/>
      <c r="FD368" s="42"/>
      <c r="FE368" s="42"/>
      <c r="FF368" s="42"/>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row>
    <row r="369" spans="1:256" ht="13.8" x14ac:dyDescent="0.3">
      <c r="A369" s="42"/>
      <c r="B369" s="42"/>
      <c r="C369" s="42"/>
      <c r="D369" s="42"/>
      <c r="E369" s="42"/>
      <c r="F369" s="42"/>
      <c r="G369" s="42"/>
      <c r="H369" s="42"/>
      <c r="I369" s="42"/>
      <c r="J369" s="42"/>
      <c r="K369" s="42"/>
      <c r="L369" s="42"/>
      <c r="M369" s="42"/>
      <c r="N369" s="42"/>
      <c r="O369" s="42"/>
      <c r="P369" s="42"/>
      <c r="Q369" s="42"/>
      <c r="R369" s="42"/>
      <c r="S369" s="42"/>
      <c r="T369" s="42"/>
      <c r="U369" s="194"/>
      <c r="V369" s="42"/>
      <c r="W369" s="42"/>
      <c r="X369" s="42"/>
      <c r="Y369" s="42"/>
      <c r="Z369" s="42"/>
      <c r="AA369" s="42"/>
      <c r="AB369" s="195"/>
      <c r="AC369" s="42"/>
      <c r="AD369" s="42"/>
      <c r="AE369" s="195"/>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c r="BM369" s="42"/>
      <c r="BN369" s="42"/>
      <c r="BO369" s="42"/>
      <c r="BP369" s="42"/>
      <c r="BQ369" s="42"/>
      <c r="BR369" s="42"/>
      <c r="BS369" s="42"/>
      <c r="BT369" s="42"/>
      <c r="BU369" s="42"/>
      <c r="BV369" s="42"/>
      <c r="BW369" s="42"/>
      <c r="BX369" s="42"/>
      <c r="BY369" s="42"/>
      <c r="BZ369" s="42"/>
      <c r="CA369" s="42"/>
      <c r="CB369" s="42"/>
      <c r="CC369" s="42"/>
      <c r="CD369" s="42"/>
      <c r="CE369" s="42"/>
      <c r="CF369" s="42"/>
      <c r="CG369" s="42"/>
      <c r="CH369" s="42"/>
      <c r="CI369" s="42"/>
      <c r="CJ369" s="42"/>
      <c r="CK369" s="42"/>
      <c r="CL369" s="42"/>
      <c r="CM369" s="42"/>
      <c r="CN369" s="42"/>
      <c r="CO369" s="42"/>
      <c r="CP369" s="42"/>
      <c r="CQ369" s="42"/>
      <c r="CR369" s="42"/>
      <c r="CS369" s="42"/>
      <c r="CT369" s="42"/>
      <c r="CU369" s="42"/>
      <c r="CV369" s="42"/>
      <c r="CW369" s="42"/>
      <c r="CX369" s="42"/>
      <c r="CY369" s="42"/>
      <c r="CZ369" s="42"/>
      <c r="DA369" s="42"/>
      <c r="DB369" s="42"/>
      <c r="DC369" s="42"/>
      <c r="DD369" s="42"/>
      <c r="DE369" s="42"/>
      <c r="DF369" s="42"/>
      <c r="DG369" s="42"/>
      <c r="DH369" s="42"/>
      <c r="DI369" s="42"/>
      <c r="DJ369" s="42"/>
      <c r="DK369" s="42"/>
      <c r="DL369" s="42"/>
      <c r="DM369" s="42"/>
      <c r="DN369" s="42"/>
      <c r="DO369" s="42"/>
      <c r="DP369" s="42"/>
      <c r="DQ369" s="42"/>
      <c r="DR369" s="42"/>
      <c r="DS369" s="42"/>
      <c r="DT369" s="42"/>
      <c r="DU369" s="42"/>
      <c r="DV369" s="42"/>
      <c r="DW369" s="42"/>
      <c r="DX369" s="42"/>
      <c r="DY369" s="42"/>
      <c r="DZ369" s="42"/>
      <c r="EA369" s="42"/>
      <c r="EB369" s="42"/>
      <c r="EC369" s="42"/>
      <c r="ED369" s="42"/>
      <c r="EE369" s="42"/>
      <c r="EF369" s="42"/>
      <c r="EG369" s="42"/>
      <c r="EH369" s="42"/>
      <c r="EI369" s="42"/>
      <c r="EJ369" s="42"/>
      <c r="EK369" s="42"/>
      <c r="EL369" s="42"/>
      <c r="EM369" s="42"/>
      <c r="EN369" s="42"/>
      <c r="EO369" s="42"/>
      <c r="EP369" s="42"/>
      <c r="EQ369" s="42"/>
      <c r="ER369" s="42"/>
      <c r="ES369" s="42"/>
      <c r="ET369" s="42"/>
      <c r="EU369" s="42"/>
      <c r="EV369" s="42"/>
      <c r="EW369" s="42"/>
      <c r="EX369" s="42"/>
      <c r="EY369" s="42"/>
      <c r="EZ369" s="42"/>
      <c r="FA369" s="42"/>
      <c r="FB369" s="42"/>
      <c r="FC369" s="42"/>
      <c r="FD369" s="42"/>
      <c r="FE369" s="42"/>
      <c r="FF369" s="42"/>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row>
    <row r="370" spans="1:256" ht="13.8" x14ac:dyDescent="0.3">
      <c r="A370" s="42"/>
      <c r="B370" s="42"/>
      <c r="C370" s="42"/>
      <c r="D370" s="42"/>
      <c r="E370" s="42"/>
      <c r="F370" s="42"/>
      <c r="G370" s="42"/>
      <c r="H370" s="42"/>
      <c r="I370" s="42"/>
      <c r="J370" s="42"/>
      <c r="K370" s="42"/>
      <c r="L370" s="42"/>
      <c r="M370" s="42"/>
      <c r="N370" s="42"/>
      <c r="O370" s="42"/>
      <c r="P370" s="42"/>
      <c r="Q370" s="42"/>
      <c r="R370" s="42"/>
      <c r="S370" s="42"/>
      <c r="T370" s="42"/>
      <c r="U370" s="194"/>
      <c r="V370" s="42"/>
      <c r="W370" s="42"/>
      <c r="X370" s="42"/>
      <c r="Y370" s="42"/>
      <c r="Z370" s="42"/>
      <c r="AA370" s="42"/>
      <c r="AB370" s="195"/>
      <c r="AC370" s="42"/>
      <c r="AD370" s="42"/>
      <c r="AE370" s="195"/>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42"/>
      <c r="BH370" s="42"/>
      <c r="BI370" s="42"/>
      <c r="BJ370" s="42"/>
      <c r="BK370" s="42"/>
      <c r="BL370" s="42"/>
      <c r="BM370" s="42"/>
      <c r="BN370" s="42"/>
      <c r="BO370" s="42"/>
      <c r="BP370" s="42"/>
      <c r="BQ370" s="42"/>
      <c r="BR370" s="42"/>
      <c r="BS370" s="42"/>
      <c r="BT370" s="42"/>
      <c r="BU370" s="42"/>
      <c r="BV370" s="42"/>
      <c r="BW370" s="42"/>
      <c r="BX370" s="42"/>
      <c r="BY370" s="42"/>
      <c r="BZ370" s="42"/>
      <c r="CA370" s="42"/>
      <c r="CB370" s="42"/>
      <c r="CC370" s="42"/>
      <c r="CD370" s="42"/>
      <c r="CE370" s="42"/>
      <c r="CF370" s="42"/>
      <c r="CG370" s="42"/>
      <c r="CH370" s="42"/>
      <c r="CI370" s="42"/>
      <c r="CJ370" s="42"/>
      <c r="CK370" s="42"/>
      <c r="CL370" s="42"/>
      <c r="CM370" s="42"/>
      <c r="CN370" s="42"/>
      <c r="CO370" s="42"/>
      <c r="CP370" s="42"/>
      <c r="CQ370" s="42"/>
      <c r="CR370" s="42"/>
      <c r="CS370" s="42"/>
      <c r="CT370" s="42"/>
      <c r="CU370" s="42"/>
      <c r="CV370" s="42"/>
      <c r="CW370" s="42"/>
      <c r="CX370" s="42"/>
      <c r="CY370" s="42"/>
      <c r="CZ370" s="42"/>
      <c r="DA370" s="42"/>
      <c r="DB370" s="42"/>
      <c r="DC370" s="42"/>
      <c r="DD370" s="42"/>
      <c r="DE370" s="42"/>
      <c r="DF370" s="42"/>
      <c r="DG370" s="42"/>
      <c r="DH370" s="42"/>
      <c r="DI370" s="42"/>
      <c r="DJ370" s="42"/>
      <c r="DK370" s="42"/>
      <c r="DL370" s="42"/>
      <c r="DM370" s="42"/>
      <c r="DN370" s="42"/>
      <c r="DO370" s="42"/>
      <c r="DP370" s="42"/>
      <c r="DQ370" s="42"/>
      <c r="DR370" s="42"/>
      <c r="DS370" s="42"/>
      <c r="DT370" s="42"/>
      <c r="DU370" s="42"/>
      <c r="DV370" s="42"/>
      <c r="DW370" s="42"/>
      <c r="DX370" s="42"/>
      <c r="DY370" s="42"/>
      <c r="DZ370" s="42"/>
      <c r="EA370" s="42"/>
      <c r="EB370" s="42"/>
      <c r="EC370" s="42"/>
      <c r="ED370" s="42"/>
      <c r="EE370" s="42"/>
      <c r="EF370" s="42"/>
      <c r="EG370" s="42"/>
      <c r="EH370" s="42"/>
      <c r="EI370" s="42"/>
      <c r="EJ370" s="42"/>
      <c r="EK370" s="42"/>
      <c r="EL370" s="42"/>
      <c r="EM370" s="42"/>
      <c r="EN370" s="42"/>
      <c r="EO370" s="42"/>
      <c r="EP370" s="42"/>
      <c r="EQ370" s="42"/>
      <c r="ER370" s="42"/>
      <c r="ES370" s="42"/>
      <c r="ET370" s="42"/>
      <c r="EU370" s="42"/>
      <c r="EV370" s="42"/>
      <c r="EW370" s="42"/>
      <c r="EX370" s="42"/>
      <c r="EY370" s="42"/>
      <c r="EZ370" s="42"/>
      <c r="FA370" s="42"/>
      <c r="FB370" s="42"/>
      <c r="FC370" s="42"/>
      <c r="FD370" s="42"/>
      <c r="FE370" s="42"/>
      <c r="FF370" s="42"/>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row>
    <row r="371" spans="1:256" ht="13.8" x14ac:dyDescent="0.3">
      <c r="A371" s="42"/>
      <c r="B371" s="42"/>
      <c r="C371" s="42"/>
      <c r="D371" s="42"/>
      <c r="E371" s="42"/>
      <c r="F371" s="42"/>
      <c r="G371" s="42"/>
      <c r="H371" s="42"/>
      <c r="I371" s="42"/>
      <c r="J371" s="42"/>
      <c r="K371" s="42"/>
      <c r="L371" s="42"/>
      <c r="M371" s="42"/>
      <c r="N371" s="42"/>
      <c r="O371" s="42"/>
      <c r="P371" s="42"/>
      <c r="Q371" s="42"/>
      <c r="R371" s="42"/>
      <c r="S371" s="42"/>
      <c r="T371" s="42"/>
      <c r="U371" s="194"/>
      <c r="V371" s="42"/>
      <c r="W371" s="42"/>
      <c r="X371" s="42"/>
      <c r="Y371" s="42"/>
      <c r="Z371" s="42"/>
      <c r="AA371" s="42"/>
      <c r="AB371" s="195"/>
      <c r="AC371" s="42"/>
      <c r="AD371" s="42"/>
      <c r="AE371" s="195"/>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42"/>
      <c r="BH371" s="42"/>
      <c r="BI371" s="42"/>
      <c r="BJ371" s="42"/>
      <c r="BK371" s="42"/>
      <c r="BL371" s="42"/>
      <c r="BM371" s="42"/>
      <c r="BN371" s="42"/>
      <c r="BO371" s="42"/>
      <c r="BP371" s="42"/>
      <c r="BQ371" s="42"/>
      <c r="BR371" s="42"/>
      <c r="BS371" s="42"/>
      <c r="BT371" s="42"/>
      <c r="BU371" s="42"/>
      <c r="BV371" s="42"/>
      <c r="BW371" s="42"/>
      <c r="BX371" s="42"/>
      <c r="BY371" s="42"/>
      <c r="BZ371" s="42"/>
      <c r="CA371" s="42"/>
      <c r="CB371" s="42"/>
      <c r="CC371" s="42"/>
      <c r="CD371" s="42"/>
      <c r="CE371" s="42"/>
      <c r="CF371" s="42"/>
      <c r="CG371" s="42"/>
      <c r="CH371" s="42"/>
      <c r="CI371" s="42"/>
      <c r="CJ371" s="42"/>
      <c r="CK371" s="42"/>
      <c r="CL371" s="42"/>
      <c r="CM371" s="42"/>
      <c r="CN371" s="42"/>
      <c r="CO371" s="42"/>
      <c r="CP371" s="42"/>
      <c r="CQ371" s="42"/>
      <c r="CR371" s="42"/>
      <c r="CS371" s="42"/>
      <c r="CT371" s="42"/>
      <c r="CU371" s="42"/>
      <c r="CV371" s="42"/>
      <c r="CW371" s="42"/>
      <c r="CX371" s="42"/>
      <c r="CY371" s="42"/>
      <c r="CZ371" s="42"/>
      <c r="DA371" s="42"/>
      <c r="DB371" s="42"/>
      <c r="DC371" s="42"/>
      <c r="DD371" s="42"/>
      <c r="DE371" s="42"/>
      <c r="DF371" s="42"/>
      <c r="DG371" s="42"/>
      <c r="DH371" s="42"/>
      <c r="DI371" s="42"/>
      <c r="DJ371" s="42"/>
      <c r="DK371" s="42"/>
      <c r="DL371" s="42"/>
      <c r="DM371" s="42"/>
      <c r="DN371" s="42"/>
      <c r="DO371" s="42"/>
      <c r="DP371" s="42"/>
      <c r="DQ371" s="42"/>
      <c r="DR371" s="42"/>
      <c r="DS371" s="42"/>
      <c r="DT371" s="42"/>
      <c r="DU371" s="42"/>
      <c r="DV371" s="42"/>
      <c r="DW371" s="42"/>
      <c r="DX371" s="42"/>
      <c r="DY371" s="42"/>
      <c r="DZ371" s="42"/>
      <c r="EA371" s="42"/>
      <c r="EB371" s="42"/>
      <c r="EC371" s="42"/>
      <c r="ED371" s="42"/>
      <c r="EE371" s="42"/>
      <c r="EF371" s="42"/>
      <c r="EG371" s="42"/>
      <c r="EH371" s="42"/>
      <c r="EI371" s="42"/>
      <c r="EJ371" s="42"/>
      <c r="EK371" s="42"/>
      <c r="EL371" s="42"/>
      <c r="EM371" s="42"/>
      <c r="EN371" s="42"/>
      <c r="EO371" s="42"/>
      <c r="EP371" s="42"/>
      <c r="EQ371" s="42"/>
      <c r="ER371" s="42"/>
      <c r="ES371" s="42"/>
      <c r="ET371" s="42"/>
      <c r="EU371" s="42"/>
      <c r="EV371" s="42"/>
      <c r="EW371" s="42"/>
      <c r="EX371" s="42"/>
      <c r="EY371" s="42"/>
      <c r="EZ371" s="42"/>
      <c r="FA371" s="42"/>
      <c r="FB371" s="42"/>
      <c r="FC371" s="42"/>
      <c r="FD371" s="42"/>
      <c r="FE371" s="42"/>
      <c r="FF371" s="42"/>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row>
    <row r="372" spans="1:256" ht="13.8" x14ac:dyDescent="0.3">
      <c r="A372" s="42"/>
      <c r="B372" s="42"/>
      <c r="C372" s="42"/>
      <c r="D372" s="42"/>
      <c r="E372" s="42"/>
      <c r="F372" s="42"/>
      <c r="G372" s="42"/>
      <c r="H372" s="42"/>
      <c r="I372" s="42"/>
      <c r="J372" s="42"/>
      <c r="K372" s="42"/>
      <c r="L372" s="42"/>
      <c r="M372" s="42"/>
      <c r="N372" s="42"/>
      <c r="O372" s="42"/>
      <c r="P372" s="42"/>
      <c r="Q372" s="42"/>
      <c r="R372" s="42"/>
      <c r="S372" s="42"/>
      <c r="T372" s="42"/>
      <c r="U372" s="194"/>
      <c r="V372" s="42"/>
      <c r="W372" s="42"/>
      <c r="X372" s="42"/>
      <c r="Y372" s="42"/>
      <c r="Z372" s="42"/>
      <c r="AA372" s="42"/>
      <c r="AB372" s="195"/>
      <c r="AC372" s="42"/>
      <c r="AD372" s="42"/>
      <c r="AE372" s="195"/>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42"/>
      <c r="BH372" s="42"/>
      <c r="BI372" s="42"/>
      <c r="BJ372" s="42"/>
      <c r="BK372" s="42"/>
      <c r="BL372" s="42"/>
      <c r="BM372" s="42"/>
      <c r="BN372" s="42"/>
      <c r="BO372" s="42"/>
      <c r="BP372" s="42"/>
      <c r="BQ372" s="42"/>
      <c r="BR372" s="42"/>
      <c r="BS372" s="42"/>
      <c r="BT372" s="42"/>
      <c r="BU372" s="42"/>
      <c r="BV372" s="42"/>
      <c r="BW372" s="42"/>
      <c r="BX372" s="42"/>
      <c r="BY372" s="42"/>
      <c r="BZ372" s="42"/>
      <c r="CA372" s="42"/>
      <c r="CB372" s="42"/>
      <c r="CC372" s="42"/>
      <c r="CD372" s="42"/>
      <c r="CE372" s="42"/>
      <c r="CF372" s="42"/>
      <c r="CG372" s="42"/>
      <c r="CH372" s="42"/>
      <c r="CI372" s="42"/>
      <c r="CJ372" s="42"/>
      <c r="CK372" s="42"/>
      <c r="CL372" s="42"/>
      <c r="CM372" s="42"/>
      <c r="CN372" s="42"/>
      <c r="CO372" s="42"/>
      <c r="CP372" s="42"/>
      <c r="CQ372" s="42"/>
      <c r="CR372" s="42"/>
      <c r="CS372" s="42"/>
      <c r="CT372" s="42"/>
      <c r="CU372" s="42"/>
      <c r="CV372" s="42"/>
      <c r="CW372" s="42"/>
      <c r="CX372" s="42"/>
      <c r="CY372" s="42"/>
      <c r="CZ372" s="42"/>
      <c r="DA372" s="42"/>
      <c r="DB372" s="42"/>
      <c r="DC372" s="42"/>
      <c r="DD372" s="42"/>
      <c r="DE372" s="42"/>
      <c r="DF372" s="42"/>
      <c r="DG372" s="42"/>
      <c r="DH372" s="42"/>
      <c r="DI372" s="42"/>
      <c r="DJ372" s="42"/>
      <c r="DK372" s="42"/>
      <c r="DL372" s="42"/>
      <c r="DM372" s="42"/>
      <c r="DN372" s="42"/>
      <c r="DO372" s="42"/>
      <c r="DP372" s="42"/>
      <c r="DQ372" s="42"/>
      <c r="DR372" s="42"/>
      <c r="DS372" s="42"/>
      <c r="DT372" s="42"/>
      <c r="DU372" s="42"/>
      <c r="DV372" s="42"/>
      <c r="DW372" s="42"/>
      <c r="DX372" s="42"/>
      <c r="DY372" s="42"/>
      <c r="DZ372" s="42"/>
      <c r="EA372" s="42"/>
      <c r="EB372" s="42"/>
      <c r="EC372" s="42"/>
      <c r="ED372" s="42"/>
      <c r="EE372" s="42"/>
      <c r="EF372" s="42"/>
      <c r="EG372" s="42"/>
      <c r="EH372" s="42"/>
      <c r="EI372" s="42"/>
      <c r="EJ372" s="42"/>
      <c r="EK372" s="42"/>
      <c r="EL372" s="42"/>
      <c r="EM372" s="42"/>
      <c r="EN372" s="42"/>
      <c r="EO372" s="42"/>
      <c r="EP372" s="42"/>
      <c r="EQ372" s="42"/>
      <c r="ER372" s="42"/>
      <c r="ES372" s="42"/>
      <c r="ET372" s="42"/>
      <c r="EU372" s="42"/>
      <c r="EV372" s="42"/>
      <c r="EW372" s="42"/>
      <c r="EX372" s="42"/>
      <c r="EY372" s="42"/>
      <c r="EZ372" s="42"/>
      <c r="FA372" s="42"/>
      <c r="FB372" s="42"/>
      <c r="FC372" s="42"/>
      <c r="FD372" s="42"/>
      <c r="FE372" s="42"/>
      <c r="FF372" s="42"/>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row>
    <row r="373" spans="1:256" ht="13.8" x14ac:dyDescent="0.3">
      <c r="A373" s="42"/>
      <c r="B373" s="42"/>
      <c r="C373" s="42"/>
      <c r="D373" s="42"/>
      <c r="E373" s="42"/>
      <c r="F373" s="42"/>
      <c r="G373" s="42"/>
      <c r="H373" s="42"/>
      <c r="I373" s="42"/>
      <c r="J373" s="42"/>
      <c r="K373" s="42"/>
      <c r="L373" s="42"/>
      <c r="M373" s="42"/>
      <c r="N373" s="42"/>
      <c r="O373" s="42"/>
      <c r="P373" s="42"/>
      <c r="Q373" s="42"/>
      <c r="R373" s="42"/>
      <c r="S373" s="42"/>
      <c r="T373" s="42"/>
      <c r="U373" s="194"/>
      <c r="V373" s="42"/>
      <c r="W373" s="42"/>
      <c r="X373" s="42"/>
      <c r="Y373" s="42"/>
      <c r="Z373" s="42"/>
      <c r="AA373" s="42"/>
      <c r="AB373" s="195"/>
      <c r="AC373" s="42"/>
      <c r="AD373" s="42"/>
      <c r="AE373" s="195"/>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42"/>
      <c r="BH373" s="42"/>
      <c r="BI373" s="42"/>
      <c r="BJ373" s="42"/>
      <c r="BK373" s="42"/>
      <c r="BL373" s="42"/>
      <c r="BM373" s="42"/>
      <c r="BN373" s="42"/>
      <c r="BO373" s="42"/>
      <c r="BP373" s="42"/>
      <c r="BQ373" s="42"/>
      <c r="BR373" s="42"/>
      <c r="BS373" s="42"/>
      <c r="BT373" s="42"/>
      <c r="BU373" s="42"/>
      <c r="BV373" s="42"/>
      <c r="BW373" s="42"/>
      <c r="BX373" s="42"/>
      <c r="BY373" s="42"/>
      <c r="BZ373" s="42"/>
      <c r="CA373" s="42"/>
      <c r="CB373" s="42"/>
      <c r="CC373" s="42"/>
      <c r="CD373" s="42"/>
      <c r="CE373" s="42"/>
      <c r="CF373" s="42"/>
      <c r="CG373" s="42"/>
      <c r="CH373" s="42"/>
      <c r="CI373" s="42"/>
      <c r="CJ373" s="42"/>
      <c r="CK373" s="42"/>
      <c r="CL373" s="42"/>
      <c r="CM373" s="42"/>
      <c r="CN373" s="42"/>
      <c r="CO373" s="42"/>
      <c r="CP373" s="42"/>
      <c r="CQ373" s="42"/>
      <c r="CR373" s="42"/>
      <c r="CS373" s="42"/>
      <c r="CT373" s="42"/>
      <c r="CU373" s="42"/>
      <c r="CV373" s="42"/>
      <c r="CW373" s="42"/>
      <c r="CX373" s="42"/>
      <c r="CY373" s="42"/>
      <c r="CZ373" s="42"/>
      <c r="DA373" s="42"/>
      <c r="DB373" s="42"/>
      <c r="DC373" s="42"/>
      <c r="DD373" s="42"/>
      <c r="DE373" s="42"/>
      <c r="DF373" s="42"/>
      <c r="DG373" s="42"/>
      <c r="DH373" s="42"/>
      <c r="DI373" s="42"/>
      <c r="DJ373" s="42"/>
      <c r="DK373" s="42"/>
      <c r="DL373" s="42"/>
      <c r="DM373" s="42"/>
      <c r="DN373" s="42"/>
      <c r="DO373" s="42"/>
      <c r="DP373" s="42"/>
      <c r="DQ373" s="42"/>
      <c r="DR373" s="42"/>
      <c r="DS373" s="42"/>
      <c r="DT373" s="42"/>
      <c r="DU373" s="42"/>
      <c r="DV373" s="42"/>
      <c r="DW373" s="42"/>
      <c r="DX373" s="42"/>
      <c r="DY373" s="42"/>
      <c r="DZ373" s="42"/>
      <c r="EA373" s="42"/>
      <c r="EB373" s="42"/>
      <c r="EC373" s="42"/>
      <c r="ED373" s="42"/>
      <c r="EE373" s="42"/>
      <c r="EF373" s="42"/>
      <c r="EG373" s="42"/>
      <c r="EH373" s="42"/>
      <c r="EI373" s="42"/>
      <c r="EJ373" s="42"/>
      <c r="EK373" s="42"/>
      <c r="EL373" s="42"/>
      <c r="EM373" s="42"/>
      <c r="EN373" s="42"/>
      <c r="EO373" s="42"/>
      <c r="EP373" s="42"/>
      <c r="EQ373" s="42"/>
      <c r="ER373" s="42"/>
      <c r="ES373" s="42"/>
      <c r="ET373" s="42"/>
      <c r="EU373" s="42"/>
      <c r="EV373" s="42"/>
      <c r="EW373" s="42"/>
      <c r="EX373" s="42"/>
      <c r="EY373" s="42"/>
      <c r="EZ373" s="42"/>
      <c r="FA373" s="42"/>
      <c r="FB373" s="42"/>
      <c r="FC373" s="42"/>
      <c r="FD373" s="42"/>
      <c r="FE373" s="42"/>
      <c r="FF373" s="42"/>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row>
    <row r="374" spans="1:256" ht="13.8" x14ac:dyDescent="0.3">
      <c r="A374" s="42"/>
      <c r="B374" s="42"/>
      <c r="C374" s="42"/>
      <c r="D374" s="42"/>
      <c r="E374" s="42"/>
      <c r="F374" s="42"/>
      <c r="G374" s="42"/>
      <c r="H374" s="42"/>
      <c r="I374" s="42"/>
      <c r="J374" s="42"/>
      <c r="K374" s="42"/>
      <c r="L374" s="42"/>
      <c r="M374" s="42"/>
      <c r="N374" s="42"/>
      <c r="O374" s="42"/>
      <c r="P374" s="42"/>
      <c r="Q374" s="42"/>
      <c r="R374" s="42"/>
      <c r="S374" s="42"/>
      <c r="T374" s="42"/>
      <c r="U374" s="194"/>
      <c r="V374" s="42"/>
      <c r="W374" s="42"/>
      <c r="X374" s="42"/>
      <c r="Y374" s="42"/>
      <c r="Z374" s="42"/>
      <c r="AA374" s="42"/>
      <c r="AB374" s="195"/>
      <c r="AC374" s="42"/>
      <c r="AD374" s="42"/>
      <c r="AE374" s="195"/>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2"/>
      <c r="DR374" s="42"/>
      <c r="DS374" s="42"/>
      <c r="DT374" s="42"/>
      <c r="DU374" s="42"/>
      <c r="DV374" s="42"/>
      <c r="DW374" s="42"/>
      <c r="DX374" s="42"/>
      <c r="DY374" s="42"/>
      <c r="DZ374" s="42"/>
      <c r="EA374" s="42"/>
      <c r="EB374" s="42"/>
      <c r="EC374" s="42"/>
      <c r="ED374" s="42"/>
      <c r="EE374" s="42"/>
      <c r="EF374" s="42"/>
      <c r="EG374" s="42"/>
      <c r="EH374" s="42"/>
      <c r="EI374" s="42"/>
      <c r="EJ374" s="42"/>
      <c r="EK374" s="42"/>
      <c r="EL374" s="42"/>
      <c r="EM374" s="42"/>
      <c r="EN374" s="42"/>
      <c r="EO374" s="42"/>
      <c r="EP374" s="42"/>
      <c r="EQ374" s="42"/>
      <c r="ER374" s="42"/>
      <c r="ES374" s="42"/>
      <c r="ET374" s="42"/>
      <c r="EU374" s="42"/>
      <c r="EV374" s="42"/>
      <c r="EW374" s="42"/>
      <c r="EX374" s="42"/>
      <c r="EY374" s="42"/>
      <c r="EZ374" s="42"/>
      <c r="FA374" s="42"/>
      <c r="FB374" s="42"/>
      <c r="FC374" s="42"/>
      <c r="FD374" s="42"/>
      <c r="FE374" s="42"/>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row>
    <row r="375" spans="1:256" ht="13.8" x14ac:dyDescent="0.3">
      <c r="A375" s="42"/>
      <c r="B375" s="42"/>
      <c r="C375" s="42"/>
      <c r="D375" s="42"/>
      <c r="E375" s="42"/>
      <c r="F375" s="42"/>
      <c r="G375" s="42"/>
      <c r="H375" s="42"/>
      <c r="I375" s="42"/>
      <c r="J375" s="42"/>
      <c r="K375" s="42"/>
      <c r="L375" s="42"/>
      <c r="M375" s="42"/>
      <c r="N375" s="42"/>
      <c r="O375" s="42"/>
      <c r="P375" s="42"/>
      <c r="Q375" s="42"/>
      <c r="R375" s="42"/>
      <c r="S375" s="42"/>
      <c r="T375" s="42"/>
      <c r="U375" s="194"/>
      <c r="V375" s="42"/>
      <c r="W375" s="42"/>
      <c r="X375" s="42"/>
      <c r="Y375" s="42"/>
      <c r="Z375" s="42"/>
      <c r="AA375" s="42"/>
      <c r="AB375" s="195"/>
      <c r="AC375" s="42"/>
      <c r="AD375" s="42"/>
      <c r="AE375" s="195"/>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2"/>
      <c r="DR375" s="42"/>
      <c r="DS375" s="42"/>
      <c r="DT375" s="42"/>
      <c r="DU375" s="42"/>
      <c r="DV375" s="42"/>
      <c r="DW375" s="42"/>
      <c r="DX375" s="42"/>
      <c r="DY375" s="42"/>
      <c r="DZ375" s="42"/>
      <c r="EA375" s="42"/>
      <c r="EB375" s="42"/>
      <c r="EC375" s="42"/>
      <c r="ED375" s="42"/>
      <c r="EE375" s="42"/>
      <c r="EF375" s="42"/>
      <c r="EG375" s="42"/>
      <c r="EH375" s="42"/>
      <c r="EI375" s="42"/>
      <c r="EJ375" s="42"/>
      <c r="EK375" s="42"/>
      <c r="EL375" s="42"/>
      <c r="EM375" s="42"/>
      <c r="EN375" s="42"/>
      <c r="EO375" s="42"/>
      <c r="EP375" s="42"/>
      <c r="EQ375" s="42"/>
      <c r="ER375" s="42"/>
      <c r="ES375" s="42"/>
      <c r="ET375" s="42"/>
      <c r="EU375" s="42"/>
      <c r="EV375" s="42"/>
      <c r="EW375" s="42"/>
      <c r="EX375" s="42"/>
      <c r="EY375" s="42"/>
      <c r="EZ375" s="42"/>
      <c r="FA375" s="42"/>
      <c r="FB375" s="42"/>
      <c r="FC375" s="42"/>
      <c r="FD375" s="42"/>
      <c r="FE375" s="42"/>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row>
    <row r="376" spans="1:256" ht="13.8" x14ac:dyDescent="0.3">
      <c r="A376" s="42"/>
      <c r="B376" s="42"/>
      <c r="C376" s="42"/>
      <c r="D376" s="42"/>
      <c r="E376" s="42"/>
      <c r="F376" s="42"/>
      <c r="G376" s="42"/>
      <c r="H376" s="42"/>
      <c r="I376" s="42"/>
      <c r="J376" s="42"/>
      <c r="K376" s="42"/>
      <c r="L376" s="42"/>
      <c r="M376" s="42"/>
      <c r="N376" s="42"/>
      <c r="O376" s="42"/>
      <c r="P376" s="42"/>
      <c r="Q376" s="42"/>
      <c r="R376" s="42"/>
      <c r="S376" s="42"/>
      <c r="T376" s="42"/>
      <c r="U376" s="194"/>
      <c r="V376" s="42"/>
      <c r="W376" s="42"/>
      <c r="X376" s="42"/>
      <c r="Y376" s="42"/>
      <c r="Z376" s="42"/>
      <c r="AA376" s="42"/>
      <c r="AB376" s="195"/>
      <c r="AC376" s="42"/>
      <c r="AD376" s="42"/>
      <c r="AE376" s="195"/>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2"/>
      <c r="DR376" s="42"/>
      <c r="DS376" s="42"/>
      <c r="DT376" s="42"/>
      <c r="DU376" s="42"/>
      <c r="DV376" s="42"/>
      <c r="DW376" s="42"/>
      <c r="DX376" s="42"/>
      <c r="DY376" s="42"/>
      <c r="DZ376" s="42"/>
      <c r="EA376" s="42"/>
      <c r="EB376" s="42"/>
      <c r="EC376" s="42"/>
      <c r="ED376" s="42"/>
      <c r="EE376" s="42"/>
      <c r="EF376" s="42"/>
      <c r="EG376" s="42"/>
      <c r="EH376" s="42"/>
      <c r="EI376" s="42"/>
      <c r="EJ376" s="42"/>
      <c r="EK376" s="42"/>
      <c r="EL376" s="42"/>
      <c r="EM376" s="42"/>
      <c r="EN376" s="42"/>
      <c r="EO376" s="42"/>
      <c r="EP376" s="42"/>
      <c r="EQ376" s="42"/>
      <c r="ER376" s="42"/>
      <c r="ES376" s="42"/>
      <c r="ET376" s="42"/>
      <c r="EU376" s="42"/>
      <c r="EV376" s="42"/>
      <c r="EW376" s="42"/>
      <c r="EX376" s="42"/>
      <c r="EY376" s="42"/>
      <c r="EZ376" s="42"/>
      <c r="FA376" s="42"/>
      <c r="FB376" s="42"/>
      <c r="FC376" s="42"/>
      <c r="FD376" s="42"/>
      <c r="FE376" s="42"/>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row>
    <row r="377" spans="1:256" ht="13.8" x14ac:dyDescent="0.3">
      <c r="A377" s="42"/>
      <c r="B377" s="42"/>
      <c r="C377" s="42"/>
      <c r="D377" s="42"/>
      <c r="E377" s="42"/>
      <c r="F377" s="42"/>
      <c r="G377" s="42"/>
      <c r="H377" s="42"/>
      <c r="I377" s="42"/>
      <c r="J377" s="42"/>
      <c r="K377" s="42"/>
      <c r="L377" s="42"/>
      <c r="M377" s="42"/>
      <c r="N377" s="42"/>
      <c r="O377" s="42"/>
      <c r="P377" s="42"/>
      <c r="Q377" s="42"/>
      <c r="R377" s="42"/>
      <c r="S377" s="42"/>
      <c r="T377" s="42"/>
      <c r="U377" s="194"/>
      <c r="V377" s="42"/>
      <c r="W377" s="42"/>
      <c r="X377" s="42"/>
      <c r="Y377" s="42"/>
      <c r="Z377" s="42"/>
      <c r="AA377" s="42"/>
      <c r="AB377" s="195"/>
      <c r="AC377" s="42"/>
      <c r="AD377" s="42"/>
      <c r="AE377" s="195"/>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2"/>
      <c r="DR377" s="42"/>
      <c r="DS377" s="42"/>
      <c r="DT377" s="42"/>
      <c r="DU377" s="42"/>
      <c r="DV377" s="42"/>
      <c r="DW377" s="42"/>
      <c r="DX377" s="42"/>
      <c r="DY377" s="42"/>
      <c r="DZ377" s="42"/>
      <c r="EA377" s="42"/>
      <c r="EB377" s="42"/>
      <c r="EC377" s="42"/>
      <c r="ED377" s="42"/>
      <c r="EE377" s="42"/>
      <c r="EF377" s="42"/>
      <c r="EG377" s="42"/>
      <c r="EH377" s="42"/>
      <c r="EI377" s="42"/>
      <c r="EJ377" s="42"/>
      <c r="EK377" s="42"/>
      <c r="EL377" s="42"/>
      <c r="EM377" s="42"/>
      <c r="EN377" s="42"/>
      <c r="EO377" s="42"/>
      <c r="EP377" s="42"/>
      <c r="EQ377" s="42"/>
      <c r="ER377" s="42"/>
      <c r="ES377" s="42"/>
      <c r="ET377" s="42"/>
      <c r="EU377" s="42"/>
      <c r="EV377" s="42"/>
      <c r="EW377" s="42"/>
      <c r="EX377" s="42"/>
      <c r="EY377" s="42"/>
      <c r="EZ377" s="42"/>
      <c r="FA377" s="42"/>
      <c r="FB377" s="42"/>
      <c r="FC377" s="42"/>
      <c r="FD377" s="42"/>
      <c r="FE377" s="42"/>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row>
    <row r="378" spans="1:256" ht="13.8" x14ac:dyDescent="0.3">
      <c r="A378" s="42"/>
      <c r="B378" s="42"/>
      <c r="C378" s="42"/>
      <c r="D378" s="42"/>
      <c r="E378" s="42"/>
      <c r="F378" s="42"/>
      <c r="G378" s="42"/>
      <c r="H378" s="42"/>
      <c r="I378" s="42"/>
      <c r="J378" s="42"/>
      <c r="K378" s="42"/>
      <c r="L378" s="42"/>
      <c r="M378" s="42"/>
      <c r="N378" s="42"/>
      <c r="O378" s="42"/>
      <c r="P378" s="42"/>
      <c r="Q378" s="42"/>
      <c r="R378" s="42"/>
      <c r="S378" s="42"/>
      <c r="T378" s="42"/>
      <c r="U378" s="194"/>
      <c r="V378" s="42"/>
      <c r="W378" s="42"/>
      <c r="X378" s="42"/>
      <c r="Y378" s="42"/>
      <c r="Z378" s="42"/>
      <c r="AA378" s="42"/>
      <c r="AB378" s="195"/>
      <c r="AC378" s="42"/>
      <c r="AD378" s="42"/>
      <c r="AE378" s="195"/>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2"/>
      <c r="DR378" s="42"/>
      <c r="DS378" s="42"/>
      <c r="DT378" s="42"/>
      <c r="DU378" s="42"/>
      <c r="DV378" s="42"/>
      <c r="DW378" s="42"/>
      <c r="DX378" s="42"/>
      <c r="DY378" s="42"/>
      <c r="DZ378" s="42"/>
      <c r="EA378" s="42"/>
      <c r="EB378" s="42"/>
      <c r="EC378" s="42"/>
      <c r="ED378" s="42"/>
      <c r="EE378" s="42"/>
      <c r="EF378" s="42"/>
      <c r="EG378" s="42"/>
      <c r="EH378" s="42"/>
      <c r="EI378" s="42"/>
      <c r="EJ378" s="42"/>
      <c r="EK378" s="42"/>
      <c r="EL378" s="42"/>
      <c r="EM378" s="42"/>
      <c r="EN378" s="42"/>
      <c r="EO378" s="42"/>
      <c r="EP378" s="42"/>
      <c r="EQ378" s="42"/>
      <c r="ER378" s="42"/>
      <c r="ES378" s="42"/>
      <c r="ET378" s="42"/>
      <c r="EU378" s="42"/>
      <c r="EV378" s="42"/>
      <c r="EW378" s="42"/>
      <c r="EX378" s="42"/>
      <c r="EY378" s="42"/>
      <c r="EZ378" s="42"/>
      <c r="FA378" s="42"/>
      <c r="FB378" s="42"/>
      <c r="FC378" s="42"/>
      <c r="FD378" s="42"/>
      <c r="FE378" s="42"/>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row>
    <row r="379" spans="1:256" ht="13.8" x14ac:dyDescent="0.3">
      <c r="A379" s="42"/>
      <c r="B379" s="42"/>
      <c r="C379" s="42"/>
      <c r="D379" s="42"/>
      <c r="E379" s="42"/>
      <c r="F379" s="42"/>
      <c r="G379" s="42"/>
      <c r="H379" s="42"/>
      <c r="I379" s="42"/>
      <c r="J379" s="42"/>
      <c r="K379" s="42"/>
      <c r="L379" s="42"/>
      <c r="M379" s="42"/>
      <c r="N379" s="42"/>
      <c r="O379" s="42"/>
      <c r="P379" s="42"/>
      <c r="Q379" s="42"/>
      <c r="R379" s="42"/>
      <c r="S379" s="42"/>
      <c r="T379" s="42"/>
      <c r="U379" s="194"/>
      <c r="V379" s="42"/>
      <c r="W379" s="42"/>
      <c r="X379" s="42"/>
      <c r="Y379" s="42"/>
      <c r="Z379" s="42"/>
      <c r="AA379" s="42"/>
      <c r="AB379" s="195"/>
      <c r="AC379" s="42"/>
      <c r="AD379" s="42"/>
      <c r="AE379" s="195"/>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c r="CG379" s="42"/>
      <c r="CH379" s="42"/>
      <c r="CI379" s="42"/>
      <c r="CJ379" s="42"/>
      <c r="CK379" s="42"/>
      <c r="CL379" s="42"/>
      <c r="CM379" s="42"/>
      <c r="CN379" s="42"/>
      <c r="CO379" s="42"/>
      <c r="CP379" s="42"/>
      <c r="CQ379" s="42"/>
      <c r="CR379" s="42"/>
      <c r="CS379" s="42"/>
      <c r="CT379" s="42"/>
      <c r="CU379" s="42"/>
      <c r="CV379" s="42"/>
      <c r="CW379" s="42"/>
      <c r="CX379" s="42"/>
      <c r="CY379" s="42"/>
      <c r="CZ379" s="42"/>
      <c r="DA379" s="42"/>
      <c r="DB379" s="42"/>
      <c r="DC379" s="42"/>
      <c r="DD379" s="42"/>
      <c r="DE379" s="42"/>
      <c r="DF379" s="42"/>
      <c r="DG379" s="42"/>
      <c r="DH379" s="42"/>
      <c r="DI379" s="42"/>
      <c r="DJ379" s="42"/>
      <c r="DK379" s="42"/>
      <c r="DL379" s="42"/>
      <c r="DM379" s="42"/>
      <c r="DN379" s="42"/>
      <c r="DO379" s="42"/>
      <c r="DP379" s="42"/>
      <c r="DQ379" s="42"/>
      <c r="DR379" s="42"/>
      <c r="DS379" s="42"/>
      <c r="DT379" s="42"/>
      <c r="DU379" s="42"/>
      <c r="DV379" s="42"/>
      <c r="DW379" s="42"/>
      <c r="DX379" s="42"/>
      <c r="DY379" s="42"/>
      <c r="DZ379" s="42"/>
      <c r="EA379" s="42"/>
      <c r="EB379" s="42"/>
      <c r="EC379" s="42"/>
      <c r="ED379" s="42"/>
      <c r="EE379" s="42"/>
      <c r="EF379" s="42"/>
      <c r="EG379" s="42"/>
      <c r="EH379" s="42"/>
      <c r="EI379" s="42"/>
      <c r="EJ379" s="42"/>
      <c r="EK379" s="42"/>
      <c r="EL379" s="42"/>
      <c r="EM379" s="42"/>
      <c r="EN379" s="42"/>
      <c r="EO379" s="42"/>
      <c r="EP379" s="42"/>
      <c r="EQ379" s="42"/>
      <c r="ER379" s="42"/>
      <c r="ES379" s="42"/>
      <c r="ET379" s="42"/>
      <c r="EU379" s="42"/>
      <c r="EV379" s="42"/>
      <c r="EW379" s="42"/>
      <c r="EX379" s="42"/>
      <c r="EY379" s="42"/>
      <c r="EZ379" s="42"/>
      <c r="FA379" s="42"/>
      <c r="FB379" s="42"/>
      <c r="FC379" s="42"/>
      <c r="FD379" s="42"/>
      <c r="FE379" s="42"/>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row>
    <row r="380" spans="1:256" ht="13.8" x14ac:dyDescent="0.3">
      <c r="A380" s="42"/>
      <c r="B380" s="42"/>
      <c r="C380" s="42"/>
      <c r="D380" s="42"/>
      <c r="E380" s="42"/>
      <c r="F380" s="42"/>
      <c r="G380" s="42"/>
      <c r="H380" s="42"/>
      <c r="I380" s="42"/>
      <c r="J380" s="42"/>
      <c r="K380" s="42"/>
      <c r="L380" s="42"/>
      <c r="M380" s="42"/>
      <c r="N380" s="42"/>
      <c r="O380" s="42"/>
      <c r="P380" s="42"/>
      <c r="Q380" s="42"/>
      <c r="R380" s="42"/>
      <c r="S380" s="42"/>
      <c r="T380" s="42"/>
      <c r="U380" s="194"/>
      <c r="V380" s="42"/>
      <c r="W380" s="42"/>
      <c r="X380" s="42"/>
      <c r="Y380" s="42"/>
      <c r="Z380" s="42"/>
      <c r="AA380" s="42"/>
      <c r="AB380" s="195"/>
      <c r="AC380" s="42"/>
      <c r="AD380" s="42"/>
      <c r="AE380" s="195"/>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c r="CG380" s="42"/>
      <c r="CH380" s="42"/>
      <c r="CI380" s="42"/>
      <c r="CJ380" s="42"/>
      <c r="CK380" s="42"/>
      <c r="CL380" s="42"/>
      <c r="CM380" s="42"/>
      <c r="CN380" s="42"/>
      <c r="CO380" s="42"/>
      <c r="CP380" s="42"/>
      <c r="CQ380" s="42"/>
      <c r="CR380" s="42"/>
      <c r="CS380" s="42"/>
      <c r="CT380" s="42"/>
      <c r="CU380" s="42"/>
      <c r="CV380" s="42"/>
      <c r="CW380" s="42"/>
      <c r="CX380" s="42"/>
      <c r="CY380" s="42"/>
      <c r="CZ380" s="42"/>
      <c r="DA380" s="42"/>
      <c r="DB380" s="42"/>
      <c r="DC380" s="42"/>
      <c r="DD380" s="42"/>
      <c r="DE380" s="42"/>
      <c r="DF380" s="42"/>
      <c r="DG380" s="42"/>
      <c r="DH380" s="42"/>
      <c r="DI380" s="42"/>
      <c r="DJ380" s="42"/>
      <c r="DK380" s="42"/>
      <c r="DL380" s="42"/>
      <c r="DM380" s="42"/>
      <c r="DN380" s="42"/>
      <c r="DO380" s="42"/>
      <c r="DP380" s="42"/>
      <c r="DQ380" s="42"/>
      <c r="DR380" s="42"/>
      <c r="DS380" s="42"/>
      <c r="DT380" s="42"/>
      <c r="DU380" s="42"/>
      <c r="DV380" s="42"/>
      <c r="DW380" s="42"/>
      <c r="DX380" s="42"/>
      <c r="DY380" s="42"/>
      <c r="DZ380" s="42"/>
      <c r="EA380" s="42"/>
      <c r="EB380" s="42"/>
      <c r="EC380" s="42"/>
      <c r="ED380" s="42"/>
      <c r="EE380" s="42"/>
      <c r="EF380" s="42"/>
      <c r="EG380" s="42"/>
      <c r="EH380" s="42"/>
      <c r="EI380" s="42"/>
      <c r="EJ380" s="42"/>
      <c r="EK380" s="42"/>
      <c r="EL380" s="42"/>
      <c r="EM380" s="42"/>
      <c r="EN380" s="42"/>
      <c r="EO380" s="42"/>
      <c r="EP380" s="42"/>
      <c r="EQ380" s="42"/>
      <c r="ER380" s="42"/>
      <c r="ES380" s="42"/>
      <c r="ET380" s="42"/>
      <c r="EU380" s="42"/>
      <c r="EV380" s="42"/>
      <c r="EW380" s="42"/>
      <c r="EX380" s="42"/>
      <c r="EY380" s="42"/>
      <c r="EZ380" s="42"/>
      <c r="FA380" s="42"/>
      <c r="FB380" s="42"/>
      <c r="FC380" s="42"/>
      <c r="FD380" s="42"/>
      <c r="FE380" s="42"/>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row>
    <row r="381" spans="1:256" ht="13.8" x14ac:dyDescent="0.3">
      <c r="A381" s="42"/>
      <c r="B381" s="42"/>
      <c r="C381" s="42"/>
      <c r="D381" s="42"/>
      <c r="E381" s="42"/>
      <c r="F381" s="42"/>
      <c r="G381" s="42"/>
      <c r="H381" s="42"/>
      <c r="I381" s="42"/>
      <c r="J381" s="42"/>
      <c r="K381" s="42"/>
      <c r="L381" s="42"/>
      <c r="M381" s="42"/>
      <c r="N381" s="42"/>
      <c r="O381" s="42"/>
      <c r="P381" s="42"/>
      <c r="Q381" s="42"/>
      <c r="R381" s="42"/>
      <c r="S381" s="42"/>
      <c r="T381" s="42"/>
      <c r="U381" s="194"/>
      <c r="V381" s="42"/>
      <c r="W381" s="42"/>
      <c r="X381" s="42"/>
      <c r="Y381" s="42"/>
      <c r="Z381" s="42"/>
      <c r="AA381" s="42"/>
      <c r="AB381" s="195"/>
      <c r="AC381" s="42"/>
      <c r="AD381" s="42"/>
      <c r="AE381" s="195"/>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c r="CG381" s="42"/>
      <c r="CH381" s="42"/>
      <c r="CI381" s="42"/>
      <c r="CJ381" s="42"/>
      <c r="CK381" s="42"/>
      <c r="CL381" s="42"/>
      <c r="CM381" s="42"/>
      <c r="CN381" s="42"/>
      <c r="CO381" s="42"/>
      <c r="CP381" s="42"/>
      <c r="CQ381" s="42"/>
      <c r="CR381" s="42"/>
      <c r="CS381" s="42"/>
      <c r="CT381" s="42"/>
      <c r="CU381" s="42"/>
      <c r="CV381" s="42"/>
      <c r="CW381" s="42"/>
      <c r="CX381" s="42"/>
      <c r="CY381" s="42"/>
      <c r="CZ381" s="42"/>
      <c r="DA381" s="42"/>
      <c r="DB381" s="42"/>
      <c r="DC381" s="42"/>
      <c r="DD381" s="42"/>
      <c r="DE381" s="42"/>
      <c r="DF381" s="42"/>
      <c r="DG381" s="42"/>
      <c r="DH381" s="42"/>
      <c r="DI381" s="42"/>
      <c r="DJ381" s="42"/>
      <c r="DK381" s="42"/>
      <c r="DL381" s="42"/>
      <c r="DM381" s="42"/>
      <c r="DN381" s="42"/>
      <c r="DO381" s="42"/>
      <c r="DP381" s="42"/>
      <c r="DQ381" s="42"/>
      <c r="DR381" s="42"/>
      <c r="DS381" s="42"/>
      <c r="DT381" s="42"/>
      <c r="DU381" s="42"/>
      <c r="DV381" s="42"/>
      <c r="DW381" s="42"/>
      <c r="DX381" s="42"/>
      <c r="DY381" s="42"/>
      <c r="DZ381" s="42"/>
      <c r="EA381" s="42"/>
      <c r="EB381" s="42"/>
      <c r="EC381" s="42"/>
      <c r="ED381" s="42"/>
      <c r="EE381" s="42"/>
      <c r="EF381" s="42"/>
      <c r="EG381" s="42"/>
      <c r="EH381" s="42"/>
      <c r="EI381" s="42"/>
      <c r="EJ381" s="42"/>
      <c r="EK381" s="42"/>
      <c r="EL381" s="42"/>
      <c r="EM381" s="42"/>
      <c r="EN381" s="42"/>
      <c r="EO381" s="42"/>
      <c r="EP381" s="42"/>
      <c r="EQ381" s="42"/>
      <c r="ER381" s="42"/>
      <c r="ES381" s="42"/>
      <c r="ET381" s="42"/>
      <c r="EU381" s="42"/>
      <c r="EV381" s="42"/>
      <c r="EW381" s="42"/>
      <c r="EX381" s="42"/>
      <c r="EY381" s="42"/>
      <c r="EZ381" s="42"/>
      <c r="FA381" s="42"/>
      <c r="FB381" s="42"/>
      <c r="FC381" s="42"/>
      <c r="FD381" s="42"/>
      <c r="FE381" s="42"/>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row>
    <row r="382" spans="1:256" ht="13.8" x14ac:dyDescent="0.3">
      <c r="A382" s="42"/>
      <c r="B382" s="42"/>
      <c r="C382" s="42"/>
      <c r="D382" s="42"/>
      <c r="E382" s="42"/>
      <c r="F382" s="42"/>
      <c r="G382" s="42"/>
      <c r="H382" s="42"/>
      <c r="I382" s="42"/>
      <c r="J382" s="42"/>
      <c r="K382" s="42"/>
      <c r="L382" s="42"/>
      <c r="M382" s="42"/>
      <c r="N382" s="42"/>
      <c r="O382" s="42"/>
      <c r="P382" s="42"/>
      <c r="Q382" s="42"/>
      <c r="R382" s="42"/>
      <c r="S382" s="42"/>
      <c r="T382" s="42"/>
      <c r="U382" s="194"/>
      <c r="V382" s="42"/>
      <c r="W382" s="42"/>
      <c r="X382" s="42"/>
      <c r="Y382" s="42"/>
      <c r="Z382" s="42"/>
      <c r="AA382" s="42"/>
      <c r="AB382" s="195"/>
      <c r="AC382" s="42"/>
      <c r="AD382" s="42"/>
      <c r="AE382" s="195"/>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c r="CG382" s="42"/>
      <c r="CH382" s="42"/>
      <c r="CI382" s="42"/>
      <c r="CJ382" s="42"/>
      <c r="CK382" s="42"/>
      <c r="CL382" s="42"/>
      <c r="CM382" s="42"/>
      <c r="CN382" s="42"/>
      <c r="CO382" s="42"/>
      <c r="CP382" s="42"/>
      <c r="CQ382" s="42"/>
      <c r="CR382" s="42"/>
      <c r="CS382" s="42"/>
      <c r="CT382" s="42"/>
      <c r="CU382" s="42"/>
      <c r="CV382" s="42"/>
      <c r="CW382" s="42"/>
      <c r="CX382" s="42"/>
      <c r="CY382" s="42"/>
      <c r="CZ382" s="42"/>
      <c r="DA382" s="42"/>
      <c r="DB382" s="42"/>
      <c r="DC382" s="42"/>
      <c r="DD382" s="42"/>
      <c r="DE382" s="42"/>
      <c r="DF382" s="42"/>
      <c r="DG382" s="42"/>
      <c r="DH382" s="42"/>
      <c r="DI382" s="42"/>
      <c r="DJ382" s="42"/>
      <c r="DK382" s="42"/>
      <c r="DL382" s="42"/>
      <c r="DM382" s="42"/>
      <c r="DN382" s="42"/>
      <c r="DO382" s="42"/>
      <c r="DP382" s="42"/>
      <c r="DQ382" s="42"/>
      <c r="DR382" s="42"/>
      <c r="DS382" s="42"/>
      <c r="DT382" s="42"/>
      <c r="DU382" s="42"/>
      <c r="DV382" s="42"/>
      <c r="DW382" s="42"/>
      <c r="DX382" s="42"/>
      <c r="DY382" s="42"/>
      <c r="DZ382" s="42"/>
      <c r="EA382" s="42"/>
      <c r="EB382" s="42"/>
      <c r="EC382" s="42"/>
      <c r="ED382" s="42"/>
      <c r="EE382" s="42"/>
      <c r="EF382" s="42"/>
      <c r="EG382" s="42"/>
      <c r="EH382" s="42"/>
      <c r="EI382" s="42"/>
      <c r="EJ382" s="42"/>
      <c r="EK382" s="42"/>
      <c r="EL382" s="42"/>
      <c r="EM382" s="42"/>
      <c r="EN382" s="42"/>
      <c r="EO382" s="42"/>
      <c r="EP382" s="42"/>
      <c r="EQ382" s="42"/>
      <c r="ER382" s="42"/>
      <c r="ES382" s="42"/>
      <c r="ET382" s="42"/>
      <c r="EU382" s="42"/>
      <c r="EV382" s="42"/>
      <c r="EW382" s="42"/>
      <c r="EX382" s="42"/>
      <c r="EY382" s="42"/>
      <c r="EZ382" s="42"/>
      <c r="FA382" s="42"/>
      <c r="FB382" s="42"/>
      <c r="FC382" s="42"/>
      <c r="FD382" s="42"/>
      <c r="FE382" s="42"/>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row>
    <row r="383" spans="1:256" ht="13.8" x14ac:dyDescent="0.3">
      <c r="A383" s="42"/>
      <c r="B383" s="42"/>
      <c r="C383" s="42"/>
      <c r="D383" s="42"/>
      <c r="E383" s="42"/>
      <c r="F383" s="42"/>
      <c r="G383" s="42"/>
      <c r="H383" s="42"/>
      <c r="I383" s="42"/>
      <c r="J383" s="42"/>
      <c r="K383" s="42"/>
      <c r="L383" s="42"/>
      <c r="M383" s="42"/>
      <c r="N383" s="42"/>
      <c r="O383" s="42"/>
      <c r="P383" s="42"/>
      <c r="Q383" s="42"/>
      <c r="R383" s="42"/>
      <c r="S383" s="42"/>
      <c r="T383" s="42"/>
      <c r="U383" s="194"/>
      <c r="V383" s="42"/>
      <c r="W383" s="42"/>
      <c r="X383" s="42"/>
      <c r="Y383" s="42"/>
      <c r="Z383" s="42"/>
      <c r="AA383" s="42"/>
      <c r="AB383" s="195"/>
      <c r="AC383" s="42"/>
      <c r="AD383" s="42"/>
      <c r="AE383" s="195"/>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c r="CG383" s="42"/>
      <c r="CH383" s="42"/>
      <c r="CI383" s="42"/>
      <c r="CJ383" s="42"/>
      <c r="CK383" s="42"/>
      <c r="CL383" s="42"/>
      <c r="CM383" s="42"/>
      <c r="CN383" s="42"/>
      <c r="CO383" s="42"/>
      <c r="CP383" s="42"/>
      <c r="CQ383" s="42"/>
      <c r="CR383" s="42"/>
      <c r="CS383" s="42"/>
      <c r="CT383" s="42"/>
      <c r="CU383" s="42"/>
      <c r="CV383" s="42"/>
      <c r="CW383" s="42"/>
      <c r="CX383" s="42"/>
      <c r="CY383" s="42"/>
      <c r="CZ383" s="42"/>
      <c r="DA383" s="42"/>
      <c r="DB383" s="42"/>
      <c r="DC383" s="42"/>
      <c r="DD383" s="42"/>
      <c r="DE383" s="42"/>
      <c r="DF383" s="42"/>
      <c r="DG383" s="42"/>
      <c r="DH383" s="42"/>
      <c r="DI383" s="42"/>
      <c r="DJ383" s="42"/>
      <c r="DK383" s="42"/>
      <c r="DL383" s="42"/>
      <c r="DM383" s="42"/>
      <c r="DN383" s="42"/>
      <c r="DO383" s="42"/>
      <c r="DP383" s="42"/>
      <c r="DQ383" s="42"/>
      <c r="DR383" s="42"/>
      <c r="DS383" s="42"/>
      <c r="DT383" s="42"/>
      <c r="DU383" s="42"/>
      <c r="DV383" s="42"/>
      <c r="DW383" s="42"/>
      <c r="DX383" s="42"/>
      <c r="DY383" s="42"/>
      <c r="DZ383" s="42"/>
      <c r="EA383" s="42"/>
      <c r="EB383" s="42"/>
      <c r="EC383" s="42"/>
      <c r="ED383" s="42"/>
      <c r="EE383" s="42"/>
      <c r="EF383" s="42"/>
      <c r="EG383" s="42"/>
      <c r="EH383" s="42"/>
      <c r="EI383" s="42"/>
      <c r="EJ383" s="42"/>
      <c r="EK383" s="42"/>
      <c r="EL383" s="42"/>
      <c r="EM383" s="42"/>
      <c r="EN383" s="42"/>
      <c r="EO383" s="42"/>
      <c r="EP383" s="42"/>
      <c r="EQ383" s="42"/>
      <c r="ER383" s="42"/>
      <c r="ES383" s="42"/>
      <c r="ET383" s="42"/>
      <c r="EU383" s="42"/>
      <c r="EV383" s="42"/>
      <c r="EW383" s="42"/>
      <c r="EX383" s="42"/>
      <c r="EY383" s="42"/>
      <c r="EZ383" s="42"/>
      <c r="FA383" s="42"/>
      <c r="FB383" s="42"/>
      <c r="FC383" s="42"/>
      <c r="FD383" s="42"/>
      <c r="FE383" s="42"/>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row>
    <row r="384" spans="1:256" ht="13.8" x14ac:dyDescent="0.3">
      <c r="A384" s="42"/>
      <c r="B384" s="42"/>
      <c r="C384" s="42"/>
      <c r="D384" s="42"/>
      <c r="E384" s="42"/>
      <c r="F384" s="42"/>
      <c r="G384" s="42"/>
      <c r="H384" s="42"/>
      <c r="I384" s="42"/>
      <c r="J384" s="42"/>
      <c r="K384" s="42"/>
      <c r="L384" s="42"/>
      <c r="M384" s="42"/>
      <c r="N384" s="42"/>
      <c r="O384" s="42"/>
      <c r="P384" s="42"/>
      <c r="Q384" s="42"/>
      <c r="R384" s="42"/>
      <c r="S384" s="42"/>
      <c r="T384" s="42"/>
      <c r="U384" s="194"/>
      <c r="V384" s="42"/>
      <c r="W384" s="42"/>
      <c r="X384" s="42"/>
      <c r="Y384" s="42"/>
      <c r="Z384" s="42"/>
      <c r="AA384" s="42"/>
      <c r="AB384" s="195"/>
      <c r="AC384" s="42"/>
      <c r="AD384" s="42"/>
      <c r="AE384" s="195"/>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c r="CG384" s="42"/>
      <c r="CH384" s="42"/>
      <c r="CI384" s="42"/>
      <c r="CJ384" s="42"/>
      <c r="CK384" s="42"/>
      <c r="CL384" s="42"/>
      <c r="CM384" s="42"/>
      <c r="CN384" s="42"/>
      <c r="CO384" s="42"/>
      <c r="CP384" s="42"/>
      <c r="CQ384" s="42"/>
      <c r="CR384" s="42"/>
      <c r="CS384" s="42"/>
      <c r="CT384" s="42"/>
      <c r="CU384" s="42"/>
      <c r="CV384" s="42"/>
      <c r="CW384" s="42"/>
      <c r="CX384" s="42"/>
      <c r="CY384" s="42"/>
      <c r="CZ384" s="42"/>
      <c r="DA384" s="42"/>
      <c r="DB384" s="42"/>
      <c r="DC384" s="42"/>
      <c r="DD384" s="42"/>
      <c r="DE384" s="42"/>
      <c r="DF384" s="42"/>
      <c r="DG384" s="42"/>
      <c r="DH384" s="42"/>
      <c r="DI384" s="42"/>
      <c r="DJ384" s="42"/>
      <c r="DK384" s="42"/>
      <c r="DL384" s="42"/>
      <c r="DM384" s="42"/>
      <c r="DN384" s="42"/>
      <c r="DO384" s="42"/>
      <c r="DP384" s="42"/>
      <c r="DQ384" s="42"/>
      <c r="DR384" s="42"/>
      <c r="DS384" s="42"/>
      <c r="DT384" s="42"/>
      <c r="DU384" s="42"/>
      <c r="DV384" s="42"/>
      <c r="DW384" s="42"/>
      <c r="DX384" s="42"/>
      <c r="DY384" s="42"/>
      <c r="DZ384" s="42"/>
      <c r="EA384" s="42"/>
      <c r="EB384" s="42"/>
      <c r="EC384" s="42"/>
      <c r="ED384" s="42"/>
      <c r="EE384" s="42"/>
      <c r="EF384" s="42"/>
      <c r="EG384" s="42"/>
      <c r="EH384" s="42"/>
      <c r="EI384" s="42"/>
      <c r="EJ384" s="42"/>
      <c r="EK384" s="42"/>
      <c r="EL384" s="42"/>
      <c r="EM384" s="42"/>
      <c r="EN384" s="42"/>
      <c r="EO384" s="42"/>
      <c r="EP384" s="42"/>
      <c r="EQ384" s="42"/>
      <c r="ER384" s="42"/>
      <c r="ES384" s="42"/>
      <c r="ET384" s="42"/>
      <c r="EU384" s="42"/>
      <c r="EV384" s="42"/>
      <c r="EW384" s="42"/>
      <c r="EX384" s="42"/>
      <c r="EY384" s="42"/>
      <c r="EZ384" s="42"/>
      <c r="FA384" s="42"/>
      <c r="FB384" s="42"/>
      <c r="FC384" s="42"/>
      <c r="FD384" s="42"/>
      <c r="FE384" s="42"/>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row>
    <row r="385" spans="1:256" ht="13.8" x14ac:dyDescent="0.3">
      <c r="A385" s="42"/>
      <c r="B385" s="42"/>
      <c r="C385" s="42"/>
      <c r="D385" s="42"/>
      <c r="E385" s="42"/>
      <c r="F385" s="42"/>
      <c r="G385" s="42"/>
      <c r="H385" s="42"/>
      <c r="I385" s="42"/>
      <c r="J385" s="42"/>
      <c r="K385" s="42"/>
      <c r="L385" s="42"/>
      <c r="M385" s="42"/>
      <c r="N385" s="42"/>
      <c r="O385" s="42"/>
      <c r="P385" s="42"/>
      <c r="Q385" s="42"/>
      <c r="R385" s="42"/>
      <c r="S385" s="42"/>
      <c r="T385" s="42"/>
      <c r="U385" s="194"/>
      <c r="V385" s="42"/>
      <c r="W385" s="42"/>
      <c r="X385" s="42"/>
      <c r="Y385" s="42"/>
      <c r="Z385" s="42"/>
      <c r="AA385" s="42"/>
      <c r="AB385" s="195"/>
      <c r="AC385" s="42"/>
      <c r="AD385" s="42"/>
      <c r="AE385" s="195"/>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c r="CG385" s="42"/>
      <c r="CH385" s="42"/>
      <c r="CI385" s="42"/>
      <c r="CJ385" s="42"/>
      <c r="CK385" s="42"/>
      <c r="CL385" s="42"/>
      <c r="CM385" s="42"/>
      <c r="CN385" s="42"/>
      <c r="CO385" s="42"/>
      <c r="CP385" s="42"/>
      <c r="CQ385" s="42"/>
      <c r="CR385" s="42"/>
      <c r="CS385" s="42"/>
      <c r="CT385" s="42"/>
      <c r="CU385" s="42"/>
      <c r="CV385" s="42"/>
      <c r="CW385" s="42"/>
      <c r="CX385" s="42"/>
      <c r="CY385" s="42"/>
      <c r="CZ385" s="42"/>
      <c r="DA385" s="42"/>
      <c r="DB385" s="42"/>
      <c r="DC385" s="42"/>
      <c r="DD385" s="42"/>
      <c r="DE385" s="42"/>
      <c r="DF385" s="42"/>
      <c r="DG385" s="42"/>
      <c r="DH385" s="42"/>
      <c r="DI385" s="42"/>
      <c r="DJ385" s="42"/>
      <c r="DK385" s="42"/>
      <c r="DL385" s="42"/>
      <c r="DM385" s="42"/>
      <c r="DN385" s="42"/>
      <c r="DO385" s="42"/>
      <c r="DP385" s="42"/>
      <c r="DQ385" s="42"/>
      <c r="DR385" s="42"/>
      <c r="DS385" s="42"/>
      <c r="DT385" s="42"/>
      <c r="DU385" s="42"/>
      <c r="DV385" s="42"/>
      <c r="DW385" s="42"/>
      <c r="DX385" s="42"/>
      <c r="DY385" s="42"/>
      <c r="DZ385" s="42"/>
      <c r="EA385" s="42"/>
      <c r="EB385" s="42"/>
      <c r="EC385" s="42"/>
      <c r="ED385" s="42"/>
      <c r="EE385" s="42"/>
      <c r="EF385" s="42"/>
      <c r="EG385" s="42"/>
      <c r="EH385" s="42"/>
      <c r="EI385" s="42"/>
      <c r="EJ385" s="42"/>
      <c r="EK385" s="42"/>
      <c r="EL385" s="42"/>
      <c r="EM385" s="42"/>
      <c r="EN385" s="42"/>
      <c r="EO385" s="42"/>
      <c r="EP385" s="42"/>
      <c r="EQ385" s="42"/>
      <c r="ER385" s="42"/>
      <c r="ES385" s="42"/>
      <c r="ET385" s="42"/>
      <c r="EU385" s="42"/>
      <c r="EV385" s="42"/>
      <c r="EW385" s="42"/>
      <c r="EX385" s="42"/>
      <c r="EY385" s="42"/>
      <c r="EZ385" s="42"/>
      <c r="FA385" s="42"/>
      <c r="FB385" s="42"/>
      <c r="FC385" s="42"/>
      <c r="FD385" s="42"/>
      <c r="FE385" s="42"/>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row>
    <row r="386" spans="1:256" ht="13.8" x14ac:dyDescent="0.3">
      <c r="A386" s="42"/>
      <c r="B386" s="42"/>
      <c r="C386" s="42"/>
      <c r="D386" s="42"/>
      <c r="E386" s="42"/>
      <c r="F386" s="42"/>
      <c r="G386" s="42"/>
      <c r="H386" s="42"/>
      <c r="I386" s="42"/>
      <c r="J386" s="42"/>
      <c r="K386" s="42"/>
      <c r="L386" s="42"/>
      <c r="M386" s="42"/>
      <c r="N386" s="42"/>
      <c r="O386" s="42"/>
      <c r="P386" s="42"/>
      <c r="Q386" s="42"/>
      <c r="R386" s="42"/>
      <c r="S386" s="42"/>
      <c r="T386" s="42"/>
      <c r="U386" s="194"/>
      <c r="V386" s="42"/>
      <c r="W386" s="42"/>
      <c r="X386" s="42"/>
      <c r="Y386" s="42"/>
      <c r="Z386" s="42"/>
      <c r="AA386" s="42"/>
      <c r="AB386" s="195"/>
      <c r="AC386" s="42"/>
      <c r="AD386" s="42"/>
      <c r="AE386" s="195"/>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c r="CG386" s="42"/>
      <c r="CH386" s="42"/>
      <c r="CI386" s="42"/>
      <c r="CJ386" s="42"/>
      <c r="CK386" s="42"/>
      <c r="CL386" s="42"/>
      <c r="CM386" s="42"/>
      <c r="CN386" s="42"/>
      <c r="CO386" s="42"/>
      <c r="CP386" s="42"/>
      <c r="CQ386" s="42"/>
      <c r="CR386" s="42"/>
      <c r="CS386" s="42"/>
      <c r="CT386" s="42"/>
      <c r="CU386" s="42"/>
      <c r="CV386" s="42"/>
      <c r="CW386" s="42"/>
      <c r="CX386" s="42"/>
      <c r="CY386" s="42"/>
      <c r="CZ386" s="42"/>
      <c r="DA386" s="42"/>
      <c r="DB386" s="42"/>
      <c r="DC386" s="42"/>
      <c r="DD386" s="42"/>
      <c r="DE386" s="42"/>
      <c r="DF386" s="42"/>
      <c r="DG386" s="42"/>
      <c r="DH386" s="42"/>
      <c r="DI386" s="42"/>
      <c r="DJ386" s="42"/>
      <c r="DK386" s="42"/>
      <c r="DL386" s="42"/>
      <c r="DM386" s="42"/>
      <c r="DN386" s="42"/>
      <c r="DO386" s="42"/>
      <c r="DP386" s="42"/>
      <c r="DQ386" s="42"/>
      <c r="DR386" s="42"/>
      <c r="DS386" s="42"/>
      <c r="DT386" s="42"/>
      <c r="DU386" s="42"/>
      <c r="DV386" s="42"/>
      <c r="DW386" s="42"/>
      <c r="DX386" s="42"/>
      <c r="DY386" s="42"/>
      <c r="DZ386" s="42"/>
      <c r="EA386" s="42"/>
      <c r="EB386" s="42"/>
      <c r="EC386" s="42"/>
      <c r="ED386" s="42"/>
      <c r="EE386" s="42"/>
      <c r="EF386" s="42"/>
      <c r="EG386" s="42"/>
      <c r="EH386" s="42"/>
      <c r="EI386" s="42"/>
      <c r="EJ386" s="42"/>
      <c r="EK386" s="42"/>
      <c r="EL386" s="42"/>
      <c r="EM386" s="42"/>
      <c r="EN386" s="42"/>
      <c r="EO386" s="42"/>
      <c r="EP386" s="42"/>
      <c r="EQ386" s="42"/>
      <c r="ER386" s="42"/>
      <c r="ES386" s="42"/>
      <c r="ET386" s="42"/>
      <c r="EU386" s="42"/>
      <c r="EV386" s="42"/>
      <c r="EW386" s="42"/>
      <c r="EX386" s="42"/>
      <c r="EY386" s="42"/>
      <c r="EZ386" s="42"/>
      <c r="FA386" s="42"/>
      <c r="FB386" s="42"/>
      <c r="FC386" s="42"/>
      <c r="FD386" s="42"/>
      <c r="FE386" s="42"/>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row>
    <row r="387" spans="1:256" ht="13.8" x14ac:dyDescent="0.3">
      <c r="A387" s="42"/>
      <c r="B387" s="42"/>
      <c r="C387" s="42"/>
      <c r="D387" s="42"/>
      <c r="E387" s="42"/>
      <c r="F387" s="42"/>
      <c r="G387" s="42"/>
      <c r="H387" s="42"/>
      <c r="I387" s="42"/>
      <c r="J387" s="42"/>
      <c r="K387" s="42"/>
      <c r="L387" s="42"/>
      <c r="M387" s="42"/>
      <c r="N387" s="42"/>
      <c r="O387" s="42"/>
      <c r="P387" s="42"/>
      <c r="Q387" s="42"/>
      <c r="R387" s="42"/>
      <c r="S387" s="42"/>
      <c r="T387" s="42"/>
      <c r="U387" s="194"/>
      <c r="V387" s="42"/>
      <c r="W387" s="42"/>
      <c r="X387" s="42"/>
      <c r="Y387" s="42"/>
      <c r="Z387" s="42"/>
      <c r="AA387" s="42"/>
      <c r="AB387" s="195"/>
      <c r="AC387" s="42"/>
      <c r="AD387" s="42"/>
      <c r="AE387" s="195"/>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c r="CG387" s="42"/>
      <c r="CH387" s="42"/>
      <c r="CI387" s="42"/>
      <c r="CJ387" s="42"/>
      <c r="CK387" s="42"/>
      <c r="CL387" s="42"/>
      <c r="CM387" s="42"/>
      <c r="CN387" s="42"/>
      <c r="CO387" s="42"/>
      <c r="CP387" s="42"/>
      <c r="CQ387" s="42"/>
      <c r="CR387" s="42"/>
      <c r="CS387" s="42"/>
      <c r="CT387" s="42"/>
      <c r="CU387" s="42"/>
      <c r="CV387" s="42"/>
      <c r="CW387" s="42"/>
      <c r="CX387" s="42"/>
      <c r="CY387" s="42"/>
      <c r="CZ387" s="42"/>
      <c r="DA387" s="42"/>
      <c r="DB387" s="42"/>
      <c r="DC387" s="42"/>
      <c r="DD387" s="42"/>
      <c r="DE387" s="42"/>
      <c r="DF387" s="42"/>
      <c r="DG387" s="42"/>
      <c r="DH387" s="42"/>
      <c r="DI387" s="42"/>
      <c r="DJ387" s="42"/>
      <c r="DK387" s="42"/>
      <c r="DL387" s="42"/>
      <c r="DM387" s="42"/>
      <c r="DN387" s="42"/>
      <c r="DO387" s="42"/>
      <c r="DP387" s="42"/>
      <c r="DQ387" s="42"/>
      <c r="DR387" s="42"/>
      <c r="DS387" s="42"/>
      <c r="DT387" s="42"/>
      <c r="DU387" s="42"/>
      <c r="DV387" s="42"/>
      <c r="DW387" s="42"/>
      <c r="DX387" s="42"/>
      <c r="DY387" s="42"/>
      <c r="DZ387" s="42"/>
      <c r="EA387" s="42"/>
      <c r="EB387" s="42"/>
      <c r="EC387" s="42"/>
      <c r="ED387" s="42"/>
      <c r="EE387" s="42"/>
      <c r="EF387" s="42"/>
      <c r="EG387" s="42"/>
      <c r="EH387" s="42"/>
      <c r="EI387" s="42"/>
      <c r="EJ387" s="42"/>
      <c r="EK387" s="42"/>
      <c r="EL387" s="42"/>
      <c r="EM387" s="42"/>
      <c r="EN387" s="42"/>
      <c r="EO387" s="42"/>
      <c r="EP387" s="42"/>
      <c r="EQ387" s="42"/>
      <c r="ER387" s="42"/>
      <c r="ES387" s="42"/>
      <c r="ET387" s="42"/>
      <c r="EU387" s="42"/>
      <c r="EV387" s="42"/>
      <c r="EW387" s="42"/>
      <c r="EX387" s="42"/>
      <c r="EY387" s="42"/>
      <c r="EZ387" s="42"/>
      <c r="FA387" s="42"/>
      <c r="FB387" s="42"/>
      <c r="FC387" s="42"/>
      <c r="FD387" s="42"/>
      <c r="FE387" s="42"/>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row>
    <row r="388" spans="1:256" ht="13.8" x14ac:dyDescent="0.3">
      <c r="A388" s="42"/>
      <c r="B388" s="42"/>
      <c r="C388" s="42"/>
      <c r="D388" s="42"/>
      <c r="E388" s="42"/>
      <c r="F388" s="42"/>
      <c r="G388" s="42"/>
      <c r="H388" s="42"/>
      <c r="I388" s="42"/>
      <c r="J388" s="42"/>
      <c r="K388" s="42"/>
      <c r="L388" s="42"/>
      <c r="M388" s="42"/>
      <c r="N388" s="42"/>
      <c r="O388" s="42"/>
      <c r="P388" s="42"/>
      <c r="Q388" s="42"/>
      <c r="R388" s="42"/>
      <c r="S388" s="42"/>
      <c r="T388" s="42"/>
      <c r="U388" s="194"/>
      <c r="V388" s="42"/>
      <c r="W388" s="42"/>
      <c r="X388" s="42"/>
      <c r="Y388" s="42"/>
      <c r="Z388" s="42"/>
      <c r="AA388" s="42"/>
      <c r="AB388" s="195"/>
      <c r="AC388" s="42"/>
      <c r="AD388" s="42"/>
      <c r="AE388" s="195"/>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c r="CG388" s="42"/>
      <c r="CH388" s="42"/>
      <c r="CI388" s="42"/>
      <c r="CJ388" s="42"/>
      <c r="CK388" s="42"/>
      <c r="CL388" s="42"/>
      <c r="CM388" s="42"/>
      <c r="CN388" s="42"/>
      <c r="CO388" s="42"/>
      <c r="CP388" s="42"/>
      <c r="CQ388" s="42"/>
      <c r="CR388" s="42"/>
      <c r="CS388" s="42"/>
      <c r="CT388" s="42"/>
      <c r="CU388" s="42"/>
      <c r="CV388" s="42"/>
      <c r="CW388" s="42"/>
      <c r="CX388" s="42"/>
      <c r="CY388" s="42"/>
      <c r="CZ388" s="42"/>
      <c r="DA388" s="42"/>
      <c r="DB388" s="42"/>
      <c r="DC388" s="42"/>
      <c r="DD388" s="42"/>
      <c r="DE388" s="42"/>
      <c r="DF388" s="42"/>
      <c r="DG388" s="42"/>
      <c r="DH388" s="42"/>
      <c r="DI388" s="42"/>
      <c r="DJ388" s="42"/>
      <c r="DK388" s="42"/>
      <c r="DL388" s="42"/>
      <c r="DM388" s="42"/>
      <c r="DN388" s="42"/>
      <c r="DO388" s="42"/>
      <c r="DP388" s="42"/>
      <c r="DQ388" s="42"/>
      <c r="DR388" s="42"/>
      <c r="DS388" s="42"/>
      <c r="DT388" s="42"/>
      <c r="DU388" s="42"/>
      <c r="DV388" s="42"/>
      <c r="DW388" s="42"/>
      <c r="DX388" s="42"/>
      <c r="DY388" s="42"/>
      <c r="DZ388" s="42"/>
      <c r="EA388" s="42"/>
      <c r="EB388" s="42"/>
      <c r="EC388" s="42"/>
      <c r="ED388" s="42"/>
      <c r="EE388" s="42"/>
      <c r="EF388" s="42"/>
      <c r="EG388" s="42"/>
      <c r="EH388" s="42"/>
      <c r="EI388" s="42"/>
      <c r="EJ388" s="42"/>
      <c r="EK388" s="42"/>
      <c r="EL388" s="42"/>
      <c r="EM388" s="42"/>
      <c r="EN388" s="42"/>
      <c r="EO388" s="42"/>
      <c r="EP388" s="42"/>
      <c r="EQ388" s="42"/>
      <c r="ER388" s="42"/>
      <c r="ES388" s="42"/>
      <c r="ET388" s="42"/>
      <c r="EU388" s="42"/>
      <c r="EV388" s="42"/>
      <c r="EW388" s="42"/>
      <c r="EX388" s="42"/>
      <c r="EY388" s="42"/>
      <c r="EZ388" s="42"/>
      <c r="FA388" s="42"/>
      <c r="FB388" s="42"/>
      <c r="FC388" s="42"/>
      <c r="FD388" s="42"/>
      <c r="FE388" s="42"/>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row>
    <row r="389" spans="1:256" ht="13.8" x14ac:dyDescent="0.3">
      <c r="A389" s="42"/>
      <c r="B389" s="42"/>
      <c r="C389" s="42"/>
      <c r="D389" s="42"/>
      <c r="E389" s="42"/>
      <c r="F389" s="42"/>
      <c r="G389" s="42"/>
      <c r="H389" s="42"/>
      <c r="I389" s="42"/>
      <c r="J389" s="42"/>
      <c r="K389" s="42"/>
      <c r="L389" s="42"/>
      <c r="M389" s="42"/>
      <c r="N389" s="42"/>
      <c r="O389" s="42"/>
      <c r="P389" s="42"/>
      <c r="Q389" s="42"/>
      <c r="R389" s="42"/>
      <c r="S389" s="42"/>
      <c r="T389" s="42"/>
      <c r="U389" s="194"/>
      <c r="V389" s="42"/>
      <c r="W389" s="42"/>
      <c r="X389" s="42"/>
      <c r="Y389" s="42"/>
      <c r="Z389" s="42"/>
      <c r="AA389" s="42"/>
      <c r="AB389" s="195"/>
      <c r="AC389" s="42"/>
      <c r="AD389" s="42"/>
      <c r="AE389" s="195"/>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c r="CG389" s="42"/>
      <c r="CH389" s="42"/>
      <c r="CI389" s="42"/>
      <c r="CJ389" s="42"/>
      <c r="CK389" s="42"/>
      <c r="CL389" s="42"/>
      <c r="CM389" s="42"/>
      <c r="CN389" s="42"/>
      <c r="CO389" s="42"/>
      <c r="CP389" s="42"/>
      <c r="CQ389" s="42"/>
      <c r="CR389" s="42"/>
      <c r="CS389" s="42"/>
      <c r="CT389" s="42"/>
      <c r="CU389" s="42"/>
      <c r="CV389" s="42"/>
      <c r="CW389" s="42"/>
      <c r="CX389" s="42"/>
      <c r="CY389" s="42"/>
      <c r="CZ389" s="42"/>
      <c r="DA389" s="42"/>
      <c r="DB389" s="42"/>
      <c r="DC389" s="42"/>
      <c r="DD389" s="42"/>
      <c r="DE389" s="42"/>
      <c r="DF389" s="42"/>
      <c r="DG389" s="42"/>
      <c r="DH389" s="42"/>
      <c r="DI389" s="42"/>
      <c r="DJ389" s="42"/>
      <c r="DK389" s="42"/>
      <c r="DL389" s="42"/>
      <c r="DM389" s="42"/>
      <c r="DN389" s="42"/>
      <c r="DO389" s="42"/>
      <c r="DP389" s="42"/>
      <c r="DQ389" s="42"/>
      <c r="DR389" s="42"/>
      <c r="DS389" s="42"/>
      <c r="DT389" s="42"/>
      <c r="DU389" s="42"/>
      <c r="DV389" s="42"/>
      <c r="DW389" s="42"/>
      <c r="DX389" s="42"/>
      <c r="DY389" s="42"/>
      <c r="DZ389" s="42"/>
      <c r="EA389" s="42"/>
      <c r="EB389" s="42"/>
      <c r="EC389" s="42"/>
      <c r="ED389" s="42"/>
      <c r="EE389" s="42"/>
      <c r="EF389" s="42"/>
      <c r="EG389" s="42"/>
      <c r="EH389" s="42"/>
      <c r="EI389" s="42"/>
      <c r="EJ389" s="42"/>
      <c r="EK389" s="42"/>
      <c r="EL389" s="42"/>
      <c r="EM389" s="42"/>
      <c r="EN389" s="42"/>
      <c r="EO389" s="42"/>
      <c r="EP389" s="42"/>
      <c r="EQ389" s="42"/>
      <c r="ER389" s="42"/>
      <c r="ES389" s="42"/>
      <c r="ET389" s="42"/>
      <c r="EU389" s="42"/>
      <c r="EV389" s="42"/>
      <c r="EW389" s="42"/>
      <c r="EX389" s="42"/>
      <c r="EY389" s="42"/>
      <c r="EZ389" s="42"/>
      <c r="FA389" s="42"/>
      <c r="FB389" s="42"/>
      <c r="FC389" s="42"/>
      <c r="FD389" s="42"/>
      <c r="FE389" s="42"/>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row>
    <row r="390" spans="1:256" ht="13.8" x14ac:dyDescent="0.3">
      <c r="A390" s="42"/>
      <c r="B390" s="42"/>
      <c r="C390" s="42"/>
      <c r="D390" s="42"/>
      <c r="E390" s="42"/>
      <c r="F390" s="42"/>
      <c r="G390" s="42"/>
      <c r="H390" s="42"/>
      <c r="I390" s="42"/>
      <c r="J390" s="42"/>
      <c r="K390" s="42"/>
      <c r="L390" s="42"/>
      <c r="M390" s="42"/>
      <c r="N390" s="42"/>
      <c r="O390" s="42"/>
      <c r="P390" s="42"/>
      <c r="Q390" s="42"/>
      <c r="R390" s="42"/>
      <c r="S390" s="42"/>
      <c r="T390" s="42"/>
      <c r="U390" s="194"/>
      <c r="V390" s="42"/>
      <c r="W390" s="42"/>
      <c r="X390" s="42"/>
      <c r="Y390" s="42"/>
      <c r="Z390" s="42"/>
      <c r="AA390" s="42"/>
      <c r="AB390" s="195"/>
      <c r="AC390" s="42"/>
      <c r="AD390" s="42"/>
      <c r="AE390" s="195"/>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c r="CG390" s="42"/>
      <c r="CH390" s="42"/>
      <c r="CI390" s="42"/>
      <c r="CJ390" s="42"/>
      <c r="CK390" s="42"/>
      <c r="CL390" s="42"/>
      <c r="CM390" s="42"/>
      <c r="CN390" s="42"/>
      <c r="CO390" s="42"/>
      <c r="CP390" s="42"/>
      <c r="CQ390" s="42"/>
      <c r="CR390" s="42"/>
      <c r="CS390" s="42"/>
      <c r="CT390" s="42"/>
      <c r="CU390" s="42"/>
      <c r="CV390" s="42"/>
      <c r="CW390" s="42"/>
      <c r="CX390" s="42"/>
      <c r="CY390" s="42"/>
      <c r="CZ390" s="42"/>
      <c r="DA390" s="42"/>
      <c r="DB390" s="42"/>
      <c r="DC390" s="42"/>
      <c r="DD390" s="42"/>
      <c r="DE390" s="42"/>
      <c r="DF390" s="42"/>
      <c r="DG390" s="42"/>
      <c r="DH390" s="42"/>
      <c r="DI390" s="42"/>
      <c r="DJ390" s="42"/>
      <c r="DK390" s="42"/>
      <c r="DL390" s="42"/>
      <c r="DM390" s="42"/>
      <c r="DN390" s="42"/>
      <c r="DO390" s="42"/>
      <c r="DP390" s="42"/>
      <c r="DQ390" s="42"/>
      <c r="DR390" s="42"/>
      <c r="DS390" s="42"/>
      <c r="DT390" s="42"/>
      <c r="DU390" s="42"/>
      <c r="DV390" s="42"/>
      <c r="DW390" s="42"/>
      <c r="DX390" s="42"/>
      <c r="DY390" s="42"/>
      <c r="DZ390" s="42"/>
      <c r="EA390" s="42"/>
      <c r="EB390" s="42"/>
      <c r="EC390" s="42"/>
      <c r="ED390" s="42"/>
      <c r="EE390" s="42"/>
      <c r="EF390" s="42"/>
      <c r="EG390" s="42"/>
      <c r="EH390" s="42"/>
      <c r="EI390" s="42"/>
      <c r="EJ390" s="42"/>
      <c r="EK390" s="42"/>
      <c r="EL390" s="42"/>
      <c r="EM390" s="42"/>
      <c r="EN390" s="42"/>
      <c r="EO390" s="42"/>
      <c r="EP390" s="42"/>
      <c r="EQ390" s="42"/>
      <c r="ER390" s="42"/>
      <c r="ES390" s="42"/>
      <c r="ET390" s="42"/>
      <c r="EU390" s="42"/>
      <c r="EV390" s="42"/>
      <c r="EW390" s="42"/>
      <c r="EX390" s="42"/>
      <c r="EY390" s="42"/>
      <c r="EZ390" s="42"/>
      <c r="FA390" s="42"/>
      <c r="FB390" s="42"/>
      <c r="FC390" s="42"/>
      <c r="FD390" s="42"/>
      <c r="FE390" s="42"/>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row>
    <row r="391" spans="1:256" ht="13.8" x14ac:dyDescent="0.3">
      <c r="A391" s="42"/>
      <c r="B391" s="42"/>
      <c r="C391" s="42"/>
      <c r="D391" s="42"/>
      <c r="E391" s="42"/>
      <c r="F391" s="42"/>
      <c r="G391" s="42"/>
      <c r="H391" s="42"/>
      <c r="I391" s="42"/>
      <c r="J391" s="42"/>
      <c r="K391" s="42"/>
      <c r="L391" s="42"/>
      <c r="M391" s="42"/>
      <c r="N391" s="42"/>
      <c r="O391" s="42"/>
      <c r="P391" s="42"/>
      <c r="Q391" s="42"/>
      <c r="R391" s="42"/>
      <c r="S391" s="42"/>
      <c r="T391" s="42"/>
      <c r="U391" s="194"/>
      <c r="V391" s="42"/>
      <c r="W391" s="42"/>
      <c r="X391" s="42"/>
      <c r="Y391" s="42"/>
      <c r="Z391" s="42"/>
      <c r="AA391" s="42"/>
      <c r="AB391" s="195"/>
      <c r="AC391" s="42"/>
      <c r="AD391" s="42"/>
      <c r="AE391" s="195"/>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c r="CG391" s="42"/>
      <c r="CH391" s="42"/>
      <c r="CI391" s="42"/>
      <c r="CJ391" s="42"/>
      <c r="CK391" s="42"/>
      <c r="CL391" s="42"/>
      <c r="CM391" s="42"/>
      <c r="CN391" s="42"/>
      <c r="CO391" s="42"/>
      <c r="CP391" s="42"/>
      <c r="CQ391" s="42"/>
      <c r="CR391" s="42"/>
      <c r="CS391" s="42"/>
      <c r="CT391" s="42"/>
      <c r="CU391" s="42"/>
      <c r="CV391" s="42"/>
      <c r="CW391" s="42"/>
      <c r="CX391" s="42"/>
      <c r="CY391" s="42"/>
      <c r="CZ391" s="42"/>
      <c r="DA391" s="42"/>
      <c r="DB391" s="42"/>
      <c r="DC391" s="42"/>
      <c r="DD391" s="42"/>
      <c r="DE391" s="42"/>
      <c r="DF391" s="42"/>
      <c r="DG391" s="42"/>
      <c r="DH391" s="42"/>
      <c r="DI391" s="42"/>
      <c r="DJ391" s="42"/>
      <c r="DK391" s="42"/>
      <c r="DL391" s="42"/>
      <c r="DM391" s="42"/>
      <c r="DN391" s="42"/>
      <c r="DO391" s="42"/>
      <c r="DP391" s="42"/>
      <c r="DQ391" s="42"/>
      <c r="DR391" s="42"/>
      <c r="DS391" s="42"/>
      <c r="DT391" s="42"/>
      <c r="DU391" s="42"/>
      <c r="DV391" s="42"/>
      <c r="DW391" s="42"/>
      <c r="DX391" s="42"/>
      <c r="DY391" s="42"/>
      <c r="DZ391" s="42"/>
      <c r="EA391" s="42"/>
      <c r="EB391" s="42"/>
      <c r="EC391" s="42"/>
      <c r="ED391" s="42"/>
      <c r="EE391" s="42"/>
      <c r="EF391" s="42"/>
      <c r="EG391" s="42"/>
      <c r="EH391" s="42"/>
      <c r="EI391" s="42"/>
      <c r="EJ391" s="42"/>
      <c r="EK391" s="42"/>
      <c r="EL391" s="42"/>
      <c r="EM391" s="42"/>
      <c r="EN391" s="42"/>
      <c r="EO391" s="42"/>
      <c r="EP391" s="42"/>
      <c r="EQ391" s="42"/>
      <c r="ER391" s="42"/>
      <c r="ES391" s="42"/>
      <c r="ET391" s="42"/>
      <c r="EU391" s="42"/>
      <c r="EV391" s="42"/>
      <c r="EW391" s="42"/>
      <c r="EX391" s="42"/>
      <c r="EY391" s="42"/>
      <c r="EZ391" s="42"/>
      <c r="FA391" s="42"/>
      <c r="FB391" s="42"/>
      <c r="FC391" s="42"/>
      <c r="FD391" s="42"/>
      <c r="FE391" s="42"/>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row>
    <row r="392" spans="1:256" ht="13.8" x14ac:dyDescent="0.3">
      <c r="A392" s="42"/>
      <c r="B392" s="42"/>
      <c r="C392" s="42"/>
      <c r="D392" s="42"/>
      <c r="E392" s="42"/>
      <c r="F392" s="42"/>
      <c r="G392" s="42"/>
      <c r="H392" s="42"/>
      <c r="I392" s="42"/>
      <c r="J392" s="42"/>
      <c r="K392" s="42"/>
      <c r="L392" s="42"/>
      <c r="M392" s="42"/>
      <c r="N392" s="42"/>
      <c r="O392" s="42"/>
      <c r="P392" s="42"/>
      <c r="Q392" s="42"/>
      <c r="R392" s="42"/>
      <c r="S392" s="42"/>
      <c r="T392" s="42"/>
      <c r="U392" s="194"/>
      <c r="V392" s="42"/>
      <c r="W392" s="42"/>
      <c r="X392" s="42"/>
      <c r="Y392" s="42"/>
      <c r="Z392" s="42"/>
      <c r="AA392" s="42"/>
      <c r="AB392" s="195"/>
      <c r="AC392" s="42"/>
      <c r="AD392" s="42"/>
      <c r="AE392" s="195"/>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c r="CG392" s="42"/>
      <c r="CH392" s="42"/>
      <c r="CI392" s="42"/>
      <c r="CJ392" s="42"/>
      <c r="CK392" s="42"/>
      <c r="CL392" s="42"/>
      <c r="CM392" s="42"/>
      <c r="CN392" s="42"/>
      <c r="CO392" s="42"/>
      <c r="CP392" s="42"/>
      <c r="CQ392" s="42"/>
      <c r="CR392" s="42"/>
      <c r="CS392" s="42"/>
      <c r="CT392" s="42"/>
      <c r="CU392" s="42"/>
      <c r="CV392" s="42"/>
      <c r="CW392" s="42"/>
      <c r="CX392" s="42"/>
      <c r="CY392" s="42"/>
      <c r="CZ392" s="42"/>
      <c r="DA392" s="42"/>
      <c r="DB392" s="42"/>
      <c r="DC392" s="42"/>
      <c r="DD392" s="42"/>
      <c r="DE392" s="42"/>
      <c r="DF392" s="42"/>
      <c r="DG392" s="42"/>
      <c r="DH392" s="42"/>
      <c r="DI392" s="42"/>
      <c r="DJ392" s="42"/>
      <c r="DK392" s="42"/>
      <c r="DL392" s="42"/>
      <c r="DM392" s="42"/>
      <c r="DN392" s="42"/>
      <c r="DO392" s="42"/>
      <c r="DP392" s="42"/>
      <c r="DQ392" s="42"/>
      <c r="DR392" s="42"/>
      <c r="DS392" s="42"/>
      <c r="DT392" s="42"/>
      <c r="DU392" s="42"/>
      <c r="DV392" s="42"/>
      <c r="DW392" s="42"/>
      <c r="DX392" s="42"/>
      <c r="DY392" s="42"/>
      <c r="DZ392" s="42"/>
      <c r="EA392" s="42"/>
      <c r="EB392" s="42"/>
      <c r="EC392" s="42"/>
      <c r="ED392" s="42"/>
      <c r="EE392" s="42"/>
      <c r="EF392" s="42"/>
      <c r="EG392" s="42"/>
      <c r="EH392" s="42"/>
      <c r="EI392" s="42"/>
      <c r="EJ392" s="42"/>
      <c r="EK392" s="42"/>
      <c r="EL392" s="42"/>
      <c r="EM392" s="42"/>
      <c r="EN392" s="42"/>
      <c r="EO392" s="42"/>
      <c r="EP392" s="42"/>
      <c r="EQ392" s="42"/>
      <c r="ER392" s="42"/>
      <c r="ES392" s="42"/>
      <c r="ET392" s="42"/>
      <c r="EU392" s="42"/>
      <c r="EV392" s="42"/>
      <c r="EW392" s="42"/>
      <c r="EX392" s="42"/>
      <c r="EY392" s="42"/>
      <c r="EZ392" s="42"/>
      <c r="FA392" s="42"/>
      <c r="FB392" s="42"/>
      <c r="FC392" s="42"/>
      <c r="FD392" s="42"/>
      <c r="FE392" s="42"/>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row>
    <row r="393" spans="1:256" ht="13.8" x14ac:dyDescent="0.3">
      <c r="A393" s="42"/>
      <c r="B393" s="42"/>
      <c r="C393" s="42"/>
      <c r="D393" s="42"/>
      <c r="E393" s="42"/>
      <c r="F393" s="42"/>
      <c r="G393" s="42"/>
      <c r="H393" s="42"/>
      <c r="I393" s="42"/>
      <c r="J393" s="42"/>
      <c r="K393" s="42"/>
      <c r="L393" s="42"/>
      <c r="M393" s="42"/>
      <c r="N393" s="42"/>
      <c r="O393" s="42"/>
      <c r="P393" s="42"/>
      <c r="Q393" s="42"/>
      <c r="R393" s="42"/>
      <c r="S393" s="42"/>
      <c r="T393" s="42"/>
      <c r="U393" s="194"/>
      <c r="V393" s="42"/>
      <c r="W393" s="42"/>
      <c r="X393" s="42"/>
      <c r="Y393" s="42"/>
      <c r="Z393" s="42"/>
      <c r="AA393" s="42"/>
      <c r="AB393" s="195"/>
      <c r="AC393" s="42"/>
      <c r="AD393" s="42"/>
      <c r="AE393" s="195"/>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c r="CG393" s="42"/>
      <c r="CH393" s="42"/>
      <c r="CI393" s="42"/>
      <c r="CJ393" s="42"/>
      <c r="CK393" s="42"/>
      <c r="CL393" s="42"/>
      <c r="CM393" s="42"/>
      <c r="CN393" s="42"/>
      <c r="CO393" s="42"/>
      <c r="CP393" s="42"/>
      <c r="CQ393" s="42"/>
      <c r="CR393" s="42"/>
      <c r="CS393" s="42"/>
      <c r="CT393" s="42"/>
      <c r="CU393" s="42"/>
      <c r="CV393" s="42"/>
      <c r="CW393" s="42"/>
      <c r="CX393" s="42"/>
      <c r="CY393" s="42"/>
      <c r="CZ393" s="42"/>
      <c r="DA393" s="42"/>
      <c r="DB393" s="42"/>
      <c r="DC393" s="42"/>
      <c r="DD393" s="42"/>
      <c r="DE393" s="42"/>
      <c r="DF393" s="42"/>
      <c r="DG393" s="42"/>
      <c r="DH393" s="42"/>
      <c r="DI393" s="42"/>
      <c r="DJ393" s="42"/>
      <c r="DK393" s="42"/>
      <c r="DL393" s="42"/>
      <c r="DM393" s="42"/>
      <c r="DN393" s="42"/>
      <c r="DO393" s="42"/>
      <c r="DP393" s="42"/>
      <c r="DQ393" s="42"/>
      <c r="DR393" s="42"/>
      <c r="DS393" s="42"/>
      <c r="DT393" s="42"/>
      <c r="DU393" s="42"/>
      <c r="DV393" s="42"/>
      <c r="DW393" s="42"/>
      <c r="DX393" s="42"/>
      <c r="DY393" s="42"/>
      <c r="DZ393" s="42"/>
      <c r="EA393" s="42"/>
      <c r="EB393" s="42"/>
      <c r="EC393" s="42"/>
      <c r="ED393" s="42"/>
      <c r="EE393" s="42"/>
      <c r="EF393" s="42"/>
      <c r="EG393" s="42"/>
      <c r="EH393" s="42"/>
      <c r="EI393" s="42"/>
      <c r="EJ393" s="42"/>
      <c r="EK393" s="42"/>
      <c r="EL393" s="42"/>
      <c r="EM393" s="42"/>
      <c r="EN393" s="42"/>
      <c r="EO393" s="42"/>
      <c r="EP393" s="42"/>
      <c r="EQ393" s="42"/>
      <c r="ER393" s="42"/>
      <c r="ES393" s="42"/>
      <c r="ET393" s="42"/>
      <c r="EU393" s="42"/>
      <c r="EV393" s="42"/>
      <c r="EW393" s="42"/>
      <c r="EX393" s="42"/>
      <c r="EY393" s="42"/>
      <c r="EZ393" s="42"/>
      <c r="FA393" s="42"/>
      <c r="FB393" s="42"/>
      <c r="FC393" s="42"/>
      <c r="FD393" s="42"/>
      <c r="FE393" s="42"/>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row>
    <row r="394" spans="1:256" ht="13.8" x14ac:dyDescent="0.3">
      <c r="A394" s="42"/>
      <c r="B394" s="42"/>
      <c r="C394" s="42"/>
      <c r="D394" s="42"/>
      <c r="E394" s="42"/>
      <c r="F394" s="42"/>
      <c r="G394" s="42"/>
      <c r="H394" s="42"/>
      <c r="I394" s="42"/>
      <c r="J394" s="42"/>
      <c r="K394" s="42"/>
      <c r="L394" s="42"/>
      <c r="M394" s="42"/>
      <c r="N394" s="42"/>
      <c r="O394" s="42"/>
      <c r="P394" s="42"/>
      <c r="Q394" s="42"/>
      <c r="R394" s="42"/>
      <c r="S394" s="42"/>
      <c r="T394" s="42"/>
      <c r="U394" s="194"/>
      <c r="V394" s="42"/>
      <c r="W394" s="42"/>
      <c r="X394" s="42"/>
      <c r="Y394" s="42"/>
      <c r="Z394" s="42"/>
      <c r="AA394" s="42"/>
      <c r="AB394" s="195"/>
      <c r="AC394" s="42"/>
      <c r="AD394" s="42"/>
      <c r="AE394" s="195"/>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c r="CG394" s="42"/>
      <c r="CH394" s="42"/>
      <c r="CI394" s="42"/>
      <c r="CJ394" s="42"/>
      <c r="CK394" s="42"/>
      <c r="CL394" s="42"/>
      <c r="CM394" s="42"/>
      <c r="CN394" s="42"/>
      <c r="CO394" s="42"/>
      <c r="CP394" s="42"/>
      <c r="CQ394" s="42"/>
      <c r="CR394" s="42"/>
      <c r="CS394" s="42"/>
      <c r="CT394" s="42"/>
      <c r="CU394" s="42"/>
      <c r="CV394" s="42"/>
      <c r="CW394" s="42"/>
      <c r="CX394" s="42"/>
      <c r="CY394" s="42"/>
      <c r="CZ394" s="42"/>
      <c r="DA394" s="42"/>
      <c r="DB394" s="42"/>
      <c r="DC394" s="42"/>
      <c r="DD394" s="42"/>
      <c r="DE394" s="42"/>
      <c r="DF394" s="42"/>
      <c r="DG394" s="42"/>
      <c r="DH394" s="42"/>
      <c r="DI394" s="42"/>
      <c r="DJ394" s="42"/>
      <c r="DK394" s="42"/>
      <c r="DL394" s="42"/>
      <c r="DM394" s="42"/>
      <c r="DN394" s="42"/>
      <c r="DO394" s="42"/>
      <c r="DP394" s="42"/>
      <c r="DQ394" s="42"/>
      <c r="DR394" s="42"/>
      <c r="DS394" s="42"/>
      <c r="DT394" s="42"/>
      <c r="DU394" s="42"/>
      <c r="DV394" s="42"/>
      <c r="DW394" s="42"/>
      <c r="DX394" s="42"/>
      <c r="DY394" s="42"/>
      <c r="DZ394" s="42"/>
      <c r="EA394" s="42"/>
      <c r="EB394" s="42"/>
      <c r="EC394" s="42"/>
      <c r="ED394" s="42"/>
      <c r="EE394" s="42"/>
      <c r="EF394" s="42"/>
      <c r="EG394" s="42"/>
      <c r="EH394" s="42"/>
      <c r="EI394" s="42"/>
      <c r="EJ394" s="42"/>
      <c r="EK394" s="42"/>
      <c r="EL394" s="42"/>
      <c r="EM394" s="42"/>
      <c r="EN394" s="42"/>
      <c r="EO394" s="42"/>
      <c r="EP394" s="42"/>
      <c r="EQ394" s="42"/>
      <c r="ER394" s="42"/>
      <c r="ES394" s="42"/>
      <c r="ET394" s="42"/>
      <c r="EU394" s="42"/>
      <c r="EV394" s="42"/>
      <c r="EW394" s="42"/>
      <c r="EX394" s="42"/>
      <c r="EY394" s="42"/>
      <c r="EZ394" s="42"/>
      <c r="FA394" s="42"/>
      <c r="FB394" s="42"/>
      <c r="FC394" s="42"/>
      <c r="FD394" s="42"/>
      <c r="FE394" s="42"/>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row>
    <row r="395" spans="1:256" ht="13.8" x14ac:dyDescent="0.3">
      <c r="A395" s="42"/>
      <c r="B395" s="42"/>
      <c r="C395" s="42"/>
      <c r="D395" s="42"/>
      <c r="E395" s="42"/>
      <c r="F395" s="42"/>
      <c r="G395" s="42"/>
      <c r="H395" s="42"/>
      <c r="I395" s="42"/>
      <c r="J395" s="42"/>
      <c r="K395" s="42"/>
      <c r="L395" s="42"/>
      <c r="M395" s="42"/>
      <c r="N395" s="42"/>
      <c r="O395" s="42"/>
      <c r="P395" s="42"/>
      <c r="Q395" s="42"/>
      <c r="R395" s="42"/>
      <c r="S395" s="42"/>
      <c r="T395" s="42"/>
      <c r="U395" s="194"/>
      <c r="V395" s="42"/>
      <c r="W395" s="42"/>
      <c r="X395" s="42"/>
      <c r="Y395" s="42"/>
      <c r="Z395" s="42"/>
      <c r="AA395" s="42"/>
      <c r="AB395" s="195"/>
      <c r="AC395" s="42"/>
      <c r="AD395" s="42"/>
      <c r="AE395" s="195"/>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c r="CG395" s="42"/>
      <c r="CH395" s="42"/>
      <c r="CI395" s="42"/>
      <c r="CJ395" s="42"/>
      <c r="CK395" s="42"/>
      <c r="CL395" s="42"/>
      <c r="CM395" s="42"/>
      <c r="CN395" s="42"/>
      <c r="CO395" s="42"/>
      <c r="CP395" s="42"/>
      <c r="CQ395" s="42"/>
      <c r="CR395" s="42"/>
      <c r="CS395" s="42"/>
      <c r="CT395" s="42"/>
      <c r="CU395" s="42"/>
      <c r="CV395" s="42"/>
      <c r="CW395" s="42"/>
      <c r="CX395" s="42"/>
      <c r="CY395" s="42"/>
      <c r="CZ395" s="42"/>
      <c r="DA395" s="42"/>
      <c r="DB395" s="42"/>
      <c r="DC395" s="42"/>
      <c r="DD395" s="42"/>
      <c r="DE395" s="42"/>
      <c r="DF395" s="42"/>
      <c r="DG395" s="42"/>
      <c r="DH395" s="42"/>
      <c r="DI395" s="42"/>
      <c r="DJ395" s="42"/>
      <c r="DK395" s="42"/>
      <c r="DL395" s="42"/>
      <c r="DM395" s="42"/>
      <c r="DN395" s="42"/>
      <c r="DO395" s="42"/>
      <c r="DP395" s="42"/>
      <c r="DQ395" s="42"/>
      <c r="DR395" s="42"/>
      <c r="DS395" s="42"/>
      <c r="DT395" s="42"/>
      <c r="DU395" s="42"/>
      <c r="DV395" s="42"/>
      <c r="DW395" s="42"/>
      <c r="DX395" s="42"/>
      <c r="DY395" s="42"/>
      <c r="DZ395" s="42"/>
      <c r="EA395" s="42"/>
      <c r="EB395" s="42"/>
      <c r="EC395" s="42"/>
      <c r="ED395" s="42"/>
      <c r="EE395" s="42"/>
      <c r="EF395" s="42"/>
      <c r="EG395" s="42"/>
      <c r="EH395" s="42"/>
      <c r="EI395" s="42"/>
      <c r="EJ395" s="42"/>
      <c r="EK395" s="42"/>
      <c r="EL395" s="42"/>
      <c r="EM395" s="42"/>
      <c r="EN395" s="42"/>
      <c r="EO395" s="42"/>
      <c r="EP395" s="42"/>
      <c r="EQ395" s="42"/>
      <c r="ER395" s="42"/>
      <c r="ES395" s="42"/>
      <c r="ET395" s="42"/>
      <c r="EU395" s="42"/>
      <c r="EV395" s="42"/>
      <c r="EW395" s="42"/>
      <c r="EX395" s="42"/>
      <c r="EY395" s="42"/>
      <c r="EZ395" s="42"/>
      <c r="FA395" s="42"/>
      <c r="FB395" s="42"/>
      <c r="FC395" s="42"/>
      <c r="FD395" s="42"/>
      <c r="FE395" s="42"/>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row>
    <row r="396" spans="1:256" ht="13.8" x14ac:dyDescent="0.3">
      <c r="A396" s="42"/>
      <c r="B396" s="42"/>
      <c r="C396" s="42"/>
      <c r="D396" s="42"/>
      <c r="E396" s="42"/>
      <c r="F396" s="42"/>
      <c r="G396" s="42"/>
      <c r="H396" s="42"/>
      <c r="I396" s="42"/>
      <c r="J396" s="42"/>
      <c r="K396" s="42"/>
      <c r="L396" s="42"/>
      <c r="M396" s="42"/>
      <c r="N396" s="42"/>
      <c r="O396" s="42"/>
      <c r="P396" s="42"/>
      <c r="Q396" s="42"/>
      <c r="R396" s="42"/>
      <c r="S396" s="42"/>
      <c r="T396" s="42"/>
      <c r="U396" s="194"/>
      <c r="V396" s="42"/>
      <c r="W396" s="42"/>
      <c r="X396" s="42"/>
      <c r="Y396" s="42"/>
      <c r="Z396" s="42"/>
      <c r="AA396" s="42"/>
      <c r="AB396" s="195"/>
      <c r="AC396" s="42"/>
      <c r="AD396" s="42"/>
      <c r="AE396" s="195"/>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c r="CG396" s="42"/>
      <c r="CH396" s="42"/>
      <c r="CI396" s="42"/>
      <c r="CJ396" s="42"/>
      <c r="CK396" s="42"/>
      <c r="CL396" s="42"/>
      <c r="CM396" s="42"/>
      <c r="CN396" s="42"/>
      <c r="CO396" s="42"/>
      <c r="CP396" s="42"/>
      <c r="CQ396" s="42"/>
      <c r="CR396" s="42"/>
      <c r="CS396" s="42"/>
      <c r="CT396" s="42"/>
      <c r="CU396" s="42"/>
      <c r="CV396" s="42"/>
      <c r="CW396" s="42"/>
      <c r="CX396" s="42"/>
      <c r="CY396" s="42"/>
      <c r="CZ396" s="42"/>
      <c r="DA396" s="42"/>
      <c r="DB396" s="42"/>
      <c r="DC396" s="42"/>
      <c r="DD396" s="42"/>
      <c r="DE396" s="42"/>
      <c r="DF396" s="42"/>
      <c r="DG396" s="42"/>
      <c r="DH396" s="42"/>
      <c r="DI396" s="42"/>
      <c r="DJ396" s="42"/>
      <c r="DK396" s="42"/>
      <c r="DL396" s="42"/>
      <c r="DM396" s="42"/>
      <c r="DN396" s="42"/>
      <c r="DO396" s="42"/>
      <c r="DP396" s="42"/>
      <c r="DQ396" s="42"/>
      <c r="DR396" s="42"/>
      <c r="DS396" s="42"/>
      <c r="DT396" s="42"/>
      <c r="DU396" s="42"/>
      <c r="DV396" s="42"/>
      <c r="DW396" s="42"/>
      <c r="DX396" s="42"/>
      <c r="DY396" s="42"/>
      <c r="DZ396" s="42"/>
      <c r="EA396" s="42"/>
      <c r="EB396" s="42"/>
      <c r="EC396" s="42"/>
      <c r="ED396" s="42"/>
      <c r="EE396" s="42"/>
      <c r="EF396" s="42"/>
      <c r="EG396" s="42"/>
      <c r="EH396" s="42"/>
      <c r="EI396" s="42"/>
      <c r="EJ396" s="42"/>
      <c r="EK396" s="42"/>
      <c r="EL396" s="42"/>
      <c r="EM396" s="42"/>
      <c r="EN396" s="42"/>
      <c r="EO396" s="42"/>
      <c r="EP396" s="42"/>
      <c r="EQ396" s="42"/>
      <c r="ER396" s="42"/>
      <c r="ES396" s="42"/>
      <c r="ET396" s="42"/>
      <c r="EU396" s="42"/>
      <c r="EV396" s="42"/>
      <c r="EW396" s="42"/>
      <c r="EX396" s="42"/>
      <c r="EY396" s="42"/>
      <c r="EZ396" s="42"/>
      <c r="FA396" s="42"/>
      <c r="FB396" s="42"/>
      <c r="FC396" s="42"/>
      <c r="FD396" s="42"/>
      <c r="FE396" s="42"/>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row>
    <row r="397" spans="1:256" ht="13.8" x14ac:dyDescent="0.3">
      <c r="A397" s="42"/>
      <c r="B397" s="42"/>
      <c r="C397" s="42"/>
      <c r="D397" s="42"/>
      <c r="E397" s="42"/>
      <c r="F397" s="42"/>
      <c r="G397" s="42"/>
      <c r="H397" s="42"/>
      <c r="I397" s="42"/>
      <c r="J397" s="42"/>
      <c r="K397" s="42"/>
      <c r="L397" s="42"/>
      <c r="M397" s="42"/>
      <c r="N397" s="42"/>
      <c r="O397" s="42"/>
      <c r="P397" s="42"/>
      <c r="Q397" s="42"/>
      <c r="R397" s="42"/>
      <c r="S397" s="42"/>
      <c r="T397" s="42"/>
      <c r="U397" s="194"/>
      <c r="V397" s="42"/>
      <c r="W397" s="42"/>
      <c r="X397" s="42"/>
      <c r="Y397" s="42"/>
      <c r="Z397" s="42"/>
      <c r="AA397" s="42"/>
      <c r="AB397" s="195"/>
      <c r="AC397" s="42"/>
      <c r="AD397" s="42"/>
      <c r="AE397" s="195"/>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c r="CG397" s="42"/>
      <c r="CH397" s="42"/>
      <c r="CI397" s="42"/>
      <c r="CJ397" s="42"/>
      <c r="CK397" s="42"/>
      <c r="CL397" s="42"/>
      <c r="CM397" s="42"/>
      <c r="CN397" s="42"/>
      <c r="CO397" s="42"/>
      <c r="CP397" s="42"/>
      <c r="CQ397" s="42"/>
      <c r="CR397" s="42"/>
      <c r="CS397" s="42"/>
      <c r="CT397" s="42"/>
      <c r="CU397" s="42"/>
      <c r="CV397" s="42"/>
      <c r="CW397" s="42"/>
      <c r="CX397" s="42"/>
      <c r="CY397" s="42"/>
      <c r="CZ397" s="42"/>
      <c r="DA397" s="42"/>
      <c r="DB397" s="42"/>
      <c r="DC397" s="42"/>
      <c r="DD397" s="42"/>
      <c r="DE397" s="42"/>
      <c r="DF397" s="42"/>
      <c r="DG397" s="42"/>
      <c r="DH397" s="42"/>
      <c r="DI397" s="42"/>
      <c r="DJ397" s="42"/>
      <c r="DK397" s="42"/>
      <c r="DL397" s="42"/>
      <c r="DM397" s="42"/>
      <c r="DN397" s="42"/>
      <c r="DO397" s="42"/>
      <c r="DP397" s="42"/>
      <c r="DQ397" s="42"/>
      <c r="DR397" s="42"/>
      <c r="DS397" s="42"/>
      <c r="DT397" s="42"/>
      <c r="DU397" s="42"/>
      <c r="DV397" s="42"/>
      <c r="DW397" s="42"/>
      <c r="DX397" s="42"/>
      <c r="DY397" s="42"/>
      <c r="DZ397" s="42"/>
      <c r="EA397" s="42"/>
      <c r="EB397" s="42"/>
      <c r="EC397" s="42"/>
      <c r="ED397" s="42"/>
      <c r="EE397" s="42"/>
      <c r="EF397" s="42"/>
      <c r="EG397" s="42"/>
      <c r="EH397" s="42"/>
      <c r="EI397" s="42"/>
      <c r="EJ397" s="42"/>
      <c r="EK397" s="42"/>
      <c r="EL397" s="42"/>
      <c r="EM397" s="42"/>
      <c r="EN397" s="42"/>
      <c r="EO397" s="42"/>
      <c r="EP397" s="42"/>
      <c r="EQ397" s="42"/>
      <c r="ER397" s="42"/>
      <c r="ES397" s="42"/>
      <c r="ET397" s="42"/>
      <c r="EU397" s="42"/>
      <c r="EV397" s="42"/>
      <c r="EW397" s="42"/>
      <c r="EX397" s="42"/>
      <c r="EY397" s="42"/>
      <c r="EZ397" s="42"/>
      <c r="FA397" s="42"/>
      <c r="FB397" s="42"/>
      <c r="FC397" s="42"/>
      <c r="FD397" s="42"/>
      <c r="FE397" s="42"/>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row>
    <row r="398" spans="1:256" ht="13.8" x14ac:dyDescent="0.3">
      <c r="A398" s="42"/>
      <c r="B398" s="42"/>
      <c r="C398" s="42"/>
      <c r="D398" s="42"/>
      <c r="E398" s="42"/>
      <c r="F398" s="42"/>
      <c r="G398" s="42"/>
      <c r="H398" s="42"/>
      <c r="I398" s="42"/>
      <c r="J398" s="42"/>
      <c r="K398" s="42"/>
      <c r="L398" s="42"/>
      <c r="M398" s="42"/>
      <c r="N398" s="42"/>
      <c r="O398" s="42"/>
      <c r="P398" s="42"/>
      <c r="Q398" s="42"/>
      <c r="R398" s="42"/>
      <c r="S398" s="42"/>
      <c r="T398" s="42"/>
      <c r="U398" s="194"/>
      <c r="V398" s="42"/>
      <c r="W398" s="42"/>
      <c r="X398" s="42"/>
      <c r="Y398" s="42"/>
      <c r="Z398" s="42"/>
      <c r="AA398" s="42"/>
      <c r="AB398" s="195"/>
      <c r="AC398" s="42"/>
      <c r="AD398" s="42"/>
      <c r="AE398" s="195"/>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c r="CG398" s="42"/>
      <c r="CH398" s="42"/>
      <c r="CI398" s="42"/>
      <c r="CJ398" s="42"/>
      <c r="CK398" s="42"/>
      <c r="CL398" s="42"/>
      <c r="CM398" s="42"/>
      <c r="CN398" s="42"/>
      <c r="CO398" s="42"/>
      <c r="CP398" s="42"/>
      <c r="CQ398" s="42"/>
      <c r="CR398" s="42"/>
      <c r="CS398" s="42"/>
      <c r="CT398" s="42"/>
      <c r="CU398" s="42"/>
      <c r="CV398" s="42"/>
      <c r="CW398" s="42"/>
      <c r="CX398" s="42"/>
      <c r="CY398" s="42"/>
      <c r="CZ398" s="42"/>
      <c r="DA398" s="42"/>
      <c r="DB398" s="42"/>
      <c r="DC398" s="42"/>
      <c r="DD398" s="42"/>
      <c r="DE398" s="42"/>
      <c r="DF398" s="42"/>
      <c r="DG398" s="42"/>
      <c r="DH398" s="42"/>
      <c r="DI398" s="42"/>
      <c r="DJ398" s="42"/>
      <c r="DK398" s="42"/>
      <c r="DL398" s="42"/>
      <c r="DM398" s="42"/>
      <c r="DN398" s="42"/>
      <c r="DO398" s="42"/>
      <c r="DP398" s="42"/>
      <c r="DQ398" s="42"/>
      <c r="DR398" s="42"/>
      <c r="DS398" s="42"/>
      <c r="DT398" s="42"/>
      <c r="DU398" s="42"/>
      <c r="DV398" s="42"/>
      <c r="DW398" s="42"/>
      <c r="DX398" s="42"/>
      <c r="DY398" s="42"/>
      <c r="DZ398" s="42"/>
      <c r="EA398" s="42"/>
      <c r="EB398" s="42"/>
      <c r="EC398" s="42"/>
      <c r="ED398" s="42"/>
      <c r="EE398" s="42"/>
      <c r="EF398" s="42"/>
      <c r="EG398" s="42"/>
      <c r="EH398" s="42"/>
      <c r="EI398" s="42"/>
      <c r="EJ398" s="42"/>
      <c r="EK398" s="42"/>
      <c r="EL398" s="42"/>
      <c r="EM398" s="42"/>
      <c r="EN398" s="42"/>
      <c r="EO398" s="42"/>
      <c r="EP398" s="42"/>
      <c r="EQ398" s="42"/>
      <c r="ER398" s="42"/>
      <c r="ES398" s="42"/>
      <c r="ET398" s="42"/>
      <c r="EU398" s="42"/>
      <c r="EV398" s="42"/>
      <c r="EW398" s="42"/>
      <c r="EX398" s="42"/>
      <c r="EY398" s="42"/>
      <c r="EZ398" s="42"/>
      <c r="FA398" s="42"/>
      <c r="FB398" s="42"/>
      <c r="FC398" s="42"/>
      <c r="FD398" s="42"/>
      <c r="FE398" s="42"/>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row>
    <row r="399" spans="1:256" ht="13.8" x14ac:dyDescent="0.3">
      <c r="A399" s="42"/>
      <c r="B399" s="42"/>
      <c r="C399" s="42"/>
      <c r="D399" s="42"/>
      <c r="E399" s="42"/>
      <c r="F399" s="42"/>
      <c r="G399" s="42"/>
      <c r="H399" s="42"/>
      <c r="I399" s="42"/>
      <c r="J399" s="42"/>
      <c r="K399" s="42"/>
      <c r="L399" s="42"/>
      <c r="M399" s="42"/>
      <c r="N399" s="42"/>
      <c r="O399" s="42"/>
      <c r="P399" s="42"/>
      <c r="Q399" s="42"/>
      <c r="R399" s="42"/>
      <c r="S399" s="42"/>
      <c r="T399" s="42"/>
      <c r="U399" s="194"/>
      <c r="V399" s="42"/>
      <c r="W399" s="42"/>
      <c r="X399" s="42"/>
      <c r="Y399" s="42"/>
      <c r="Z399" s="42"/>
      <c r="AA399" s="42"/>
      <c r="AB399" s="195"/>
      <c r="AC399" s="42"/>
      <c r="AD399" s="42"/>
      <c r="AE399" s="195"/>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c r="CG399" s="42"/>
      <c r="CH399" s="42"/>
      <c r="CI399" s="42"/>
      <c r="CJ399" s="42"/>
      <c r="CK399" s="42"/>
      <c r="CL399" s="42"/>
      <c r="CM399" s="42"/>
      <c r="CN399" s="42"/>
      <c r="CO399" s="42"/>
      <c r="CP399" s="42"/>
      <c r="CQ399" s="42"/>
      <c r="CR399" s="42"/>
      <c r="CS399" s="42"/>
      <c r="CT399" s="42"/>
      <c r="CU399" s="42"/>
      <c r="CV399" s="42"/>
      <c r="CW399" s="42"/>
      <c r="CX399" s="42"/>
      <c r="CY399" s="42"/>
      <c r="CZ399" s="42"/>
      <c r="DA399" s="42"/>
      <c r="DB399" s="42"/>
      <c r="DC399" s="42"/>
      <c r="DD399" s="42"/>
      <c r="DE399" s="42"/>
      <c r="DF399" s="42"/>
      <c r="DG399" s="42"/>
      <c r="DH399" s="42"/>
      <c r="DI399" s="42"/>
      <c r="DJ399" s="42"/>
      <c r="DK399" s="42"/>
      <c r="DL399" s="42"/>
      <c r="DM399" s="42"/>
      <c r="DN399" s="42"/>
      <c r="DO399" s="42"/>
      <c r="DP399" s="42"/>
      <c r="DQ399" s="42"/>
      <c r="DR399" s="42"/>
      <c r="DS399" s="42"/>
      <c r="DT399" s="42"/>
      <c r="DU399" s="42"/>
      <c r="DV399" s="42"/>
      <c r="DW399" s="42"/>
      <c r="DX399" s="42"/>
      <c r="DY399" s="42"/>
      <c r="DZ399" s="42"/>
      <c r="EA399" s="42"/>
      <c r="EB399" s="42"/>
      <c r="EC399" s="42"/>
      <c r="ED399" s="42"/>
      <c r="EE399" s="42"/>
      <c r="EF399" s="42"/>
      <c r="EG399" s="42"/>
      <c r="EH399" s="42"/>
      <c r="EI399" s="42"/>
      <c r="EJ399" s="42"/>
      <c r="EK399" s="42"/>
      <c r="EL399" s="42"/>
      <c r="EM399" s="42"/>
      <c r="EN399" s="42"/>
      <c r="EO399" s="42"/>
      <c r="EP399" s="42"/>
      <c r="EQ399" s="42"/>
      <c r="ER399" s="42"/>
      <c r="ES399" s="42"/>
      <c r="ET399" s="42"/>
      <c r="EU399" s="42"/>
      <c r="EV399" s="42"/>
      <c r="EW399" s="42"/>
      <c r="EX399" s="42"/>
      <c r="EY399" s="42"/>
      <c r="EZ399" s="42"/>
      <c r="FA399" s="42"/>
      <c r="FB399" s="42"/>
      <c r="FC399" s="42"/>
      <c r="FD399" s="42"/>
      <c r="FE399" s="42"/>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row>
    <row r="400" spans="1:256" ht="13.8" x14ac:dyDescent="0.3">
      <c r="A400" s="42"/>
      <c r="B400" s="42"/>
      <c r="C400" s="42"/>
      <c r="D400" s="42"/>
      <c r="E400" s="42"/>
      <c r="F400" s="42"/>
      <c r="G400" s="42"/>
      <c r="H400" s="42"/>
      <c r="I400" s="42"/>
      <c r="J400" s="42"/>
      <c r="K400" s="42"/>
      <c r="L400" s="42"/>
      <c r="M400" s="42"/>
      <c r="N400" s="42"/>
      <c r="O400" s="42"/>
      <c r="P400" s="42"/>
      <c r="Q400" s="42"/>
      <c r="R400" s="42"/>
      <c r="S400" s="42"/>
      <c r="T400" s="42"/>
      <c r="U400" s="194"/>
      <c r="V400" s="42"/>
      <c r="W400" s="42"/>
      <c r="X400" s="42"/>
      <c r="Y400" s="42"/>
      <c r="Z400" s="42"/>
      <c r="AA400" s="42"/>
      <c r="AB400" s="195"/>
      <c r="AC400" s="42"/>
      <c r="AD400" s="42"/>
      <c r="AE400" s="195"/>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c r="CG400" s="42"/>
      <c r="CH400" s="42"/>
      <c r="CI400" s="42"/>
      <c r="CJ400" s="42"/>
      <c r="CK400" s="42"/>
      <c r="CL400" s="42"/>
      <c r="CM400" s="42"/>
      <c r="CN400" s="42"/>
      <c r="CO400" s="42"/>
      <c r="CP400" s="42"/>
      <c r="CQ400" s="42"/>
      <c r="CR400" s="42"/>
      <c r="CS400" s="42"/>
      <c r="CT400" s="42"/>
      <c r="CU400" s="42"/>
      <c r="CV400" s="42"/>
      <c r="CW400" s="42"/>
      <c r="CX400" s="42"/>
      <c r="CY400" s="42"/>
      <c r="CZ400" s="42"/>
      <c r="DA400" s="42"/>
      <c r="DB400" s="42"/>
      <c r="DC400" s="42"/>
      <c r="DD400" s="42"/>
      <c r="DE400" s="42"/>
      <c r="DF400" s="42"/>
      <c r="DG400" s="42"/>
      <c r="DH400" s="42"/>
      <c r="DI400" s="42"/>
      <c r="DJ400" s="42"/>
      <c r="DK400" s="42"/>
      <c r="DL400" s="42"/>
      <c r="DM400" s="42"/>
      <c r="DN400" s="42"/>
      <c r="DO400" s="42"/>
      <c r="DP400" s="42"/>
      <c r="DQ400" s="42"/>
      <c r="DR400" s="42"/>
      <c r="DS400" s="42"/>
      <c r="DT400" s="42"/>
      <c r="DU400" s="42"/>
      <c r="DV400" s="42"/>
      <c r="DW400" s="42"/>
      <c r="DX400" s="42"/>
      <c r="DY400" s="42"/>
      <c r="DZ400" s="42"/>
      <c r="EA400" s="42"/>
      <c r="EB400" s="42"/>
      <c r="EC400" s="42"/>
      <c r="ED400" s="42"/>
      <c r="EE400" s="42"/>
      <c r="EF400" s="42"/>
      <c r="EG400" s="42"/>
      <c r="EH400" s="42"/>
      <c r="EI400" s="42"/>
      <c r="EJ400" s="42"/>
      <c r="EK400" s="42"/>
      <c r="EL400" s="42"/>
      <c r="EM400" s="42"/>
      <c r="EN400" s="42"/>
      <c r="EO400" s="42"/>
      <c r="EP400" s="42"/>
      <c r="EQ400" s="42"/>
      <c r="ER400" s="42"/>
      <c r="ES400" s="42"/>
      <c r="ET400" s="42"/>
      <c r="EU400" s="42"/>
      <c r="EV400" s="42"/>
      <c r="EW400" s="42"/>
      <c r="EX400" s="42"/>
      <c r="EY400" s="42"/>
      <c r="EZ400" s="42"/>
      <c r="FA400" s="42"/>
      <c r="FB400" s="42"/>
      <c r="FC400" s="42"/>
      <c r="FD400" s="42"/>
      <c r="FE400" s="42"/>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row>
    <row r="401" spans="1:256" ht="13.8" x14ac:dyDescent="0.3">
      <c r="A401" s="42"/>
      <c r="B401" s="42"/>
      <c r="C401" s="42"/>
      <c r="D401" s="42"/>
      <c r="E401" s="42"/>
      <c r="F401" s="42"/>
      <c r="G401" s="42"/>
      <c r="H401" s="42"/>
      <c r="I401" s="42"/>
      <c r="J401" s="42"/>
      <c r="K401" s="42"/>
      <c r="L401" s="42"/>
      <c r="M401" s="42"/>
      <c r="N401" s="42"/>
      <c r="O401" s="42"/>
      <c r="P401" s="42"/>
      <c r="Q401" s="42"/>
      <c r="R401" s="42"/>
      <c r="S401" s="42"/>
      <c r="T401" s="42"/>
      <c r="U401" s="194"/>
      <c r="V401" s="42"/>
      <c r="W401" s="42"/>
      <c r="X401" s="42"/>
      <c r="Y401" s="42"/>
      <c r="Z401" s="42"/>
      <c r="AA401" s="42"/>
      <c r="AB401" s="195"/>
      <c r="AC401" s="42"/>
      <c r="AD401" s="42"/>
      <c r="AE401" s="195"/>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c r="CG401" s="42"/>
      <c r="CH401" s="42"/>
      <c r="CI401" s="42"/>
      <c r="CJ401" s="42"/>
      <c r="CK401" s="42"/>
      <c r="CL401" s="42"/>
      <c r="CM401" s="42"/>
      <c r="CN401" s="42"/>
      <c r="CO401" s="42"/>
      <c r="CP401" s="42"/>
      <c r="CQ401" s="42"/>
      <c r="CR401" s="42"/>
      <c r="CS401" s="42"/>
      <c r="CT401" s="42"/>
      <c r="CU401" s="42"/>
      <c r="CV401" s="42"/>
      <c r="CW401" s="42"/>
      <c r="CX401" s="42"/>
      <c r="CY401" s="42"/>
      <c r="CZ401" s="42"/>
      <c r="DA401" s="42"/>
      <c r="DB401" s="42"/>
      <c r="DC401" s="42"/>
      <c r="DD401" s="42"/>
      <c r="DE401" s="42"/>
      <c r="DF401" s="42"/>
      <c r="DG401" s="42"/>
      <c r="DH401" s="42"/>
      <c r="DI401" s="42"/>
      <c r="DJ401" s="42"/>
      <c r="DK401" s="42"/>
      <c r="DL401" s="42"/>
      <c r="DM401" s="42"/>
      <c r="DN401" s="42"/>
      <c r="DO401" s="42"/>
      <c r="DP401" s="42"/>
      <c r="DQ401" s="42"/>
      <c r="DR401" s="42"/>
      <c r="DS401" s="42"/>
      <c r="DT401" s="42"/>
      <c r="DU401" s="42"/>
      <c r="DV401" s="42"/>
      <c r="DW401" s="42"/>
      <c r="DX401" s="42"/>
      <c r="DY401" s="42"/>
      <c r="DZ401" s="42"/>
      <c r="EA401" s="42"/>
      <c r="EB401" s="42"/>
      <c r="EC401" s="42"/>
      <c r="ED401" s="42"/>
      <c r="EE401" s="42"/>
      <c r="EF401" s="42"/>
      <c r="EG401" s="42"/>
      <c r="EH401" s="42"/>
      <c r="EI401" s="42"/>
      <c r="EJ401" s="42"/>
      <c r="EK401" s="42"/>
      <c r="EL401" s="42"/>
      <c r="EM401" s="42"/>
      <c r="EN401" s="42"/>
      <c r="EO401" s="42"/>
      <c r="EP401" s="42"/>
      <c r="EQ401" s="42"/>
      <c r="ER401" s="42"/>
      <c r="ES401" s="42"/>
      <c r="ET401" s="42"/>
      <c r="EU401" s="42"/>
      <c r="EV401" s="42"/>
      <c r="EW401" s="42"/>
      <c r="EX401" s="42"/>
      <c r="EY401" s="42"/>
      <c r="EZ401" s="42"/>
      <c r="FA401" s="42"/>
      <c r="FB401" s="42"/>
      <c r="FC401" s="42"/>
      <c r="FD401" s="42"/>
      <c r="FE401" s="42"/>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row>
    <row r="402" spans="1:256" ht="13.8" x14ac:dyDescent="0.3">
      <c r="A402" s="42"/>
      <c r="B402" s="42"/>
      <c r="C402" s="42"/>
      <c r="D402" s="42"/>
      <c r="E402" s="42"/>
      <c r="F402" s="42"/>
      <c r="G402" s="42"/>
      <c r="H402" s="42"/>
      <c r="I402" s="42"/>
      <c r="J402" s="42"/>
      <c r="K402" s="42"/>
      <c r="L402" s="42"/>
      <c r="M402" s="42"/>
      <c r="N402" s="42"/>
      <c r="O402" s="42"/>
      <c r="P402" s="42"/>
      <c r="Q402" s="42"/>
      <c r="R402" s="42"/>
      <c r="S402" s="42"/>
      <c r="T402" s="42"/>
      <c r="U402" s="194"/>
      <c r="V402" s="42"/>
      <c r="W402" s="42"/>
      <c r="X402" s="42"/>
      <c r="Y402" s="42"/>
      <c r="Z402" s="42"/>
      <c r="AA402" s="42"/>
      <c r="AB402" s="195"/>
      <c r="AC402" s="42"/>
      <c r="AD402" s="42"/>
      <c r="AE402" s="195"/>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c r="CG402" s="42"/>
      <c r="CH402" s="42"/>
      <c r="CI402" s="42"/>
      <c r="CJ402" s="42"/>
      <c r="CK402" s="42"/>
      <c r="CL402" s="42"/>
      <c r="CM402" s="42"/>
      <c r="CN402" s="42"/>
      <c r="CO402" s="42"/>
      <c r="CP402" s="42"/>
      <c r="CQ402" s="42"/>
      <c r="CR402" s="42"/>
      <c r="CS402" s="42"/>
      <c r="CT402" s="42"/>
      <c r="CU402" s="42"/>
      <c r="CV402" s="42"/>
      <c r="CW402" s="42"/>
      <c r="CX402" s="42"/>
      <c r="CY402" s="42"/>
      <c r="CZ402" s="42"/>
      <c r="DA402" s="42"/>
      <c r="DB402" s="42"/>
      <c r="DC402" s="42"/>
      <c r="DD402" s="42"/>
      <c r="DE402" s="42"/>
      <c r="DF402" s="42"/>
      <c r="DG402" s="42"/>
      <c r="DH402" s="42"/>
      <c r="DI402" s="42"/>
      <c r="DJ402" s="42"/>
      <c r="DK402" s="42"/>
      <c r="DL402" s="42"/>
      <c r="DM402" s="42"/>
      <c r="DN402" s="42"/>
      <c r="DO402" s="42"/>
      <c r="DP402" s="42"/>
      <c r="DQ402" s="42"/>
      <c r="DR402" s="42"/>
      <c r="DS402" s="42"/>
      <c r="DT402" s="42"/>
      <c r="DU402" s="42"/>
      <c r="DV402" s="42"/>
      <c r="DW402" s="42"/>
      <c r="DX402" s="42"/>
      <c r="DY402" s="42"/>
      <c r="DZ402" s="42"/>
      <c r="EA402" s="42"/>
      <c r="EB402" s="42"/>
      <c r="EC402" s="42"/>
      <c r="ED402" s="42"/>
      <c r="EE402" s="42"/>
      <c r="EF402" s="42"/>
      <c r="EG402" s="42"/>
      <c r="EH402" s="42"/>
      <c r="EI402" s="42"/>
      <c r="EJ402" s="42"/>
      <c r="EK402" s="42"/>
      <c r="EL402" s="42"/>
      <c r="EM402" s="42"/>
      <c r="EN402" s="42"/>
      <c r="EO402" s="42"/>
      <c r="EP402" s="42"/>
      <c r="EQ402" s="42"/>
      <c r="ER402" s="42"/>
      <c r="ES402" s="42"/>
      <c r="ET402" s="42"/>
      <c r="EU402" s="42"/>
      <c r="EV402" s="42"/>
      <c r="EW402" s="42"/>
      <c r="EX402" s="42"/>
      <c r="EY402" s="42"/>
      <c r="EZ402" s="42"/>
      <c r="FA402" s="42"/>
      <c r="FB402" s="42"/>
      <c r="FC402" s="42"/>
      <c r="FD402" s="42"/>
      <c r="FE402" s="42"/>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row>
    <row r="403" spans="1:256" ht="13.8" x14ac:dyDescent="0.3">
      <c r="A403" s="42"/>
      <c r="B403" s="42"/>
      <c r="C403" s="42"/>
      <c r="D403" s="42"/>
      <c r="E403" s="42"/>
      <c r="F403" s="42"/>
      <c r="G403" s="42"/>
      <c r="H403" s="42"/>
      <c r="I403" s="42"/>
      <c r="J403" s="42"/>
      <c r="K403" s="42"/>
      <c r="L403" s="42"/>
      <c r="M403" s="42"/>
      <c r="N403" s="42"/>
      <c r="O403" s="42"/>
      <c r="P403" s="42"/>
      <c r="Q403" s="42"/>
      <c r="R403" s="42"/>
      <c r="S403" s="42"/>
      <c r="T403" s="42"/>
      <c r="U403" s="194"/>
      <c r="V403" s="42"/>
      <c r="W403" s="42"/>
      <c r="X403" s="42"/>
      <c r="Y403" s="42"/>
      <c r="Z403" s="42"/>
      <c r="AA403" s="42"/>
      <c r="AB403" s="195"/>
      <c r="AC403" s="42"/>
      <c r="AD403" s="42"/>
      <c r="AE403" s="195"/>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c r="CG403" s="42"/>
      <c r="CH403" s="42"/>
      <c r="CI403" s="42"/>
      <c r="CJ403" s="42"/>
      <c r="CK403" s="42"/>
      <c r="CL403" s="42"/>
      <c r="CM403" s="42"/>
      <c r="CN403" s="42"/>
      <c r="CO403" s="42"/>
      <c r="CP403" s="42"/>
      <c r="CQ403" s="42"/>
      <c r="CR403" s="42"/>
      <c r="CS403" s="42"/>
      <c r="CT403" s="42"/>
      <c r="CU403" s="42"/>
      <c r="CV403" s="42"/>
      <c r="CW403" s="42"/>
      <c r="CX403" s="42"/>
      <c r="CY403" s="42"/>
      <c r="CZ403" s="42"/>
      <c r="DA403" s="42"/>
      <c r="DB403" s="42"/>
      <c r="DC403" s="42"/>
      <c r="DD403" s="42"/>
      <c r="DE403" s="42"/>
      <c r="DF403" s="42"/>
      <c r="DG403" s="42"/>
      <c r="DH403" s="42"/>
      <c r="DI403" s="42"/>
      <c r="DJ403" s="42"/>
      <c r="DK403" s="42"/>
      <c r="DL403" s="42"/>
      <c r="DM403" s="42"/>
      <c r="DN403" s="42"/>
      <c r="DO403" s="42"/>
      <c r="DP403" s="42"/>
      <c r="DQ403" s="42"/>
      <c r="DR403" s="42"/>
      <c r="DS403" s="42"/>
      <c r="DT403" s="42"/>
      <c r="DU403" s="42"/>
      <c r="DV403" s="42"/>
      <c r="DW403" s="42"/>
      <c r="DX403" s="42"/>
      <c r="DY403" s="42"/>
      <c r="DZ403" s="42"/>
      <c r="EA403" s="42"/>
      <c r="EB403" s="42"/>
      <c r="EC403" s="42"/>
      <c r="ED403" s="42"/>
      <c r="EE403" s="42"/>
      <c r="EF403" s="42"/>
      <c r="EG403" s="42"/>
      <c r="EH403" s="42"/>
      <c r="EI403" s="42"/>
      <c r="EJ403" s="42"/>
      <c r="EK403" s="42"/>
      <c r="EL403" s="42"/>
      <c r="EM403" s="42"/>
      <c r="EN403" s="42"/>
      <c r="EO403" s="42"/>
      <c r="EP403" s="42"/>
      <c r="EQ403" s="42"/>
      <c r="ER403" s="42"/>
      <c r="ES403" s="42"/>
      <c r="ET403" s="42"/>
      <c r="EU403" s="42"/>
      <c r="EV403" s="42"/>
      <c r="EW403" s="42"/>
      <c r="EX403" s="42"/>
      <c r="EY403" s="42"/>
      <c r="EZ403" s="42"/>
      <c r="FA403" s="42"/>
      <c r="FB403" s="42"/>
      <c r="FC403" s="42"/>
      <c r="FD403" s="42"/>
      <c r="FE403" s="42"/>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row>
    <row r="404" spans="1:256" ht="13.8" x14ac:dyDescent="0.3">
      <c r="A404" s="42"/>
      <c r="B404" s="42"/>
      <c r="C404" s="42"/>
      <c r="D404" s="42"/>
      <c r="E404" s="42"/>
      <c r="F404" s="42"/>
      <c r="G404" s="42"/>
      <c r="H404" s="42"/>
      <c r="I404" s="42"/>
      <c r="J404" s="42"/>
      <c r="K404" s="42"/>
      <c r="L404" s="42"/>
      <c r="M404" s="42"/>
      <c r="N404" s="42"/>
      <c r="O404" s="42"/>
      <c r="P404" s="42"/>
      <c r="Q404" s="42"/>
      <c r="R404" s="42"/>
      <c r="S404" s="42"/>
      <c r="T404" s="42"/>
      <c r="U404" s="194"/>
      <c r="V404" s="42"/>
      <c r="W404" s="42"/>
      <c r="X404" s="42"/>
      <c r="Y404" s="42"/>
      <c r="Z404" s="42"/>
      <c r="AA404" s="42"/>
      <c r="AB404" s="195"/>
      <c r="AC404" s="42"/>
      <c r="AD404" s="42"/>
      <c r="AE404" s="195"/>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c r="CG404" s="42"/>
      <c r="CH404" s="42"/>
      <c r="CI404" s="42"/>
      <c r="CJ404" s="42"/>
      <c r="CK404" s="42"/>
      <c r="CL404" s="42"/>
      <c r="CM404" s="42"/>
      <c r="CN404" s="42"/>
      <c r="CO404" s="42"/>
      <c r="CP404" s="42"/>
      <c r="CQ404" s="42"/>
      <c r="CR404" s="42"/>
      <c r="CS404" s="42"/>
      <c r="CT404" s="42"/>
      <c r="CU404" s="42"/>
      <c r="CV404" s="42"/>
      <c r="CW404" s="42"/>
      <c r="CX404" s="42"/>
      <c r="CY404" s="42"/>
      <c r="CZ404" s="42"/>
      <c r="DA404" s="42"/>
      <c r="DB404" s="42"/>
      <c r="DC404" s="42"/>
      <c r="DD404" s="42"/>
      <c r="DE404" s="42"/>
      <c r="DF404" s="42"/>
      <c r="DG404" s="42"/>
      <c r="DH404" s="42"/>
      <c r="DI404" s="42"/>
      <c r="DJ404" s="42"/>
      <c r="DK404" s="42"/>
      <c r="DL404" s="42"/>
      <c r="DM404" s="42"/>
      <c r="DN404" s="42"/>
      <c r="DO404" s="42"/>
      <c r="DP404" s="42"/>
      <c r="DQ404" s="42"/>
      <c r="DR404" s="42"/>
      <c r="DS404" s="42"/>
      <c r="DT404" s="42"/>
      <c r="DU404" s="42"/>
      <c r="DV404" s="42"/>
      <c r="DW404" s="42"/>
      <c r="DX404" s="42"/>
      <c r="DY404" s="42"/>
      <c r="DZ404" s="42"/>
      <c r="EA404" s="42"/>
      <c r="EB404" s="42"/>
      <c r="EC404" s="42"/>
      <c r="ED404" s="42"/>
      <c r="EE404" s="42"/>
      <c r="EF404" s="42"/>
      <c r="EG404" s="42"/>
      <c r="EH404" s="42"/>
      <c r="EI404" s="42"/>
      <c r="EJ404" s="42"/>
      <c r="EK404" s="42"/>
      <c r="EL404" s="42"/>
      <c r="EM404" s="42"/>
      <c r="EN404" s="42"/>
      <c r="EO404" s="42"/>
      <c r="EP404" s="42"/>
      <c r="EQ404" s="42"/>
      <c r="ER404" s="42"/>
      <c r="ES404" s="42"/>
      <c r="ET404" s="42"/>
      <c r="EU404" s="42"/>
      <c r="EV404" s="42"/>
      <c r="EW404" s="42"/>
      <c r="EX404" s="42"/>
      <c r="EY404" s="42"/>
      <c r="EZ404" s="42"/>
      <c r="FA404" s="42"/>
      <c r="FB404" s="42"/>
      <c r="FC404" s="42"/>
      <c r="FD404" s="42"/>
      <c r="FE404" s="42"/>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row>
    <row r="405" spans="1:256" ht="13.8" x14ac:dyDescent="0.3">
      <c r="A405" s="42"/>
      <c r="B405" s="42"/>
      <c r="C405" s="42"/>
      <c r="D405" s="42"/>
      <c r="E405" s="42"/>
      <c r="F405" s="42"/>
      <c r="G405" s="42"/>
      <c r="H405" s="42"/>
      <c r="I405" s="42"/>
      <c r="J405" s="42"/>
      <c r="K405" s="42"/>
      <c r="L405" s="42"/>
      <c r="M405" s="42"/>
      <c r="N405" s="42"/>
      <c r="O405" s="42"/>
      <c r="P405" s="42"/>
      <c r="Q405" s="42"/>
      <c r="R405" s="42"/>
      <c r="S405" s="42"/>
      <c r="T405" s="42"/>
      <c r="U405" s="194"/>
      <c r="V405" s="42"/>
      <c r="W405" s="42"/>
      <c r="X405" s="42"/>
      <c r="Y405" s="42"/>
      <c r="Z405" s="42"/>
      <c r="AA405" s="42"/>
      <c r="AB405" s="195"/>
      <c r="AC405" s="42"/>
      <c r="AD405" s="42"/>
      <c r="AE405" s="195"/>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c r="CG405" s="42"/>
      <c r="CH405" s="42"/>
      <c r="CI405" s="42"/>
      <c r="CJ405" s="42"/>
      <c r="CK405" s="42"/>
      <c r="CL405" s="42"/>
      <c r="CM405" s="42"/>
      <c r="CN405" s="42"/>
      <c r="CO405" s="42"/>
      <c r="CP405" s="42"/>
      <c r="CQ405" s="42"/>
      <c r="CR405" s="42"/>
      <c r="CS405" s="42"/>
      <c r="CT405" s="42"/>
      <c r="CU405" s="42"/>
      <c r="CV405" s="42"/>
      <c r="CW405" s="42"/>
      <c r="CX405" s="42"/>
      <c r="CY405" s="42"/>
      <c r="CZ405" s="42"/>
      <c r="DA405" s="42"/>
      <c r="DB405" s="42"/>
      <c r="DC405" s="42"/>
      <c r="DD405" s="42"/>
      <c r="DE405" s="42"/>
      <c r="DF405" s="42"/>
      <c r="DG405" s="42"/>
      <c r="DH405" s="42"/>
      <c r="DI405" s="42"/>
      <c r="DJ405" s="42"/>
      <c r="DK405" s="42"/>
      <c r="DL405" s="42"/>
      <c r="DM405" s="42"/>
      <c r="DN405" s="42"/>
      <c r="DO405" s="42"/>
      <c r="DP405" s="42"/>
      <c r="DQ405" s="42"/>
      <c r="DR405" s="42"/>
      <c r="DS405" s="42"/>
      <c r="DT405" s="42"/>
      <c r="DU405" s="42"/>
      <c r="DV405" s="42"/>
      <c r="DW405" s="42"/>
      <c r="DX405" s="42"/>
      <c r="DY405" s="42"/>
      <c r="DZ405" s="42"/>
      <c r="EA405" s="42"/>
      <c r="EB405" s="42"/>
      <c r="EC405" s="42"/>
      <c r="ED405" s="42"/>
      <c r="EE405" s="42"/>
      <c r="EF405" s="42"/>
      <c r="EG405" s="42"/>
      <c r="EH405" s="42"/>
      <c r="EI405" s="42"/>
      <c r="EJ405" s="42"/>
      <c r="EK405" s="42"/>
      <c r="EL405" s="42"/>
      <c r="EM405" s="42"/>
      <c r="EN405" s="42"/>
      <c r="EO405" s="42"/>
      <c r="EP405" s="42"/>
      <c r="EQ405" s="42"/>
      <c r="ER405" s="42"/>
      <c r="ES405" s="42"/>
      <c r="ET405" s="42"/>
      <c r="EU405" s="42"/>
      <c r="EV405" s="42"/>
      <c r="EW405" s="42"/>
      <c r="EX405" s="42"/>
      <c r="EY405" s="42"/>
      <c r="EZ405" s="42"/>
      <c r="FA405" s="42"/>
      <c r="FB405" s="42"/>
      <c r="FC405" s="42"/>
      <c r="FD405" s="42"/>
      <c r="FE405" s="42"/>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row>
    <row r="406" spans="1:256" ht="13.8" x14ac:dyDescent="0.3">
      <c r="A406" s="42"/>
      <c r="B406" s="42"/>
      <c r="C406" s="42"/>
      <c r="D406" s="42"/>
      <c r="E406" s="42"/>
      <c r="F406" s="42"/>
      <c r="G406" s="42"/>
      <c r="H406" s="42"/>
      <c r="I406" s="42"/>
      <c r="J406" s="42"/>
      <c r="K406" s="42"/>
      <c r="L406" s="42"/>
      <c r="M406" s="42"/>
      <c r="N406" s="42"/>
      <c r="O406" s="42"/>
      <c r="P406" s="42"/>
      <c r="Q406" s="42"/>
      <c r="R406" s="42"/>
      <c r="S406" s="42"/>
      <c r="T406" s="42"/>
      <c r="U406" s="194"/>
      <c r="V406" s="42"/>
      <c r="W406" s="42"/>
      <c r="X406" s="42"/>
      <c r="Y406" s="42"/>
      <c r="Z406" s="42"/>
      <c r="AA406" s="42"/>
      <c r="AB406" s="195"/>
      <c r="AC406" s="42"/>
      <c r="AD406" s="42"/>
      <c r="AE406" s="195"/>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c r="CG406" s="42"/>
      <c r="CH406" s="42"/>
      <c r="CI406" s="42"/>
      <c r="CJ406" s="42"/>
      <c r="CK406" s="42"/>
      <c r="CL406" s="42"/>
      <c r="CM406" s="42"/>
      <c r="CN406" s="42"/>
      <c r="CO406" s="42"/>
      <c r="CP406" s="42"/>
      <c r="CQ406" s="42"/>
      <c r="CR406" s="42"/>
      <c r="CS406" s="42"/>
      <c r="CT406" s="42"/>
      <c r="CU406" s="42"/>
      <c r="CV406" s="42"/>
      <c r="CW406" s="42"/>
      <c r="CX406" s="42"/>
      <c r="CY406" s="42"/>
      <c r="CZ406" s="42"/>
      <c r="DA406" s="42"/>
      <c r="DB406" s="42"/>
      <c r="DC406" s="42"/>
      <c r="DD406" s="42"/>
      <c r="DE406" s="42"/>
      <c r="DF406" s="42"/>
      <c r="DG406" s="42"/>
      <c r="DH406" s="42"/>
      <c r="DI406" s="42"/>
      <c r="DJ406" s="42"/>
      <c r="DK406" s="42"/>
      <c r="DL406" s="42"/>
      <c r="DM406" s="42"/>
      <c r="DN406" s="42"/>
      <c r="DO406" s="42"/>
      <c r="DP406" s="42"/>
      <c r="DQ406" s="42"/>
      <c r="DR406" s="42"/>
      <c r="DS406" s="42"/>
      <c r="DT406" s="42"/>
      <c r="DU406" s="42"/>
      <c r="DV406" s="42"/>
      <c r="DW406" s="42"/>
      <c r="DX406" s="42"/>
      <c r="DY406" s="42"/>
      <c r="DZ406" s="42"/>
      <c r="EA406" s="42"/>
      <c r="EB406" s="42"/>
      <c r="EC406" s="42"/>
      <c r="ED406" s="42"/>
      <c r="EE406" s="42"/>
      <c r="EF406" s="42"/>
      <c r="EG406" s="42"/>
      <c r="EH406" s="42"/>
      <c r="EI406" s="42"/>
      <c r="EJ406" s="42"/>
      <c r="EK406" s="42"/>
      <c r="EL406" s="42"/>
      <c r="EM406" s="42"/>
      <c r="EN406" s="42"/>
      <c r="EO406" s="42"/>
      <c r="EP406" s="42"/>
      <c r="EQ406" s="42"/>
      <c r="ER406" s="42"/>
      <c r="ES406" s="42"/>
      <c r="ET406" s="42"/>
      <c r="EU406" s="42"/>
      <c r="EV406" s="42"/>
      <c r="EW406" s="42"/>
      <c r="EX406" s="42"/>
      <c r="EY406" s="42"/>
      <c r="EZ406" s="42"/>
      <c r="FA406" s="42"/>
      <c r="FB406" s="42"/>
      <c r="FC406" s="42"/>
      <c r="FD406" s="42"/>
      <c r="FE406" s="42"/>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row>
    <row r="407" spans="1:256" ht="13.8" x14ac:dyDescent="0.3">
      <c r="A407" s="42"/>
      <c r="B407" s="42"/>
      <c r="C407" s="42"/>
      <c r="D407" s="42"/>
      <c r="E407" s="42"/>
      <c r="F407" s="42"/>
      <c r="G407" s="42"/>
      <c r="H407" s="42"/>
      <c r="I407" s="42"/>
      <c r="J407" s="42"/>
      <c r="K407" s="42"/>
      <c r="L407" s="42"/>
      <c r="M407" s="42"/>
      <c r="N407" s="42"/>
      <c r="O407" s="42"/>
      <c r="P407" s="42"/>
      <c r="Q407" s="42"/>
      <c r="R407" s="42"/>
      <c r="S407" s="42"/>
      <c r="T407" s="42"/>
      <c r="U407" s="194"/>
      <c r="V407" s="42"/>
      <c r="W407" s="42"/>
      <c r="X407" s="42"/>
      <c r="Y407" s="42"/>
      <c r="Z407" s="42"/>
      <c r="AA407" s="42"/>
      <c r="AB407" s="195"/>
      <c r="AC407" s="42"/>
      <c r="AD407" s="42"/>
      <c r="AE407" s="195"/>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c r="CG407" s="42"/>
      <c r="CH407" s="42"/>
      <c r="CI407" s="42"/>
      <c r="CJ407" s="42"/>
      <c r="CK407" s="42"/>
      <c r="CL407" s="42"/>
      <c r="CM407" s="42"/>
      <c r="CN407" s="42"/>
      <c r="CO407" s="42"/>
      <c r="CP407" s="42"/>
      <c r="CQ407" s="42"/>
      <c r="CR407" s="42"/>
      <c r="CS407" s="42"/>
      <c r="CT407" s="42"/>
      <c r="CU407" s="42"/>
      <c r="CV407" s="42"/>
      <c r="CW407" s="42"/>
      <c r="CX407" s="42"/>
      <c r="CY407" s="42"/>
      <c r="CZ407" s="42"/>
      <c r="DA407" s="42"/>
      <c r="DB407" s="42"/>
      <c r="DC407" s="42"/>
      <c r="DD407" s="42"/>
      <c r="DE407" s="42"/>
      <c r="DF407" s="42"/>
      <c r="DG407" s="42"/>
      <c r="DH407" s="42"/>
      <c r="DI407" s="42"/>
      <c r="DJ407" s="42"/>
      <c r="DK407" s="42"/>
      <c r="DL407" s="42"/>
      <c r="DM407" s="42"/>
      <c r="DN407" s="42"/>
      <c r="DO407" s="42"/>
      <c r="DP407" s="42"/>
      <c r="DQ407" s="42"/>
      <c r="DR407" s="42"/>
      <c r="DS407" s="42"/>
      <c r="DT407" s="42"/>
      <c r="DU407" s="42"/>
      <c r="DV407" s="42"/>
      <c r="DW407" s="42"/>
      <c r="DX407" s="42"/>
      <c r="DY407" s="42"/>
      <c r="DZ407" s="42"/>
      <c r="EA407" s="42"/>
      <c r="EB407" s="42"/>
      <c r="EC407" s="42"/>
      <c r="ED407" s="42"/>
      <c r="EE407" s="42"/>
      <c r="EF407" s="42"/>
      <c r="EG407" s="42"/>
      <c r="EH407" s="42"/>
      <c r="EI407" s="42"/>
      <c r="EJ407" s="42"/>
      <c r="EK407" s="42"/>
      <c r="EL407" s="42"/>
      <c r="EM407" s="42"/>
      <c r="EN407" s="42"/>
      <c r="EO407" s="42"/>
      <c r="EP407" s="42"/>
      <c r="EQ407" s="42"/>
      <c r="ER407" s="42"/>
      <c r="ES407" s="42"/>
      <c r="ET407" s="42"/>
      <c r="EU407" s="42"/>
      <c r="EV407" s="42"/>
      <c r="EW407" s="42"/>
      <c r="EX407" s="42"/>
      <c r="EY407" s="42"/>
      <c r="EZ407" s="42"/>
      <c r="FA407" s="42"/>
      <c r="FB407" s="42"/>
      <c r="FC407" s="42"/>
      <c r="FD407" s="42"/>
      <c r="FE407" s="42"/>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row>
    <row r="408" spans="1:256" ht="13.8" x14ac:dyDescent="0.3">
      <c r="A408" s="42"/>
      <c r="B408" s="42"/>
      <c r="C408" s="42"/>
      <c r="D408" s="42"/>
      <c r="E408" s="42"/>
      <c r="F408" s="42"/>
      <c r="G408" s="42"/>
      <c r="H408" s="42"/>
      <c r="I408" s="42"/>
      <c r="J408" s="42"/>
      <c r="K408" s="42"/>
      <c r="L408" s="42"/>
      <c r="M408" s="42"/>
      <c r="N408" s="42"/>
      <c r="O408" s="42"/>
      <c r="P408" s="42"/>
      <c r="Q408" s="42"/>
      <c r="R408" s="42"/>
      <c r="S408" s="42"/>
      <c r="T408" s="42"/>
      <c r="U408" s="194"/>
      <c r="V408" s="42"/>
      <c r="W408" s="42"/>
      <c r="X408" s="42"/>
      <c r="Y408" s="42"/>
      <c r="Z408" s="42"/>
      <c r="AA408" s="42"/>
      <c r="AB408" s="195"/>
      <c r="AC408" s="42"/>
      <c r="AD408" s="42"/>
      <c r="AE408" s="195"/>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c r="CG408" s="42"/>
      <c r="CH408" s="42"/>
      <c r="CI408" s="42"/>
      <c r="CJ408" s="42"/>
      <c r="CK408" s="42"/>
      <c r="CL408" s="42"/>
      <c r="CM408" s="42"/>
      <c r="CN408" s="42"/>
      <c r="CO408" s="42"/>
      <c r="CP408" s="42"/>
      <c r="CQ408" s="42"/>
      <c r="CR408" s="42"/>
      <c r="CS408" s="42"/>
      <c r="CT408" s="42"/>
      <c r="CU408" s="42"/>
      <c r="CV408" s="42"/>
      <c r="CW408" s="42"/>
      <c r="CX408" s="42"/>
      <c r="CY408" s="42"/>
      <c r="CZ408" s="42"/>
      <c r="DA408" s="42"/>
      <c r="DB408" s="42"/>
      <c r="DC408" s="42"/>
      <c r="DD408" s="42"/>
      <c r="DE408" s="42"/>
      <c r="DF408" s="42"/>
      <c r="DG408" s="42"/>
      <c r="DH408" s="42"/>
      <c r="DI408" s="42"/>
      <c r="DJ408" s="42"/>
      <c r="DK408" s="42"/>
      <c r="DL408" s="42"/>
      <c r="DM408" s="42"/>
      <c r="DN408" s="42"/>
      <c r="DO408" s="42"/>
      <c r="DP408" s="42"/>
      <c r="DQ408" s="42"/>
      <c r="DR408" s="42"/>
      <c r="DS408" s="42"/>
      <c r="DT408" s="42"/>
      <c r="DU408" s="42"/>
      <c r="DV408" s="42"/>
      <c r="DW408" s="42"/>
      <c r="DX408" s="42"/>
      <c r="DY408" s="42"/>
      <c r="DZ408" s="42"/>
      <c r="EA408" s="42"/>
      <c r="EB408" s="42"/>
      <c r="EC408" s="42"/>
      <c r="ED408" s="42"/>
      <c r="EE408" s="42"/>
      <c r="EF408" s="42"/>
      <c r="EG408" s="42"/>
      <c r="EH408" s="42"/>
      <c r="EI408" s="42"/>
      <c r="EJ408" s="42"/>
      <c r="EK408" s="42"/>
      <c r="EL408" s="42"/>
      <c r="EM408" s="42"/>
      <c r="EN408" s="42"/>
      <c r="EO408" s="42"/>
      <c r="EP408" s="42"/>
      <c r="EQ408" s="42"/>
      <c r="ER408" s="42"/>
      <c r="ES408" s="42"/>
      <c r="ET408" s="42"/>
      <c r="EU408" s="42"/>
      <c r="EV408" s="42"/>
      <c r="EW408" s="42"/>
      <c r="EX408" s="42"/>
      <c r="EY408" s="42"/>
      <c r="EZ408" s="42"/>
      <c r="FA408" s="42"/>
      <c r="FB408" s="42"/>
      <c r="FC408" s="42"/>
      <c r="FD408" s="42"/>
      <c r="FE408" s="42"/>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row>
    <row r="409" spans="1:256" ht="13.8" x14ac:dyDescent="0.3">
      <c r="A409" s="42"/>
      <c r="B409" s="42"/>
      <c r="C409" s="42"/>
      <c r="D409" s="42"/>
      <c r="E409" s="42"/>
      <c r="F409" s="42"/>
      <c r="G409" s="42"/>
      <c r="H409" s="42"/>
      <c r="I409" s="42"/>
      <c r="J409" s="42"/>
      <c r="K409" s="42"/>
      <c r="L409" s="42"/>
      <c r="M409" s="42"/>
      <c r="N409" s="42"/>
      <c r="O409" s="42"/>
      <c r="P409" s="42"/>
      <c r="Q409" s="42"/>
      <c r="R409" s="42"/>
      <c r="S409" s="42"/>
      <c r="T409" s="42"/>
      <c r="U409" s="194"/>
      <c r="V409" s="42"/>
      <c r="W409" s="42"/>
      <c r="X409" s="42"/>
      <c r="Y409" s="42"/>
      <c r="Z409" s="42"/>
      <c r="AA409" s="42"/>
      <c r="AB409" s="195"/>
      <c r="AC409" s="42"/>
      <c r="AD409" s="42"/>
      <c r="AE409" s="195"/>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c r="CG409" s="42"/>
      <c r="CH409" s="42"/>
      <c r="CI409" s="42"/>
      <c r="CJ409" s="42"/>
      <c r="CK409" s="42"/>
      <c r="CL409" s="42"/>
      <c r="CM409" s="42"/>
      <c r="CN409" s="42"/>
      <c r="CO409" s="42"/>
      <c r="CP409" s="42"/>
      <c r="CQ409" s="42"/>
      <c r="CR409" s="42"/>
      <c r="CS409" s="42"/>
      <c r="CT409" s="42"/>
      <c r="CU409" s="42"/>
      <c r="CV409" s="42"/>
      <c r="CW409" s="42"/>
      <c r="CX409" s="42"/>
      <c r="CY409" s="42"/>
      <c r="CZ409" s="42"/>
      <c r="DA409" s="42"/>
      <c r="DB409" s="42"/>
      <c r="DC409" s="42"/>
      <c r="DD409" s="42"/>
      <c r="DE409" s="42"/>
      <c r="DF409" s="42"/>
      <c r="DG409" s="42"/>
      <c r="DH409" s="42"/>
      <c r="DI409" s="42"/>
      <c r="DJ409" s="42"/>
      <c r="DK409" s="42"/>
      <c r="DL409" s="42"/>
      <c r="DM409" s="42"/>
      <c r="DN409" s="42"/>
      <c r="DO409" s="42"/>
      <c r="DP409" s="42"/>
      <c r="DQ409" s="42"/>
      <c r="DR409" s="42"/>
      <c r="DS409" s="42"/>
      <c r="DT409" s="42"/>
      <c r="DU409" s="42"/>
      <c r="DV409" s="42"/>
      <c r="DW409" s="42"/>
      <c r="DX409" s="42"/>
      <c r="DY409" s="42"/>
      <c r="DZ409" s="42"/>
      <c r="EA409" s="42"/>
      <c r="EB409" s="42"/>
      <c r="EC409" s="42"/>
      <c r="ED409" s="42"/>
      <c r="EE409" s="42"/>
      <c r="EF409" s="42"/>
      <c r="EG409" s="42"/>
      <c r="EH409" s="42"/>
      <c r="EI409" s="42"/>
      <c r="EJ409" s="42"/>
      <c r="EK409" s="42"/>
      <c r="EL409" s="42"/>
      <c r="EM409" s="42"/>
      <c r="EN409" s="42"/>
      <c r="EO409" s="42"/>
      <c r="EP409" s="42"/>
      <c r="EQ409" s="42"/>
      <c r="ER409" s="42"/>
      <c r="ES409" s="42"/>
      <c r="ET409" s="42"/>
      <c r="EU409" s="42"/>
      <c r="EV409" s="42"/>
      <c r="EW409" s="42"/>
      <c r="EX409" s="42"/>
      <c r="EY409" s="42"/>
      <c r="EZ409" s="42"/>
      <c r="FA409" s="42"/>
      <c r="FB409" s="42"/>
      <c r="FC409" s="42"/>
      <c r="FD409" s="42"/>
      <c r="FE409" s="42"/>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row>
    <row r="410" spans="1:256" ht="13.8" x14ac:dyDescent="0.3">
      <c r="A410" s="42"/>
      <c r="B410" s="42"/>
      <c r="C410" s="42"/>
      <c r="D410" s="42"/>
      <c r="E410" s="42"/>
      <c r="F410" s="42"/>
      <c r="G410" s="42"/>
      <c r="H410" s="42"/>
      <c r="I410" s="42"/>
      <c r="J410" s="42"/>
      <c r="K410" s="42"/>
      <c r="L410" s="42"/>
      <c r="M410" s="42"/>
      <c r="N410" s="42"/>
      <c r="O410" s="42"/>
      <c r="P410" s="42"/>
      <c r="Q410" s="42"/>
      <c r="R410" s="42"/>
      <c r="S410" s="42"/>
      <c r="T410" s="42"/>
      <c r="U410" s="194"/>
      <c r="V410" s="42"/>
      <c r="W410" s="42"/>
      <c r="X410" s="42"/>
      <c r="Y410" s="42"/>
      <c r="Z410" s="42"/>
      <c r="AA410" s="42"/>
      <c r="AB410" s="195"/>
      <c r="AC410" s="42"/>
      <c r="AD410" s="42"/>
      <c r="AE410" s="195"/>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c r="CG410" s="42"/>
      <c r="CH410" s="42"/>
      <c r="CI410" s="42"/>
      <c r="CJ410" s="42"/>
      <c r="CK410" s="42"/>
      <c r="CL410" s="42"/>
      <c r="CM410" s="42"/>
      <c r="CN410" s="42"/>
      <c r="CO410" s="42"/>
      <c r="CP410" s="42"/>
      <c r="CQ410" s="42"/>
      <c r="CR410" s="42"/>
      <c r="CS410" s="42"/>
      <c r="CT410" s="42"/>
      <c r="CU410" s="42"/>
      <c r="CV410" s="42"/>
      <c r="CW410" s="42"/>
      <c r="CX410" s="42"/>
      <c r="CY410" s="42"/>
      <c r="CZ410" s="42"/>
      <c r="DA410" s="42"/>
      <c r="DB410" s="42"/>
      <c r="DC410" s="42"/>
      <c r="DD410" s="42"/>
      <c r="DE410" s="42"/>
      <c r="DF410" s="42"/>
      <c r="DG410" s="42"/>
      <c r="DH410" s="42"/>
      <c r="DI410" s="42"/>
      <c r="DJ410" s="42"/>
      <c r="DK410" s="42"/>
      <c r="DL410" s="42"/>
      <c r="DM410" s="42"/>
      <c r="DN410" s="42"/>
      <c r="DO410" s="42"/>
      <c r="DP410" s="42"/>
      <c r="DQ410" s="42"/>
      <c r="DR410" s="42"/>
      <c r="DS410" s="42"/>
      <c r="DT410" s="42"/>
      <c r="DU410" s="42"/>
      <c r="DV410" s="42"/>
      <c r="DW410" s="42"/>
      <c r="DX410" s="42"/>
      <c r="DY410" s="42"/>
      <c r="DZ410" s="42"/>
      <c r="EA410" s="42"/>
      <c r="EB410" s="42"/>
      <c r="EC410" s="42"/>
      <c r="ED410" s="42"/>
      <c r="EE410" s="42"/>
      <c r="EF410" s="42"/>
      <c r="EG410" s="42"/>
      <c r="EH410" s="42"/>
      <c r="EI410" s="42"/>
      <c r="EJ410" s="42"/>
      <c r="EK410" s="42"/>
      <c r="EL410" s="42"/>
      <c r="EM410" s="42"/>
      <c r="EN410" s="42"/>
      <c r="EO410" s="42"/>
      <c r="EP410" s="42"/>
      <c r="EQ410" s="42"/>
      <c r="ER410" s="42"/>
      <c r="ES410" s="42"/>
      <c r="ET410" s="42"/>
      <c r="EU410" s="42"/>
      <c r="EV410" s="42"/>
      <c r="EW410" s="42"/>
      <c r="EX410" s="42"/>
      <c r="EY410" s="42"/>
      <c r="EZ410" s="42"/>
      <c r="FA410" s="42"/>
      <c r="FB410" s="42"/>
      <c r="FC410" s="42"/>
      <c r="FD410" s="42"/>
      <c r="FE410" s="42"/>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row>
    <row r="411" spans="1:256" ht="13.8" x14ac:dyDescent="0.3">
      <c r="A411" s="42"/>
      <c r="B411" s="42"/>
      <c r="C411" s="42"/>
      <c r="D411" s="42"/>
      <c r="E411" s="42"/>
      <c r="F411" s="42"/>
      <c r="G411" s="42"/>
      <c r="H411" s="42"/>
      <c r="I411" s="42"/>
      <c r="J411" s="42"/>
      <c r="K411" s="42"/>
      <c r="L411" s="42"/>
      <c r="M411" s="42"/>
      <c r="N411" s="42"/>
      <c r="O411" s="42"/>
      <c r="P411" s="42"/>
      <c r="Q411" s="42"/>
      <c r="R411" s="42"/>
      <c r="S411" s="42"/>
      <c r="T411" s="42"/>
      <c r="U411" s="194"/>
      <c r="V411" s="42"/>
      <c r="W411" s="42"/>
      <c r="X411" s="42"/>
      <c r="Y411" s="42"/>
      <c r="Z411" s="42"/>
      <c r="AA411" s="42"/>
      <c r="AB411" s="195"/>
      <c r="AC411" s="42"/>
      <c r="AD411" s="42"/>
      <c r="AE411" s="195"/>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c r="CG411" s="42"/>
      <c r="CH411" s="42"/>
      <c r="CI411" s="42"/>
      <c r="CJ411" s="42"/>
      <c r="CK411" s="42"/>
      <c r="CL411" s="42"/>
      <c r="CM411" s="42"/>
      <c r="CN411" s="42"/>
      <c r="CO411" s="42"/>
      <c r="CP411" s="42"/>
      <c r="CQ411" s="42"/>
      <c r="CR411" s="42"/>
      <c r="CS411" s="42"/>
      <c r="CT411" s="42"/>
      <c r="CU411" s="42"/>
      <c r="CV411" s="42"/>
      <c r="CW411" s="42"/>
      <c r="CX411" s="42"/>
      <c r="CY411" s="42"/>
      <c r="CZ411" s="42"/>
      <c r="DA411" s="42"/>
      <c r="DB411" s="42"/>
      <c r="DC411" s="42"/>
      <c r="DD411" s="42"/>
      <c r="DE411" s="42"/>
      <c r="DF411" s="42"/>
      <c r="DG411" s="42"/>
      <c r="DH411" s="42"/>
      <c r="DI411" s="42"/>
      <c r="DJ411" s="42"/>
      <c r="DK411" s="42"/>
      <c r="DL411" s="42"/>
      <c r="DM411" s="42"/>
      <c r="DN411" s="42"/>
      <c r="DO411" s="42"/>
      <c r="DP411" s="42"/>
      <c r="DQ411" s="42"/>
      <c r="DR411" s="42"/>
      <c r="DS411" s="42"/>
      <c r="DT411" s="42"/>
      <c r="DU411" s="42"/>
      <c r="DV411" s="42"/>
      <c r="DW411" s="42"/>
      <c r="DX411" s="42"/>
      <c r="DY411" s="42"/>
      <c r="DZ411" s="42"/>
      <c r="EA411" s="42"/>
      <c r="EB411" s="42"/>
      <c r="EC411" s="42"/>
      <c r="ED411" s="42"/>
      <c r="EE411" s="42"/>
      <c r="EF411" s="42"/>
      <c r="EG411" s="42"/>
      <c r="EH411" s="42"/>
      <c r="EI411" s="42"/>
      <c r="EJ411" s="42"/>
      <c r="EK411" s="42"/>
      <c r="EL411" s="42"/>
      <c r="EM411" s="42"/>
      <c r="EN411" s="42"/>
      <c r="EO411" s="42"/>
      <c r="EP411" s="42"/>
      <c r="EQ411" s="42"/>
      <c r="ER411" s="42"/>
      <c r="ES411" s="42"/>
      <c r="ET411" s="42"/>
      <c r="EU411" s="42"/>
      <c r="EV411" s="42"/>
      <c r="EW411" s="42"/>
      <c r="EX411" s="42"/>
      <c r="EY411" s="42"/>
      <c r="EZ411" s="42"/>
      <c r="FA411" s="42"/>
      <c r="FB411" s="42"/>
      <c r="FC411" s="42"/>
      <c r="FD411" s="42"/>
      <c r="FE411" s="42"/>
      <c r="FF411" s="42"/>
      <c r="FG411" s="42"/>
      <c r="FH411" s="42"/>
      <c r="FI411" s="42"/>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row>
    <row r="412" spans="1:256" ht="13.8" x14ac:dyDescent="0.3">
      <c r="A412" s="42"/>
      <c r="B412" s="42"/>
      <c r="C412" s="42"/>
      <c r="D412" s="42"/>
      <c r="E412" s="42"/>
      <c r="F412" s="42"/>
      <c r="G412" s="42"/>
      <c r="H412" s="42"/>
      <c r="I412" s="42"/>
      <c r="J412" s="42"/>
      <c r="K412" s="42"/>
      <c r="L412" s="42"/>
      <c r="M412" s="42"/>
      <c r="N412" s="42"/>
      <c r="O412" s="42"/>
      <c r="P412" s="42"/>
      <c r="Q412" s="42"/>
      <c r="R412" s="42"/>
      <c r="S412" s="42"/>
      <c r="T412" s="42"/>
      <c r="U412" s="194"/>
      <c r="V412" s="42"/>
      <c r="W412" s="42"/>
      <c r="X412" s="42"/>
      <c r="Y412" s="42"/>
      <c r="Z412" s="42"/>
      <c r="AA412" s="42"/>
      <c r="AB412" s="195"/>
      <c r="AC412" s="42"/>
      <c r="AD412" s="42"/>
      <c r="AE412" s="195"/>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c r="CG412" s="42"/>
      <c r="CH412" s="42"/>
      <c r="CI412" s="42"/>
      <c r="CJ412" s="42"/>
      <c r="CK412" s="42"/>
      <c r="CL412" s="42"/>
      <c r="CM412" s="42"/>
      <c r="CN412" s="42"/>
      <c r="CO412" s="42"/>
      <c r="CP412" s="42"/>
      <c r="CQ412" s="42"/>
      <c r="CR412" s="42"/>
      <c r="CS412" s="42"/>
      <c r="CT412" s="42"/>
      <c r="CU412" s="42"/>
      <c r="CV412" s="42"/>
      <c r="CW412" s="42"/>
      <c r="CX412" s="42"/>
      <c r="CY412" s="42"/>
      <c r="CZ412" s="42"/>
      <c r="DA412" s="42"/>
      <c r="DB412" s="42"/>
      <c r="DC412" s="42"/>
      <c r="DD412" s="42"/>
      <c r="DE412" s="42"/>
      <c r="DF412" s="42"/>
      <c r="DG412" s="42"/>
      <c r="DH412" s="42"/>
      <c r="DI412" s="42"/>
      <c r="DJ412" s="42"/>
      <c r="DK412" s="42"/>
      <c r="DL412" s="42"/>
      <c r="DM412" s="42"/>
      <c r="DN412" s="42"/>
      <c r="DO412" s="42"/>
      <c r="DP412" s="42"/>
      <c r="DQ412" s="42"/>
      <c r="DR412" s="42"/>
      <c r="DS412" s="42"/>
      <c r="DT412" s="42"/>
      <c r="DU412" s="42"/>
      <c r="DV412" s="42"/>
      <c r="DW412" s="42"/>
      <c r="DX412" s="42"/>
      <c r="DY412" s="42"/>
      <c r="DZ412" s="42"/>
      <c r="EA412" s="42"/>
      <c r="EB412" s="42"/>
      <c r="EC412" s="42"/>
      <c r="ED412" s="42"/>
      <c r="EE412" s="42"/>
      <c r="EF412" s="42"/>
      <c r="EG412" s="42"/>
      <c r="EH412" s="42"/>
      <c r="EI412" s="42"/>
      <c r="EJ412" s="42"/>
      <c r="EK412" s="42"/>
      <c r="EL412" s="42"/>
      <c r="EM412" s="42"/>
      <c r="EN412" s="42"/>
      <c r="EO412" s="42"/>
      <c r="EP412" s="42"/>
      <c r="EQ412" s="42"/>
      <c r="ER412" s="42"/>
      <c r="ES412" s="42"/>
      <c r="ET412" s="42"/>
      <c r="EU412" s="42"/>
      <c r="EV412" s="42"/>
      <c r="EW412" s="42"/>
      <c r="EX412" s="42"/>
      <c r="EY412" s="42"/>
      <c r="EZ412" s="42"/>
      <c r="FA412" s="42"/>
      <c r="FB412" s="42"/>
      <c r="FC412" s="42"/>
      <c r="FD412" s="42"/>
      <c r="FE412" s="42"/>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row>
    <row r="413" spans="1:256" ht="13.8" x14ac:dyDescent="0.3">
      <c r="A413" s="42"/>
      <c r="B413" s="42"/>
      <c r="C413" s="42"/>
      <c r="D413" s="42"/>
      <c r="E413" s="42"/>
      <c r="F413" s="42"/>
      <c r="G413" s="42"/>
      <c r="H413" s="42"/>
      <c r="I413" s="42"/>
      <c r="J413" s="42"/>
      <c r="K413" s="42"/>
      <c r="L413" s="42"/>
      <c r="M413" s="42"/>
      <c r="N413" s="42"/>
      <c r="O413" s="42"/>
      <c r="P413" s="42"/>
      <c r="Q413" s="42"/>
      <c r="R413" s="42"/>
      <c r="S413" s="42"/>
      <c r="T413" s="42"/>
      <c r="U413" s="194"/>
      <c r="V413" s="42"/>
      <c r="W413" s="42"/>
      <c r="X413" s="42"/>
      <c r="Y413" s="42"/>
      <c r="Z413" s="42"/>
      <c r="AA413" s="42"/>
      <c r="AB413" s="195"/>
      <c r="AC413" s="42"/>
      <c r="AD413" s="42"/>
      <c r="AE413" s="195"/>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c r="CG413" s="42"/>
      <c r="CH413" s="42"/>
      <c r="CI413" s="42"/>
      <c r="CJ413" s="42"/>
      <c r="CK413" s="42"/>
      <c r="CL413" s="42"/>
      <c r="CM413" s="42"/>
      <c r="CN413" s="42"/>
      <c r="CO413" s="42"/>
      <c r="CP413" s="42"/>
      <c r="CQ413" s="42"/>
      <c r="CR413" s="42"/>
      <c r="CS413" s="42"/>
      <c r="CT413" s="42"/>
      <c r="CU413" s="42"/>
      <c r="CV413" s="42"/>
      <c r="CW413" s="42"/>
      <c r="CX413" s="42"/>
      <c r="CY413" s="42"/>
      <c r="CZ413" s="42"/>
      <c r="DA413" s="42"/>
      <c r="DB413" s="42"/>
      <c r="DC413" s="42"/>
      <c r="DD413" s="42"/>
      <c r="DE413" s="42"/>
      <c r="DF413" s="42"/>
      <c r="DG413" s="42"/>
      <c r="DH413" s="42"/>
      <c r="DI413" s="42"/>
      <c r="DJ413" s="42"/>
      <c r="DK413" s="42"/>
      <c r="DL413" s="42"/>
      <c r="DM413" s="42"/>
      <c r="DN413" s="42"/>
      <c r="DO413" s="42"/>
      <c r="DP413" s="42"/>
      <c r="DQ413" s="42"/>
      <c r="DR413" s="42"/>
      <c r="DS413" s="42"/>
      <c r="DT413" s="42"/>
      <c r="DU413" s="42"/>
      <c r="DV413" s="42"/>
      <c r="DW413" s="42"/>
      <c r="DX413" s="42"/>
      <c r="DY413" s="42"/>
      <c r="DZ413" s="42"/>
      <c r="EA413" s="42"/>
      <c r="EB413" s="42"/>
      <c r="EC413" s="42"/>
      <c r="ED413" s="42"/>
      <c r="EE413" s="42"/>
      <c r="EF413" s="42"/>
      <c r="EG413" s="42"/>
      <c r="EH413" s="42"/>
      <c r="EI413" s="42"/>
      <c r="EJ413" s="42"/>
      <c r="EK413" s="42"/>
      <c r="EL413" s="42"/>
      <c r="EM413" s="42"/>
      <c r="EN413" s="42"/>
      <c r="EO413" s="42"/>
      <c r="EP413" s="42"/>
      <c r="EQ413" s="42"/>
      <c r="ER413" s="42"/>
      <c r="ES413" s="42"/>
      <c r="ET413" s="42"/>
      <c r="EU413" s="42"/>
      <c r="EV413" s="42"/>
      <c r="EW413" s="42"/>
      <c r="EX413" s="42"/>
      <c r="EY413" s="42"/>
      <c r="EZ413" s="42"/>
      <c r="FA413" s="42"/>
      <c r="FB413" s="42"/>
      <c r="FC413" s="42"/>
      <c r="FD413" s="42"/>
      <c r="FE413" s="42"/>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row>
    <row r="414" spans="1:256" ht="13.8" x14ac:dyDescent="0.3">
      <c r="A414" s="42"/>
      <c r="B414" s="42"/>
      <c r="C414" s="42"/>
      <c r="D414" s="42"/>
      <c r="E414" s="42"/>
      <c r="F414" s="42"/>
      <c r="G414" s="42"/>
      <c r="H414" s="42"/>
      <c r="I414" s="42"/>
      <c r="J414" s="42"/>
      <c r="K414" s="42"/>
      <c r="L414" s="42"/>
      <c r="M414" s="42"/>
      <c r="N414" s="42"/>
      <c r="O414" s="42"/>
      <c r="P414" s="42"/>
      <c r="Q414" s="42"/>
      <c r="R414" s="42"/>
      <c r="S414" s="42"/>
      <c r="T414" s="42"/>
      <c r="U414" s="194"/>
      <c r="V414" s="42"/>
      <c r="W414" s="42"/>
      <c r="X414" s="42"/>
      <c r="Y414" s="42"/>
      <c r="Z414" s="42"/>
      <c r="AA414" s="42"/>
      <c r="AB414" s="195"/>
      <c r="AC414" s="42"/>
      <c r="AD414" s="42"/>
      <c r="AE414" s="195"/>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c r="CG414" s="42"/>
      <c r="CH414" s="42"/>
      <c r="CI414" s="42"/>
      <c r="CJ414" s="42"/>
      <c r="CK414" s="42"/>
      <c r="CL414" s="42"/>
      <c r="CM414" s="42"/>
      <c r="CN414" s="42"/>
      <c r="CO414" s="42"/>
      <c r="CP414" s="42"/>
      <c r="CQ414" s="42"/>
      <c r="CR414" s="42"/>
      <c r="CS414" s="42"/>
      <c r="CT414" s="42"/>
      <c r="CU414" s="42"/>
      <c r="CV414" s="42"/>
      <c r="CW414" s="42"/>
      <c r="CX414" s="42"/>
      <c r="CY414" s="42"/>
      <c r="CZ414" s="42"/>
      <c r="DA414" s="42"/>
      <c r="DB414" s="42"/>
      <c r="DC414" s="42"/>
      <c r="DD414" s="42"/>
      <c r="DE414" s="42"/>
      <c r="DF414" s="42"/>
      <c r="DG414" s="42"/>
      <c r="DH414" s="42"/>
      <c r="DI414" s="42"/>
      <c r="DJ414" s="42"/>
      <c r="DK414" s="42"/>
      <c r="DL414" s="42"/>
      <c r="DM414" s="42"/>
      <c r="DN414" s="42"/>
      <c r="DO414" s="42"/>
      <c r="DP414" s="42"/>
      <c r="DQ414" s="42"/>
      <c r="DR414" s="42"/>
      <c r="DS414" s="42"/>
      <c r="DT414" s="42"/>
      <c r="DU414" s="42"/>
      <c r="DV414" s="42"/>
      <c r="DW414" s="42"/>
      <c r="DX414" s="42"/>
      <c r="DY414" s="42"/>
      <c r="DZ414" s="42"/>
      <c r="EA414" s="42"/>
      <c r="EB414" s="42"/>
      <c r="EC414" s="42"/>
      <c r="ED414" s="42"/>
      <c r="EE414" s="42"/>
      <c r="EF414" s="42"/>
      <c r="EG414" s="42"/>
      <c r="EH414" s="42"/>
      <c r="EI414" s="42"/>
      <c r="EJ414" s="42"/>
      <c r="EK414" s="42"/>
      <c r="EL414" s="42"/>
      <c r="EM414" s="42"/>
      <c r="EN414" s="42"/>
      <c r="EO414" s="42"/>
      <c r="EP414" s="42"/>
      <c r="EQ414" s="42"/>
      <c r="ER414" s="42"/>
      <c r="ES414" s="42"/>
      <c r="ET414" s="42"/>
      <c r="EU414" s="42"/>
      <c r="EV414" s="42"/>
      <c r="EW414" s="42"/>
      <c r="EX414" s="42"/>
      <c r="EY414" s="42"/>
      <c r="EZ414" s="42"/>
      <c r="FA414" s="42"/>
      <c r="FB414" s="42"/>
      <c r="FC414" s="42"/>
      <c r="FD414" s="42"/>
      <c r="FE414" s="42"/>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row>
    <row r="415" spans="1:256" ht="13.8" x14ac:dyDescent="0.3">
      <c r="A415" s="42"/>
      <c r="B415" s="42"/>
      <c r="C415" s="42"/>
      <c r="D415" s="42"/>
      <c r="E415" s="42"/>
      <c r="F415" s="42"/>
      <c r="G415" s="42"/>
      <c r="H415" s="42"/>
      <c r="I415" s="42"/>
      <c r="J415" s="42"/>
      <c r="K415" s="42"/>
      <c r="L415" s="42"/>
      <c r="M415" s="42"/>
      <c r="N415" s="42"/>
      <c r="O415" s="42"/>
      <c r="P415" s="42"/>
      <c r="Q415" s="42"/>
      <c r="R415" s="42"/>
      <c r="S415" s="42"/>
      <c r="T415" s="42"/>
      <c r="U415" s="194"/>
      <c r="V415" s="42"/>
      <c r="W415" s="42"/>
      <c r="X415" s="42"/>
      <c r="Y415" s="42"/>
      <c r="Z415" s="42"/>
      <c r="AA415" s="42"/>
      <c r="AB415" s="195"/>
      <c r="AC415" s="42"/>
      <c r="AD415" s="42"/>
      <c r="AE415" s="195"/>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c r="CG415" s="42"/>
      <c r="CH415" s="42"/>
      <c r="CI415" s="42"/>
      <c r="CJ415" s="42"/>
      <c r="CK415" s="42"/>
      <c r="CL415" s="42"/>
      <c r="CM415" s="42"/>
      <c r="CN415" s="42"/>
      <c r="CO415" s="42"/>
      <c r="CP415" s="42"/>
      <c r="CQ415" s="42"/>
      <c r="CR415" s="42"/>
      <c r="CS415" s="42"/>
      <c r="CT415" s="42"/>
      <c r="CU415" s="42"/>
      <c r="CV415" s="42"/>
      <c r="CW415" s="42"/>
      <c r="CX415" s="42"/>
      <c r="CY415" s="42"/>
      <c r="CZ415" s="42"/>
      <c r="DA415" s="42"/>
      <c r="DB415" s="42"/>
      <c r="DC415" s="42"/>
      <c r="DD415" s="42"/>
      <c r="DE415" s="42"/>
      <c r="DF415" s="42"/>
      <c r="DG415" s="42"/>
      <c r="DH415" s="42"/>
      <c r="DI415" s="42"/>
      <c r="DJ415" s="42"/>
      <c r="DK415" s="42"/>
      <c r="DL415" s="42"/>
      <c r="DM415" s="42"/>
      <c r="DN415" s="42"/>
      <c r="DO415" s="42"/>
      <c r="DP415" s="42"/>
      <c r="DQ415" s="42"/>
      <c r="DR415" s="42"/>
      <c r="DS415" s="42"/>
      <c r="DT415" s="42"/>
      <c r="DU415" s="42"/>
      <c r="DV415" s="42"/>
      <c r="DW415" s="42"/>
      <c r="DX415" s="42"/>
      <c r="DY415" s="42"/>
      <c r="DZ415" s="42"/>
      <c r="EA415" s="42"/>
      <c r="EB415" s="42"/>
      <c r="EC415" s="42"/>
      <c r="ED415" s="42"/>
      <c r="EE415" s="42"/>
      <c r="EF415" s="42"/>
      <c r="EG415" s="42"/>
      <c r="EH415" s="42"/>
      <c r="EI415" s="42"/>
      <c r="EJ415" s="42"/>
      <c r="EK415" s="42"/>
      <c r="EL415" s="42"/>
      <c r="EM415" s="42"/>
      <c r="EN415" s="42"/>
      <c r="EO415" s="42"/>
      <c r="EP415" s="42"/>
      <c r="EQ415" s="42"/>
      <c r="ER415" s="42"/>
      <c r="ES415" s="42"/>
      <c r="ET415" s="42"/>
      <c r="EU415" s="42"/>
      <c r="EV415" s="42"/>
      <c r="EW415" s="42"/>
      <c r="EX415" s="42"/>
      <c r="EY415" s="42"/>
      <c r="EZ415" s="42"/>
      <c r="FA415" s="42"/>
      <c r="FB415" s="42"/>
      <c r="FC415" s="42"/>
      <c r="FD415" s="42"/>
      <c r="FE415" s="42"/>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row>
    <row r="416" spans="1:256" ht="13.8" x14ac:dyDescent="0.3">
      <c r="A416" s="42"/>
      <c r="B416" s="42"/>
      <c r="C416" s="42"/>
      <c r="D416" s="42"/>
      <c r="E416" s="42"/>
      <c r="F416" s="42"/>
      <c r="G416" s="42"/>
      <c r="H416" s="42"/>
      <c r="I416" s="42"/>
      <c r="J416" s="42"/>
      <c r="K416" s="42"/>
      <c r="L416" s="42"/>
      <c r="M416" s="42"/>
      <c r="N416" s="42"/>
      <c r="O416" s="42"/>
      <c r="P416" s="42"/>
      <c r="Q416" s="42"/>
      <c r="R416" s="42"/>
      <c r="S416" s="42"/>
      <c r="T416" s="42"/>
      <c r="U416" s="194"/>
      <c r="V416" s="42"/>
      <c r="W416" s="42"/>
      <c r="X416" s="42"/>
      <c r="Y416" s="42"/>
      <c r="Z416" s="42"/>
      <c r="AA416" s="42"/>
      <c r="AB416" s="195"/>
      <c r="AC416" s="42"/>
      <c r="AD416" s="42"/>
      <c r="AE416" s="195"/>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c r="CG416" s="42"/>
      <c r="CH416" s="42"/>
      <c r="CI416" s="42"/>
      <c r="CJ416" s="42"/>
      <c r="CK416" s="42"/>
      <c r="CL416" s="42"/>
      <c r="CM416" s="42"/>
      <c r="CN416" s="42"/>
      <c r="CO416" s="42"/>
      <c r="CP416" s="42"/>
      <c r="CQ416" s="42"/>
      <c r="CR416" s="42"/>
      <c r="CS416" s="42"/>
      <c r="CT416" s="42"/>
      <c r="CU416" s="42"/>
      <c r="CV416" s="42"/>
      <c r="CW416" s="42"/>
      <c r="CX416" s="42"/>
      <c r="CY416" s="42"/>
      <c r="CZ416" s="42"/>
      <c r="DA416" s="42"/>
      <c r="DB416" s="42"/>
      <c r="DC416" s="42"/>
      <c r="DD416" s="42"/>
      <c r="DE416" s="42"/>
      <c r="DF416" s="42"/>
      <c r="DG416" s="42"/>
      <c r="DH416" s="42"/>
      <c r="DI416" s="42"/>
      <c r="DJ416" s="42"/>
      <c r="DK416" s="42"/>
      <c r="DL416" s="42"/>
      <c r="DM416" s="42"/>
      <c r="DN416" s="42"/>
      <c r="DO416" s="42"/>
      <c r="DP416" s="42"/>
      <c r="DQ416" s="42"/>
      <c r="DR416" s="42"/>
      <c r="DS416" s="42"/>
      <c r="DT416" s="42"/>
      <c r="DU416" s="42"/>
      <c r="DV416" s="42"/>
      <c r="DW416" s="42"/>
      <c r="DX416" s="42"/>
      <c r="DY416" s="42"/>
      <c r="DZ416" s="42"/>
      <c r="EA416" s="42"/>
      <c r="EB416" s="42"/>
      <c r="EC416" s="42"/>
      <c r="ED416" s="42"/>
      <c r="EE416" s="42"/>
      <c r="EF416" s="42"/>
      <c r="EG416" s="42"/>
      <c r="EH416" s="42"/>
      <c r="EI416" s="42"/>
      <c r="EJ416" s="42"/>
      <c r="EK416" s="42"/>
      <c r="EL416" s="42"/>
      <c r="EM416" s="42"/>
      <c r="EN416" s="42"/>
      <c r="EO416" s="42"/>
      <c r="EP416" s="42"/>
      <c r="EQ416" s="42"/>
      <c r="ER416" s="42"/>
      <c r="ES416" s="42"/>
      <c r="ET416" s="42"/>
      <c r="EU416" s="42"/>
      <c r="EV416" s="42"/>
      <c r="EW416" s="42"/>
      <c r="EX416" s="42"/>
      <c r="EY416" s="42"/>
      <c r="EZ416" s="42"/>
      <c r="FA416" s="42"/>
      <c r="FB416" s="42"/>
      <c r="FC416" s="42"/>
      <c r="FD416" s="42"/>
      <c r="FE416" s="42"/>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row>
    <row r="417" spans="1:256" ht="13.8" x14ac:dyDescent="0.3">
      <c r="A417" s="42"/>
      <c r="B417" s="42"/>
      <c r="C417" s="42"/>
      <c r="D417" s="42"/>
      <c r="E417" s="42"/>
      <c r="F417" s="42"/>
      <c r="G417" s="42"/>
      <c r="H417" s="42"/>
      <c r="I417" s="42"/>
      <c r="J417" s="42"/>
      <c r="K417" s="42"/>
      <c r="L417" s="42"/>
      <c r="M417" s="42"/>
      <c r="N417" s="42"/>
      <c r="O417" s="42"/>
      <c r="P417" s="42"/>
      <c r="Q417" s="42"/>
      <c r="R417" s="42"/>
      <c r="S417" s="42"/>
      <c r="T417" s="42"/>
      <c r="U417" s="194"/>
      <c r="V417" s="42"/>
      <c r="W417" s="42"/>
      <c r="X417" s="42"/>
      <c r="Y417" s="42"/>
      <c r="Z417" s="42"/>
      <c r="AA417" s="42"/>
      <c r="AB417" s="195"/>
      <c r="AC417" s="42"/>
      <c r="AD417" s="42"/>
      <c r="AE417" s="195"/>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c r="CG417" s="42"/>
      <c r="CH417" s="42"/>
      <c r="CI417" s="42"/>
      <c r="CJ417" s="42"/>
      <c r="CK417" s="42"/>
      <c r="CL417" s="42"/>
      <c r="CM417" s="42"/>
      <c r="CN417" s="42"/>
      <c r="CO417" s="42"/>
      <c r="CP417" s="42"/>
      <c r="CQ417" s="42"/>
      <c r="CR417" s="42"/>
      <c r="CS417" s="42"/>
      <c r="CT417" s="42"/>
      <c r="CU417" s="42"/>
      <c r="CV417" s="42"/>
      <c r="CW417" s="42"/>
      <c r="CX417" s="42"/>
      <c r="CY417" s="42"/>
      <c r="CZ417" s="42"/>
      <c r="DA417" s="42"/>
      <c r="DB417" s="42"/>
      <c r="DC417" s="42"/>
      <c r="DD417" s="42"/>
      <c r="DE417" s="42"/>
      <c r="DF417" s="42"/>
      <c r="DG417" s="42"/>
      <c r="DH417" s="42"/>
      <c r="DI417" s="42"/>
      <c r="DJ417" s="42"/>
      <c r="DK417" s="42"/>
      <c r="DL417" s="42"/>
      <c r="DM417" s="42"/>
      <c r="DN417" s="42"/>
      <c r="DO417" s="42"/>
      <c r="DP417" s="42"/>
      <c r="DQ417" s="42"/>
      <c r="DR417" s="42"/>
      <c r="DS417" s="42"/>
      <c r="DT417" s="42"/>
      <c r="DU417" s="42"/>
      <c r="DV417" s="42"/>
      <c r="DW417" s="42"/>
      <c r="DX417" s="42"/>
      <c r="DY417" s="42"/>
      <c r="DZ417" s="42"/>
      <c r="EA417" s="42"/>
      <c r="EB417" s="42"/>
      <c r="EC417" s="42"/>
      <c r="ED417" s="42"/>
      <c r="EE417" s="42"/>
      <c r="EF417" s="42"/>
      <c r="EG417" s="42"/>
      <c r="EH417" s="42"/>
      <c r="EI417" s="42"/>
      <c r="EJ417" s="42"/>
      <c r="EK417" s="42"/>
      <c r="EL417" s="42"/>
      <c r="EM417" s="42"/>
      <c r="EN417" s="42"/>
      <c r="EO417" s="42"/>
      <c r="EP417" s="42"/>
      <c r="EQ417" s="42"/>
      <c r="ER417" s="42"/>
      <c r="ES417" s="42"/>
      <c r="ET417" s="42"/>
      <c r="EU417" s="42"/>
      <c r="EV417" s="42"/>
      <c r="EW417" s="42"/>
      <c r="EX417" s="42"/>
      <c r="EY417" s="42"/>
      <c r="EZ417" s="42"/>
      <c r="FA417" s="42"/>
      <c r="FB417" s="42"/>
      <c r="FC417" s="42"/>
      <c r="FD417" s="42"/>
      <c r="FE417" s="42"/>
      <c r="FF417" s="42"/>
      <c r="FG417" s="42"/>
      <c r="FH417" s="42"/>
      <c r="FI417" s="42"/>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row>
    <row r="418" spans="1:256" ht="13.8" x14ac:dyDescent="0.3">
      <c r="A418" s="42"/>
      <c r="B418" s="42"/>
      <c r="C418" s="42"/>
      <c r="D418" s="42"/>
      <c r="E418" s="42"/>
      <c r="F418" s="42"/>
      <c r="G418" s="42"/>
      <c r="H418" s="42"/>
      <c r="I418" s="42"/>
      <c r="J418" s="42"/>
      <c r="K418" s="42"/>
      <c r="L418" s="42"/>
      <c r="M418" s="42"/>
      <c r="N418" s="42"/>
      <c r="O418" s="42"/>
      <c r="P418" s="42"/>
      <c r="Q418" s="42"/>
      <c r="R418" s="42"/>
      <c r="S418" s="42"/>
      <c r="T418" s="42"/>
      <c r="U418" s="194"/>
      <c r="V418" s="42"/>
      <c r="W418" s="42"/>
      <c r="X418" s="42"/>
      <c r="Y418" s="42"/>
      <c r="Z418" s="42"/>
      <c r="AA418" s="42"/>
      <c r="AB418" s="195"/>
      <c r="AC418" s="42"/>
      <c r="AD418" s="42"/>
      <c r="AE418" s="195"/>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c r="CG418" s="42"/>
      <c r="CH418" s="42"/>
      <c r="CI418" s="42"/>
      <c r="CJ418" s="42"/>
      <c r="CK418" s="42"/>
      <c r="CL418" s="42"/>
      <c r="CM418" s="42"/>
      <c r="CN418" s="42"/>
      <c r="CO418" s="42"/>
      <c r="CP418" s="42"/>
      <c r="CQ418" s="42"/>
      <c r="CR418" s="42"/>
      <c r="CS418" s="42"/>
      <c r="CT418" s="42"/>
      <c r="CU418" s="42"/>
      <c r="CV418" s="42"/>
      <c r="CW418" s="42"/>
      <c r="CX418" s="42"/>
      <c r="CY418" s="42"/>
      <c r="CZ418" s="42"/>
      <c r="DA418" s="42"/>
      <c r="DB418" s="42"/>
      <c r="DC418" s="42"/>
      <c r="DD418" s="42"/>
      <c r="DE418" s="42"/>
      <c r="DF418" s="42"/>
      <c r="DG418" s="42"/>
      <c r="DH418" s="42"/>
      <c r="DI418" s="42"/>
      <c r="DJ418" s="42"/>
      <c r="DK418" s="42"/>
      <c r="DL418" s="42"/>
      <c r="DM418" s="42"/>
      <c r="DN418" s="42"/>
      <c r="DO418" s="42"/>
      <c r="DP418" s="42"/>
      <c r="DQ418" s="42"/>
      <c r="DR418" s="42"/>
      <c r="DS418" s="42"/>
      <c r="DT418" s="42"/>
      <c r="DU418" s="42"/>
      <c r="DV418" s="42"/>
      <c r="DW418" s="42"/>
      <c r="DX418" s="42"/>
      <c r="DY418" s="42"/>
      <c r="DZ418" s="42"/>
      <c r="EA418" s="42"/>
      <c r="EB418" s="42"/>
      <c r="EC418" s="42"/>
      <c r="ED418" s="42"/>
      <c r="EE418" s="42"/>
      <c r="EF418" s="42"/>
      <c r="EG418" s="42"/>
      <c r="EH418" s="42"/>
      <c r="EI418" s="42"/>
      <c r="EJ418" s="42"/>
      <c r="EK418" s="42"/>
      <c r="EL418" s="42"/>
      <c r="EM418" s="42"/>
      <c r="EN418" s="42"/>
      <c r="EO418" s="42"/>
      <c r="EP418" s="42"/>
      <c r="EQ418" s="42"/>
      <c r="ER418" s="42"/>
      <c r="ES418" s="42"/>
      <c r="ET418" s="42"/>
      <c r="EU418" s="42"/>
      <c r="EV418" s="42"/>
      <c r="EW418" s="42"/>
      <c r="EX418" s="42"/>
      <c r="EY418" s="42"/>
      <c r="EZ418" s="42"/>
      <c r="FA418" s="42"/>
      <c r="FB418" s="42"/>
      <c r="FC418" s="42"/>
      <c r="FD418" s="42"/>
      <c r="FE418" s="42"/>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row>
    <row r="419" spans="1:256" ht="13.8" x14ac:dyDescent="0.3">
      <c r="A419" s="42"/>
      <c r="B419" s="42"/>
      <c r="C419" s="42"/>
      <c r="D419" s="42"/>
      <c r="E419" s="42"/>
      <c r="F419" s="42"/>
      <c r="G419" s="42"/>
      <c r="H419" s="42"/>
      <c r="I419" s="42"/>
      <c r="J419" s="42"/>
      <c r="K419" s="42"/>
      <c r="L419" s="42"/>
      <c r="M419" s="42"/>
      <c r="N419" s="42"/>
      <c r="O419" s="42"/>
      <c r="P419" s="42"/>
      <c r="Q419" s="42"/>
      <c r="R419" s="42"/>
      <c r="S419" s="42"/>
      <c r="T419" s="42"/>
      <c r="U419" s="194"/>
      <c r="V419" s="42"/>
      <c r="W419" s="42"/>
      <c r="X419" s="42"/>
      <c r="Y419" s="42"/>
      <c r="Z419" s="42"/>
      <c r="AA419" s="42"/>
      <c r="AB419" s="195"/>
      <c r="AC419" s="42"/>
      <c r="AD419" s="42"/>
      <c r="AE419" s="195"/>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c r="CG419" s="42"/>
      <c r="CH419" s="42"/>
      <c r="CI419" s="42"/>
      <c r="CJ419" s="42"/>
      <c r="CK419" s="42"/>
      <c r="CL419" s="42"/>
      <c r="CM419" s="42"/>
      <c r="CN419" s="42"/>
      <c r="CO419" s="42"/>
      <c r="CP419" s="42"/>
      <c r="CQ419" s="42"/>
      <c r="CR419" s="42"/>
      <c r="CS419" s="42"/>
      <c r="CT419" s="42"/>
      <c r="CU419" s="42"/>
      <c r="CV419" s="42"/>
      <c r="CW419" s="42"/>
      <c r="CX419" s="42"/>
      <c r="CY419" s="42"/>
      <c r="CZ419" s="42"/>
      <c r="DA419" s="42"/>
      <c r="DB419" s="42"/>
      <c r="DC419" s="42"/>
      <c r="DD419" s="42"/>
      <c r="DE419" s="42"/>
      <c r="DF419" s="42"/>
      <c r="DG419" s="42"/>
      <c r="DH419" s="42"/>
      <c r="DI419" s="42"/>
      <c r="DJ419" s="42"/>
      <c r="DK419" s="42"/>
      <c r="DL419" s="42"/>
      <c r="DM419" s="42"/>
      <c r="DN419" s="42"/>
      <c r="DO419" s="42"/>
      <c r="DP419" s="42"/>
      <c r="DQ419" s="42"/>
      <c r="DR419" s="42"/>
      <c r="DS419" s="42"/>
      <c r="DT419" s="42"/>
      <c r="DU419" s="42"/>
      <c r="DV419" s="42"/>
      <c r="DW419" s="42"/>
      <c r="DX419" s="42"/>
      <c r="DY419" s="42"/>
      <c r="DZ419" s="42"/>
      <c r="EA419" s="42"/>
      <c r="EB419" s="42"/>
      <c r="EC419" s="42"/>
      <c r="ED419" s="42"/>
      <c r="EE419" s="42"/>
      <c r="EF419" s="42"/>
      <c r="EG419" s="42"/>
      <c r="EH419" s="42"/>
      <c r="EI419" s="42"/>
      <c r="EJ419" s="42"/>
      <c r="EK419" s="42"/>
      <c r="EL419" s="42"/>
      <c r="EM419" s="42"/>
      <c r="EN419" s="42"/>
      <c r="EO419" s="42"/>
      <c r="EP419" s="42"/>
      <c r="EQ419" s="42"/>
      <c r="ER419" s="42"/>
      <c r="ES419" s="42"/>
      <c r="ET419" s="42"/>
      <c r="EU419" s="42"/>
      <c r="EV419" s="42"/>
      <c r="EW419" s="42"/>
      <c r="EX419" s="42"/>
      <c r="EY419" s="42"/>
      <c r="EZ419" s="42"/>
      <c r="FA419" s="42"/>
      <c r="FB419" s="42"/>
      <c r="FC419" s="42"/>
      <c r="FD419" s="42"/>
      <c r="FE419" s="42"/>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row>
    <row r="420" spans="1:256" ht="13.8" x14ac:dyDescent="0.3">
      <c r="A420" s="42"/>
      <c r="B420" s="42"/>
      <c r="C420" s="42"/>
      <c r="D420" s="42"/>
      <c r="E420" s="42"/>
      <c r="F420" s="42"/>
      <c r="G420" s="42"/>
      <c r="H420" s="42"/>
      <c r="I420" s="42"/>
      <c r="J420" s="42"/>
      <c r="K420" s="42"/>
      <c r="L420" s="42"/>
      <c r="M420" s="42"/>
      <c r="N420" s="42"/>
      <c r="O420" s="42"/>
      <c r="P420" s="42"/>
      <c r="Q420" s="42"/>
      <c r="R420" s="42"/>
      <c r="S420" s="42"/>
      <c r="T420" s="42"/>
      <c r="U420" s="194"/>
      <c r="V420" s="42"/>
      <c r="W420" s="42"/>
      <c r="X420" s="42"/>
      <c r="Y420" s="42"/>
      <c r="Z420" s="42"/>
      <c r="AA420" s="42"/>
      <c r="AB420" s="195"/>
      <c r="AC420" s="42"/>
      <c r="AD420" s="42"/>
      <c r="AE420" s="195"/>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c r="CG420" s="42"/>
      <c r="CH420" s="42"/>
      <c r="CI420" s="42"/>
      <c r="CJ420" s="42"/>
      <c r="CK420" s="42"/>
      <c r="CL420" s="42"/>
      <c r="CM420" s="42"/>
      <c r="CN420" s="42"/>
      <c r="CO420" s="42"/>
      <c r="CP420" s="42"/>
      <c r="CQ420" s="42"/>
      <c r="CR420" s="42"/>
      <c r="CS420" s="42"/>
      <c r="CT420" s="42"/>
      <c r="CU420" s="42"/>
      <c r="CV420" s="42"/>
      <c r="CW420" s="42"/>
      <c r="CX420" s="42"/>
      <c r="CY420" s="42"/>
      <c r="CZ420" s="42"/>
      <c r="DA420" s="42"/>
      <c r="DB420" s="42"/>
      <c r="DC420" s="42"/>
      <c r="DD420" s="42"/>
      <c r="DE420" s="42"/>
      <c r="DF420" s="42"/>
      <c r="DG420" s="42"/>
      <c r="DH420" s="42"/>
      <c r="DI420" s="42"/>
      <c r="DJ420" s="42"/>
      <c r="DK420" s="42"/>
      <c r="DL420" s="42"/>
      <c r="DM420" s="42"/>
      <c r="DN420" s="42"/>
      <c r="DO420" s="42"/>
      <c r="DP420" s="42"/>
      <c r="DQ420" s="42"/>
      <c r="DR420" s="42"/>
      <c r="DS420" s="42"/>
      <c r="DT420" s="42"/>
      <c r="DU420" s="42"/>
      <c r="DV420" s="42"/>
      <c r="DW420" s="42"/>
      <c r="DX420" s="42"/>
      <c r="DY420" s="42"/>
      <c r="DZ420" s="42"/>
      <c r="EA420" s="42"/>
      <c r="EB420" s="42"/>
      <c r="EC420" s="42"/>
      <c r="ED420" s="42"/>
      <c r="EE420" s="42"/>
      <c r="EF420" s="42"/>
      <c r="EG420" s="42"/>
      <c r="EH420" s="42"/>
      <c r="EI420" s="42"/>
      <c r="EJ420" s="42"/>
      <c r="EK420" s="42"/>
      <c r="EL420" s="42"/>
      <c r="EM420" s="42"/>
      <c r="EN420" s="42"/>
      <c r="EO420" s="42"/>
      <c r="EP420" s="42"/>
      <c r="EQ420" s="42"/>
      <c r="ER420" s="42"/>
      <c r="ES420" s="42"/>
      <c r="ET420" s="42"/>
      <c r="EU420" s="42"/>
      <c r="EV420" s="42"/>
      <c r="EW420" s="42"/>
      <c r="EX420" s="42"/>
      <c r="EY420" s="42"/>
      <c r="EZ420" s="42"/>
      <c r="FA420" s="42"/>
      <c r="FB420" s="42"/>
      <c r="FC420" s="42"/>
      <c r="FD420" s="42"/>
      <c r="FE420" s="42"/>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row>
    <row r="421" spans="1:256" ht="13.8" x14ac:dyDescent="0.3">
      <c r="A421" s="42"/>
      <c r="B421" s="42"/>
      <c r="C421" s="42"/>
      <c r="D421" s="42"/>
      <c r="E421" s="42"/>
      <c r="F421" s="42"/>
      <c r="G421" s="42"/>
      <c r="H421" s="42"/>
      <c r="I421" s="42"/>
      <c r="J421" s="42"/>
      <c r="K421" s="42"/>
      <c r="L421" s="42"/>
      <c r="M421" s="42"/>
      <c r="N421" s="42"/>
      <c r="O421" s="42"/>
      <c r="P421" s="42"/>
      <c r="Q421" s="42"/>
      <c r="R421" s="42"/>
      <c r="S421" s="42"/>
      <c r="T421" s="42"/>
      <c r="U421" s="194"/>
      <c r="V421" s="42"/>
      <c r="W421" s="42"/>
      <c r="X421" s="42"/>
      <c r="Y421" s="42"/>
      <c r="Z421" s="42"/>
      <c r="AA421" s="42"/>
      <c r="AB421" s="195"/>
      <c r="AC421" s="42"/>
      <c r="AD421" s="42"/>
      <c r="AE421" s="195"/>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c r="CG421" s="42"/>
      <c r="CH421" s="42"/>
      <c r="CI421" s="42"/>
      <c r="CJ421" s="42"/>
      <c r="CK421" s="42"/>
      <c r="CL421" s="42"/>
      <c r="CM421" s="42"/>
      <c r="CN421" s="42"/>
      <c r="CO421" s="42"/>
      <c r="CP421" s="42"/>
      <c r="CQ421" s="42"/>
      <c r="CR421" s="42"/>
      <c r="CS421" s="42"/>
      <c r="CT421" s="42"/>
      <c r="CU421" s="42"/>
      <c r="CV421" s="42"/>
      <c r="CW421" s="42"/>
      <c r="CX421" s="42"/>
      <c r="CY421" s="42"/>
      <c r="CZ421" s="42"/>
      <c r="DA421" s="42"/>
      <c r="DB421" s="42"/>
      <c r="DC421" s="42"/>
      <c r="DD421" s="42"/>
      <c r="DE421" s="42"/>
      <c r="DF421" s="42"/>
      <c r="DG421" s="42"/>
      <c r="DH421" s="42"/>
      <c r="DI421" s="42"/>
      <c r="DJ421" s="42"/>
      <c r="DK421" s="42"/>
      <c r="DL421" s="42"/>
      <c r="DM421" s="42"/>
      <c r="DN421" s="42"/>
      <c r="DO421" s="42"/>
      <c r="DP421" s="42"/>
      <c r="DQ421" s="42"/>
      <c r="DR421" s="42"/>
      <c r="DS421" s="42"/>
      <c r="DT421" s="42"/>
      <c r="DU421" s="42"/>
      <c r="DV421" s="42"/>
      <c r="DW421" s="42"/>
      <c r="DX421" s="42"/>
      <c r="DY421" s="42"/>
      <c r="DZ421" s="42"/>
      <c r="EA421" s="42"/>
      <c r="EB421" s="42"/>
      <c r="EC421" s="42"/>
      <c r="ED421" s="42"/>
      <c r="EE421" s="42"/>
      <c r="EF421" s="42"/>
      <c r="EG421" s="42"/>
      <c r="EH421" s="42"/>
      <c r="EI421" s="42"/>
      <c r="EJ421" s="42"/>
      <c r="EK421" s="42"/>
      <c r="EL421" s="42"/>
      <c r="EM421" s="42"/>
      <c r="EN421" s="42"/>
      <c r="EO421" s="42"/>
      <c r="EP421" s="42"/>
      <c r="EQ421" s="42"/>
      <c r="ER421" s="42"/>
      <c r="ES421" s="42"/>
      <c r="ET421" s="42"/>
      <c r="EU421" s="42"/>
      <c r="EV421" s="42"/>
      <c r="EW421" s="42"/>
      <c r="EX421" s="42"/>
      <c r="EY421" s="42"/>
      <c r="EZ421" s="42"/>
      <c r="FA421" s="42"/>
      <c r="FB421" s="42"/>
      <c r="FC421" s="42"/>
      <c r="FD421" s="42"/>
      <c r="FE421" s="42"/>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row>
    <row r="422" spans="1:256" ht="13.8" x14ac:dyDescent="0.3">
      <c r="A422" s="42"/>
      <c r="B422" s="42"/>
      <c r="C422" s="42"/>
      <c r="D422" s="42"/>
      <c r="E422" s="42"/>
      <c r="F422" s="42"/>
      <c r="G422" s="42"/>
      <c r="H422" s="42"/>
      <c r="I422" s="42"/>
      <c r="J422" s="42"/>
      <c r="K422" s="42"/>
      <c r="L422" s="42"/>
      <c r="M422" s="42"/>
      <c r="N422" s="42"/>
      <c r="O422" s="42"/>
      <c r="P422" s="42"/>
      <c r="Q422" s="42"/>
      <c r="R422" s="42"/>
      <c r="S422" s="42"/>
      <c r="T422" s="42"/>
      <c r="U422" s="194"/>
      <c r="V422" s="42"/>
      <c r="W422" s="42"/>
      <c r="X422" s="42"/>
      <c r="Y422" s="42"/>
      <c r="Z422" s="42"/>
      <c r="AA422" s="42"/>
      <c r="AB422" s="195"/>
      <c r="AC422" s="42"/>
      <c r="AD422" s="42"/>
      <c r="AE422" s="195"/>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c r="CG422" s="42"/>
      <c r="CH422" s="42"/>
      <c r="CI422" s="42"/>
      <c r="CJ422" s="42"/>
      <c r="CK422" s="42"/>
      <c r="CL422" s="42"/>
      <c r="CM422" s="42"/>
      <c r="CN422" s="42"/>
      <c r="CO422" s="42"/>
      <c r="CP422" s="42"/>
      <c r="CQ422" s="42"/>
      <c r="CR422" s="42"/>
      <c r="CS422" s="42"/>
      <c r="CT422" s="42"/>
      <c r="CU422" s="42"/>
      <c r="CV422" s="42"/>
      <c r="CW422" s="42"/>
      <c r="CX422" s="42"/>
      <c r="CY422" s="42"/>
      <c r="CZ422" s="42"/>
      <c r="DA422" s="42"/>
      <c r="DB422" s="42"/>
      <c r="DC422" s="42"/>
      <c r="DD422" s="42"/>
      <c r="DE422" s="42"/>
      <c r="DF422" s="42"/>
      <c r="DG422" s="42"/>
      <c r="DH422" s="42"/>
      <c r="DI422" s="42"/>
      <c r="DJ422" s="42"/>
      <c r="DK422" s="42"/>
      <c r="DL422" s="42"/>
      <c r="DM422" s="42"/>
      <c r="DN422" s="42"/>
      <c r="DO422" s="42"/>
      <c r="DP422" s="42"/>
      <c r="DQ422" s="42"/>
      <c r="DR422" s="42"/>
      <c r="DS422" s="42"/>
      <c r="DT422" s="42"/>
      <c r="DU422" s="42"/>
      <c r="DV422" s="42"/>
      <c r="DW422" s="42"/>
      <c r="DX422" s="42"/>
      <c r="DY422" s="42"/>
      <c r="DZ422" s="42"/>
      <c r="EA422" s="42"/>
      <c r="EB422" s="42"/>
      <c r="EC422" s="42"/>
      <c r="ED422" s="42"/>
      <c r="EE422" s="42"/>
      <c r="EF422" s="42"/>
      <c r="EG422" s="42"/>
      <c r="EH422" s="42"/>
      <c r="EI422" s="42"/>
      <c r="EJ422" s="42"/>
      <c r="EK422" s="42"/>
      <c r="EL422" s="42"/>
      <c r="EM422" s="42"/>
      <c r="EN422" s="42"/>
      <c r="EO422" s="42"/>
      <c r="EP422" s="42"/>
      <c r="EQ422" s="42"/>
      <c r="ER422" s="42"/>
      <c r="ES422" s="42"/>
      <c r="ET422" s="42"/>
      <c r="EU422" s="42"/>
      <c r="EV422" s="42"/>
      <c r="EW422" s="42"/>
      <c r="EX422" s="42"/>
      <c r="EY422" s="42"/>
      <c r="EZ422" s="42"/>
      <c r="FA422" s="42"/>
      <c r="FB422" s="42"/>
      <c r="FC422" s="42"/>
      <c r="FD422" s="42"/>
      <c r="FE422" s="42"/>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row>
    <row r="423" spans="1:256" ht="13.8" x14ac:dyDescent="0.3">
      <c r="A423" s="42"/>
      <c r="B423" s="42"/>
      <c r="C423" s="42"/>
      <c r="D423" s="42"/>
      <c r="E423" s="42"/>
      <c r="F423" s="42"/>
      <c r="G423" s="42"/>
      <c r="H423" s="42"/>
      <c r="I423" s="42"/>
      <c r="J423" s="42"/>
      <c r="K423" s="42"/>
      <c r="L423" s="42"/>
      <c r="M423" s="42"/>
      <c r="N423" s="42"/>
      <c r="O423" s="42"/>
      <c r="P423" s="42"/>
      <c r="Q423" s="42"/>
      <c r="R423" s="42"/>
      <c r="S423" s="42"/>
      <c r="T423" s="42"/>
      <c r="U423" s="194"/>
      <c r="V423" s="42"/>
      <c r="W423" s="42"/>
      <c r="X423" s="42"/>
      <c r="Y423" s="42"/>
      <c r="Z423" s="42"/>
      <c r="AA423" s="42"/>
      <c r="AB423" s="195"/>
      <c r="AC423" s="42"/>
      <c r="AD423" s="42"/>
      <c r="AE423" s="195"/>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c r="CG423" s="42"/>
      <c r="CH423" s="42"/>
      <c r="CI423" s="42"/>
      <c r="CJ423" s="42"/>
      <c r="CK423" s="42"/>
      <c r="CL423" s="42"/>
      <c r="CM423" s="42"/>
      <c r="CN423" s="42"/>
      <c r="CO423" s="42"/>
      <c r="CP423" s="42"/>
      <c r="CQ423" s="42"/>
      <c r="CR423" s="42"/>
      <c r="CS423" s="42"/>
      <c r="CT423" s="42"/>
      <c r="CU423" s="42"/>
      <c r="CV423" s="42"/>
      <c r="CW423" s="42"/>
      <c r="CX423" s="42"/>
      <c r="CY423" s="42"/>
      <c r="CZ423" s="42"/>
      <c r="DA423" s="42"/>
      <c r="DB423" s="42"/>
      <c r="DC423" s="42"/>
      <c r="DD423" s="42"/>
      <c r="DE423" s="42"/>
      <c r="DF423" s="42"/>
      <c r="DG423" s="42"/>
      <c r="DH423" s="42"/>
      <c r="DI423" s="42"/>
      <c r="DJ423" s="42"/>
      <c r="DK423" s="42"/>
      <c r="DL423" s="42"/>
      <c r="DM423" s="42"/>
      <c r="DN423" s="42"/>
      <c r="DO423" s="42"/>
      <c r="DP423" s="42"/>
      <c r="DQ423" s="42"/>
      <c r="DR423" s="42"/>
      <c r="DS423" s="42"/>
      <c r="DT423" s="42"/>
      <c r="DU423" s="42"/>
      <c r="DV423" s="42"/>
      <c r="DW423" s="42"/>
      <c r="DX423" s="42"/>
      <c r="DY423" s="42"/>
      <c r="DZ423" s="42"/>
      <c r="EA423" s="42"/>
      <c r="EB423" s="42"/>
      <c r="EC423" s="42"/>
      <c r="ED423" s="42"/>
      <c r="EE423" s="42"/>
      <c r="EF423" s="42"/>
      <c r="EG423" s="42"/>
      <c r="EH423" s="42"/>
      <c r="EI423" s="42"/>
      <c r="EJ423" s="42"/>
      <c r="EK423" s="42"/>
      <c r="EL423" s="42"/>
      <c r="EM423" s="42"/>
      <c r="EN423" s="42"/>
      <c r="EO423" s="42"/>
      <c r="EP423" s="42"/>
      <c r="EQ423" s="42"/>
      <c r="ER423" s="42"/>
      <c r="ES423" s="42"/>
      <c r="ET423" s="42"/>
      <c r="EU423" s="42"/>
      <c r="EV423" s="42"/>
      <c r="EW423" s="42"/>
      <c r="EX423" s="42"/>
      <c r="EY423" s="42"/>
      <c r="EZ423" s="42"/>
      <c r="FA423" s="42"/>
      <c r="FB423" s="42"/>
      <c r="FC423" s="42"/>
      <c r="FD423" s="42"/>
      <c r="FE423" s="42"/>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row>
    <row r="424" spans="1:256" ht="13.8" x14ac:dyDescent="0.3">
      <c r="A424" s="42"/>
      <c r="B424" s="42"/>
      <c r="C424" s="42"/>
      <c r="D424" s="42"/>
      <c r="E424" s="42"/>
      <c r="F424" s="42"/>
      <c r="G424" s="42"/>
      <c r="H424" s="42"/>
      <c r="I424" s="42"/>
      <c r="J424" s="42"/>
      <c r="K424" s="42"/>
      <c r="L424" s="42"/>
      <c r="M424" s="42"/>
      <c r="N424" s="42"/>
      <c r="O424" s="42"/>
      <c r="P424" s="42"/>
      <c r="Q424" s="42"/>
      <c r="R424" s="42"/>
      <c r="S424" s="42"/>
      <c r="T424" s="42"/>
      <c r="U424" s="194"/>
      <c r="V424" s="42"/>
      <c r="W424" s="42"/>
      <c r="X424" s="42"/>
      <c r="Y424" s="42"/>
      <c r="Z424" s="42"/>
      <c r="AA424" s="42"/>
      <c r="AB424" s="195"/>
      <c r="AC424" s="42"/>
      <c r="AD424" s="42"/>
      <c r="AE424" s="195"/>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c r="CG424" s="42"/>
      <c r="CH424" s="42"/>
      <c r="CI424" s="42"/>
      <c r="CJ424" s="42"/>
      <c r="CK424" s="42"/>
      <c r="CL424" s="42"/>
      <c r="CM424" s="42"/>
      <c r="CN424" s="42"/>
      <c r="CO424" s="42"/>
      <c r="CP424" s="42"/>
      <c r="CQ424" s="42"/>
      <c r="CR424" s="42"/>
      <c r="CS424" s="42"/>
      <c r="CT424" s="42"/>
      <c r="CU424" s="42"/>
      <c r="CV424" s="42"/>
      <c r="CW424" s="42"/>
      <c r="CX424" s="42"/>
      <c r="CY424" s="42"/>
      <c r="CZ424" s="42"/>
      <c r="DA424" s="42"/>
      <c r="DB424" s="42"/>
      <c r="DC424" s="42"/>
      <c r="DD424" s="42"/>
      <c r="DE424" s="42"/>
      <c r="DF424" s="42"/>
      <c r="DG424" s="42"/>
      <c r="DH424" s="42"/>
      <c r="DI424" s="42"/>
      <c r="DJ424" s="42"/>
      <c r="DK424" s="42"/>
      <c r="DL424" s="42"/>
      <c r="DM424" s="42"/>
      <c r="DN424" s="42"/>
      <c r="DO424" s="42"/>
      <c r="DP424" s="42"/>
      <c r="DQ424" s="42"/>
      <c r="DR424" s="42"/>
      <c r="DS424" s="42"/>
      <c r="DT424" s="42"/>
      <c r="DU424" s="42"/>
      <c r="DV424" s="42"/>
      <c r="DW424" s="42"/>
      <c r="DX424" s="42"/>
      <c r="DY424" s="42"/>
      <c r="DZ424" s="42"/>
      <c r="EA424" s="42"/>
      <c r="EB424" s="42"/>
      <c r="EC424" s="42"/>
      <c r="ED424" s="42"/>
      <c r="EE424" s="42"/>
      <c r="EF424" s="42"/>
      <c r="EG424" s="42"/>
      <c r="EH424" s="42"/>
      <c r="EI424" s="42"/>
      <c r="EJ424" s="42"/>
      <c r="EK424" s="42"/>
      <c r="EL424" s="42"/>
      <c r="EM424" s="42"/>
      <c r="EN424" s="42"/>
      <c r="EO424" s="42"/>
      <c r="EP424" s="42"/>
      <c r="EQ424" s="42"/>
      <c r="ER424" s="42"/>
      <c r="ES424" s="42"/>
      <c r="ET424" s="42"/>
      <c r="EU424" s="42"/>
      <c r="EV424" s="42"/>
      <c r="EW424" s="42"/>
      <c r="EX424" s="42"/>
      <c r="EY424" s="42"/>
      <c r="EZ424" s="42"/>
      <c r="FA424" s="42"/>
      <c r="FB424" s="42"/>
      <c r="FC424" s="42"/>
      <c r="FD424" s="42"/>
      <c r="FE424" s="42"/>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row>
    <row r="425" spans="1:256" ht="13.8" x14ac:dyDescent="0.3">
      <c r="A425" s="42"/>
      <c r="B425" s="42"/>
      <c r="C425" s="42"/>
      <c r="D425" s="42"/>
      <c r="E425" s="42"/>
      <c r="F425" s="42"/>
      <c r="G425" s="42"/>
      <c r="H425" s="42"/>
      <c r="I425" s="42"/>
      <c r="J425" s="42"/>
      <c r="K425" s="42"/>
      <c r="L425" s="42"/>
      <c r="M425" s="42"/>
      <c r="N425" s="42"/>
      <c r="O425" s="42"/>
      <c r="P425" s="42"/>
      <c r="Q425" s="42"/>
      <c r="R425" s="42"/>
      <c r="S425" s="42"/>
      <c r="T425" s="42"/>
      <c r="U425" s="194"/>
      <c r="V425" s="42"/>
      <c r="W425" s="42"/>
      <c r="X425" s="42"/>
      <c r="Y425" s="42"/>
      <c r="Z425" s="42"/>
      <c r="AA425" s="42"/>
      <c r="AB425" s="195"/>
      <c r="AC425" s="42"/>
      <c r="AD425" s="42"/>
      <c r="AE425" s="195"/>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c r="CG425" s="42"/>
      <c r="CH425" s="42"/>
      <c r="CI425" s="42"/>
      <c r="CJ425" s="42"/>
      <c r="CK425" s="42"/>
      <c r="CL425" s="42"/>
      <c r="CM425" s="42"/>
      <c r="CN425" s="42"/>
      <c r="CO425" s="42"/>
      <c r="CP425" s="42"/>
      <c r="CQ425" s="42"/>
      <c r="CR425" s="42"/>
      <c r="CS425" s="42"/>
      <c r="CT425" s="42"/>
      <c r="CU425" s="42"/>
      <c r="CV425" s="42"/>
      <c r="CW425" s="42"/>
      <c r="CX425" s="42"/>
      <c r="CY425" s="42"/>
      <c r="CZ425" s="42"/>
      <c r="DA425" s="42"/>
      <c r="DB425" s="42"/>
      <c r="DC425" s="42"/>
      <c r="DD425" s="42"/>
      <c r="DE425" s="42"/>
      <c r="DF425" s="42"/>
      <c r="DG425" s="42"/>
      <c r="DH425" s="42"/>
      <c r="DI425" s="42"/>
      <c r="DJ425" s="42"/>
      <c r="DK425" s="42"/>
      <c r="DL425" s="42"/>
      <c r="DM425" s="42"/>
      <c r="DN425" s="42"/>
      <c r="DO425" s="42"/>
      <c r="DP425" s="42"/>
      <c r="DQ425" s="42"/>
      <c r="DR425" s="42"/>
      <c r="DS425" s="42"/>
      <c r="DT425" s="42"/>
      <c r="DU425" s="42"/>
      <c r="DV425" s="42"/>
      <c r="DW425" s="42"/>
      <c r="DX425" s="42"/>
      <c r="DY425" s="42"/>
      <c r="DZ425" s="42"/>
      <c r="EA425" s="42"/>
      <c r="EB425" s="42"/>
      <c r="EC425" s="42"/>
      <c r="ED425" s="42"/>
      <c r="EE425" s="42"/>
      <c r="EF425" s="42"/>
      <c r="EG425" s="42"/>
      <c r="EH425" s="42"/>
      <c r="EI425" s="42"/>
      <c r="EJ425" s="42"/>
      <c r="EK425" s="42"/>
      <c r="EL425" s="42"/>
      <c r="EM425" s="42"/>
      <c r="EN425" s="42"/>
      <c r="EO425" s="42"/>
      <c r="EP425" s="42"/>
      <c r="EQ425" s="42"/>
      <c r="ER425" s="42"/>
      <c r="ES425" s="42"/>
      <c r="ET425" s="42"/>
      <c r="EU425" s="42"/>
      <c r="EV425" s="42"/>
      <c r="EW425" s="42"/>
      <c r="EX425" s="42"/>
      <c r="EY425" s="42"/>
      <c r="EZ425" s="42"/>
      <c r="FA425" s="42"/>
      <c r="FB425" s="42"/>
      <c r="FC425" s="42"/>
      <c r="FD425" s="42"/>
      <c r="FE425" s="42"/>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row>
    <row r="426" spans="1:256" ht="13.8" x14ac:dyDescent="0.3">
      <c r="A426" s="42"/>
      <c r="B426" s="42"/>
      <c r="C426" s="42"/>
      <c r="D426" s="42"/>
      <c r="E426" s="42"/>
      <c r="F426" s="42"/>
      <c r="G426" s="42"/>
      <c r="H426" s="42"/>
      <c r="I426" s="42"/>
      <c r="J426" s="42"/>
      <c r="K426" s="42"/>
      <c r="L426" s="42"/>
      <c r="M426" s="42"/>
      <c r="N426" s="42"/>
      <c r="O426" s="42"/>
      <c r="P426" s="42"/>
      <c r="Q426" s="42"/>
      <c r="R426" s="42"/>
      <c r="S426" s="42"/>
      <c r="T426" s="42"/>
      <c r="U426" s="194"/>
      <c r="V426" s="42"/>
      <c r="W426" s="42"/>
      <c r="X426" s="42"/>
      <c r="Y426" s="42"/>
      <c r="Z426" s="42"/>
      <c r="AA426" s="42"/>
      <c r="AB426" s="195"/>
      <c r="AC426" s="42"/>
      <c r="AD426" s="42"/>
      <c r="AE426" s="195"/>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c r="CG426" s="42"/>
      <c r="CH426" s="42"/>
      <c r="CI426" s="42"/>
      <c r="CJ426" s="42"/>
      <c r="CK426" s="42"/>
      <c r="CL426" s="42"/>
      <c r="CM426" s="42"/>
      <c r="CN426" s="42"/>
      <c r="CO426" s="42"/>
      <c r="CP426" s="42"/>
      <c r="CQ426" s="42"/>
      <c r="CR426" s="42"/>
      <c r="CS426" s="42"/>
      <c r="CT426" s="42"/>
      <c r="CU426" s="42"/>
      <c r="CV426" s="42"/>
      <c r="CW426" s="42"/>
      <c r="CX426" s="42"/>
      <c r="CY426" s="42"/>
      <c r="CZ426" s="42"/>
      <c r="DA426" s="42"/>
      <c r="DB426" s="42"/>
      <c r="DC426" s="42"/>
      <c r="DD426" s="42"/>
      <c r="DE426" s="42"/>
      <c r="DF426" s="42"/>
      <c r="DG426" s="42"/>
      <c r="DH426" s="42"/>
      <c r="DI426" s="42"/>
      <c r="DJ426" s="42"/>
      <c r="DK426" s="42"/>
      <c r="DL426" s="42"/>
      <c r="DM426" s="42"/>
      <c r="DN426" s="42"/>
      <c r="DO426" s="42"/>
      <c r="DP426" s="42"/>
      <c r="DQ426" s="42"/>
      <c r="DR426" s="42"/>
      <c r="DS426" s="42"/>
      <c r="DT426" s="42"/>
      <c r="DU426" s="42"/>
      <c r="DV426" s="42"/>
      <c r="DW426" s="42"/>
      <c r="DX426" s="42"/>
      <c r="DY426" s="42"/>
      <c r="DZ426" s="42"/>
      <c r="EA426" s="42"/>
      <c r="EB426" s="42"/>
      <c r="EC426" s="42"/>
      <c r="ED426" s="42"/>
      <c r="EE426" s="42"/>
      <c r="EF426" s="42"/>
      <c r="EG426" s="42"/>
      <c r="EH426" s="42"/>
      <c r="EI426" s="42"/>
      <c r="EJ426" s="42"/>
      <c r="EK426" s="42"/>
      <c r="EL426" s="42"/>
      <c r="EM426" s="42"/>
      <c r="EN426" s="42"/>
      <c r="EO426" s="42"/>
      <c r="EP426" s="42"/>
      <c r="EQ426" s="42"/>
      <c r="ER426" s="42"/>
      <c r="ES426" s="42"/>
      <c r="ET426" s="42"/>
      <c r="EU426" s="42"/>
      <c r="EV426" s="42"/>
      <c r="EW426" s="42"/>
      <c r="EX426" s="42"/>
      <c r="EY426" s="42"/>
      <c r="EZ426" s="42"/>
      <c r="FA426" s="42"/>
      <c r="FB426" s="42"/>
      <c r="FC426" s="42"/>
      <c r="FD426" s="42"/>
      <c r="FE426" s="42"/>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row>
    <row r="427" spans="1:256" ht="13.8" x14ac:dyDescent="0.3">
      <c r="A427" s="42"/>
      <c r="B427" s="42"/>
      <c r="C427" s="42"/>
      <c r="D427" s="42"/>
      <c r="E427" s="42"/>
      <c r="F427" s="42"/>
      <c r="G427" s="42"/>
      <c r="H427" s="42"/>
      <c r="I427" s="42"/>
      <c r="J427" s="42"/>
      <c r="K427" s="42"/>
      <c r="L427" s="42"/>
      <c r="M427" s="42"/>
      <c r="N427" s="42"/>
      <c r="O427" s="42"/>
      <c r="P427" s="42"/>
      <c r="Q427" s="42"/>
      <c r="R427" s="42"/>
      <c r="S427" s="42"/>
      <c r="T427" s="42"/>
      <c r="U427" s="194"/>
      <c r="V427" s="42"/>
      <c r="W427" s="42"/>
      <c r="X427" s="42"/>
      <c r="Y427" s="42"/>
      <c r="Z427" s="42"/>
      <c r="AA427" s="42"/>
      <c r="AB427" s="195"/>
      <c r="AC427" s="42"/>
      <c r="AD427" s="42"/>
      <c r="AE427" s="195"/>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c r="CG427" s="42"/>
      <c r="CH427" s="42"/>
      <c r="CI427" s="42"/>
      <c r="CJ427" s="42"/>
      <c r="CK427" s="42"/>
      <c r="CL427" s="42"/>
      <c r="CM427" s="42"/>
      <c r="CN427" s="42"/>
      <c r="CO427" s="42"/>
      <c r="CP427" s="42"/>
      <c r="CQ427" s="42"/>
      <c r="CR427" s="42"/>
      <c r="CS427" s="42"/>
      <c r="CT427" s="42"/>
      <c r="CU427" s="42"/>
      <c r="CV427" s="42"/>
      <c r="CW427" s="42"/>
      <c r="CX427" s="42"/>
      <c r="CY427" s="42"/>
      <c r="CZ427" s="42"/>
      <c r="DA427" s="42"/>
      <c r="DB427" s="42"/>
      <c r="DC427" s="42"/>
      <c r="DD427" s="42"/>
      <c r="DE427" s="42"/>
      <c r="DF427" s="42"/>
      <c r="DG427" s="42"/>
      <c r="DH427" s="42"/>
      <c r="DI427" s="42"/>
      <c r="DJ427" s="42"/>
      <c r="DK427" s="42"/>
      <c r="DL427" s="42"/>
      <c r="DM427" s="42"/>
      <c r="DN427" s="42"/>
      <c r="DO427" s="42"/>
      <c r="DP427" s="42"/>
      <c r="DQ427" s="42"/>
      <c r="DR427" s="42"/>
      <c r="DS427" s="42"/>
      <c r="DT427" s="42"/>
      <c r="DU427" s="42"/>
      <c r="DV427" s="42"/>
      <c r="DW427" s="42"/>
      <c r="DX427" s="42"/>
      <c r="DY427" s="42"/>
      <c r="DZ427" s="42"/>
      <c r="EA427" s="42"/>
      <c r="EB427" s="42"/>
      <c r="EC427" s="42"/>
      <c r="ED427" s="42"/>
      <c r="EE427" s="42"/>
      <c r="EF427" s="42"/>
      <c r="EG427" s="42"/>
      <c r="EH427" s="42"/>
      <c r="EI427" s="42"/>
      <c r="EJ427" s="42"/>
      <c r="EK427" s="42"/>
      <c r="EL427" s="42"/>
      <c r="EM427" s="42"/>
      <c r="EN427" s="42"/>
      <c r="EO427" s="42"/>
      <c r="EP427" s="42"/>
      <c r="EQ427" s="42"/>
      <c r="ER427" s="42"/>
      <c r="ES427" s="42"/>
      <c r="ET427" s="42"/>
      <c r="EU427" s="42"/>
      <c r="EV427" s="42"/>
      <c r="EW427" s="42"/>
      <c r="EX427" s="42"/>
      <c r="EY427" s="42"/>
      <c r="EZ427" s="42"/>
      <c r="FA427" s="42"/>
      <c r="FB427" s="42"/>
      <c r="FC427" s="42"/>
      <c r="FD427" s="42"/>
      <c r="FE427" s="42"/>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row>
    <row r="428" spans="1:256" ht="13.8" x14ac:dyDescent="0.3">
      <c r="A428" s="42"/>
      <c r="B428" s="42"/>
      <c r="C428" s="42"/>
      <c r="D428" s="42"/>
      <c r="E428" s="42"/>
      <c r="F428" s="42"/>
      <c r="G428" s="42"/>
      <c r="H428" s="42"/>
      <c r="I428" s="42"/>
      <c r="J428" s="42"/>
      <c r="K428" s="42"/>
      <c r="L428" s="42"/>
      <c r="M428" s="42"/>
      <c r="N428" s="42"/>
      <c r="O428" s="42"/>
      <c r="P428" s="42"/>
      <c r="Q428" s="42"/>
      <c r="R428" s="42"/>
      <c r="S428" s="42"/>
      <c r="T428" s="42"/>
      <c r="U428" s="194"/>
      <c r="V428" s="42"/>
      <c r="W428" s="42"/>
      <c r="X428" s="42"/>
      <c r="Y428" s="42"/>
      <c r="Z428" s="42"/>
      <c r="AA428" s="42"/>
      <c r="AB428" s="195"/>
      <c r="AC428" s="42"/>
      <c r="AD428" s="42"/>
      <c r="AE428" s="195"/>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c r="CG428" s="42"/>
      <c r="CH428" s="42"/>
      <c r="CI428" s="42"/>
      <c r="CJ428" s="42"/>
      <c r="CK428" s="42"/>
      <c r="CL428" s="42"/>
      <c r="CM428" s="42"/>
      <c r="CN428" s="42"/>
      <c r="CO428" s="42"/>
      <c r="CP428" s="42"/>
      <c r="CQ428" s="42"/>
      <c r="CR428" s="42"/>
      <c r="CS428" s="42"/>
      <c r="CT428" s="42"/>
      <c r="CU428" s="42"/>
      <c r="CV428" s="42"/>
      <c r="CW428" s="42"/>
      <c r="CX428" s="42"/>
      <c r="CY428" s="42"/>
      <c r="CZ428" s="42"/>
      <c r="DA428" s="42"/>
      <c r="DB428" s="42"/>
      <c r="DC428" s="42"/>
      <c r="DD428" s="42"/>
      <c r="DE428" s="42"/>
      <c r="DF428" s="42"/>
      <c r="DG428" s="42"/>
      <c r="DH428" s="42"/>
      <c r="DI428" s="42"/>
      <c r="DJ428" s="42"/>
      <c r="DK428" s="42"/>
      <c r="DL428" s="42"/>
      <c r="DM428" s="42"/>
      <c r="DN428" s="42"/>
      <c r="DO428" s="42"/>
      <c r="DP428" s="42"/>
      <c r="DQ428" s="42"/>
      <c r="DR428" s="42"/>
      <c r="DS428" s="42"/>
      <c r="DT428" s="42"/>
      <c r="DU428" s="42"/>
      <c r="DV428" s="42"/>
      <c r="DW428" s="42"/>
      <c r="DX428" s="42"/>
      <c r="DY428" s="42"/>
      <c r="DZ428" s="42"/>
      <c r="EA428" s="42"/>
      <c r="EB428" s="42"/>
      <c r="EC428" s="42"/>
      <c r="ED428" s="42"/>
      <c r="EE428" s="42"/>
      <c r="EF428" s="42"/>
      <c r="EG428" s="42"/>
      <c r="EH428" s="42"/>
      <c r="EI428" s="42"/>
      <c r="EJ428" s="42"/>
      <c r="EK428" s="42"/>
      <c r="EL428" s="42"/>
      <c r="EM428" s="42"/>
      <c r="EN428" s="42"/>
      <c r="EO428" s="42"/>
      <c r="EP428" s="42"/>
      <c r="EQ428" s="42"/>
      <c r="ER428" s="42"/>
      <c r="ES428" s="42"/>
      <c r="ET428" s="42"/>
      <c r="EU428" s="42"/>
      <c r="EV428" s="42"/>
      <c r="EW428" s="42"/>
      <c r="EX428" s="42"/>
      <c r="EY428" s="42"/>
      <c r="EZ428" s="42"/>
      <c r="FA428" s="42"/>
      <c r="FB428" s="42"/>
      <c r="FC428" s="42"/>
      <c r="FD428" s="42"/>
      <c r="FE428" s="42"/>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row>
    <row r="429" spans="1:256" ht="13.8" x14ac:dyDescent="0.3">
      <c r="A429" s="42"/>
      <c r="B429" s="42"/>
      <c r="C429" s="42"/>
      <c r="D429" s="42"/>
      <c r="E429" s="42"/>
      <c r="F429" s="42"/>
      <c r="G429" s="42"/>
      <c r="H429" s="42"/>
      <c r="I429" s="42"/>
      <c r="J429" s="42"/>
      <c r="K429" s="42"/>
      <c r="L429" s="42"/>
      <c r="M429" s="42"/>
      <c r="N429" s="42"/>
      <c r="O429" s="42"/>
      <c r="P429" s="42"/>
      <c r="Q429" s="42"/>
      <c r="R429" s="42"/>
      <c r="S429" s="42"/>
      <c r="T429" s="42"/>
      <c r="U429" s="194"/>
      <c r="V429" s="42"/>
      <c r="W429" s="42"/>
      <c r="X429" s="42"/>
      <c r="Y429" s="42"/>
      <c r="Z429" s="42"/>
      <c r="AA429" s="42"/>
      <c r="AB429" s="195"/>
      <c r="AC429" s="42"/>
      <c r="AD429" s="42"/>
      <c r="AE429" s="195"/>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c r="CG429" s="42"/>
      <c r="CH429" s="42"/>
      <c r="CI429" s="42"/>
      <c r="CJ429" s="42"/>
      <c r="CK429" s="42"/>
      <c r="CL429" s="42"/>
      <c r="CM429" s="42"/>
      <c r="CN429" s="42"/>
      <c r="CO429" s="42"/>
      <c r="CP429" s="42"/>
      <c r="CQ429" s="42"/>
      <c r="CR429" s="42"/>
      <c r="CS429" s="42"/>
      <c r="CT429" s="42"/>
      <c r="CU429" s="42"/>
      <c r="CV429" s="42"/>
      <c r="CW429" s="42"/>
      <c r="CX429" s="42"/>
      <c r="CY429" s="42"/>
      <c r="CZ429" s="42"/>
      <c r="DA429" s="42"/>
      <c r="DB429" s="42"/>
      <c r="DC429" s="42"/>
      <c r="DD429" s="42"/>
      <c r="DE429" s="42"/>
      <c r="DF429" s="42"/>
      <c r="DG429" s="42"/>
      <c r="DH429" s="42"/>
      <c r="DI429" s="42"/>
      <c r="DJ429" s="42"/>
      <c r="DK429" s="42"/>
      <c r="DL429" s="42"/>
      <c r="DM429" s="42"/>
      <c r="DN429" s="42"/>
      <c r="DO429" s="42"/>
      <c r="DP429" s="42"/>
      <c r="DQ429" s="42"/>
      <c r="DR429" s="42"/>
      <c r="DS429" s="42"/>
      <c r="DT429" s="42"/>
      <c r="DU429" s="42"/>
      <c r="DV429" s="42"/>
      <c r="DW429" s="42"/>
      <c r="DX429" s="42"/>
      <c r="DY429" s="42"/>
      <c r="DZ429" s="42"/>
      <c r="EA429" s="42"/>
      <c r="EB429" s="42"/>
      <c r="EC429" s="42"/>
      <c r="ED429" s="42"/>
      <c r="EE429" s="42"/>
      <c r="EF429" s="42"/>
      <c r="EG429" s="42"/>
      <c r="EH429" s="42"/>
      <c r="EI429" s="42"/>
      <c r="EJ429" s="42"/>
      <c r="EK429" s="42"/>
      <c r="EL429" s="42"/>
      <c r="EM429" s="42"/>
      <c r="EN429" s="42"/>
      <c r="EO429" s="42"/>
      <c r="EP429" s="42"/>
      <c r="EQ429" s="42"/>
      <c r="ER429" s="42"/>
      <c r="ES429" s="42"/>
      <c r="ET429" s="42"/>
      <c r="EU429" s="42"/>
      <c r="EV429" s="42"/>
      <c r="EW429" s="42"/>
      <c r="EX429" s="42"/>
      <c r="EY429" s="42"/>
      <c r="EZ429" s="42"/>
      <c r="FA429" s="42"/>
      <c r="FB429" s="42"/>
      <c r="FC429" s="42"/>
      <c r="FD429" s="42"/>
      <c r="FE429" s="42"/>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row>
    <row r="430" spans="1:256" ht="13.8" x14ac:dyDescent="0.3">
      <c r="A430" s="42"/>
      <c r="B430" s="42"/>
      <c r="C430" s="42"/>
      <c r="D430" s="42"/>
      <c r="E430" s="42"/>
      <c r="F430" s="42"/>
      <c r="G430" s="42"/>
      <c r="H430" s="42"/>
      <c r="I430" s="42"/>
      <c r="J430" s="42"/>
      <c r="K430" s="42"/>
      <c r="L430" s="42"/>
      <c r="M430" s="42"/>
      <c r="N430" s="42"/>
      <c r="O430" s="42"/>
      <c r="P430" s="42"/>
      <c r="Q430" s="42"/>
      <c r="R430" s="42"/>
      <c r="S430" s="42"/>
      <c r="T430" s="42"/>
      <c r="U430" s="194"/>
      <c r="V430" s="42"/>
      <c r="W430" s="42"/>
      <c r="X430" s="42"/>
      <c r="Y430" s="42"/>
      <c r="Z430" s="42"/>
      <c r="AA430" s="42"/>
      <c r="AB430" s="195"/>
      <c r="AC430" s="42"/>
      <c r="AD430" s="42"/>
      <c r="AE430" s="195"/>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c r="CG430" s="42"/>
      <c r="CH430" s="42"/>
      <c r="CI430" s="42"/>
      <c r="CJ430" s="42"/>
      <c r="CK430" s="42"/>
      <c r="CL430" s="42"/>
      <c r="CM430" s="42"/>
      <c r="CN430" s="42"/>
      <c r="CO430" s="42"/>
      <c r="CP430" s="42"/>
      <c r="CQ430" s="42"/>
      <c r="CR430" s="42"/>
      <c r="CS430" s="42"/>
      <c r="CT430" s="42"/>
      <c r="CU430" s="42"/>
      <c r="CV430" s="42"/>
      <c r="CW430" s="42"/>
      <c r="CX430" s="42"/>
      <c r="CY430" s="42"/>
      <c r="CZ430" s="42"/>
      <c r="DA430" s="42"/>
      <c r="DB430" s="42"/>
      <c r="DC430" s="42"/>
      <c r="DD430" s="42"/>
      <c r="DE430" s="42"/>
      <c r="DF430" s="42"/>
      <c r="DG430" s="42"/>
      <c r="DH430" s="42"/>
      <c r="DI430" s="42"/>
      <c r="DJ430" s="42"/>
      <c r="DK430" s="42"/>
      <c r="DL430" s="42"/>
      <c r="DM430" s="42"/>
      <c r="DN430" s="42"/>
      <c r="DO430" s="42"/>
      <c r="DP430" s="42"/>
      <c r="DQ430" s="42"/>
      <c r="DR430" s="42"/>
      <c r="DS430" s="42"/>
      <c r="DT430" s="42"/>
      <c r="DU430" s="42"/>
      <c r="DV430" s="42"/>
      <c r="DW430" s="42"/>
      <c r="DX430" s="42"/>
      <c r="DY430" s="42"/>
      <c r="DZ430" s="42"/>
      <c r="EA430" s="42"/>
      <c r="EB430" s="42"/>
      <c r="EC430" s="42"/>
      <c r="ED430" s="42"/>
      <c r="EE430" s="42"/>
      <c r="EF430" s="42"/>
      <c r="EG430" s="42"/>
      <c r="EH430" s="42"/>
      <c r="EI430" s="42"/>
      <c r="EJ430" s="42"/>
      <c r="EK430" s="42"/>
      <c r="EL430" s="42"/>
      <c r="EM430" s="42"/>
      <c r="EN430" s="42"/>
      <c r="EO430" s="42"/>
      <c r="EP430" s="42"/>
      <c r="EQ430" s="42"/>
      <c r="ER430" s="42"/>
      <c r="ES430" s="42"/>
      <c r="ET430" s="42"/>
      <c r="EU430" s="42"/>
      <c r="EV430" s="42"/>
      <c r="EW430" s="42"/>
      <c r="EX430" s="42"/>
      <c r="EY430" s="42"/>
      <c r="EZ430" s="42"/>
      <c r="FA430" s="42"/>
      <c r="FB430" s="42"/>
      <c r="FC430" s="42"/>
      <c r="FD430" s="42"/>
      <c r="FE430" s="42"/>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row>
    <row r="431" spans="1:256" ht="13.8" x14ac:dyDescent="0.3">
      <c r="A431" s="42"/>
      <c r="B431" s="42"/>
      <c r="C431" s="42"/>
      <c r="D431" s="42"/>
      <c r="E431" s="42"/>
      <c r="F431" s="42"/>
      <c r="G431" s="42"/>
      <c r="H431" s="42"/>
      <c r="I431" s="42"/>
      <c r="J431" s="42"/>
      <c r="K431" s="42"/>
      <c r="L431" s="42"/>
      <c r="M431" s="42"/>
      <c r="N431" s="42"/>
      <c r="O431" s="42"/>
      <c r="P431" s="42"/>
      <c r="Q431" s="42"/>
      <c r="R431" s="42"/>
      <c r="S431" s="42"/>
      <c r="T431" s="42"/>
      <c r="U431" s="194"/>
      <c r="V431" s="42"/>
      <c r="W431" s="42"/>
      <c r="X431" s="42"/>
      <c r="Y431" s="42"/>
      <c r="Z431" s="42"/>
      <c r="AA431" s="42"/>
      <c r="AB431" s="195"/>
      <c r="AC431" s="42"/>
      <c r="AD431" s="42"/>
      <c r="AE431" s="195"/>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c r="CG431" s="42"/>
      <c r="CH431" s="42"/>
      <c r="CI431" s="42"/>
      <c r="CJ431" s="42"/>
      <c r="CK431" s="42"/>
      <c r="CL431" s="42"/>
      <c r="CM431" s="42"/>
      <c r="CN431" s="42"/>
      <c r="CO431" s="42"/>
      <c r="CP431" s="42"/>
      <c r="CQ431" s="42"/>
      <c r="CR431" s="42"/>
      <c r="CS431" s="42"/>
      <c r="CT431" s="42"/>
      <c r="CU431" s="42"/>
      <c r="CV431" s="42"/>
      <c r="CW431" s="42"/>
      <c r="CX431" s="42"/>
      <c r="CY431" s="42"/>
      <c r="CZ431" s="42"/>
      <c r="DA431" s="42"/>
      <c r="DB431" s="42"/>
      <c r="DC431" s="42"/>
      <c r="DD431" s="42"/>
      <c r="DE431" s="42"/>
      <c r="DF431" s="42"/>
      <c r="DG431" s="42"/>
      <c r="DH431" s="42"/>
      <c r="DI431" s="42"/>
      <c r="DJ431" s="42"/>
      <c r="DK431" s="42"/>
      <c r="DL431" s="42"/>
      <c r="DM431" s="42"/>
      <c r="DN431" s="42"/>
      <c r="DO431" s="42"/>
      <c r="DP431" s="42"/>
      <c r="DQ431" s="42"/>
      <c r="DR431" s="42"/>
      <c r="DS431" s="42"/>
      <c r="DT431" s="42"/>
      <c r="DU431" s="42"/>
      <c r="DV431" s="42"/>
      <c r="DW431" s="42"/>
      <c r="DX431" s="42"/>
      <c r="DY431" s="42"/>
      <c r="DZ431" s="42"/>
      <c r="EA431" s="42"/>
      <c r="EB431" s="42"/>
      <c r="EC431" s="42"/>
      <c r="ED431" s="42"/>
      <c r="EE431" s="42"/>
      <c r="EF431" s="42"/>
      <c r="EG431" s="42"/>
      <c r="EH431" s="42"/>
      <c r="EI431" s="42"/>
      <c r="EJ431" s="42"/>
      <c r="EK431" s="42"/>
      <c r="EL431" s="42"/>
      <c r="EM431" s="42"/>
      <c r="EN431" s="42"/>
      <c r="EO431" s="42"/>
      <c r="EP431" s="42"/>
      <c r="EQ431" s="42"/>
      <c r="ER431" s="42"/>
      <c r="ES431" s="42"/>
      <c r="ET431" s="42"/>
      <c r="EU431" s="42"/>
      <c r="EV431" s="42"/>
      <c r="EW431" s="42"/>
      <c r="EX431" s="42"/>
      <c r="EY431" s="42"/>
      <c r="EZ431" s="42"/>
      <c r="FA431" s="42"/>
      <c r="FB431" s="42"/>
      <c r="FC431" s="42"/>
      <c r="FD431" s="42"/>
      <c r="FE431" s="42"/>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row>
    <row r="432" spans="1:256" ht="13.8" x14ac:dyDescent="0.3">
      <c r="A432" s="42"/>
      <c r="B432" s="42"/>
      <c r="C432" s="42"/>
      <c r="D432" s="42"/>
      <c r="E432" s="42"/>
      <c r="F432" s="42"/>
      <c r="G432" s="42"/>
      <c r="H432" s="42"/>
      <c r="I432" s="42"/>
      <c r="J432" s="42"/>
      <c r="K432" s="42"/>
      <c r="L432" s="42"/>
      <c r="M432" s="42"/>
      <c r="N432" s="42"/>
      <c r="O432" s="42"/>
      <c r="P432" s="42"/>
      <c r="Q432" s="42"/>
      <c r="R432" s="42"/>
      <c r="S432" s="42"/>
      <c r="T432" s="42"/>
      <c r="U432" s="194"/>
      <c r="V432" s="42"/>
      <c r="W432" s="42"/>
      <c r="X432" s="42"/>
      <c r="Y432" s="42"/>
      <c r="Z432" s="42"/>
      <c r="AA432" s="42"/>
      <c r="AB432" s="195"/>
      <c r="AC432" s="42"/>
      <c r="AD432" s="42"/>
      <c r="AE432" s="195"/>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c r="CG432" s="42"/>
      <c r="CH432" s="42"/>
      <c r="CI432" s="42"/>
      <c r="CJ432" s="42"/>
      <c r="CK432" s="42"/>
      <c r="CL432" s="42"/>
      <c r="CM432" s="42"/>
      <c r="CN432" s="42"/>
      <c r="CO432" s="42"/>
      <c r="CP432" s="42"/>
      <c r="CQ432" s="42"/>
      <c r="CR432" s="42"/>
      <c r="CS432" s="42"/>
      <c r="CT432" s="42"/>
      <c r="CU432" s="42"/>
      <c r="CV432" s="42"/>
      <c r="CW432" s="42"/>
      <c r="CX432" s="42"/>
      <c r="CY432" s="42"/>
      <c r="CZ432" s="42"/>
      <c r="DA432" s="42"/>
      <c r="DB432" s="42"/>
      <c r="DC432" s="42"/>
      <c r="DD432" s="42"/>
      <c r="DE432" s="42"/>
      <c r="DF432" s="42"/>
      <c r="DG432" s="42"/>
      <c r="DH432" s="42"/>
      <c r="DI432" s="42"/>
      <c r="DJ432" s="42"/>
      <c r="DK432" s="42"/>
      <c r="DL432" s="42"/>
      <c r="DM432" s="42"/>
      <c r="DN432" s="42"/>
      <c r="DO432" s="42"/>
      <c r="DP432" s="42"/>
      <c r="DQ432" s="42"/>
      <c r="DR432" s="42"/>
      <c r="DS432" s="42"/>
      <c r="DT432" s="42"/>
      <c r="DU432" s="42"/>
      <c r="DV432" s="42"/>
      <c r="DW432" s="42"/>
      <c r="DX432" s="42"/>
      <c r="DY432" s="42"/>
      <c r="DZ432" s="42"/>
      <c r="EA432" s="42"/>
      <c r="EB432" s="42"/>
      <c r="EC432" s="42"/>
      <c r="ED432" s="42"/>
      <c r="EE432" s="42"/>
      <c r="EF432" s="42"/>
      <c r="EG432" s="42"/>
      <c r="EH432" s="42"/>
      <c r="EI432" s="42"/>
      <c r="EJ432" s="42"/>
      <c r="EK432" s="42"/>
      <c r="EL432" s="42"/>
      <c r="EM432" s="42"/>
      <c r="EN432" s="42"/>
      <c r="EO432" s="42"/>
      <c r="EP432" s="42"/>
      <c r="EQ432" s="42"/>
      <c r="ER432" s="42"/>
      <c r="ES432" s="42"/>
      <c r="ET432" s="42"/>
      <c r="EU432" s="42"/>
      <c r="EV432" s="42"/>
      <c r="EW432" s="42"/>
      <c r="EX432" s="42"/>
      <c r="EY432" s="42"/>
      <c r="EZ432" s="42"/>
      <c r="FA432" s="42"/>
      <c r="FB432" s="42"/>
      <c r="FC432" s="42"/>
      <c r="FD432" s="42"/>
      <c r="FE432" s="42"/>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row>
    <row r="433" spans="1:256" ht="13.8" x14ac:dyDescent="0.3">
      <c r="A433" s="42"/>
      <c r="B433" s="42"/>
      <c r="C433" s="42"/>
      <c r="D433" s="42"/>
      <c r="E433" s="42"/>
      <c r="F433" s="42"/>
      <c r="G433" s="42"/>
      <c r="H433" s="42"/>
      <c r="I433" s="42"/>
      <c r="J433" s="42"/>
      <c r="K433" s="42"/>
      <c r="L433" s="42"/>
      <c r="M433" s="42"/>
      <c r="N433" s="42"/>
      <c r="O433" s="42"/>
      <c r="P433" s="42"/>
      <c r="Q433" s="42"/>
      <c r="R433" s="42"/>
      <c r="S433" s="42"/>
      <c r="T433" s="42"/>
      <c r="U433" s="194"/>
      <c r="V433" s="42"/>
      <c r="W433" s="42"/>
      <c r="X433" s="42"/>
      <c r="Y433" s="42"/>
      <c r="Z433" s="42"/>
      <c r="AA433" s="42"/>
      <c r="AB433" s="195"/>
      <c r="AC433" s="42"/>
      <c r="AD433" s="42"/>
      <c r="AE433" s="195"/>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c r="CG433" s="42"/>
      <c r="CH433" s="42"/>
      <c r="CI433" s="42"/>
      <c r="CJ433" s="42"/>
      <c r="CK433" s="42"/>
      <c r="CL433" s="42"/>
      <c r="CM433" s="42"/>
      <c r="CN433" s="42"/>
      <c r="CO433" s="42"/>
      <c r="CP433" s="42"/>
      <c r="CQ433" s="42"/>
      <c r="CR433" s="42"/>
      <c r="CS433" s="42"/>
      <c r="CT433" s="42"/>
      <c r="CU433" s="42"/>
      <c r="CV433" s="42"/>
      <c r="CW433" s="42"/>
      <c r="CX433" s="42"/>
      <c r="CY433" s="42"/>
      <c r="CZ433" s="42"/>
      <c r="DA433" s="42"/>
      <c r="DB433" s="42"/>
      <c r="DC433" s="42"/>
      <c r="DD433" s="42"/>
      <c r="DE433" s="42"/>
      <c r="DF433" s="42"/>
      <c r="DG433" s="42"/>
      <c r="DH433" s="42"/>
      <c r="DI433" s="42"/>
      <c r="DJ433" s="42"/>
      <c r="DK433" s="42"/>
      <c r="DL433" s="42"/>
      <c r="DM433" s="42"/>
      <c r="DN433" s="42"/>
      <c r="DO433" s="42"/>
      <c r="DP433" s="42"/>
      <c r="DQ433" s="42"/>
      <c r="DR433" s="42"/>
      <c r="DS433" s="42"/>
      <c r="DT433" s="42"/>
      <c r="DU433" s="42"/>
      <c r="DV433" s="42"/>
      <c r="DW433" s="42"/>
      <c r="DX433" s="42"/>
      <c r="DY433" s="42"/>
      <c r="DZ433" s="42"/>
      <c r="EA433" s="42"/>
      <c r="EB433" s="42"/>
      <c r="EC433" s="42"/>
      <c r="ED433" s="42"/>
      <c r="EE433" s="42"/>
      <c r="EF433" s="42"/>
      <c r="EG433" s="42"/>
      <c r="EH433" s="42"/>
      <c r="EI433" s="42"/>
      <c r="EJ433" s="42"/>
      <c r="EK433" s="42"/>
      <c r="EL433" s="42"/>
      <c r="EM433" s="42"/>
      <c r="EN433" s="42"/>
      <c r="EO433" s="42"/>
      <c r="EP433" s="42"/>
      <c r="EQ433" s="42"/>
      <c r="ER433" s="42"/>
      <c r="ES433" s="42"/>
      <c r="ET433" s="42"/>
      <c r="EU433" s="42"/>
      <c r="EV433" s="42"/>
      <c r="EW433" s="42"/>
      <c r="EX433" s="42"/>
      <c r="EY433" s="42"/>
      <c r="EZ433" s="42"/>
      <c r="FA433" s="42"/>
      <c r="FB433" s="42"/>
      <c r="FC433" s="42"/>
      <c r="FD433" s="42"/>
      <c r="FE433" s="42"/>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row>
    <row r="434" spans="1:256" ht="13.8" x14ac:dyDescent="0.3">
      <c r="A434" s="42"/>
      <c r="B434" s="42"/>
      <c r="C434" s="42"/>
      <c r="D434" s="42"/>
      <c r="E434" s="42"/>
      <c r="F434" s="42"/>
      <c r="G434" s="42"/>
      <c r="H434" s="42"/>
      <c r="I434" s="42"/>
      <c r="J434" s="42"/>
      <c r="K434" s="42"/>
      <c r="L434" s="42"/>
      <c r="M434" s="42"/>
      <c r="N434" s="42"/>
      <c r="O434" s="42"/>
      <c r="P434" s="42"/>
      <c r="Q434" s="42"/>
      <c r="R434" s="42"/>
      <c r="S434" s="42"/>
      <c r="T434" s="42"/>
      <c r="U434" s="194"/>
      <c r="V434" s="42"/>
      <c r="W434" s="42"/>
      <c r="X434" s="42"/>
      <c r="Y434" s="42"/>
      <c r="Z434" s="42"/>
      <c r="AA434" s="42"/>
      <c r="AB434" s="195"/>
      <c r="AC434" s="42"/>
      <c r="AD434" s="42"/>
      <c r="AE434" s="195"/>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c r="CG434" s="42"/>
      <c r="CH434" s="42"/>
      <c r="CI434" s="42"/>
      <c r="CJ434" s="42"/>
      <c r="CK434" s="42"/>
      <c r="CL434" s="42"/>
      <c r="CM434" s="42"/>
      <c r="CN434" s="42"/>
      <c r="CO434" s="42"/>
      <c r="CP434" s="42"/>
      <c r="CQ434" s="42"/>
      <c r="CR434" s="42"/>
      <c r="CS434" s="42"/>
      <c r="CT434" s="42"/>
      <c r="CU434" s="42"/>
      <c r="CV434" s="42"/>
      <c r="CW434" s="42"/>
      <c r="CX434" s="42"/>
      <c r="CY434" s="42"/>
      <c r="CZ434" s="42"/>
      <c r="DA434" s="42"/>
      <c r="DB434" s="42"/>
      <c r="DC434" s="42"/>
      <c r="DD434" s="42"/>
      <c r="DE434" s="42"/>
      <c r="DF434" s="42"/>
      <c r="DG434" s="42"/>
      <c r="DH434" s="42"/>
      <c r="DI434" s="42"/>
      <c r="DJ434" s="42"/>
      <c r="DK434" s="42"/>
      <c r="DL434" s="42"/>
      <c r="DM434" s="42"/>
      <c r="DN434" s="42"/>
      <c r="DO434" s="42"/>
      <c r="DP434" s="42"/>
      <c r="DQ434" s="42"/>
      <c r="DR434" s="42"/>
      <c r="DS434" s="42"/>
      <c r="DT434" s="42"/>
      <c r="DU434" s="42"/>
      <c r="DV434" s="42"/>
      <c r="DW434" s="42"/>
      <c r="DX434" s="42"/>
      <c r="DY434" s="42"/>
      <c r="DZ434" s="42"/>
      <c r="EA434" s="42"/>
      <c r="EB434" s="42"/>
      <c r="EC434" s="42"/>
      <c r="ED434" s="42"/>
      <c r="EE434" s="42"/>
      <c r="EF434" s="42"/>
      <c r="EG434" s="42"/>
      <c r="EH434" s="42"/>
      <c r="EI434" s="42"/>
      <c r="EJ434" s="42"/>
      <c r="EK434" s="42"/>
      <c r="EL434" s="42"/>
      <c r="EM434" s="42"/>
      <c r="EN434" s="42"/>
      <c r="EO434" s="42"/>
      <c r="EP434" s="42"/>
      <c r="EQ434" s="42"/>
      <c r="ER434" s="42"/>
      <c r="ES434" s="42"/>
      <c r="ET434" s="42"/>
      <c r="EU434" s="42"/>
      <c r="EV434" s="42"/>
      <c r="EW434" s="42"/>
      <c r="EX434" s="42"/>
      <c r="EY434" s="42"/>
      <c r="EZ434" s="42"/>
      <c r="FA434" s="42"/>
      <c r="FB434" s="42"/>
      <c r="FC434" s="42"/>
      <c r="FD434" s="42"/>
      <c r="FE434" s="42"/>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row>
    <row r="435" spans="1:256" ht="13.8" x14ac:dyDescent="0.3">
      <c r="A435" s="42"/>
      <c r="B435" s="42"/>
      <c r="C435" s="42"/>
      <c r="D435" s="42"/>
      <c r="E435" s="42"/>
      <c r="F435" s="42"/>
      <c r="G435" s="42"/>
      <c r="H435" s="42"/>
      <c r="I435" s="42"/>
      <c r="J435" s="42"/>
      <c r="K435" s="42"/>
      <c r="L435" s="42"/>
      <c r="M435" s="42"/>
      <c r="N435" s="42"/>
      <c r="O435" s="42"/>
      <c r="P435" s="42"/>
      <c r="Q435" s="42"/>
      <c r="R435" s="42"/>
      <c r="S435" s="42"/>
      <c r="T435" s="42"/>
      <c r="U435" s="194"/>
      <c r="V435" s="42"/>
      <c r="W435" s="42"/>
      <c r="X435" s="42"/>
      <c r="Y435" s="42"/>
      <c r="Z435" s="42"/>
      <c r="AA435" s="42"/>
      <c r="AB435" s="195"/>
      <c r="AC435" s="42"/>
      <c r="AD435" s="42"/>
      <c r="AE435" s="195"/>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42"/>
      <c r="BH435" s="42"/>
      <c r="BI435" s="42"/>
      <c r="BJ435" s="42"/>
      <c r="BK435" s="42"/>
      <c r="BL435" s="42"/>
      <c r="BM435" s="42"/>
      <c r="BN435" s="42"/>
      <c r="BO435" s="42"/>
      <c r="BP435" s="42"/>
      <c r="BQ435" s="42"/>
      <c r="BR435" s="42"/>
      <c r="BS435" s="42"/>
      <c r="BT435" s="42"/>
      <c r="BU435" s="42"/>
      <c r="BV435" s="42"/>
      <c r="BW435" s="42"/>
      <c r="BX435" s="42"/>
      <c r="BY435" s="42"/>
      <c r="BZ435" s="42"/>
      <c r="CA435" s="42"/>
      <c r="CB435" s="42"/>
      <c r="CC435" s="42"/>
      <c r="CD435" s="42"/>
      <c r="CE435" s="42"/>
      <c r="CF435" s="42"/>
      <c r="CG435" s="42"/>
      <c r="CH435" s="42"/>
      <c r="CI435" s="42"/>
      <c r="CJ435" s="42"/>
      <c r="CK435" s="42"/>
      <c r="CL435" s="42"/>
      <c r="CM435" s="42"/>
      <c r="CN435" s="42"/>
      <c r="CO435" s="42"/>
      <c r="CP435" s="42"/>
      <c r="CQ435" s="42"/>
      <c r="CR435" s="42"/>
      <c r="CS435" s="42"/>
      <c r="CT435" s="42"/>
      <c r="CU435" s="42"/>
      <c r="CV435" s="42"/>
      <c r="CW435" s="42"/>
      <c r="CX435" s="42"/>
      <c r="CY435" s="42"/>
      <c r="CZ435" s="42"/>
      <c r="DA435" s="42"/>
      <c r="DB435" s="42"/>
      <c r="DC435" s="42"/>
      <c r="DD435" s="42"/>
      <c r="DE435" s="42"/>
      <c r="DF435" s="42"/>
      <c r="DG435" s="42"/>
      <c r="DH435" s="42"/>
      <c r="DI435" s="42"/>
      <c r="DJ435" s="42"/>
      <c r="DK435" s="42"/>
      <c r="DL435" s="42"/>
      <c r="DM435" s="42"/>
      <c r="DN435" s="42"/>
      <c r="DO435" s="42"/>
      <c r="DP435" s="42"/>
      <c r="DQ435" s="42"/>
      <c r="DR435" s="42"/>
      <c r="DS435" s="42"/>
      <c r="DT435" s="42"/>
      <c r="DU435" s="42"/>
      <c r="DV435" s="42"/>
      <c r="DW435" s="42"/>
      <c r="DX435" s="42"/>
      <c r="DY435" s="42"/>
      <c r="DZ435" s="42"/>
      <c r="EA435" s="42"/>
      <c r="EB435" s="42"/>
      <c r="EC435" s="42"/>
      <c r="ED435" s="42"/>
      <c r="EE435" s="42"/>
      <c r="EF435" s="42"/>
      <c r="EG435" s="42"/>
      <c r="EH435" s="42"/>
      <c r="EI435" s="42"/>
      <c r="EJ435" s="42"/>
      <c r="EK435" s="42"/>
      <c r="EL435" s="42"/>
      <c r="EM435" s="42"/>
      <c r="EN435" s="42"/>
      <c r="EO435" s="42"/>
      <c r="EP435" s="42"/>
      <c r="EQ435" s="42"/>
      <c r="ER435" s="42"/>
      <c r="ES435" s="42"/>
      <c r="ET435" s="42"/>
      <c r="EU435" s="42"/>
      <c r="EV435" s="42"/>
      <c r="EW435" s="42"/>
      <c r="EX435" s="42"/>
      <c r="EY435" s="42"/>
      <c r="EZ435" s="42"/>
      <c r="FA435" s="42"/>
      <c r="FB435" s="42"/>
      <c r="FC435" s="42"/>
      <c r="FD435" s="42"/>
      <c r="FE435" s="42"/>
      <c r="FF435" s="42"/>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row>
    <row r="436" spans="1:256" ht="13.8" x14ac:dyDescent="0.3">
      <c r="A436" s="42"/>
      <c r="B436" s="42"/>
      <c r="C436" s="42"/>
      <c r="D436" s="42"/>
      <c r="E436" s="42"/>
      <c r="F436" s="42"/>
      <c r="G436" s="42"/>
      <c r="H436" s="42"/>
      <c r="I436" s="42"/>
      <c r="J436" s="42"/>
      <c r="K436" s="42"/>
      <c r="L436" s="42"/>
      <c r="M436" s="42"/>
      <c r="N436" s="42"/>
      <c r="O436" s="42"/>
      <c r="P436" s="42"/>
      <c r="Q436" s="42"/>
      <c r="R436" s="42"/>
      <c r="S436" s="42"/>
      <c r="T436" s="42"/>
      <c r="U436" s="194"/>
      <c r="V436" s="42"/>
      <c r="W436" s="42"/>
      <c r="X436" s="42"/>
      <c r="Y436" s="42"/>
      <c r="Z436" s="42"/>
      <c r="AA436" s="42"/>
      <c r="AB436" s="195"/>
      <c r="AC436" s="42"/>
      <c r="AD436" s="42"/>
      <c r="AE436" s="195"/>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42"/>
      <c r="BH436" s="42"/>
      <c r="BI436" s="42"/>
      <c r="BJ436" s="42"/>
      <c r="BK436" s="42"/>
      <c r="BL436" s="42"/>
      <c r="BM436" s="42"/>
      <c r="BN436" s="42"/>
      <c r="BO436" s="42"/>
      <c r="BP436" s="42"/>
      <c r="BQ436" s="42"/>
      <c r="BR436" s="42"/>
      <c r="BS436" s="42"/>
      <c r="BT436" s="42"/>
      <c r="BU436" s="42"/>
      <c r="BV436" s="42"/>
      <c r="BW436" s="42"/>
      <c r="BX436" s="42"/>
      <c r="BY436" s="42"/>
      <c r="BZ436" s="42"/>
      <c r="CA436" s="42"/>
      <c r="CB436" s="42"/>
      <c r="CC436" s="42"/>
      <c r="CD436" s="42"/>
      <c r="CE436" s="42"/>
      <c r="CF436" s="42"/>
      <c r="CG436" s="42"/>
      <c r="CH436" s="42"/>
      <c r="CI436" s="42"/>
      <c r="CJ436" s="42"/>
      <c r="CK436" s="42"/>
      <c r="CL436" s="42"/>
      <c r="CM436" s="42"/>
      <c r="CN436" s="42"/>
      <c r="CO436" s="42"/>
      <c r="CP436" s="42"/>
      <c r="CQ436" s="42"/>
      <c r="CR436" s="42"/>
      <c r="CS436" s="42"/>
      <c r="CT436" s="42"/>
      <c r="CU436" s="42"/>
      <c r="CV436" s="42"/>
      <c r="CW436" s="42"/>
      <c r="CX436" s="42"/>
      <c r="CY436" s="42"/>
      <c r="CZ436" s="42"/>
      <c r="DA436" s="42"/>
      <c r="DB436" s="42"/>
      <c r="DC436" s="42"/>
      <c r="DD436" s="42"/>
      <c r="DE436" s="42"/>
      <c r="DF436" s="42"/>
      <c r="DG436" s="42"/>
      <c r="DH436" s="42"/>
      <c r="DI436" s="42"/>
      <c r="DJ436" s="42"/>
      <c r="DK436" s="42"/>
      <c r="DL436" s="42"/>
      <c r="DM436" s="42"/>
      <c r="DN436" s="42"/>
      <c r="DO436" s="42"/>
      <c r="DP436" s="42"/>
      <c r="DQ436" s="42"/>
      <c r="DR436" s="42"/>
      <c r="DS436" s="42"/>
      <c r="DT436" s="42"/>
      <c r="DU436" s="42"/>
      <c r="DV436" s="42"/>
      <c r="DW436" s="42"/>
      <c r="DX436" s="42"/>
      <c r="DY436" s="42"/>
      <c r="DZ436" s="42"/>
      <c r="EA436" s="42"/>
      <c r="EB436" s="42"/>
      <c r="EC436" s="42"/>
      <c r="ED436" s="42"/>
      <c r="EE436" s="42"/>
      <c r="EF436" s="42"/>
      <c r="EG436" s="42"/>
      <c r="EH436" s="42"/>
      <c r="EI436" s="42"/>
      <c r="EJ436" s="42"/>
      <c r="EK436" s="42"/>
      <c r="EL436" s="42"/>
      <c r="EM436" s="42"/>
      <c r="EN436" s="42"/>
      <c r="EO436" s="42"/>
      <c r="EP436" s="42"/>
      <c r="EQ436" s="42"/>
      <c r="ER436" s="42"/>
      <c r="ES436" s="42"/>
      <c r="ET436" s="42"/>
      <c r="EU436" s="42"/>
      <c r="EV436" s="42"/>
      <c r="EW436" s="42"/>
      <c r="EX436" s="42"/>
      <c r="EY436" s="42"/>
      <c r="EZ436" s="42"/>
      <c r="FA436" s="42"/>
      <c r="FB436" s="42"/>
      <c r="FC436" s="42"/>
      <c r="FD436" s="42"/>
      <c r="FE436" s="42"/>
      <c r="FF436" s="42"/>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row>
    <row r="437" spans="1:256" ht="13.8" x14ac:dyDescent="0.3">
      <c r="A437" s="42"/>
      <c r="B437" s="42"/>
      <c r="C437" s="42"/>
      <c r="D437" s="42"/>
      <c r="E437" s="42"/>
      <c r="F437" s="42"/>
      <c r="G437" s="42"/>
      <c r="H437" s="42"/>
      <c r="I437" s="42"/>
      <c r="J437" s="42"/>
      <c r="K437" s="42"/>
      <c r="L437" s="42"/>
      <c r="M437" s="42"/>
      <c r="N437" s="42"/>
      <c r="O437" s="42"/>
      <c r="P437" s="42"/>
      <c r="Q437" s="42"/>
      <c r="R437" s="42"/>
      <c r="S437" s="42"/>
      <c r="T437" s="42"/>
      <c r="U437" s="194"/>
      <c r="V437" s="42"/>
      <c r="W437" s="42"/>
      <c r="X437" s="42"/>
      <c r="Y437" s="42"/>
      <c r="Z437" s="42"/>
      <c r="AA437" s="42"/>
      <c r="AB437" s="195"/>
      <c r="AC437" s="42"/>
      <c r="AD437" s="42"/>
      <c r="AE437" s="195"/>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42"/>
      <c r="BH437" s="42"/>
      <c r="BI437" s="42"/>
      <c r="BJ437" s="42"/>
      <c r="BK437" s="42"/>
      <c r="BL437" s="42"/>
      <c r="BM437" s="42"/>
      <c r="BN437" s="42"/>
      <c r="BO437" s="42"/>
      <c r="BP437" s="42"/>
      <c r="BQ437" s="42"/>
      <c r="BR437" s="42"/>
      <c r="BS437" s="42"/>
      <c r="BT437" s="42"/>
      <c r="BU437" s="42"/>
      <c r="BV437" s="42"/>
      <c r="BW437" s="42"/>
      <c r="BX437" s="42"/>
      <c r="BY437" s="42"/>
      <c r="BZ437" s="42"/>
      <c r="CA437" s="42"/>
      <c r="CB437" s="42"/>
      <c r="CC437" s="42"/>
      <c r="CD437" s="42"/>
      <c r="CE437" s="42"/>
      <c r="CF437" s="42"/>
      <c r="CG437" s="42"/>
      <c r="CH437" s="42"/>
      <c r="CI437" s="42"/>
      <c r="CJ437" s="42"/>
      <c r="CK437" s="42"/>
      <c r="CL437" s="42"/>
      <c r="CM437" s="42"/>
      <c r="CN437" s="42"/>
      <c r="CO437" s="42"/>
      <c r="CP437" s="42"/>
      <c r="CQ437" s="42"/>
      <c r="CR437" s="42"/>
      <c r="CS437" s="42"/>
      <c r="CT437" s="42"/>
      <c r="CU437" s="42"/>
      <c r="CV437" s="42"/>
      <c r="CW437" s="42"/>
      <c r="CX437" s="42"/>
      <c r="CY437" s="42"/>
      <c r="CZ437" s="42"/>
      <c r="DA437" s="42"/>
      <c r="DB437" s="42"/>
      <c r="DC437" s="42"/>
      <c r="DD437" s="42"/>
      <c r="DE437" s="42"/>
      <c r="DF437" s="42"/>
      <c r="DG437" s="42"/>
      <c r="DH437" s="42"/>
      <c r="DI437" s="42"/>
      <c r="DJ437" s="42"/>
      <c r="DK437" s="42"/>
      <c r="DL437" s="42"/>
      <c r="DM437" s="42"/>
      <c r="DN437" s="42"/>
      <c r="DO437" s="42"/>
      <c r="DP437" s="42"/>
      <c r="DQ437" s="42"/>
      <c r="DR437" s="42"/>
      <c r="DS437" s="42"/>
      <c r="DT437" s="42"/>
      <c r="DU437" s="42"/>
      <c r="DV437" s="42"/>
      <c r="DW437" s="42"/>
      <c r="DX437" s="42"/>
      <c r="DY437" s="42"/>
      <c r="DZ437" s="42"/>
      <c r="EA437" s="42"/>
      <c r="EB437" s="42"/>
      <c r="EC437" s="42"/>
      <c r="ED437" s="42"/>
      <c r="EE437" s="42"/>
      <c r="EF437" s="42"/>
      <c r="EG437" s="42"/>
      <c r="EH437" s="42"/>
      <c r="EI437" s="42"/>
      <c r="EJ437" s="42"/>
      <c r="EK437" s="42"/>
      <c r="EL437" s="42"/>
      <c r="EM437" s="42"/>
      <c r="EN437" s="42"/>
      <c r="EO437" s="42"/>
      <c r="EP437" s="42"/>
      <c r="EQ437" s="42"/>
      <c r="ER437" s="42"/>
      <c r="ES437" s="42"/>
      <c r="ET437" s="42"/>
      <c r="EU437" s="42"/>
      <c r="EV437" s="42"/>
      <c r="EW437" s="42"/>
      <c r="EX437" s="42"/>
      <c r="EY437" s="42"/>
      <c r="EZ437" s="42"/>
      <c r="FA437" s="42"/>
      <c r="FB437" s="42"/>
      <c r="FC437" s="42"/>
      <c r="FD437" s="42"/>
      <c r="FE437" s="42"/>
      <c r="FF437" s="42"/>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row>
    <row r="438" spans="1:256" ht="13.8" x14ac:dyDescent="0.3">
      <c r="A438" s="42"/>
      <c r="B438" s="42"/>
      <c r="C438" s="42"/>
      <c r="D438" s="42"/>
      <c r="E438" s="42"/>
      <c r="F438" s="42"/>
      <c r="G438" s="42"/>
      <c r="H438" s="42"/>
      <c r="I438" s="42"/>
      <c r="J438" s="42"/>
      <c r="K438" s="42"/>
      <c r="L438" s="42"/>
      <c r="M438" s="42"/>
      <c r="N438" s="42"/>
      <c r="O438" s="42"/>
      <c r="P438" s="42"/>
      <c r="Q438" s="42"/>
      <c r="R438" s="42"/>
      <c r="S438" s="42"/>
      <c r="T438" s="42"/>
      <c r="U438" s="194"/>
      <c r="V438" s="42"/>
      <c r="W438" s="42"/>
      <c r="X438" s="42"/>
      <c r="Y438" s="42"/>
      <c r="Z438" s="42"/>
      <c r="AA438" s="42"/>
      <c r="AB438" s="195"/>
      <c r="AC438" s="42"/>
      <c r="AD438" s="42"/>
      <c r="AE438" s="195"/>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42"/>
      <c r="BH438" s="42"/>
      <c r="BI438" s="42"/>
      <c r="BJ438" s="42"/>
      <c r="BK438" s="42"/>
      <c r="BL438" s="42"/>
      <c r="BM438" s="42"/>
      <c r="BN438" s="42"/>
      <c r="BO438" s="42"/>
      <c r="BP438" s="42"/>
      <c r="BQ438" s="42"/>
      <c r="BR438" s="42"/>
      <c r="BS438" s="42"/>
      <c r="BT438" s="42"/>
      <c r="BU438" s="42"/>
      <c r="BV438" s="42"/>
      <c r="BW438" s="42"/>
      <c r="BX438" s="42"/>
      <c r="BY438" s="42"/>
      <c r="BZ438" s="42"/>
      <c r="CA438" s="42"/>
      <c r="CB438" s="42"/>
      <c r="CC438" s="42"/>
      <c r="CD438" s="42"/>
      <c r="CE438" s="42"/>
      <c r="CF438" s="42"/>
      <c r="CG438" s="42"/>
      <c r="CH438" s="42"/>
      <c r="CI438" s="42"/>
      <c r="CJ438" s="42"/>
      <c r="CK438" s="42"/>
      <c r="CL438" s="42"/>
      <c r="CM438" s="42"/>
      <c r="CN438" s="42"/>
      <c r="CO438" s="42"/>
      <c r="CP438" s="42"/>
      <c r="CQ438" s="42"/>
      <c r="CR438" s="42"/>
      <c r="CS438" s="42"/>
      <c r="CT438" s="42"/>
      <c r="CU438" s="42"/>
      <c r="CV438" s="42"/>
      <c r="CW438" s="42"/>
      <c r="CX438" s="42"/>
      <c r="CY438" s="42"/>
      <c r="CZ438" s="42"/>
      <c r="DA438" s="42"/>
      <c r="DB438" s="42"/>
      <c r="DC438" s="42"/>
      <c r="DD438" s="42"/>
      <c r="DE438" s="42"/>
      <c r="DF438" s="42"/>
      <c r="DG438" s="42"/>
      <c r="DH438" s="42"/>
      <c r="DI438" s="42"/>
      <c r="DJ438" s="42"/>
      <c r="DK438" s="42"/>
      <c r="DL438" s="42"/>
      <c r="DM438" s="42"/>
      <c r="DN438" s="42"/>
      <c r="DO438" s="42"/>
      <c r="DP438" s="42"/>
      <c r="DQ438" s="42"/>
      <c r="DR438" s="42"/>
      <c r="DS438" s="42"/>
      <c r="DT438" s="42"/>
      <c r="DU438" s="42"/>
      <c r="DV438" s="42"/>
      <c r="DW438" s="42"/>
      <c r="DX438" s="42"/>
      <c r="DY438" s="42"/>
      <c r="DZ438" s="42"/>
      <c r="EA438" s="42"/>
      <c r="EB438" s="42"/>
      <c r="EC438" s="42"/>
      <c r="ED438" s="42"/>
      <c r="EE438" s="42"/>
      <c r="EF438" s="42"/>
      <c r="EG438" s="42"/>
      <c r="EH438" s="42"/>
      <c r="EI438" s="42"/>
      <c r="EJ438" s="42"/>
      <c r="EK438" s="42"/>
      <c r="EL438" s="42"/>
      <c r="EM438" s="42"/>
      <c r="EN438" s="42"/>
      <c r="EO438" s="42"/>
      <c r="EP438" s="42"/>
      <c r="EQ438" s="42"/>
      <c r="ER438" s="42"/>
      <c r="ES438" s="42"/>
      <c r="ET438" s="42"/>
      <c r="EU438" s="42"/>
      <c r="EV438" s="42"/>
      <c r="EW438" s="42"/>
      <c r="EX438" s="42"/>
      <c r="EY438" s="42"/>
      <c r="EZ438" s="42"/>
      <c r="FA438" s="42"/>
      <c r="FB438" s="42"/>
      <c r="FC438" s="42"/>
      <c r="FD438" s="42"/>
      <c r="FE438" s="42"/>
      <c r="FF438" s="42"/>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row>
    <row r="439" spans="1:256" ht="13.8" x14ac:dyDescent="0.3">
      <c r="A439" s="42"/>
      <c r="B439" s="42"/>
      <c r="C439" s="42"/>
      <c r="D439" s="42"/>
      <c r="E439" s="42"/>
      <c r="F439" s="42"/>
      <c r="G439" s="42"/>
      <c r="H439" s="42"/>
      <c r="I439" s="42"/>
      <c r="J439" s="42"/>
      <c r="K439" s="42"/>
      <c r="L439" s="42"/>
      <c r="M439" s="42"/>
      <c r="N439" s="42"/>
      <c r="O439" s="42"/>
      <c r="P439" s="42"/>
      <c r="Q439" s="42"/>
      <c r="R439" s="42"/>
      <c r="S439" s="42"/>
      <c r="T439" s="42"/>
      <c r="U439" s="194"/>
      <c r="V439" s="42"/>
      <c r="W439" s="42"/>
      <c r="X439" s="42"/>
      <c r="Y439" s="42"/>
      <c r="Z439" s="42"/>
      <c r="AA439" s="42"/>
      <c r="AB439" s="195"/>
      <c r="AC439" s="42"/>
      <c r="AD439" s="42"/>
      <c r="AE439" s="195"/>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42"/>
      <c r="BH439" s="42"/>
      <c r="BI439" s="42"/>
      <c r="BJ439" s="42"/>
      <c r="BK439" s="42"/>
      <c r="BL439" s="42"/>
      <c r="BM439" s="42"/>
      <c r="BN439" s="42"/>
      <c r="BO439" s="42"/>
      <c r="BP439" s="42"/>
      <c r="BQ439" s="42"/>
      <c r="BR439" s="42"/>
      <c r="BS439" s="42"/>
      <c r="BT439" s="42"/>
      <c r="BU439" s="42"/>
      <c r="BV439" s="42"/>
      <c r="BW439" s="42"/>
      <c r="BX439" s="42"/>
      <c r="BY439" s="42"/>
      <c r="BZ439" s="42"/>
      <c r="CA439" s="42"/>
      <c r="CB439" s="42"/>
      <c r="CC439" s="42"/>
      <c r="CD439" s="42"/>
      <c r="CE439" s="42"/>
      <c r="CF439" s="42"/>
      <c r="CG439" s="42"/>
      <c r="CH439" s="42"/>
      <c r="CI439" s="42"/>
      <c r="CJ439" s="42"/>
      <c r="CK439" s="42"/>
      <c r="CL439" s="42"/>
      <c r="CM439" s="42"/>
      <c r="CN439" s="42"/>
      <c r="CO439" s="42"/>
      <c r="CP439" s="42"/>
      <c r="CQ439" s="42"/>
      <c r="CR439" s="42"/>
      <c r="CS439" s="42"/>
      <c r="CT439" s="42"/>
      <c r="CU439" s="42"/>
      <c r="CV439" s="42"/>
      <c r="CW439" s="42"/>
      <c r="CX439" s="42"/>
      <c r="CY439" s="42"/>
      <c r="CZ439" s="42"/>
      <c r="DA439" s="42"/>
      <c r="DB439" s="42"/>
      <c r="DC439" s="42"/>
      <c r="DD439" s="42"/>
      <c r="DE439" s="42"/>
      <c r="DF439" s="42"/>
      <c r="DG439" s="42"/>
      <c r="DH439" s="42"/>
      <c r="DI439" s="42"/>
      <c r="DJ439" s="42"/>
      <c r="DK439" s="42"/>
      <c r="DL439" s="42"/>
      <c r="DM439" s="42"/>
      <c r="DN439" s="42"/>
      <c r="DO439" s="42"/>
      <c r="DP439" s="42"/>
      <c r="DQ439" s="42"/>
      <c r="DR439" s="42"/>
      <c r="DS439" s="42"/>
      <c r="DT439" s="42"/>
      <c r="DU439" s="42"/>
      <c r="DV439" s="42"/>
      <c r="DW439" s="42"/>
      <c r="DX439" s="42"/>
      <c r="DY439" s="42"/>
      <c r="DZ439" s="42"/>
      <c r="EA439" s="42"/>
      <c r="EB439" s="42"/>
      <c r="EC439" s="42"/>
      <c r="ED439" s="42"/>
      <c r="EE439" s="42"/>
      <c r="EF439" s="42"/>
      <c r="EG439" s="42"/>
      <c r="EH439" s="42"/>
      <c r="EI439" s="42"/>
      <c r="EJ439" s="42"/>
      <c r="EK439" s="42"/>
      <c r="EL439" s="42"/>
      <c r="EM439" s="42"/>
      <c r="EN439" s="42"/>
      <c r="EO439" s="42"/>
      <c r="EP439" s="42"/>
      <c r="EQ439" s="42"/>
      <c r="ER439" s="42"/>
      <c r="ES439" s="42"/>
      <c r="ET439" s="42"/>
      <c r="EU439" s="42"/>
      <c r="EV439" s="42"/>
      <c r="EW439" s="42"/>
      <c r="EX439" s="42"/>
      <c r="EY439" s="42"/>
      <c r="EZ439" s="42"/>
      <c r="FA439" s="42"/>
      <c r="FB439" s="42"/>
      <c r="FC439" s="42"/>
      <c r="FD439" s="42"/>
      <c r="FE439" s="42"/>
      <c r="FF439" s="42"/>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row>
    <row r="440" spans="1:256" ht="13.8" x14ac:dyDescent="0.3">
      <c r="A440" s="42"/>
      <c r="B440" s="42"/>
      <c r="C440" s="42"/>
      <c r="D440" s="42"/>
      <c r="E440" s="42"/>
      <c r="F440" s="42"/>
      <c r="G440" s="42"/>
      <c r="H440" s="42"/>
      <c r="I440" s="42"/>
      <c r="J440" s="42"/>
      <c r="K440" s="42"/>
      <c r="L440" s="42"/>
      <c r="M440" s="42"/>
      <c r="N440" s="42"/>
      <c r="O440" s="42"/>
      <c r="P440" s="42"/>
      <c r="Q440" s="42"/>
      <c r="R440" s="42"/>
      <c r="S440" s="42"/>
      <c r="T440" s="42"/>
      <c r="U440" s="194"/>
      <c r="V440" s="42"/>
      <c r="W440" s="42"/>
      <c r="X440" s="42"/>
      <c r="Y440" s="42"/>
      <c r="Z440" s="42"/>
      <c r="AA440" s="42"/>
      <c r="AB440" s="195"/>
      <c r="AC440" s="42"/>
      <c r="AD440" s="42"/>
      <c r="AE440" s="195"/>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42"/>
      <c r="BH440" s="42"/>
      <c r="BI440" s="42"/>
      <c r="BJ440" s="42"/>
      <c r="BK440" s="42"/>
      <c r="BL440" s="42"/>
      <c r="BM440" s="42"/>
      <c r="BN440" s="42"/>
      <c r="BO440" s="42"/>
      <c r="BP440" s="42"/>
      <c r="BQ440" s="42"/>
      <c r="BR440" s="42"/>
      <c r="BS440" s="42"/>
      <c r="BT440" s="42"/>
      <c r="BU440" s="42"/>
      <c r="BV440" s="42"/>
      <c r="BW440" s="42"/>
      <c r="BX440" s="42"/>
      <c r="BY440" s="42"/>
      <c r="BZ440" s="42"/>
      <c r="CA440" s="42"/>
      <c r="CB440" s="42"/>
      <c r="CC440" s="42"/>
      <c r="CD440" s="42"/>
      <c r="CE440" s="42"/>
      <c r="CF440" s="42"/>
      <c r="CG440" s="42"/>
      <c r="CH440" s="42"/>
      <c r="CI440" s="42"/>
      <c r="CJ440" s="42"/>
      <c r="CK440" s="42"/>
      <c r="CL440" s="42"/>
      <c r="CM440" s="42"/>
      <c r="CN440" s="42"/>
      <c r="CO440" s="42"/>
      <c r="CP440" s="42"/>
      <c r="CQ440" s="42"/>
      <c r="CR440" s="42"/>
      <c r="CS440" s="42"/>
      <c r="CT440" s="42"/>
      <c r="CU440" s="42"/>
      <c r="CV440" s="42"/>
      <c r="CW440" s="42"/>
      <c r="CX440" s="42"/>
      <c r="CY440" s="42"/>
      <c r="CZ440" s="42"/>
      <c r="DA440" s="42"/>
      <c r="DB440" s="42"/>
      <c r="DC440" s="42"/>
      <c r="DD440" s="42"/>
      <c r="DE440" s="42"/>
      <c r="DF440" s="42"/>
      <c r="DG440" s="42"/>
      <c r="DH440" s="42"/>
      <c r="DI440" s="42"/>
      <c r="DJ440" s="42"/>
      <c r="DK440" s="42"/>
      <c r="DL440" s="42"/>
      <c r="DM440" s="42"/>
      <c r="DN440" s="42"/>
      <c r="DO440" s="42"/>
      <c r="DP440" s="42"/>
      <c r="DQ440" s="42"/>
      <c r="DR440" s="42"/>
      <c r="DS440" s="42"/>
      <c r="DT440" s="42"/>
      <c r="DU440" s="42"/>
      <c r="DV440" s="42"/>
      <c r="DW440" s="42"/>
      <c r="DX440" s="42"/>
      <c r="DY440" s="42"/>
      <c r="DZ440" s="42"/>
      <c r="EA440" s="42"/>
      <c r="EB440" s="42"/>
      <c r="EC440" s="42"/>
      <c r="ED440" s="42"/>
      <c r="EE440" s="42"/>
      <c r="EF440" s="42"/>
      <c r="EG440" s="42"/>
      <c r="EH440" s="42"/>
      <c r="EI440" s="42"/>
      <c r="EJ440" s="42"/>
      <c r="EK440" s="42"/>
      <c r="EL440" s="42"/>
      <c r="EM440" s="42"/>
      <c r="EN440" s="42"/>
      <c r="EO440" s="42"/>
      <c r="EP440" s="42"/>
      <c r="EQ440" s="42"/>
      <c r="ER440" s="42"/>
      <c r="ES440" s="42"/>
      <c r="ET440" s="42"/>
      <c r="EU440" s="42"/>
      <c r="EV440" s="42"/>
      <c r="EW440" s="42"/>
      <c r="EX440" s="42"/>
      <c r="EY440" s="42"/>
      <c r="EZ440" s="42"/>
      <c r="FA440" s="42"/>
      <c r="FB440" s="42"/>
      <c r="FC440" s="42"/>
      <c r="FD440" s="42"/>
      <c r="FE440" s="42"/>
      <c r="FF440" s="42"/>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row>
    <row r="441" spans="1:256" ht="13.8" x14ac:dyDescent="0.3">
      <c r="A441" s="42"/>
      <c r="B441" s="42"/>
      <c r="C441" s="42"/>
      <c r="D441" s="42"/>
      <c r="E441" s="42"/>
      <c r="F441" s="42"/>
      <c r="G441" s="42"/>
      <c r="H441" s="42"/>
      <c r="I441" s="42"/>
      <c r="J441" s="42"/>
      <c r="K441" s="42"/>
      <c r="L441" s="42"/>
      <c r="M441" s="42"/>
      <c r="N441" s="42"/>
      <c r="O441" s="42"/>
      <c r="P441" s="42"/>
      <c r="Q441" s="42"/>
      <c r="R441" s="42"/>
      <c r="S441" s="42"/>
      <c r="T441" s="42"/>
      <c r="U441" s="194"/>
      <c r="V441" s="42"/>
      <c r="W441" s="42"/>
      <c r="X441" s="42"/>
      <c r="Y441" s="42"/>
      <c r="Z441" s="42"/>
      <c r="AA441" s="42"/>
      <c r="AB441" s="195"/>
      <c r="AC441" s="42"/>
      <c r="AD441" s="42"/>
      <c r="AE441" s="195"/>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42"/>
      <c r="BH441" s="42"/>
      <c r="BI441" s="42"/>
      <c r="BJ441" s="42"/>
      <c r="BK441" s="42"/>
      <c r="BL441" s="42"/>
      <c r="BM441" s="42"/>
      <c r="BN441" s="42"/>
      <c r="BO441" s="42"/>
      <c r="BP441" s="42"/>
      <c r="BQ441" s="42"/>
      <c r="BR441" s="42"/>
      <c r="BS441" s="42"/>
      <c r="BT441" s="42"/>
      <c r="BU441" s="42"/>
      <c r="BV441" s="42"/>
      <c r="BW441" s="42"/>
      <c r="BX441" s="42"/>
      <c r="BY441" s="42"/>
      <c r="BZ441" s="42"/>
      <c r="CA441" s="42"/>
      <c r="CB441" s="42"/>
      <c r="CC441" s="42"/>
      <c r="CD441" s="42"/>
      <c r="CE441" s="42"/>
      <c r="CF441" s="42"/>
      <c r="CG441" s="42"/>
      <c r="CH441" s="42"/>
      <c r="CI441" s="42"/>
      <c r="CJ441" s="42"/>
      <c r="CK441" s="42"/>
      <c r="CL441" s="42"/>
      <c r="CM441" s="42"/>
      <c r="CN441" s="42"/>
      <c r="CO441" s="42"/>
      <c r="CP441" s="42"/>
      <c r="CQ441" s="42"/>
      <c r="CR441" s="42"/>
      <c r="CS441" s="42"/>
      <c r="CT441" s="42"/>
      <c r="CU441" s="42"/>
      <c r="CV441" s="42"/>
      <c r="CW441" s="42"/>
      <c r="CX441" s="42"/>
      <c r="CY441" s="42"/>
      <c r="CZ441" s="42"/>
      <c r="DA441" s="42"/>
      <c r="DB441" s="42"/>
      <c r="DC441" s="42"/>
      <c r="DD441" s="42"/>
      <c r="DE441" s="42"/>
      <c r="DF441" s="42"/>
      <c r="DG441" s="42"/>
      <c r="DH441" s="42"/>
      <c r="DI441" s="42"/>
      <c r="DJ441" s="42"/>
      <c r="DK441" s="42"/>
      <c r="DL441" s="42"/>
      <c r="DM441" s="42"/>
      <c r="DN441" s="42"/>
      <c r="DO441" s="42"/>
      <c r="DP441" s="42"/>
      <c r="DQ441" s="42"/>
      <c r="DR441" s="42"/>
      <c r="DS441" s="42"/>
      <c r="DT441" s="42"/>
      <c r="DU441" s="42"/>
      <c r="DV441" s="42"/>
      <c r="DW441" s="42"/>
      <c r="DX441" s="42"/>
      <c r="DY441" s="42"/>
      <c r="DZ441" s="42"/>
      <c r="EA441" s="42"/>
      <c r="EB441" s="42"/>
      <c r="EC441" s="42"/>
      <c r="ED441" s="42"/>
      <c r="EE441" s="42"/>
      <c r="EF441" s="42"/>
      <c r="EG441" s="42"/>
      <c r="EH441" s="42"/>
      <c r="EI441" s="42"/>
      <c r="EJ441" s="42"/>
      <c r="EK441" s="42"/>
      <c r="EL441" s="42"/>
      <c r="EM441" s="42"/>
      <c r="EN441" s="42"/>
      <c r="EO441" s="42"/>
      <c r="EP441" s="42"/>
      <c r="EQ441" s="42"/>
      <c r="ER441" s="42"/>
      <c r="ES441" s="42"/>
      <c r="ET441" s="42"/>
      <c r="EU441" s="42"/>
      <c r="EV441" s="42"/>
      <c r="EW441" s="42"/>
      <c r="EX441" s="42"/>
      <c r="EY441" s="42"/>
      <c r="EZ441" s="42"/>
      <c r="FA441" s="42"/>
      <c r="FB441" s="42"/>
      <c r="FC441" s="42"/>
      <c r="FD441" s="42"/>
      <c r="FE441" s="42"/>
      <c r="FF441" s="42"/>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row>
    <row r="442" spans="1:256" ht="13.8" x14ac:dyDescent="0.3">
      <c r="A442" s="42"/>
      <c r="B442" s="42"/>
      <c r="C442" s="42"/>
      <c r="D442" s="42"/>
      <c r="E442" s="42"/>
      <c r="F442" s="42"/>
      <c r="G442" s="42"/>
      <c r="H442" s="42"/>
      <c r="I442" s="42"/>
      <c r="J442" s="42"/>
      <c r="K442" s="42"/>
      <c r="L442" s="42"/>
      <c r="M442" s="42"/>
      <c r="N442" s="42"/>
      <c r="O442" s="42"/>
      <c r="P442" s="42"/>
      <c r="Q442" s="42"/>
      <c r="R442" s="42"/>
      <c r="S442" s="42"/>
      <c r="T442" s="42"/>
      <c r="U442" s="194"/>
      <c r="V442" s="42"/>
      <c r="W442" s="42"/>
      <c r="X442" s="42"/>
      <c r="Y442" s="42"/>
      <c r="Z442" s="42"/>
      <c r="AA442" s="42"/>
      <c r="AB442" s="195"/>
      <c r="AC442" s="42"/>
      <c r="AD442" s="42"/>
      <c r="AE442" s="195"/>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42"/>
      <c r="BH442" s="42"/>
      <c r="BI442" s="42"/>
      <c r="BJ442" s="42"/>
      <c r="BK442" s="42"/>
      <c r="BL442" s="42"/>
      <c r="BM442" s="42"/>
      <c r="BN442" s="42"/>
      <c r="BO442" s="42"/>
      <c r="BP442" s="42"/>
      <c r="BQ442" s="42"/>
      <c r="BR442" s="42"/>
      <c r="BS442" s="42"/>
      <c r="BT442" s="42"/>
      <c r="BU442" s="42"/>
      <c r="BV442" s="42"/>
      <c r="BW442" s="42"/>
      <c r="BX442" s="42"/>
      <c r="BY442" s="42"/>
      <c r="BZ442" s="42"/>
      <c r="CA442" s="42"/>
      <c r="CB442" s="42"/>
      <c r="CC442" s="42"/>
      <c r="CD442" s="42"/>
      <c r="CE442" s="42"/>
      <c r="CF442" s="42"/>
      <c r="CG442" s="42"/>
      <c r="CH442" s="42"/>
      <c r="CI442" s="42"/>
      <c r="CJ442" s="42"/>
      <c r="CK442" s="42"/>
      <c r="CL442" s="42"/>
      <c r="CM442" s="42"/>
      <c r="CN442" s="42"/>
      <c r="CO442" s="42"/>
      <c r="CP442" s="42"/>
      <c r="CQ442" s="42"/>
      <c r="CR442" s="42"/>
      <c r="CS442" s="42"/>
      <c r="CT442" s="42"/>
      <c r="CU442" s="42"/>
      <c r="CV442" s="42"/>
      <c r="CW442" s="42"/>
      <c r="CX442" s="42"/>
      <c r="CY442" s="42"/>
      <c r="CZ442" s="42"/>
      <c r="DA442" s="42"/>
      <c r="DB442" s="42"/>
      <c r="DC442" s="42"/>
      <c r="DD442" s="42"/>
      <c r="DE442" s="42"/>
      <c r="DF442" s="42"/>
      <c r="DG442" s="42"/>
      <c r="DH442" s="42"/>
      <c r="DI442" s="42"/>
      <c r="DJ442" s="42"/>
      <c r="DK442" s="42"/>
      <c r="DL442" s="42"/>
      <c r="DM442" s="42"/>
      <c r="DN442" s="42"/>
      <c r="DO442" s="42"/>
      <c r="DP442" s="42"/>
      <c r="DQ442" s="42"/>
      <c r="DR442" s="42"/>
      <c r="DS442" s="42"/>
      <c r="DT442" s="42"/>
      <c r="DU442" s="42"/>
      <c r="DV442" s="42"/>
      <c r="DW442" s="42"/>
      <c r="DX442" s="42"/>
      <c r="DY442" s="42"/>
      <c r="DZ442" s="42"/>
      <c r="EA442" s="42"/>
      <c r="EB442" s="42"/>
      <c r="EC442" s="42"/>
      <c r="ED442" s="42"/>
      <c r="EE442" s="42"/>
      <c r="EF442" s="42"/>
      <c r="EG442" s="42"/>
      <c r="EH442" s="42"/>
      <c r="EI442" s="42"/>
      <c r="EJ442" s="42"/>
      <c r="EK442" s="42"/>
      <c r="EL442" s="42"/>
      <c r="EM442" s="42"/>
      <c r="EN442" s="42"/>
      <c r="EO442" s="42"/>
      <c r="EP442" s="42"/>
      <c r="EQ442" s="42"/>
      <c r="ER442" s="42"/>
      <c r="ES442" s="42"/>
      <c r="ET442" s="42"/>
      <c r="EU442" s="42"/>
      <c r="EV442" s="42"/>
      <c r="EW442" s="42"/>
      <c r="EX442" s="42"/>
      <c r="EY442" s="42"/>
      <c r="EZ442" s="42"/>
      <c r="FA442" s="42"/>
      <c r="FB442" s="42"/>
      <c r="FC442" s="42"/>
      <c r="FD442" s="42"/>
      <c r="FE442" s="42"/>
      <c r="FF442" s="42"/>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row>
    <row r="443" spans="1:256" ht="13.8" x14ac:dyDescent="0.3">
      <c r="A443" s="42"/>
      <c r="B443" s="42"/>
      <c r="C443" s="42"/>
      <c r="D443" s="42"/>
      <c r="E443" s="42"/>
      <c r="F443" s="42"/>
      <c r="G443" s="42"/>
      <c r="H443" s="42"/>
      <c r="I443" s="42"/>
      <c r="J443" s="42"/>
      <c r="K443" s="42"/>
      <c r="L443" s="42"/>
      <c r="M443" s="42"/>
      <c r="N443" s="42"/>
      <c r="O443" s="42"/>
      <c r="P443" s="42"/>
      <c r="Q443" s="42"/>
      <c r="R443" s="42"/>
      <c r="S443" s="42"/>
      <c r="T443" s="42"/>
      <c r="U443" s="194"/>
      <c r="V443" s="42"/>
      <c r="W443" s="42"/>
      <c r="X443" s="42"/>
      <c r="Y443" s="42"/>
      <c r="Z443" s="42"/>
      <c r="AA443" s="42"/>
      <c r="AB443" s="195"/>
      <c r="AC443" s="42"/>
      <c r="AD443" s="42"/>
      <c r="AE443" s="195"/>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42"/>
      <c r="BH443" s="42"/>
      <c r="BI443" s="42"/>
      <c r="BJ443" s="42"/>
      <c r="BK443" s="42"/>
      <c r="BL443" s="42"/>
      <c r="BM443" s="42"/>
      <c r="BN443" s="42"/>
      <c r="BO443" s="42"/>
      <c r="BP443" s="42"/>
      <c r="BQ443" s="42"/>
      <c r="BR443" s="42"/>
      <c r="BS443" s="42"/>
      <c r="BT443" s="42"/>
      <c r="BU443" s="42"/>
      <c r="BV443" s="42"/>
      <c r="BW443" s="42"/>
      <c r="BX443" s="42"/>
      <c r="BY443" s="42"/>
      <c r="BZ443" s="42"/>
      <c r="CA443" s="42"/>
      <c r="CB443" s="42"/>
      <c r="CC443" s="42"/>
      <c r="CD443" s="42"/>
      <c r="CE443" s="42"/>
      <c r="CF443" s="42"/>
      <c r="CG443" s="42"/>
      <c r="CH443" s="42"/>
      <c r="CI443" s="42"/>
      <c r="CJ443" s="42"/>
      <c r="CK443" s="42"/>
      <c r="CL443" s="42"/>
      <c r="CM443" s="42"/>
      <c r="CN443" s="42"/>
      <c r="CO443" s="42"/>
      <c r="CP443" s="42"/>
      <c r="CQ443" s="42"/>
      <c r="CR443" s="42"/>
      <c r="CS443" s="42"/>
      <c r="CT443" s="42"/>
      <c r="CU443" s="42"/>
      <c r="CV443" s="42"/>
      <c r="CW443" s="42"/>
      <c r="CX443" s="42"/>
      <c r="CY443" s="42"/>
      <c r="CZ443" s="42"/>
      <c r="DA443" s="42"/>
      <c r="DB443" s="42"/>
      <c r="DC443" s="42"/>
      <c r="DD443" s="42"/>
      <c r="DE443" s="42"/>
      <c r="DF443" s="42"/>
      <c r="DG443" s="42"/>
      <c r="DH443" s="42"/>
      <c r="DI443" s="42"/>
      <c r="DJ443" s="42"/>
      <c r="DK443" s="42"/>
      <c r="DL443" s="42"/>
      <c r="DM443" s="42"/>
      <c r="DN443" s="42"/>
      <c r="DO443" s="42"/>
      <c r="DP443" s="42"/>
      <c r="DQ443" s="42"/>
      <c r="DR443" s="42"/>
      <c r="DS443" s="42"/>
      <c r="DT443" s="42"/>
      <c r="DU443" s="42"/>
      <c r="DV443" s="42"/>
      <c r="DW443" s="42"/>
      <c r="DX443" s="42"/>
      <c r="DY443" s="42"/>
      <c r="DZ443" s="42"/>
      <c r="EA443" s="42"/>
      <c r="EB443" s="42"/>
      <c r="EC443" s="42"/>
      <c r="ED443" s="42"/>
      <c r="EE443" s="42"/>
      <c r="EF443" s="42"/>
      <c r="EG443" s="42"/>
      <c r="EH443" s="42"/>
      <c r="EI443" s="42"/>
      <c r="EJ443" s="42"/>
      <c r="EK443" s="42"/>
      <c r="EL443" s="42"/>
      <c r="EM443" s="42"/>
      <c r="EN443" s="42"/>
      <c r="EO443" s="42"/>
      <c r="EP443" s="42"/>
      <c r="EQ443" s="42"/>
      <c r="ER443" s="42"/>
      <c r="ES443" s="42"/>
      <c r="ET443" s="42"/>
      <c r="EU443" s="42"/>
      <c r="EV443" s="42"/>
      <c r="EW443" s="42"/>
      <c r="EX443" s="42"/>
      <c r="EY443" s="42"/>
      <c r="EZ443" s="42"/>
      <c r="FA443" s="42"/>
      <c r="FB443" s="42"/>
      <c r="FC443" s="42"/>
      <c r="FD443" s="42"/>
      <c r="FE443" s="42"/>
      <c r="FF443" s="42"/>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row>
    <row r="444" spans="1:256" ht="13.8" x14ac:dyDescent="0.3">
      <c r="A444" s="42"/>
      <c r="B444" s="42"/>
      <c r="C444" s="42"/>
      <c r="D444" s="42"/>
      <c r="E444" s="42"/>
      <c r="F444" s="42"/>
      <c r="G444" s="42"/>
      <c r="H444" s="42"/>
      <c r="I444" s="42"/>
      <c r="J444" s="42"/>
      <c r="K444" s="42"/>
      <c r="L444" s="42"/>
      <c r="M444" s="42"/>
      <c r="N444" s="42"/>
      <c r="O444" s="42"/>
      <c r="P444" s="42"/>
      <c r="Q444" s="42"/>
      <c r="R444" s="42"/>
      <c r="S444" s="42"/>
      <c r="T444" s="42"/>
      <c r="U444" s="194"/>
      <c r="V444" s="42"/>
      <c r="W444" s="42"/>
      <c r="X444" s="42"/>
      <c r="Y444" s="42"/>
      <c r="Z444" s="42"/>
      <c r="AA444" s="42"/>
      <c r="AB444" s="195"/>
      <c r="AC444" s="42"/>
      <c r="AD444" s="42"/>
      <c r="AE444" s="195"/>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42"/>
      <c r="BH444" s="42"/>
      <c r="BI444" s="42"/>
      <c r="BJ444" s="42"/>
      <c r="BK444" s="42"/>
      <c r="BL444" s="42"/>
      <c r="BM444" s="42"/>
      <c r="BN444" s="42"/>
      <c r="BO444" s="42"/>
      <c r="BP444" s="42"/>
      <c r="BQ444" s="42"/>
      <c r="BR444" s="42"/>
      <c r="BS444" s="42"/>
      <c r="BT444" s="42"/>
      <c r="BU444" s="42"/>
      <c r="BV444" s="42"/>
      <c r="BW444" s="42"/>
      <c r="BX444" s="42"/>
      <c r="BY444" s="42"/>
      <c r="BZ444" s="42"/>
      <c r="CA444" s="42"/>
      <c r="CB444" s="42"/>
      <c r="CC444" s="42"/>
      <c r="CD444" s="42"/>
      <c r="CE444" s="42"/>
      <c r="CF444" s="42"/>
      <c r="CG444" s="42"/>
      <c r="CH444" s="42"/>
      <c r="CI444" s="42"/>
      <c r="CJ444" s="42"/>
      <c r="CK444" s="42"/>
      <c r="CL444" s="42"/>
      <c r="CM444" s="42"/>
      <c r="CN444" s="42"/>
      <c r="CO444" s="42"/>
      <c r="CP444" s="42"/>
      <c r="CQ444" s="42"/>
      <c r="CR444" s="42"/>
      <c r="CS444" s="42"/>
      <c r="CT444" s="42"/>
      <c r="CU444" s="42"/>
      <c r="CV444" s="42"/>
      <c r="CW444" s="42"/>
      <c r="CX444" s="42"/>
      <c r="CY444" s="42"/>
      <c r="CZ444" s="42"/>
      <c r="DA444" s="42"/>
      <c r="DB444" s="42"/>
      <c r="DC444" s="42"/>
      <c r="DD444" s="42"/>
      <c r="DE444" s="42"/>
      <c r="DF444" s="42"/>
      <c r="DG444" s="42"/>
      <c r="DH444" s="42"/>
      <c r="DI444" s="42"/>
      <c r="DJ444" s="42"/>
      <c r="DK444" s="42"/>
      <c r="DL444" s="42"/>
      <c r="DM444" s="42"/>
      <c r="DN444" s="42"/>
      <c r="DO444" s="42"/>
      <c r="DP444" s="42"/>
      <c r="DQ444" s="42"/>
      <c r="DR444" s="42"/>
      <c r="DS444" s="42"/>
      <c r="DT444" s="42"/>
      <c r="DU444" s="42"/>
      <c r="DV444" s="42"/>
      <c r="DW444" s="42"/>
      <c r="DX444" s="42"/>
      <c r="DY444" s="42"/>
      <c r="DZ444" s="42"/>
      <c r="EA444" s="42"/>
      <c r="EB444" s="42"/>
      <c r="EC444" s="42"/>
      <c r="ED444" s="42"/>
      <c r="EE444" s="42"/>
      <c r="EF444" s="42"/>
      <c r="EG444" s="42"/>
      <c r="EH444" s="42"/>
      <c r="EI444" s="42"/>
      <c r="EJ444" s="42"/>
      <c r="EK444" s="42"/>
      <c r="EL444" s="42"/>
      <c r="EM444" s="42"/>
      <c r="EN444" s="42"/>
      <c r="EO444" s="42"/>
      <c r="EP444" s="42"/>
      <c r="EQ444" s="42"/>
      <c r="ER444" s="42"/>
      <c r="ES444" s="42"/>
      <c r="ET444" s="42"/>
      <c r="EU444" s="42"/>
      <c r="EV444" s="42"/>
      <c r="EW444" s="42"/>
      <c r="EX444" s="42"/>
      <c r="EY444" s="42"/>
      <c r="EZ444" s="42"/>
      <c r="FA444" s="42"/>
      <c r="FB444" s="42"/>
      <c r="FC444" s="42"/>
      <c r="FD444" s="42"/>
      <c r="FE444" s="42"/>
      <c r="FF444" s="42"/>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row>
    <row r="445" spans="1:256" ht="13.8" x14ac:dyDescent="0.3">
      <c r="A445" s="42"/>
      <c r="B445" s="42"/>
      <c r="C445" s="42"/>
      <c r="D445" s="42"/>
      <c r="E445" s="42"/>
      <c r="F445" s="42"/>
      <c r="G445" s="42"/>
      <c r="H445" s="42"/>
      <c r="I445" s="42"/>
      <c r="J445" s="42"/>
      <c r="K445" s="42"/>
      <c r="L445" s="42"/>
      <c r="M445" s="42"/>
      <c r="N445" s="42"/>
      <c r="O445" s="42"/>
      <c r="P445" s="42"/>
      <c r="Q445" s="42"/>
      <c r="R445" s="42"/>
      <c r="S445" s="42"/>
      <c r="T445" s="42"/>
      <c r="U445" s="194"/>
      <c r="V445" s="42"/>
      <c r="W445" s="42"/>
      <c r="X445" s="42"/>
      <c r="Y445" s="42"/>
      <c r="Z445" s="42"/>
      <c r="AA445" s="42"/>
      <c r="AB445" s="195"/>
      <c r="AC445" s="42"/>
      <c r="AD445" s="42"/>
      <c r="AE445" s="195"/>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42"/>
      <c r="BH445" s="42"/>
      <c r="BI445" s="42"/>
      <c r="BJ445" s="42"/>
      <c r="BK445" s="42"/>
      <c r="BL445" s="42"/>
      <c r="BM445" s="42"/>
      <c r="BN445" s="42"/>
      <c r="BO445" s="42"/>
      <c r="BP445" s="42"/>
      <c r="BQ445" s="42"/>
      <c r="BR445" s="42"/>
      <c r="BS445" s="42"/>
      <c r="BT445" s="42"/>
      <c r="BU445" s="42"/>
      <c r="BV445" s="42"/>
      <c r="BW445" s="42"/>
      <c r="BX445" s="42"/>
      <c r="BY445" s="42"/>
      <c r="BZ445" s="42"/>
      <c r="CA445" s="42"/>
      <c r="CB445" s="42"/>
      <c r="CC445" s="42"/>
      <c r="CD445" s="42"/>
      <c r="CE445" s="42"/>
      <c r="CF445" s="42"/>
      <c r="CG445" s="42"/>
      <c r="CH445" s="42"/>
      <c r="CI445" s="42"/>
      <c r="CJ445" s="42"/>
      <c r="CK445" s="42"/>
      <c r="CL445" s="42"/>
      <c r="CM445" s="42"/>
      <c r="CN445" s="42"/>
      <c r="CO445" s="42"/>
      <c r="CP445" s="42"/>
      <c r="CQ445" s="42"/>
      <c r="CR445" s="42"/>
      <c r="CS445" s="42"/>
      <c r="CT445" s="42"/>
      <c r="CU445" s="42"/>
      <c r="CV445" s="42"/>
      <c r="CW445" s="42"/>
      <c r="CX445" s="42"/>
      <c r="CY445" s="42"/>
      <c r="CZ445" s="42"/>
      <c r="DA445" s="42"/>
      <c r="DB445" s="42"/>
      <c r="DC445" s="42"/>
      <c r="DD445" s="42"/>
      <c r="DE445" s="42"/>
      <c r="DF445" s="42"/>
      <c r="DG445" s="42"/>
      <c r="DH445" s="42"/>
      <c r="DI445" s="42"/>
      <c r="DJ445" s="42"/>
      <c r="DK445" s="42"/>
      <c r="DL445" s="42"/>
      <c r="DM445" s="42"/>
      <c r="DN445" s="42"/>
      <c r="DO445" s="42"/>
      <c r="DP445" s="42"/>
      <c r="DQ445" s="42"/>
      <c r="DR445" s="42"/>
      <c r="DS445" s="42"/>
      <c r="DT445" s="42"/>
      <c r="DU445" s="42"/>
      <c r="DV445" s="42"/>
      <c r="DW445" s="42"/>
      <c r="DX445" s="42"/>
      <c r="DY445" s="42"/>
      <c r="DZ445" s="42"/>
      <c r="EA445" s="42"/>
      <c r="EB445" s="42"/>
      <c r="EC445" s="42"/>
      <c r="ED445" s="42"/>
      <c r="EE445" s="42"/>
      <c r="EF445" s="42"/>
      <c r="EG445" s="42"/>
      <c r="EH445" s="42"/>
      <c r="EI445" s="42"/>
      <c r="EJ445" s="42"/>
      <c r="EK445" s="42"/>
      <c r="EL445" s="42"/>
      <c r="EM445" s="42"/>
      <c r="EN445" s="42"/>
      <c r="EO445" s="42"/>
      <c r="EP445" s="42"/>
      <c r="EQ445" s="42"/>
      <c r="ER445" s="42"/>
      <c r="ES445" s="42"/>
      <c r="ET445" s="42"/>
      <c r="EU445" s="42"/>
      <c r="EV445" s="42"/>
      <c r="EW445" s="42"/>
      <c r="EX445" s="42"/>
      <c r="EY445" s="42"/>
      <c r="EZ445" s="42"/>
      <c r="FA445" s="42"/>
      <c r="FB445" s="42"/>
      <c r="FC445" s="42"/>
      <c r="FD445" s="42"/>
      <c r="FE445" s="42"/>
      <c r="FF445" s="42"/>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row>
    <row r="446" spans="1:256" ht="13.8" x14ac:dyDescent="0.3">
      <c r="A446" s="42"/>
      <c r="B446" s="42"/>
      <c r="C446" s="42"/>
      <c r="D446" s="42"/>
      <c r="E446" s="42"/>
      <c r="F446" s="42"/>
      <c r="G446" s="42"/>
      <c r="H446" s="42"/>
      <c r="I446" s="42"/>
      <c r="J446" s="42"/>
      <c r="K446" s="42"/>
      <c r="L446" s="42"/>
      <c r="M446" s="42"/>
      <c r="N446" s="42"/>
      <c r="O446" s="42"/>
      <c r="P446" s="42"/>
      <c r="Q446" s="42"/>
      <c r="R446" s="42"/>
      <c r="S446" s="42"/>
      <c r="T446" s="42"/>
      <c r="U446" s="194"/>
      <c r="V446" s="42"/>
      <c r="W446" s="42"/>
      <c r="X446" s="42"/>
      <c r="Y446" s="42"/>
      <c r="Z446" s="42"/>
      <c r="AA446" s="42"/>
      <c r="AB446" s="195"/>
      <c r="AC446" s="42"/>
      <c r="AD446" s="42"/>
      <c r="AE446" s="195"/>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42"/>
      <c r="BH446" s="42"/>
      <c r="BI446" s="42"/>
      <c r="BJ446" s="42"/>
      <c r="BK446" s="42"/>
      <c r="BL446" s="42"/>
      <c r="BM446" s="42"/>
      <c r="BN446" s="42"/>
      <c r="BO446" s="42"/>
      <c r="BP446" s="42"/>
      <c r="BQ446" s="42"/>
      <c r="BR446" s="42"/>
      <c r="BS446" s="42"/>
      <c r="BT446" s="42"/>
      <c r="BU446" s="42"/>
      <c r="BV446" s="42"/>
      <c r="BW446" s="42"/>
      <c r="BX446" s="42"/>
      <c r="BY446" s="42"/>
      <c r="BZ446" s="42"/>
      <c r="CA446" s="42"/>
      <c r="CB446" s="42"/>
      <c r="CC446" s="42"/>
      <c r="CD446" s="42"/>
      <c r="CE446" s="42"/>
      <c r="CF446" s="42"/>
      <c r="CG446" s="42"/>
      <c r="CH446" s="42"/>
      <c r="CI446" s="42"/>
      <c r="CJ446" s="42"/>
      <c r="CK446" s="42"/>
      <c r="CL446" s="42"/>
      <c r="CM446" s="42"/>
      <c r="CN446" s="42"/>
      <c r="CO446" s="42"/>
      <c r="CP446" s="42"/>
      <c r="CQ446" s="42"/>
      <c r="CR446" s="42"/>
      <c r="CS446" s="42"/>
      <c r="CT446" s="42"/>
      <c r="CU446" s="42"/>
      <c r="CV446" s="42"/>
      <c r="CW446" s="42"/>
      <c r="CX446" s="42"/>
      <c r="CY446" s="42"/>
      <c r="CZ446" s="42"/>
      <c r="DA446" s="42"/>
      <c r="DB446" s="42"/>
      <c r="DC446" s="42"/>
      <c r="DD446" s="42"/>
      <c r="DE446" s="42"/>
      <c r="DF446" s="42"/>
      <c r="DG446" s="42"/>
      <c r="DH446" s="42"/>
      <c r="DI446" s="42"/>
      <c r="DJ446" s="42"/>
      <c r="DK446" s="42"/>
      <c r="DL446" s="42"/>
      <c r="DM446" s="42"/>
      <c r="DN446" s="42"/>
      <c r="DO446" s="42"/>
      <c r="DP446" s="42"/>
      <c r="DQ446" s="42"/>
      <c r="DR446" s="42"/>
      <c r="DS446" s="42"/>
      <c r="DT446" s="42"/>
      <c r="DU446" s="42"/>
      <c r="DV446" s="42"/>
      <c r="DW446" s="42"/>
      <c r="DX446" s="42"/>
      <c r="DY446" s="42"/>
      <c r="DZ446" s="42"/>
      <c r="EA446" s="42"/>
      <c r="EB446" s="42"/>
      <c r="EC446" s="42"/>
      <c r="ED446" s="42"/>
      <c r="EE446" s="42"/>
      <c r="EF446" s="42"/>
      <c r="EG446" s="42"/>
      <c r="EH446" s="42"/>
      <c r="EI446" s="42"/>
      <c r="EJ446" s="42"/>
      <c r="EK446" s="42"/>
      <c r="EL446" s="42"/>
      <c r="EM446" s="42"/>
      <c r="EN446" s="42"/>
      <c r="EO446" s="42"/>
      <c r="EP446" s="42"/>
      <c r="EQ446" s="42"/>
      <c r="ER446" s="42"/>
      <c r="ES446" s="42"/>
      <c r="ET446" s="42"/>
      <c r="EU446" s="42"/>
      <c r="EV446" s="42"/>
      <c r="EW446" s="42"/>
      <c r="EX446" s="42"/>
      <c r="EY446" s="42"/>
      <c r="EZ446" s="42"/>
      <c r="FA446" s="42"/>
      <c r="FB446" s="42"/>
      <c r="FC446" s="42"/>
      <c r="FD446" s="42"/>
      <c r="FE446" s="42"/>
      <c r="FF446" s="42"/>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row>
    <row r="447" spans="1:256" ht="13.8" x14ac:dyDescent="0.3">
      <c r="A447" s="42"/>
      <c r="B447" s="42"/>
      <c r="C447" s="42"/>
      <c r="D447" s="42"/>
      <c r="E447" s="42"/>
      <c r="F447" s="42"/>
      <c r="G447" s="42"/>
      <c r="H447" s="42"/>
      <c r="I447" s="42"/>
      <c r="J447" s="42"/>
      <c r="K447" s="42"/>
      <c r="L447" s="42"/>
      <c r="M447" s="42"/>
      <c r="N447" s="42"/>
      <c r="O447" s="42"/>
      <c r="P447" s="42"/>
      <c r="Q447" s="42"/>
      <c r="R447" s="42"/>
      <c r="S447" s="42"/>
      <c r="T447" s="42"/>
      <c r="U447" s="194"/>
      <c r="V447" s="42"/>
      <c r="W447" s="42"/>
      <c r="X447" s="42"/>
      <c r="Y447" s="42"/>
      <c r="Z447" s="42"/>
      <c r="AA447" s="42"/>
      <c r="AB447" s="195"/>
      <c r="AC447" s="42"/>
      <c r="AD447" s="42"/>
      <c r="AE447" s="195"/>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c r="BM447" s="42"/>
      <c r="BN447" s="42"/>
      <c r="BO447" s="42"/>
      <c r="BP447" s="42"/>
      <c r="BQ447" s="42"/>
      <c r="BR447" s="42"/>
      <c r="BS447" s="42"/>
      <c r="BT447" s="42"/>
      <c r="BU447" s="42"/>
      <c r="BV447" s="42"/>
      <c r="BW447" s="42"/>
      <c r="BX447" s="42"/>
      <c r="BY447" s="42"/>
      <c r="BZ447" s="42"/>
      <c r="CA447" s="42"/>
      <c r="CB447" s="42"/>
      <c r="CC447" s="42"/>
      <c r="CD447" s="42"/>
      <c r="CE447" s="42"/>
      <c r="CF447" s="42"/>
      <c r="CG447" s="42"/>
      <c r="CH447" s="42"/>
      <c r="CI447" s="42"/>
      <c r="CJ447" s="42"/>
      <c r="CK447" s="42"/>
      <c r="CL447" s="42"/>
      <c r="CM447" s="42"/>
      <c r="CN447" s="42"/>
      <c r="CO447" s="42"/>
      <c r="CP447" s="42"/>
      <c r="CQ447" s="42"/>
      <c r="CR447" s="42"/>
      <c r="CS447" s="42"/>
      <c r="CT447" s="42"/>
      <c r="CU447" s="42"/>
      <c r="CV447" s="42"/>
      <c r="CW447" s="42"/>
      <c r="CX447" s="42"/>
      <c r="CY447" s="42"/>
      <c r="CZ447" s="42"/>
      <c r="DA447" s="42"/>
      <c r="DB447" s="42"/>
      <c r="DC447" s="42"/>
      <c r="DD447" s="42"/>
      <c r="DE447" s="42"/>
      <c r="DF447" s="42"/>
      <c r="DG447" s="42"/>
      <c r="DH447" s="42"/>
      <c r="DI447" s="42"/>
      <c r="DJ447" s="42"/>
      <c r="DK447" s="42"/>
      <c r="DL447" s="42"/>
      <c r="DM447" s="42"/>
      <c r="DN447" s="42"/>
      <c r="DO447" s="42"/>
      <c r="DP447" s="42"/>
      <c r="DQ447" s="42"/>
      <c r="DR447" s="42"/>
      <c r="DS447" s="42"/>
      <c r="DT447" s="42"/>
      <c r="DU447" s="42"/>
      <c r="DV447" s="42"/>
      <c r="DW447" s="42"/>
      <c r="DX447" s="42"/>
      <c r="DY447" s="42"/>
      <c r="DZ447" s="42"/>
      <c r="EA447" s="42"/>
      <c r="EB447" s="42"/>
      <c r="EC447" s="42"/>
      <c r="ED447" s="42"/>
      <c r="EE447" s="42"/>
      <c r="EF447" s="42"/>
      <c r="EG447" s="42"/>
      <c r="EH447" s="42"/>
      <c r="EI447" s="42"/>
      <c r="EJ447" s="42"/>
      <c r="EK447" s="42"/>
      <c r="EL447" s="42"/>
      <c r="EM447" s="42"/>
      <c r="EN447" s="42"/>
      <c r="EO447" s="42"/>
      <c r="EP447" s="42"/>
      <c r="EQ447" s="42"/>
      <c r="ER447" s="42"/>
      <c r="ES447" s="42"/>
      <c r="ET447" s="42"/>
      <c r="EU447" s="42"/>
      <c r="EV447" s="42"/>
      <c r="EW447" s="42"/>
      <c r="EX447" s="42"/>
      <c r="EY447" s="42"/>
      <c r="EZ447" s="42"/>
      <c r="FA447" s="42"/>
      <c r="FB447" s="42"/>
      <c r="FC447" s="42"/>
      <c r="FD447" s="42"/>
      <c r="FE447" s="42"/>
      <c r="FF447" s="42"/>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row>
    <row r="448" spans="1:256" ht="13.8" x14ac:dyDescent="0.3">
      <c r="A448" s="42"/>
      <c r="B448" s="42"/>
      <c r="C448" s="42"/>
      <c r="D448" s="42"/>
      <c r="E448" s="42"/>
      <c r="F448" s="42"/>
      <c r="G448" s="42"/>
      <c r="H448" s="42"/>
      <c r="I448" s="42"/>
      <c r="J448" s="42"/>
      <c r="K448" s="42"/>
      <c r="L448" s="42"/>
      <c r="M448" s="42"/>
      <c r="N448" s="42"/>
      <c r="O448" s="42"/>
      <c r="P448" s="42"/>
      <c r="Q448" s="42"/>
      <c r="R448" s="42"/>
      <c r="S448" s="42"/>
      <c r="T448" s="42"/>
      <c r="U448" s="194"/>
      <c r="V448" s="42"/>
      <c r="W448" s="42"/>
      <c r="X448" s="42"/>
      <c r="Y448" s="42"/>
      <c r="Z448" s="42"/>
      <c r="AA448" s="42"/>
      <c r="AB448" s="195"/>
      <c r="AC448" s="42"/>
      <c r="AD448" s="42"/>
      <c r="AE448" s="195"/>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42"/>
      <c r="BH448" s="42"/>
      <c r="BI448" s="42"/>
      <c r="BJ448" s="42"/>
      <c r="BK448" s="42"/>
      <c r="BL448" s="42"/>
      <c r="BM448" s="42"/>
      <c r="BN448" s="42"/>
      <c r="BO448" s="42"/>
      <c r="BP448" s="42"/>
      <c r="BQ448" s="42"/>
      <c r="BR448" s="42"/>
      <c r="BS448" s="42"/>
      <c r="BT448" s="42"/>
      <c r="BU448" s="42"/>
      <c r="BV448" s="42"/>
      <c r="BW448" s="42"/>
      <c r="BX448" s="42"/>
      <c r="BY448" s="42"/>
      <c r="BZ448" s="42"/>
      <c r="CA448" s="42"/>
      <c r="CB448" s="42"/>
      <c r="CC448" s="42"/>
      <c r="CD448" s="42"/>
      <c r="CE448" s="42"/>
      <c r="CF448" s="42"/>
      <c r="CG448" s="42"/>
      <c r="CH448" s="42"/>
      <c r="CI448" s="42"/>
      <c r="CJ448" s="42"/>
      <c r="CK448" s="42"/>
      <c r="CL448" s="42"/>
      <c r="CM448" s="42"/>
      <c r="CN448" s="42"/>
      <c r="CO448" s="42"/>
      <c r="CP448" s="42"/>
      <c r="CQ448" s="42"/>
      <c r="CR448" s="42"/>
      <c r="CS448" s="42"/>
      <c r="CT448" s="42"/>
      <c r="CU448" s="42"/>
      <c r="CV448" s="42"/>
      <c r="CW448" s="42"/>
      <c r="CX448" s="42"/>
      <c r="CY448" s="42"/>
      <c r="CZ448" s="42"/>
      <c r="DA448" s="42"/>
      <c r="DB448" s="42"/>
      <c r="DC448" s="42"/>
      <c r="DD448" s="42"/>
      <c r="DE448" s="42"/>
      <c r="DF448" s="42"/>
      <c r="DG448" s="42"/>
      <c r="DH448" s="42"/>
      <c r="DI448" s="42"/>
      <c r="DJ448" s="42"/>
      <c r="DK448" s="42"/>
      <c r="DL448" s="42"/>
      <c r="DM448" s="42"/>
      <c r="DN448" s="42"/>
      <c r="DO448" s="42"/>
      <c r="DP448" s="42"/>
      <c r="DQ448" s="42"/>
      <c r="DR448" s="42"/>
      <c r="DS448" s="42"/>
      <c r="DT448" s="42"/>
      <c r="DU448" s="42"/>
      <c r="DV448" s="42"/>
      <c r="DW448" s="42"/>
      <c r="DX448" s="42"/>
      <c r="DY448" s="42"/>
      <c r="DZ448" s="42"/>
      <c r="EA448" s="42"/>
      <c r="EB448" s="42"/>
      <c r="EC448" s="42"/>
      <c r="ED448" s="42"/>
      <c r="EE448" s="42"/>
      <c r="EF448" s="42"/>
      <c r="EG448" s="42"/>
      <c r="EH448" s="42"/>
      <c r="EI448" s="42"/>
      <c r="EJ448" s="42"/>
      <c r="EK448" s="42"/>
      <c r="EL448" s="42"/>
      <c r="EM448" s="42"/>
      <c r="EN448" s="42"/>
      <c r="EO448" s="42"/>
      <c r="EP448" s="42"/>
      <c r="EQ448" s="42"/>
      <c r="ER448" s="42"/>
      <c r="ES448" s="42"/>
      <c r="ET448" s="42"/>
      <c r="EU448" s="42"/>
      <c r="EV448" s="42"/>
      <c r="EW448" s="42"/>
      <c r="EX448" s="42"/>
      <c r="EY448" s="42"/>
      <c r="EZ448" s="42"/>
      <c r="FA448" s="42"/>
      <c r="FB448" s="42"/>
      <c r="FC448" s="42"/>
      <c r="FD448" s="42"/>
      <c r="FE448" s="42"/>
      <c r="FF448" s="42"/>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row>
    <row r="449" spans="1:256" ht="13.8" x14ac:dyDescent="0.3">
      <c r="A449" s="42"/>
      <c r="B449" s="42"/>
      <c r="C449" s="42"/>
      <c r="D449" s="42"/>
      <c r="E449" s="42"/>
      <c r="F449" s="42"/>
      <c r="G449" s="42"/>
      <c r="H449" s="42"/>
      <c r="I449" s="42"/>
      <c r="J449" s="42"/>
      <c r="K449" s="42"/>
      <c r="L449" s="42"/>
      <c r="M449" s="42"/>
      <c r="N449" s="42"/>
      <c r="O449" s="42"/>
      <c r="P449" s="42"/>
      <c r="Q449" s="42"/>
      <c r="R449" s="42"/>
      <c r="S449" s="42"/>
      <c r="T449" s="42"/>
      <c r="U449" s="194"/>
      <c r="V449" s="42"/>
      <c r="W449" s="42"/>
      <c r="X449" s="42"/>
      <c r="Y449" s="42"/>
      <c r="Z449" s="42"/>
      <c r="AA449" s="42"/>
      <c r="AB449" s="195"/>
      <c r="AC449" s="42"/>
      <c r="AD449" s="42"/>
      <c r="AE449" s="195"/>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42"/>
      <c r="BH449" s="42"/>
      <c r="BI449" s="42"/>
      <c r="BJ449" s="42"/>
      <c r="BK449" s="42"/>
      <c r="BL449" s="42"/>
      <c r="BM449" s="42"/>
      <c r="BN449" s="42"/>
      <c r="BO449" s="42"/>
      <c r="BP449" s="42"/>
      <c r="BQ449" s="42"/>
      <c r="BR449" s="42"/>
      <c r="BS449" s="42"/>
      <c r="BT449" s="42"/>
      <c r="BU449" s="42"/>
      <c r="BV449" s="42"/>
      <c r="BW449" s="42"/>
      <c r="BX449" s="42"/>
      <c r="BY449" s="42"/>
      <c r="BZ449" s="42"/>
      <c r="CA449" s="42"/>
      <c r="CB449" s="42"/>
      <c r="CC449" s="42"/>
      <c r="CD449" s="42"/>
      <c r="CE449" s="42"/>
      <c r="CF449" s="42"/>
      <c r="CG449" s="42"/>
      <c r="CH449" s="42"/>
      <c r="CI449" s="42"/>
      <c r="CJ449" s="42"/>
      <c r="CK449" s="42"/>
      <c r="CL449" s="42"/>
      <c r="CM449" s="42"/>
      <c r="CN449" s="42"/>
      <c r="CO449" s="42"/>
      <c r="CP449" s="42"/>
      <c r="CQ449" s="42"/>
      <c r="CR449" s="42"/>
      <c r="CS449" s="42"/>
      <c r="CT449" s="42"/>
      <c r="CU449" s="42"/>
      <c r="CV449" s="42"/>
      <c r="CW449" s="42"/>
      <c r="CX449" s="42"/>
      <c r="CY449" s="42"/>
      <c r="CZ449" s="42"/>
      <c r="DA449" s="42"/>
      <c r="DB449" s="42"/>
      <c r="DC449" s="42"/>
      <c r="DD449" s="42"/>
      <c r="DE449" s="42"/>
      <c r="DF449" s="42"/>
      <c r="DG449" s="42"/>
      <c r="DH449" s="42"/>
      <c r="DI449" s="42"/>
      <c r="DJ449" s="42"/>
      <c r="DK449" s="42"/>
      <c r="DL449" s="42"/>
      <c r="DM449" s="42"/>
      <c r="DN449" s="42"/>
      <c r="DO449" s="42"/>
      <c r="DP449" s="42"/>
      <c r="DQ449" s="42"/>
      <c r="DR449" s="42"/>
      <c r="DS449" s="42"/>
      <c r="DT449" s="42"/>
      <c r="DU449" s="42"/>
      <c r="DV449" s="42"/>
      <c r="DW449" s="42"/>
      <c r="DX449" s="42"/>
      <c r="DY449" s="42"/>
      <c r="DZ449" s="42"/>
      <c r="EA449" s="42"/>
      <c r="EB449" s="42"/>
      <c r="EC449" s="42"/>
      <c r="ED449" s="42"/>
      <c r="EE449" s="42"/>
      <c r="EF449" s="42"/>
      <c r="EG449" s="42"/>
      <c r="EH449" s="42"/>
      <c r="EI449" s="42"/>
      <c r="EJ449" s="42"/>
      <c r="EK449" s="42"/>
      <c r="EL449" s="42"/>
      <c r="EM449" s="42"/>
      <c r="EN449" s="42"/>
      <c r="EO449" s="42"/>
      <c r="EP449" s="42"/>
      <c r="EQ449" s="42"/>
      <c r="ER449" s="42"/>
      <c r="ES449" s="42"/>
      <c r="ET449" s="42"/>
      <c r="EU449" s="42"/>
      <c r="EV449" s="42"/>
      <c r="EW449" s="42"/>
      <c r="EX449" s="42"/>
      <c r="EY449" s="42"/>
      <c r="EZ449" s="42"/>
      <c r="FA449" s="42"/>
      <c r="FB449" s="42"/>
      <c r="FC449" s="42"/>
      <c r="FD449" s="42"/>
      <c r="FE449" s="42"/>
      <c r="FF449" s="42"/>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row>
    <row r="450" spans="1:256" ht="13.8" x14ac:dyDescent="0.3">
      <c r="A450" s="42"/>
      <c r="B450" s="42"/>
      <c r="C450" s="42"/>
      <c r="D450" s="42"/>
      <c r="E450" s="42"/>
      <c r="F450" s="42"/>
      <c r="G450" s="42"/>
      <c r="H450" s="42"/>
      <c r="I450" s="42"/>
      <c r="J450" s="42"/>
      <c r="K450" s="42"/>
      <c r="L450" s="42"/>
      <c r="M450" s="42"/>
      <c r="N450" s="42"/>
      <c r="O450" s="42"/>
      <c r="P450" s="42"/>
      <c r="Q450" s="42"/>
      <c r="R450" s="42"/>
      <c r="S450" s="42"/>
      <c r="T450" s="42"/>
      <c r="U450" s="194"/>
      <c r="V450" s="42"/>
      <c r="W450" s="42"/>
      <c r="X450" s="42"/>
      <c r="Y450" s="42"/>
      <c r="Z450" s="42"/>
      <c r="AA450" s="42"/>
      <c r="AB450" s="195"/>
      <c r="AC450" s="42"/>
      <c r="AD450" s="42"/>
      <c r="AE450" s="195"/>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c r="BM450" s="42"/>
      <c r="BN450" s="42"/>
      <c r="BO450" s="42"/>
      <c r="BP450" s="42"/>
      <c r="BQ450" s="42"/>
      <c r="BR450" s="42"/>
      <c r="BS450" s="42"/>
      <c r="BT450" s="42"/>
      <c r="BU450" s="42"/>
      <c r="BV450" s="42"/>
      <c r="BW450" s="42"/>
      <c r="BX450" s="42"/>
      <c r="BY450" s="42"/>
      <c r="BZ450" s="42"/>
      <c r="CA450" s="42"/>
      <c r="CB450" s="42"/>
      <c r="CC450" s="42"/>
      <c r="CD450" s="42"/>
      <c r="CE450" s="42"/>
      <c r="CF450" s="42"/>
      <c r="CG450" s="42"/>
      <c r="CH450" s="42"/>
      <c r="CI450" s="42"/>
      <c r="CJ450" s="42"/>
      <c r="CK450" s="42"/>
      <c r="CL450" s="42"/>
      <c r="CM450" s="42"/>
      <c r="CN450" s="42"/>
      <c r="CO450" s="42"/>
      <c r="CP450" s="42"/>
      <c r="CQ450" s="42"/>
      <c r="CR450" s="42"/>
      <c r="CS450" s="42"/>
      <c r="CT450" s="42"/>
      <c r="CU450" s="42"/>
      <c r="CV450" s="42"/>
      <c r="CW450" s="42"/>
      <c r="CX450" s="42"/>
      <c r="CY450" s="42"/>
      <c r="CZ450" s="42"/>
      <c r="DA450" s="42"/>
      <c r="DB450" s="42"/>
      <c r="DC450" s="42"/>
      <c r="DD450" s="42"/>
      <c r="DE450" s="42"/>
      <c r="DF450" s="42"/>
      <c r="DG450" s="42"/>
      <c r="DH450" s="42"/>
      <c r="DI450" s="42"/>
      <c r="DJ450" s="42"/>
      <c r="DK450" s="42"/>
      <c r="DL450" s="42"/>
      <c r="DM450" s="42"/>
      <c r="DN450" s="42"/>
      <c r="DO450" s="42"/>
      <c r="DP450" s="42"/>
      <c r="DQ450" s="42"/>
      <c r="DR450" s="42"/>
      <c r="DS450" s="42"/>
      <c r="DT450" s="42"/>
      <c r="DU450" s="42"/>
      <c r="DV450" s="42"/>
      <c r="DW450" s="42"/>
      <c r="DX450" s="42"/>
      <c r="DY450" s="42"/>
      <c r="DZ450" s="42"/>
      <c r="EA450" s="42"/>
      <c r="EB450" s="42"/>
      <c r="EC450" s="42"/>
      <c r="ED450" s="42"/>
      <c r="EE450" s="42"/>
      <c r="EF450" s="42"/>
      <c r="EG450" s="42"/>
      <c r="EH450" s="42"/>
      <c r="EI450" s="42"/>
      <c r="EJ450" s="42"/>
      <c r="EK450" s="42"/>
      <c r="EL450" s="42"/>
      <c r="EM450" s="42"/>
      <c r="EN450" s="42"/>
      <c r="EO450" s="42"/>
      <c r="EP450" s="42"/>
      <c r="EQ450" s="42"/>
      <c r="ER450" s="42"/>
      <c r="ES450" s="42"/>
      <c r="ET450" s="42"/>
      <c r="EU450" s="42"/>
      <c r="EV450" s="42"/>
      <c r="EW450" s="42"/>
      <c r="EX450" s="42"/>
      <c r="EY450" s="42"/>
      <c r="EZ450" s="42"/>
      <c r="FA450" s="42"/>
      <c r="FB450" s="42"/>
      <c r="FC450" s="42"/>
      <c r="FD450" s="42"/>
      <c r="FE450" s="42"/>
      <c r="FF450" s="42"/>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row>
    <row r="451" spans="1:256" ht="13.8" x14ac:dyDescent="0.3">
      <c r="A451" s="42"/>
      <c r="B451" s="42"/>
      <c r="C451" s="42"/>
      <c r="D451" s="42"/>
      <c r="E451" s="42"/>
      <c r="F451" s="42"/>
      <c r="G451" s="42"/>
      <c r="H451" s="42"/>
      <c r="I451" s="42"/>
      <c r="J451" s="42"/>
      <c r="K451" s="42"/>
      <c r="L451" s="42"/>
      <c r="M451" s="42"/>
      <c r="N451" s="42"/>
      <c r="O451" s="42"/>
      <c r="P451" s="42"/>
      <c r="Q451" s="42"/>
      <c r="R451" s="42"/>
      <c r="S451" s="42"/>
      <c r="T451" s="42"/>
      <c r="U451" s="194"/>
      <c r="V451" s="42"/>
      <c r="W451" s="42"/>
      <c r="X451" s="42"/>
      <c r="Y451" s="42"/>
      <c r="Z451" s="42"/>
      <c r="AA451" s="42"/>
      <c r="AB451" s="195"/>
      <c r="AC451" s="42"/>
      <c r="AD451" s="42"/>
      <c r="AE451" s="195"/>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42"/>
      <c r="BH451" s="42"/>
      <c r="BI451" s="42"/>
      <c r="BJ451" s="42"/>
      <c r="BK451" s="42"/>
      <c r="BL451" s="42"/>
      <c r="BM451" s="42"/>
      <c r="BN451" s="42"/>
      <c r="BO451" s="42"/>
      <c r="BP451" s="42"/>
      <c r="BQ451" s="42"/>
      <c r="BR451" s="42"/>
      <c r="BS451" s="42"/>
      <c r="BT451" s="42"/>
      <c r="BU451" s="42"/>
      <c r="BV451" s="42"/>
      <c r="BW451" s="42"/>
      <c r="BX451" s="42"/>
      <c r="BY451" s="42"/>
      <c r="BZ451" s="42"/>
      <c r="CA451" s="42"/>
      <c r="CB451" s="42"/>
      <c r="CC451" s="42"/>
      <c r="CD451" s="42"/>
      <c r="CE451" s="42"/>
      <c r="CF451" s="42"/>
      <c r="CG451" s="42"/>
      <c r="CH451" s="42"/>
      <c r="CI451" s="42"/>
      <c r="CJ451" s="42"/>
      <c r="CK451" s="42"/>
      <c r="CL451" s="42"/>
      <c r="CM451" s="42"/>
      <c r="CN451" s="42"/>
      <c r="CO451" s="42"/>
      <c r="CP451" s="42"/>
      <c r="CQ451" s="42"/>
      <c r="CR451" s="42"/>
      <c r="CS451" s="42"/>
      <c r="CT451" s="42"/>
      <c r="CU451" s="42"/>
      <c r="CV451" s="42"/>
      <c r="CW451" s="42"/>
      <c r="CX451" s="42"/>
      <c r="CY451" s="42"/>
      <c r="CZ451" s="42"/>
      <c r="DA451" s="42"/>
      <c r="DB451" s="42"/>
      <c r="DC451" s="42"/>
      <c r="DD451" s="42"/>
      <c r="DE451" s="42"/>
      <c r="DF451" s="42"/>
      <c r="DG451" s="42"/>
      <c r="DH451" s="42"/>
      <c r="DI451" s="42"/>
      <c r="DJ451" s="42"/>
      <c r="DK451" s="42"/>
      <c r="DL451" s="42"/>
      <c r="DM451" s="42"/>
      <c r="DN451" s="42"/>
      <c r="DO451" s="42"/>
      <c r="DP451" s="42"/>
      <c r="DQ451" s="42"/>
      <c r="DR451" s="42"/>
      <c r="DS451" s="42"/>
      <c r="DT451" s="42"/>
      <c r="DU451" s="42"/>
      <c r="DV451" s="42"/>
      <c r="DW451" s="42"/>
      <c r="DX451" s="42"/>
      <c r="DY451" s="42"/>
      <c r="DZ451" s="42"/>
      <c r="EA451" s="42"/>
      <c r="EB451" s="42"/>
      <c r="EC451" s="42"/>
      <c r="ED451" s="42"/>
      <c r="EE451" s="42"/>
      <c r="EF451" s="42"/>
      <c r="EG451" s="42"/>
      <c r="EH451" s="42"/>
      <c r="EI451" s="42"/>
      <c r="EJ451" s="42"/>
      <c r="EK451" s="42"/>
      <c r="EL451" s="42"/>
      <c r="EM451" s="42"/>
      <c r="EN451" s="42"/>
      <c r="EO451" s="42"/>
      <c r="EP451" s="42"/>
      <c r="EQ451" s="42"/>
      <c r="ER451" s="42"/>
      <c r="ES451" s="42"/>
      <c r="ET451" s="42"/>
      <c r="EU451" s="42"/>
      <c r="EV451" s="42"/>
      <c r="EW451" s="42"/>
      <c r="EX451" s="42"/>
      <c r="EY451" s="42"/>
      <c r="EZ451" s="42"/>
      <c r="FA451" s="42"/>
      <c r="FB451" s="42"/>
      <c r="FC451" s="42"/>
      <c r="FD451" s="42"/>
      <c r="FE451" s="42"/>
      <c r="FF451" s="42"/>
      <c r="FG451" s="42"/>
      <c r="FH451" s="42"/>
      <c r="FI451" s="42"/>
      <c r="FJ451" s="42"/>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row>
    <row r="452" spans="1:256" ht="13.8" x14ac:dyDescent="0.3">
      <c r="A452" s="42"/>
      <c r="B452" s="42"/>
      <c r="C452" s="42"/>
      <c r="D452" s="42"/>
      <c r="E452" s="42"/>
      <c r="F452" s="42"/>
      <c r="G452" s="42"/>
      <c r="H452" s="42"/>
      <c r="I452" s="42"/>
      <c r="J452" s="42"/>
      <c r="K452" s="42"/>
      <c r="L452" s="42"/>
      <c r="M452" s="42"/>
      <c r="N452" s="42"/>
      <c r="O452" s="42"/>
      <c r="P452" s="42"/>
      <c r="Q452" s="42"/>
      <c r="R452" s="42"/>
      <c r="S452" s="42"/>
      <c r="T452" s="42"/>
      <c r="U452" s="194"/>
      <c r="V452" s="42"/>
      <c r="W452" s="42"/>
      <c r="X452" s="42"/>
      <c r="Y452" s="42"/>
      <c r="Z452" s="42"/>
      <c r="AA452" s="42"/>
      <c r="AB452" s="195"/>
      <c r="AC452" s="42"/>
      <c r="AD452" s="42"/>
      <c r="AE452" s="195"/>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42"/>
      <c r="BH452" s="42"/>
      <c r="BI452" s="42"/>
      <c r="BJ452" s="42"/>
      <c r="BK452" s="42"/>
      <c r="BL452" s="42"/>
      <c r="BM452" s="42"/>
      <c r="BN452" s="42"/>
      <c r="BO452" s="42"/>
      <c r="BP452" s="42"/>
      <c r="BQ452" s="42"/>
      <c r="BR452" s="42"/>
      <c r="BS452" s="42"/>
      <c r="BT452" s="42"/>
      <c r="BU452" s="42"/>
      <c r="BV452" s="42"/>
      <c r="BW452" s="42"/>
      <c r="BX452" s="42"/>
      <c r="BY452" s="42"/>
      <c r="BZ452" s="42"/>
      <c r="CA452" s="42"/>
      <c r="CB452" s="42"/>
      <c r="CC452" s="42"/>
      <c r="CD452" s="42"/>
      <c r="CE452" s="42"/>
      <c r="CF452" s="42"/>
      <c r="CG452" s="42"/>
      <c r="CH452" s="42"/>
      <c r="CI452" s="42"/>
      <c r="CJ452" s="42"/>
      <c r="CK452" s="42"/>
      <c r="CL452" s="42"/>
      <c r="CM452" s="42"/>
      <c r="CN452" s="42"/>
      <c r="CO452" s="42"/>
      <c r="CP452" s="42"/>
      <c r="CQ452" s="42"/>
      <c r="CR452" s="42"/>
      <c r="CS452" s="42"/>
      <c r="CT452" s="42"/>
      <c r="CU452" s="42"/>
      <c r="CV452" s="42"/>
      <c r="CW452" s="42"/>
      <c r="CX452" s="42"/>
      <c r="CY452" s="42"/>
      <c r="CZ452" s="42"/>
      <c r="DA452" s="42"/>
      <c r="DB452" s="42"/>
      <c r="DC452" s="42"/>
      <c r="DD452" s="42"/>
      <c r="DE452" s="42"/>
      <c r="DF452" s="42"/>
      <c r="DG452" s="42"/>
      <c r="DH452" s="42"/>
      <c r="DI452" s="42"/>
      <c r="DJ452" s="42"/>
      <c r="DK452" s="42"/>
      <c r="DL452" s="42"/>
      <c r="DM452" s="42"/>
      <c r="DN452" s="42"/>
      <c r="DO452" s="42"/>
      <c r="DP452" s="42"/>
      <c r="DQ452" s="42"/>
      <c r="DR452" s="42"/>
      <c r="DS452" s="42"/>
      <c r="DT452" s="42"/>
      <c r="DU452" s="42"/>
      <c r="DV452" s="42"/>
      <c r="DW452" s="42"/>
      <c r="DX452" s="42"/>
      <c r="DY452" s="42"/>
      <c r="DZ452" s="42"/>
      <c r="EA452" s="42"/>
      <c r="EB452" s="42"/>
      <c r="EC452" s="42"/>
      <c r="ED452" s="42"/>
      <c r="EE452" s="42"/>
      <c r="EF452" s="42"/>
      <c r="EG452" s="42"/>
      <c r="EH452" s="42"/>
      <c r="EI452" s="42"/>
      <c r="EJ452" s="42"/>
      <c r="EK452" s="42"/>
      <c r="EL452" s="42"/>
      <c r="EM452" s="42"/>
      <c r="EN452" s="42"/>
      <c r="EO452" s="42"/>
      <c r="EP452" s="42"/>
      <c r="EQ452" s="42"/>
      <c r="ER452" s="42"/>
      <c r="ES452" s="42"/>
      <c r="ET452" s="42"/>
      <c r="EU452" s="42"/>
      <c r="EV452" s="42"/>
      <c r="EW452" s="42"/>
      <c r="EX452" s="42"/>
      <c r="EY452" s="42"/>
      <c r="EZ452" s="42"/>
      <c r="FA452" s="42"/>
      <c r="FB452" s="42"/>
      <c r="FC452" s="42"/>
      <c r="FD452" s="42"/>
      <c r="FE452" s="42"/>
      <c r="FF452" s="42"/>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row>
    <row r="453" spans="1:256" ht="13.8" x14ac:dyDescent="0.3">
      <c r="A453" s="42"/>
      <c r="B453" s="42"/>
      <c r="C453" s="42"/>
      <c r="D453" s="42"/>
      <c r="E453" s="42"/>
      <c r="F453" s="42"/>
      <c r="G453" s="42"/>
      <c r="H453" s="42"/>
      <c r="I453" s="42"/>
      <c r="J453" s="42"/>
      <c r="K453" s="42"/>
      <c r="L453" s="42"/>
      <c r="M453" s="42"/>
      <c r="N453" s="42"/>
      <c r="O453" s="42"/>
      <c r="P453" s="42"/>
      <c r="Q453" s="42"/>
      <c r="R453" s="42"/>
      <c r="S453" s="42"/>
      <c r="T453" s="42"/>
      <c r="U453" s="194"/>
      <c r="V453" s="42"/>
      <c r="W453" s="42"/>
      <c r="X453" s="42"/>
      <c r="Y453" s="42"/>
      <c r="Z453" s="42"/>
      <c r="AA453" s="42"/>
      <c r="AB453" s="195"/>
      <c r="AC453" s="42"/>
      <c r="AD453" s="42"/>
      <c r="AE453" s="195"/>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42"/>
      <c r="BH453" s="42"/>
      <c r="BI453" s="42"/>
      <c r="BJ453" s="42"/>
      <c r="BK453" s="42"/>
      <c r="BL453" s="42"/>
      <c r="BM453" s="42"/>
      <c r="BN453" s="42"/>
      <c r="BO453" s="42"/>
      <c r="BP453" s="42"/>
      <c r="BQ453" s="42"/>
      <c r="BR453" s="42"/>
      <c r="BS453" s="42"/>
      <c r="BT453" s="42"/>
      <c r="BU453" s="42"/>
      <c r="BV453" s="42"/>
      <c r="BW453" s="42"/>
      <c r="BX453" s="42"/>
      <c r="BY453" s="42"/>
      <c r="BZ453" s="42"/>
      <c r="CA453" s="42"/>
      <c r="CB453" s="42"/>
      <c r="CC453" s="42"/>
      <c r="CD453" s="42"/>
      <c r="CE453" s="42"/>
      <c r="CF453" s="42"/>
      <c r="CG453" s="42"/>
      <c r="CH453" s="42"/>
      <c r="CI453" s="42"/>
      <c r="CJ453" s="42"/>
      <c r="CK453" s="42"/>
      <c r="CL453" s="42"/>
      <c r="CM453" s="42"/>
      <c r="CN453" s="42"/>
      <c r="CO453" s="42"/>
      <c r="CP453" s="42"/>
      <c r="CQ453" s="42"/>
      <c r="CR453" s="42"/>
      <c r="CS453" s="42"/>
      <c r="CT453" s="42"/>
      <c r="CU453" s="42"/>
      <c r="CV453" s="42"/>
      <c r="CW453" s="42"/>
      <c r="CX453" s="42"/>
      <c r="CY453" s="42"/>
      <c r="CZ453" s="42"/>
      <c r="DA453" s="42"/>
      <c r="DB453" s="42"/>
      <c r="DC453" s="42"/>
      <c r="DD453" s="42"/>
      <c r="DE453" s="42"/>
      <c r="DF453" s="42"/>
      <c r="DG453" s="42"/>
      <c r="DH453" s="42"/>
      <c r="DI453" s="42"/>
      <c r="DJ453" s="42"/>
      <c r="DK453" s="42"/>
      <c r="DL453" s="42"/>
      <c r="DM453" s="42"/>
      <c r="DN453" s="42"/>
      <c r="DO453" s="42"/>
      <c r="DP453" s="42"/>
      <c r="DQ453" s="42"/>
      <c r="DR453" s="42"/>
      <c r="DS453" s="42"/>
      <c r="DT453" s="42"/>
      <c r="DU453" s="42"/>
      <c r="DV453" s="42"/>
      <c r="DW453" s="42"/>
      <c r="DX453" s="42"/>
      <c r="DY453" s="42"/>
      <c r="DZ453" s="42"/>
      <c r="EA453" s="42"/>
      <c r="EB453" s="42"/>
      <c r="EC453" s="42"/>
      <c r="ED453" s="42"/>
      <c r="EE453" s="42"/>
      <c r="EF453" s="42"/>
      <c r="EG453" s="42"/>
      <c r="EH453" s="42"/>
      <c r="EI453" s="42"/>
      <c r="EJ453" s="42"/>
      <c r="EK453" s="42"/>
      <c r="EL453" s="42"/>
      <c r="EM453" s="42"/>
      <c r="EN453" s="42"/>
      <c r="EO453" s="42"/>
      <c r="EP453" s="42"/>
      <c r="EQ453" s="42"/>
      <c r="ER453" s="42"/>
      <c r="ES453" s="42"/>
      <c r="ET453" s="42"/>
      <c r="EU453" s="42"/>
      <c r="EV453" s="42"/>
      <c r="EW453" s="42"/>
      <c r="EX453" s="42"/>
      <c r="EY453" s="42"/>
      <c r="EZ453" s="42"/>
      <c r="FA453" s="42"/>
      <c r="FB453" s="42"/>
      <c r="FC453" s="42"/>
      <c r="FD453" s="42"/>
      <c r="FE453" s="42"/>
      <c r="FF453" s="42"/>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row>
    <row r="454" spans="1:256" ht="13.8" x14ac:dyDescent="0.3">
      <c r="A454" s="42"/>
      <c r="B454" s="42"/>
      <c r="C454" s="42"/>
      <c r="D454" s="42"/>
      <c r="E454" s="42"/>
      <c r="F454" s="42"/>
      <c r="G454" s="42"/>
      <c r="H454" s="42"/>
      <c r="I454" s="42"/>
      <c r="J454" s="42"/>
      <c r="K454" s="42"/>
      <c r="L454" s="42"/>
      <c r="M454" s="42"/>
      <c r="N454" s="42"/>
      <c r="O454" s="42"/>
      <c r="P454" s="42"/>
      <c r="Q454" s="42"/>
      <c r="R454" s="42"/>
      <c r="S454" s="42"/>
      <c r="T454" s="42"/>
      <c r="U454" s="194"/>
      <c r="V454" s="42"/>
      <c r="W454" s="42"/>
      <c r="X454" s="42"/>
      <c r="Y454" s="42"/>
      <c r="Z454" s="42"/>
      <c r="AA454" s="42"/>
      <c r="AB454" s="195"/>
      <c r="AC454" s="42"/>
      <c r="AD454" s="42"/>
      <c r="AE454" s="195"/>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42"/>
      <c r="BH454" s="42"/>
      <c r="BI454" s="42"/>
      <c r="BJ454" s="42"/>
      <c r="BK454" s="42"/>
      <c r="BL454" s="42"/>
      <c r="BM454" s="42"/>
      <c r="BN454" s="42"/>
      <c r="BO454" s="42"/>
      <c r="BP454" s="42"/>
      <c r="BQ454" s="42"/>
      <c r="BR454" s="42"/>
      <c r="BS454" s="42"/>
      <c r="BT454" s="42"/>
      <c r="BU454" s="42"/>
      <c r="BV454" s="42"/>
      <c r="BW454" s="42"/>
      <c r="BX454" s="42"/>
      <c r="BY454" s="42"/>
      <c r="BZ454" s="42"/>
      <c r="CA454" s="42"/>
      <c r="CB454" s="42"/>
      <c r="CC454" s="42"/>
      <c r="CD454" s="42"/>
      <c r="CE454" s="42"/>
      <c r="CF454" s="42"/>
      <c r="CG454" s="42"/>
      <c r="CH454" s="42"/>
      <c r="CI454" s="42"/>
      <c r="CJ454" s="42"/>
      <c r="CK454" s="42"/>
      <c r="CL454" s="42"/>
      <c r="CM454" s="42"/>
      <c r="CN454" s="42"/>
      <c r="CO454" s="42"/>
      <c r="CP454" s="42"/>
      <c r="CQ454" s="42"/>
      <c r="CR454" s="42"/>
      <c r="CS454" s="42"/>
      <c r="CT454" s="42"/>
      <c r="CU454" s="42"/>
      <c r="CV454" s="42"/>
      <c r="CW454" s="42"/>
      <c r="CX454" s="42"/>
      <c r="CY454" s="42"/>
      <c r="CZ454" s="42"/>
      <c r="DA454" s="42"/>
      <c r="DB454" s="42"/>
      <c r="DC454" s="42"/>
      <c r="DD454" s="42"/>
      <c r="DE454" s="42"/>
      <c r="DF454" s="42"/>
      <c r="DG454" s="42"/>
      <c r="DH454" s="42"/>
      <c r="DI454" s="42"/>
      <c r="DJ454" s="42"/>
      <c r="DK454" s="42"/>
      <c r="DL454" s="42"/>
      <c r="DM454" s="42"/>
      <c r="DN454" s="42"/>
      <c r="DO454" s="42"/>
      <c r="DP454" s="42"/>
      <c r="DQ454" s="42"/>
      <c r="DR454" s="42"/>
      <c r="DS454" s="42"/>
      <c r="DT454" s="42"/>
      <c r="DU454" s="42"/>
      <c r="DV454" s="42"/>
      <c r="DW454" s="42"/>
      <c r="DX454" s="42"/>
      <c r="DY454" s="42"/>
      <c r="DZ454" s="42"/>
      <c r="EA454" s="42"/>
      <c r="EB454" s="42"/>
      <c r="EC454" s="42"/>
      <c r="ED454" s="42"/>
      <c r="EE454" s="42"/>
      <c r="EF454" s="42"/>
      <c r="EG454" s="42"/>
      <c r="EH454" s="42"/>
      <c r="EI454" s="42"/>
      <c r="EJ454" s="42"/>
      <c r="EK454" s="42"/>
      <c r="EL454" s="42"/>
      <c r="EM454" s="42"/>
      <c r="EN454" s="42"/>
      <c r="EO454" s="42"/>
      <c r="EP454" s="42"/>
      <c r="EQ454" s="42"/>
      <c r="ER454" s="42"/>
      <c r="ES454" s="42"/>
      <c r="ET454" s="42"/>
      <c r="EU454" s="42"/>
      <c r="EV454" s="42"/>
      <c r="EW454" s="42"/>
      <c r="EX454" s="42"/>
      <c r="EY454" s="42"/>
      <c r="EZ454" s="42"/>
      <c r="FA454" s="42"/>
      <c r="FB454" s="42"/>
      <c r="FC454" s="42"/>
      <c r="FD454" s="42"/>
      <c r="FE454" s="42"/>
      <c r="FF454" s="42"/>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row>
    <row r="455" spans="1:256" ht="13.8" x14ac:dyDescent="0.3">
      <c r="A455" s="42"/>
      <c r="B455" s="42"/>
      <c r="C455" s="42"/>
      <c r="D455" s="42"/>
      <c r="E455" s="42"/>
      <c r="F455" s="42"/>
      <c r="G455" s="42"/>
      <c r="H455" s="42"/>
      <c r="I455" s="42"/>
      <c r="J455" s="42"/>
      <c r="K455" s="42"/>
      <c r="L455" s="42"/>
      <c r="M455" s="42"/>
      <c r="N455" s="42"/>
      <c r="O455" s="42"/>
      <c r="P455" s="42"/>
      <c r="Q455" s="42"/>
      <c r="R455" s="42"/>
      <c r="S455" s="42"/>
      <c r="T455" s="42"/>
      <c r="U455" s="194"/>
      <c r="V455" s="42"/>
      <c r="W455" s="42"/>
      <c r="X455" s="42"/>
      <c r="Y455" s="42"/>
      <c r="Z455" s="42"/>
      <c r="AA455" s="42"/>
      <c r="AB455" s="195"/>
      <c r="AC455" s="42"/>
      <c r="AD455" s="42"/>
      <c r="AE455" s="195"/>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42"/>
      <c r="BH455" s="42"/>
      <c r="BI455" s="42"/>
      <c r="BJ455" s="42"/>
      <c r="BK455" s="42"/>
      <c r="BL455" s="42"/>
      <c r="BM455" s="42"/>
      <c r="BN455" s="42"/>
      <c r="BO455" s="42"/>
      <c r="BP455" s="42"/>
      <c r="BQ455" s="42"/>
      <c r="BR455" s="42"/>
      <c r="BS455" s="42"/>
      <c r="BT455" s="42"/>
      <c r="BU455" s="42"/>
      <c r="BV455" s="42"/>
      <c r="BW455" s="42"/>
      <c r="BX455" s="42"/>
      <c r="BY455" s="42"/>
      <c r="BZ455" s="42"/>
      <c r="CA455" s="42"/>
      <c r="CB455" s="42"/>
      <c r="CC455" s="42"/>
      <c r="CD455" s="42"/>
      <c r="CE455" s="42"/>
      <c r="CF455" s="42"/>
      <c r="CG455" s="42"/>
      <c r="CH455" s="42"/>
      <c r="CI455" s="42"/>
      <c r="CJ455" s="42"/>
      <c r="CK455" s="42"/>
      <c r="CL455" s="42"/>
      <c r="CM455" s="42"/>
      <c r="CN455" s="42"/>
      <c r="CO455" s="42"/>
      <c r="CP455" s="42"/>
      <c r="CQ455" s="42"/>
      <c r="CR455" s="42"/>
      <c r="CS455" s="42"/>
      <c r="CT455" s="42"/>
      <c r="CU455" s="42"/>
      <c r="CV455" s="42"/>
      <c r="CW455" s="42"/>
      <c r="CX455" s="42"/>
      <c r="CY455" s="42"/>
      <c r="CZ455" s="42"/>
      <c r="DA455" s="42"/>
      <c r="DB455" s="42"/>
      <c r="DC455" s="42"/>
      <c r="DD455" s="42"/>
      <c r="DE455" s="42"/>
      <c r="DF455" s="42"/>
      <c r="DG455" s="42"/>
      <c r="DH455" s="42"/>
      <c r="DI455" s="42"/>
      <c r="DJ455" s="42"/>
      <c r="DK455" s="42"/>
      <c r="DL455" s="42"/>
      <c r="DM455" s="42"/>
      <c r="DN455" s="42"/>
      <c r="DO455" s="42"/>
      <c r="DP455" s="42"/>
      <c r="DQ455" s="42"/>
      <c r="DR455" s="42"/>
      <c r="DS455" s="42"/>
      <c r="DT455" s="42"/>
      <c r="DU455" s="42"/>
      <c r="DV455" s="42"/>
      <c r="DW455" s="42"/>
      <c r="DX455" s="42"/>
      <c r="DY455" s="42"/>
      <c r="DZ455" s="42"/>
      <c r="EA455" s="42"/>
      <c r="EB455" s="42"/>
      <c r="EC455" s="42"/>
      <c r="ED455" s="42"/>
      <c r="EE455" s="42"/>
      <c r="EF455" s="42"/>
      <c r="EG455" s="42"/>
      <c r="EH455" s="42"/>
      <c r="EI455" s="42"/>
      <c r="EJ455" s="42"/>
      <c r="EK455" s="42"/>
      <c r="EL455" s="42"/>
      <c r="EM455" s="42"/>
      <c r="EN455" s="42"/>
      <c r="EO455" s="42"/>
      <c r="EP455" s="42"/>
      <c r="EQ455" s="42"/>
      <c r="ER455" s="42"/>
      <c r="ES455" s="42"/>
      <c r="ET455" s="42"/>
      <c r="EU455" s="42"/>
      <c r="EV455" s="42"/>
      <c r="EW455" s="42"/>
      <c r="EX455" s="42"/>
      <c r="EY455" s="42"/>
      <c r="EZ455" s="42"/>
      <c r="FA455" s="42"/>
      <c r="FB455" s="42"/>
      <c r="FC455" s="42"/>
      <c r="FD455" s="42"/>
      <c r="FE455" s="42"/>
      <c r="FF455" s="42"/>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row>
    <row r="456" spans="1:256" ht="13.8" x14ac:dyDescent="0.3">
      <c r="A456" s="42"/>
      <c r="B456" s="42"/>
      <c r="C456" s="42"/>
      <c r="D456" s="42"/>
      <c r="E456" s="42"/>
      <c r="F456" s="42"/>
      <c r="G456" s="42"/>
      <c r="H456" s="42"/>
      <c r="I456" s="42"/>
      <c r="J456" s="42"/>
      <c r="K456" s="42"/>
      <c r="L456" s="42"/>
      <c r="M456" s="42"/>
      <c r="N456" s="42"/>
      <c r="O456" s="42"/>
      <c r="P456" s="42"/>
      <c r="Q456" s="42"/>
      <c r="R456" s="42"/>
      <c r="S456" s="42"/>
      <c r="T456" s="42"/>
      <c r="U456" s="194"/>
      <c r="V456" s="42"/>
      <c r="W456" s="42"/>
      <c r="X456" s="42"/>
      <c r="Y456" s="42"/>
      <c r="Z456" s="42"/>
      <c r="AA456" s="42"/>
      <c r="AB456" s="195"/>
      <c r="AC456" s="42"/>
      <c r="AD456" s="42"/>
      <c r="AE456" s="195"/>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c r="BM456" s="42"/>
      <c r="BN456" s="42"/>
      <c r="BO456" s="42"/>
      <c r="BP456" s="42"/>
      <c r="BQ456" s="42"/>
      <c r="BR456" s="42"/>
      <c r="BS456" s="42"/>
      <c r="BT456" s="42"/>
      <c r="BU456" s="42"/>
      <c r="BV456" s="42"/>
      <c r="BW456" s="42"/>
      <c r="BX456" s="42"/>
      <c r="BY456" s="42"/>
      <c r="BZ456" s="42"/>
      <c r="CA456" s="42"/>
      <c r="CB456" s="42"/>
      <c r="CC456" s="42"/>
      <c r="CD456" s="42"/>
      <c r="CE456" s="42"/>
      <c r="CF456" s="42"/>
      <c r="CG456" s="42"/>
      <c r="CH456" s="42"/>
      <c r="CI456" s="42"/>
      <c r="CJ456" s="42"/>
      <c r="CK456" s="42"/>
      <c r="CL456" s="42"/>
      <c r="CM456" s="42"/>
      <c r="CN456" s="42"/>
      <c r="CO456" s="42"/>
      <c r="CP456" s="42"/>
      <c r="CQ456" s="42"/>
      <c r="CR456" s="42"/>
      <c r="CS456" s="42"/>
      <c r="CT456" s="42"/>
      <c r="CU456" s="42"/>
      <c r="CV456" s="42"/>
      <c r="CW456" s="42"/>
      <c r="CX456" s="42"/>
      <c r="CY456" s="42"/>
      <c r="CZ456" s="42"/>
      <c r="DA456" s="42"/>
      <c r="DB456" s="42"/>
      <c r="DC456" s="42"/>
      <c r="DD456" s="42"/>
      <c r="DE456" s="42"/>
      <c r="DF456" s="42"/>
      <c r="DG456" s="42"/>
      <c r="DH456" s="42"/>
      <c r="DI456" s="42"/>
      <c r="DJ456" s="42"/>
      <c r="DK456" s="42"/>
      <c r="DL456" s="42"/>
      <c r="DM456" s="42"/>
      <c r="DN456" s="42"/>
      <c r="DO456" s="42"/>
      <c r="DP456" s="42"/>
      <c r="DQ456" s="42"/>
      <c r="DR456" s="42"/>
      <c r="DS456" s="42"/>
      <c r="DT456" s="42"/>
      <c r="DU456" s="42"/>
      <c r="DV456" s="42"/>
      <c r="DW456" s="42"/>
      <c r="DX456" s="42"/>
      <c r="DY456" s="42"/>
      <c r="DZ456" s="42"/>
      <c r="EA456" s="42"/>
      <c r="EB456" s="42"/>
      <c r="EC456" s="42"/>
      <c r="ED456" s="42"/>
      <c r="EE456" s="42"/>
      <c r="EF456" s="42"/>
      <c r="EG456" s="42"/>
      <c r="EH456" s="42"/>
      <c r="EI456" s="42"/>
      <c r="EJ456" s="42"/>
      <c r="EK456" s="42"/>
      <c r="EL456" s="42"/>
      <c r="EM456" s="42"/>
      <c r="EN456" s="42"/>
      <c r="EO456" s="42"/>
      <c r="EP456" s="42"/>
      <c r="EQ456" s="42"/>
      <c r="ER456" s="42"/>
      <c r="ES456" s="42"/>
      <c r="ET456" s="42"/>
      <c r="EU456" s="42"/>
      <c r="EV456" s="42"/>
      <c r="EW456" s="42"/>
      <c r="EX456" s="42"/>
      <c r="EY456" s="42"/>
      <c r="EZ456" s="42"/>
      <c r="FA456" s="42"/>
      <c r="FB456" s="42"/>
      <c r="FC456" s="42"/>
      <c r="FD456" s="42"/>
      <c r="FE456" s="42"/>
      <c r="FF456" s="42"/>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row>
    <row r="457" spans="1:256" ht="13.8" x14ac:dyDescent="0.3">
      <c r="A457" s="42"/>
      <c r="B457" s="42"/>
      <c r="C457" s="42"/>
      <c r="D457" s="42"/>
      <c r="E457" s="42"/>
      <c r="F457" s="42"/>
      <c r="G457" s="42"/>
      <c r="H457" s="42"/>
      <c r="I457" s="42"/>
      <c r="J457" s="42"/>
      <c r="K457" s="42"/>
      <c r="L457" s="42"/>
      <c r="M457" s="42"/>
      <c r="N457" s="42"/>
      <c r="O457" s="42"/>
      <c r="P457" s="42"/>
      <c r="Q457" s="42"/>
      <c r="R457" s="42"/>
      <c r="S457" s="42"/>
      <c r="T457" s="42"/>
      <c r="U457" s="194"/>
      <c r="V457" s="42"/>
      <c r="W457" s="42"/>
      <c r="X457" s="42"/>
      <c r="Y457" s="42"/>
      <c r="Z457" s="42"/>
      <c r="AA457" s="42"/>
      <c r="AB457" s="195"/>
      <c r="AC457" s="42"/>
      <c r="AD457" s="42"/>
      <c r="AE457" s="195"/>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42"/>
      <c r="BH457" s="42"/>
      <c r="BI457" s="42"/>
      <c r="BJ457" s="42"/>
      <c r="BK457" s="42"/>
      <c r="BL457" s="42"/>
      <c r="BM457" s="42"/>
      <c r="BN457" s="42"/>
      <c r="BO457" s="42"/>
      <c r="BP457" s="42"/>
      <c r="BQ457" s="42"/>
      <c r="BR457" s="42"/>
      <c r="BS457" s="42"/>
      <c r="BT457" s="42"/>
      <c r="BU457" s="42"/>
      <c r="BV457" s="42"/>
      <c r="BW457" s="42"/>
      <c r="BX457" s="42"/>
      <c r="BY457" s="42"/>
      <c r="BZ457" s="42"/>
      <c r="CA457" s="42"/>
      <c r="CB457" s="42"/>
      <c r="CC457" s="42"/>
      <c r="CD457" s="42"/>
      <c r="CE457" s="42"/>
      <c r="CF457" s="42"/>
      <c r="CG457" s="42"/>
      <c r="CH457" s="42"/>
      <c r="CI457" s="42"/>
      <c r="CJ457" s="42"/>
      <c r="CK457" s="42"/>
      <c r="CL457" s="42"/>
      <c r="CM457" s="42"/>
      <c r="CN457" s="42"/>
      <c r="CO457" s="42"/>
      <c r="CP457" s="42"/>
      <c r="CQ457" s="42"/>
      <c r="CR457" s="42"/>
      <c r="CS457" s="42"/>
      <c r="CT457" s="42"/>
      <c r="CU457" s="42"/>
      <c r="CV457" s="42"/>
      <c r="CW457" s="42"/>
      <c r="CX457" s="42"/>
      <c r="CY457" s="42"/>
      <c r="CZ457" s="42"/>
      <c r="DA457" s="42"/>
      <c r="DB457" s="42"/>
      <c r="DC457" s="42"/>
      <c r="DD457" s="42"/>
      <c r="DE457" s="42"/>
      <c r="DF457" s="42"/>
      <c r="DG457" s="42"/>
      <c r="DH457" s="42"/>
      <c r="DI457" s="42"/>
      <c r="DJ457" s="42"/>
      <c r="DK457" s="42"/>
      <c r="DL457" s="42"/>
      <c r="DM457" s="42"/>
      <c r="DN457" s="42"/>
      <c r="DO457" s="42"/>
      <c r="DP457" s="42"/>
      <c r="DQ457" s="42"/>
      <c r="DR457" s="42"/>
      <c r="DS457" s="42"/>
      <c r="DT457" s="42"/>
      <c r="DU457" s="42"/>
      <c r="DV457" s="42"/>
      <c r="DW457" s="42"/>
      <c r="DX457" s="42"/>
      <c r="DY457" s="42"/>
      <c r="DZ457" s="42"/>
      <c r="EA457" s="42"/>
      <c r="EB457" s="42"/>
      <c r="EC457" s="42"/>
      <c r="ED457" s="42"/>
      <c r="EE457" s="42"/>
      <c r="EF457" s="42"/>
      <c r="EG457" s="42"/>
      <c r="EH457" s="42"/>
      <c r="EI457" s="42"/>
      <c r="EJ457" s="42"/>
      <c r="EK457" s="42"/>
      <c r="EL457" s="42"/>
      <c r="EM457" s="42"/>
      <c r="EN457" s="42"/>
      <c r="EO457" s="42"/>
      <c r="EP457" s="42"/>
      <c r="EQ457" s="42"/>
      <c r="ER457" s="42"/>
      <c r="ES457" s="42"/>
      <c r="ET457" s="42"/>
      <c r="EU457" s="42"/>
      <c r="EV457" s="42"/>
      <c r="EW457" s="42"/>
      <c r="EX457" s="42"/>
      <c r="EY457" s="42"/>
      <c r="EZ457" s="42"/>
      <c r="FA457" s="42"/>
      <c r="FB457" s="42"/>
      <c r="FC457" s="42"/>
      <c r="FD457" s="42"/>
      <c r="FE457" s="42"/>
      <c r="FF457" s="42"/>
      <c r="FG457" s="42"/>
      <c r="FH457" s="42"/>
      <c r="FI457" s="42"/>
      <c r="FJ457" s="42"/>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row>
    <row r="458" spans="1:256" ht="13.8" x14ac:dyDescent="0.3">
      <c r="A458" s="42"/>
      <c r="B458" s="42"/>
      <c r="C458" s="42"/>
      <c r="D458" s="42"/>
      <c r="E458" s="42"/>
      <c r="F458" s="42"/>
      <c r="G458" s="42"/>
      <c r="H458" s="42"/>
      <c r="I458" s="42"/>
      <c r="J458" s="42"/>
      <c r="K458" s="42"/>
      <c r="L458" s="42"/>
      <c r="M458" s="42"/>
      <c r="N458" s="42"/>
      <c r="O458" s="42"/>
      <c r="P458" s="42"/>
      <c r="Q458" s="42"/>
      <c r="R458" s="42"/>
      <c r="S458" s="42"/>
      <c r="T458" s="42"/>
      <c r="U458" s="194"/>
      <c r="V458" s="42"/>
      <c r="W458" s="42"/>
      <c r="X458" s="42"/>
      <c r="Y458" s="42"/>
      <c r="Z458" s="42"/>
      <c r="AA458" s="42"/>
      <c r="AB458" s="195"/>
      <c r="AC458" s="42"/>
      <c r="AD458" s="42"/>
      <c r="AE458" s="195"/>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42"/>
      <c r="BH458" s="42"/>
      <c r="BI458" s="42"/>
      <c r="BJ458" s="42"/>
      <c r="BK458" s="42"/>
      <c r="BL458" s="42"/>
      <c r="BM458" s="42"/>
      <c r="BN458" s="42"/>
      <c r="BO458" s="42"/>
      <c r="BP458" s="42"/>
      <c r="BQ458" s="42"/>
      <c r="BR458" s="42"/>
      <c r="BS458" s="42"/>
      <c r="BT458" s="42"/>
      <c r="BU458" s="42"/>
      <c r="BV458" s="42"/>
      <c r="BW458" s="42"/>
      <c r="BX458" s="42"/>
      <c r="BY458" s="42"/>
      <c r="BZ458" s="42"/>
      <c r="CA458" s="42"/>
      <c r="CB458" s="42"/>
      <c r="CC458" s="42"/>
      <c r="CD458" s="42"/>
      <c r="CE458" s="42"/>
      <c r="CF458" s="42"/>
      <c r="CG458" s="42"/>
      <c r="CH458" s="42"/>
      <c r="CI458" s="42"/>
      <c r="CJ458" s="42"/>
      <c r="CK458" s="42"/>
      <c r="CL458" s="42"/>
      <c r="CM458" s="42"/>
      <c r="CN458" s="42"/>
      <c r="CO458" s="42"/>
      <c r="CP458" s="42"/>
      <c r="CQ458" s="42"/>
      <c r="CR458" s="42"/>
      <c r="CS458" s="42"/>
      <c r="CT458" s="42"/>
      <c r="CU458" s="42"/>
      <c r="CV458" s="42"/>
      <c r="CW458" s="42"/>
      <c r="CX458" s="42"/>
      <c r="CY458" s="42"/>
      <c r="CZ458" s="42"/>
      <c r="DA458" s="42"/>
      <c r="DB458" s="42"/>
      <c r="DC458" s="42"/>
      <c r="DD458" s="42"/>
      <c r="DE458" s="42"/>
      <c r="DF458" s="42"/>
      <c r="DG458" s="42"/>
      <c r="DH458" s="42"/>
      <c r="DI458" s="42"/>
      <c r="DJ458" s="42"/>
      <c r="DK458" s="42"/>
      <c r="DL458" s="42"/>
      <c r="DM458" s="42"/>
      <c r="DN458" s="42"/>
      <c r="DO458" s="42"/>
      <c r="DP458" s="42"/>
      <c r="DQ458" s="42"/>
      <c r="DR458" s="42"/>
      <c r="DS458" s="42"/>
      <c r="DT458" s="42"/>
      <c r="DU458" s="42"/>
      <c r="DV458" s="42"/>
      <c r="DW458" s="42"/>
      <c r="DX458" s="42"/>
      <c r="DY458" s="42"/>
      <c r="DZ458" s="42"/>
      <c r="EA458" s="42"/>
      <c r="EB458" s="42"/>
      <c r="EC458" s="42"/>
      <c r="ED458" s="42"/>
      <c r="EE458" s="42"/>
      <c r="EF458" s="42"/>
      <c r="EG458" s="42"/>
      <c r="EH458" s="42"/>
      <c r="EI458" s="42"/>
      <c r="EJ458" s="42"/>
      <c r="EK458" s="42"/>
      <c r="EL458" s="42"/>
      <c r="EM458" s="42"/>
      <c r="EN458" s="42"/>
      <c r="EO458" s="42"/>
      <c r="EP458" s="42"/>
      <c r="EQ458" s="42"/>
      <c r="ER458" s="42"/>
      <c r="ES458" s="42"/>
      <c r="ET458" s="42"/>
      <c r="EU458" s="42"/>
      <c r="EV458" s="42"/>
      <c r="EW458" s="42"/>
      <c r="EX458" s="42"/>
      <c r="EY458" s="42"/>
      <c r="EZ458" s="42"/>
      <c r="FA458" s="42"/>
      <c r="FB458" s="42"/>
      <c r="FC458" s="42"/>
      <c r="FD458" s="42"/>
      <c r="FE458" s="42"/>
      <c r="FF458" s="42"/>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row>
    <row r="459" spans="1:256" ht="13.8" x14ac:dyDescent="0.3">
      <c r="A459" s="42"/>
      <c r="B459" s="42"/>
      <c r="C459" s="42"/>
      <c r="D459" s="42"/>
      <c r="E459" s="42"/>
      <c r="F459" s="42"/>
      <c r="G459" s="42"/>
      <c r="H459" s="42"/>
      <c r="I459" s="42"/>
      <c r="J459" s="42"/>
      <c r="K459" s="42"/>
      <c r="L459" s="42"/>
      <c r="M459" s="42"/>
      <c r="N459" s="42"/>
      <c r="O459" s="42"/>
      <c r="P459" s="42"/>
      <c r="Q459" s="42"/>
      <c r="R459" s="42"/>
      <c r="S459" s="42"/>
      <c r="T459" s="42"/>
      <c r="U459" s="194"/>
      <c r="V459" s="42"/>
      <c r="W459" s="42"/>
      <c r="X459" s="42"/>
      <c r="Y459" s="42"/>
      <c r="Z459" s="42"/>
      <c r="AA459" s="42"/>
      <c r="AB459" s="195"/>
      <c r="AC459" s="42"/>
      <c r="AD459" s="42"/>
      <c r="AE459" s="195"/>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42"/>
      <c r="BH459" s="42"/>
      <c r="BI459" s="42"/>
      <c r="BJ459" s="42"/>
      <c r="BK459" s="42"/>
      <c r="BL459" s="42"/>
      <c r="BM459" s="42"/>
      <c r="BN459" s="42"/>
      <c r="BO459" s="42"/>
      <c r="BP459" s="42"/>
      <c r="BQ459" s="42"/>
      <c r="BR459" s="42"/>
      <c r="BS459" s="42"/>
      <c r="BT459" s="42"/>
      <c r="BU459" s="42"/>
      <c r="BV459" s="42"/>
      <c r="BW459" s="42"/>
      <c r="BX459" s="42"/>
      <c r="BY459" s="42"/>
      <c r="BZ459" s="42"/>
      <c r="CA459" s="42"/>
      <c r="CB459" s="42"/>
      <c r="CC459" s="42"/>
      <c r="CD459" s="42"/>
      <c r="CE459" s="42"/>
      <c r="CF459" s="42"/>
      <c r="CG459" s="42"/>
      <c r="CH459" s="42"/>
      <c r="CI459" s="42"/>
      <c r="CJ459" s="42"/>
      <c r="CK459" s="42"/>
      <c r="CL459" s="42"/>
      <c r="CM459" s="42"/>
      <c r="CN459" s="42"/>
      <c r="CO459" s="42"/>
      <c r="CP459" s="42"/>
      <c r="CQ459" s="42"/>
      <c r="CR459" s="42"/>
      <c r="CS459" s="42"/>
      <c r="CT459" s="42"/>
      <c r="CU459" s="42"/>
      <c r="CV459" s="42"/>
      <c r="CW459" s="42"/>
      <c r="CX459" s="42"/>
      <c r="CY459" s="42"/>
      <c r="CZ459" s="42"/>
      <c r="DA459" s="42"/>
      <c r="DB459" s="42"/>
      <c r="DC459" s="42"/>
      <c r="DD459" s="42"/>
      <c r="DE459" s="42"/>
      <c r="DF459" s="42"/>
      <c r="DG459" s="42"/>
      <c r="DH459" s="42"/>
      <c r="DI459" s="42"/>
      <c r="DJ459" s="42"/>
      <c r="DK459" s="42"/>
      <c r="DL459" s="42"/>
      <c r="DM459" s="42"/>
      <c r="DN459" s="42"/>
      <c r="DO459" s="42"/>
      <c r="DP459" s="42"/>
      <c r="DQ459" s="42"/>
      <c r="DR459" s="42"/>
      <c r="DS459" s="42"/>
      <c r="DT459" s="42"/>
      <c r="DU459" s="42"/>
      <c r="DV459" s="42"/>
      <c r="DW459" s="42"/>
      <c r="DX459" s="42"/>
      <c r="DY459" s="42"/>
      <c r="DZ459" s="42"/>
      <c r="EA459" s="42"/>
      <c r="EB459" s="42"/>
      <c r="EC459" s="42"/>
      <c r="ED459" s="42"/>
      <c r="EE459" s="42"/>
      <c r="EF459" s="42"/>
      <c r="EG459" s="42"/>
      <c r="EH459" s="42"/>
      <c r="EI459" s="42"/>
      <c r="EJ459" s="42"/>
      <c r="EK459" s="42"/>
      <c r="EL459" s="42"/>
      <c r="EM459" s="42"/>
      <c r="EN459" s="42"/>
      <c r="EO459" s="42"/>
      <c r="EP459" s="42"/>
      <c r="EQ459" s="42"/>
      <c r="ER459" s="42"/>
      <c r="ES459" s="42"/>
      <c r="ET459" s="42"/>
      <c r="EU459" s="42"/>
      <c r="EV459" s="42"/>
      <c r="EW459" s="42"/>
      <c r="EX459" s="42"/>
      <c r="EY459" s="42"/>
      <c r="EZ459" s="42"/>
      <c r="FA459" s="42"/>
      <c r="FB459" s="42"/>
      <c r="FC459" s="42"/>
      <c r="FD459" s="42"/>
      <c r="FE459" s="42"/>
      <c r="FF459" s="42"/>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row>
    <row r="460" spans="1:256" ht="13.8" x14ac:dyDescent="0.3">
      <c r="A460" s="42"/>
      <c r="B460" s="42"/>
      <c r="C460" s="42"/>
      <c r="D460" s="42"/>
      <c r="E460" s="42"/>
      <c r="F460" s="42"/>
      <c r="G460" s="42"/>
      <c r="H460" s="42"/>
      <c r="I460" s="42"/>
      <c r="J460" s="42"/>
      <c r="K460" s="42"/>
      <c r="L460" s="42"/>
      <c r="M460" s="42"/>
      <c r="N460" s="42"/>
      <c r="O460" s="42"/>
      <c r="P460" s="42"/>
      <c r="Q460" s="42"/>
      <c r="R460" s="42"/>
      <c r="S460" s="42"/>
      <c r="T460" s="42"/>
      <c r="U460" s="194"/>
      <c r="V460" s="42"/>
      <c r="W460" s="42"/>
      <c r="X460" s="42"/>
      <c r="Y460" s="42"/>
      <c r="Z460" s="42"/>
      <c r="AA460" s="42"/>
      <c r="AB460" s="195"/>
      <c r="AC460" s="42"/>
      <c r="AD460" s="42"/>
      <c r="AE460" s="195"/>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c r="BM460" s="42"/>
      <c r="BN460" s="42"/>
      <c r="BO460" s="42"/>
      <c r="BP460" s="42"/>
      <c r="BQ460" s="42"/>
      <c r="BR460" s="42"/>
      <c r="BS460" s="42"/>
      <c r="BT460" s="42"/>
      <c r="BU460" s="42"/>
      <c r="BV460" s="42"/>
      <c r="BW460" s="42"/>
      <c r="BX460" s="42"/>
      <c r="BY460" s="42"/>
      <c r="BZ460" s="42"/>
      <c r="CA460" s="42"/>
      <c r="CB460" s="42"/>
      <c r="CC460" s="42"/>
      <c r="CD460" s="42"/>
      <c r="CE460" s="42"/>
      <c r="CF460" s="42"/>
      <c r="CG460" s="42"/>
      <c r="CH460" s="42"/>
      <c r="CI460" s="42"/>
      <c r="CJ460" s="42"/>
      <c r="CK460" s="42"/>
      <c r="CL460" s="42"/>
      <c r="CM460" s="42"/>
      <c r="CN460" s="42"/>
      <c r="CO460" s="42"/>
      <c r="CP460" s="42"/>
      <c r="CQ460" s="42"/>
      <c r="CR460" s="42"/>
      <c r="CS460" s="42"/>
      <c r="CT460" s="42"/>
      <c r="CU460" s="42"/>
      <c r="CV460" s="42"/>
      <c r="CW460" s="42"/>
      <c r="CX460" s="42"/>
      <c r="CY460" s="42"/>
      <c r="CZ460" s="42"/>
      <c r="DA460" s="42"/>
      <c r="DB460" s="42"/>
      <c r="DC460" s="42"/>
      <c r="DD460" s="42"/>
      <c r="DE460" s="42"/>
      <c r="DF460" s="42"/>
      <c r="DG460" s="42"/>
      <c r="DH460" s="42"/>
      <c r="DI460" s="42"/>
      <c r="DJ460" s="42"/>
      <c r="DK460" s="42"/>
      <c r="DL460" s="42"/>
      <c r="DM460" s="42"/>
      <c r="DN460" s="42"/>
      <c r="DO460" s="42"/>
      <c r="DP460" s="42"/>
      <c r="DQ460" s="42"/>
      <c r="DR460" s="42"/>
      <c r="DS460" s="42"/>
      <c r="DT460" s="42"/>
      <c r="DU460" s="42"/>
      <c r="DV460" s="42"/>
      <c r="DW460" s="42"/>
      <c r="DX460" s="42"/>
      <c r="DY460" s="42"/>
      <c r="DZ460" s="42"/>
      <c r="EA460" s="42"/>
      <c r="EB460" s="42"/>
      <c r="EC460" s="42"/>
      <c r="ED460" s="42"/>
      <c r="EE460" s="42"/>
      <c r="EF460" s="42"/>
      <c r="EG460" s="42"/>
      <c r="EH460" s="42"/>
      <c r="EI460" s="42"/>
      <c r="EJ460" s="42"/>
      <c r="EK460" s="42"/>
      <c r="EL460" s="42"/>
      <c r="EM460" s="42"/>
      <c r="EN460" s="42"/>
      <c r="EO460" s="42"/>
      <c r="EP460" s="42"/>
      <c r="EQ460" s="42"/>
      <c r="ER460" s="42"/>
      <c r="ES460" s="42"/>
      <c r="ET460" s="42"/>
      <c r="EU460" s="42"/>
      <c r="EV460" s="42"/>
      <c r="EW460" s="42"/>
      <c r="EX460" s="42"/>
      <c r="EY460" s="42"/>
      <c r="EZ460" s="42"/>
      <c r="FA460" s="42"/>
      <c r="FB460" s="42"/>
      <c r="FC460" s="42"/>
      <c r="FD460" s="42"/>
      <c r="FE460" s="42"/>
      <c r="FF460" s="42"/>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row>
    <row r="461" spans="1:256" ht="13.8" x14ac:dyDescent="0.3">
      <c r="A461" s="42"/>
      <c r="B461" s="42"/>
      <c r="C461" s="42"/>
      <c r="D461" s="42"/>
      <c r="E461" s="42"/>
      <c r="F461" s="42"/>
      <c r="G461" s="42"/>
      <c r="H461" s="42"/>
      <c r="I461" s="42"/>
      <c r="J461" s="42"/>
      <c r="K461" s="42"/>
      <c r="L461" s="42"/>
      <c r="M461" s="42"/>
      <c r="N461" s="42"/>
      <c r="O461" s="42"/>
      <c r="P461" s="42"/>
      <c r="Q461" s="42"/>
      <c r="R461" s="42"/>
      <c r="S461" s="42"/>
      <c r="T461" s="42"/>
      <c r="U461" s="194"/>
      <c r="V461" s="42"/>
      <c r="W461" s="42"/>
      <c r="X461" s="42"/>
      <c r="Y461" s="42"/>
      <c r="Z461" s="42"/>
      <c r="AA461" s="42"/>
      <c r="AB461" s="195"/>
      <c r="AC461" s="42"/>
      <c r="AD461" s="42"/>
      <c r="AE461" s="195"/>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c r="BM461" s="42"/>
      <c r="BN461" s="42"/>
      <c r="BO461" s="42"/>
      <c r="BP461" s="42"/>
      <c r="BQ461" s="42"/>
      <c r="BR461" s="42"/>
      <c r="BS461" s="42"/>
      <c r="BT461" s="42"/>
      <c r="BU461" s="42"/>
      <c r="BV461" s="42"/>
      <c r="BW461" s="42"/>
      <c r="BX461" s="42"/>
      <c r="BY461" s="42"/>
      <c r="BZ461" s="42"/>
      <c r="CA461" s="42"/>
      <c r="CB461" s="42"/>
      <c r="CC461" s="42"/>
      <c r="CD461" s="42"/>
      <c r="CE461" s="42"/>
      <c r="CF461" s="42"/>
      <c r="CG461" s="42"/>
      <c r="CH461" s="42"/>
      <c r="CI461" s="42"/>
      <c r="CJ461" s="42"/>
      <c r="CK461" s="42"/>
      <c r="CL461" s="42"/>
      <c r="CM461" s="42"/>
      <c r="CN461" s="42"/>
      <c r="CO461" s="42"/>
      <c r="CP461" s="42"/>
      <c r="CQ461" s="42"/>
      <c r="CR461" s="42"/>
      <c r="CS461" s="42"/>
      <c r="CT461" s="42"/>
      <c r="CU461" s="42"/>
      <c r="CV461" s="42"/>
      <c r="CW461" s="42"/>
      <c r="CX461" s="42"/>
      <c r="CY461" s="42"/>
      <c r="CZ461" s="42"/>
      <c r="DA461" s="42"/>
      <c r="DB461" s="42"/>
      <c r="DC461" s="42"/>
      <c r="DD461" s="42"/>
      <c r="DE461" s="42"/>
      <c r="DF461" s="42"/>
      <c r="DG461" s="42"/>
      <c r="DH461" s="42"/>
      <c r="DI461" s="42"/>
      <c r="DJ461" s="42"/>
      <c r="DK461" s="42"/>
      <c r="DL461" s="42"/>
      <c r="DM461" s="42"/>
      <c r="DN461" s="42"/>
      <c r="DO461" s="42"/>
      <c r="DP461" s="42"/>
      <c r="DQ461" s="42"/>
      <c r="DR461" s="42"/>
      <c r="DS461" s="42"/>
      <c r="DT461" s="42"/>
      <c r="DU461" s="42"/>
      <c r="DV461" s="42"/>
      <c r="DW461" s="42"/>
      <c r="DX461" s="42"/>
      <c r="DY461" s="42"/>
      <c r="DZ461" s="42"/>
      <c r="EA461" s="42"/>
      <c r="EB461" s="42"/>
      <c r="EC461" s="42"/>
      <c r="ED461" s="42"/>
      <c r="EE461" s="42"/>
      <c r="EF461" s="42"/>
      <c r="EG461" s="42"/>
      <c r="EH461" s="42"/>
      <c r="EI461" s="42"/>
      <c r="EJ461" s="42"/>
      <c r="EK461" s="42"/>
      <c r="EL461" s="42"/>
      <c r="EM461" s="42"/>
      <c r="EN461" s="42"/>
      <c r="EO461" s="42"/>
      <c r="EP461" s="42"/>
      <c r="EQ461" s="42"/>
      <c r="ER461" s="42"/>
      <c r="ES461" s="42"/>
      <c r="ET461" s="42"/>
      <c r="EU461" s="42"/>
      <c r="EV461" s="42"/>
      <c r="EW461" s="42"/>
      <c r="EX461" s="42"/>
      <c r="EY461" s="42"/>
      <c r="EZ461" s="42"/>
      <c r="FA461" s="42"/>
      <c r="FB461" s="42"/>
      <c r="FC461" s="42"/>
      <c r="FD461" s="42"/>
      <c r="FE461" s="42"/>
      <c r="FF461" s="42"/>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row>
    <row r="462" spans="1:256" ht="13.8" x14ac:dyDescent="0.3">
      <c r="A462" s="42"/>
      <c r="B462" s="42"/>
      <c r="C462" s="42"/>
      <c r="D462" s="42"/>
      <c r="E462" s="42"/>
      <c r="F462" s="42"/>
      <c r="G462" s="42"/>
      <c r="H462" s="42"/>
      <c r="I462" s="42"/>
      <c r="J462" s="42"/>
      <c r="K462" s="42"/>
      <c r="L462" s="42"/>
      <c r="M462" s="42"/>
      <c r="N462" s="42"/>
      <c r="O462" s="42"/>
      <c r="P462" s="42"/>
      <c r="Q462" s="42"/>
      <c r="R462" s="42"/>
      <c r="S462" s="42"/>
      <c r="T462" s="42"/>
      <c r="U462" s="194"/>
      <c r="V462" s="42"/>
      <c r="W462" s="42"/>
      <c r="X462" s="42"/>
      <c r="Y462" s="42"/>
      <c r="Z462" s="42"/>
      <c r="AA462" s="42"/>
      <c r="AB462" s="195"/>
      <c r="AC462" s="42"/>
      <c r="AD462" s="42"/>
      <c r="AE462" s="195"/>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c r="BM462" s="42"/>
      <c r="BN462" s="42"/>
      <c r="BO462" s="42"/>
      <c r="BP462" s="42"/>
      <c r="BQ462" s="42"/>
      <c r="BR462" s="42"/>
      <c r="BS462" s="42"/>
      <c r="BT462" s="42"/>
      <c r="BU462" s="42"/>
      <c r="BV462" s="42"/>
      <c r="BW462" s="42"/>
      <c r="BX462" s="42"/>
      <c r="BY462" s="42"/>
      <c r="BZ462" s="42"/>
      <c r="CA462" s="42"/>
      <c r="CB462" s="42"/>
      <c r="CC462" s="42"/>
      <c r="CD462" s="42"/>
      <c r="CE462" s="42"/>
      <c r="CF462" s="42"/>
      <c r="CG462" s="42"/>
      <c r="CH462" s="42"/>
      <c r="CI462" s="42"/>
      <c r="CJ462" s="42"/>
      <c r="CK462" s="42"/>
      <c r="CL462" s="42"/>
      <c r="CM462" s="42"/>
      <c r="CN462" s="42"/>
      <c r="CO462" s="42"/>
      <c r="CP462" s="42"/>
      <c r="CQ462" s="42"/>
      <c r="CR462" s="42"/>
      <c r="CS462" s="42"/>
      <c r="CT462" s="42"/>
      <c r="CU462" s="42"/>
      <c r="CV462" s="42"/>
      <c r="CW462" s="42"/>
      <c r="CX462" s="42"/>
      <c r="CY462" s="42"/>
      <c r="CZ462" s="42"/>
      <c r="DA462" s="42"/>
      <c r="DB462" s="42"/>
      <c r="DC462" s="42"/>
      <c r="DD462" s="42"/>
      <c r="DE462" s="42"/>
      <c r="DF462" s="42"/>
      <c r="DG462" s="42"/>
      <c r="DH462" s="42"/>
      <c r="DI462" s="42"/>
      <c r="DJ462" s="42"/>
      <c r="DK462" s="42"/>
      <c r="DL462" s="42"/>
      <c r="DM462" s="42"/>
      <c r="DN462" s="42"/>
      <c r="DO462" s="42"/>
      <c r="DP462" s="42"/>
      <c r="DQ462" s="42"/>
      <c r="DR462" s="42"/>
      <c r="DS462" s="42"/>
      <c r="DT462" s="42"/>
      <c r="DU462" s="42"/>
      <c r="DV462" s="42"/>
      <c r="DW462" s="42"/>
      <c r="DX462" s="42"/>
      <c r="DY462" s="42"/>
      <c r="DZ462" s="42"/>
      <c r="EA462" s="42"/>
      <c r="EB462" s="42"/>
      <c r="EC462" s="42"/>
      <c r="ED462" s="42"/>
      <c r="EE462" s="42"/>
      <c r="EF462" s="42"/>
      <c r="EG462" s="42"/>
      <c r="EH462" s="42"/>
      <c r="EI462" s="42"/>
      <c r="EJ462" s="42"/>
      <c r="EK462" s="42"/>
      <c r="EL462" s="42"/>
      <c r="EM462" s="42"/>
      <c r="EN462" s="42"/>
      <c r="EO462" s="42"/>
      <c r="EP462" s="42"/>
      <c r="EQ462" s="42"/>
      <c r="ER462" s="42"/>
      <c r="ES462" s="42"/>
      <c r="ET462" s="42"/>
      <c r="EU462" s="42"/>
      <c r="EV462" s="42"/>
      <c r="EW462" s="42"/>
      <c r="EX462" s="42"/>
      <c r="EY462" s="42"/>
      <c r="EZ462" s="42"/>
      <c r="FA462" s="42"/>
      <c r="FB462" s="42"/>
      <c r="FC462" s="42"/>
      <c r="FD462" s="42"/>
      <c r="FE462" s="42"/>
      <c r="FF462" s="42"/>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row>
    <row r="463" spans="1:256" ht="13.8" x14ac:dyDescent="0.3">
      <c r="A463" s="42"/>
      <c r="B463" s="42"/>
      <c r="C463" s="42"/>
      <c r="D463" s="42"/>
      <c r="E463" s="42"/>
      <c r="F463" s="42"/>
      <c r="G463" s="42"/>
      <c r="H463" s="42"/>
      <c r="I463" s="42"/>
      <c r="J463" s="42"/>
      <c r="K463" s="42"/>
      <c r="L463" s="42"/>
      <c r="M463" s="42"/>
      <c r="N463" s="42"/>
      <c r="O463" s="42"/>
      <c r="P463" s="42"/>
      <c r="Q463" s="42"/>
      <c r="R463" s="42"/>
      <c r="S463" s="42"/>
      <c r="T463" s="42"/>
      <c r="U463" s="194"/>
      <c r="V463" s="42"/>
      <c r="W463" s="42"/>
      <c r="X463" s="42"/>
      <c r="Y463" s="42"/>
      <c r="Z463" s="42"/>
      <c r="AA463" s="42"/>
      <c r="AB463" s="195"/>
      <c r="AC463" s="42"/>
      <c r="AD463" s="42"/>
      <c r="AE463" s="195"/>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c r="BM463" s="42"/>
      <c r="BN463" s="42"/>
      <c r="BO463" s="42"/>
      <c r="BP463" s="42"/>
      <c r="BQ463" s="42"/>
      <c r="BR463" s="42"/>
      <c r="BS463" s="42"/>
      <c r="BT463" s="42"/>
      <c r="BU463" s="42"/>
      <c r="BV463" s="42"/>
      <c r="BW463" s="42"/>
      <c r="BX463" s="42"/>
      <c r="BY463" s="42"/>
      <c r="BZ463" s="42"/>
      <c r="CA463" s="42"/>
      <c r="CB463" s="42"/>
      <c r="CC463" s="42"/>
      <c r="CD463" s="42"/>
      <c r="CE463" s="42"/>
      <c r="CF463" s="42"/>
      <c r="CG463" s="42"/>
      <c r="CH463" s="42"/>
      <c r="CI463" s="42"/>
      <c r="CJ463" s="42"/>
      <c r="CK463" s="42"/>
      <c r="CL463" s="42"/>
      <c r="CM463" s="42"/>
      <c r="CN463" s="42"/>
      <c r="CO463" s="42"/>
      <c r="CP463" s="42"/>
      <c r="CQ463" s="42"/>
      <c r="CR463" s="42"/>
      <c r="CS463" s="42"/>
      <c r="CT463" s="42"/>
      <c r="CU463" s="42"/>
      <c r="CV463" s="42"/>
      <c r="CW463" s="42"/>
      <c r="CX463" s="42"/>
      <c r="CY463" s="42"/>
      <c r="CZ463" s="42"/>
      <c r="DA463" s="42"/>
      <c r="DB463" s="42"/>
      <c r="DC463" s="42"/>
      <c r="DD463" s="42"/>
      <c r="DE463" s="42"/>
      <c r="DF463" s="42"/>
      <c r="DG463" s="42"/>
      <c r="DH463" s="42"/>
      <c r="DI463" s="42"/>
      <c r="DJ463" s="42"/>
      <c r="DK463" s="42"/>
      <c r="DL463" s="42"/>
      <c r="DM463" s="42"/>
      <c r="DN463" s="42"/>
      <c r="DO463" s="42"/>
      <c r="DP463" s="42"/>
      <c r="DQ463" s="42"/>
      <c r="DR463" s="42"/>
      <c r="DS463" s="42"/>
      <c r="DT463" s="42"/>
      <c r="DU463" s="42"/>
      <c r="DV463" s="42"/>
      <c r="DW463" s="42"/>
      <c r="DX463" s="42"/>
      <c r="DY463" s="42"/>
      <c r="DZ463" s="42"/>
      <c r="EA463" s="42"/>
      <c r="EB463" s="42"/>
      <c r="EC463" s="42"/>
      <c r="ED463" s="42"/>
      <c r="EE463" s="42"/>
      <c r="EF463" s="42"/>
      <c r="EG463" s="42"/>
      <c r="EH463" s="42"/>
      <c r="EI463" s="42"/>
      <c r="EJ463" s="42"/>
      <c r="EK463" s="42"/>
      <c r="EL463" s="42"/>
      <c r="EM463" s="42"/>
      <c r="EN463" s="42"/>
      <c r="EO463" s="42"/>
      <c r="EP463" s="42"/>
      <c r="EQ463" s="42"/>
      <c r="ER463" s="42"/>
      <c r="ES463" s="42"/>
      <c r="ET463" s="42"/>
      <c r="EU463" s="42"/>
      <c r="EV463" s="42"/>
      <c r="EW463" s="42"/>
      <c r="EX463" s="42"/>
      <c r="EY463" s="42"/>
      <c r="EZ463" s="42"/>
      <c r="FA463" s="42"/>
      <c r="FB463" s="42"/>
      <c r="FC463" s="42"/>
      <c r="FD463" s="42"/>
      <c r="FE463" s="42"/>
      <c r="FF463" s="42"/>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row>
    <row r="464" spans="1:256" ht="13.8" x14ac:dyDescent="0.3">
      <c r="A464" s="42"/>
      <c r="B464" s="42"/>
      <c r="C464" s="42"/>
      <c r="D464" s="42"/>
      <c r="E464" s="42"/>
      <c r="F464" s="42"/>
      <c r="G464" s="42"/>
      <c r="H464" s="42"/>
      <c r="I464" s="42"/>
      <c r="J464" s="42"/>
      <c r="K464" s="42"/>
      <c r="L464" s="42"/>
      <c r="M464" s="42"/>
      <c r="N464" s="42"/>
      <c r="O464" s="42"/>
      <c r="P464" s="42"/>
      <c r="Q464" s="42"/>
      <c r="R464" s="42"/>
      <c r="S464" s="42"/>
      <c r="T464" s="42"/>
      <c r="U464" s="194"/>
      <c r="V464" s="42"/>
      <c r="W464" s="42"/>
      <c r="X464" s="42"/>
      <c r="Y464" s="42"/>
      <c r="Z464" s="42"/>
      <c r="AA464" s="42"/>
      <c r="AB464" s="195"/>
      <c r="AC464" s="42"/>
      <c r="AD464" s="42"/>
      <c r="AE464" s="195"/>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c r="BM464" s="42"/>
      <c r="BN464" s="42"/>
      <c r="BO464" s="42"/>
      <c r="BP464" s="42"/>
      <c r="BQ464" s="42"/>
      <c r="BR464" s="42"/>
      <c r="BS464" s="42"/>
      <c r="BT464" s="42"/>
      <c r="BU464" s="42"/>
      <c r="BV464" s="42"/>
      <c r="BW464" s="42"/>
      <c r="BX464" s="42"/>
      <c r="BY464" s="42"/>
      <c r="BZ464" s="42"/>
      <c r="CA464" s="42"/>
      <c r="CB464" s="42"/>
      <c r="CC464" s="42"/>
      <c r="CD464" s="42"/>
      <c r="CE464" s="42"/>
      <c r="CF464" s="42"/>
      <c r="CG464" s="42"/>
      <c r="CH464" s="42"/>
      <c r="CI464" s="42"/>
      <c r="CJ464" s="42"/>
      <c r="CK464" s="42"/>
      <c r="CL464" s="42"/>
      <c r="CM464" s="42"/>
      <c r="CN464" s="42"/>
      <c r="CO464" s="42"/>
      <c r="CP464" s="42"/>
      <c r="CQ464" s="42"/>
      <c r="CR464" s="42"/>
      <c r="CS464" s="42"/>
      <c r="CT464" s="42"/>
      <c r="CU464" s="42"/>
      <c r="CV464" s="42"/>
      <c r="CW464" s="42"/>
      <c r="CX464" s="42"/>
      <c r="CY464" s="42"/>
      <c r="CZ464" s="42"/>
      <c r="DA464" s="42"/>
      <c r="DB464" s="42"/>
      <c r="DC464" s="42"/>
      <c r="DD464" s="42"/>
      <c r="DE464" s="42"/>
      <c r="DF464" s="42"/>
      <c r="DG464" s="42"/>
      <c r="DH464" s="42"/>
      <c r="DI464" s="42"/>
      <c r="DJ464" s="42"/>
      <c r="DK464" s="42"/>
      <c r="DL464" s="42"/>
      <c r="DM464" s="42"/>
      <c r="DN464" s="42"/>
      <c r="DO464" s="42"/>
      <c r="DP464" s="42"/>
      <c r="DQ464" s="42"/>
      <c r="DR464" s="42"/>
      <c r="DS464" s="42"/>
      <c r="DT464" s="42"/>
      <c r="DU464" s="42"/>
      <c r="DV464" s="42"/>
      <c r="DW464" s="42"/>
      <c r="DX464" s="42"/>
      <c r="DY464" s="42"/>
      <c r="DZ464" s="42"/>
      <c r="EA464" s="42"/>
      <c r="EB464" s="42"/>
      <c r="EC464" s="42"/>
      <c r="ED464" s="42"/>
      <c r="EE464" s="42"/>
      <c r="EF464" s="42"/>
      <c r="EG464" s="42"/>
      <c r="EH464" s="42"/>
      <c r="EI464" s="42"/>
      <c r="EJ464" s="42"/>
      <c r="EK464" s="42"/>
      <c r="EL464" s="42"/>
      <c r="EM464" s="42"/>
      <c r="EN464" s="42"/>
      <c r="EO464" s="42"/>
      <c r="EP464" s="42"/>
      <c r="EQ464" s="42"/>
      <c r="ER464" s="42"/>
      <c r="ES464" s="42"/>
      <c r="ET464" s="42"/>
      <c r="EU464" s="42"/>
      <c r="EV464" s="42"/>
      <c r="EW464" s="42"/>
      <c r="EX464" s="42"/>
      <c r="EY464" s="42"/>
      <c r="EZ464" s="42"/>
      <c r="FA464" s="42"/>
      <c r="FB464" s="42"/>
      <c r="FC464" s="42"/>
      <c r="FD464" s="42"/>
      <c r="FE464" s="42"/>
      <c r="FF464" s="42"/>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row>
    <row r="465" spans="1:256" ht="13.8" x14ac:dyDescent="0.3">
      <c r="A465" s="42"/>
      <c r="B465" s="42"/>
      <c r="C465" s="42"/>
      <c r="D465" s="42"/>
      <c r="E465" s="42"/>
      <c r="F465" s="42"/>
      <c r="G465" s="42"/>
      <c r="H465" s="42"/>
      <c r="I465" s="42"/>
      <c r="J465" s="42"/>
      <c r="K465" s="42"/>
      <c r="L465" s="42"/>
      <c r="M465" s="42"/>
      <c r="N465" s="42"/>
      <c r="O465" s="42"/>
      <c r="P465" s="42"/>
      <c r="Q465" s="42"/>
      <c r="R465" s="42"/>
      <c r="S465" s="42"/>
      <c r="T465" s="42"/>
      <c r="U465" s="194"/>
      <c r="V465" s="42"/>
      <c r="W465" s="42"/>
      <c r="X465" s="42"/>
      <c r="Y465" s="42"/>
      <c r="Z465" s="42"/>
      <c r="AA465" s="42"/>
      <c r="AB465" s="195"/>
      <c r="AC465" s="42"/>
      <c r="AD465" s="42"/>
      <c r="AE465" s="195"/>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c r="BM465" s="42"/>
      <c r="BN465" s="42"/>
      <c r="BO465" s="42"/>
      <c r="BP465" s="42"/>
      <c r="BQ465" s="42"/>
      <c r="BR465" s="42"/>
      <c r="BS465" s="42"/>
      <c r="BT465" s="42"/>
      <c r="BU465" s="42"/>
      <c r="BV465" s="42"/>
      <c r="BW465" s="42"/>
      <c r="BX465" s="42"/>
      <c r="BY465" s="42"/>
      <c r="BZ465" s="42"/>
      <c r="CA465" s="42"/>
      <c r="CB465" s="42"/>
      <c r="CC465" s="42"/>
      <c r="CD465" s="42"/>
      <c r="CE465" s="42"/>
      <c r="CF465" s="42"/>
      <c r="CG465" s="42"/>
      <c r="CH465" s="42"/>
      <c r="CI465" s="42"/>
      <c r="CJ465" s="42"/>
      <c r="CK465" s="42"/>
      <c r="CL465" s="42"/>
      <c r="CM465" s="42"/>
      <c r="CN465" s="42"/>
      <c r="CO465" s="42"/>
      <c r="CP465" s="42"/>
      <c r="CQ465" s="42"/>
      <c r="CR465" s="42"/>
      <c r="CS465" s="42"/>
      <c r="CT465" s="42"/>
      <c r="CU465" s="42"/>
      <c r="CV465" s="42"/>
      <c r="CW465" s="42"/>
      <c r="CX465" s="42"/>
      <c r="CY465" s="42"/>
      <c r="CZ465" s="42"/>
      <c r="DA465" s="42"/>
      <c r="DB465" s="42"/>
      <c r="DC465" s="42"/>
      <c r="DD465" s="42"/>
      <c r="DE465" s="42"/>
      <c r="DF465" s="42"/>
      <c r="DG465" s="42"/>
      <c r="DH465" s="42"/>
      <c r="DI465" s="42"/>
      <c r="DJ465" s="42"/>
      <c r="DK465" s="42"/>
      <c r="DL465" s="42"/>
      <c r="DM465" s="42"/>
      <c r="DN465" s="42"/>
      <c r="DO465" s="42"/>
      <c r="DP465" s="42"/>
      <c r="DQ465" s="42"/>
      <c r="DR465" s="42"/>
      <c r="DS465" s="42"/>
      <c r="DT465" s="42"/>
      <c r="DU465" s="42"/>
      <c r="DV465" s="42"/>
      <c r="DW465" s="42"/>
      <c r="DX465" s="42"/>
      <c r="DY465" s="42"/>
      <c r="DZ465" s="42"/>
      <c r="EA465" s="42"/>
      <c r="EB465" s="42"/>
      <c r="EC465" s="42"/>
      <c r="ED465" s="42"/>
      <c r="EE465" s="42"/>
      <c r="EF465" s="42"/>
      <c r="EG465" s="42"/>
      <c r="EH465" s="42"/>
      <c r="EI465" s="42"/>
      <c r="EJ465" s="42"/>
      <c r="EK465" s="42"/>
      <c r="EL465" s="42"/>
      <c r="EM465" s="42"/>
      <c r="EN465" s="42"/>
      <c r="EO465" s="42"/>
      <c r="EP465" s="42"/>
      <c r="EQ465" s="42"/>
      <c r="ER465" s="42"/>
      <c r="ES465" s="42"/>
      <c r="ET465" s="42"/>
      <c r="EU465" s="42"/>
      <c r="EV465" s="42"/>
      <c r="EW465" s="42"/>
      <c r="EX465" s="42"/>
      <c r="EY465" s="42"/>
      <c r="EZ465" s="42"/>
      <c r="FA465" s="42"/>
      <c r="FB465" s="42"/>
      <c r="FC465" s="42"/>
      <c r="FD465" s="42"/>
      <c r="FE465" s="42"/>
      <c r="FF465" s="42"/>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row>
    <row r="466" spans="1:256" ht="13.8" x14ac:dyDescent="0.3">
      <c r="A466" s="42"/>
      <c r="B466" s="42"/>
      <c r="C466" s="42"/>
      <c r="D466" s="42"/>
      <c r="E466" s="42"/>
      <c r="F466" s="42"/>
      <c r="G466" s="42"/>
      <c r="H466" s="42"/>
      <c r="I466" s="42"/>
      <c r="J466" s="42"/>
      <c r="K466" s="42"/>
      <c r="L466" s="42"/>
      <c r="M466" s="42"/>
      <c r="N466" s="42"/>
      <c r="O466" s="42"/>
      <c r="P466" s="42"/>
      <c r="Q466" s="42"/>
      <c r="R466" s="42"/>
      <c r="S466" s="42"/>
      <c r="T466" s="42"/>
      <c r="U466" s="194"/>
      <c r="V466" s="42"/>
      <c r="W466" s="42"/>
      <c r="X466" s="42"/>
      <c r="Y466" s="42"/>
      <c r="Z466" s="42"/>
      <c r="AA466" s="42"/>
      <c r="AB466" s="195"/>
      <c r="AC466" s="42"/>
      <c r="AD466" s="42"/>
      <c r="AE466" s="195"/>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c r="BM466" s="42"/>
      <c r="BN466" s="42"/>
      <c r="BO466" s="42"/>
      <c r="BP466" s="42"/>
      <c r="BQ466" s="42"/>
      <c r="BR466" s="42"/>
      <c r="BS466" s="42"/>
      <c r="BT466" s="42"/>
      <c r="BU466" s="42"/>
      <c r="BV466" s="42"/>
      <c r="BW466" s="42"/>
      <c r="BX466" s="42"/>
      <c r="BY466" s="42"/>
      <c r="BZ466" s="42"/>
      <c r="CA466" s="42"/>
      <c r="CB466" s="42"/>
      <c r="CC466" s="42"/>
      <c r="CD466" s="42"/>
      <c r="CE466" s="42"/>
      <c r="CF466" s="42"/>
      <c r="CG466" s="42"/>
      <c r="CH466" s="42"/>
      <c r="CI466" s="42"/>
      <c r="CJ466" s="42"/>
      <c r="CK466" s="42"/>
      <c r="CL466" s="42"/>
      <c r="CM466" s="42"/>
      <c r="CN466" s="42"/>
      <c r="CO466" s="42"/>
      <c r="CP466" s="42"/>
      <c r="CQ466" s="42"/>
      <c r="CR466" s="42"/>
      <c r="CS466" s="42"/>
      <c r="CT466" s="42"/>
      <c r="CU466" s="42"/>
      <c r="CV466" s="42"/>
      <c r="CW466" s="42"/>
      <c r="CX466" s="42"/>
      <c r="CY466" s="42"/>
      <c r="CZ466" s="42"/>
      <c r="DA466" s="42"/>
      <c r="DB466" s="42"/>
      <c r="DC466" s="42"/>
      <c r="DD466" s="42"/>
      <c r="DE466" s="42"/>
      <c r="DF466" s="42"/>
      <c r="DG466" s="42"/>
      <c r="DH466" s="42"/>
      <c r="DI466" s="42"/>
      <c r="DJ466" s="42"/>
      <c r="DK466" s="42"/>
      <c r="DL466" s="42"/>
      <c r="DM466" s="42"/>
      <c r="DN466" s="42"/>
      <c r="DO466" s="42"/>
      <c r="DP466" s="42"/>
      <c r="DQ466" s="42"/>
      <c r="DR466" s="42"/>
      <c r="DS466" s="42"/>
      <c r="DT466" s="42"/>
      <c r="DU466" s="42"/>
      <c r="DV466" s="42"/>
      <c r="DW466" s="42"/>
      <c r="DX466" s="42"/>
      <c r="DY466" s="42"/>
      <c r="DZ466" s="42"/>
      <c r="EA466" s="42"/>
      <c r="EB466" s="42"/>
      <c r="EC466" s="42"/>
      <c r="ED466" s="42"/>
      <c r="EE466" s="42"/>
      <c r="EF466" s="42"/>
      <c r="EG466" s="42"/>
      <c r="EH466" s="42"/>
      <c r="EI466" s="42"/>
      <c r="EJ466" s="42"/>
      <c r="EK466" s="42"/>
      <c r="EL466" s="42"/>
      <c r="EM466" s="42"/>
      <c r="EN466" s="42"/>
      <c r="EO466" s="42"/>
      <c r="EP466" s="42"/>
      <c r="EQ466" s="42"/>
      <c r="ER466" s="42"/>
      <c r="ES466" s="42"/>
      <c r="ET466" s="42"/>
      <c r="EU466" s="42"/>
      <c r="EV466" s="42"/>
      <c r="EW466" s="42"/>
      <c r="EX466" s="42"/>
      <c r="EY466" s="42"/>
      <c r="EZ466" s="42"/>
      <c r="FA466" s="42"/>
      <c r="FB466" s="42"/>
      <c r="FC466" s="42"/>
      <c r="FD466" s="42"/>
      <c r="FE466" s="42"/>
      <c r="FF466" s="42"/>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row>
    <row r="467" spans="1:256" ht="13.8" x14ac:dyDescent="0.3">
      <c r="A467" s="42"/>
      <c r="B467" s="42"/>
      <c r="C467" s="42"/>
      <c r="D467" s="42"/>
      <c r="E467" s="42"/>
      <c r="F467" s="42"/>
      <c r="G467" s="42"/>
      <c r="H467" s="42"/>
      <c r="I467" s="42"/>
      <c r="J467" s="42"/>
      <c r="K467" s="42"/>
      <c r="L467" s="42"/>
      <c r="M467" s="42"/>
      <c r="N467" s="42"/>
      <c r="O467" s="42"/>
      <c r="P467" s="42"/>
      <c r="Q467" s="42"/>
      <c r="R467" s="42"/>
      <c r="S467" s="42"/>
      <c r="T467" s="42"/>
      <c r="U467" s="194"/>
      <c r="V467" s="42"/>
      <c r="W467" s="42"/>
      <c r="X467" s="42"/>
      <c r="Y467" s="42"/>
      <c r="Z467" s="42"/>
      <c r="AA467" s="42"/>
      <c r="AB467" s="195"/>
      <c r="AC467" s="42"/>
      <c r="AD467" s="42"/>
      <c r="AE467" s="195"/>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c r="BM467" s="42"/>
      <c r="BN467" s="42"/>
      <c r="BO467" s="42"/>
      <c r="BP467" s="42"/>
      <c r="BQ467" s="42"/>
      <c r="BR467" s="42"/>
      <c r="BS467" s="42"/>
      <c r="BT467" s="42"/>
      <c r="BU467" s="42"/>
      <c r="BV467" s="42"/>
      <c r="BW467" s="42"/>
      <c r="BX467" s="42"/>
      <c r="BY467" s="42"/>
      <c r="BZ467" s="42"/>
      <c r="CA467" s="42"/>
      <c r="CB467" s="42"/>
      <c r="CC467" s="42"/>
      <c r="CD467" s="42"/>
      <c r="CE467" s="42"/>
      <c r="CF467" s="42"/>
      <c r="CG467" s="42"/>
      <c r="CH467" s="42"/>
      <c r="CI467" s="42"/>
      <c r="CJ467" s="42"/>
      <c r="CK467" s="42"/>
      <c r="CL467" s="42"/>
      <c r="CM467" s="42"/>
      <c r="CN467" s="42"/>
      <c r="CO467" s="42"/>
      <c r="CP467" s="42"/>
      <c r="CQ467" s="42"/>
      <c r="CR467" s="42"/>
      <c r="CS467" s="42"/>
      <c r="CT467" s="42"/>
      <c r="CU467" s="42"/>
      <c r="CV467" s="42"/>
      <c r="CW467" s="42"/>
      <c r="CX467" s="42"/>
      <c r="CY467" s="42"/>
      <c r="CZ467" s="42"/>
      <c r="DA467" s="42"/>
      <c r="DB467" s="42"/>
      <c r="DC467" s="42"/>
      <c r="DD467" s="42"/>
      <c r="DE467" s="42"/>
      <c r="DF467" s="42"/>
      <c r="DG467" s="42"/>
      <c r="DH467" s="42"/>
      <c r="DI467" s="42"/>
      <c r="DJ467" s="42"/>
      <c r="DK467" s="42"/>
      <c r="DL467" s="42"/>
      <c r="DM467" s="42"/>
      <c r="DN467" s="42"/>
      <c r="DO467" s="42"/>
      <c r="DP467" s="42"/>
      <c r="DQ467" s="42"/>
      <c r="DR467" s="42"/>
      <c r="DS467" s="42"/>
      <c r="DT467" s="42"/>
      <c r="DU467" s="42"/>
      <c r="DV467" s="42"/>
      <c r="DW467" s="42"/>
      <c r="DX467" s="42"/>
      <c r="DY467" s="42"/>
      <c r="DZ467" s="42"/>
      <c r="EA467" s="42"/>
      <c r="EB467" s="42"/>
      <c r="EC467" s="42"/>
      <c r="ED467" s="42"/>
      <c r="EE467" s="42"/>
      <c r="EF467" s="42"/>
      <c r="EG467" s="42"/>
      <c r="EH467" s="42"/>
      <c r="EI467" s="42"/>
      <c r="EJ467" s="42"/>
      <c r="EK467" s="42"/>
      <c r="EL467" s="42"/>
      <c r="EM467" s="42"/>
      <c r="EN467" s="42"/>
      <c r="EO467" s="42"/>
      <c r="EP467" s="42"/>
      <c r="EQ467" s="42"/>
      <c r="ER467" s="42"/>
      <c r="ES467" s="42"/>
      <c r="ET467" s="42"/>
      <c r="EU467" s="42"/>
      <c r="EV467" s="42"/>
      <c r="EW467" s="42"/>
      <c r="EX467" s="42"/>
      <c r="EY467" s="42"/>
      <c r="EZ467" s="42"/>
      <c r="FA467" s="42"/>
      <c r="FB467" s="42"/>
      <c r="FC467" s="42"/>
      <c r="FD467" s="42"/>
      <c r="FE467" s="42"/>
      <c r="FF467" s="42"/>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row>
    <row r="468" spans="1:256" ht="13.8" x14ac:dyDescent="0.3">
      <c r="A468" s="42"/>
      <c r="B468" s="42"/>
      <c r="C468" s="42"/>
      <c r="D468" s="42"/>
      <c r="E468" s="42"/>
      <c r="F468" s="42"/>
      <c r="G468" s="42"/>
      <c r="H468" s="42"/>
      <c r="I468" s="42"/>
      <c r="J468" s="42"/>
      <c r="K468" s="42"/>
      <c r="L468" s="42"/>
      <c r="M468" s="42"/>
      <c r="N468" s="42"/>
      <c r="O468" s="42"/>
      <c r="P468" s="42"/>
      <c r="Q468" s="42"/>
      <c r="R468" s="42"/>
      <c r="S468" s="42"/>
      <c r="T468" s="42"/>
      <c r="U468" s="194"/>
      <c r="V468" s="42"/>
      <c r="W468" s="42"/>
      <c r="X468" s="42"/>
      <c r="Y468" s="42"/>
      <c r="Z468" s="42"/>
      <c r="AA468" s="42"/>
      <c r="AB468" s="195"/>
      <c r="AC468" s="42"/>
      <c r="AD468" s="42"/>
      <c r="AE468" s="195"/>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c r="BM468" s="42"/>
      <c r="BN468" s="42"/>
      <c r="BO468" s="42"/>
      <c r="BP468" s="42"/>
      <c r="BQ468" s="42"/>
      <c r="BR468" s="42"/>
      <c r="BS468" s="42"/>
      <c r="BT468" s="42"/>
      <c r="BU468" s="42"/>
      <c r="BV468" s="42"/>
      <c r="BW468" s="42"/>
      <c r="BX468" s="42"/>
      <c r="BY468" s="42"/>
      <c r="BZ468" s="42"/>
      <c r="CA468" s="42"/>
      <c r="CB468" s="42"/>
      <c r="CC468" s="42"/>
      <c r="CD468" s="42"/>
      <c r="CE468" s="42"/>
      <c r="CF468" s="42"/>
      <c r="CG468" s="42"/>
      <c r="CH468" s="42"/>
      <c r="CI468" s="42"/>
      <c r="CJ468" s="42"/>
      <c r="CK468" s="42"/>
      <c r="CL468" s="42"/>
      <c r="CM468" s="42"/>
      <c r="CN468" s="42"/>
      <c r="CO468" s="42"/>
      <c r="CP468" s="42"/>
      <c r="CQ468" s="42"/>
      <c r="CR468" s="42"/>
      <c r="CS468" s="42"/>
      <c r="CT468" s="42"/>
      <c r="CU468" s="42"/>
      <c r="CV468" s="42"/>
      <c r="CW468" s="42"/>
      <c r="CX468" s="42"/>
      <c r="CY468" s="42"/>
      <c r="CZ468" s="42"/>
      <c r="DA468" s="42"/>
      <c r="DB468" s="42"/>
      <c r="DC468" s="42"/>
      <c r="DD468" s="42"/>
      <c r="DE468" s="42"/>
      <c r="DF468" s="42"/>
      <c r="DG468" s="42"/>
      <c r="DH468" s="42"/>
      <c r="DI468" s="42"/>
      <c r="DJ468" s="42"/>
      <c r="DK468" s="42"/>
      <c r="DL468" s="42"/>
      <c r="DM468" s="42"/>
      <c r="DN468" s="42"/>
      <c r="DO468" s="42"/>
      <c r="DP468" s="42"/>
      <c r="DQ468" s="42"/>
      <c r="DR468" s="42"/>
      <c r="DS468" s="42"/>
      <c r="DT468" s="42"/>
      <c r="DU468" s="42"/>
      <c r="DV468" s="42"/>
      <c r="DW468" s="42"/>
      <c r="DX468" s="42"/>
      <c r="DY468" s="42"/>
      <c r="DZ468" s="42"/>
      <c r="EA468" s="42"/>
      <c r="EB468" s="42"/>
      <c r="EC468" s="42"/>
      <c r="ED468" s="42"/>
      <c r="EE468" s="42"/>
      <c r="EF468" s="42"/>
      <c r="EG468" s="42"/>
      <c r="EH468" s="42"/>
      <c r="EI468" s="42"/>
      <c r="EJ468" s="42"/>
      <c r="EK468" s="42"/>
      <c r="EL468" s="42"/>
      <c r="EM468" s="42"/>
      <c r="EN468" s="42"/>
      <c r="EO468" s="42"/>
      <c r="EP468" s="42"/>
      <c r="EQ468" s="42"/>
      <c r="ER468" s="42"/>
      <c r="ES468" s="42"/>
      <c r="ET468" s="42"/>
      <c r="EU468" s="42"/>
      <c r="EV468" s="42"/>
      <c r="EW468" s="42"/>
      <c r="EX468" s="42"/>
      <c r="EY468" s="42"/>
      <c r="EZ468" s="42"/>
      <c r="FA468" s="42"/>
      <c r="FB468" s="42"/>
      <c r="FC468" s="42"/>
      <c r="FD468" s="42"/>
      <c r="FE468" s="42"/>
      <c r="FF468" s="42"/>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row>
    <row r="469" spans="1:256" ht="13.8" x14ac:dyDescent="0.3">
      <c r="A469" s="42"/>
      <c r="B469" s="42"/>
      <c r="C469" s="42"/>
      <c r="D469" s="42"/>
      <c r="E469" s="42"/>
      <c r="F469" s="42"/>
      <c r="G469" s="42"/>
      <c r="H469" s="42"/>
      <c r="I469" s="42"/>
      <c r="J469" s="42"/>
      <c r="K469" s="42"/>
      <c r="L469" s="42"/>
      <c r="M469" s="42"/>
      <c r="N469" s="42"/>
      <c r="O469" s="42"/>
      <c r="P469" s="42"/>
      <c r="Q469" s="42"/>
      <c r="R469" s="42"/>
      <c r="S469" s="42"/>
      <c r="T469" s="42"/>
      <c r="U469" s="194"/>
      <c r="V469" s="42"/>
      <c r="W469" s="42"/>
      <c r="X469" s="42"/>
      <c r="Y469" s="42"/>
      <c r="Z469" s="42"/>
      <c r="AA469" s="42"/>
      <c r="AB469" s="195"/>
      <c r="AC469" s="42"/>
      <c r="AD469" s="42"/>
      <c r="AE469" s="195"/>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c r="BM469" s="42"/>
      <c r="BN469" s="42"/>
      <c r="BO469" s="42"/>
      <c r="BP469" s="42"/>
      <c r="BQ469" s="42"/>
      <c r="BR469" s="42"/>
      <c r="BS469" s="42"/>
      <c r="BT469" s="42"/>
      <c r="BU469" s="42"/>
      <c r="BV469" s="42"/>
      <c r="BW469" s="42"/>
      <c r="BX469" s="42"/>
      <c r="BY469" s="42"/>
      <c r="BZ469" s="42"/>
      <c r="CA469" s="42"/>
      <c r="CB469" s="42"/>
      <c r="CC469" s="42"/>
      <c r="CD469" s="42"/>
      <c r="CE469" s="42"/>
      <c r="CF469" s="42"/>
      <c r="CG469" s="42"/>
      <c r="CH469" s="42"/>
      <c r="CI469" s="42"/>
      <c r="CJ469" s="42"/>
      <c r="CK469" s="42"/>
      <c r="CL469" s="42"/>
      <c r="CM469" s="42"/>
      <c r="CN469" s="42"/>
      <c r="CO469" s="42"/>
      <c r="CP469" s="42"/>
      <c r="CQ469" s="42"/>
      <c r="CR469" s="42"/>
      <c r="CS469" s="42"/>
      <c r="CT469" s="42"/>
      <c r="CU469" s="42"/>
      <c r="CV469" s="42"/>
      <c r="CW469" s="42"/>
      <c r="CX469" s="42"/>
      <c r="CY469" s="42"/>
      <c r="CZ469" s="42"/>
      <c r="DA469" s="42"/>
      <c r="DB469" s="42"/>
      <c r="DC469" s="42"/>
      <c r="DD469" s="42"/>
      <c r="DE469" s="42"/>
      <c r="DF469" s="42"/>
      <c r="DG469" s="42"/>
      <c r="DH469" s="42"/>
      <c r="DI469" s="42"/>
      <c r="DJ469" s="42"/>
      <c r="DK469" s="42"/>
      <c r="DL469" s="42"/>
      <c r="DM469" s="42"/>
      <c r="DN469" s="42"/>
      <c r="DO469" s="42"/>
      <c r="DP469" s="42"/>
      <c r="DQ469" s="42"/>
      <c r="DR469" s="42"/>
      <c r="DS469" s="42"/>
      <c r="DT469" s="42"/>
      <c r="DU469" s="42"/>
      <c r="DV469" s="42"/>
      <c r="DW469" s="42"/>
      <c r="DX469" s="42"/>
      <c r="DY469" s="42"/>
      <c r="DZ469" s="42"/>
      <c r="EA469" s="42"/>
      <c r="EB469" s="42"/>
      <c r="EC469" s="42"/>
      <c r="ED469" s="42"/>
      <c r="EE469" s="42"/>
      <c r="EF469" s="42"/>
      <c r="EG469" s="42"/>
      <c r="EH469" s="42"/>
      <c r="EI469" s="42"/>
      <c r="EJ469" s="42"/>
      <c r="EK469" s="42"/>
      <c r="EL469" s="42"/>
      <c r="EM469" s="42"/>
      <c r="EN469" s="42"/>
      <c r="EO469" s="42"/>
      <c r="EP469" s="42"/>
      <c r="EQ469" s="42"/>
      <c r="ER469" s="42"/>
      <c r="ES469" s="42"/>
      <c r="ET469" s="42"/>
      <c r="EU469" s="42"/>
      <c r="EV469" s="42"/>
      <c r="EW469" s="42"/>
      <c r="EX469" s="42"/>
      <c r="EY469" s="42"/>
      <c r="EZ469" s="42"/>
      <c r="FA469" s="42"/>
      <c r="FB469" s="42"/>
      <c r="FC469" s="42"/>
      <c r="FD469" s="42"/>
      <c r="FE469" s="42"/>
      <c r="FF469" s="42"/>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row>
    <row r="470" spans="1:256" ht="13.8" x14ac:dyDescent="0.3">
      <c r="A470" s="42"/>
      <c r="B470" s="42"/>
      <c r="C470" s="42"/>
      <c r="D470" s="42"/>
      <c r="E470" s="42"/>
      <c r="F470" s="42"/>
      <c r="G470" s="42"/>
      <c r="H470" s="42"/>
      <c r="I470" s="42"/>
      <c r="J470" s="42"/>
      <c r="K470" s="42"/>
      <c r="L470" s="42"/>
      <c r="M470" s="42"/>
      <c r="N470" s="42"/>
      <c r="O470" s="42"/>
      <c r="P470" s="42"/>
      <c r="Q470" s="42"/>
      <c r="R470" s="42"/>
      <c r="S470" s="42"/>
      <c r="T470" s="42"/>
      <c r="U470" s="194"/>
      <c r="V470" s="42"/>
      <c r="W470" s="42"/>
      <c r="X470" s="42"/>
      <c r="Y470" s="42"/>
      <c r="Z470" s="42"/>
      <c r="AA470" s="42"/>
      <c r="AB470" s="195"/>
      <c r="AC470" s="42"/>
      <c r="AD470" s="42"/>
      <c r="AE470" s="195"/>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c r="BM470" s="42"/>
      <c r="BN470" s="42"/>
      <c r="BO470" s="42"/>
      <c r="BP470" s="42"/>
      <c r="BQ470" s="42"/>
      <c r="BR470" s="42"/>
      <c r="BS470" s="42"/>
      <c r="BT470" s="42"/>
      <c r="BU470" s="42"/>
      <c r="BV470" s="42"/>
      <c r="BW470" s="42"/>
      <c r="BX470" s="42"/>
      <c r="BY470" s="42"/>
      <c r="BZ470" s="42"/>
      <c r="CA470" s="42"/>
      <c r="CB470" s="42"/>
      <c r="CC470" s="42"/>
      <c r="CD470" s="42"/>
      <c r="CE470" s="42"/>
      <c r="CF470" s="42"/>
      <c r="CG470" s="42"/>
      <c r="CH470" s="42"/>
      <c r="CI470" s="42"/>
      <c r="CJ470" s="42"/>
      <c r="CK470" s="42"/>
      <c r="CL470" s="42"/>
      <c r="CM470" s="42"/>
      <c r="CN470" s="42"/>
      <c r="CO470" s="42"/>
      <c r="CP470" s="42"/>
      <c r="CQ470" s="42"/>
      <c r="CR470" s="42"/>
      <c r="CS470" s="42"/>
      <c r="CT470" s="42"/>
      <c r="CU470" s="42"/>
      <c r="CV470" s="42"/>
      <c r="CW470" s="42"/>
      <c r="CX470" s="42"/>
      <c r="CY470" s="42"/>
      <c r="CZ470" s="42"/>
      <c r="DA470" s="42"/>
      <c r="DB470" s="42"/>
      <c r="DC470" s="42"/>
      <c r="DD470" s="42"/>
      <c r="DE470" s="42"/>
      <c r="DF470" s="42"/>
      <c r="DG470" s="42"/>
      <c r="DH470" s="42"/>
      <c r="DI470" s="42"/>
      <c r="DJ470" s="42"/>
      <c r="DK470" s="42"/>
      <c r="DL470" s="42"/>
      <c r="DM470" s="42"/>
      <c r="DN470" s="42"/>
      <c r="DO470" s="42"/>
      <c r="DP470" s="42"/>
      <c r="DQ470" s="42"/>
      <c r="DR470" s="42"/>
      <c r="DS470" s="42"/>
      <c r="DT470" s="42"/>
      <c r="DU470" s="42"/>
      <c r="DV470" s="42"/>
      <c r="DW470" s="42"/>
      <c r="DX470" s="42"/>
      <c r="DY470" s="42"/>
      <c r="DZ470" s="42"/>
      <c r="EA470" s="42"/>
      <c r="EB470" s="42"/>
      <c r="EC470" s="42"/>
      <c r="ED470" s="42"/>
      <c r="EE470" s="42"/>
      <c r="EF470" s="42"/>
      <c r="EG470" s="42"/>
      <c r="EH470" s="42"/>
      <c r="EI470" s="42"/>
      <c r="EJ470" s="42"/>
      <c r="EK470" s="42"/>
      <c r="EL470" s="42"/>
      <c r="EM470" s="42"/>
      <c r="EN470" s="42"/>
      <c r="EO470" s="42"/>
      <c r="EP470" s="42"/>
      <c r="EQ470" s="42"/>
      <c r="ER470" s="42"/>
      <c r="ES470" s="42"/>
      <c r="ET470" s="42"/>
      <c r="EU470" s="42"/>
      <c r="EV470" s="42"/>
      <c r="EW470" s="42"/>
      <c r="EX470" s="42"/>
      <c r="EY470" s="42"/>
      <c r="EZ470" s="42"/>
      <c r="FA470" s="42"/>
      <c r="FB470" s="42"/>
      <c r="FC470" s="42"/>
      <c r="FD470" s="42"/>
      <c r="FE470" s="42"/>
      <c r="FF470" s="42"/>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row>
    <row r="471" spans="1:256" ht="13.8" x14ac:dyDescent="0.3">
      <c r="A471" s="42"/>
      <c r="B471" s="42"/>
      <c r="C471" s="42"/>
      <c r="D471" s="42"/>
      <c r="E471" s="42"/>
      <c r="F471" s="42"/>
      <c r="G471" s="42"/>
      <c r="H471" s="42"/>
      <c r="I471" s="42"/>
      <c r="J471" s="42"/>
      <c r="K471" s="42"/>
      <c r="L471" s="42"/>
      <c r="M471" s="42"/>
      <c r="N471" s="42"/>
      <c r="O471" s="42"/>
      <c r="P471" s="42"/>
      <c r="Q471" s="42"/>
      <c r="R471" s="42"/>
      <c r="S471" s="42"/>
      <c r="T471" s="42"/>
      <c r="U471" s="194"/>
      <c r="V471" s="42"/>
      <c r="W471" s="42"/>
      <c r="X471" s="42"/>
      <c r="Y471" s="42"/>
      <c r="Z471" s="42"/>
      <c r="AA471" s="42"/>
      <c r="AB471" s="195"/>
      <c r="AC471" s="42"/>
      <c r="AD471" s="42"/>
      <c r="AE471" s="195"/>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c r="BM471" s="42"/>
      <c r="BN471" s="42"/>
      <c r="BO471" s="42"/>
      <c r="BP471" s="42"/>
      <c r="BQ471" s="42"/>
      <c r="BR471" s="42"/>
      <c r="BS471" s="42"/>
      <c r="BT471" s="42"/>
      <c r="BU471" s="42"/>
      <c r="BV471" s="42"/>
      <c r="BW471" s="42"/>
      <c r="BX471" s="42"/>
      <c r="BY471" s="42"/>
      <c r="BZ471" s="42"/>
      <c r="CA471" s="42"/>
      <c r="CB471" s="42"/>
      <c r="CC471" s="42"/>
      <c r="CD471" s="42"/>
      <c r="CE471" s="42"/>
      <c r="CF471" s="42"/>
      <c r="CG471" s="42"/>
      <c r="CH471" s="42"/>
      <c r="CI471" s="42"/>
      <c r="CJ471" s="42"/>
      <c r="CK471" s="42"/>
      <c r="CL471" s="42"/>
      <c r="CM471" s="42"/>
      <c r="CN471" s="42"/>
      <c r="CO471" s="42"/>
      <c r="CP471" s="42"/>
      <c r="CQ471" s="42"/>
      <c r="CR471" s="42"/>
      <c r="CS471" s="42"/>
      <c r="CT471" s="42"/>
      <c r="CU471" s="42"/>
      <c r="CV471" s="42"/>
      <c r="CW471" s="42"/>
      <c r="CX471" s="42"/>
      <c r="CY471" s="42"/>
      <c r="CZ471" s="42"/>
      <c r="DA471" s="42"/>
      <c r="DB471" s="42"/>
      <c r="DC471" s="42"/>
      <c r="DD471" s="42"/>
      <c r="DE471" s="42"/>
      <c r="DF471" s="42"/>
      <c r="DG471" s="42"/>
      <c r="DH471" s="42"/>
      <c r="DI471" s="42"/>
      <c r="DJ471" s="42"/>
      <c r="DK471" s="42"/>
      <c r="DL471" s="42"/>
      <c r="DM471" s="42"/>
      <c r="DN471" s="42"/>
      <c r="DO471" s="42"/>
      <c r="DP471" s="42"/>
      <c r="DQ471" s="42"/>
      <c r="DR471" s="42"/>
      <c r="DS471" s="42"/>
      <c r="DT471" s="42"/>
      <c r="DU471" s="42"/>
      <c r="DV471" s="42"/>
      <c r="DW471" s="42"/>
      <c r="DX471" s="42"/>
      <c r="DY471" s="42"/>
      <c r="DZ471" s="42"/>
      <c r="EA471" s="42"/>
      <c r="EB471" s="42"/>
      <c r="EC471" s="42"/>
      <c r="ED471" s="42"/>
      <c r="EE471" s="42"/>
      <c r="EF471" s="42"/>
      <c r="EG471" s="42"/>
      <c r="EH471" s="42"/>
      <c r="EI471" s="42"/>
      <c r="EJ471" s="42"/>
      <c r="EK471" s="42"/>
      <c r="EL471" s="42"/>
      <c r="EM471" s="42"/>
      <c r="EN471" s="42"/>
      <c r="EO471" s="42"/>
      <c r="EP471" s="42"/>
      <c r="EQ471" s="42"/>
      <c r="ER471" s="42"/>
      <c r="ES471" s="42"/>
      <c r="ET471" s="42"/>
      <c r="EU471" s="42"/>
      <c r="EV471" s="42"/>
      <c r="EW471" s="42"/>
      <c r="EX471" s="42"/>
      <c r="EY471" s="42"/>
      <c r="EZ471" s="42"/>
      <c r="FA471" s="42"/>
      <c r="FB471" s="42"/>
      <c r="FC471" s="42"/>
      <c r="FD471" s="42"/>
      <c r="FE471" s="42"/>
      <c r="FF471" s="42"/>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row>
    <row r="472" spans="1:256" ht="13.8" x14ac:dyDescent="0.3">
      <c r="A472" s="42"/>
      <c r="B472" s="42"/>
      <c r="C472" s="42"/>
      <c r="D472" s="42"/>
      <c r="E472" s="42"/>
      <c r="F472" s="42"/>
      <c r="G472" s="42"/>
      <c r="H472" s="42"/>
      <c r="I472" s="42"/>
      <c r="J472" s="42"/>
      <c r="K472" s="42"/>
      <c r="L472" s="42"/>
      <c r="M472" s="42"/>
      <c r="N472" s="42"/>
      <c r="O472" s="42"/>
      <c r="P472" s="42"/>
      <c r="Q472" s="42"/>
      <c r="R472" s="42"/>
      <c r="S472" s="42"/>
      <c r="T472" s="42"/>
      <c r="U472" s="194"/>
      <c r="V472" s="42"/>
      <c r="W472" s="42"/>
      <c r="X472" s="42"/>
      <c r="Y472" s="42"/>
      <c r="Z472" s="42"/>
      <c r="AA472" s="42"/>
      <c r="AB472" s="195"/>
      <c r="AC472" s="42"/>
      <c r="AD472" s="42"/>
      <c r="AE472" s="195"/>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c r="BM472" s="42"/>
      <c r="BN472" s="42"/>
      <c r="BO472" s="42"/>
      <c r="BP472" s="42"/>
      <c r="BQ472" s="42"/>
      <c r="BR472" s="42"/>
      <c r="BS472" s="42"/>
      <c r="BT472" s="42"/>
      <c r="BU472" s="42"/>
      <c r="BV472" s="42"/>
      <c r="BW472" s="42"/>
      <c r="BX472" s="42"/>
      <c r="BY472" s="42"/>
      <c r="BZ472" s="42"/>
      <c r="CA472" s="42"/>
      <c r="CB472" s="42"/>
      <c r="CC472" s="42"/>
      <c r="CD472" s="42"/>
      <c r="CE472" s="42"/>
      <c r="CF472" s="42"/>
      <c r="CG472" s="42"/>
      <c r="CH472" s="42"/>
      <c r="CI472" s="42"/>
      <c r="CJ472" s="42"/>
      <c r="CK472" s="42"/>
      <c r="CL472" s="42"/>
      <c r="CM472" s="42"/>
      <c r="CN472" s="42"/>
      <c r="CO472" s="42"/>
      <c r="CP472" s="42"/>
      <c r="CQ472" s="42"/>
      <c r="CR472" s="42"/>
      <c r="CS472" s="42"/>
      <c r="CT472" s="42"/>
      <c r="CU472" s="42"/>
      <c r="CV472" s="42"/>
      <c r="CW472" s="42"/>
      <c r="CX472" s="42"/>
      <c r="CY472" s="42"/>
      <c r="CZ472" s="42"/>
      <c r="DA472" s="42"/>
      <c r="DB472" s="42"/>
      <c r="DC472" s="42"/>
      <c r="DD472" s="42"/>
      <c r="DE472" s="42"/>
      <c r="DF472" s="42"/>
      <c r="DG472" s="42"/>
      <c r="DH472" s="42"/>
      <c r="DI472" s="42"/>
      <c r="DJ472" s="42"/>
      <c r="DK472" s="42"/>
      <c r="DL472" s="42"/>
      <c r="DM472" s="42"/>
      <c r="DN472" s="42"/>
      <c r="DO472" s="42"/>
      <c r="DP472" s="42"/>
      <c r="DQ472" s="42"/>
      <c r="DR472" s="42"/>
      <c r="DS472" s="42"/>
      <c r="DT472" s="42"/>
      <c r="DU472" s="42"/>
      <c r="DV472" s="42"/>
      <c r="DW472" s="42"/>
      <c r="DX472" s="42"/>
      <c r="DY472" s="42"/>
      <c r="DZ472" s="42"/>
      <c r="EA472" s="42"/>
      <c r="EB472" s="42"/>
      <c r="EC472" s="42"/>
      <c r="ED472" s="42"/>
      <c r="EE472" s="42"/>
      <c r="EF472" s="42"/>
      <c r="EG472" s="42"/>
      <c r="EH472" s="42"/>
      <c r="EI472" s="42"/>
      <c r="EJ472" s="42"/>
      <c r="EK472" s="42"/>
      <c r="EL472" s="42"/>
      <c r="EM472" s="42"/>
      <c r="EN472" s="42"/>
      <c r="EO472" s="42"/>
      <c r="EP472" s="42"/>
      <c r="EQ472" s="42"/>
      <c r="ER472" s="42"/>
      <c r="ES472" s="42"/>
      <c r="ET472" s="42"/>
      <c r="EU472" s="42"/>
      <c r="EV472" s="42"/>
      <c r="EW472" s="42"/>
      <c r="EX472" s="42"/>
      <c r="EY472" s="42"/>
      <c r="EZ472" s="42"/>
      <c r="FA472" s="42"/>
      <c r="FB472" s="42"/>
      <c r="FC472" s="42"/>
      <c r="FD472" s="42"/>
      <c r="FE472" s="42"/>
      <c r="FF472" s="42"/>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row>
    <row r="473" spans="1:256" ht="13.8" x14ac:dyDescent="0.3">
      <c r="A473" s="42"/>
      <c r="B473" s="42"/>
      <c r="C473" s="42"/>
      <c r="D473" s="42"/>
      <c r="E473" s="42"/>
      <c r="F473" s="42"/>
      <c r="G473" s="42"/>
      <c r="H473" s="42"/>
      <c r="I473" s="42"/>
      <c r="J473" s="42"/>
      <c r="K473" s="42"/>
      <c r="L473" s="42"/>
      <c r="M473" s="42"/>
      <c r="N473" s="42"/>
      <c r="O473" s="42"/>
      <c r="P473" s="42"/>
      <c r="Q473" s="42"/>
      <c r="R473" s="42"/>
      <c r="S473" s="42"/>
      <c r="T473" s="42"/>
      <c r="U473" s="194"/>
      <c r="V473" s="42"/>
      <c r="W473" s="42"/>
      <c r="X473" s="42"/>
      <c r="Y473" s="42"/>
      <c r="Z473" s="42"/>
      <c r="AA473" s="42"/>
      <c r="AB473" s="195"/>
      <c r="AC473" s="42"/>
      <c r="AD473" s="42"/>
      <c r="AE473" s="195"/>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c r="BM473" s="42"/>
      <c r="BN473" s="42"/>
      <c r="BO473" s="42"/>
      <c r="BP473" s="42"/>
      <c r="BQ473" s="42"/>
      <c r="BR473" s="42"/>
      <c r="BS473" s="42"/>
      <c r="BT473" s="42"/>
      <c r="BU473" s="42"/>
      <c r="BV473" s="42"/>
      <c r="BW473" s="42"/>
      <c r="BX473" s="42"/>
      <c r="BY473" s="42"/>
      <c r="BZ473" s="42"/>
      <c r="CA473" s="42"/>
      <c r="CB473" s="42"/>
      <c r="CC473" s="42"/>
      <c r="CD473" s="42"/>
      <c r="CE473" s="42"/>
      <c r="CF473" s="42"/>
      <c r="CG473" s="42"/>
      <c r="CH473" s="42"/>
      <c r="CI473" s="42"/>
      <c r="CJ473" s="42"/>
      <c r="CK473" s="42"/>
      <c r="CL473" s="42"/>
      <c r="CM473" s="42"/>
      <c r="CN473" s="42"/>
      <c r="CO473" s="42"/>
      <c r="CP473" s="42"/>
      <c r="CQ473" s="42"/>
      <c r="CR473" s="42"/>
      <c r="CS473" s="42"/>
      <c r="CT473" s="42"/>
      <c r="CU473" s="42"/>
      <c r="CV473" s="42"/>
      <c r="CW473" s="42"/>
      <c r="CX473" s="42"/>
      <c r="CY473" s="42"/>
      <c r="CZ473" s="42"/>
      <c r="DA473" s="42"/>
      <c r="DB473" s="42"/>
      <c r="DC473" s="42"/>
      <c r="DD473" s="42"/>
      <c r="DE473" s="42"/>
      <c r="DF473" s="42"/>
      <c r="DG473" s="42"/>
      <c r="DH473" s="42"/>
      <c r="DI473" s="42"/>
      <c r="DJ473" s="42"/>
      <c r="DK473" s="42"/>
      <c r="DL473" s="42"/>
      <c r="DM473" s="42"/>
      <c r="DN473" s="42"/>
      <c r="DO473" s="42"/>
      <c r="DP473" s="42"/>
      <c r="DQ473" s="42"/>
      <c r="DR473" s="42"/>
      <c r="DS473" s="42"/>
      <c r="DT473" s="42"/>
      <c r="DU473" s="42"/>
      <c r="DV473" s="42"/>
      <c r="DW473" s="42"/>
      <c r="DX473" s="42"/>
      <c r="DY473" s="42"/>
      <c r="DZ473" s="42"/>
      <c r="EA473" s="42"/>
      <c r="EB473" s="42"/>
      <c r="EC473" s="42"/>
      <c r="ED473" s="42"/>
      <c r="EE473" s="42"/>
      <c r="EF473" s="42"/>
      <c r="EG473" s="42"/>
      <c r="EH473" s="42"/>
      <c r="EI473" s="42"/>
      <c r="EJ473" s="42"/>
      <c r="EK473" s="42"/>
      <c r="EL473" s="42"/>
      <c r="EM473" s="42"/>
      <c r="EN473" s="42"/>
      <c r="EO473" s="42"/>
      <c r="EP473" s="42"/>
      <c r="EQ473" s="42"/>
      <c r="ER473" s="42"/>
      <c r="ES473" s="42"/>
      <c r="ET473" s="42"/>
      <c r="EU473" s="42"/>
      <c r="EV473" s="42"/>
      <c r="EW473" s="42"/>
      <c r="EX473" s="42"/>
      <c r="EY473" s="42"/>
      <c r="EZ473" s="42"/>
      <c r="FA473" s="42"/>
      <c r="FB473" s="42"/>
      <c r="FC473" s="42"/>
      <c r="FD473" s="42"/>
      <c r="FE473" s="42"/>
      <c r="FF473" s="42"/>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row>
    <row r="474" spans="1:256" ht="13.8" x14ac:dyDescent="0.3">
      <c r="A474" s="42"/>
      <c r="B474" s="42"/>
      <c r="C474" s="42"/>
      <c r="D474" s="42"/>
      <c r="E474" s="42"/>
      <c r="F474" s="42"/>
      <c r="G474" s="42"/>
      <c r="H474" s="42"/>
      <c r="I474" s="42"/>
      <c r="J474" s="42"/>
      <c r="K474" s="42"/>
      <c r="L474" s="42"/>
      <c r="M474" s="42"/>
      <c r="N474" s="42"/>
      <c r="O474" s="42"/>
      <c r="P474" s="42"/>
      <c r="Q474" s="42"/>
      <c r="R474" s="42"/>
      <c r="S474" s="42"/>
      <c r="T474" s="42"/>
      <c r="U474" s="194"/>
      <c r="V474" s="42"/>
      <c r="W474" s="42"/>
      <c r="X474" s="42"/>
      <c r="Y474" s="42"/>
      <c r="Z474" s="42"/>
      <c r="AA474" s="42"/>
      <c r="AB474" s="195"/>
      <c r="AC474" s="42"/>
      <c r="AD474" s="42"/>
      <c r="AE474" s="195"/>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c r="BM474" s="42"/>
      <c r="BN474" s="42"/>
      <c r="BO474" s="42"/>
      <c r="BP474" s="42"/>
      <c r="BQ474" s="42"/>
      <c r="BR474" s="42"/>
      <c r="BS474" s="42"/>
      <c r="BT474" s="42"/>
      <c r="BU474" s="42"/>
      <c r="BV474" s="42"/>
      <c r="BW474" s="42"/>
      <c r="BX474" s="42"/>
      <c r="BY474" s="42"/>
      <c r="BZ474" s="42"/>
      <c r="CA474" s="42"/>
      <c r="CB474" s="42"/>
      <c r="CC474" s="42"/>
      <c r="CD474" s="42"/>
      <c r="CE474" s="42"/>
      <c r="CF474" s="42"/>
      <c r="CG474" s="42"/>
      <c r="CH474" s="42"/>
      <c r="CI474" s="42"/>
      <c r="CJ474" s="42"/>
      <c r="CK474" s="42"/>
      <c r="CL474" s="42"/>
      <c r="CM474" s="42"/>
      <c r="CN474" s="42"/>
      <c r="CO474" s="42"/>
      <c r="CP474" s="42"/>
      <c r="CQ474" s="42"/>
      <c r="CR474" s="42"/>
      <c r="CS474" s="42"/>
      <c r="CT474" s="42"/>
      <c r="CU474" s="42"/>
      <c r="CV474" s="42"/>
      <c r="CW474" s="42"/>
      <c r="CX474" s="42"/>
      <c r="CY474" s="42"/>
      <c r="CZ474" s="42"/>
      <c r="DA474" s="42"/>
      <c r="DB474" s="42"/>
      <c r="DC474" s="42"/>
      <c r="DD474" s="42"/>
      <c r="DE474" s="42"/>
      <c r="DF474" s="42"/>
      <c r="DG474" s="42"/>
      <c r="DH474" s="42"/>
      <c r="DI474" s="42"/>
      <c r="DJ474" s="42"/>
      <c r="DK474" s="42"/>
      <c r="DL474" s="42"/>
      <c r="DM474" s="42"/>
      <c r="DN474" s="42"/>
      <c r="DO474" s="42"/>
      <c r="DP474" s="42"/>
      <c r="DQ474" s="42"/>
      <c r="DR474" s="42"/>
      <c r="DS474" s="42"/>
      <c r="DT474" s="42"/>
      <c r="DU474" s="42"/>
      <c r="DV474" s="42"/>
      <c r="DW474" s="42"/>
      <c r="DX474" s="42"/>
      <c r="DY474" s="42"/>
      <c r="DZ474" s="42"/>
      <c r="EA474" s="42"/>
      <c r="EB474" s="42"/>
      <c r="EC474" s="42"/>
      <c r="ED474" s="42"/>
      <c r="EE474" s="42"/>
      <c r="EF474" s="42"/>
      <c r="EG474" s="42"/>
      <c r="EH474" s="42"/>
      <c r="EI474" s="42"/>
      <c r="EJ474" s="42"/>
      <c r="EK474" s="42"/>
      <c r="EL474" s="42"/>
      <c r="EM474" s="42"/>
      <c r="EN474" s="42"/>
      <c r="EO474" s="42"/>
      <c r="EP474" s="42"/>
      <c r="EQ474" s="42"/>
      <c r="ER474" s="42"/>
      <c r="ES474" s="42"/>
      <c r="ET474" s="42"/>
      <c r="EU474" s="42"/>
      <c r="EV474" s="42"/>
      <c r="EW474" s="42"/>
      <c r="EX474" s="42"/>
      <c r="EY474" s="42"/>
      <c r="EZ474" s="42"/>
      <c r="FA474" s="42"/>
      <c r="FB474" s="42"/>
      <c r="FC474" s="42"/>
      <c r="FD474" s="42"/>
      <c r="FE474" s="42"/>
      <c r="FF474" s="42"/>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row>
    <row r="475" spans="1:256" ht="13.8" x14ac:dyDescent="0.3">
      <c r="A475" s="42"/>
      <c r="B475" s="42"/>
      <c r="C475" s="42"/>
      <c r="D475" s="42"/>
      <c r="E475" s="42"/>
      <c r="F475" s="42"/>
      <c r="G475" s="42"/>
      <c r="H475" s="42"/>
      <c r="I475" s="42"/>
      <c r="J475" s="42"/>
      <c r="K475" s="42"/>
      <c r="L475" s="42"/>
      <c r="M475" s="42"/>
      <c r="N475" s="42"/>
      <c r="O475" s="42"/>
      <c r="P475" s="42"/>
      <c r="Q475" s="42"/>
      <c r="R475" s="42"/>
      <c r="S475" s="42"/>
      <c r="T475" s="42"/>
      <c r="U475" s="194"/>
      <c r="V475" s="42"/>
      <c r="W475" s="42"/>
      <c r="X475" s="42"/>
      <c r="Y475" s="42"/>
      <c r="Z475" s="42"/>
      <c r="AA475" s="42"/>
      <c r="AB475" s="195"/>
      <c r="AC475" s="42"/>
      <c r="AD475" s="42"/>
      <c r="AE475" s="195"/>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c r="BM475" s="42"/>
      <c r="BN475" s="42"/>
      <c r="BO475" s="42"/>
      <c r="BP475" s="42"/>
      <c r="BQ475" s="42"/>
      <c r="BR475" s="42"/>
      <c r="BS475" s="42"/>
      <c r="BT475" s="42"/>
      <c r="BU475" s="42"/>
      <c r="BV475" s="42"/>
      <c r="BW475" s="42"/>
      <c r="BX475" s="42"/>
      <c r="BY475" s="42"/>
      <c r="BZ475" s="42"/>
      <c r="CA475" s="42"/>
      <c r="CB475" s="42"/>
      <c r="CC475" s="42"/>
      <c r="CD475" s="42"/>
      <c r="CE475" s="42"/>
      <c r="CF475" s="42"/>
      <c r="CG475" s="42"/>
      <c r="CH475" s="42"/>
      <c r="CI475" s="42"/>
      <c r="CJ475" s="42"/>
      <c r="CK475" s="42"/>
      <c r="CL475" s="42"/>
      <c r="CM475" s="42"/>
      <c r="CN475" s="42"/>
      <c r="CO475" s="42"/>
      <c r="CP475" s="42"/>
      <c r="CQ475" s="42"/>
      <c r="CR475" s="42"/>
      <c r="CS475" s="42"/>
      <c r="CT475" s="42"/>
      <c r="CU475" s="42"/>
      <c r="CV475" s="42"/>
      <c r="CW475" s="42"/>
      <c r="CX475" s="42"/>
      <c r="CY475" s="42"/>
      <c r="CZ475" s="42"/>
      <c r="DA475" s="42"/>
      <c r="DB475" s="42"/>
      <c r="DC475" s="42"/>
      <c r="DD475" s="42"/>
      <c r="DE475" s="42"/>
      <c r="DF475" s="42"/>
      <c r="DG475" s="42"/>
      <c r="DH475" s="42"/>
      <c r="DI475" s="42"/>
      <c r="DJ475" s="42"/>
      <c r="DK475" s="42"/>
      <c r="DL475" s="42"/>
      <c r="DM475" s="42"/>
      <c r="DN475" s="42"/>
      <c r="DO475" s="42"/>
      <c r="DP475" s="42"/>
      <c r="DQ475" s="42"/>
      <c r="DR475" s="42"/>
      <c r="DS475" s="42"/>
      <c r="DT475" s="42"/>
      <c r="DU475" s="42"/>
      <c r="DV475" s="42"/>
      <c r="DW475" s="42"/>
      <c r="DX475" s="42"/>
      <c r="DY475" s="42"/>
      <c r="DZ475" s="42"/>
      <c r="EA475" s="42"/>
      <c r="EB475" s="42"/>
      <c r="EC475" s="42"/>
      <c r="ED475" s="42"/>
      <c r="EE475" s="42"/>
      <c r="EF475" s="42"/>
      <c r="EG475" s="42"/>
      <c r="EH475" s="42"/>
      <c r="EI475" s="42"/>
      <c r="EJ475" s="42"/>
      <c r="EK475" s="42"/>
      <c r="EL475" s="42"/>
      <c r="EM475" s="42"/>
      <c r="EN475" s="42"/>
      <c r="EO475" s="42"/>
      <c r="EP475" s="42"/>
      <c r="EQ475" s="42"/>
      <c r="ER475" s="42"/>
      <c r="ES475" s="42"/>
      <c r="ET475" s="42"/>
      <c r="EU475" s="42"/>
      <c r="EV475" s="42"/>
      <c r="EW475" s="42"/>
      <c r="EX475" s="42"/>
      <c r="EY475" s="42"/>
      <c r="EZ475" s="42"/>
      <c r="FA475" s="42"/>
      <c r="FB475" s="42"/>
      <c r="FC475" s="42"/>
      <c r="FD475" s="42"/>
      <c r="FE475" s="42"/>
      <c r="FF475" s="42"/>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row>
    <row r="476" spans="1:256" ht="13.8" x14ac:dyDescent="0.3">
      <c r="A476" s="42"/>
      <c r="B476" s="42"/>
      <c r="C476" s="42"/>
      <c r="D476" s="42"/>
      <c r="E476" s="42"/>
      <c r="F476" s="42"/>
      <c r="G476" s="42"/>
      <c r="H476" s="42"/>
      <c r="I476" s="42"/>
      <c r="J476" s="42"/>
      <c r="K476" s="42"/>
      <c r="L476" s="42"/>
      <c r="M476" s="42"/>
      <c r="N476" s="42"/>
      <c r="O476" s="42"/>
      <c r="P476" s="42"/>
      <c r="Q476" s="42"/>
      <c r="R476" s="42"/>
      <c r="S476" s="42"/>
      <c r="T476" s="42"/>
      <c r="U476" s="194"/>
      <c r="V476" s="42"/>
      <c r="W476" s="42"/>
      <c r="X476" s="42"/>
      <c r="Y476" s="42"/>
      <c r="Z476" s="42"/>
      <c r="AA476" s="42"/>
      <c r="AB476" s="195"/>
      <c r="AC476" s="42"/>
      <c r="AD476" s="42"/>
      <c r="AE476" s="195"/>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c r="BM476" s="42"/>
      <c r="BN476" s="42"/>
      <c r="BO476" s="42"/>
      <c r="BP476" s="42"/>
      <c r="BQ476" s="42"/>
      <c r="BR476" s="42"/>
      <c r="BS476" s="42"/>
      <c r="BT476" s="42"/>
      <c r="BU476" s="42"/>
      <c r="BV476" s="42"/>
      <c r="BW476" s="42"/>
      <c r="BX476" s="42"/>
      <c r="BY476" s="42"/>
      <c r="BZ476" s="42"/>
      <c r="CA476" s="42"/>
      <c r="CB476" s="42"/>
      <c r="CC476" s="42"/>
      <c r="CD476" s="42"/>
      <c r="CE476" s="42"/>
      <c r="CF476" s="42"/>
      <c r="CG476" s="42"/>
      <c r="CH476" s="42"/>
      <c r="CI476" s="42"/>
      <c r="CJ476" s="42"/>
      <c r="CK476" s="42"/>
      <c r="CL476" s="42"/>
      <c r="CM476" s="42"/>
      <c r="CN476" s="42"/>
      <c r="CO476" s="42"/>
      <c r="CP476" s="42"/>
      <c r="CQ476" s="42"/>
      <c r="CR476" s="42"/>
      <c r="CS476" s="42"/>
      <c r="CT476" s="42"/>
      <c r="CU476" s="42"/>
      <c r="CV476" s="42"/>
      <c r="CW476" s="42"/>
      <c r="CX476" s="42"/>
      <c r="CY476" s="42"/>
      <c r="CZ476" s="42"/>
      <c r="DA476" s="42"/>
      <c r="DB476" s="42"/>
      <c r="DC476" s="42"/>
      <c r="DD476" s="42"/>
      <c r="DE476" s="42"/>
      <c r="DF476" s="42"/>
      <c r="DG476" s="42"/>
      <c r="DH476" s="42"/>
      <c r="DI476" s="42"/>
      <c r="DJ476" s="42"/>
      <c r="DK476" s="42"/>
      <c r="DL476" s="42"/>
      <c r="DM476" s="42"/>
      <c r="DN476" s="42"/>
      <c r="DO476" s="42"/>
      <c r="DP476" s="42"/>
      <c r="DQ476" s="42"/>
      <c r="DR476" s="42"/>
      <c r="DS476" s="42"/>
      <c r="DT476" s="42"/>
      <c r="DU476" s="42"/>
      <c r="DV476" s="42"/>
      <c r="DW476" s="42"/>
      <c r="DX476" s="42"/>
      <c r="DY476" s="42"/>
      <c r="DZ476" s="42"/>
      <c r="EA476" s="42"/>
      <c r="EB476" s="42"/>
      <c r="EC476" s="42"/>
      <c r="ED476" s="42"/>
      <c r="EE476" s="42"/>
      <c r="EF476" s="42"/>
      <c r="EG476" s="42"/>
      <c r="EH476" s="42"/>
      <c r="EI476" s="42"/>
      <c r="EJ476" s="42"/>
      <c r="EK476" s="42"/>
      <c r="EL476" s="42"/>
      <c r="EM476" s="42"/>
      <c r="EN476" s="42"/>
      <c r="EO476" s="42"/>
      <c r="EP476" s="42"/>
      <c r="EQ476" s="42"/>
      <c r="ER476" s="42"/>
      <c r="ES476" s="42"/>
      <c r="ET476" s="42"/>
      <c r="EU476" s="42"/>
      <c r="EV476" s="42"/>
      <c r="EW476" s="42"/>
      <c r="EX476" s="42"/>
      <c r="EY476" s="42"/>
      <c r="EZ476" s="42"/>
      <c r="FA476" s="42"/>
      <c r="FB476" s="42"/>
      <c r="FC476" s="42"/>
      <c r="FD476" s="42"/>
      <c r="FE476" s="42"/>
      <c r="FF476" s="42"/>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row>
    <row r="477" spans="1:256" ht="13.8" x14ac:dyDescent="0.3">
      <c r="A477" s="42"/>
      <c r="B477" s="42"/>
      <c r="C477" s="42"/>
      <c r="D477" s="42"/>
      <c r="E477" s="42"/>
      <c r="F477" s="42"/>
      <c r="G477" s="42"/>
      <c r="H477" s="42"/>
      <c r="I477" s="42"/>
      <c r="J477" s="42"/>
      <c r="K477" s="42"/>
      <c r="L477" s="42"/>
      <c r="M477" s="42"/>
      <c r="N477" s="42"/>
      <c r="O477" s="42"/>
      <c r="P477" s="42"/>
      <c r="Q477" s="42"/>
      <c r="R477" s="42"/>
      <c r="S477" s="42"/>
      <c r="T477" s="42"/>
      <c r="U477" s="194"/>
      <c r="V477" s="42"/>
      <c r="W477" s="42"/>
      <c r="X477" s="42"/>
      <c r="Y477" s="42"/>
      <c r="Z477" s="42"/>
      <c r="AA477" s="42"/>
      <c r="AB477" s="195"/>
      <c r="AC477" s="42"/>
      <c r="AD477" s="42"/>
      <c r="AE477" s="195"/>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c r="BM477" s="42"/>
      <c r="BN477" s="42"/>
      <c r="BO477" s="42"/>
      <c r="BP477" s="42"/>
      <c r="BQ477" s="42"/>
      <c r="BR477" s="42"/>
      <c r="BS477" s="42"/>
      <c r="BT477" s="42"/>
      <c r="BU477" s="42"/>
      <c r="BV477" s="42"/>
      <c r="BW477" s="42"/>
      <c r="BX477" s="42"/>
      <c r="BY477" s="42"/>
      <c r="BZ477" s="42"/>
      <c r="CA477" s="42"/>
      <c r="CB477" s="42"/>
      <c r="CC477" s="42"/>
      <c r="CD477" s="42"/>
      <c r="CE477" s="42"/>
      <c r="CF477" s="42"/>
      <c r="CG477" s="42"/>
      <c r="CH477" s="42"/>
      <c r="CI477" s="42"/>
      <c r="CJ477" s="42"/>
      <c r="CK477" s="42"/>
      <c r="CL477" s="42"/>
      <c r="CM477" s="42"/>
      <c r="CN477" s="42"/>
      <c r="CO477" s="42"/>
      <c r="CP477" s="42"/>
      <c r="CQ477" s="42"/>
      <c r="CR477" s="42"/>
      <c r="CS477" s="42"/>
      <c r="CT477" s="42"/>
      <c r="CU477" s="42"/>
      <c r="CV477" s="42"/>
      <c r="CW477" s="42"/>
      <c r="CX477" s="42"/>
      <c r="CY477" s="42"/>
      <c r="CZ477" s="42"/>
      <c r="DA477" s="42"/>
      <c r="DB477" s="42"/>
      <c r="DC477" s="42"/>
      <c r="DD477" s="42"/>
      <c r="DE477" s="42"/>
      <c r="DF477" s="42"/>
      <c r="DG477" s="42"/>
      <c r="DH477" s="42"/>
      <c r="DI477" s="42"/>
      <c r="DJ477" s="42"/>
      <c r="DK477" s="42"/>
      <c r="DL477" s="42"/>
      <c r="DM477" s="42"/>
      <c r="DN477" s="42"/>
      <c r="DO477" s="42"/>
      <c r="DP477" s="42"/>
      <c r="DQ477" s="42"/>
      <c r="DR477" s="42"/>
      <c r="DS477" s="42"/>
      <c r="DT477" s="42"/>
      <c r="DU477" s="42"/>
      <c r="DV477" s="42"/>
      <c r="DW477" s="42"/>
      <c r="DX477" s="42"/>
      <c r="DY477" s="42"/>
      <c r="DZ477" s="42"/>
      <c r="EA477" s="42"/>
      <c r="EB477" s="42"/>
      <c r="EC477" s="42"/>
      <c r="ED477" s="42"/>
      <c r="EE477" s="42"/>
      <c r="EF477" s="42"/>
      <c r="EG477" s="42"/>
      <c r="EH477" s="42"/>
      <c r="EI477" s="42"/>
      <c r="EJ477" s="42"/>
      <c r="EK477" s="42"/>
      <c r="EL477" s="42"/>
      <c r="EM477" s="42"/>
      <c r="EN477" s="42"/>
      <c r="EO477" s="42"/>
      <c r="EP477" s="42"/>
      <c r="EQ477" s="42"/>
      <c r="ER477" s="42"/>
      <c r="ES477" s="42"/>
      <c r="ET477" s="42"/>
      <c r="EU477" s="42"/>
      <c r="EV477" s="42"/>
      <c r="EW477" s="42"/>
      <c r="EX477" s="42"/>
      <c r="EY477" s="42"/>
      <c r="EZ477" s="42"/>
      <c r="FA477" s="42"/>
      <c r="FB477" s="42"/>
      <c r="FC477" s="42"/>
      <c r="FD477" s="42"/>
      <c r="FE477" s="42"/>
      <c r="FF477" s="42"/>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row>
    <row r="478" spans="1:256" ht="13.8" x14ac:dyDescent="0.3">
      <c r="A478" s="42"/>
      <c r="B478" s="42"/>
      <c r="C478" s="42"/>
      <c r="D478" s="42"/>
      <c r="E478" s="42"/>
      <c r="F478" s="42"/>
      <c r="G478" s="42"/>
      <c r="H478" s="42"/>
      <c r="I478" s="42"/>
      <c r="J478" s="42"/>
      <c r="K478" s="42"/>
      <c r="L478" s="42"/>
      <c r="M478" s="42"/>
      <c r="N478" s="42"/>
      <c r="O478" s="42"/>
      <c r="P478" s="42"/>
      <c r="Q478" s="42"/>
      <c r="R478" s="42"/>
      <c r="S478" s="42"/>
      <c r="T478" s="42"/>
      <c r="U478" s="194"/>
      <c r="V478" s="42"/>
      <c r="W478" s="42"/>
      <c r="X478" s="42"/>
      <c r="Y478" s="42"/>
      <c r="Z478" s="42"/>
      <c r="AA478" s="42"/>
      <c r="AB478" s="195"/>
      <c r="AC478" s="42"/>
      <c r="AD478" s="42"/>
      <c r="AE478" s="195"/>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c r="BM478" s="42"/>
      <c r="BN478" s="42"/>
      <c r="BO478" s="42"/>
      <c r="BP478" s="42"/>
      <c r="BQ478" s="42"/>
      <c r="BR478" s="42"/>
      <c r="BS478" s="42"/>
      <c r="BT478" s="42"/>
      <c r="BU478" s="42"/>
      <c r="BV478" s="42"/>
      <c r="BW478" s="42"/>
      <c r="BX478" s="42"/>
      <c r="BY478" s="42"/>
      <c r="BZ478" s="42"/>
      <c r="CA478" s="42"/>
      <c r="CB478" s="42"/>
      <c r="CC478" s="42"/>
      <c r="CD478" s="42"/>
      <c r="CE478" s="42"/>
      <c r="CF478" s="42"/>
      <c r="CG478" s="42"/>
      <c r="CH478" s="42"/>
      <c r="CI478" s="42"/>
      <c r="CJ478" s="42"/>
      <c r="CK478" s="42"/>
      <c r="CL478" s="42"/>
      <c r="CM478" s="42"/>
      <c r="CN478" s="42"/>
      <c r="CO478" s="42"/>
      <c r="CP478" s="42"/>
      <c r="CQ478" s="42"/>
      <c r="CR478" s="42"/>
      <c r="CS478" s="42"/>
      <c r="CT478" s="42"/>
      <c r="CU478" s="42"/>
      <c r="CV478" s="42"/>
      <c r="CW478" s="42"/>
      <c r="CX478" s="42"/>
      <c r="CY478" s="42"/>
      <c r="CZ478" s="42"/>
      <c r="DA478" s="42"/>
      <c r="DB478" s="42"/>
      <c r="DC478" s="42"/>
      <c r="DD478" s="42"/>
      <c r="DE478" s="42"/>
      <c r="DF478" s="42"/>
      <c r="DG478" s="42"/>
      <c r="DH478" s="42"/>
      <c r="DI478" s="42"/>
      <c r="DJ478" s="42"/>
      <c r="DK478" s="42"/>
      <c r="DL478" s="42"/>
      <c r="DM478" s="42"/>
      <c r="DN478" s="42"/>
      <c r="DO478" s="42"/>
      <c r="DP478" s="42"/>
      <c r="DQ478" s="42"/>
      <c r="DR478" s="42"/>
      <c r="DS478" s="42"/>
      <c r="DT478" s="42"/>
      <c r="DU478" s="42"/>
      <c r="DV478" s="42"/>
      <c r="DW478" s="42"/>
      <c r="DX478" s="42"/>
      <c r="DY478" s="42"/>
      <c r="DZ478" s="42"/>
      <c r="EA478" s="42"/>
      <c r="EB478" s="42"/>
      <c r="EC478" s="42"/>
      <c r="ED478" s="42"/>
      <c r="EE478" s="42"/>
      <c r="EF478" s="42"/>
      <c r="EG478" s="42"/>
      <c r="EH478" s="42"/>
      <c r="EI478" s="42"/>
      <c r="EJ478" s="42"/>
      <c r="EK478" s="42"/>
      <c r="EL478" s="42"/>
      <c r="EM478" s="42"/>
      <c r="EN478" s="42"/>
      <c r="EO478" s="42"/>
      <c r="EP478" s="42"/>
      <c r="EQ478" s="42"/>
      <c r="ER478" s="42"/>
      <c r="ES478" s="42"/>
      <c r="ET478" s="42"/>
      <c r="EU478" s="42"/>
      <c r="EV478" s="42"/>
      <c r="EW478" s="42"/>
      <c r="EX478" s="42"/>
      <c r="EY478" s="42"/>
      <c r="EZ478" s="42"/>
      <c r="FA478" s="42"/>
      <c r="FB478" s="42"/>
      <c r="FC478" s="42"/>
      <c r="FD478" s="42"/>
      <c r="FE478" s="42"/>
      <c r="FF478" s="42"/>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row>
    <row r="479" spans="1:256" ht="13.8" x14ac:dyDescent="0.3">
      <c r="A479" s="42"/>
      <c r="B479" s="42"/>
      <c r="C479" s="42"/>
      <c r="D479" s="42"/>
      <c r="E479" s="42"/>
      <c r="F479" s="42"/>
      <c r="G479" s="42"/>
      <c r="H479" s="42"/>
      <c r="I479" s="42"/>
      <c r="J479" s="42"/>
      <c r="K479" s="42"/>
      <c r="L479" s="42"/>
      <c r="M479" s="42"/>
      <c r="N479" s="42"/>
      <c r="O479" s="42"/>
      <c r="P479" s="42"/>
      <c r="Q479" s="42"/>
      <c r="R479" s="42"/>
      <c r="S479" s="42"/>
      <c r="T479" s="42"/>
      <c r="U479" s="194"/>
      <c r="V479" s="42"/>
      <c r="W479" s="42"/>
      <c r="X479" s="42"/>
      <c r="Y479" s="42"/>
      <c r="Z479" s="42"/>
      <c r="AA479" s="42"/>
      <c r="AB479" s="195"/>
      <c r="AC479" s="42"/>
      <c r="AD479" s="42"/>
      <c r="AE479" s="195"/>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c r="BM479" s="42"/>
      <c r="BN479" s="42"/>
      <c r="BO479" s="42"/>
      <c r="BP479" s="42"/>
      <c r="BQ479" s="42"/>
      <c r="BR479" s="42"/>
      <c r="BS479" s="42"/>
      <c r="BT479" s="42"/>
      <c r="BU479" s="42"/>
      <c r="BV479" s="42"/>
      <c r="BW479" s="42"/>
      <c r="BX479" s="42"/>
      <c r="BY479" s="42"/>
      <c r="BZ479" s="42"/>
      <c r="CA479" s="42"/>
      <c r="CB479" s="42"/>
      <c r="CC479" s="42"/>
      <c r="CD479" s="42"/>
      <c r="CE479" s="42"/>
      <c r="CF479" s="42"/>
      <c r="CG479" s="42"/>
      <c r="CH479" s="42"/>
      <c r="CI479" s="42"/>
      <c r="CJ479" s="42"/>
      <c r="CK479" s="42"/>
      <c r="CL479" s="42"/>
      <c r="CM479" s="42"/>
      <c r="CN479" s="42"/>
      <c r="CO479" s="42"/>
      <c r="CP479" s="42"/>
      <c r="CQ479" s="42"/>
      <c r="CR479" s="42"/>
      <c r="CS479" s="42"/>
      <c r="CT479" s="42"/>
      <c r="CU479" s="42"/>
      <c r="CV479" s="42"/>
      <c r="CW479" s="42"/>
      <c r="CX479" s="42"/>
      <c r="CY479" s="42"/>
      <c r="CZ479" s="42"/>
      <c r="DA479" s="42"/>
      <c r="DB479" s="42"/>
      <c r="DC479" s="42"/>
      <c r="DD479" s="42"/>
      <c r="DE479" s="42"/>
      <c r="DF479" s="42"/>
      <c r="DG479" s="42"/>
      <c r="DH479" s="42"/>
      <c r="DI479" s="42"/>
      <c r="DJ479" s="42"/>
      <c r="DK479" s="42"/>
      <c r="DL479" s="42"/>
      <c r="DM479" s="42"/>
      <c r="DN479" s="42"/>
      <c r="DO479" s="42"/>
      <c r="DP479" s="42"/>
      <c r="DQ479" s="42"/>
      <c r="DR479" s="42"/>
      <c r="DS479" s="42"/>
      <c r="DT479" s="42"/>
      <c r="DU479" s="42"/>
      <c r="DV479" s="42"/>
      <c r="DW479" s="42"/>
      <c r="DX479" s="42"/>
      <c r="DY479" s="42"/>
      <c r="DZ479" s="42"/>
      <c r="EA479" s="42"/>
      <c r="EB479" s="42"/>
      <c r="EC479" s="42"/>
      <c r="ED479" s="42"/>
      <c r="EE479" s="42"/>
      <c r="EF479" s="42"/>
      <c r="EG479" s="42"/>
      <c r="EH479" s="42"/>
      <c r="EI479" s="42"/>
      <c r="EJ479" s="42"/>
      <c r="EK479" s="42"/>
      <c r="EL479" s="42"/>
      <c r="EM479" s="42"/>
      <c r="EN479" s="42"/>
      <c r="EO479" s="42"/>
      <c r="EP479" s="42"/>
      <c r="EQ479" s="42"/>
      <c r="ER479" s="42"/>
      <c r="ES479" s="42"/>
      <c r="ET479" s="42"/>
      <c r="EU479" s="42"/>
      <c r="EV479" s="42"/>
      <c r="EW479" s="42"/>
      <c r="EX479" s="42"/>
      <c r="EY479" s="42"/>
      <c r="EZ479" s="42"/>
      <c r="FA479" s="42"/>
      <c r="FB479" s="42"/>
      <c r="FC479" s="42"/>
      <c r="FD479" s="42"/>
      <c r="FE479" s="42"/>
      <c r="FF479" s="42"/>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row>
    <row r="480" spans="1:256" ht="13.8" x14ac:dyDescent="0.3">
      <c r="A480" s="42"/>
      <c r="B480" s="42"/>
      <c r="C480" s="42"/>
      <c r="D480" s="42"/>
      <c r="E480" s="42"/>
      <c r="F480" s="42"/>
      <c r="G480" s="42"/>
      <c r="H480" s="42"/>
      <c r="I480" s="42"/>
      <c r="J480" s="42"/>
      <c r="K480" s="42"/>
      <c r="L480" s="42"/>
      <c r="M480" s="42"/>
      <c r="N480" s="42"/>
      <c r="O480" s="42"/>
      <c r="P480" s="42"/>
      <c r="Q480" s="42"/>
      <c r="R480" s="42"/>
      <c r="S480" s="42"/>
      <c r="T480" s="42"/>
      <c r="U480" s="194"/>
      <c r="V480" s="42"/>
      <c r="W480" s="42"/>
      <c r="X480" s="42"/>
      <c r="Y480" s="42"/>
      <c r="Z480" s="42"/>
      <c r="AA480" s="42"/>
      <c r="AB480" s="195"/>
      <c r="AC480" s="42"/>
      <c r="AD480" s="42"/>
      <c r="AE480" s="195"/>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c r="BM480" s="42"/>
      <c r="BN480" s="42"/>
      <c r="BO480" s="42"/>
      <c r="BP480" s="42"/>
      <c r="BQ480" s="42"/>
      <c r="BR480" s="42"/>
      <c r="BS480" s="42"/>
      <c r="BT480" s="42"/>
      <c r="BU480" s="42"/>
      <c r="BV480" s="42"/>
      <c r="BW480" s="42"/>
      <c r="BX480" s="42"/>
      <c r="BY480" s="42"/>
      <c r="BZ480" s="42"/>
      <c r="CA480" s="42"/>
      <c r="CB480" s="42"/>
      <c r="CC480" s="42"/>
      <c r="CD480" s="42"/>
      <c r="CE480" s="42"/>
      <c r="CF480" s="42"/>
      <c r="CG480" s="42"/>
      <c r="CH480" s="42"/>
      <c r="CI480" s="42"/>
      <c r="CJ480" s="42"/>
      <c r="CK480" s="42"/>
      <c r="CL480" s="42"/>
      <c r="CM480" s="42"/>
      <c r="CN480" s="42"/>
      <c r="CO480" s="42"/>
      <c r="CP480" s="42"/>
      <c r="CQ480" s="42"/>
      <c r="CR480" s="42"/>
      <c r="CS480" s="42"/>
      <c r="CT480" s="42"/>
      <c r="CU480" s="42"/>
      <c r="CV480" s="42"/>
      <c r="CW480" s="42"/>
      <c r="CX480" s="42"/>
      <c r="CY480" s="42"/>
      <c r="CZ480" s="42"/>
      <c r="DA480" s="42"/>
      <c r="DB480" s="42"/>
      <c r="DC480" s="42"/>
      <c r="DD480" s="42"/>
      <c r="DE480" s="42"/>
      <c r="DF480" s="42"/>
      <c r="DG480" s="42"/>
      <c r="DH480" s="42"/>
      <c r="DI480" s="42"/>
      <c r="DJ480" s="42"/>
      <c r="DK480" s="42"/>
      <c r="DL480" s="42"/>
      <c r="DM480" s="42"/>
      <c r="DN480" s="42"/>
      <c r="DO480" s="42"/>
      <c r="DP480" s="42"/>
      <c r="DQ480" s="42"/>
      <c r="DR480" s="42"/>
      <c r="DS480" s="42"/>
      <c r="DT480" s="42"/>
      <c r="DU480" s="42"/>
      <c r="DV480" s="42"/>
      <c r="DW480" s="42"/>
      <c r="DX480" s="42"/>
      <c r="DY480" s="42"/>
      <c r="DZ480" s="42"/>
      <c r="EA480" s="42"/>
      <c r="EB480" s="42"/>
      <c r="EC480" s="42"/>
      <c r="ED480" s="42"/>
      <c r="EE480" s="42"/>
      <c r="EF480" s="42"/>
      <c r="EG480" s="42"/>
      <c r="EH480" s="42"/>
      <c r="EI480" s="42"/>
      <c r="EJ480" s="42"/>
      <c r="EK480" s="42"/>
      <c r="EL480" s="42"/>
      <c r="EM480" s="42"/>
      <c r="EN480" s="42"/>
      <c r="EO480" s="42"/>
      <c r="EP480" s="42"/>
      <c r="EQ480" s="42"/>
      <c r="ER480" s="42"/>
      <c r="ES480" s="42"/>
      <c r="ET480" s="42"/>
      <c r="EU480" s="42"/>
      <c r="EV480" s="42"/>
      <c r="EW480" s="42"/>
      <c r="EX480" s="42"/>
      <c r="EY480" s="42"/>
      <c r="EZ480" s="42"/>
      <c r="FA480" s="42"/>
      <c r="FB480" s="42"/>
      <c r="FC480" s="42"/>
      <c r="FD480" s="42"/>
      <c r="FE480" s="42"/>
      <c r="FF480" s="42"/>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row>
    <row r="481" spans="1:256" ht="13.8" x14ac:dyDescent="0.3">
      <c r="A481" s="42"/>
      <c r="B481" s="42"/>
      <c r="C481" s="42"/>
      <c r="D481" s="42"/>
      <c r="E481" s="42"/>
      <c r="F481" s="42"/>
      <c r="G481" s="42"/>
      <c r="H481" s="42"/>
      <c r="I481" s="42"/>
      <c r="J481" s="42"/>
      <c r="K481" s="42"/>
      <c r="L481" s="42"/>
      <c r="M481" s="42"/>
      <c r="N481" s="42"/>
      <c r="O481" s="42"/>
      <c r="P481" s="42"/>
      <c r="Q481" s="42"/>
      <c r="R481" s="42"/>
      <c r="S481" s="42"/>
      <c r="T481" s="42"/>
      <c r="U481" s="194"/>
      <c r="V481" s="42"/>
      <c r="W481" s="42"/>
      <c r="X481" s="42"/>
      <c r="Y481" s="42"/>
      <c r="Z481" s="42"/>
      <c r="AA481" s="42"/>
      <c r="AB481" s="195"/>
      <c r="AC481" s="42"/>
      <c r="AD481" s="42"/>
      <c r="AE481" s="195"/>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c r="BM481" s="42"/>
      <c r="BN481" s="42"/>
      <c r="BO481" s="42"/>
      <c r="BP481" s="42"/>
      <c r="BQ481" s="42"/>
      <c r="BR481" s="42"/>
      <c r="BS481" s="42"/>
      <c r="BT481" s="42"/>
      <c r="BU481" s="42"/>
      <c r="BV481" s="42"/>
      <c r="BW481" s="42"/>
      <c r="BX481" s="42"/>
      <c r="BY481" s="42"/>
      <c r="BZ481" s="42"/>
      <c r="CA481" s="42"/>
      <c r="CB481" s="42"/>
      <c r="CC481" s="42"/>
      <c r="CD481" s="42"/>
      <c r="CE481" s="42"/>
      <c r="CF481" s="42"/>
      <c r="CG481" s="42"/>
      <c r="CH481" s="42"/>
      <c r="CI481" s="42"/>
      <c r="CJ481" s="42"/>
      <c r="CK481" s="42"/>
      <c r="CL481" s="42"/>
      <c r="CM481" s="42"/>
      <c r="CN481" s="42"/>
      <c r="CO481" s="42"/>
      <c r="CP481" s="42"/>
      <c r="CQ481" s="42"/>
      <c r="CR481" s="42"/>
      <c r="CS481" s="42"/>
      <c r="CT481" s="42"/>
      <c r="CU481" s="42"/>
      <c r="CV481" s="42"/>
      <c r="CW481" s="42"/>
      <c r="CX481" s="42"/>
      <c r="CY481" s="42"/>
      <c r="CZ481" s="42"/>
      <c r="DA481" s="42"/>
      <c r="DB481" s="42"/>
      <c r="DC481" s="42"/>
      <c r="DD481" s="42"/>
      <c r="DE481" s="42"/>
      <c r="DF481" s="42"/>
      <c r="DG481" s="42"/>
      <c r="DH481" s="42"/>
      <c r="DI481" s="42"/>
      <c r="DJ481" s="42"/>
      <c r="DK481" s="42"/>
      <c r="DL481" s="42"/>
      <c r="DM481" s="42"/>
      <c r="DN481" s="42"/>
      <c r="DO481" s="42"/>
      <c r="DP481" s="42"/>
      <c r="DQ481" s="42"/>
      <c r="DR481" s="42"/>
      <c r="DS481" s="42"/>
      <c r="DT481" s="42"/>
      <c r="DU481" s="42"/>
      <c r="DV481" s="42"/>
      <c r="DW481" s="42"/>
      <c r="DX481" s="42"/>
      <c r="DY481" s="42"/>
      <c r="DZ481" s="42"/>
      <c r="EA481" s="42"/>
      <c r="EB481" s="42"/>
      <c r="EC481" s="42"/>
      <c r="ED481" s="42"/>
      <c r="EE481" s="42"/>
      <c r="EF481" s="42"/>
      <c r="EG481" s="42"/>
      <c r="EH481" s="42"/>
      <c r="EI481" s="42"/>
      <c r="EJ481" s="42"/>
      <c r="EK481" s="42"/>
      <c r="EL481" s="42"/>
      <c r="EM481" s="42"/>
      <c r="EN481" s="42"/>
      <c r="EO481" s="42"/>
      <c r="EP481" s="42"/>
      <c r="EQ481" s="42"/>
      <c r="ER481" s="42"/>
      <c r="ES481" s="42"/>
      <c r="ET481" s="42"/>
      <c r="EU481" s="42"/>
      <c r="EV481" s="42"/>
      <c r="EW481" s="42"/>
      <c r="EX481" s="42"/>
      <c r="EY481" s="42"/>
      <c r="EZ481" s="42"/>
      <c r="FA481" s="42"/>
      <c r="FB481" s="42"/>
      <c r="FC481" s="42"/>
      <c r="FD481" s="42"/>
      <c r="FE481" s="42"/>
      <c r="FF481" s="42"/>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row>
    <row r="482" spans="1:256" ht="13.8" x14ac:dyDescent="0.3">
      <c r="A482" s="42"/>
      <c r="B482" s="42"/>
      <c r="C482" s="42"/>
      <c r="D482" s="42"/>
      <c r="E482" s="42"/>
      <c r="F482" s="42"/>
      <c r="G482" s="42"/>
      <c r="H482" s="42"/>
      <c r="I482" s="42"/>
      <c r="J482" s="42"/>
      <c r="K482" s="42"/>
      <c r="L482" s="42"/>
      <c r="M482" s="42"/>
      <c r="N482" s="42"/>
      <c r="O482" s="42"/>
      <c r="P482" s="42"/>
      <c r="Q482" s="42"/>
      <c r="R482" s="42"/>
      <c r="S482" s="42"/>
      <c r="T482" s="42"/>
      <c r="U482" s="194"/>
      <c r="V482" s="42"/>
      <c r="W482" s="42"/>
      <c r="X482" s="42"/>
      <c r="Y482" s="42"/>
      <c r="Z482" s="42"/>
      <c r="AA482" s="42"/>
      <c r="AB482" s="195"/>
      <c r="AC482" s="42"/>
      <c r="AD482" s="42"/>
      <c r="AE482" s="195"/>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c r="BM482" s="42"/>
      <c r="BN482" s="42"/>
      <c r="BO482" s="42"/>
      <c r="BP482" s="42"/>
      <c r="BQ482" s="42"/>
      <c r="BR482" s="42"/>
      <c r="BS482" s="42"/>
      <c r="BT482" s="42"/>
      <c r="BU482" s="42"/>
      <c r="BV482" s="42"/>
      <c r="BW482" s="42"/>
      <c r="BX482" s="42"/>
      <c r="BY482" s="42"/>
      <c r="BZ482" s="42"/>
      <c r="CA482" s="42"/>
      <c r="CB482" s="42"/>
      <c r="CC482" s="42"/>
      <c r="CD482" s="42"/>
      <c r="CE482" s="42"/>
      <c r="CF482" s="42"/>
      <c r="CG482" s="42"/>
      <c r="CH482" s="42"/>
      <c r="CI482" s="42"/>
      <c r="CJ482" s="42"/>
      <c r="CK482" s="42"/>
      <c r="CL482" s="42"/>
      <c r="CM482" s="42"/>
      <c r="CN482" s="42"/>
      <c r="CO482" s="42"/>
      <c r="CP482" s="42"/>
      <c r="CQ482" s="42"/>
      <c r="CR482" s="42"/>
      <c r="CS482" s="42"/>
      <c r="CT482" s="42"/>
      <c r="CU482" s="42"/>
      <c r="CV482" s="42"/>
      <c r="CW482" s="42"/>
      <c r="CX482" s="42"/>
      <c r="CY482" s="42"/>
      <c r="CZ482" s="42"/>
      <c r="DA482" s="42"/>
      <c r="DB482" s="42"/>
      <c r="DC482" s="42"/>
      <c r="DD482" s="42"/>
      <c r="DE482" s="42"/>
      <c r="DF482" s="42"/>
      <c r="DG482" s="42"/>
      <c r="DH482" s="42"/>
      <c r="DI482" s="42"/>
      <c r="DJ482" s="42"/>
      <c r="DK482" s="42"/>
      <c r="DL482" s="42"/>
      <c r="DM482" s="42"/>
      <c r="DN482" s="42"/>
      <c r="DO482" s="42"/>
      <c r="DP482" s="42"/>
      <c r="DQ482" s="42"/>
      <c r="DR482" s="42"/>
      <c r="DS482" s="42"/>
      <c r="DT482" s="42"/>
      <c r="DU482" s="42"/>
      <c r="DV482" s="42"/>
      <c r="DW482" s="42"/>
      <c r="DX482" s="42"/>
      <c r="DY482" s="42"/>
      <c r="DZ482" s="42"/>
      <c r="EA482" s="42"/>
      <c r="EB482" s="42"/>
      <c r="EC482" s="42"/>
      <c r="ED482" s="42"/>
      <c r="EE482" s="42"/>
      <c r="EF482" s="42"/>
      <c r="EG482" s="42"/>
      <c r="EH482" s="42"/>
      <c r="EI482" s="42"/>
      <c r="EJ482" s="42"/>
      <c r="EK482" s="42"/>
      <c r="EL482" s="42"/>
      <c r="EM482" s="42"/>
      <c r="EN482" s="42"/>
      <c r="EO482" s="42"/>
      <c r="EP482" s="42"/>
      <c r="EQ482" s="42"/>
      <c r="ER482" s="42"/>
      <c r="ES482" s="42"/>
      <c r="ET482" s="42"/>
      <c r="EU482" s="42"/>
      <c r="EV482" s="42"/>
      <c r="EW482" s="42"/>
      <c r="EX482" s="42"/>
      <c r="EY482" s="42"/>
      <c r="EZ482" s="42"/>
      <c r="FA482" s="42"/>
      <c r="FB482" s="42"/>
      <c r="FC482" s="42"/>
      <c r="FD482" s="42"/>
      <c r="FE482" s="42"/>
      <c r="FF482" s="42"/>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row>
    <row r="483" spans="1:256" ht="13.8" x14ac:dyDescent="0.3">
      <c r="A483" s="42"/>
      <c r="B483" s="42"/>
      <c r="C483" s="42"/>
      <c r="D483" s="42"/>
      <c r="E483" s="42"/>
      <c r="F483" s="42"/>
      <c r="G483" s="42"/>
      <c r="H483" s="42"/>
      <c r="I483" s="42"/>
      <c r="J483" s="42"/>
      <c r="K483" s="42"/>
      <c r="L483" s="42"/>
      <c r="M483" s="42"/>
      <c r="N483" s="42"/>
      <c r="O483" s="42"/>
      <c r="P483" s="42"/>
      <c r="Q483" s="42"/>
      <c r="R483" s="42"/>
      <c r="S483" s="42"/>
      <c r="T483" s="42"/>
      <c r="U483" s="194"/>
      <c r="V483" s="42"/>
      <c r="W483" s="42"/>
      <c r="X483" s="42"/>
      <c r="Y483" s="42"/>
      <c r="Z483" s="42"/>
      <c r="AA483" s="42"/>
      <c r="AB483" s="195"/>
      <c r="AC483" s="42"/>
      <c r="AD483" s="42"/>
      <c r="AE483" s="195"/>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c r="BM483" s="42"/>
      <c r="BN483" s="42"/>
      <c r="BO483" s="42"/>
      <c r="BP483" s="42"/>
      <c r="BQ483" s="42"/>
      <c r="BR483" s="42"/>
      <c r="BS483" s="42"/>
      <c r="BT483" s="42"/>
      <c r="BU483" s="42"/>
      <c r="BV483" s="42"/>
      <c r="BW483" s="42"/>
      <c r="BX483" s="42"/>
      <c r="BY483" s="42"/>
      <c r="BZ483" s="42"/>
      <c r="CA483" s="42"/>
      <c r="CB483" s="42"/>
      <c r="CC483" s="42"/>
      <c r="CD483" s="42"/>
      <c r="CE483" s="42"/>
      <c r="CF483" s="42"/>
      <c r="CG483" s="42"/>
      <c r="CH483" s="42"/>
      <c r="CI483" s="42"/>
      <c r="CJ483" s="42"/>
      <c r="CK483" s="42"/>
      <c r="CL483" s="42"/>
      <c r="CM483" s="42"/>
      <c r="CN483" s="42"/>
      <c r="CO483" s="42"/>
      <c r="CP483" s="42"/>
      <c r="CQ483" s="42"/>
      <c r="CR483" s="42"/>
      <c r="CS483" s="42"/>
      <c r="CT483" s="42"/>
      <c r="CU483" s="42"/>
      <c r="CV483" s="42"/>
      <c r="CW483" s="42"/>
      <c r="CX483" s="42"/>
      <c r="CY483" s="42"/>
      <c r="CZ483" s="42"/>
      <c r="DA483" s="42"/>
      <c r="DB483" s="42"/>
      <c r="DC483" s="42"/>
      <c r="DD483" s="42"/>
      <c r="DE483" s="42"/>
      <c r="DF483" s="42"/>
      <c r="DG483" s="42"/>
      <c r="DH483" s="42"/>
      <c r="DI483" s="42"/>
      <c r="DJ483" s="42"/>
      <c r="DK483" s="42"/>
      <c r="DL483" s="42"/>
      <c r="DM483" s="42"/>
      <c r="DN483" s="42"/>
      <c r="DO483" s="42"/>
      <c r="DP483" s="42"/>
      <c r="DQ483" s="42"/>
      <c r="DR483" s="42"/>
      <c r="DS483" s="42"/>
      <c r="DT483" s="42"/>
      <c r="DU483" s="42"/>
      <c r="DV483" s="42"/>
      <c r="DW483" s="42"/>
      <c r="DX483" s="42"/>
      <c r="DY483" s="42"/>
      <c r="DZ483" s="42"/>
      <c r="EA483" s="42"/>
      <c r="EB483" s="42"/>
      <c r="EC483" s="42"/>
      <c r="ED483" s="42"/>
      <c r="EE483" s="42"/>
      <c r="EF483" s="42"/>
      <c r="EG483" s="42"/>
      <c r="EH483" s="42"/>
      <c r="EI483" s="42"/>
      <c r="EJ483" s="42"/>
      <c r="EK483" s="42"/>
      <c r="EL483" s="42"/>
      <c r="EM483" s="42"/>
      <c r="EN483" s="42"/>
      <c r="EO483" s="42"/>
      <c r="EP483" s="42"/>
      <c r="EQ483" s="42"/>
      <c r="ER483" s="42"/>
      <c r="ES483" s="42"/>
      <c r="ET483" s="42"/>
      <c r="EU483" s="42"/>
      <c r="EV483" s="42"/>
      <c r="EW483" s="42"/>
      <c r="EX483" s="42"/>
      <c r="EY483" s="42"/>
      <c r="EZ483" s="42"/>
      <c r="FA483" s="42"/>
      <c r="FB483" s="42"/>
      <c r="FC483" s="42"/>
      <c r="FD483" s="42"/>
      <c r="FE483" s="42"/>
      <c r="FF483" s="42"/>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row>
    <row r="484" spans="1:256" ht="13.8" x14ac:dyDescent="0.3">
      <c r="A484" s="42"/>
      <c r="B484" s="42"/>
      <c r="C484" s="42"/>
      <c r="D484" s="42"/>
      <c r="E484" s="42"/>
      <c r="F484" s="42"/>
      <c r="G484" s="42"/>
      <c r="H484" s="42"/>
      <c r="I484" s="42"/>
      <c r="J484" s="42"/>
      <c r="K484" s="42"/>
      <c r="L484" s="42"/>
      <c r="M484" s="42"/>
      <c r="N484" s="42"/>
      <c r="O484" s="42"/>
      <c r="P484" s="42"/>
      <c r="Q484" s="42"/>
      <c r="R484" s="42"/>
      <c r="S484" s="42"/>
      <c r="T484" s="42"/>
      <c r="U484" s="194"/>
      <c r="V484" s="42"/>
      <c r="W484" s="42"/>
      <c r="X484" s="42"/>
      <c r="Y484" s="42"/>
      <c r="Z484" s="42"/>
      <c r="AA484" s="42"/>
      <c r="AB484" s="195"/>
      <c r="AC484" s="42"/>
      <c r="AD484" s="42"/>
      <c r="AE484" s="195"/>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c r="BM484" s="42"/>
      <c r="BN484" s="42"/>
      <c r="BO484" s="42"/>
      <c r="BP484" s="42"/>
      <c r="BQ484" s="42"/>
      <c r="BR484" s="42"/>
      <c r="BS484" s="42"/>
      <c r="BT484" s="42"/>
      <c r="BU484" s="42"/>
      <c r="BV484" s="42"/>
      <c r="BW484" s="42"/>
      <c r="BX484" s="42"/>
      <c r="BY484" s="42"/>
      <c r="BZ484" s="42"/>
      <c r="CA484" s="42"/>
      <c r="CB484" s="42"/>
      <c r="CC484" s="42"/>
      <c r="CD484" s="42"/>
      <c r="CE484" s="42"/>
      <c r="CF484" s="42"/>
      <c r="CG484" s="42"/>
      <c r="CH484" s="42"/>
      <c r="CI484" s="42"/>
      <c r="CJ484" s="42"/>
      <c r="CK484" s="42"/>
      <c r="CL484" s="42"/>
      <c r="CM484" s="42"/>
      <c r="CN484" s="42"/>
      <c r="CO484" s="42"/>
      <c r="CP484" s="42"/>
      <c r="CQ484" s="42"/>
      <c r="CR484" s="42"/>
      <c r="CS484" s="42"/>
      <c r="CT484" s="42"/>
      <c r="CU484" s="42"/>
      <c r="CV484" s="42"/>
      <c r="CW484" s="42"/>
      <c r="CX484" s="42"/>
      <c r="CY484" s="42"/>
      <c r="CZ484" s="42"/>
      <c r="DA484" s="42"/>
      <c r="DB484" s="42"/>
      <c r="DC484" s="42"/>
      <c r="DD484" s="42"/>
      <c r="DE484" s="42"/>
      <c r="DF484" s="42"/>
      <c r="DG484" s="42"/>
      <c r="DH484" s="42"/>
      <c r="DI484" s="42"/>
      <c r="DJ484" s="42"/>
      <c r="DK484" s="42"/>
      <c r="DL484" s="42"/>
      <c r="DM484" s="42"/>
      <c r="DN484" s="42"/>
      <c r="DO484" s="42"/>
      <c r="DP484" s="42"/>
      <c r="DQ484" s="42"/>
      <c r="DR484" s="42"/>
      <c r="DS484" s="42"/>
      <c r="DT484" s="42"/>
      <c r="DU484" s="42"/>
      <c r="DV484" s="42"/>
      <c r="DW484" s="42"/>
      <c r="DX484" s="42"/>
      <c r="DY484" s="42"/>
      <c r="DZ484" s="42"/>
      <c r="EA484" s="42"/>
      <c r="EB484" s="42"/>
      <c r="EC484" s="42"/>
      <c r="ED484" s="42"/>
      <c r="EE484" s="42"/>
      <c r="EF484" s="42"/>
      <c r="EG484" s="42"/>
      <c r="EH484" s="42"/>
      <c r="EI484" s="42"/>
      <c r="EJ484" s="42"/>
      <c r="EK484" s="42"/>
      <c r="EL484" s="42"/>
      <c r="EM484" s="42"/>
      <c r="EN484" s="42"/>
      <c r="EO484" s="42"/>
      <c r="EP484" s="42"/>
      <c r="EQ484" s="42"/>
      <c r="ER484" s="42"/>
      <c r="ES484" s="42"/>
      <c r="ET484" s="42"/>
      <c r="EU484" s="42"/>
      <c r="EV484" s="42"/>
      <c r="EW484" s="42"/>
      <c r="EX484" s="42"/>
      <c r="EY484" s="42"/>
      <c r="EZ484" s="42"/>
      <c r="FA484" s="42"/>
      <c r="FB484" s="42"/>
      <c r="FC484" s="42"/>
      <c r="FD484" s="42"/>
      <c r="FE484" s="42"/>
      <c r="FF484" s="42"/>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row>
    <row r="485" spans="1:256" ht="13.8" x14ac:dyDescent="0.3">
      <c r="A485" s="42"/>
      <c r="B485" s="42"/>
      <c r="C485" s="42"/>
      <c r="D485" s="42"/>
      <c r="E485" s="42"/>
      <c r="F485" s="42"/>
      <c r="G485" s="42"/>
      <c r="H485" s="42"/>
      <c r="I485" s="42"/>
      <c r="J485" s="42"/>
      <c r="K485" s="42"/>
      <c r="L485" s="42"/>
      <c r="M485" s="42"/>
      <c r="N485" s="42"/>
      <c r="O485" s="42"/>
      <c r="P485" s="42"/>
      <c r="Q485" s="42"/>
      <c r="R485" s="42"/>
      <c r="S485" s="42"/>
      <c r="T485" s="42"/>
      <c r="U485" s="194"/>
      <c r="V485" s="42"/>
      <c r="W485" s="42"/>
      <c r="X485" s="42"/>
      <c r="Y485" s="42"/>
      <c r="Z485" s="42"/>
      <c r="AA485" s="42"/>
      <c r="AB485" s="195"/>
      <c r="AC485" s="42"/>
      <c r="AD485" s="42"/>
      <c r="AE485" s="195"/>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c r="BM485" s="42"/>
      <c r="BN485" s="42"/>
      <c r="BO485" s="42"/>
      <c r="BP485" s="42"/>
      <c r="BQ485" s="42"/>
      <c r="BR485" s="42"/>
      <c r="BS485" s="42"/>
      <c r="BT485" s="42"/>
      <c r="BU485" s="42"/>
      <c r="BV485" s="42"/>
      <c r="BW485" s="42"/>
      <c r="BX485" s="42"/>
      <c r="BY485" s="42"/>
      <c r="BZ485" s="42"/>
      <c r="CA485" s="42"/>
      <c r="CB485" s="42"/>
      <c r="CC485" s="42"/>
      <c r="CD485" s="42"/>
      <c r="CE485" s="42"/>
      <c r="CF485" s="42"/>
      <c r="CG485" s="42"/>
      <c r="CH485" s="42"/>
      <c r="CI485" s="42"/>
      <c r="CJ485" s="42"/>
      <c r="CK485" s="42"/>
      <c r="CL485" s="42"/>
      <c r="CM485" s="42"/>
      <c r="CN485" s="42"/>
      <c r="CO485" s="42"/>
      <c r="CP485" s="42"/>
      <c r="CQ485" s="42"/>
      <c r="CR485" s="42"/>
      <c r="CS485" s="42"/>
      <c r="CT485" s="42"/>
      <c r="CU485" s="42"/>
      <c r="CV485" s="42"/>
      <c r="CW485" s="42"/>
      <c r="CX485" s="42"/>
      <c r="CY485" s="42"/>
      <c r="CZ485" s="42"/>
      <c r="DA485" s="42"/>
      <c r="DB485" s="42"/>
      <c r="DC485" s="42"/>
      <c r="DD485" s="42"/>
      <c r="DE485" s="42"/>
      <c r="DF485" s="42"/>
      <c r="DG485" s="42"/>
      <c r="DH485" s="42"/>
      <c r="DI485" s="42"/>
      <c r="DJ485" s="42"/>
      <c r="DK485" s="42"/>
      <c r="DL485" s="42"/>
      <c r="DM485" s="42"/>
      <c r="DN485" s="42"/>
      <c r="DO485" s="42"/>
      <c r="DP485" s="42"/>
      <c r="DQ485" s="42"/>
      <c r="DR485" s="42"/>
      <c r="DS485" s="42"/>
      <c r="DT485" s="42"/>
      <c r="DU485" s="42"/>
      <c r="DV485" s="42"/>
      <c r="DW485" s="42"/>
      <c r="DX485" s="42"/>
      <c r="DY485" s="42"/>
      <c r="DZ485" s="42"/>
      <c r="EA485" s="42"/>
      <c r="EB485" s="42"/>
      <c r="EC485" s="42"/>
      <c r="ED485" s="42"/>
      <c r="EE485" s="42"/>
      <c r="EF485" s="42"/>
      <c r="EG485" s="42"/>
      <c r="EH485" s="42"/>
      <c r="EI485" s="42"/>
      <c r="EJ485" s="42"/>
      <c r="EK485" s="42"/>
      <c r="EL485" s="42"/>
      <c r="EM485" s="42"/>
      <c r="EN485" s="42"/>
      <c r="EO485" s="42"/>
      <c r="EP485" s="42"/>
      <c r="EQ485" s="42"/>
      <c r="ER485" s="42"/>
      <c r="ES485" s="42"/>
      <c r="ET485" s="42"/>
      <c r="EU485" s="42"/>
      <c r="EV485" s="42"/>
      <c r="EW485" s="42"/>
      <c r="EX485" s="42"/>
      <c r="EY485" s="42"/>
      <c r="EZ485" s="42"/>
      <c r="FA485" s="42"/>
      <c r="FB485" s="42"/>
      <c r="FC485" s="42"/>
      <c r="FD485" s="42"/>
      <c r="FE485" s="42"/>
      <c r="FF485" s="42"/>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row>
    <row r="486" spans="1:256" ht="13.8" x14ac:dyDescent="0.3">
      <c r="A486" s="42"/>
      <c r="B486" s="42"/>
      <c r="C486" s="42"/>
      <c r="D486" s="42"/>
      <c r="E486" s="42"/>
      <c r="F486" s="42"/>
      <c r="G486" s="42"/>
      <c r="H486" s="42"/>
      <c r="I486" s="42"/>
      <c r="J486" s="42"/>
      <c r="K486" s="42"/>
      <c r="L486" s="42"/>
      <c r="M486" s="42"/>
      <c r="N486" s="42"/>
      <c r="O486" s="42"/>
      <c r="P486" s="42"/>
      <c r="Q486" s="42"/>
      <c r="R486" s="42"/>
      <c r="S486" s="42"/>
      <c r="T486" s="42"/>
      <c r="U486" s="194"/>
      <c r="V486" s="42"/>
      <c r="W486" s="42"/>
      <c r="X486" s="42"/>
      <c r="Y486" s="42"/>
      <c r="Z486" s="42"/>
      <c r="AA486" s="42"/>
      <c r="AB486" s="195"/>
      <c r="AC486" s="42"/>
      <c r="AD486" s="42"/>
      <c r="AE486" s="195"/>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c r="BM486" s="42"/>
      <c r="BN486" s="42"/>
      <c r="BO486" s="42"/>
      <c r="BP486" s="42"/>
      <c r="BQ486" s="42"/>
      <c r="BR486" s="42"/>
      <c r="BS486" s="42"/>
      <c r="BT486" s="42"/>
      <c r="BU486" s="42"/>
      <c r="BV486" s="42"/>
      <c r="BW486" s="42"/>
      <c r="BX486" s="42"/>
      <c r="BY486" s="42"/>
      <c r="BZ486" s="42"/>
      <c r="CA486" s="42"/>
      <c r="CB486" s="42"/>
      <c r="CC486" s="42"/>
      <c r="CD486" s="42"/>
      <c r="CE486" s="42"/>
      <c r="CF486" s="42"/>
      <c r="CG486" s="42"/>
      <c r="CH486" s="42"/>
      <c r="CI486" s="42"/>
      <c r="CJ486" s="42"/>
      <c r="CK486" s="42"/>
      <c r="CL486" s="42"/>
      <c r="CM486" s="42"/>
      <c r="CN486" s="42"/>
      <c r="CO486" s="42"/>
      <c r="CP486" s="42"/>
      <c r="CQ486" s="42"/>
      <c r="CR486" s="42"/>
      <c r="CS486" s="42"/>
      <c r="CT486" s="42"/>
      <c r="CU486" s="42"/>
      <c r="CV486" s="42"/>
      <c r="CW486" s="42"/>
      <c r="CX486" s="42"/>
      <c r="CY486" s="42"/>
      <c r="CZ486" s="42"/>
      <c r="DA486" s="42"/>
      <c r="DB486" s="42"/>
      <c r="DC486" s="42"/>
      <c r="DD486" s="42"/>
      <c r="DE486" s="42"/>
      <c r="DF486" s="42"/>
      <c r="DG486" s="42"/>
      <c r="DH486" s="42"/>
      <c r="DI486" s="42"/>
      <c r="DJ486" s="42"/>
      <c r="DK486" s="42"/>
      <c r="DL486" s="42"/>
      <c r="DM486" s="42"/>
      <c r="DN486" s="42"/>
      <c r="DO486" s="42"/>
      <c r="DP486" s="42"/>
      <c r="DQ486" s="42"/>
      <c r="DR486" s="42"/>
      <c r="DS486" s="42"/>
      <c r="DT486" s="42"/>
      <c r="DU486" s="42"/>
      <c r="DV486" s="42"/>
      <c r="DW486" s="42"/>
      <c r="DX486" s="42"/>
      <c r="DY486" s="42"/>
      <c r="DZ486" s="42"/>
      <c r="EA486" s="42"/>
      <c r="EB486" s="42"/>
      <c r="EC486" s="42"/>
      <c r="ED486" s="42"/>
      <c r="EE486" s="42"/>
      <c r="EF486" s="42"/>
      <c r="EG486" s="42"/>
      <c r="EH486" s="42"/>
      <c r="EI486" s="42"/>
      <c r="EJ486" s="42"/>
      <c r="EK486" s="42"/>
      <c r="EL486" s="42"/>
      <c r="EM486" s="42"/>
      <c r="EN486" s="42"/>
      <c r="EO486" s="42"/>
      <c r="EP486" s="42"/>
      <c r="EQ486" s="42"/>
      <c r="ER486" s="42"/>
      <c r="ES486" s="42"/>
      <c r="ET486" s="42"/>
      <c r="EU486" s="42"/>
      <c r="EV486" s="42"/>
      <c r="EW486" s="42"/>
      <c r="EX486" s="42"/>
      <c r="EY486" s="42"/>
      <c r="EZ486" s="42"/>
      <c r="FA486" s="42"/>
      <c r="FB486" s="42"/>
      <c r="FC486" s="42"/>
      <c r="FD486" s="42"/>
      <c r="FE486" s="42"/>
      <c r="FF486" s="42"/>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row>
    <row r="487" spans="1:256" ht="13.8" x14ac:dyDescent="0.3">
      <c r="A487" s="42"/>
      <c r="B487" s="42"/>
      <c r="C487" s="42"/>
      <c r="D487" s="42"/>
      <c r="E487" s="42"/>
      <c r="F487" s="42"/>
      <c r="G487" s="42"/>
      <c r="H487" s="42"/>
      <c r="I487" s="42"/>
      <c r="J487" s="42"/>
      <c r="K487" s="42"/>
      <c r="L487" s="42"/>
      <c r="M487" s="42"/>
      <c r="N487" s="42"/>
      <c r="O487" s="42"/>
      <c r="P487" s="42"/>
      <c r="Q487" s="42"/>
      <c r="R487" s="42"/>
      <c r="S487" s="42"/>
      <c r="T487" s="42"/>
      <c r="U487" s="194"/>
      <c r="V487" s="42"/>
      <c r="W487" s="42"/>
      <c r="X487" s="42"/>
      <c r="Y487" s="42"/>
      <c r="Z487" s="42"/>
      <c r="AA487" s="42"/>
      <c r="AB487" s="195"/>
      <c r="AC487" s="42"/>
      <c r="AD487" s="42"/>
      <c r="AE487" s="195"/>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c r="BM487" s="42"/>
      <c r="BN487" s="42"/>
      <c r="BO487" s="42"/>
      <c r="BP487" s="42"/>
      <c r="BQ487" s="42"/>
      <c r="BR487" s="42"/>
      <c r="BS487" s="42"/>
      <c r="BT487" s="42"/>
      <c r="BU487" s="42"/>
      <c r="BV487" s="42"/>
      <c r="BW487" s="42"/>
      <c r="BX487" s="42"/>
      <c r="BY487" s="42"/>
      <c r="BZ487" s="42"/>
      <c r="CA487" s="42"/>
      <c r="CB487" s="42"/>
      <c r="CC487" s="42"/>
      <c r="CD487" s="42"/>
      <c r="CE487" s="42"/>
      <c r="CF487" s="42"/>
      <c r="CG487" s="42"/>
      <c r="CH487" s="42"/>
      <c r="CI487" s="42"/>
      <c r="CJ487" s="42"/>
      <c r="CK487" s="42"/>
      <c r="CL487" s="42"/>
      <c r="CM487" s="42"/>
      <c r="CN487" s="42"/>
      <c r="CO487" s="42"/>
      <c r="CP487" s="42"/>
      <c r="CQ487" s="42"/>
      <c r="CR487" s="42"/>
      <c r="CS487" s="42"/>
      <c r="CT487" s="42"/>
      <c r="CU487" s="42"/>
      <c r="CV487" s="42"/>
      <c r="CW487" s="42"/>
      <c r="CX487" s="42"/>
      <c r="CY487" s="42"/>
      <c r="CZ487" s="42"/>
      <c r="DA487" s="42"/>
      <c r="DB487" s="42"/>
      <c r="DC487" s="42"/>
      <c r="DD487" s="42"/>
      <c r="DE487" s="42"/>
      <c r="DF487" s="42"/>
      <c r="DG487" s="42"/>
      <c r="DH487" s="42"/>
      <c r="DI487" s="42"/>
      <c r="DJ487" s="42"/>
      <c r="DK487" s="42"/>
      <c r="DL487" s="42"/>
      <c r="DM487" s="42"/>
      <c r="DN487" s="42"/>
      <c r="DO487" s="42"/>
      <c r="DP487" s="42"/>
      <c r="DQ487" s="42"/>
      <c r="DR487" s="42"/>
      <c r="DS487" s="42"/>
      <c r="DT487" s="42"/>
      <c r="DU487" s="42"/>
      <c r="DV487" s="42"/>
      <c r="DW487" s="42"/>
      <c r="DX487" s="42"/>
      <c r="DY487" s="42"/>
      <c r="DZ487" s="42"/>
      <c r="EA487" s="42"/>
      <c r="EB487" s="42"/>
      <c r="EC487" s="42"/>
      <c r="ED487" s="42"/>
      <c r="EE487" s="42"/>
      <c r="EF487" s="42"/>
      <c r="EG487" s="42"/>
      <c r="EH487" s="42"/>
      <c r="EI487" s="42"/>
      <c r="EJ487" s="42"/>
      <c r="EK487" s="42"/>
      <c r="EL487" s="42"/>
      <c r="EM487" s="42"/>
      <c r="EN487" s="42"/>
      <c r="EO487" s="42"/>
      <c r="EP487" s="42"/>
      <c r="EQ487" s="42"/>
      <c r="ER487" s="42"/>
      <c r="ES487" s="42"/>
      <c r="ET487" s="42"/>
      <c r="EU487" s="42"/>
      <c r="EV487" s="42"/>
      <c r="EW487" s="42"/>
      <c r="EX487" s="42"/>
      <c r="EY487" s="42"/>
      <c r="EZ487" s="42"/>
      <c r="FA487" s="42"/>
      <c r="FB487" s="42"/>
      <c r="FC487" s="42"/>
      <c r="FD487" s="42"/>
      <c r="FE487" s="42"/>
      <c r="FF487" s="42"/>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row>
    <row r="488" spans="1:256" ht="13.8" x14ac:dyDescent="0.3">
      <c r="A488" s="42"/>
      <c r="B488" s="42"/>
      <c r="C488" s="42"/>
      <c r="D488" s="42"/>
      <c r="E488" s="42"/>
      <c r="F488" s="42"/>
      <c r="G488" s="42"/>
      <c r="H488" s="42"/>
      <c r="I488" s="42"/>
      <c r="J488" s="42"/>
      <c r="K488" s="42"/>
      <c r="L488" s="42"/>
      <c r="M488" s="42"/>
      <c r="N488" s="42"/>
      <c r="O488" s="42"/>
      <c r="P488" s="42"/>
      <c r="Q488" s="42"/>
      <c r="R488" s="42"/>
      <c r="S488" s="42"/>
      <c r="T488" s="42"/>
      <c r="U488" s="194"/>
      <c r="V488" s="42"/>
      <c r="W488" s="42"/>
      <c r="X488" s="42"/>
      <c r="Y488" s="42"/>
      <c r="Z488" s="42"/>
      <c r="AA488" s="42"/>
      <c r="AB488" s="195"/>
      <c r="AC488" s="42"/>
      <c r="AD488" s="42"/>
      <c r="AE488" s="195"/>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c r="BM488" s="42"/>
      <c r="BN488" s="42"/>
      <c r="BO488" s="42"/>
      <c r="BP488" s="42"/>
      <c r="BQ488" s="42"/>
      <c r="BR488" s="42"/>
      <c r="BS488" s="42"/>
      <c r="BT488" s="42"/>
      <c r="BU488" s="42"/>
      <c r="BV488" s="42"/>
      <c r="BW488" s="42"/>
      <c r="BX488" s="42"/>
      <c r="BY488" s="42"/>
      <c r="BZ488" s="42"/>
      <c r="CA488" s="42"/>
      <c r="CB488" s="42"/>
      <c r="CC488" s="42"/>
      <c r="CD488" s="42"/>
      <c r="CE488" s="42"/>
      <c r="CF488" s="42"/>
      <c r="CG488" s="42"/>
      <c r="CH488" s="42"/>
      <c r="CI488" s="42"/>
      <c r="CJ488" s="42"/>
      <c r="CK488" s="42"/>
      <c r="CL488" s="42"/>
      <c r="CM488" s="42"/>
      <c r="CN488" s="42"/>
      <c r="CO488" s="42"/>
      <c r="CP488" s="42"/>
      <c r="CQ488" s="42"/>
      <c r="CR488" s="42"/>
      <c r="CS488" s="42"/>
      <c r="CT488" s="42"/>
      <c r="CU488" s="42"/>
      <c r="CV488" s="42"/>
      <c r="CW488" s="42"/>
      <c r="CX488" s="42"/>
      <c r="CY488" s="42"/>
      <c r="CZ488" s="42"/>
      <c r="DA488" s="42"/>
      <c r="DB488" s="42"/>
      <c r="DC488" s="42"/>
      <c r="DD488" s="42"/>
      <c r="DE488" s="42"/>
      <c r="DF488" s="42"/>
      <c r="DG488" s="42"/>
      <c r="DH488" s="42"/>
      <c r="DI488" s="42"/>
      <c r="DJ488" s="42"/>
      <c r="DK488" s="42"/>
      <c r="DL488" s="42"/>
      <c r="DM488" s="42"/>
      <c r="DN488" s="42"/>
      <c r="DO488" s="42"/>
      <c r="DP488" s="42"/>
      <c r="DQ488" s="42"/>
      <c r="DR488" s="42"/>
      <c r="DS488" s="42"/>
      <c r="DT488" s="42"/>
      <c r="DU488" s="42"/>
      <c r="DV488" s="42"/>
      <c r="DW488" s="42"/>
      <c r="DX488" s="42"/>
      <c r="DY488" s="42"/>
      <c r="DZ488" s="42"/>
      <c r="EA488" s="42"/>
      <c r="EB488" s="42"/>
      <c r="EC488" s="42"/>
      <c r="ED488" s="42"/>
      <c r="EE488" s="42"/>
      <c r="EF488" s="42"/>
      <c r="EG488" s="42"/>
      <c r="EH488" s="42"/>
      <c r="EI488" s="42"/>
      <c r="EJ488" s="42"/>
      <c r="EK488" s="42"/>
      <c r="EL488" s="42"/>
      <c r="EM488" s="42"/>
      <c r="EN488" s="42"/>
      <c r="EO488" s="42"/>
      <c r="EP488" s="42"/>
      <c r="EQ488" s="42"/>
      <c r="ER488" s="42"/>
      <c r="ES488" s="42"/>
      <c r="ET488" s="42"/>
      <c r="EU488" s="42"/>
      <c r="EV488" s="42"/>
      <c r="EW488" s="42"/>
      <c r="EX488" s="42"/>
      <c r="EY488" s="42"/>
      <c r="EZ488" s="42"/>
      <c r="FA488" s="42"/>
      <c r="FB488" s="42"/>
      <c r="FC488" s="42"/>
      <c r="FD488" s="42"/>
      <c r="FE488" s="42"/>
      <c r="FF488" s="42"/>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row>
    <row r="489" spans="1:256" ht="13.8" x14ac:dyDescent="0.3">
      <c r="A489" s="42"/>
      <c r="B489" s="42"/>
      <c r="C489" s="42"/>
      <c r="D489" s="42"/>
      <c r="E489" s="42"/>
      <c r="F489" s="42"/>
      <c r="G489" s="42"/>
      <c r="H489" s="42"/>
      <c r="I489" s="42"/>
      <c r="J489" s="42"/>
      <c r="K489" s="42"/>
      <c r="L489" s="42"/>
      <c r="M489" s="42"/>
      <c r="N489" s="42"/>
      <c r="O489" s="42"/>
      <c r="P489" s="42"/>
      <c r="Q489" s="42"/>
      <c r="R489" s="42"/>
      <c r="S489" s="42"/>
      <c r="T489" s="42"/>
      <c r="U489" s="194"/>
      <c r="V489" s="42"/>
      <c r="W489" s="42"/>
      <c r="X489" s="42"/>
      <c r="Y489" s="42"/>
      <c r="Z489" s="42"/>
      <c r="AA489" s="42"/>
      <c r="AB489" s="195"/>
      <c r="AC489" s="42"/>
      <c r="AD489" s="42"/>
      <c r="AE489" s="195"/>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c r="BM489" s="42"/>
      <c r="BN489" s="42"/>
      <c r="BO489" s="42"/>
      <c r="BP489" s="42"/>
      <c r="BQ489" s="42"/>
      <c r="BR489" s="42"/>
      <c r="BS489" s="42"/>
      <c r="BT489" s="42"/>
      <c r="BU489" s="42"/>
      <c r="BV489" s="42"/>
      <c r="BW489" s="42"/>
      <c r="BX489" s="42"/>
      <c r="BY489" s="42"/>
      <c r="BZ489" s="42"/>
      <c r="CA489" s="42"/>
      <c r="CB489" s="42"/>
      <c r="CC489" s="42"/>
      <c r="CD489" s="42"/>
      <c r="CE489" s="42"/>
      <c r="CF489" s="42"/>
      <c r="CG489" s="42"/>
      <c r="CH489" s="42"/>
      <c r="CI489" s="42"/>
      <c r="CJ489" s="42"/>
      <c r="CK489" s="42"/>
      <c r="CL489" s="42"/>
      <c r="CM489" s="42"/>
      <c r="CN489" s="42"/>
      <c r="CO489" s="42"/>
      <c r="CP489" s="42"/>
      <c r="CQ489" s="42"/>
      <c r="CR489" s="42"/>
      <c r="CS489" s="42"/>
      <c r="CT489" s="42"/>
      <c r="CU489" s="42"/>
      <c r="CV489" s="42"/>
      <c r="CW489" s="42"/>
      <c r="CX489" s="42"/>
      <c r="CY489" s="42"/>
      <c r="CZ489" s="42"/>
      <c r="DA489" s="42"/>
      <c r="DB489" s="42"/>
      <c r="DC489" s="42"/>
      <c r="DD489" s="42"/>
      <c r="DE489" s="42"/>
      <c r="DF489" s="42"/>
      <c r="DG489" s="42"/>
      <c r="DH489" s="42"/>
      <c r="DI489" s="42"/>
      <c r="DJ489" s="42"/>
      <c r="DK489" s="42"/>
      <c r="DL489" s="42"/>
      <c r="DM489" s="42"/>
      <c r="DN489" s="42"/>
      <c r="DO489" s="42"/>
      <c r="DP489" s="42"/>
      <c r="DQ489" s="42"/>
      <c r="DR489" s="42"/>
      <c r="DS489" s="42"/>
      <c r="DT489" s="42"/>
      <c r="DU489" s="42"/>
      <c r="DV489" s="42"/>
      <c r="DW489" s="42"/>
      <c r="DX489" s="42"/>
      <c r="DY489" s="42"/>
      <c r="DZ489" s="42"/>
      <c r="EA489" s="42"/>
      <c r="EB489" s="42"/>
      <c r="EC489" s="42"/>
      <c r="ED489" s="42"/>
      <c r="EE489" s="42"/>
      <c r="EF489" s="42"/>
      <c r="EG489" s="42"/>
      <c r="EH489" s="42"/>
      <c r="EI489" s="42"/>
      <c r="EJ489" s="42"/>
      <c r="EK489" s="42"/>
      <c r="EL489" s="42"/>
      <c r="EM489" s="42"/>
      <c r="EN489" s="42"/>
      <c r="EO489" s="42"/>
      <c r="EP489" s="42"/>
      <c r="EQ489" s="42"/>
      <c r="ER489" s="42"/>
      <c r="ES489" s="42"/>
      <c r="ET489" s="42"/>
      <c r="EU489" s="42"/>
      <c r="EV489" s="42"/>
      <c r="EW489" s="42"/>
      <c r="EX489" s="42"/>
      <c r="EY489" s="42"/>
      <c r="EZ489" s="42"/>
      <c r="FA489" s="42"/>
      <c r="FB489" s="42"/>
      <c r="FC489" s="42"/>
      <c r="FD489" s="42"/>
      <c r="FE489" s="42"/>
      <c r="FF489" s="42"/>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row>
    <row r="490" spans="1:256" ht="13.8" x14ac:dyDescent="0.3">
      <c r="A490" s="42"/>
      <c r="B490" s="42"/>
      <c r="C490" s="42"/>
      <c r="D490" s="42"/>
      <c r="E490" s="42"/>
      <c r="F490" s="42"/>
      <c r="G490" s="42"/>
      <c r="H490" s="42"/>
      <c r="I490" s="42"/>
      <c r="J490" s="42"/>
      <c r="K490" s="42"/>
      <c r="L490" s="42"/>
      <c r="M490" s="42"/>
      <c r="N490" s="42"/>
      <c r="O490" s="42"/>
      <c r="P490" s="42"/>
      <c r="Q490" s="42"/>
      <c r="R490" s="42"/>
      <c r="S490" s="42"/>
      <c r="T490" s="42"/>
      <c r="U490" s="194"/>
      <c r="V490" s="42"/>
      <c r="W490" s="42"/>
      <c r="X490" s="42"/>
      <c r="Y490" s="42"/>
      <c r="Z490" s="42"/>
      <c r="AA490" s="42"/>
      <c r="AB490" s="195"/>
      <c r="AC490" s="42"/>
      <c r="AD490" s="42"/>
      <c r="AE490" s="195"/>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c r="BM490" s="42"/>
      <c r="BN490" s="42"/>
      <c r="BO490" s="42"/>
      <c r="BP490" s="42"/>
      <c r="BQ490" s="42"/>
      <c r="BR490" s="42"/>
      <c r="BS490" s="42"/>
      <c r="BT490" s="42"/>
      <c r="BU490" s="42"/>
      <c r="BV490" s="42"/>
      <c r="BW490" s="42"/>
      <c r="BX490" s="42"/>
      <c r="BY490" s="42"/>
      <c r="BZ490" s="42"/>
      <c r="CA490" s="42"/>
      <c r="CB490" s="42"/>
      <c r="CC490" s="42"/>
      <c r="CD490" s="42"/>
      <c r="CE490" s="42"/>
      <c r="CF490" s="42"/>
      <c r="CG490" s="42"/>
      <c r="CH490" s="42"/>
      <c r="CI490" s="42"/>
      <c r="CJ490" s="42"/>
      <c r="CK490" s="42"/>
      <c r="CL490" s="42"/>
      <c r="CM490" s="42"/>
      <c r="CN490" s="42"/>
      <c r="CO490" s="42"/>
      <c r="CP490" s="42"/>
      <c r="CQ490" s="42"/>
      <c r="CR490" s="42"/>
      <c r="CS490" s="42"/>
      <c r="CT490" s="42"/>
      <c r="CU490" s="42"/>
      <c r="CV490" s="42"/>
      <c r="CW490" s="42"/>
      <c r="CX490" s="42"/>
      <c r="CY490" s="42"/>
      <c r="CZ490" s="42"/>
      <c r="DA490" s="42"/>
      <c r="DB490" s="42"/>
      <c r="DC490" s="42"/>
      <c r="DD490" s="42"/>
      <c r="DE490" s="42"/>
      <c r="DF490" s="42"/>
      <c r="DG490" s="42"/>
      <c r="DH490" s="42"/>
      <c r="DI490" s="42"/>
      <c r="DJ490" s="42"/>
      <c r="DK490" s="42"/>
      <c r="DL490" s="42"/>
      <c r="DM490" s="42"/>
      <c r="DN490" s="42"/>
      <c r="DO490" s="42"/>
      <c r="DP490" s="42"/>
      <c r="DQ490" s="42"/>
      <c r="DR490" s="42"/>
      <c r="DS490" s="42"/>
      <c r="DT490" s="42"/>
      <c r="DU490" s="42"/>
      <c r="DV490" s="42"/>
      <c r="DW490" s="42"/>
      <c r="DX490" s="42"/>
      <c r="DY490" s="42"/>
      <c r="DZ490" s="42"/>
      <c r="EA490" s="42"/>
      <c r="EB490" s="42"/>
      <c r="EC490" s="42"/>
      <c r="ED490" s="42"/>
      <c r="EE490" s="42"/>
      <c r="EF490" s="42"/>
      <c r="EG490" s="42"/>
      <c r="EH490" s="42"/>
      <c r="EI490" s="42"/>
      <c r="EJ490" s="42"/>
      <c r="EK490" s="42"/>
      <c r="EL490" s="42"/>
      <c r="EM490" s="42"/>
      <c r="EN490" s="42"/>
      <c r="EO490" s="42"/>
      <c r="EP490" s="42"/>
      <c r="EQ490" s="42"/>
      <c r="ER490" s="42"/>
      <c r="ES490" s="42"/>
      <c r="ET490" s="42"/>
      <c r="EU490" s="42"/>
      <c r="EV490" s="42"/>
      <c r="EW490" s="42"/>
      <c r="EX490" s="42"/>
      <c r="EY490" s="42"/>
      <c r="EZ490" s="42"/>
      <c r="FA490" s="42"/>
      <c r="FB490" s="42"/>
      <c r="FC490" s="42"/>
      <c r="FD490" s="42"/>
      <c r="FE490" s="42"/>
      <c r="FF490" s="42"/>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row>
    <row r="491" spans="1:256" ht="13.8" x14ac:dyDescent="0.3">
      <c r="A491" s="42"/>
      <c r="B491" s="42"/>
      <c r="C491" s="42"/>
      <c r="D491" s="42"/>
      <c r="E491" s="42"/>
      <c r="F491" s="42"/>
      <c r="G491" s="42"/>
      <c r="H491" s="42"/>
      <c r="I491" s="42"/>
      <c r="J491" s="42"/>
      <c r="K491" s="42"/>
      <c r="L491" s="42"/>
      <c r="M491" s="42"/>
      <c r="N491" s="42"/>
      <c r="O491" s="42"/>
      <c r="P491" s="42"/>
      <c r="Q491" s="42"/>
      <c r="R491" s="42"/>
      <c r="S491" s="42"/>
      <c r="T491" s="42"/>
      <c r="U491" s="194"/>
      <c r="V491" s="42"/>
      <c r="W491" s="42"/>
      <c r="X491" s="42"/>
      <c r="Y491" s="42"/>
      <c r="Z491" s="42"/>
      <c r="AA491" s="42"/>
      <c r="AB491" s="195"/>
      <c r="AC491" s="42"/>
      <c r="AD491" s="42"/>
      <c r="AE491" s="195"/>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c r="BM491" s="42"/>
      <c r="BN491" s="42"/>
      <c r="BO491" s="42"/>
      <c r="BP491" s="42"/>
      <c r="BQ491" s="42"/>
      <c r="BR491" s="42"/>
      <c r="BS491" s="42"/>
      <c r="BT491" s="42"/>
      <c r="BU491" s="42"/>
      <c r="BV491" s="42"/>
      <c r="BW491" s="42"/>
      <c r="BX491" s="42"/>
      <c r="BY491" s="42"/>
      <c r="BZ491" s="42"/>
      <c r="CA491" s="42"/>
      <c r="CB491" s="42"/>
      <c r="CC491" s="42"/>
      <c r="CD491" s="42"/>
      <c r="CE491" s="42"/>
      <c r="CF491" s="42"/>
      <c r="CG491" s="42"/>
      <c r="CH491" s="42"/>
      <c r="CI491" s="42"/>
      <c r="CJ491" s="42"/>
      <c r="CK491" s="42"/>
      <c r="CL491" s="42"/>
      <c r="CM491" s="42"/>
      <c r="CN491" s="42"/>
      <c r="CO491" s="42"/>
      <c r="CP491" s="42"/>
      <c r="CQ491" s="42"/>
      <c r="CR491" s="42"/>
      <c r="CS491" s="42"/>
      <c r="CT491" s="42"/>
      <c r="CU491" s="42"/>
      <c r="CV491" s="42"/>
      <c r="CW491" s="42"/>
      <c r="CX491" s="42"/>
      <c r="CY491" s="42"/>
      <c r="CZ491" s="42"/>
      <c r="DA491" s="42"/>
      <c r="DB491" s="42"/>
      <c r="DC491" s="42"/>
      <c r="DD491" s="42"/>
      <c r="DE491" s="42"/>
      <c r="DF491" s="42"/>
      <c r="DG491" s="42"/>
      <c r="DH491" s="42"/>
      <c r="DI491" s="42"/>
      <c r="DJ491" s="42"/>
      <c r="DK491" s="42"/>
      <c r="DL491" s="42"/>
      <c r="DM491" s="42"/>
      <c r="DN491" s="42"/>
      <c r="DO491" s="42"/>
      <c r="DP491" s="42"/>
      <c r="DQ491" s="42"/>
      <c r="DR491" s="42"/>
      <c r="DS491" s="42"/>
      <c r="DT491" s="42"/>
      <c r="DU491" s="42"/>
      <c r="DV491" s="42"/>
      <c r="DW491" s="42"/>
      <c r="DX491" s="42"/>
      <c r="DY491" s="42"/>
      <c r="DZ491" s="42"/>
      <c r="EA491" s="42"/>
      <c r="EB491" s="42"/>
      <c r="EC491" s="42"/>
      <c r="ED491" s="42"/>
      <c r="EE491" s="42"/>
      <c r="EF491" s="42"/>
      <c r="EG491" s="42"/>
      <c r="EH491" s="42"/>
      <c r="EI491" s="42"/>
      <c r="EJ491" s="42"/>
      <c r="EK491" s="42"/>
      <c r="EL491" s="42"/>
      <c r="EM491" s="42"/>
      <c r="EN491" s="42"/>
      <c r="EO491" s="42"/>
      <c r="EP491" s="42"/>
      <c r="EQ491" s="42"/>
      <c r="ER491" s="42"/>
      <c r="ES491" s="42"/>
      <c r="ET491" s="42"/>
      <c r="EU491" s="42"/>
      <c r="EV491" s="42"/>
      <c r="EW491" s="42"/>
      <c r="EX491" s="42"/>
      <c r="EY491" s="42"/>
      <c r="EZ491" s="42"/>
      <c r="FA491" s="42"/>
      <c r="FB491" s="42"/>
      <c r="FC491" s="42"/>
      <c r="FD491" s="42"/>
      <c r="FE491" s="42"/>
      <c r="FF491" s="42"/>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row>
    <row r="492" spans="1:256" ht="13.8" x14ac:dyDescent="0.3">
      <c r="A492" s="42"/>
      <c r="B492" s="42"/>
      <c r="C492" s="42"/>
      <c r="D492" s="42"/>
      <c r="E492" s="42"/>
      <c r="F492" s="42"/>
      <c r="G492" s="42"/>
      <c r="H492" s="42"/>
      <c r="I492" s="42"/>
      <c r="J492" s="42"/>
      <c r="K492" s="42"/>
      <c r="L492" s="42"/>
      <c r="M492" s="42"/>
      <c r="N492" s="42"/>
      <c r="O492" s="42"/>
      <c r="P492" s="42"/>
      <c r="Q492" s="42"/>
      <c r="R492" s="42"/>
      <c r="S492" s="42"/>
      <c r="T492" s="42"/>
      <c r="U492" s="194"/>
      <c r="V492" s="42"/>
      <c r="W492" s="42"/>
      <c r="X492" s="42"/>
      <c r="Y492" s="42"/>
      <c r="Z492" s="42"/>
      <c r="AA492" s="42"/>
      <c r="AB492" s="195"/>
      <c r="AC492" s="42"/>
      <c r="AD492" s="42"/>
      <c r="AE492" s="195"/>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c r="BM492" s="42"/>
      <c r="BN492" s="42"/>
      <c r="BO492" s="42"/>
      <c r="BP492" s="42"/>
      <c r="BQ492" s="42"/>
      <c r="BR492" s="42"/>
      <c r="BS492" s="42"/>
      <c r="BT492" s="42"/>
      <c r="BU492" s="42"/>
      <c r="BV492" s="42"/>
      <c r="BW492" s="42"/>
      <c r="BX492" s="42"/>
      <c r="BY492" s="42"/>
      <c r="BZ492" s="42"/>
      <c r="CA492" s="42"/>
      <c r="CB492" s="42"/>
      <c r="CC492" s="42"/>
      <c r="CD492" s="42"/>
      <c r="CE492" s="42"/>
      <c r="CF492" s="42"/>
      <c r="CG492" s="42"/>
      <c r="CH492" s="42"/>
      <c r="CI492" s="42"/>
      <c r="CJ492" s="42"/>
      <c r="CK492" s="42"/>
      <c r="CL492" s="42"/>
      <c r="CM492" s="42"/>
      <c r="CN492" s="42"/>
      <c r="CO492" s="42"/>
      <c r="CP492" s="42"/>
      <c r="CQ492" s="42"/>
      <c r="CR492" s="42"/>
      <c r="CS492" s="42"/>
      <c r="CT492" s="42"/>
      <c r="CU492" s="42"/>
      <c r="CV492" s="42"/>
      <c r="CW492" s="42"/>
      <c r="CX492" s="42"/>
      <c r="CY492" s="42"/>
      <c r="CZ492" s="42"/>
      <c r="DA492" s="42"/>
      <c r="DB492" s="42"/>
      <c r="DC492" s="42"/>
      <c r="DD492" s="42"/>
      <c r="DE492" s="42"/>
      <c r="DF492" s="42"/>
      <c r="DG492" s="42"/>
      <c r="DH492" s="42"/>
      <c r="DI492" s="42"/>
      <c r="DJ492" s="42"/>
      <c r="DK492" s="42"/>
      <c r="DL492" s="42"/>
      <c r="DM492" s="42"/>
      <c r="DN492" s="42"/>
      <c r="DO492" s="42"/>
      <c r="DP492" s="42"/>
      <c r="DQ492" s="42"/>
      <c r="DR492" s="42"/>
      <c r="DS492" s="42"/>
      <c r="DT492" s="42"/>
      <c r="DU492" s="42"/>
      <c r="DV492" s="42"/>
      <c r="DW492" s="42"/>
      <c r="DX492" s="42"/>
      <c r="DY492" s="42"/>
      <c r="DZ492" s="42"/>
      <c r="EA492" s="42"/>
      <c r="EB492" s="42"/>
      <c r="EC492" s="42"/>
      <c r="ED492" s="42"/>
      <c r="EE492" s="42"/>
      <c r="EF492" s="42"/>
      <c r="EG492" s="42"/>
      <c r="EH492" s="42"/>
      <c r="EI492" s="42"/>
      <c r="EJ492" s="42"/>
      <c r="EK492" s="42"/>
      <c r="EL492" s="42"/>
      <c r="EM492" s="42"/>
      <c r="EN492" s="42"/>
      <c r="EO492" s="42"/>
      <c r="EP492" s="42"/>
      <c r="EQ492" s="42"/>
      <c r="ER492" s="42"/>
      <c r="ES492" s="42"/>
      <c r="ET492" s="42"/>
      <c r="EU492" s="42"/>
      <c r="EV492" s="42"/>
      <c r="EW492" s="42"/>
      <c r="EX492" s="42"/>
      <c r="EY492" s="42"/>
      <c r="EZ492" s="42"/>
      <c r="FA492" s="42"/>
      <c r="FB492" s="42"/>
      <c r="FC492" s="42"/>
      <c r="FD492" s="42"/>
      <c r="FE492" s="42"/>
      <c r="FF492" s="42"/>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row>
    <row r="493" spans="1:256" ht="13.8" x14ac:dyDescent="0.3">
      <c r="A493" s="42"/>
      <c r="B493" s="42"/>
      <c r="C493" s="42"/>
      <c r="D493" s="42"/>
      <c r="E493" s="42"/>
      <c r="F493" s="42"/>
      <c r="G493" s="42"/>
      <c r="H493" s="42"/>
      <c r="I493" s="42"/>
      <c r="J493" s="42"/>
      <c r="K493" s="42"/>
      <c r="L493" s="42"/>
      <c r="M493" s="42"/>
      <c r="N493" s="42"/>
      <c r="O493" s="42"/>
      <c r="P493" s="42"/>
      <c r="Q493" s="42"/>
      <c r="R493" s="42"/>
      <c r="S493" s="42"/>
      <c r="T493" s="42"/>
      <c r="U493" s="194"/>
      <c r="V493" s="42"/>
      <c r="W493" s="42"/>
      <c r="X493" s="42"/>
      <c r="Y493" s="42"/>
      <c r="Z493" s="42"/>
      <c r="AA493" s="42"/>
      <c r="AB493" s="195"/>
      <c r="AC493" s="42"/>
      <c r="AD493" s="42"/>
      <c r="AE493" s="195"/>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c r="BM493" s="42"/>
      <c r="BN493" s="42"/>
      <c r="BO493" s="42"/>
      <c r="BP493" s="42"/>
      <c r="BQ493" s="42"/>
      <c r="BR493" s="42"/>
      <c r="BS493" s="42"/>
      <c r="BT493" s="42"/>
      <c r="BU493" s="42"/>
      <c r="BV493" s="42"/>
      <c r="BW493" s="42"/>
      <c r="BX493" s="42"/>
      <c r="BY493" s="42"/>
      <c r="BZ493" s="42"/>
      <c r="CA493" s="42"/>
      <c r="CB493" s="42"/>
      <c r="CC493" s="42"/>
      <c r="CD493" s="42"/>
      <c r="CE493" s="42"/>
      <c r="CF493" s="42"/>
      <c r="CG493" s="42"/>
      <c r="CH493" s="42"/>
      <c r="CI493" s="42"/>
      <c r="CJ493" s="42"/>
      <c r="CK493" s="42"/>
      <c r="CL493" s="42"/>
      <c r="CM493" s="42"/>
      <c r="CN493" s="42"/>
      <c r="CO493" s="42"/>
      <c r="CP493" s="42"/>
      <c r="CQ493" s="42"/>
      <c r="CR493" s="42"/>
      <c r="CS493" s="42"/>
      <c r="CT493" s="42"/>
      <c r="CU493" s="42"/>
      <c r="CV493" s="42"/>
      <c r="CW493" s="42"/>
      <c r="CX493" s="42"/>
      <c r="CY493" s="42"/>
      <c r="CZ493" s="42"/>
      <c r="DA493" s="42"/>
      <c r="DB493" s="42"/>
      <c r="DC493" s="42"/>
      <c r="DD493" s="42"/>
      <c r="DE493" s="42"/>
      <c r="DF493" s="42"/>
      <c r="DG493" s="42"/>
      <c r="DH493" s="42"/>
      <c r="DI493" s="42"/>
      <c r="DJ493" s="42"/>
      <c r="DK493" s="42"/>
      <c r="DL493" s="42"/>
      <c r="DM493" s="42"/>
      <c r="DN493" s="42"/>
      <c r="DO493" s="42"/>
      <c r="DP493" s="42"/>
      <c r="DQ493" s="42"/>
      <c r="DR493" s="42"/>
      <c r="DS493" s="42"/>
      <c r="DT493" s="42"/>
      <c r="DU493" s="42"/>
      <c r="DV493" s="42"/>
      <c r="DW493" s="42"/>
      <c r="DX493" s="42"/>
      <c r="DY493" s="42"/>
      <c r="DZ493" s="42"/>
      <c r="EA493" s="42"/>
      <c r="EB493" s="42"/>
      <c r="EC493" s="42"/>
      <c r="ED493" s="42"/>
      <c r="EE493" s="42"/>
      <c r="EF493" s="42"/>
      <c r="EG493" s="42"/>
      <c r="EH493" s="42"/>
      <c r="EI493" s="42"/>
      <c r="EJ493" s="42"/>
      <c r="EK493" s="42"/>
      <c r="EL493" s="42"/>
      <c r="EM493" s="42"/>
      <c r="EN493" s="42"/>
      <c r="EO493" s="42"/>
      <c r="EP493" s="42"/>
      <c r="EQ493" s="42"/>
      <c r="ER493" s="42"/>
      <c r="ES493" s="42"/>
      <c r="ET493" s="42"/>
      <c r="EU493" s="42"/>
      <c r="EV493" s="42"/>
      <c r="EW493" s="42"/>
      <c r="EX493" s="42"/>
      <c r="EY493" s="42"/>
      <c r="EZ493" s="42"/>
      <c r="FA493" s="42"/>
      <c r="FB493" s="42"/>
      <c r="FC493" s="42"/>
      <c r="FD493" s="42"/>
      <c r="FE493" s="42"/>
      <c r="FF493" s="42"/>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row>
    <row r="494" spans="1:256" ht="13.8" x14ac:dyDescent="0.3">
      <c r="A494" s="42"/>
      <c r="B494" s="42"/>
      <c r="C494" s="42"/>
      <c r="D494" s="42"/>
      <c r="E494" s="42"/>
      <c r="F494" s="42"/>
      <c r="G494" s="42"/>
      <c r="H494" s="42"/>
      <c r="I494" s="42"/>
      <c r="J494" s="42"/>
      <c r="K494" s="42"/>
      <c r="L494" s="42"/>
      <c r="M494" s="42"/>
      <c r="N494" s="42"/>
      <c r="O494" s="42"/>
      <c r="P494" s="42"/>
      <c r="Q494" s="42"/>
      <c r="R494" s="42"/>
      <c r="S494" s="42"/>
      <c r="T494" s="42"/>
      <c r="U494" s="194"/>
      <c r="V494" s="42"/>
      <c r="W494" s="42"/>
      <c r="X494" s="42"/>
      <c r="Y494" s="42"/>
      <c r="Z494" s="42"/>
      <c r="AA494" s="42"/>
      <c r="AB494" s="195"/>
      <c r="AC494" s="42"/>
      <c r="AD494" s="42"/>
      <c r="AE494" s="195"/>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c r="BM494" s="42"/>
      <c r="BN494" s="42"/>
      <c r="BO494" s="42"/>
      <c r="BP494" s="42"/>
      <c r="BQ494" s="42"/>
      <c r="BR494" s="42"/>
      <c r="BS494" s="42"/>
      <c r="BT494" s="42"/>
      <c r="BU494" s="42"/>
      <c r="BV494" s="42"/>
      <c r="BW494" s="42"/>
      <c r="BX494" s="42"/>
      <c r="BY494" s="42"/>
      <c r="BZ494" s="42"/>
      <c r="CA494" s="42"/>
      <c r="CB494" s="42"/>
      <c r="CC494" s="42"/>
      <c r="CD494" s="42"/>
      <c r="CE494" s="42"/>
      <c r="CF494" s="42"/>
      <c r="CG494" s="42"/>
      <c r="CH494" s="42"/>
      <c r="CI494" s="42"/>
      <c r="CJ494" s="42"/>
      <c r="CK494" s="42"/>
      <c r="CL494" s="42"/>
      <c r="CM494" s="42"/>
      <c r="CN494" s="42"/>
      <c r="CO494" s="42"/>
      <c r="CP494" s="42"/>
      <c r="CQ494" s="42"/>
      <c r="CR494" s="42"/>
      <c r="CS494" s="42"/>
      <c r="CT494" s="42"/>
      <c r="CU494" s="42"/>
      <c r="CV494" s="42"/>
      <c r="CW494" s="42"/>
      <c r="CX494" s="42"/>
      <c r="CY494" s="42"/>
      <c r="CZ494" s="42"/>
      <c r="DA494" s="42"/>
      <c r="DB494" s="42"/>
      <c r="DC494" s="42"/>
      <c r="DD494" s="42"/>
      <c r="DE494" s="42"/>
      <c r="DF494" s="42"/>
      <c r="DG494" s="42"/>
      <c r="DH494" s="42"/>
      <c r="DI494" s="42"/>
      <c r="DJ494" s="42"/>
      <c r="DK494" s="42"/>
      <c r="DL494" s="42"/>
      <c r="DM494" s="42"/>
      <c r="DN494" s="42"/>
      <c r="DO494" s="42"/>
      <c r="DP494" s="42"/>
      <c r="DQ494" s="42"/>
      <c r="DR494" s="42"/>
      <c r="DS494" s="42"/>
      <c r="DT494" s="42"/>
      <c r="DU494" s="42"/>
      <c r="DV494" s="42"/>
      <c r="DW494" s="42"/>
      <c r="DX494" s="42"/>
      <c r="DY494" s="42"/>
      <c r="DZ494" s="42"/>
      <c r="EA494" s="42"/>
      <c r="EB494" s="42"/>
      <c r="EC494" s="42"/>
      <c r="ED494" s="42"/>
      <c r="EE494" s="42"/>
      <c r="EF494" s="42"/>
      <c r="EG494" s="42"/>
      <c r="EH494" s="42"/>
      <c r="EI494" s="42"/>
      <c r="EJ494" s="42"/>
      <c r="EK494" s="42"/>
      <c r="EL494" s="42"/>
      <c r="EM494" s="42"/>
      <c r="EN494" s="42"/>
      <c r="EO494" s="42"/>
      <c r="EP494" s="42"/>
      <c r="EQ494" s="42"/>
      <c r="ER494" s="42"/>
      <c r="ES494" s="42"/>
      <c r="ET494" s="42"/>
      <c r="EU494" s="42"/>
      <c r="EV494" s="42"/>
      <c r="EW494" s="42"/>
      <c r="EX494" s="42"/>
      <c r="EY494" s="42"/>
      <c r="EZ494" s="42"/>
      <c r="FA494" s="42"/>
      <c r="FB494" s="42"/>
      <c r="FC494" s="42"/>
      <c r="FD494" s="42"/>
      <c r="FE494" s="42"/>
      <c r="FF494" s="42"/>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row>
    <row r="495" spans="1:256" ht="13.8" x14ac:dyDescent="0.3">
      <c r="A495" s="42"/>
      <c r="B495" s="42"/>
      <c r="C495" s="42"/>
      <c r="D495" s="42"/>
      <c r="E495" s="42"/>
      <c r="F495" s="42"/>
      <c r="G495" s="42"/>
      <c r="H495" s="42"/>
      <c r="I495" s="42"/>
      <c r="J495" s="42"/>
      <c r="K495" s="42"/>
      <c r="L495" s="42"/>
      <c r="M495" s="42"/>
      <c r="N495" s="42"/>
      <c r="O495" s="42"/>
      <c r="P495" s="42"/>
      <c r="Q495" s="42"/>
      <c r="R495" s="42"/>
      <c r="S495" s="42"/>
      <c r="T495" s="42"/>
      <c r="U495" s="194"/>
      <c r="V495" s="42"/>
      <c r="W495" s="42"/>
      <c r="X495" s="42"/>
      <c r="Y495" s="42"/>
      <c r="Z495" s="42"/>
      <c r="AA495" s="42"/>
      <c r="AB495" s="195"/>
      <c r="AC495" s="42"/>
      <c r="AD495" s="42"/>
      <c r="AE495" s="195"/>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c r="BM495" s="42"/>
      <c r="BN495" s="42"/>
      <c r="BO495" s="42"/>
      <c r="BP495" s="42"/>
      <c r="BQ495" s="42"/>
      <c r="BR495" s="42"/>
      <c r="BS495" s="42"/>
      <c r="BT495" s="42"/>
      <c r="BU495" s="42"/>
      <c r="BV495" s="42"/>
      <c r="BW495" s="42"/>
      <c r="BX495" s="42"/>
      <c r="BY495" s="42"/>
      <c r="BZ495" s="42"/>
      <c r="CA495" s="42"/>
      <c r="CB495" s="42"/>
      <c r="CC495" s="42"/>
      <c r="CD495" s="42"/>
      <c r="CE495" s="42"/>
      <c r="CF495" s="42"/>
      <c r="CG495" s="42"/>
      <c r="CH495" s="42"/>
      <c r="CI495" s="42"/>
      <c r="CJ495" s="42"/>
      <c r="CK495" s="42"/>
      <c r="CL495" s="42"/>
      <c r="CM495" s="42"/>
      <c r="CN495" s="42"/>
      <c r="CO495" s="42"/>
      <c r="CP495" s="42"/>
      <c r="CQ495" s="42"/>
      <c r="CR495" s="42"/>
      <c r="CS495" s="42"/>
      <c r="CT495" s="42"/>
      <c r="CU495" s="42"/>
      <c r="CV495" s="42"/>
      <c r="CW495" s="42"/>
      <c r="CX495" s="42"/>
      <c r="CY495" s="42"/>
      <c r="CZ495" s="42"/>
      <c r="DA495" s="42"/>
      <c r="DB495" s="42"/>
      <c r="DC495" s="42"/>
      <c r="DD495" s="42"/>
      <c r="DE495" s="42"/>
      <c r="DF495" s="42"/>
      <c r="DG495" s="42"/>
      <c r="DH495" s="42"/>
      <c r="DI495" s="42"/>
      <c r="DJ495" s="42"/>
      <c r="DK495" s="42"/>
      <c r="DL495" s="42"/>
      <c r="DM495" s="42"/>
      <c r="DN495" s="42"/>
      <c r="DO495" s="42"/>
      <c r="DP495" s="42"/>
      <c r="DQ495" s="42"/>
      <c r="DR495" s="42"/>
      <c r="DS495" s="42"/>
      <c r="DT495" s="42"/>
      <c r="DU495" s="42"/>
      <c r="DV495" s="42"/>
      <c r="DW495" s="42"/>
      <c r="DX495" s="42"/>
      <c r="DY495" s="42"/>
      <c r="DZ495" s="42"/>
      <c r="EA495" s="42"/>
      <c r="EB495" s="42"/>
      <c r="EC495" s="42"/>
      <c r="ED495" s="42"/>
      <c r="EE495" s="42"/>
      <c r="EF495" s="42"/>
      <c r="EG495" s="42"/>
      <c r="EH495" s="42"/>
      <c r="EI495" s="42"/>
      <c r="EJ495" s="42"/>
      <c r="EK495" s="42"/>
      <c r="EL495" s="42"/>
      <c r="EM495" s="42"/>
      <c r="EN495" s="42"/>
      <c r="EO495" s="42"/>
      <c r="EP495" s="42"/>
      <c r="EQ495" s="42"/>
      <c r="ER495" s="42"/>
      <c r="ES495" s="42"/>
      <c r="ET495" s="42"/>
      <c r="EU495" s="42"/>
      <c r="EV495" s="42"/>
      <c r="EW495" s="42"/>
      <c r="EX495" s="42"/>
      <c r="EY495" s="42"/>
      <c r="EZ495" s="42"/>
      <c r="FA495" s="42"/>
      <c r="FB495" s="42"/>
      <c r="FC495" s="42"/>
      <c r="FD495" s="42"/>
      <c r="FE495" s="42"/>
      <c r="FF495" s="42"/>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row>
    <row r="496" spans="1:256" ht="13.8" x14ac:dyDescent="0.3">
      <c r="A496" s="42"/>
      <c r="B496" s="42"/>
      <c r="C496" s="42"/>
      <c r="D496" s="42"/>
      <c r="E496" s="42"/>
      <c r="F496" s="42"/>
      <c r="G496" s="42"/>
      <c r="H496" s="42"/>
      <c r="I496" s="42"/>
      <c r="J496" s="42"/>
      <c r="K496" s="42"/>
      <c r="L496" s="42"/>
      <c r="M496" s="42"/>
      <c r="N496" s="42"/>
      <c r="O496" s="42"/>
      <c r="P496" s="42"/>
      <c r="Q496" s="42"/>
      <c r="R496" s="42"/>
      <c r="S496" s="42"/>
      <c r="T496" s="42"/>
      <c r="U496" s="194"/>
      <c r="V496" s="42"/>
      <c r="W496" s="42"/>
      <c r="X496" s="42"/>
      <c r="Y496" s="42"/>
      <c r="Z496" s="42"/>
      <c r="AA496" s="42"/>
      <c r="AB496" s="195"/>
      <c r="AC496" s="42"/>
      <c r="AD496" s="42"/>
      <c r="AE496" s="195"/>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c r="BM496" s="42"/>
      <c r="BN496" s="42"/>
      <c r="BO496" s="42"/>
      <c r="BP496" s="42"/>
      <c r="BQ496" s="42"/>
      <c r="BR496" s="42"/>
      <c r="BS496" s="42"/>
      <c r="BT496" s="42"/>
      <c r="BU496" s="42"/>
      <c r="BV496" s="42"/>
      <c r="BW496" s="42"/>
      <c r="BX496" s="42"/>
      <c r="BY496" s="42"/>
      <c r="BZ496" s="42"/>
      <c r="CA496" s="42"/>
      <c r="CB496" s="42"/>
      <c r="CC496" s="42"/>
      <c r="CD496" s="42"/>
      <c r="CE496" s="42"/>
      <c r="CF496" s="42"/>
      <c r="CG496" s="42"/>
      <c r="CH496" s="42"/>
      <c r="CI496" s="42"/>
      <c r="CJ496" s="42"/>
      <c r="CK496" s="42"/>
      <c r="CL496" s="42"/>
      <c r="CM496" s="42"/>
      <c r="CN496" s="42"/>
      <c r="CO496" s="42"/>
      <c r="CP496" s="42"/>
      <c r="CQ496" s="42"/>
      <c r="CR496" s="42"/>
      <c r="CS496" s="42"/>
      <c r="CT496" s="42"/>
      <c r="CU496" s="42"/>
      <c r="CV496" s="42"/>
      <c r="CW496" s="42"/>
      <c r="CX496" s="42"/>
      <c r="CY496" s="42"/>
      <c r="CZ496" s="42"/>
      <c r="DA496" s="42"/>
      <c r="DB496" s="42"/>
      <c r="DC496" s="42"/>
      <c r="DD496" s="42"/>
      <c r="DE496" s="42"/>
      <c r="DF496" s="42"/>
      <c r="DG496" s="42"/>
      <c r="DH496" s="42"/>
      <c r="DI496" s="42"/>
      <c r="DJ496" s="42"/>
      <c r="DK496" s="42"/>
      <c r="DL496" s="42"/>
      <c r="DM496" s="42"/>
      <c r="DN496" s="42"/>
      <c r="DO496" s="42"/>
      <c r="DP496" s="42"/>
      <c r="DQ496" s="42"/>
      <c r="DR496" s="42"/>
      <c r="DS496" s="42"/>
      <c r="DT496" s="42"/>
      <c r="DU496" s="42"/>
      <c r="DV496" s="42"/>
      <c r="DW496" s="42"/>
      <c r="DX496" s="42"/>
      <c r="DY496" s="42"/>
      <c r="DZ496" s="42"/>
      <c r="EA496" s="42"/>
      <c r="EB496" s="42"/>
      <c r="EC496" s="42"/>
      <c r="ED496" s="42"/>
      <c r="EE496" s="42"/>
      <c r="EF496" s="42"/>
      <c r="EG496" s="42"/>
      <c r="EH496" s="42"/>
      <c r="EI496" s="42"/>
      <c r="EJ496" s="42"/>
      <c r="EK496" s="42"/>
      <c r="EL496" s="42"/>
      <c r="EM496" s="42"/>
      <c r="EN496" s="42"/>
      <c r="EO496" s="42"/>
      <c r="EP496" s="42"/>
      <c r="EQ496" s="42"/>
      <c r="ER496" s="42"/>
      <c r="ES496" s="42"/>
      <c r="ET496" s="42"/>
      <c r="EU496" s="42"/>
      <c r="EV496" s="42"/>
      <c r="EW496" s="42"/>
      <c r="EX496" s="42"/>
      <c r="EY496" s="42"/>
      <c r="EZ496" s="42"/>
      <c r="FA496" s="42"/>
      <c r="FB496" s="42"/>
      <c r="FC496" s="42"/>
      <c r="FD496" s="42"/>
      <c r="FE496" s="42"/>
      <c r="FF496" s="42"/>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row>
    <row r="497" spans="1:256" ht="13.8" x14ac:dyDescent="0.3">
      <c r="A497" s="42"/>
      <c r="B497" s="42"/>
      <c r="C497" s="42"/>
      <c r="D497" s="42"/>
      <c r="E497" s="42"/>
      <c r="F497" s="42"/>
      <c r="G497" s="42"/>
      <c r="H497" s="42"/>
      <c r="I497" s="42"/>
      <c r="J497" s="42"/>
      <c r="K497" s="42"/>
      <c r="L497" s="42"/>
      <c r="M497" s="42"/>
      <c r="N497" s="42"/>
      <c r="O497" s="42"/>
      <c r="P497" s="42"/>
      <c r="Q497" s="42"/>
      <c r="R497" s="42"/>
      <c r="S497" s="42"/>
      <c r="T497" s="42"/>
      <c r="U497" s="194"/>
      <c r="V497" s="42"/>
      <c r="W497" s="42"/>
      <c r="X497" s="42"/>
      <c r="Y497" s="42"/>
      <c r="Z497" s="42"/>
      <c r="AA497" s="42"/>
      <c r="AB497" s="195"/>
      <c r="AC497" s="42"/>
      <c r="AD497" s="42"/>
      <c r="AE497" s="195"/>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c r="BM497" s="42"/>
      <c r="BN497" s="42"/>
      <c r="BO497" s="42"/>
      <c r="BP497" s="42"/>
      <c r="BQ497" s="42"/>
      <c r="BR497" s="42"/>
      <c r="BS497" s="42"/>
      <c r="BT497" s="42"/>
      <c r="BU497" s="42"/>
      <c r="BV497" s="42"/>
      <c r="BW497" s="42"/>
      <c r="BX497" s="42"/>
      <c r="BY497" s="42"/>
      <c r="BZ497" s="42"/>
      <c r="CA497" s="42"/>
      <c r="CB497" s="42"/>
      <c r="CC497" s="42"/>
      <c r="CD497" s="42"/>
      <c r="CE497" s="42"/>
      <c r="CF497" s="42"/>
      <c r="CG497" s="42"/>
      <c r="CH497" s="42"/>
      <c r="CI497" s="42"/>
      <c r="CJ497" s="42"/>
      <c r="CK497" s="42"/>
      <c r="CL497" s="42"/>
      <c r="CM497" s="42"/>
      <c r="CN497" s="42"/>
      <c r="CO497" s="42"/>
      <c r="CP497" s="42"/>
      <c r="CQ497" s="42"/>
      <c r="CR497" s="42"/>
      <c r="CS497" s="42"/>
      <c r="CT497" s="42"/>
      <c r="CU497" s="42"/>
      <c r="CV497" s="42"/>
      <c r="CW497" s="42"/>
      <c r="CX497" s="42"/>
      <c r="CY497" s="42"/>
      <c r="CZ497" s="42"/>
      <c r="DA497" s="42"/>
      <c r="DB497" s="42"/>
      <c r="DC497" s="42"/>
      <c r="DD497" s="42"/>
      <c r="DE497" s="42"/>
      <c r="DF497" s="42"/>
      <c r="DG497" s="42"/>
      <c r="DH497" s="42"/>
      <c r="DI497" s="42"/>
      <c r="DJ497" s="42"/>
      <c r="DK497" s="42"/>
      <c r="DL497" s="42"/>
      <c r="DM497" s="42"/>
      <c r="DN497" s="42"/>
      <c r="DO497" s="42"/>
      <c r="DP497" s="42"/>
      <c r="DQ497" s="42"/>
      <c r="DR497" s="42"/>
      <c r="DS497" s="42"/>
      <c r="DT497" s="42"/>
      <c r="DU497" s="42"/>
      <c r="DV497" s="42"/>
      <c r="DW497" s="42"/>
      <c r="DX497" s="42"/>
      <c r="DY497" s="42"/>
      <c r="DZ497" s="42"/>
      <c r="EA497" s="42"/>
      <c r="EB497" s="42"/>
      <c r="EC497" s="42"/>
      <c r="ED497" s="42"/>
      <c r="EE497" s="42"/>
      <c r="EF497" s="42"/>
      <c r="EG497" s="42"/>
      <c r="EH497" s="42"/>
      <c r="EI497" s="42"/>
      <c r="EJ497" s="42"/>
      <c r="EK497" s="42"/>
      <c r="EL497" s="42"/>
      <c r="EM497" s="42"/>
      <c r="EN497" s="42"/>
      <c r="EO497" s="42"/>
      <c r="EP497" s="42"/>
      <c r="EQ497" s="42"/>
      <c r="ER497" s="42"/>
      <c r="ES497" s="42"/>
      <c r="ET497" s="42"/>
      <c r="EU497" s="42"/>
      <c r="EV497" s="42"/>
      <c r="EW497" s="42"/>
      <c r="EX497" s="42"/>
      <c r="EY497" s="42"/>
      <c r="EZ497" s="42"/>
      <c r="FA497" s="42"/>
      <c r="FB497" s="42"/>
      <c r="FC497" s="42"/>
      <c r="FD497" s="42"/>
      <c r="FE497" s="42"/>
      <c r="FF497" s="42"/>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row>
    <row r="498" spans="1:256" ht="13.8" x14ac:dyDescent="0.3">
      <c r="A498" s="42"/>
      <c r="B498" s="42"/>
      <c r="C498" s="42"/>
      <c r="D498" s="42"/>
      <c r="E498" s="42"/>
      <c r="F498" s="42"/>
      <c r="G498" s="42"/>
      <c r="H498" s="42"/>
      <c r="I498" s="42"/>
      <c r="J498" s="42"/>
      <c r="K498" s="42"/>
      <c r="L498" s="42"/>
      <c r="M498" s="42"/>
      <c r="N498" s="42"/>
      <c r="O498" s="42"/>
      <c r="P498" s="42"/>
      <c r="Q498" s="42"/>
      <c r="R498" s="42"/>
      <c r="S498" s="42"/>
      <c r="T498" s="42"/>
      <c r="U498" s="194"/>
      <c r="V498" s="42"/>
      <c r="W498" s="42"/>
      <c r="X498" s="42"/>
      <c r="Y498" s="42"/>
      <c r="Z498" s="42"/>
      <c r="AA498" s="42"/>
      <c r="AB498" s="195"/>
      <c r="AC498" s="42"/>
      <c r="AD498" s="42"/>
      <c r="AE498" s="195"/>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c r="BM498" s="42"/>
      <c r="BN498" s="42"/>
      <c r="BO498" s="42"/>
      <c r="BP498" s="42"/>
      <c r="BQ498" s="42"/>
      <c r="BR498" s="42"/>
      <c r="BS498" s="42"/>
      <c r="BT498" s="42"/>
      <c r="BU498" s="42"/>
      <c r="BV498" s="42"/>
      <c r="BW498" s="42"/>
      <c r="BX498" s="42"/>
      <c r="BY498" s="42"/>
      <c r="BZ498" s="42"/>
      <c r="CA498" s="42"/>
      <c r="CB498" s="42"/>
      <c r="CC498" s="42"/>
      <c r="CD498" s="42"/>
      <c r="CE498" s="42"/>
      <c r="CF498" s="42"/>
      <c r="CG498" s="42"/>
      <c r="CH498" s="42"/>
      <c r="CI498" s="42"/>
      <c r="CJ498" s="42"/>
      <c r="CK498" s="42"/>
      <c r="CL498" s="42"/>
      <c r="CM498" s="42"/>
      <c r="CN498" s="42"/>
      <c r="CO498" s="42"/>
      <c r="CP498" s="42"/>
      <c r="CQ498" s="42"/>
      <c r="CR498" s="42"/>
      <c r="CS498" s="42"/>
      <c r="CT498" s="42"/>
      <c r="CU498" s="42"/>
      <c r="CV498" s="42"/>
      <c r="CW498" s="42"/>
      <c r="CX498" s="42"/>
      <c r="CY498" s="42"/>
      <c r="CZ498" s="42"/>
      <c r="DA498" s="42"/>
      <c r="DB498" s="42"/>
      <c r="DC498" s="42"/>
      <c r="DD498" s="42"/>
      <c r="DE498" s="42"/>
      <c r="DF498" s="42"/>
      <c r="DG498" s="42"/>
      <c r="DH498" s="42"/>
      <c r="DI498" s="42"/>
      <c r="DJ498" s="42"/>
      <c r="DK498" s="42"/>
      <c r="DL498" s="42"/>
      <c r="DM498" s="42"/>
      <c r="DN498" s="42"/>
      <c r="DO498" s="42"/>
      <c r="DP498" s="42"/>
      <c r="DQ498" s="42"/>
      <c r="DR498" s="42"/>
      <c r="DS498" s="42"/>
      <c r="DT498" s="42"/>
      <c r="DU498" s="42"/>
      <c r="DV498" s="42"/>
      <c r="DW498" s="42"/>
      <c r="DX498" s="42"/>
      <c r="DY498" s="42"/>
      <c r="DZ498" s="42"/>
      <c r="EA498" s="42"/>
      <c r="EB498" s="42"/>
      <c r="EC498" s="42"/>
      <c r="ED498" s="42"/>
      <c r="EE498" s="42"/>
      <c r="EF498" s="42"/>
      <c r="EG498" s="42"/>
      <c r="EH498" s="42"/>
      <c r="EI498" s="42"/>
      <c r="EJ498" s="42"/>
      <c r="EK498" s="42"/>
      <c r="EL498" s="42"/>
      <c r="EM498" s="42"/>
      <c r="EN498" s="42"/>
      <c r="EO498" s="42"/>
      <c r="EP498" s="42"/>
      <c r="EQ498" s="42"/>
      <c r="ER498" s="42"/>
      <c r="ES498" s="42"/>
      <c r="ET498" s="42"/>
      <c r="EU498" s="42"/>
      <c r="EV498" s="42"/>
      <c r="EW498" s="42"/>
      <c r="EX498" s="42"/>
      <c r="EY498" s="42"/>
      <c r="EZ498" s="42"/>
      <c r="FA498" s="42"/>
      <c r="FB498" s="42"/>
      <c r="FC498" s="42"/>
      <c r="FD498" s="42"/>
      <c r="FE498" s="42"/>
      <c r="FF498" s="42"/>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row>
    <row r="499" spans="1:256" ht="13.8" x14ac:dyDescent="0.3">
      <c r="A499" s="42"/>
      <c r="B499" s="42"/>
      <c r="C499" s="42"/>
      <c r="D499" s="42"/>
      <c r="E499" s="42"/>
      <c r="F499" s="42"/>
      <c r="G499" s="42"/>
      <c r="H499" s="42"/>
      <c r="I499" s="42"/>
      <c r="J499" s="42"/>
      <c r="K499" s="42"/>
      <c r="L499" s="42"/>
      <c r="M499" s="42"/>
      <c r="N499" s="42"/>
      <c r="O499" s="42"/>
      <c r="P499" s="42"/>
      <c r="Q499" s="42"/>
      <c r="R499" s="42"/>
      <c r="S499" s="42"/>
      <c r="T499" s="42"/>
      <c r="U499" s="194"/>
      <c r="V499" s="42"/>
      <c r="W499" s="42"/>
      <c r="X499" s="42"/>
      <c r="Y499" s="42"/>
      <c r="Z499" s="42"/>
      <c r="AA499" s="42"/>
      <c r="AB499" s="195"/>
      <c r="AC499" s="42"/>
      <c r="AD499" s="42"/>
      <c r="AE499" s="195"/>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c r="BM499" s="42"/>
      <c r="BN499" s="42"/>
      <c r="BO499" s="42"/>
      <c r="BP499" s="42"/>
      <c r="BQ499" s="42"/>
      <c r="BR499" s="42"/>
      <c r="BS499" s="42"/>
      <c r="BT499" s="42"/>
      <c r="BU499" s="42"/>
      <c r="BV499" s="42"/>
      <c r="BW499" s="42"/>
      <c r="BX499" s="42"/>
      <c r="BY499" s="42"/>
      <c r="BZ499" s="42"/>
      <c r="CA499" s="42"/>
      <c r="CB499" s="42"/>
      <c r="CC499" s="42"/>
      <c r="CD499" s="42"/>
      <c r="CE499" s="42"/>
      <c r="CF499" s="42"/>
      <c r="CG499" s="42"/>
      <c r="CH499" s="42"/>
      <c r="CI499" s="42"/>
      <c r="CJ499" s="42"/>
      <c r="CK499" s="42"/>
      <c r="CL499" s="42"/>
      <c r="CM499" s="42"/>
      <c r="CN499" s="42"/>
      <c r="CO499" s="42"/>
      <c r="CP499" s="42"/>
      <c r="CQ499" s="42"/>
      <c r="CR499" s="42"/>
      <c r="CS499" s="42"/>
      <c r="CT499" s="42"/>
      <c r="CU499" s="42"/>
      <c r="CV499" s="42"/>
      <c r="CW499" s="42"/>
      <c r="CX499" s="42"/>
      <c r="CY499" s="42"/>
      <c r="CZ499" s="42"/>
      <c r="DA499" s="42"/>
      <c r="DB499" s="42"/>
      <c r="DC499" s="42"/>
      <c r="DD499" s="42"/>
      <c r="DE499" s="42"/>
      <c r="DF499" s="42"/>
      <c r="DG499" s="42"/>
      <c r="DH499" s="42"/>
      <c r="DI499" s="42"/>
      <c r="DJ499" s="42"/>
      <c r="DK499" s="42"/>
      <c r="DL499" s="42"/>
      <c r="DM499" s="42"/>
      <c r="DN499" s="42"/>
      <c r="DO499" s="42"/>
      <c r="DP499" s="42"/>
      <c r="DQ499" s="42"/>
      <c r="DR499" s="42"/>
      <c r="DS499" s="42"/>
      <c r="DT499" s="42"/>
      <c r="DU499" s="42"/>
      <c r="DV499" s="42"/>
      <c r="DW499" s="42"/>
      <c r="DX499" s="42"/>
      <c r="DY499" s="42"/>
      <c r="DZ499" s="42"/>
      <c r="EA499" s="42"/>
      <c r="EB499" s="42"/>
      <c r="EC499" s="42"/>
      <c r="ED499" s="42"/>
      <c r="EE499" s="42"/>
      <c r="EF499" s="42"/>
      <c r="EG499" s="42"/>
      <c r="EH499" s="42"/>
      <c r="EI499" s="42"/>
      <c r="EJ499" s="42"/>
      <c r="EK499" s="42"/>
      <c r="EL499" s="42"/>
      <c r="EM499" s="42"/>
      <c r="EN499" s="42"/>
      <c r="EO499" s="42"/>
      <c r="EP499" s="42"/>
      <c r="EQ499" s="42"/>
      <c r="ER499" s="42"/>
      <c r="ES499" s="42"/>
      <c r="ET499" s="42"/>
      <c r="EU499" s="42"/>
      <c r="EV499" s="42"/>
      <c r="EW499" s="42"/>
      <c r="EX499" s="42"/>
      <c r="EY499" s="42"/>
      <c r="EZ499" s="42"/>
      <c r="FA499" s="42"/>
      <c r="FB499" s="42"/>
      <c r="FC499" s="42"/>
      <c r="FD499" s="42"/>
      <c r="FE499" s="42"/>
      <c r="FF499" s="42"/>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row>
    <row r="500" spans="1:256" ht="13.8" x14ac:dyDescent="0.3">
      <c r="A500" s="42"/>
      <c r="B500" s="42"/>
      <c r="C500" s="42"/>
      <c r="D500" s="42"/>
      <c r="E500" s="42"/>
      <c r="F500" s="42"/>
      <c r="G500" s="42"/>
      <c r="H500" s="42"/>
      <c r="I500" s="42"/>
      <c r="J500" s="42"/>
      <c r="K500" s="42"/>
      <c r="L500" s="42"/>
      <c r="M500" s="42"/>
      <c r="N500" s="42"/>
      <c r="O500" s="42"/>
      <c r="P500" s="42"/>
      <c r="Q500" s="42"/>
      <c r="R500" s="42"/>
      <c r="S500" s="42"/>
      <c r="T500" s="42"/>
      <c r="U500" s="194"/>
      <c r="V500" s="42"/>
      <c r="W500" s="42"/>
      <c r="X500" s="42"/>
      <c r="Y500" s="42"/>
      <c r="Z500" s="42"/>
      <c r="AA500" s="42"/>
      <c r="AB500" s="195"/>
      <c r="AC500" s="42"/>
      <c r="AD500" s="42"/>
      <c r="AE500" s="195"/>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c r="BM500" s="42"/>
      <c r="BN500" s="42"/>
      <c r="BO500" s="42"/>
      <c r="BP500" s="42"/>
      <c r="BQ500" s="42"/>
      <c r="BR500" s="42"/>
      <c r="BS500" s="42"/>
      <c r="BT500" s="42"/>
      <c r="BU500" s="42"/>
      <c r="BV500" s="42"/>
      <c r="BW500" s="42"/>
      <c r="BX500" s="42"/>
      <c r="BY500" s="42"/>
      <c r="BZ500" s="42"/>
      <c r="CA500" s="42"/>
      <c r="CB500" s="42"/>
      <c r="CC500" s="42"/>
      <c r="CD500" s="42"/>
      <c r="CE500" s="42"/>
      <c r="CF500" s="42"/>
      <c r="CG500" s="42"/>
      <c r="CH500" s="42"/>
      <c r="CI500" s="42"/>
      <c r="CJ500" s="42"/>
      <c r="CK500" s="42"/>
      <c r="CL500" s="42"/>
      <c r="CM500" s="42"/>
      <c r="CN500" s="42"/>
      <c r="CO500" s="42"/>
      <c r="CP500" s="42"/>
      <c r="CQ500" s="42"/>
      <c r="CR500" s="42"/>
      <c r="CS500" s="42"/>
      <c r="CT500" s="42"/>
      <c r="CU500" s="42"/>
      <c r="CV500" s="42"/>
      <c r="CW500" s="42"/>
      <c r="CX500" s="42"/>
      <c r="CY500" s="42"/>
      <c r="CZ500" s="42"/>
      <c r="DA500" s="42"/>
      <c r="DB500" s="42"/>
      <c r="DC500" s="42"/>
      <c r="DD500" s="42"/>
      <c r="DE500" s="42"/>
      <c r="DF500" s="42"/>
      <c r="DG500" s="42"/>
      <c r="DH500" s="42"/>
      <c r="DI500" s="42"/>
      <c r="DJ500" s="42"/>
      <c r="DK500" s="42"/>
      <c r="DL500" s="42"/>
      <c r="DM500" s="42"/>
      <c r="DN500" s="42"/>
      <c r="DO500" s="42"/>
      <c r="DP500" s="42"/>
      <c r="DQ500" s="42"/>
      <c r="DR500" s="42"/>
      <c r="DS500" s="42"/>
      <c r="DT500" s="42"/>
      <c r="DU500" s="42"/>
      <c r="DV500" s="42"/>
      <c r="DW500" s="42"/>
      <c r="DX500" s="42"/>
      <c r="DY500" s="42"/>
      <c r="DZ500" s="42"/>
      <c r="EA500" s="42"/>
      <c r="EB500" s="42"/>
      <c r="EC500" s="42"/>
      <c r="ED500" s="42"/>
      <c r="EE500" s="42"/>
      <c r="EF500" s="42"/>
      <c r="EG500" s="42"/>
      <c r="EH500" s="42"/>
      <c r="EI500" s="42"/>
      <c r="EJ500" s="42"/>
      <c r="EK500" s="42"/>
      <c r="EL500" s="42"/>
      <c r="EM500" s="42"/>
      <c r="EN500" s="42"/>
      <c r="EO500" s="42"/>
      <c r="EP500" s="42"/>
      <c r="EQ500" s="42"/>
      <c r="ER500" s="42"/>
      <c r="ES500" s="42"/>
      <c r="ET500" s="42"/>
      <c r="EU500" s="42"/>
      <c r="EV500" s="42"/>
      <c r="EW500" s="42"/>
      <c r="EX500" s="42"/>
      <c r="EY500" s="42"/>
      <c r="EZ500" s="42"/>
      <c r="FA500" s="42"/>
      <c r="FB500" s="42"/>
      <c r="FC500" s="42"/>
      <c r="FD500" s="42"/>
      <c r="FE500" s="42"/>
      <c r="FF500" s="42"/>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row>
    <row r="501" spans="1:256" ht="13.8" x14ac:dyDescent="0.3">
      <c r="A501" s="42"/>
      <c r="B501" s="42"/>
      <c r="C501" s="42"/>
      <c r="D501" s="42"/>
      <c r="E501" s="42"/>
      <c r="F501" s="42"/>
      <c r="G501" s="42"/>
      <c r="H501" s="42"/>
      <c r="I501" s="42"/>
      <c r="J501" s="42"/>
      <c r="K501" s="42"/>
      <c r="L501" s="42"/>
      <c r="M501" s="42"/>
      <c r="N501" s="42"/>
      <c r="O501" s="42"/>
      <c r="P501" s="42"/>
      <c r="Q501" s="42"/>
      <c r="R501" s="42"/>
      <c r="S501" s="42"/>
      <c r="T501" s="42"/>
      <c r="U501" s="194"/>
      <c r="V501" s="42"/>
      <c r="W501" s="42"/>
      <c r="X501" s="42"/>
      <c r="Y501" s="42"/>
      <c r="Z501" s="42"/>
      <c r="AA501" s="42"/>
      <c r="AB501" s="195"/>
      <c r="AC501" s="42"/>
      <c r="AD501" s="42"/>
      <c r="AE501" s="195"/>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c r="BM501" s="42"/>
      <c r="BN501" s="42"/>
      <c r="BO501" s="42"/>
      <c r="BP501" s="42"/>
      <c r="BQ501" s="42"/>
      <c r="BR501" s="42"/>
      <c r="BS501" s="42"/>
      <c r="BT501" s="42"/>
      <c r="BU501" s="42"/>
      <c r="BV501" s="42"/>
      <c r="BW501" s="42"/>
      <c r="BX501" s="42"/>
      <c r="BY501" s="42"/>
      <c r="BZ501" s="42"/>
      <c r="CA501" s="42"/>
      <c r="CB501" s="42"/>
      <c r="CC501" s="42"/>
      <c r="CD501" s="42"/>
      <c r="CE501" s="42"/>
      <c r="CF501" s="42"/>
      <c r="CG501" s="42"/>
      <c r="CH501" s="42"/>
      <c r="CI501" s="42"/>
      <c r="CJ501" s="42"/>
      <c r="CK501" s="42"/>
      <c r="CL501" s="42"/>
      <c r="CM501" s="42"/>
      <c r="CN501" s="42"/>
      <c r="CO501" s="42"/>
      <c r="CP501" s="42"/>
      <c r="CQ501" s="42"/>
      <c r="CR501" s="42"/>
      <c r="CS501" s="42"/>
      <c r="CT501" s="42"/>
      <c r="CU501" s="42"/>
      <c r="CV501" s="42"/>
      <c r="CW501" s="42"/>
      <c r="CX501" s="42"/>
      <c r="CY501" s="42"/>
      <c r="CZ501" s="42"/>
      <c r="DA501" s="42"/>
      <c r="DB501" s="42"/>
      <c r="DC501" s="42"/>
      <c r="DD501" s="42"/>
      <c r="DE501" s="42"/>
      <c r="DF501" s="42"/>
      <c r="DG501" s="42"/>
      <c r="DH501" s="42"/>
      <c r="DI501" s="42"/>
      <c r="DJ501" s="42"/>
      <c r="DK501" s="42"/>
      <c r="DL501" s="42"/>
      <c r="DM501" s="42"/>
      <c r="DN501" s="42"/>
      <c r="DO501" s="42"/>
      <c r="DP501" s="42"/>
      <c r="DQ501" s="42"/>
      <c r="DR501" s="42"/>
      <c r="DS501" s="42"/>
      <c r="DT501" s="42"/>
      <c r="DU501" s="42"/>
      <c r="DV501" s="42"/>
      <c r="DW501" s="42"/>
      <c r="DX501" s="42"/>
      <c r="DY501" s="42"/>
      <c r="DZ501" s="42"/>
      <c r="EA501" s="42"/>
      <c r="EB501" s="42"/>
      <c r="EC501" s="42"/>
      <c r="ED501" s="42"/>
      <c r="EE501" s="42"/>
      <c r="EF501" s="42"/>
      <c r="EG501" s="42"/>
      <c r="EH501" s="42"/>
      <c r="EI501" s="42"/>
      <c r="EJ501" s="42"/>
      <c r="EK501" s="42"/>
      <c r="EL501" s="42"/>
      <c r="EM501" s="42"/>
      <c r="EN501" s="42"/>
      <c r="EO501" s="42"/>
      <c r="EP501" s="42"/>
      <c r="EQ501" s="42"/>
      <c r="ER501" s="42"/>
      <c r="ES501" s="42"/>
      <c r="ET501" s="42"/>
      <c r="EU501" s="42"/>
      <c r="EV501" s="42"/>
      <c r="EW501" s="42"/>
      <c r="EX501" s="42"/>
      <c r="EY501" s="42"/>
      <c r="EZ501" s="42"/>
      <c r="FA501" s="42"/>
      <c r="FB501" s="42"/>
      <c r="FC501" s="42"/>
      <c r="FD501" s="42"/>
      <c r="FE501" s="42"/>
      <c r="FF501" s="42"/>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row>
    <row r="502" spans="1:256" ht="13.8" x14ac:dyDescent="0.3">
      <c r="A502" s="42"/>
      <c r="B502" s="42"/>
      <c r="C502" s="42"/>
      <c r="D502" s="42"/>
      <c r="E502" s="42"/>
      <c r="F502" s="42"/>
      <c r="G502" s="42"/>
      <c r="H502" s="42"/>
      <c r="I502" s="42"/>
      <c r="J502" s="42"/>
      <c r="K502" s="42"/>
      <c r="L502" s="42"/>
      <c r="M502" s="42"/>
      <c r="N502" s="42"/>
      <c r="O502" s="42"/>
      <c r="P502" s="42"/>
      <c r="Q502" s="42"/>
      <c r="R502" s="42"/>
      <c r="S502" s="42"/>
      <c r="T502" s="42"/>
      <c r="U502" s="194"/>
      <c r="V502" s="42"/>
      <c r="W502" s="42"/>
      <c r="X502" s="42"/>
      <c r="Y502" s="42"/>
      <c r="Z502" s="42"/>
      <c r="AA502" s="42"/>
      <c r="AB502" s="195"/>
      <c r="AC502" s="42"/>
      <c r="AD502" s="42"/>
      <c r="AE502" s="195"/>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c r="BM502" s="42"/>
      <c r="BN502" s="42"/>
      <c r="BO502" s="42"/>
      <c r="BP502" s="42"/>
      <c r="BQ502" s="42"/>
      <c r="BR502" s="42"/>
      <c r="BS502" s="42"/>
      <c r="BT502" s="42"/>
      <c r="BU502" s="42"/>
      <c r="BV502" s="42"/>
      <c r="BW502" s="42"/>
      <c r="BX502" s="42"/>
      <c r="BY502" s="42"/>
      <c r="BZ502" s="42"/>
      <c r="CA502" s="42"/>
      <c r="CB502" s="42"/>
      <c r="CC502" s="42"/>
      <c r="CD502" s="42"/>
      <c r="CE502" s="42"/>
      <c r="CF502" s="42"/>
      <c r="CG502" s="42"/>
      <c r="CH502" s="42"/>
      <c r="CI502" s="42"/>
      <c r="CJ502" s="42"/>
      <c r="CK502" s="42"/>
      <c r="CL502" s="42"/>
      <c r="CM502" s="42"/>
      <c r="CN502" s="42"/>
      <c r="CO502" s="42"/>
      <c r="CP502" s="42"/>
      <c r="CQ502" s="42"/>
      <c r="CR502" s="42"/>
      <c r="CS502" s="42"/>
      <c r="CT502" s="42"/>
      <c r="CU502" s="42"/>
      <c r="CV502" s="42"/>
      <c r="CW502" s="42"/>
      <c r="CX502" s="42"/>
      <c r="CY502" s="42"/>
      <c r="CZ502" s="42"/>
      <c r="DA502" s="42"/>
      <c r="DB502" s="42"/>
      <c r="DC502" s="42"/>
      <c r="DD502" s="42"/>
      <c r="DE502" s="42"/>
      <c r="DF502" s="42"/>
      <c r="DG502" s="42"/>
      <c r="DH502" s="42"/>
      <c r="DI502" s="42"/>
      <c r="DJ502" s="42"/>
      <c r="DK502" s="42"/>
      <c r="DL502" s="42"/>
      <c r="DM502" s="42"/>
      <c r="DN502" s="42"/>
      <c r="DO502" s="42"/>
      <c r="DP502" s="42"/>
      <c r="DQ502" s="42"/>
      <c r="DR502" s="42"/>
      <c r="DS502" s="42"/>
      <c r="DT502" s="42"/>
      <c r="DU502" s="42"/>
      <c r="DV502" s="42"/>
      <c r="DW502" s="42"/>
      <c r="DX502" s="42"/>
      <c r="DY502" s="42"/>
      <c r="DZ502" s="42"/>
      <c r="EA502" s="42"/>
      <c r="EB502" s="42"/>
      <c r="EC502" s="42"/>
      <c r="ED502" s="42"/>
      <c r="EE502" s="42"/>
      <c r="EF502" s="42"/>
      <c r="EG502" s="42"/>
      <c r="EH502" s="42"/>
      <c r="EI502" s="42"/>
      <c r="EJ502" s="42"/>
      <c r="EK502" s="42"/>
      <c r="EL502" s="42"/>
      <c r="EM502" s="42"/>
      <c r="EN502" s="42"/>
      <c r="EO502" s="42"/>
      <c r="EP502" s="42"/>
      <c r="EQ502" s="42"/>
      <c r="ER502" s="42"/>
      <c r="ES502" s="42"/>
      <c r="ET502" s="42"/>
      <c r="EU502" s="42"/>
      <c r="EV502" s="42"/>
      <c r="EW502" s="42"/>
      <c r="EX502" s="42"/>
      <c r="EY502" s="42"/>
      <c r="EZ502" s="42"/>
      <c r="FA502" s="42"/>
      <c r="FB502" s="42"/>
      <c r="FC502" s="42"/>
      <c r="FD502" s="42"/>
      <c r="FE502" s="42"/>
      <c r="FF502" s="42"/>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row>
    <row r="503" spans="1:256" ht="13.8" x14ac:dyDescent="0.3">
      <c r="A503" s="42"/>
      <c r="B503" s="42"/>
      <c r="C503" s="42"/>
      <c r="D503" s="42"/>
      <c r="E503" s="42"/>
      <c r="F503" s="42"/>
      <c r="G503" s="42"/>
      <c r="H503" s="42"/>
      <c r="I503" s="42"/>
      <c r="J503" s="42"/>
      <c r="K503" s="42"/>
      <c r="L503" s="42"/>
      <c r="M503" s="42"/>
      <c r="N503" s="42"/>
      <c r="O503" s="42"/>
      <c r="P503" s="42"/>
      <c r="Q503" s="42"/>
      <c r="R503" s="42"/>
      <c r="S503" s="42"/>
      <c r="T503" s="42"/>
      <c r="U503" s="194"/>
      <c r="V503" s="42"/>
      <c r="W503" s="42"/>
      <c r="X503" s="42"/>
      <c r="Y503" s="42"/>
      <c r="Z503" s="42"/>
      <c r="AA503" s="42"/>
      <c r="AB503" s="195"/>
      <c r="AC503" s="42"/>
      <c r="AD503" s="42"/>
      <c r="AE503" s="195"/>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c r="BM503" s="42"/>
      <c r="BN503" s="42"/>
      <c r="BO503" s="42"/>
      <c r="BP503" s="42"/>
      <c r="BQ503" s="42"/>
      <c r="BR503" s="42"/>
      <c r="BS503" s="42"/>
      <c r="BT503" s="42"/>
      <c r="BU503" s="42"/>
      <c r="BV503" s="42"/>
      <c r="BW503" s="42"/>
      <c r="BX503" s="42"/>
      <c r="BY503" s="42"/>
      <c r="BZ503" s="42"/>
      <c r="CA503" s="42"/>
      <c r="CB503" s="42"/>
      <c r="CC503" s="42"/>
      <c r="CD503" s="42"/>
      <c r="CE503" s="42"/>
      <c r="CF503" s="42"/>
      <c r="CG503" s="42"/>
      <c r="CH503" s="42"/>
      <c r="CI503" s="42"/>
      <c r="CJ503" s="42"/>
      <c r="CK503" s="42"/>
      <c r="CL503" s="42"/>
      <c r="CM503" s="42"/>
      <c r="CN503" s="42"/>
      <c r="CO503" s="42"/>
      <c r="CP503" s="42"/>
      <c r="CQ503" s="42"/>
      <c r="CR503" s="42"/>
      <c r="CS503" s="42"/>
      <c r="CT503" s="42"/>
      <c r="CU503" s="42"/>
      <c r="CV503" s="42"/>
      <c r="CW503" s="42"/>
      <c r="CX503" s="42"/>
      <c r="CY503" s="42"/>
      <c r="CZ503" s="42"/>
      <c r="DA503" s="42"/>
      <c r="DB503" s="42"/>
      <c r="DC503" s="42"/>
      <c r="DD503" s="42"/>
      <c r="DE503" s="42"/>
      <c r="DF503" s="42"/>
      <c r="DG503" s="42"/>
      <c r="DH503" s="42"/>
      <c r="DI503" s="42"/>
      <c r="DJ503" s="42"/>
      <c r="DK503" s="42"/>
      <c r="DL503" s="42"/>
      <c r="DM503" s="42"/>
      <c r="DN503" s="42"/>
      <c r="DO503" s="42"/>
      <c r="DP503" s="42"/>
      <c r="DQ503" s="42"/>
      <c r="DR503" s="42"/>
      <c r="DS503" s="42"/>
      <c r="DT503" s="42"/>
      <c r="DU503" s="42"/>
      <c r="DV503" s="42"/>
      <c r="DW503" s="42"/>
      <c r="DX503" s="42"/>
      <c r="DY503" s="42"/>
      <c r="DZ503" s="42"/>
      <c r="EA503" s="42"/>
      <c r="EB503" s="42"/>
      <c r="EC503" s="42"/>
      <c r="ED503" s="42"/>
      <c r="EE503" s="42"/>
      <c r="EF503" s="42"/>
      <c r="EG503" s="42"/>
      <c r="EH503" s="42"/>
      <c r="EI503" s="42"/>
      <c r="EJ503" s="42"/>
      <c r="EK503" s="42"/>
      <c r="EL503" s="42"/>
      <c r="EM503" s="42"/>
      <c r="EN503" s="42"/>
      <c r="EO503" s="42"/>
      <c r="EP503" s="42"/>
      <c r="EQ503" s="42"/>
      <c r="ER503" s="42"/>
      <c r="ES503" s="42"/>
      <c r="ET503" s="42"/>
      <c r="EU503" s="42"/>
      <c r="EV503" s="42"/>
      <c r="EW503" s="42"/>
      <c r="EX503" s="42"/>
      <c r="EY503" s="42"/>
      <c r="EZ503" s="42"/>
      <c r="FA503" s="42"/>
      <c r="FB503" s="42"/>
      <c r="FC503" s="42"/>
      <c r="FD503" s="42"/>
      <c r="FE503" s="42"/>
      <c r="FF503" s="42"/>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row>
    <row r="504" spans="1:256" ht="13.8" x14ac:dyDescent="0.3">
      <c r="A504" s="42"/>
      <c r="B504" s="42"/>
      <c r="C504" s="42"/>
      <c r="D504" s="42"/>
      <c r="E504" s="42"/>
      <c r="F504" s="42"/>
      <c r="G504" s="42"/>
      <c r="H504" s="42"/>
      <c r="I504" s="42"/>
      <c r="J504" s="42"/>
      <c r="K504" s="42"/>
      <c r="L504" s="42"/>
      <c r="M504" s="42"/>
      <c r="N504" s="42"/>
      <c r="O504" s="42"/>
      <c r="P504" s="42"/>
      <c r="Q504" s="42"/>
      <c r="R504" s="42"/>
      <c r="S504" s="42"/>
      <c r="T504" s="42"/>
      <c r="U504" s="194"/>
      <c r="V504" s="42"/>
      <c r="W504" s="42"/>
      <c r="X504" s="42"/>
      <c r="Y504" s="42"/>
      <c r="Z504" s="42"/>
      <c r="AA504" s="42"/>
      <c r="AB504" s="195"/>
      <c r="AC504" s="42"/>
      <c r="AD504" s="42"/>
      <c r="AE504" s="195"/>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c r="BM504" s="42"/>
      <c r="BN504" s="42"/>
      <c r="BO504" s="42"/>
      <c r="BP504" s="42"/>
      <c r="BQ504" s="42"/>
      <c r="BR504" s="42"/>
      <c r="BS504" s="42"/>
      <c r="BT504" s="42"/>
      <c r="BU504" s="42"/>
      <c r="BV504" s="42"/>
      <c r="BW504" s="42"/>
      <c r="BX504" s="42"/>
      <c r="BY504" s="42"/>
      <c r="BZ504" s="42"/>
      <c r="CA504" s="42"/>
      <c r="CB504" s="42"/>
      <c r="CC504" s="42"/>
      <c r="CD504" s="42"/>
      <c r="CE504" s="42"/>
      <c r="CF504" s="42"/>
      <c r="CG504" s="42"/>
      <c r="CH504" s="42"/>
      <c r="CI504" s="42"/>
      <c r="CJ504" s="42"/>
      <c r="CK504" s="42"/>
      <c r="CL504" s="42"/>
      <c r="CM504" s="42"/>
      <c r="CN504" s="42"/>
      <c r="CO504" s="42"/>
      <c r="CP504" s="42"/>
      <c r="CQ504" s="42"/>
      <c r="CR504" s="42"/>
      <c r="CS504" s="42"/>
      <c r="CT504" s="42"/>
      <c r="CU504" s="42"/>
      <c r="CV504" s="42"/>
      <c r="CW504" s="42"/>
      <c r="CX504" s="42"/>
      <c r="CY504" s="42"/>
      <c r="CZ504" s="42"/>
      <c r="DA504" s="42"/>
      <c r="DB504" s="42"/>
      <c r="DC504" s="42"/>
      <c r="DD504" s="42"/>
      <c r="DE504" s="42"/>
      <c r="DF504" s="42"/>
      <c r="DG504" s="42"/>
      <c r="DH504" s="42"/>
      <c r="DI504" s="42"/>
      <c r="DJ504" s="42"/>
      <c r="DK504" s="42"/>
      <c r="DL504" s="42"/>
      <c r="DM504" s="42"/>
      <c r="DN504" s="42"/>
      <c r="DO504" s="42"/>
      <c r="DP504" s="42"/>
      <c r="DQ504" s="42"/>
      <c r="DR504" s="42"/>
      <c r="DS504" s="42"/>
      <c r="DT504" s="42"/>
      <c r="DU504" s="42"/>
      <c r="DV504" s="42"/>
      <c r="DW504" s="42"/>
      <c r="DX504" s="42"/>
      <c r="DY504" s="42"/>
      <c r="DZ504" s="42"/>
      <c r="EA504" s="42"/>
      <c r="EB504" s="42"/>
      <c r="EC504" s="42"/>
      <c r="ED504" s="42"/>
      <c r="EE504" s="42"/>
      <c r="EF504" s="42"/>
      <c r="EG504" s="42"/>
      <c r="EH504" s="42"/>
      <c r="EI504" s="42"/>
      <c r="EJ504" s="42"/>
      <c r="EK504" s="42"/>
      <c r="EL504" s="42"/>
      <c r="EM504" s="42"/>
      <c r="EN504" s="42"/>
      <c r="EO504" s="42"/>
      <c r="EP504" s="42"/>
      <c r="EQ504" s="42"/>
      <c r="ER504" s="42"/>
      <c r="ES504" s="42"/>
      <c r="ET504" s="42"/>
      <c r="EU504" s="42"/>
      <c r="EV504" s="42"/>
      <c r="EW504" s="42"/>
      <c r="EX504" s="42"/>
      <c r="EY504" s="42"/>
      <c r="EZ504" s="42"/>
      <c r="FA504" s="42"/>
      <c r="FB504" s="42"/>
      <c r="FC504" s="42"/>
      <c r="FD504" s="42"/>
      <c r="FE504" s="42"/>
      <c r="FF504" s="42"/>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row>
    <row r="505" spans="1:256" ht="13.8" x14ac:dyDescent="0.3">
      <c r="A505" s="42"/>
      <c r="B505" s="42"/>
      <c r="C505" s="42"/>
      <c r="D505" s="42"/>
      <c r="E505" s="42"/>
      <c r="F505" s="42"/>
      <c r="G505" s="42"/>
      <c r="H505" s="42"/>
      <c r="I505" s="42"/>
      <c r="J505" s="42"/>
      <c r="K505" s="42"/>
      <c r="L505" s="42"/>
      <c r="M505" s="42"/>
      <c r="N505" s="42"/>
      <c r="O505" s="42"/>
      <c r="P505" s="42"/>
      <c r="Q505" s="42"/>
      <c r="R505" s="42"/>
      <c r="S505" s="42"/>
      <c r="T505" s="42"/>
      <c r="U505" s="194"/>
      <c r="V505" s="42"/>
      <c r="W505" s="42"/>
      <c r="X505" s="42"/>
      <c r="Y505" s="42"/>
      <c r="Z505" s="42"/>
      <c r="AA505" s="42"/>
      <c r="AB505" s="195"/>
      <c r="AC505" s="42"/>
      <c r="AD505" s="42"/>
      <c r="AE505" s="195"/>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c r="BM505" s="42"/>
      <c r="BN505" s="42"/>
      <c r="BO505" s="42"/>
      <c r="BP505" s="42"/>
      <c r="BQ505" s="42"/>
      <c r="BR505" s="42"/>
      <c r="BS505" s="42"/>
      <c r="BT505" s="42"/>
      <c r="BU505" s="42"/>
      <c r="BV505" s="42"/>
      <c r="BW505" s="42"/>
      <c r="BX505" s="42"/>
      <c r="BY505" s="42"/>
      <c r="BZ505" s="42"/>
      <c r="CA505" s="42"/>
      <c r="CB505" s="42"/>
      <c r="CC505" s="42"/>
      <c r="CD505" s="42"/>
      <c r="CE505" s="42"/>
      <c r="CF505" s="42"/>
      <c r="CG505" s="42"/>
      <c r="CH505" s="42"/>
      <c r="CI505" s="42"/>
      <c r="CJ505" s="42"/>
      <c r="CK505" s="42"/>
      <c r="CL505" s="42"/>
      <c r="CM505" s="42"/>
      <c r="CN505" s="42"/>
      <c r="CO505" s="42"/>
      <c r="CP505" s="42"/>
      <c r="CQ505" s="42"/>
      <c r="CR505" s="42"/>
      <c r="CS505" s="42"/>
      <c r="CT505" s="42"/>
      <c r="CU505" s="42"/>
      <c r="CV505" s="42"/>
      <c r="CW505" s="42"/>
      <c r="CX505" s="42"/>
      <c r="CY505" s="42"/>
      <c r="CZ505" s="42"/>
      <c r="DA505" s="42"/>
      <c r="DB505" s="42"/>
      <c r="DC505" s="42"/>
      <c r="DD505" s="42"/>
      <c r="DE505" s="42"/>
      <c r="DF505" s="42"/>
      <c r="DG505" s="42"/>
      <c r="DH505" s="42"/>
      <c r="DI505" s="42"/>
      <c r="DJ505" s="42"/>
      <c r="DK505" s="42"/>
      <c r="DL505" s="42"/>
      <c r="DM505" s="42"/>
      <c r="DN505" s="42"/>
      <c r="DO505" s="42"/>
      <c r="DP505" s="42"/>
      <c r="DQ505" s="42"/>
      <c r="DR505" s="42"/>
      <c r="DS505" s="42"/>
      <c r="DT505" s="42"/>
      <c r="DU505" s="42"/>
      <c r="DV505" s="42"/>
      <c r="DW505" s="42"/>
      <c r="DX505" s="42"/>
      <c r="DY505" s="42"/>
      <c r="DZ505" s="42"/>
      <c r="EA505" s="42"/>
      <c r="EB505" s="42"/>
      <c r="EC505" s="42"/>
      <c r="ED505" s="42"/>
      <c r="EE505" s="42"/>
      <c r="EF505" s="42"/>
      <c r="EG505" s="42"/>
      <c r="EH505" s="42"/>
      <c r="EI505" s="42"/>
      <c r="EJ505" s="42"/>
      <c r="EK505" s="42"/>
      <c r="EL505" s="42"/>
      <c r="EM505" s="42"/>
      <c r="EN505" s="42"/>
      <c r="EO505" s="42"/>
      <c r="EP505" s="42"/>
      <c r="EQ505" s="42"/>
      <c r="ER505" s="42"/>
      <c r="ES505" s="42"/>
      <c r="ET505" s="42"/>
      <c r="EU505" s="42"/>
      <c r="EV505" s="42"/>
      <c r="EW505" s="42"/>
      <c r="EX505" s="42"/>
      <c r="EY505" s="42"/>
      <c r="EZ505" s="42"/>
      <c r="FA505" s="42"/>
      <c r="FB505" s="42"/>
      <c r="FC505" s="42"/>
      <c r="FD505" s="42"/>
      <c r="FE505" s="42"/>
      <c r="FF505" s="42"/>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row>
    <row r="506" spans="1:256" ht="13.8" x14ac:dyDescent="0.3">
      <c r="A506" s="42"/>
      <c r="B506" s="42"/>
      <c r="C506" s="42"/>
      <c r="D506" s="42"/>
      <c r="E506" s="42"/>
      <c r="F506" s="42"/>
      <c r="G506" s="42"/>
      <c r="H506" s="42"/>
      <c r="I506" s="42"/>
      <c r="J506" s="42"/>
      <c r="K506" s="42"/>
      <c r="L506" s="42"/>
      <c r="M506" s="42"/>
      <c r="N506" s="42"/>
      <c r="O506" s="42"/>
      <c r="P506" s="42"/>
      <c r="Q506" s="42"/>
      <c r="R506" s="42"/>
      <c r="S506" s="42"/>
      <c r="T506" s="42"/>
      <c r="U506" s="194"/>
      <c r="V506" s="42"/>
      <c r="W506" s="42"/>
      <c r="X506" s="42"/>
      <c r="Y506" s="42"/>
      <c r="Z506" s="42"/>
      <c r="AA506" s="42"/>
      <c r="AB506" s="195"/>
      <c r="AC506" s="42"/>
      <c r="AD506" s="42"/>
      <c r="AE506" s="195"/>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c r="BM506" s="42"/>
      <c r="BN506" s="42"/>
      <c r="BO506" s="42"/>
      <c r="BP506" s="42"/>
      <c r="BQ506" s="42"/>
      <c r="BR506" s="42"/>
      <c r="BS506" s="42"/>
      <c r="BT506" s="42"/>
      <c r="BU506" s="42"/>
      <c r="BV506" s="42"/>
      <c r="BW506" s="42"/>
      <c r="BX506" s="42"/>
      <c r="BY506" s="42"/>
      <c r="BZ506" s="42"/>
      <c r="CA506" s="42"/>
      <c r="CB506" s="42"/>
      <c r="CC506" s="42"/>
      <c r="CD506" s="42"/>
      <c r="CE506" s="42"/>
      <c r="CF506" s="42"/>
      <c r="CG506" s="42"/>
      <c r="CH506" s="42"/>
      <c r="CI506" s="42"/>
      <c r="CJ506" s="42"/>
      <c r="CK506" s="42"/>
      <c r="CL506" s="42"/>
      <c r="CM506" s="42"/>
      <c r="CN506" s="42"/>
      <c r="CO506" s="42"/>
      <c r="CP506" s="42"/>
      <c r="CQ506" s="42"/>
      <c r="CR506" s="42"/>
      <c r="CS506" s="42"/>
      <c r="CT506" s="42"/>
      <c r="CU506" s="42"/>
      <c r="CV506" s="42"/>
      <c r="CW506" s="42"/>
      <c r="CX506" s="42"/>
      <c r="CY506" s="42"/>
      <c r="CZ506" s="42"/>
      <c r="DA506" s="42"/>
      <c r="DB506" s="42"/>
      <c r="DC506" s="42"/>
      <c r="DD506" s="42"/>
      <c r="DE506" s="42"/>
      <c r="DF506" s="42"/>
      <c r="DG506" s="42"/>
      <c r="DH506" s="42"/>
      <c r="DI506" s="42"/>
      <c r="DJ506" s="42"/>
      <c r="DK506" s="42"/>
      <c r="DL506" s="42"/>
      <c r="DM506" s="42"/>
      <c r="DN506" s="42"/>
      <c r="DO506" s="42"/>
      <c r="DP506" s="42"/>
      <c r="DQ506" s="42"/>
      <c r="DR506" s="42"/>
      <c r="DS506" s="42"/>
      <c r="DT506" s="42"/>
      <c r="DU506" s="42"/>
      <c r="DV506" s="42"/>
      <c r="DW506" s="42"/>
      <c r="DX506" s="42"/>
      <c r="DY506" s="42"/>
      <c r="DZ506" s="42"/>
      <c r="EA506" s="42"/>
      <c r="EB506" s="42"/>
      <c r="EC506" s="42"/>
      <c r="ED506" s="42"/>
      <c r="EE506" s="42"/>
      <c r="EF506" s="42"/>
      <c r="EG506" s="42"/>
      <c r="EH506" s="42"/>
      <c r="EI506" s="42"/>
      <c r="EJ506" s="42"/>
      <c r="EK506" s="42"/>
      <c r="EL506" s="42"/>
      <c r="EM506" s="42"/>
      <c r="EN506" s="42"/>
      <c r="EO506" s="42"/>
      <c r="EP506" s="42"/>
      <c r="EQ506" s="42"/>
      <c r="ER506" s="42"/>
      <c r="ES506" s="42"/>
      <c r="ET506" s="42"/>
      <c r="EU506" s="42"/>
      <c r="EV506" s="42"/>
      <c r="EW506" s="42"/>
      <c r="EX506" s="42"/>
      <c r="EY506" s="42"/>
      <c r="EZ506" s="42"/>
      <c r="FA506" s="42"/>
      <c r="FB506" s="42"/>
      <c r="FC506" s="42"/>
      <c r="FD506" s="42"/>
      <c r="FE506" s="42"/>
      <c r="FF506" s="42"/>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row>
    <row r="507" spans="1:256" ht="13.8" x14ac:dyDescent="0.3">
      <c r="A507" s="42"/>
      <c r="B507" s="42"/>
      <c r="C507" s="42"/>
      <c r="D507" s="42"/>
      <c r="E507" s="42"/>
      <c r="F507" s="42"/>
      <c r="G507" s="42"/>
      <c r="H507" s="42"/>
      <c r="I507" s="42"/>
      <c r="J507" s="42"/>
      <c r="K507" s="42"/>
      <c r="L507" s="42"/>
      <c r="M507" s="42"/>
      <c r="N507" s="42"/>
      <c r="O507" s="42"/>
      <c r="P507" s="42"/>
      <c r="Q507" s="42"/>
      <c r="R507" s="42"/>
      <c r="S507" s="42"/>
      <c r="T507" s="42"/>
      <c r="U507" s="194"/>
      <c r="V507" s="42"/>
      <c r="W507" s="42"/>
      <c r="X507" s="42"/>
      <c r="Y507" s="42"/>
      <c r="Z507" s="42"/>
      <c r="AA507" s="42"/>
      <c r="AB507" s="195"/>
      <c r="AC507" s="42"/>
      <c r="AD507" s="42"/>
      <c r="AE507" s="195"/>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c r="BM507" s="42"/>
      <c r="BN507" s="42"/>
      <c r="BO507" s="42"/>
      <c r="BP507" s="42"/>
      <c r="BQ507" s="42"/>
      <c r="BR507" s="42"/>
      <c r="BS507" s="42"/>
      <c r="BT507" s="42"/>
      <c r="BU507" s="42"/>
      <c r="BV507" s="42"/>
      <c r="BW507" s="42"/>
      <c r="BX507" s="42"/>
      <c r="BY507" s="42"/>
      <c r="BZ507" s="42"/>
      <c r="CA507" s="42"/>
      <c r="CB507" s="42"/>
      <c r="CC507" s="42"/>
      <c r="CD507" s="42"/>
      <c r="CE507" s="42"/>
      <c r="CF507" s="42"/>
      <c r="CG507" s="42"/>
      <c r="CH507" s="42"/>
      <c r="CI507" s="42"/>
      <c r="CJ507" s="42"/>
      <c r="CK507" s="42"/>
      <c r="CL507" s="42"/>
      <c r="CM507" s="42"/>
      <c r="CN507" s="42"/>
      <c r="CO507" s="42"/>
      <c r="CP507" s="42"/>
      <c r="CQ507" s="42"/>
      <c r="CR507" s="42"/>
      <c r="CS507" s="42"/>
      <c r="CT507" s="42"/>
      <c r="CU507" s="42"/>
      <c r="CV507" s="42"/>
      <c r="CW507" s="42"/>
      <c r="CX507" s="42"/>
      <c r="CY507" s="42"/>
      <c r="CZ507" s="42"/>
      <c r="DA507" s="42"/>
      <c r="DB507" s="42"/>
      <c r="DC507" s="42"/>
      <c r="DD507" s="42"/>
      <c r="DE507" s="42"/>
      <c r="DF507" s="42"/>
      <c r="DG507" s="42"/>
      <c r="DH507" s="42"/>
      <c r="DI507" s="42"/>
      <c r="DJ507" s="42"/>
      <c r="DK507" s="42"/>
      <c r="DL507" s="42"/>
      <c r="DM507" s="42"/>
      <c r="DN507" s="42"/>
      <c r="DO507" s="42"/>
      <c r="DP507" s="42"/>
      <c r="DQ507" s="42"/>
      <c r="DR507" s="42"/>
      <c r="DS507" s="42"/>
      <c r="DT507" s="42"/>
      <c r="DU507" s="42"/>
      <c r="DV507" s="42"/>
      <c r="DW507" s="42"/>
      <c r="DX507" s="42"/>
      <c r="DY507" s="42"/>
      <c r="DZ507" s="42"/>
      <c r="EA507" s="42"/>
      <c r="EB507" s="42"/>
      <c r="EC507" s="42"/>
      <c r="ED507" s="42"/>
      <c r="EE507" s="42"/>
      <c r="EF507" s="42"/>
      <c r="EG507" s="42"/>
      <c r="EH507" s="42"/>
      <c r="EI507" s="42"/>
      <c r="EJ507" s="42"/>
      <c r="EK507" s="42"/>
      <c r="EL507" s="42"/>
      <c r="EM507" s="42"/>
      <c r="EN507" s="42"/>
      <c r="EO507" s="42"/>
      <c r="EP507" s="42"/>
      <c r="EQ507" s="42"/>
      <c r="ER507" s="42"/>
      <c r="ES507" s="42"/>
      <c r="ET507" s="42"/>
      <c r="EU507" s="42"/>
      <c r="EV507" s="42"/>
      <c r="EW507" s="42"/>
      <c r="EX507" s="42"/>
      <c r="EY507" s="42"/>
      <c r="EZ507" s="42"/>
      <c r="FA507" s="42"/>
      <c r="FB507" s="42"/>
      <c r="FC507" s="42"/>
      <c r="FD507" s="42"/>
      <c r="FE507" s="42"/>
      <c r="FF507" s="42"/>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row>
    <row r="508" spans="1:256" ht="13.8" x14ac:dyDescent="0.3">
      <c r="A508" s="42"/>
      <c r="B508" s="42"/>
      <c r="C508" s="42"/>
      <c r="D508" s="42"/>
      <c r="E508" s="42"/>
      <c r="F508" s="42"/>
      <c r="G508" s="42"/>
      <c r="H508" s="42"/>
      <c r="I508" s="42"/>
      <c r="J508" s="42"/>
      <c r="K508" s="42"/>
      <c r="L508" s="42"/>
      <c r="M508" s="42"/>
      <c r="N508" s="42"/>
      <c r="O508" s="42"/>
      <c r="P508" s="42"/>
      <c r="Q508" s="42"/>
      <c r="R508" s="42"/>
      <c r="S508" s="42"/>
      <c r="T508" s="42"/>
      <c r="U508" s="194"/>
      <c r="V508" s="42"/>
      <c r="W508" s="42"/>
      <c r="X508" s="42"/>
      <c r="Y508" s="42"/>
      <c r="Z508" s="42"/>
      <c r="AA508" s="42"/>
      <c r="AB508" s="195"/>
      <c r="AC508" s="42"/>
      <c r="AD508" s="42"/>
      <c r="AE508" s="195"/>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c r="BM508" s="42"/>
      <c r="BN508" s="42"/>
      <c r="BO508" s="42"/>
      <c r="BP508" s="42"/>
      <c r="BQ508" s="42"/>
      <c r="BR508" s="42"/>
      <c r="BS508" s="42"/>
      <c r="BT508" s="42"/>
      <c r="BU508" s="42"/>
      <c r="BV508" s="42"/>
      <c r="BW508" s="42"/>
      <c r="BX508" s="42"/>
      <c r="BY508" s="42"/>
      <c r="BZ508" s="42"/>
      <c r="CA508" s="42"/>
      <c r="CB508" s="42"/>
      <c r="CC508" s="42"/>
      <c r="CD508" s="42"/>
      <c r="CE508" s="42"/>
      <c r="CF508" s="42"/>
      <c r="CG508" s="42"/>
      <c r="CH508" s="42"/>
      <c r="CI508" s="42"/>
      <c r="CJ508" s="42"/>
      <c r="CK508" s="42"/>
      <c r="CL508" s="42"/>
      <c r="CM508" s="42"/>
      <c r="CN508" s="42"/>
      <c r="CO508" s="42"/>
      <c r="CP508" s="42"/>
      <c r="CQ508" s="42"/>
      <c r="CR508" s="42"/>
      <c r="CS508" s="42"/>
      <c r="CT508" s="42"/>
      <c r="CU508" s="42"/>
      <c r="CV508" s="42"/>
      <c r="CW508" s="42"/>
      <c r="CX508" s="42"/>
      <c r="CY508" s="42"/>
      <c r="CZ508" s="42"/>
      <c r="DA508" s="42"/>
      <c r="DB508" s="42"/>
      <c r="DC508" s="42"/>
      <c r="DD508" s="42"/>
      <c r="DE508" s="42"/>
      <c r="DF508" s="42"/>
      <c r="DG508" s="42"/>
      <c r="DH508" s="42"/>
      <c r="DI508" s="42"/>
      <c r="DJ508" s="42"/>
      <c r="DK508" s="42"/>
      <c r="DL508" s="42"/>
      <c r="DM508" s="42"/>
      <c r="DN508" s="42"/>
      <c r="DO508" s="42"/>
      <c r="DP508" s="42"/>
      <c r="DQ508" s="42"/>
      <c r="DR508" s="42"/>
      <c r="DS508" s="42"/>
      <c r="DT508" s="42"/>
      <c r="DU508" s="42"/>
      <c r="DV508" s="42"/>
      <c r="DW508" s="42"/>
      <c r="DX508" s="42"/>
      <c r="DY508" s="42"/>
      <c r="DZ508" s="42"/>
      <c r="EA508" s="42"/>
      <c r="EB508" s="42"/>
      <c r="EC508" s="42"/>
      <c r="ED508" s="42"/>
      <c r="EE508" s="42"/>
      <c r="EF508" s="42"/>
      <c r="EG508" s="42"/>
      <c r="EH508" s="42"/>
      <c r="EI508" s="42"/>
      <c r="EJ508" s="42"/>
      <c r="EK508" s="42"/>
      <c r="EL508" s="42"/>
      <c r="EM508" s="42"/>
      <c r="EN508" s="42"/>
      <c r="EO508" s="42"/>
      <c r="EP508" s="42"/>
      <c r="EQ508" s="42"/>
      <c r="ER508" s="42"/>
      <c r="ES508" s="42"/>
      <c r="ET508" s="42"/>
      <c r="EU508" s="42"/>
      <c r="EV508" s="42"/>
      <c r="EW508" s="42"/>
      <c r="EX508" s="42"/>
      <c r="EY508" s="42"/>
      <c r="EZ508" s="42"/>
      <c r="FA508" s="42"/>
      <c r="FB508" s="42"/>
      <c r="FC508" s="42"/>
      <c r="FD508" s="42"/>
      <c r="FE508" s="42"/>
      <c r="FF508" s="42"/>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row>
    <row r="509" spans="1:256" ht="13.8" x14ac:dyDescent="0.3">
      <c r="A509" s="42"/>
      <c r="B509" s="42"/>
      <c r="C509" s="42"/>
      <c r="D509" s="42"/>
      <c r="E509" s="42"/>
      <c r="F509" s="42"/>
      <c r="G509" s="42"/>
      <c r="H509" s="42"/>
      <c r="I509" s="42"/>
      <c r="J509" s="42"/>
      <c r="K509" s="42"/>
      <c r="L509" s="42"/>
      <c r="M509" s="42"/>
      <c r="N509" s="42"/>
      <c r="O509" s="42"/>
      <c r="P509" s="42"/>
      <c r="Q509" s="42"/>
      <c r="R509" s="42"/>
      <c r="S509" s="42"/>
      <c r="T509" s="42"/>
      <c r="U509" s="194"/>
      <c r="V509" s="42"/>
      <c r="W509" s="42"/>
      <c r="X509" s="42"/>
      <c r="Y509" s="42"/>
      <c r="Z509" s="42"/>
      <c r="AA509" s="42"/>
      <c r="AB509" s="195"/>
      <c r="AC509" s="42"/>
      <c r="AD509" s="42"/>
      <c r="AE509" s="195"/>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c r="BM509" s="42"/>
      <c r="BN509" s="42"/>
      <c r="BO509" s="42"/>
      <c r="BP509" s="42"/>
      <c r="BQ509" s="42"/>
      <c r="BR509" s="42"/>
      <c r="BS509" s="42"/>
      <c r="BT509" s="42"/>
      <c r="BU509" s="42"/>
      <c r="BV509" s="42"/>
      <c r="BW509" s="42"/>
      <c r="BX509" s="42"/>
      <c r="BY509" s="42"/>
      <c r="BZ509" s="42"/>
      <c r="CA509" s="42"/>
      <c r="CB509" s="42"/>
      <c r="CC509" s="42"/>
      <c r="CD509" s="42"/>
      <c r="CE509" s="42"/>
      <c r="CF509" s="42"/>
      <c r="CG509" s="42"/>
      <c r="CH509" s="42"/>
      <c r="CI509" s="42"/>
      <c r="CJ509" s="42"/>
      <c r="CK509" s="42"/>
      <c r="CL509" s="42"/>
      <c r="CM509" s="42"/>
      <c r="CN509" s="42"/>
      <c r="CO509" s="42"/>
      <c r="CP509" s="42"/>
      <c r="CQ509" s="42"/>
      <c r="CR509" s="42"/>
      <c r="CS509" s="42"/>
      <c r="CT509" s="42"/>
      <c r="CU509" s="42"/>
      <c r="CV509" s="42"/>
      <c r="CW509" s="42"/>
      <c r="CX509" s="42"/>
      <c r="CY509" s="42"/>
      <c r="CZ509" s="42"/>
      <c r="DA509" s="42"/>
      <c r="DB509" s="42"/>
      <c r="DC509" s="42"/>
      <c r="DD509" s="42"/>
      <c r="DE509" s="42"/>
      <c r="DF509" s="42"/>
      <c r="DG509" s="42"/>
      <c r="DH509" s="42"/>
      <c r="DI509" s="42"/>
      <c r="DJ509" s="42"/>
      <c r="DK509" s="42"/>
      <c r="DL509" s="42"/>
      <c r="DM509" s="42"/>
      <c r="DN509" s="42"/>
      <c r="DO509" s="42"/>
      <c r="DP509" s="42"/>
      <c r="DQ509" s="42"/>
      <c r="DR509" s="42"/>
      <c r="DS509" s="42"/>
      <c r="DT509" s="42"/>
      <c r="DU509" s="42"/>
      <c r="DV509" s="42"/>
      <c r="DW509" s="42"/>
      <c r="DX509" s="42"/>
      <c r="DY509" s="42"/>
      <c r="DZ509" s="42"/>
      <c r="EA509" s="42"/>
      <c r="EB509" s="42"/>
      <c r="EC509" s="42"/>
      <c r="ED509" s="42"/>
      <c r="EE509" s="42"/>
      <c r="EF509" s="42"/>
      <c r="EG509" s="42"/>
      <c r="EH509" s="42"/>
      <c r="EI509" s="42"/>
      <c r="EJ509" s="42"/>
      <c r="EK509" s="42"/>
      <c r="EL509" s="42"/>
      <c r="EM509" s="42"/>
      <c r="EN509" s="42"/>
      <c r="EO509" s="42"/>
      <c r="EP509" s="42"/>
      <c r="EQ509" s="42"/>
      <c r="ER509" s="42"/>
      <c r="ES509" s="42"/>
      <c r="ET509" s="42"/>
      <c r="EU509" s="42"/>
      <c r="EV509" s="42"/>
      <c r="EW509" s="42"/>
      <c r="EX509" s="42"/>
      <c r="EY509" s="42"/>
      <c r="EZ509" s="42"/>
      <c r="FA509" s="42"/>
      <c r="FB509" s="42"/>
      <c r="FC509" s="42"/>
      <c r="FD509" s="42"/>
      <c r="FE509" s="42"/>
      <c r="FF509" s="42"/>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row>
    <row r="510" spans="1:256" ht="13.8" x14ac:dyDescent="0.3">
      <c r="A510" s="42"/>
      <c r="B510" s="42"/>
      <c r="C510" s="42"/>
      <c r="D510" s="42"/>
      <c r="E510" s="42"/>
      <c r="F510" s="42"/>
      <c r="G510" s="42"/>
      <c r="H510" s="42"/>
      <c r="I510" s="42"/>
      <c r="J510" s="42"/>
      <c r="K510" s="42"/>
      <c r="L510" s="42"/>
      <c r="M510" s="42"/>
      <c r="N510" s="42"/>
      <c r="O510" s="42"/>
      <c r="P510" s="42"/>
      <c r="Q510" s="42"/>
      <c r="R510" s="42"/>
      <c r="S510" s="42"/>
      <c r="T510" s="42"/>
      <c r="U510" s="194"/>
      <c r="V510" s="42"/>
      <c r="W510" s="42"/>
      <c r="X510" s="42"/>
      <c r="Y510" s="42"/>
      <c r="Z510" s="42"/>
      <c r="AA510" s="42"/>
      <c r="AB510" s="195"/>
      <c r="AC510" s="42"/>
      <c r="AD510" s="42"/>
      <c r="AE510" s="195"/>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c r="BM510" s="42"/>
      <c r="BN510" s="42"/>
      <c r="BO510" s="42"/>
      <c r="BP510" s="42"/>
      <c r="BQ510" s="42"/>
      <c r="BR510" s="42"/>
      <c r="BS510" s="42"/>
      <c r="BT510" s="42"/>
      <c r="BU510" s="42"/>
      <c r="BV510" s="42"/>
      <c r="BW510" s="42"/>
      <c r="BX510" s="42"/>
      <c r="BY510" s="42"/>
      <c r="BZ510" s="42"/>
      <c r="CA510" s="42"/>
      <c r="CB510" s="42"/>
      <c r="CC510" s="42"/>
      <c r="CD510" s="42"/>
      <c r="CE510" s="42"/>
      <c r="CF510" s="42"/>
      <c r="CG510" s="42"/>
      <c r="CH510" s="42"/>
      <c r="CI510" s="42"/>
      <c r="CJ510" s="42"/>
      <c r="CK510" s="42"/>
      <c r="CL510" s="42"/>
      <c r="CM510" s="42"/>
      <c r="CN510" s="42"/>
      <c r="CO510" s="42"/>
      <c r="CP510" s="42"/>
      <c r="CQ510" s="42"/>
      <c r="CR510" s="42"/>
      <c r="CS510" s="42"/>
      <c r="CT510" s="42"/>
      <c r="CU510" s="42"/>
      <c r="CV510" s="42"/>
      <c r="CW510" s="42"/>
      <c r="CX510" s="42"/>
      <c r="CY510" s="42"/>
      <c r="CZ510" s="42"/>
      <c r="DA510" s="42"/>
      <c r="DB510" s="42"/>
      <c r="DC510" s="42"/>
      <c r="DD510" s="42"/>
      <c r="DE510" s="42"/>
      <c r="DF510" s="42"/>
      <c r="DG510" s="42"/>
      <c r="DH510" s="42"/>
      <c r="DI510" s="42"/>
      <c r="DJ510" s="42"/>
      <c r="DK510" s="42"/>
      <c r="DL510" s="42"/>
      <c r="DM510" s="42"/>
      <c r="DN510" s="42"/>
      <c r="DO510" s="42"/>
      <c r="DP510" s="42"/>
      <c r="DQ510" s="42"/>
      <c r="DR510" s="42"/>
      <c r="DS510" s="42"/>
      <c r="DT510" s="42"/>
      <c r="DU510" s="42"/>
      <c r="DV510" s="42"/>
      <c r="DW510" s="42"/>
      <c r="DX510" s="42"/>
      <c r="DY510" s="42"/>
      <c r="DZ510" s="42"/>
      <c r="EA510" s="42"/>
      <c r="EB510" s="42"/>
      <c r="EC510" s="42"/>
      <c r="ED510" s="42"/>
      <c r="EE510" s="42"/>
      <c r="EF510" s="42"/>
      <c r="EG510" s="42"/>
      <c r="EH510" s="42"/>
      <c r="EI510" s="42"/>
      <c r="EJ510" s="42"/>
      <c r="EK510" s="42"/>
      <c r="EL510" s="42"/>
      <c r="EM510" s="42"/>
      <c r="EN510" s="42"/>
      <c r="EO510" s="42"/>
      <c r="EP510" s="42"/>
      <c r="EQ510" s="42"/>
      <c r="ER510" s="42"/>
      <c r="ES510" s="42"/>
      <c r="ET510" s="42"/>
      <c r="EU510" s="42"/>
      <c r="EV510" s="42"/>
      <c r="EW510" s="42"/>
      <c r="EX510" s="42"/>
      <c r="EY510" s="42"/>
      <c r="EZ510" s="42"/>
      <c r="FA510" s="42"/>
      <c r="FB510" s="42"/>
      <c r="FC510" s="42"/>
      <c r="FD510" s="42"/>
      <c r="FE510" s="42"/>
      <c r="FF510" s="42"/>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row>
    <row r="511" spans="1:256" ht="13.8" x14ac:dyDescent="0.3">
      <c r="A511" s="42"/>
      <c r="B511" s="42"/>
      <c r="C511" s="42"/>
      <c r="D511" s="42"/>
      <c r="E511" s="42"/>
      <c r="F511" s="42"/>
      <c r="G511" s="42"/>
      <c r="H511" s="42"/>
      <c r="I511" s="42"/>
      <c r="J511" s="42"/>
      <c r="K511" s="42"/>
      <c r="L511" s="42"/>
      <c r="M511" s="42"/>
      <c r="N511" s="42"/>
      <c r="O511" s="42"/>
      <c r="P511" s="42"/>
      <c r="Q511" s="42"/>
      <c r="R511" s="42"/>
      <c r="S511" s="42"/>
      <c r="T511" s="42"/>
      <c r="U511" s="194"/>
      <c r="V511" s="42"/>
      <c r="W511" s="42"/>
      <c r="X511" s="42"/>
      <c r="Y511" s="42"/>
      <c r="Z511" s="42"/>
      <c r="AA511" s="42"/>
      <c r="AB511" s="195"/>
      <c r="AC511" s="42"/>
      <c r="AD511" s="42"/>
      <c r="AE511" s="195"/>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c r="BM511" s="42"/>
      <c r="BN511" s="42"/>
      <c r="BO511" s="42"/>
      <c r="BP511" s="42"/>
      <c r="BQ511" s="42"/>
      <c r="BR511" s="42"/>
      <c r="BS511" s="42"/>
      <c r="BT511" s="42"/>
      <c r="BU511" s="42"/>
      <c r="BV511" s="42"/>
      <c r="BW511" s="42"/>
      <c r="BX511" s="42"/>
      <c r="BY511" s="42"/>
      <c r="BZ511" s="42"/>
      <c r="CA511" s="42"/>
      <c r="CB511" s="42"/>
      <c r="CC511" s="42"/>
      <c r="CD511" s="42"/>
      <c r="CE511" s="42"/>
      <c r="CF511" s="42"/>
      <c r="CG511" s="42"/>
      <c r="CH511" s="42"/>
      <c r="CI511" s="42"/>
      <c r="CJ511" s="42"/>
      <c r="CK511" s="42"/>
      <c r="CL511" s="42"/>
      <c r="CM511" s="42"/>
      <c r="CN511" s="42"/>
      <c r="CO511" s="42"/>
      <c r="CP511" s="42"/>
      <c r="CQ511" s="42"/>
      <c r="CR511" s="42"/>
      <c r="CS511" s="42"/>
      <c r="CT511" s="42"/>
      <c r="CU511" s="42"/>
      <c r="CV511" s="42"/>
      <c r="CW511" s="42"/>
      <c r="CX511" s="42"/>
      <c r="CY511" s="42"/>
      <c r="CZ511" s="42"/>
      <c r="DA511" s="42"/>
      <c r="DB511" s="42"/>
      <c r="DC511" s="42"/>
      <c r="DD511" s="42"/>
      <c r="DE511" s="42"/>
      <c r="DF511" s="42"/>
      <c r="DG511" s="42"/>
      <c r="DH511" s="42"/>
      <c r="DI511" s="42"/>
      <c r="DJ511" s="42"/>
      <c r="DK511" s="42"/>
      <c r="DL511" s="42"/>
      <c r="DM511" s="42"/>
      <c r="DN511" s="42"/>
      <c r="DO511" s="42"/>
      <c r="DP511" s="42"/>
      <c r="DQ511" s="42"/>
      <c r="DR511" s="42"/>
      <c r="DS511" s="42"/>
      <c r="DT511" s="42"/>
      <c r="DU511" s="42"/>
      <c r="DV511" s="42"/>
      <c r="DW511" s="42"/>
      <c r="DX511" s="42"/>
      <c r="DY511" s="42"/>
      <c r="DZ511" s="42"/>
      <c r="EA511" s="42"/>
      <c r="EB511" s="42"/>
      <c r="EC511" s="42"/>
      <c r="ED511" s="42"/>
      <c r="EE511" s="42"/>
      <c r="EF511" s="42"/>
      <c r="EG511" s="42"/>
      <c r="EH511" s="42"/>
      <c r="EI511" s="42"/>
      <c r="EJ511" s="42"/>
      <c r="EK511" s="42"/>
      <c r="EL511" s="42"/>
      <c r="EM511" s="42"/>
      <c r="EN511" s="42"/>
      <c r="EO511" s="42"/>
      <c r="EP511" s="42"/>
      <c r="EQ511" s="42"/>
      <c r="ER511" s="42"/>
      <c r="ES511" s="42"/>
      <c r="ET511" s="42"/>
      <c r="EU511" s="42"/>
      <c r="EV511" s="42"/>
      <c r="EW511" s="42"/>
      <c r="EX511" s="42"/>
      <c r="EY511" s="42"/>
      <c r="EZ511" s="42"/>
      <c r="FA511" s="42"/>
      <c r="FB511" s="42"/>
      <c r="FC511" s="42"/>
      <c r="FD511" s="42"/>
      <c r="FE511" s="42"/>
      <c r="FF511" s="42"/>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row>
    <row r="512" spans="1:256" ht="13.8" x14ac:dyDescent="0.3">
      <c r="A512" s="42"/>
      <c r="B512" s="42"/>
      <c r="C512" s="42"/>
      <c r="D512" s="42"/>
      <c r="E512" s="42"/>
      <c r="F512" s="42"/>
      <c r="G512" s="42"/>
      <c r="H512" s="42"/>
      <c r="I512" s="42"/>
      <c r="J512" s="42"/>
      <c r="K512" s="42"/>
      <c r="L512" s="42"/>
      <c r="M512" s="42"/>
      <c r="N512" s="42"/>
      <c r="O512" s="42"/>
      <c r="P512" s="42"/>
      <c r="Q512" s="42"/>
      <c r="R512" s="42"/>
      <c r="S512" s="42"/>
      <c r="T512" s="42"/>
      <c r="U512" s="194"/>
      <c r="V512" s="42"/>
      <c r="W512" s="42"/>
      <c r="X512" s="42"/>
      <c r="Y512" s="42"/>
      <c r="Z512" s="42"/>
      <c r="AA512" s="42"/>
      <c r="AB512" s="195"/>
      <c r="AC512" s="42"/>
      <c r="AD512" s="42"/>
      <c r="AE512" s="195"/>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c r="BM512" s="42"/>
      <c r="BN512" s="42"/>
      <c r="BO512" s="42"/>
      <c r="BP512" s="42"/>
      <c r="BQ512" s="42"/>
      <c r="BR512" s="42"/>
      <c r="BS512" s="42"/>
      <c r="BT512" s="42"/>
      <c r="BU512" s="42"/>
      <c r="BV512" s="42"/>
      <c r="BW512" s="42"/>
      <c r="BX512" s="42"/>
      <c r="BY512" s="42"/>
      <c r="BZ512" s="42"/>
      <c r="CA512" s="42"/>
      <c r="CB512" s="42"/>
      <c r="CC512" s="42"/>
      <c r="CD512" s="42"/>
      <c r="CE512" s="42"/>
      <c r="CF512" s="42"/>
      <c r="CG512" s="42"/>
      <c r="CH512" s="42"/>
      <c r="CI512" s="42"/>
      <c r="CJ512" s="42"/>
      <c r="CK512" s="42"/>
      <c r="CL512" s="42"/>
      <c r="CM512" s="42"/>
      <c r="CN512" s="42"/>
      <c r="CO512" s="42"/>
      <c r="CP512" s="42"/>
      <c r="CQ512" s="42"/>
      <c r="CR512" s="42"/>
      <c r="CS512" s="42"/>
      <c r="CT512" s="42"/>
      <c r="CU512" s="42"/>
      <c r="CV512" s="42"/>
      <c r="CW512" s="42"/>
      <c r="CX512" s="42"/>
      <c r="CY512" s="42"/>
      <c r="CZ512" s="42"/>
      <c r="DA512" s="42"/>
      <c r="DB512" s="42"/>
      <c r="DC512" s="42"/>
      <c r="DD512" s="42"/>
      <c r="DE512" s="42"/>
      <c r="DF512" s="42"/>
      <c r="DG512" s="42"/>
      <c r="DH512" s="42"/>
      <c r="DI512" s="42"/>
      <c r="DJ512" s="42"/>
      <c r="DK512" s="42"/>
      <c r="DL512" s="42"/>
      <c r="DM512" s="42"/>
      <c r="DN512" s="42"/>
      <c r="DO512" s="42"/>
      <c r="DP512" s="42"/>
      <c r="DQ512" s="42"/>
      <c r="DR512" s="42"/>
      <c r="DS512" s="42"/>
      <c r="DT512" s="42"/>
      <c r="DU512" s="42"/>
      <c r="DV512" s="42"/>
      <c r="DW512" s="42"/>
      <c r="DX512" s="42"/>
      <c r="DY512" s="42"/>
      <c r="DZ512" s="42"/>
      <c r="EA512" s="42"/>
      <c r="EB512" s="42"/>
      <c r="EC512" s="42"/>
      <c r="ED512" s="42"/>
      <c r="EE512" s="42"/>
      <c r="EF512" s="42"/>
      <c r="EG512" s="42"/>
      <c r="EH512" s="42"/>
      <c r="EI512" s="42"/>
      <c r="EJ512" s="42"/>
      <c r="EK512" s="42"/>
      <c r="EL512" s="42"/>
      <c r="EM512" s="42"/>
      <c r="EN512" s="42"/>
      <c r="EO512" s="42"/>
      <c r="EP512" s="42"/>
      <c r="EQ512" s="42"/>
      <c r="ER512" s="42"/>
      <c r="ES512" s="42"/>
      <c r="ET512" s="42"/>
      <c r="EU512" s="42"/>
      <c r="EV512" s="42"/>
      <c r="EW512" s="42"/>
      <c r="EX512" s="42"/>
      <c r="EY512" s="42"/>
      <c r="EZ512" s="42"/>
      <c r="FA512" s="42"/>
      <c r="FB512" s="42"/>
      <c r="FC512" s="42"/>
      <c r="FD512" s="42"/>
      <c r="FE512" s="42"/>
      <c r="FF512" s="42"/>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row>
    <row r="513" spans="1:256" ht="13.8" x14ac:dyDescent="0.3">
      <c r="A513" s="42"/>
      <c r="B513" s="42"/>
      <c r="C513" s="42"/>
      <c r="D513" s="42"/>
      <c r="E513" s="42"/>
      <c r="F513" s="42"/>
      <c r="G513" s="42"/>
      <c r="H513" s="42"/>
      <c r="I513" s="42"/>
      <c r="J513" s="42"/>
      <c r="K513" s="42"/>
      <c r="L513" s="42"/>
      <c r="M513" s="42"/>
      <c r="N513" s="42"/>
      <c r="O513" s="42"/>
      <c r="P513" s="42"/>
      <c r="Q513" s="42"/>
      <c r="R513" s="42"/>
      <c r="S513" s="42"/>
      <c r="T513" s="42"/>
      <c r="U513" s="194"/>
      <c r="V513" s="42"/>
      <c r="W513" s="42"/>
      <c r="X513" s="42"/>
      <c r="Y513" s="42"/>
      <c r="Z513" s="42"/>
      <c r="AA513" s="42"/>
      <c r="AB513" s="195"/>
      <c r="AC513" s="42"/>
      <c r="AD513" s="42"/>
      <c r="AE513" s="195"/>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c r="BM513" s="42"/>
      <c r="BN513" s="42"/>
      <c r="BO513" s="42"/>
      <c r="BP513" s="42"/>
      <c r="BQ513" s="42"/>
      <c r="BR513" s="42"/>
      <c r="BS513" s="42"/>
      <c r="BT513" s="42"/>
      <c r="BU513" s="42"/>
      <c r="BV513" s="42"/>
      <c r="BW513" s="42"/>
      <c r="BX513" s="42"/>
      <c r="BY513" s="42"/>
      <c r="BZ513" s="42"/>
      <c r="CA513" s="42"/>
      <c r="CB513" s="42"/>
      <c r="CC513" s="42"/>
      <c r="CD513" s="42"/>
      <c r="CE513" s="42"/>
      <c r="CF513" s="42"/>
      <c r="CG513" s="42"/>
      <c r="CH513" s="42"/>
      <c r="CI513" s="42"/>
      <c r="CJ513" s="42"/>
      <c r="CK513" s="42"/>
      <c r="CL513" s="42"/>
      <c r="CM513" s="42"/>
      <c r="CN513" s="42"/>
      <c r="CO513" s="42"/>
      <c r="CP513" s="42"/>
      <c r="CQ513" s="42"/>
      <c r="CR513" s="42"/>
      <c r="CS513" s="42"/>
      <c r="CT513" s="42"/>
      <c r="CU513" s="42"/>
      <c r="CV513" s="42"/>
      <c r="CW513" s="42"/>
      <c r="CX513" s="42"/>
      <c r="CY513" s="42"/>
      <c r="CZ513" s="42"/>
      <c r="DA513" s="42"/>
      <c r="DB513" s="42"/>
      <c r="DC513" s="42"/>
      <c r="DD513" s="42"/>
      <c r="DE513" s="42"/>
      <c r="DF513" s="42"/>
      <c r="DG513" s="42"/>
      <c r="DH513" s="42"/>
      <c r="DI513" s="42"/>
      <c r="DJ513" s="42"/>
      <c r="DK513" s="42"/>
      <c r="DL513" s="42"/>
      <c r="DM513" s="42"/>
      <c r="DN513" s="42"/>
      <c r="DO513" s="42"/>
      <c r="DP513" s="42"/>
      <c r="DQ513" s="42"/>
      <c r="DR513" s="42"/>
      <c r="DS513" s="42"/>
      <c r="DT513" s="42"/>
      <c r="DU513" s="42"/>
      <c r="DV513" s="42"/>
      <c r="DW513" s="42"/>
      <c r="DX513" s="42"/>
      <c r="DY513" s="42"/>
      <c r="DZ513" s="42"/>
      <c r="EA513" s="42"/>
      <c r="EB513" s="42"/>
      <c r="EC513" s="42"/>
      <c r="ED513" s="42"/>
      <c r="EE513" s="42"/>
      <c r="EF513" s="42"/>
      <c r="EG513" s="42"/>
      <c r="EH513" s="42"/>
      <c r="EI513" s="42"/>
      <c r="EJ513" s="42"/>
      <c r="EK513" s="42"/>
      <c r="EL513" s="42"/>
      <c r="EM513" s="42"/>
      <c r="EN513" s="42"/>
      <c r="EO513" s="42"/>
      <c r="EP513" s="42"/>
      <c r="EQ513" s="42"/>
      <c r="ER513" s="42"/>
      <c r="ES513" s="42"/>
      <c r="ET513" s="42"/>
      <c r="EU513" s="42"/>
      <c r="EV513" s="42"/>
      <c r="EW513" s="42"/>
      <c r="EX513" s="42"/>
      <c r="EY513" s="42"/>
      <c r="EZ513" s="42"/>
      <c r="FA513" s="42"/>
      <c r="FB513" s="42"/>
      <c r="FC513" s="42"/>
      <c r="FD513" s="42"/>
      <c r="FE513" s="42"/>
      <c r="FF513" s="42"/>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row>
    <row r="514" spans="1:256" ht="13.8" x14ac:dyDescent="0.3">
      <c r="A514" s="42"/>
      <c r="B514" s="42"/>
      <c r="C514" s="42"/>
      <c r="D514" s="42"/>
      <c r="E514" s="42"/>
      <c r="F514" s="42"/>
      <c r="G514" s="42"/>
      <c r="H514" s="42"/>
      <c r="I514" s="42"/>
      <c r="J514" s="42"/>
      <c r="K514" s="42"/>
      <c r="L514" s="42"/>
      <c r="M514" s="42"/>
      <c r="N514" s="42"/>
      <c r="O514" s="42"/>
      <c r="P514" s="42"/>
      <c r="Q514" s="42"/>
      <c r="R514" s="42"/>
      <c r="S514" s="42"/>
      <c r="T514" s="42"/>
      <c r="U514" s="194"/>
      <c r="V514" s="42"/>
      <c r="W514" s="42"/>
      <c r="X514" s="42"/>
      <c r="Y514" s="42"/>
      <c r="Z514" s="42"/>
      <c r="AA514" s="42"/>
      <c r="AB514" s="195"/>
      <c r="AC514" s="42"/>
      <c r="AD514" s="42"/>
      <c r="AE514" s="195"/>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c r="BM514" s="42"/>
      <c r="BN514" s="42"/>
      <c r="BO514" s="42"/>
      <c r="BP514" s="42"/>
      <c r="BQ514" s="42"/>
      <c r="BR514" s="42"/>
      <c r="BS514" s="42"/>
      <c r="BT514" s="42"/>
      <c r="BU514" s="42"/>
      <c r="BV514" s="42"/>
      <c r="BW514" s="42"/>
      <c r="BX514" s="42"/>
      <c r="BY514" s="42"/>
      <c r="BZ514" s="42"/>
      <c r="CA514" s="42"/>
      <c r="CB514" s="42"/>
      <c r="CC514" s="42"/>
      <c r="CD514" s="42"/>
      <c r="CE514" s="42"/>
      <c r="CF514" s="42"/>
      <c r="CG514" s="42"/>
      <c r="CH514" s="42"/>
      <c r="CI514" s="42"/>
      <c r="CJ514" s="42"/>
      <c r="CK514" s="42"/>
      <c r="CL514" s="42"/>
      <c r="CM514" s="42"/>
      <c r="CN514" s="42"/>
      <c r="CO514" s="42"/>
      <c r="CP514" s="42"/>
      <c r="CQ514" s="42"/>
      <c r="CR514" s="42"/>
      <c r="CS514" s="42"/>
      <c r="CT514" s="42"/>
      <c r="CU514" s="42"/>
      <c r="CV514" s="42"/>
      <c r="CW514" s="42"/>
      <c r="CX514" s="42"/>
      <c r="CY514" s="42"/>
      <c r="CZ514" s="42"/>
      <c r="DA514" s="42"/>
      <c r="DB514" s="42"/>
      <c r="DC514" s="42"/>
      <c r="DD514" s="42"/>
      <c r="DE514" s="42"/>
      <c r="DF514" s="42"/>
      <c r="DG514" s="42"/>
      <c r="DH514" s="42"/>
      <c r="DI514" s="42"/>
      <c r="DJ514" s="42"/>
      <c r="DK514" s="42"/>
      <c r="DL514" s="42"/>
      <c r="DM514" s="42"/>
      <c r="DN514" s="42"/>
      <c r="DO514" s="42"/>
      <c r="DP514" s="42"/>
      <c r="DQ514" s="42"/>
      <c r="DR514" s="42"/>
      <c r="DS514" s="42"/>
      <c r="DT514" s="42"/>
      <c r="DU514" s="42"/>
      <c r="DV514" s="42"/>
      <c r="DW514" s="42"/>
      <c r="DX514" s="42"/>
      <c r="DY514" s="42"/>
      <c r="DZ514" s="42"/>
      <c r="EA514" s="42"/>
      <c r="EB514" s="42"/>
      <c r="EC514" s="42"/>
      <c r="ED514" s="42"/>
      <c r="EE514" s="42"/>
      <c r="EF514" s="42"/>
      <c r="EG514" s="42"/>
      <c r="EH514" s="42"/>
      <c r="EI514" s="42"/>
      <c r="EJ514" s="42"/>
      <c r="EK514" s="42"/>
      <c r="EL514" s="42"/>
      <c r="EM514" s="42"/>
      <c r="EN514" s="42"/>
      <c r="EO514" s="42"/>
      <c r="EP514" s="42"/>
      <c r="EQ514" s="42"/>
      <c r="ER514" s="42"/>
      <c r="ES514" s="42"/>
      <c r="ET514" s="42"/>
      <c r="EU514" s="42"/>
      <c r="EV514" s="42"/>
      <c r="EW514" s="42"/>
      <c r="EX514" s="42"/>
      <c r="EY514" s="42"/>
      <c r="EZ514" s="42"/>
      <c r="FA514" s="42"/>
      <c r="FB514" s="42"/>
      <c r="FC514" s="42"/>
      <c r="FD514" s="42"/>
      <c r="FE514" s="42"/>
      <c r="FF514" s="42"/>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row>
    <row r="515" spans="1:256" ht="13.8" x14ac:dyDescent="0.3">
      <c r="A515" s="42"/>
      <c r="B515" s="42"/>
      <c r="C515" s="42"/>
      <c r="D515" s="42"/>
      <c r="E515" s="42"/>
      <c r="F515" s="42"/>
      <c r="G515" s="42"/>
      <c r="H515" s="42"/>
      <c r="I515" s="42"/>
      <c r="J515" s="42"/>
      <c r="K515" s="42"/>
      <c r="L515" s="42"/>
      <c r="M515" s="42"/>
      <c r="N515" s="42"/>
      <c r="O515" s="42"/>
      <c r="P515" s="42"/>
      <c r="Q515" s="42"/>
      <c r="R515" s="42"/>
      <c r="S515" s="42"/>
      <c r="T515" s="42"/>
      <c r="U515" s="194"/>
      <c r="V515" s="42"/>
      <c r="W515" s="42"/>
      <c r="X515" s="42"/>
      <c r="Y515" s="42"/>
      <c r="Z515" s="42"/>
      <c r="AA515" s="42"/>
      <c r="AB515" s="195"/>
      <c r="AC515" s="42"/>
      <c r="AD515" s="42"/>
      <c r="AE515" s="195"/>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c r="BM515" s="42"/>
      <c r="BN515" s="42"/>
      <c r="BO515" s="42"/>
      <c r="BP515" s="42"/>
      <c r="BQ515" s="42"/>
      <c r="BR515" s="42"/>
      <c r="BS515" s="42"/>
      <c r="BT515" s="42"/>
      <c r="BU515" s="42"/>
      <c r="BV515" s="42"/>
      <c r="BW515" s="42"/>
      <c r="BX515" s="42"/>
      <c r="BY515" s="42"/>
      <c r="BZ515" s="42"/>
      <c r="CA515" s="42"/>
      <c r="CB515" s="42"/>
      <c r="CC515" s="42"/>
      <c r="CD515" s="42"/>
      <c r="CE515" s="42"/>
      <c r="CF515" s="42"/>
      <c r="CG515" s="42"/>
      <c r="CH515" s="42"/>
      <c r="CI515" s="42"/>
      <c r="CJ515" s="42"/>
      <c r="CK515" s="42"/>
      <c r="CL515" s="42"/>
      <c r="CM515" s="42"/>
      <c r="CN515" s="42"/>
      <c r="CO515" s="42"/>
      <c r="CP515" s="42"/>
      <c r="CQ515" s="42"/>
      <c r="CR515" s="42"/>
      <c r="CS515" s="42"/>
      <c r="CT515" s="42"/>
      <c r="CU515" s="42"/>
      <c r="CV515" s="42"/>
      <c r="CW515" s="42"/>
      <c r="CX515" s="42"/>
      <c r="CY515" s="42"/>
      <c r="CZ515" s="42"/>
      <c r="DA515" s="42"/>
      <c r="DB515" s="42"/>
      <c r="DC515" s="42"/>
      <c r="DD515" s="42"/>
      <c r="DE515" s="42"/>
      <c r="DF515" s="42"/>
      <c r="DG515" s="42"/>
      <c r="DH515" s="42"/>
      <c r="DI515" s="42"/>
      <c r="DJ515" s="42"/>
      <c r="DK515" s="42"/>
      <c r="DL515" s="42"/>
      <c r="DM515" s="42"/>
      <c r="DN515" s="42"/>
      <c r="DO515" s="42"/>
      <c r="DP515" s="42"/>
      <c r="DQ515" s="42"/>
      <c r="DR515" s="42"/>
      <c r="DS515" s="42"/>
      <c r="DT515" s="42"/>
      <c r="DU515" s="42"/>
      <c r="DV515" s="42"/>
      <c r="DW515" s="42"/>
      <c r="DX515" s="42"/>
      <c r="DY515" s="42"/>
      <c r="DZ515" s="42"/>
      <c r="EA515" s="42"/>
      <c r="EB515" s="42"/>
      <c r="EC515" s="42"/>
      <c r="ED515" s="42"/>
      <c r="EE515" s="42"/>
      <c r="EF515" s="42"/>
      <c r="EG515" s="42"/>
      <c r="EH515" s="42"/>
      <c r="EI515" s="42"/>
      <c r="EJ515" s="42"/>
      <c r="EK515" s="42"/>
      <c r="EL515" s="42"/>
      <c r="EM515" s="42"/>
      <c r="EN515" s="42"/>
      <c r="EO515" s="42"/>
      <c r="EP515" s="42"/>
      <c r="EQ515" s="42"/>
      <c r="ER515" s="42"/>
      <c r="ES515" s="42"/>
      <c r="ET515" s="42"/>
      <c r="EU515" s="42"/>
      <c r="EV515" s="42"/>
      <c r="EW515" s="42"/>
      <c r="EX515" s="42"/>
      <c r="EY515" s="42"/>
      <c r="EZ515" s="42"/>
      <c r="FA515" s="42"/>
      <c r="FB515" s="42"/>
      <c r="FC515" s="42"/>
      <c r="FD515" s="42"/>
      <c r="FE515" s="42"/>
      <c r="FF515" s="42"/>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row>
    <row r="516" spans="1:256" ht="13.8" x14ac:dyDescent="0.3">
      <c r="A516" s="42"/>
      <c r="B516" s="42"/>
      <c r="C516" s="42"/>
      <c r="D516" s="42"/>
      <c r="E516" s="42"/>
      <c r="F516" s="42"/>
      <c r="G516" s="42"/>
      <c r="H516" s="42"/>
      <c r="I516" s="42"/>
      <c r="J516" s="42"/>
      <c r="K516" s="42"/>
      <c r="L516" s="42"/>
      <c r="M516" s="42"/>
      <c r="N516" s="42"/>
      <c r="O516" s="42"/>
      <c r="P516" s="42"/>
      <c r="Q516" s="42"/>
      <c r="R516" s="42"/>
      <c r="S516" s="42"/>
      <c r="T516" s="42"/>
      <c r="U516" s="194"/>
      <c r="V516" s="42"/>
      <c r="W516" s="42"/>
      <c r="X516" s="42"/>
      <c r="Y516" s="42"/>
      <c r="Z516" s="42"/>
      <c r="AA516" s="42"/>
      <c r="AB516" s="195"/>
      <c r="AC516" s="42"/>
      <c r="AD516" s="42"/>
      <c r="AE516" s="195"/>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c r="BM516" s="42"/>
      <c r="BN516" s="42"/>
      <c r="BO516" s="42"/>
      <c r="BP516" s="42"/>
      <c r="BQ516" s="42"/>
      <c r="BR516" s="42"/>
      <c r="BS516" s="42"/>
      <c r="BT516" s="42"/>
      <c r="BU516" s="42"/>
      <c r="BV516" s="42"/>
      <c r="BW516" s="42"/>
      <c r="BX516" s="42"/>
      <c r="BY516" s="42"/>
      <c r="BZ516" s="42"/>
      <c r="CA516" s="42"/>
      <c r="CB516" s="42"/>
      <c r="CC516" s="42"/>
      <c r="CD516" s="42"/>
      <c r="CE516" s="42"/>
      <c r="CF516" s="42"/>
      <c r="CG516" s="42"/>
      <c r="CH516" s="42"/>
      <c r="CI516" s="42"/>
      <c r="CJ516" s="42"/>
      <c r="CK516" s="42"/>
      <c r="CL516" s="42"/>
      <c r="CM516" s="42"/>
      <c r="CN516" s="42"/>
      <c r="CO516" s="42"/>
      <c r="CP516" s="42"/>
      <c r="CQ516" s="42"/>
      <c r="CR516" s="42"/>
      <c r="CS516" s="42"/>
      <c r="CT516" s="42"/>
      <c r="CU516" s="42"/>
      <c r="CV516" s="42"/>
      <c r="CW516" s="42"/>
      <c r="CX516" s="42"/>
      <c r="CY516" s="42"/>
      <c r="CZ516" s="42"/>
      <c r="DA516" s="42"/>
      <c r="DB516" s="42"/>
      <c r="DC516" s="42"/>
      <c r="DD516" s="42"/>
      <c r="DE516" s="42"/>
      <c r="DF516" s="42"/>
      <c r="DG516" s="42"/>
      <c r="DH516" s="42"/>
      <c r="DI516" s="42"/>
      <c r="DJ516" s="42"/>
      <c r="DK516" s="42"/>
      <c r="DL516" s="42"/>
      <c r="DM516" s="42"/>
      <c r="DN516" s="42"/>
      <c r="DO516" s="42"/>
      <c r="DP516" s="42"/>
      <c r="DQ516" s="42"/>
      <c r="DR516" s="42"/>
      <c r="DS516" s="42"/>
      <c r="DT516" s="42"/>
      <c r="DU516" s="42"/>
      <c r="DV516" s="42"/>
      <c r="DW516" s="42"/>
      <c r="DX516" s="42"/>
      <c r="DY516" s="42"/>
      <c r="DZ516" s="42"/>
      <c r="EA516" s="42"/>
      <c r="EB516" s="42"/>
      <c r="EC516" s="42"/>
      <c r="ED516" s="42"/>
      <c r="EE516" s="42"/>
      <c r="EF516" s="42"/>
      <c r="EG516" s="42"/>
      <c r="EH516" s="42"/>
      <c r="EI516" s="42"/>
      <c r="EJ516" s="42"/>
      <c r="EK516" s="42"/>
      <c r="EL516" s="42"/>
      <c r="EM516" s="42"/>
      <c r="EN516" s="42"/>
      <c r="EO516" s="42"/>
      <c r="EP516" s="42"/>
      <c r="EQ516" s="42"/>
      <c r="ER516" s="42"/>
      <c r="ES516" s="42"/>
      <c r="ET516" s="42"/>
      <c r="EU516" s="42"/>
      <c r="EV516" s="42"/>
      <c r="EW516" s="42"/>
      <c r="EX516" s="42"/>
      <c r="EY516" s="42"/>
      <c r="EZ516" s="42"/>
      <c r="FA516" s="42"/>
      <c r="FB516" s="42"/>
      <c r="FC516" s="42"/>
      <c r="FD516" s="42"/>
      <c r="FE516" s="42"/>
      <c r="FF516" s="42"/>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row>
    <row r="517" spans="1:256" ht="13.8" x14ac:dyDescent="0.3">
      <c r="A517" s="42"/>
      <c r="B517" s="42"/>
      <c r="C517" s="42"/>
      <c r="D517" s="42"/>
      <c r="E517" s="42"/>
      <c r="F517" s="42"/>
      <c r="G517" s="42"/>
      <c r="H517" s="42"/>
      <c r="I517" s="42"/>
      <c r="J517" s="42"/>
      <c r="K517" s="42"/>
      <c r="L517" s="42"/>
      <c r="M517" s="42"/>
      <c r="N517" s="42"/>
      <c r="O517" s="42"/>
      <c r="P517" s="42"/>
      <c r="Q517" s="42"/>
      <c r="R517" s="42"/>
      <c r="S517" s="42"/>
      <c r="T517" s="42"/>
      <c r="U517" s="194"/>
      <c r="V517" s="42"/>
      <c r="W517" s="42"/>
      <c r="X517" s="42"/>
      <c r="Y517" s="42"/>
      <c r="Z517" s="42"/>
      <c r="AA517" s="42"/>
      <c r="AB517" s="195"/>
      <c r="AC517" s="42"/>
      <c r="AD517" s="42"/>
      <c r="AE517" s="195"/>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c r="BM517" s="42"/>
      <c r="BN517" s="42"/>
      <c r="BO517" s="42"/>
      <c r="BP517" s="42"/>
      <c r="BQ517" s="42"/>
      <c r="BR517" s="42"/>
      <c r="BS517" s="42"/>
      <c r="BT517" s="42"/>
      <c r="BU517" s="42"/>
      <c r="BV517" s="42"/>
      <c r="BW517" s="42"/>
      <c r="BX517" s="42"/>
      <c r="BY517" s="42"/>
      <c r="BZ517" s="42"/>
      <c r="CA517" s="42"/>
      <c r="CB517" s="42"/>
      <c r="CC517" s="42"/>
      <c r="CD517" s="42"/>
      <c r="CE517" s="42"/>
      <c r="CF517" s="42"/>
      <c r="CG517" s="42"/>
      <c r="CH517" s="42"/>
      <c r="CI517" s="42"/>
      <c r="CJ517" s="42"/>
      <c r="CK517" s="42"/>
      <c r="CL517" s="42"/>
      <c r="CM517" s="42"/>
      <c r="CN517" s="42"/>
      <c r="CO517" s="42"/>
      <c r="CP517" s="42"/>
      <c r="CQ517" s="42"/>
      <c r="CR517" s="42"/>
      <c r="CS517" s="42"/>
      <c r="CT517" s="42"/>
      <c r="CU517" s="42"/>
      <c r="CV517" s="42"/>
      <c r="CW517" s="42"/>
      <c r="CX517" s="42"/>
      <c r="CY517" s="42"/>
      <c r="CZ517" s="42"/>
      <c r="DA517" s="42"/>
      <c r="DB517" s="42"/>
      <c r="DC517" s="42"/>
      <c r="DD517" s="42"/>
      <c r="DE517" s="42"/>
      <c r="DF517" s="42"/>
      <c r="DG517" s="42"/>
      <c r="DH517" s="42"/>
      <c r="DI517" s="42"/>
      <c r="DJ517" s="42"/>
      <c r="DK517" s="42"/>
      <c r="DL517" s="42"/>
      <c r="DM517" s="42"/>
      <c r="DN517" s="42"/>
      <c r="DO517" s="42"/>
      <c r="DP517" s="42"/>
      <c r="DQ517" s="42"/>
      <c r="DR517" s="42"/>
      <c r="DS517" s="42"/>
      <c r="DT517" s="42"/>
      <c r="DU517" s="42"/>
      <c r="DV517" s="42"/>
      <c r="DW517" s="42"/>
      <c r="DX517" s="42"/>
      <c r="DY517" s="42"/>
      <c r="DZ517" s="42"/>
      <c r="EA517" s="42"/>
      <c r="EB517" s="42"/>
      <c r="EC517" s="42"/>
      <c r="ED517" s="42"/>
      <c r="EE517" s="42"/>
      <c r="EF517" s="42"/>
      <c r="EG517" s="42"/>
      <c r="EH517" s="42"/>
      <c r="EI517" s="42"/>
      <c r="EJ517" s="42"/>
      <c r="EK517" s="42"/>
      <c r="EL517" s="42"/>
      <c r="EM517" s="42"/>
      <c r="EN517" s="42"/>
      <c r="EO517" s="42"/>
      <c r="EP517" s="42"/>
      <c r="EQ517" s="42"/>
      <c r="ER517" s="42"/>
      <c r="ES517" s="42"/>
      <c r="ET517" s="42"/>
      <c r="EU517" s="42"/>
      <c r="EV517" s="42"/>
      <c r="EW517" s="42"/>
      <c r="EX517" s="42"/>
      <c r="EY517" s="42"/>
      <c r="EZ517" s="42"/>
      <c r="FA517" s="42"/>
      <c r="FB517" s="42"/>
      <c r="FC517" s="42"/>
      <c r="FD517" s="42"/>
      <c r="FE517" s="42"/>
      <c r="FF517" s="42"/>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row>
    <row r="518" spans="1:256" ht="13.8" x14ac:dyDescent="0.3">
      <c r="A518" s="42"/>
      <c r="B518" s="42"/>
      <c r="C518" s="42"/>
      <c r="D518" s="42"/>
      <c r="E518" s="42"/>
      <c r="F518" s="42"/>
      <c r="G518" s="42"/>
      <c r="H518" s="42"/>
      <c r="I518" s="42"/>
      <c r="J518" s="42"/>
      <c r="K518" s="42"/>
      <c r="L518" s="42"/>
      <c r="M518" s="42"/>
      <c r="N518" s="42"/>
      <c r="O518" s="42"/>
      <c r="P518" s="42"/>
      <c r="Q518" s="42"/>
      <c r="R518" s="42"/>
      <c r="S518" s="42"/>
      <c r="T518" s="42"/>
      <c r="U518" s="194"/>
      <c r="V518" s="42"/>
      <c r="W518" s="42"/>
      <c r="X518" s="42"/>
      <c r="Y518" s="42"/>
      <c r="Z518" s="42"/>
      <c r="AA518" s="42"/>
      <c r="AB518" s="195"/>
      <c r="AC518" s="42"/>
      <c r="AD518" s="42"/>
      <c r="AE518" s="195"/>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c r="BM518" s="42"/>
      <c r="BN518" s="42"/>
      <c r="BO518" s="42"/>
      <c r="BP518" s="42"/>
      <c r="BQ518" s="42"/>
      <c r="BR518" s="42"/>
      <c r="BS518" s="42"/>
      <c r="BT518" s="42"/>
      <c r="BU518" s="42"/>
      <c r="BV518" s="42"/>
      <c r="BW518" s="42"/>
      <c r="BX518" s="42"/>
      <c r="BY518" s="42"/>
      <c r="BZ518" s="42"/>
      <c r="CA518" s="42"/>
      <c r="CB518" s="42"/>
      <c r="CC518" s="42"/>
      <c r="CD518" s="42"/>
      <c r="CE518" s="42"/>
      <c r="CF518" s="42"/>
      <c r="CG518" s="42"/>
      <c r="CH518" s="42"/>
      <c r="CI518" s="42"/>
      <c r="CJ518" s="42"/>
      <c r="CK518" s="42"/>
      <c r="CL518" s="42"/>
      <c r="CM518" s="42"/>
      <c r="CN518" s="42"/>
      <c r="CO518" s="42"/>
      <c r="CP518" s="42"/>
      <c r="CQ518" s="42"/>
      <c r="CR518" s="42"/>
      <c r="CS518" s="42"/>
      <c r="CT518" s="42"/>
      <c r="CU518" s="42"/>
      <c r="CV518" s="42"/>
      <c r="CW518" s="42"/>
      <c r="CX518" s="42"/>
      <c r="CY518" s="42"/>
      <c r="CZ518" s="42"/>
      <c r="DA518" s="42"/>
      <c r="DB518" s="42"/>
      <c r="DC518" s="42"/>
      <c r="DD518" s="42"/>
      <c r="DE518" s="42"/>
      <c r="DF518" s="42"/>
      <c r="DG518" s="42"/>
      <c r="DH518" s="42"/>
      <c r="DI518" s="42"/>
      <c r="DJ518" s="42"/>
      <c r="DK518" s="42"/>
      <c r="DL518" s="42"/>
      <c r="DM518" s="42"/>
      <c r="DN518" s="42"/>
      <c r="DO518" s="42"/>
      <c r="DP518" s="42"/>
      <c r="DQ518" s="42"/>
      <c r="DR518" s="42"/>
      <c r="DS518" s="42"/>
      <c r="DT518" s="42"/>
      <c r="DU518" s="42"/>
      <c r="DV518" s="42"/>
      <c r="DW518" s="42"/>
      <c r="DX518" s="42"/>
      <c r="DY518" s="42"/>
      <c r="DZ518" s="42"/>
      <c r="EA518" s="42"/>
      <c r="EB518" s="42"/>
      <c r="EC518" s="42"/>
      <c r="ED518" s="42"/>
      <c r="EE518" s="42"/>
      <c r="EF518" s="42"/>
      <c r="EG518" s="42"/>
      <c r="EH518" s="42"/>
      <c r="EI518" s="42"/>
      <c r="EJ518" s="42"/>
      <c r="EK518" s="42"/>
      <c r="EL518" s="42"/>
      <c r="EM518" s="42"/>
      <c r="EN518" s="42"/>
      <c r="EO518" s="42"/>
      <c r="EP518" s="42"/>
      <c r="EQ518" s="42"/>
      <c r="ER518" s="42"/>
      <c r="ES518" s="42"/>
      <c r="ET518" s="42"/>
      <c r="EU518" s="42"/>
      <c r="EV518" s="42"/>
      <c r="EW518" s="42"/>
      <c r="EX518" s="42"/>
      <c r="EY518" s="42"/>
      <c r="EZ518" s="42"/>
      <c r="FA518" s="42"/>
      <c r="FB518" s="42"/>
      <c r="FC518" s="42"/>
      <c r="FD518" s="42"/>
      <c r="FE518" s="42"/>
      <c r="FF518" s="42"/>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row>
    <row r="519" spans="1:256" ht="13.8" x14ac:dyDescent="0.3">
      <c r="A519" s="42"/>
      <c r="B519" s="42"/>
      <c r="C519" s="42"/>
      <c r="D519" s="42"/>
      <c r="E519" s="42"/>
      <c r="F519" s="42"/>
      <c r="G519" s="42"/>
      <c r="H519" s="42"/>
      <c r="I519" s="42"/>
      <c r="J519" s="42"/>
      <c r="K519" s="42"/>
      <c r="L519" s="42"/>
      <c r="M519" s="42"/>
      <c r="N519" s="42"/>
      <c r="O519" s="42"/>
      <c r="P519" s="42"/>
      <c r="Q519" s="42"/>
      <c r="R519" s="42"/>
      <c r="S519" s="42"/>
      <c r="T519" s="42"/>
      <c r="U519" s="194"/>
      <c r="V519" s="42"/>
      <c r="W519" s="42"/>
      <c r="X519" s="42"/>
      <c r="Y519" s="42"/>
      <c r="Z519" s="42"/>
      <c r="AA519" s="42"/>
      <c r="AB519" s="195"/>
      <c r="AC519" s="42"/>
      <c r="AD519" s="42"/>
      <c r="AE519" s="195"/>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c r="BM519" s="42"/>
      <c r="BN519" s="42"/>
      <c r="BO519" s="42"/>
      <c r="BP519" s="42"/>
      <c r="BQ519" s="42"/>
      <c r="BR519" s="42"/>
      <c r="BS519" s="42"/>
      <c r="BT519" s="42"/>
      <c r="BU519" s="42"/>
      <c r="BV519" s="42"/>
      <c r="BW519" s="42"/>
      <c r="BX519" s="42"/>
      <c r="BY519" s="42"/>
      <c r="BZ519" s="42"/>
      <c r="CA519" s="42"/>
      <c r="CB519" s="42"/>
      <c r="CC519" s="42"/>
      <c r="CD519" s="42"/>
      <c r="CE519" s="42"/>
      <c r="CF519" s="42"/>
      <c r="CG519" s="42"/>
      <c r="CH519" s="42"/>
      <c r="CI519" s="42"/>
      <c r="CJ519" s="42"/>
      <c r="CK519" s="42"/>
      <c r="CL519" s="42"/>
      <c r="CM519" s="42"/>
      <c r="CN519" s="42"/>
      <c r="CO519" s="42"/>
      <c r="CP519" s="42"/>
      <c r="CQ519" s="42"/>
      <c r="CR519" s="42"/>
      <c r="CS519" s="42"/>
      <c r="CT519" s="42"/>
      <c r="CU519" s="42"/>
      <c r="CV519" s="42"/>
      <c r="CW519" s="42"/>
      <c r="CX519" s="42"/>
      <c r="CY519" s="42"/>
      <c r="CZ519" s="42"/>
      <c r="DA519" s="42"/>
      <c r="DB519" s="42"/>
      <c r="DC519" s="42"/>
      <c r="DD519" s="42"/>
      <c r="DE519" s="42"/>
      <c r="DF519" s="42"/>
      <c r="DG519" s="42"/>
      <c r="DH519" s="42"/>
      <c r="DI519" s="42"/>
      <c r="DJ519" s="42"/>
      <c r="DK519" s="42"/>
      <c r="DL519" s="42"/>
      <c r="DM519" s="42"/>
      <c r="DN519" s="42"/>
      <c r="DO519" s="42"/>
      <c r="DP519" s="42"/>
      <c r="DQ519" s="42"/>
      <c r="DR519" s="42"/>
      <c r="DS519" s="42"/>
      <c r="DT519" s="42"/>
      <c r="DU519" s="42"/>
      <c r="DV519" s="42"/>
      <c r="DW519" s="42"/>
      <c r="DX519" s="42"/>
      <c r="DY519" s="42"/>
      <c r="DZ519" s="42"/>
      <c r="EA519" s="42"/>
      <c r="EB519" s="42"/>
      <c r="EC519" s="42"/>
      <c r="ED519" s="42"/>
      <c r="EE519" s="42"/>
      <c r="EF519" s="42"/>
      <c r="EG519" s="42"/>
      <c r="EH519" s="42"/>
      <c r="EI519" s="42"/>
      <c r="EJ519" s="42"/>
      <c r="EK519" s="42"/>
      <c r="EL519" s="42"/>
      <c r="EM519" s="42"/>
      <c r="EN519" s="42"/>
      <c r="EO519" s="42"/>
      <c r="EP519" s="42"/>
      <c r="EQ519" s="42"/>
      <c r="ER519" s="42"/>
      <c r="ES519" s="42"/>
      <c r="ET519" s="42"/>
      <c r="EU519" s="42"/>
      <c r="EV519" s="42"/>
      <c r="EW519" s="42"/>
      <c r="EX519" s="42"/>
      <c r="EY519" s="42"/>
      <c r="EZ519" s="42"/>
      <c r="FA519" s="42"/>
      <c r="FB519" s="42"/>
      <c r="FC519" s="42"/>
      <c r="FD519" s="42"/>
      <c r="FE519" s="42"/>
      <c r="FF519" s="42"/>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row>
    <row r="520" spans="1:256" ht="13.8" x14ac:dyDescent="0.3">
      <c r="A520" s="42"/>
      <c r="B520" s="42"/>
      <c r="C520" s="42"/>
      <c r="D520" s="42"/>
      <c r="E520" s="42"/>
      <c r="F520" s="42"/>
      <c r="G520" s="42"/>
      <c r="H520" s="42"/>
      <c r="I520" s="42"/>
      <c r="J520" s="42"/>
      <c r="K520" s="42"/>
      <c r="L520" s="42"/>
      <c r="M520" s="42"/>
      <c r="N520" s="42"/>
      <c r="O520" s="42"/>
      <c r="P520" s="42"/>
      <c r="Q520" s="42"/>
      <c r="R520" s="42"/>
      <c r="S520" s="42"/>
      <c r="T520" s="42"/>
      <c r="U520" s="194"/>
      <c r="V520" s="42"/>
      <c r="W520" s="42"/>
      <c r="X520" s="42"/>
      <c r="Y520" s="42"/>
      <c r="Z520" s="42"/>
      <c r="AA520" s="42"/>
      <c r="AB520" s="195"/>
      <c r="AC520" s="42"/>
      <c r="AD520" s="42"/>
      <c r="AE520" s="195"/>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c r="BM520" s="42"/>
      <c r="BN520" s="42"/>
      <c r="BO520" s="42"/>
      <c r="BP520" s="42"/>
      <c r="BQ520" s="42"/>
      <c r="BR520" s="42"/>
      <c r="BS520" s="42"/>
      <c r="BT520" s="42"/>
      <c r="BU520" s="42"/>
      <c r="BV520" s="42"/>
      <c r="BW520" s="42"/>
      <c r="BX520" s="42"/>
      <c r="BY520" s="42"/>
      <c r="BZ520" s="42"/>
      <c r="CA520" s="42"/>
      <c r="CB520" s="42"/>
      <c r="CC520" s="42"/>
      <c r="CD520" s="42"/>
      <c r="CE520" s="42"/>
      <c r="CF520" s="42"/>
      <c r="CG520" s="42"/>
      <c r="CH520" s="42"/>
      <c r="CI520" s="42"/>
      <c r="CJ520" s="42"/>
      <c r="CK520" s="42"/>
      <c r="CL520" s="42"/>
      <c r="CM520" s="42"/>
      <c r="CN520" s="42"/>
      <c r="CO520" s="42"/>
      <c r="CP520" s="42"/>
      <c r="CQ520" s="42"/>
      <c r="CR520" s="42"/>
      <c r="CS520" s="42"/>
      <c r="CT520" s="42"/>
      <c r="CU520" s="42"/>
      <c r="CV520" s="42"/>
      <c r="CW520" s="42"/>
      <c r="CX520" s="42"/>
      <c r="CY520" s="42"/>
      <c r="CZ520" s="42"/>
      <c r="DA520" s="42"/>
      <c r="DB520" s="42"/>
      <c r="DC520" s="42"/>
      <c r="DD520" s="42"/>
      <c r="DE520" s="42"/>
      <c r="DF520" s="42"/>
      <c r="DG520" s="42"/>
      <c r="DH520" s="42"/>
      <c r="DI520" s="42"/>
      <c r="DJ520" s="42"/>
      <c r="DK520" s="42"/>
      <c r="DL520" s="42"/>
      <c r="DM520" s="42"/>
      <c r="DN520" s="42"/>
      <c r="DO520" s="42"/>
      <c r="DP520" s="42"/>
      <c r="DQ520" s="42"/>
      <c r="DR520" s="42"/>
      <c r="DS520" s="42"/>
      <c r="DT520" s="42"/>
      <c r="DU520" s="42"/>
      <c r="DV520" s="42"/>
      <c r="DW520" s="42"/>
      <c r="DX520" s="42"/>
      <c r="DY520" s="42"/>
      <c r="DZ520" s="42"/>
      <c r="EA520" s="42"/>
      <c r="EB520" s="42"/>
      <c r="EC520" s="42"/>
      <c r="ED520" s="42"/>
      <c r="EE520" s="42"/>
      <c r="EF520" s="42"/>
      <c r="EG520" s="42"/>
      <c r="EH520" s="42"/>
      <c r="EI520" s="42"/>
      <c r="EJ520" s="42"/>
      <c r="EK520" s="42"/>
      <c r="EL520" s="42"/>
      <c r="EM520" s="42"/>
      <c r="EN520" s="42"/>
      <c r="EO520" s="42"/>
      <c r="EP520" s="42"/>
      <c r="EQ520" s="42"/>
      <c r="ER520" s="42"/>
      <c r="ES520" s="42"/>
      <c r="ET520" s="42"/>
      <c r="EU520" s="42"/>
      <c r="EV520" s="42"/>
      <c r="EW520" s="42"/>
      <c r="EX520" s="42"/>
      <c r="EY520" s="42"/>
      <c r="EZ520" s="42"/>
      <c r="FA520" s="42"/>
      <c r="FB520" s="42"/>
      <c r="FC520" s="42"/>
      <c r="FD520" s="42"/>
      <c r="FE520" s="42"/>
      <c r="FF520" s="42"/>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row>
    <row r="521" spans="1:256" ht="13.8" x14ac:dyDescent="0.3">
      <c r="A521" s="42"/>
      <c r="B521" s="42"/>
      <c r="C521" s="42"/>
      <c r="D521" s="42"/>
      <c r="E521" s="42"/>
      <c r="F521" s="42"/>
      <c r="G521" s="42"/>
      <c r="H521" s="42"/>
      <c r="I521" s="42"/>
      <c r="J521" s="42"/>
      <c r="K521" s="42"/>
      <c r="L521" s="42"/>
      <c r="M521" s="42"/>
      <c r="N521" s="42"/>
      <c r="O521" s="42"/>
      <c r="P521" s="42"/>
      <c r="Q521" s="42"/>
      <c r="R521" s="42"/>
      <c r="S521" s="42"/>
      <c r="T521" s="42"/>
      <c r="U521" s="194"/>
      <c r="V521" s="42"/>
      <c r="W521" s="42"/>
      <c r="X521" s="42"/>
      <c r="Y521" s="42"/>
      <c r="Z521" s="42"/>
      <c r="AA521" s="42"/>
      <c r="AB521" s="195"/>
      <c r="AC521" s="42"/>
      <c r="AD521" s="42"/>
      <c r="AE521" s="195"/>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c r="BM521" s="42"/>
      <c r="BN521" s="42"/>
      <c r="BO521" s="42"/>
      <c r="BP521" s="42"/>
      <c r="BQ521" s="42"/>
      <c r="BR521" s="42"/>
      <c r="BS521" s="42"/>
      <c r="BT521" s="42"/>
      <c r="BU521" s="42"/>
      <c r="BV521" s="42"/>
      <c r="BW521" s="42"/>
      <c r="BX521" s="42"/>
      <c r="BY521" s="42"/>
      <c r="BZ521" s="42"/>
      <c r="CA521" s="42"/>
      <c r="CB521" s="42"/>
      <c r="CC521" s="42"/>
      <c r="CD521" s="42"/>
      <c r="CE521" s="42"/>
      <c r="CF521" s="42"/>
      <c r="CG521" s="42"/>
      <c r="CH521" s="42"/>
      <c r="CI521" s="42"/>
      <c r="CJ521" s="42"/>
      <c r="CK521" s="42"/>
      <c r="CL521" s="42"/>
      <c r="CM521" s="42"/>
      <c r="CN521" s="42"/>
      <c r="CO521" s="42"/>
      <c r="CP521" s="42"/>
      <c r="CQ521" s="42"/>
      <c r="CR521" s="42"/>
      <c r="CS521" s="42"/>
      <c r="CT521" s="42"/>
      <c r="CU521" s="42"/>
      <c r="CV521" s="42"/>
      <c r="CW521" s="42"/>
      <c r="CX521" s="42"/>
      <c r="CY521" s="42"/>
      <c r="CZ521" s="42"/>
      <c r="DA521" s="42"/>
      <c r="DB521" s="42"/>
      <c r="DC521" s="42"/>
      <c r="DD521" s="42"/>
      <c r="DE521" s="42"/>
      <c r="DF521" s="42"/>
      <c r="DG521" s="42"/>
      <c r="DH521" s="42"/>
      <c r="DI521" s="42"/>
      <c r="DJ521" s="42"/>
      <c r="DK521" s="42"/>
      <c r="DL521" s="42"/>
      <c r="DM521" s="42"/>
      <c r="DN521" s="42"/>
      <c r="DO521" s="42"/>
      <c r="DP521" s="42"/>
      <c r="DQ521" s="42"/>
      <c r="DR521" s="42"/>
      <c r="DS521" s="42"/>
      <c r="DT521" s="42"/>
      <c r="DU521" s="42"/>
      <c r="DV521" s="42"/>
      <c r="DW521" s="42"/>
      <c r="DX521" s="42"/>
      <c r="DY521" s="42"/>
      <c r="DZ521" s="42"/>
      <c r="EA521" s="42"/>
      <c r="EB521" s="42"/>
      <c r="EC521" s="42"/>
      <c r="ED521" s="42"/>
      <c r="EE521" s="42"/>
      <c r="EF521" s="42"/>
      <c r="EG521" s="42"/>
      <c r="EH521" s="42"/>
      <c r="EI521" s="42"/>
      <c r="EJ521" s="42"/>
      <c r="EK521" s="42"/>
      <c r="EL521" s="42"/>
      <c r="EM521" s="42"/>
      <c r="EN521" s="42"/>
      <c r="EO521" s="42"/>
      <c r="EP521" s="42"/>
      <c r="EQ521" s="42"/>
      <c r="ER521" s="42"/>
      <c r="ES521" s="42"/>
      <c r="ET521" s="42"/>
      <c r="EU521" s="42"/>
      <c r="EV521" s="42"/>
      <c r="EW521" s="42"/>
      <c r="EX521" s="42"/>
      <c r="EY521" s="42"/>
      <c r="EZ521" s="42"/>
      <c r="FA521" s="42"/>
      <c r="FB521" s="42"/>
      <c r="FC521" s="42"/>
      <c r="FD521" s="42"/>
      <c r="FE521" s="42"/>
      <c r="FF521" s="42"/>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row>
    <row r="522" spans="1:256" ht="13.8" x14ac:dyDescent="0.3">
      <c r="A522" s="42"/>
      <c r="B522" s="42"/>
      <c r="C522" s="42"/>
      <c r="D522" s="42"/>
      <c r="E522" s="42"/>
      <c r="F522" s="42"/>
      <c r="G522" s="42"/>
      <c r="H522" s="42"/>
      <c r="I522" s="42"/>
      <c r="J522" s="42"/>
      <c r="K522" s="42"/>
      <c r="L522" s="42"/>
      <c r="M522" s="42"/>
      <c r="N522" s="42"/>
      <c r="O522" s="42"/>
      <c r="P522" s="42"/>
      <c r="Q522" s="42"/>
      <c r="R522" s="42"/>
      <c r="S522" s="42"/>
      <c r="T522" s="42"/>
      <c r="U522" s="194"/>
      <c r="V522" s="42"/>
      <c r="W522" s="42"/>
      <c r="X522" s="42"/>
      <c r="Y522" s="42"/>
      <c r="Z522" s="42"/>
      <c r="AA522" s="42"/>
      <c r="AB522" s="195"/>
      <c r="AC522" s="42"/>
      <c r="AD522" s="42"/>
      <c r="AE522" s="195"/>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c r="BM522" s="42"/>
      <c r="BN522" s="42"/>
      <c r="BO522" s="42"/>
      <c r="BP522" s="42"/>
      <c r="BQ522" s="42"/>
      <c r="BR522" s="42"/>
      <c r="BS522" s="42"/>
      <c r="BT522" s="42"/>
      <c r="BU522" s="42"/>
      <c r="BV522" s="42"/>
      <c r="BW522" s="42"/>
      <c r="BX522" s="42"/>
      <c r="BY522" s="42"/>
      <c r="BZ522" s="42"/>
      <c r="CA522" s="42"/>
      <c r="CB522" s="42"/>
      <c r="CC522" s="42"/>
      <c r="CD522" s="42"/>
      <c r="CE522" s="42"/>
      <c r="CF522" s="42"/>
      <c r="CG522" s="42"/>
      <c r="CH522" s="42"/>
      <c r="CI522" s="42"/>
      <c r="CJ522" s="42"/>
      <c r="CK522" s="42"/>
      <c r="CL522" s="42"/>
      <c r="CM522" s="42"/>
      <c r="CN522" s="42"/>
      <c r="CO522" s="42"/>
      <c r="CP522" s="42"/>
      <c r="CQ522" s="42"/>
      <c r="CR522" s="42"/>
      <c r="CS522" s="42"/>
      <c r="CT522" s="42"/>
      <c r="CU522" s="42"/>
      <c r="CV522" s="42"/>
      <c r="CW522" s="42"/>
      <c r="CX522" s="42"/>
      <c r="CY522" s="42"/>
      <c r="CZ522" s="42"/>
      <c r="DA522" s="42"/>
      <c r="DB522" s="42"/>
      <c r="DC522" s="42"/>
      <c r="DD522" s="42"/>
      <c r="DE522" s="42"/>
      <c r="DF522" s="42"/>
      <c r="DG522" s="42"/>
      <c r="DH522" s="42"/>
      <c r="DI522" s="42"/>
      <c r="DJ522" s="42"/>
      <c r="DK522" s="42"/>
      <c r="DL522" s="42"/>
      <c r="DM522" s="42"/>
      <c r="DN522" s="42"/>
      <c r="DO522" s="42"/>
      <c r="DP522" s="42"/>
      <c r="DQ522" s="42"/>
      <c r="DR522" s="42"/>
      <c r="DS522" s="42"/>
      <c r="DT522" s="42"/>
      <c r="DU522" s="42"/>
      <c r="DV522" s="42"/>
      <c r="DW522" s="42"/>
      <c r="DX522" s="42"/>
      <c r="DY522" s="42"/>
      <c r="DZ522" s="42"/>
      <c r="EA522" s="42"/>
      <c r="EB522" s="42"/>
      <c r="EC522" s="42"/>
      <c r="ED522" s="42"/>
      <c r="EE522" s="42"/>
      <c r="EF522" s="42"/>
      <c r="EG522" s="42"/>
      <c r="EH522" s="42"/>
      <c r="EI522" s="42"/>
      <c r="EJ522" s="42"/>
      <c r="EK522" s="42"/>
      <c r="EL522" s="42"/>
      <c r="EM522" s="42"/>
      <c r="EN522" s="42"/>
      <c r="EO522" s="42"/>
      <c r="EP522" s="42"/>
      <c r="EQ522" s="42"/>
      <c r="ER522" s="42"/>
      <c r="ES522" s="42"/>
      <c r="ET522" s="42"/>
      <c r="EU522" s="42"/>
      <c r="EV522" s="42"/>
      <c r="EW522" s="42"/>
      <c r="EX522" s="42"/>
      <c r="EY522" s="42"/>
      <c r="EZ522" s="42"/>
      <c r="FA522" s="42"/>
      <c r="FB522" s="42"/>
      <c r="FC522" s="42"/>
      <c r="FD522" s="42"/>
      <c r="FE522" s="42"/>
      <c r="FF522" s="42"/>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row>
    <row r="523" spans="1:256" ht="13.8" x14ac:dyDescent="0.3">
      <c r="A523" s="42"/>
      <c r="B523" s="42"/>
      <c r="C523" s="42"/>
      <c r="D523" s="42"/>
      <c r="E523" s="42"/>
      <c r="F523" s="42"/>
      <c r="G523" s="42"/>
      <c r="H523" s="42"/>
      <c r="I523" s="42"/>
      <c r="J523" s="42"/>
      <c r="K523" s="42"/>
      <c r="L523" s="42"/>
      <c r="M523" s="42"/>
      <c r="N523" s="42"/>
      <c r="O523" s="42"/>
      <c r="P523" s="42"/>
      <c r="Q523" s="42"/>
      <c r="R523" s="42"/>
      <c r="S523" s="42"/>
      <c r="T523" s="42"/>
      <c r="U523" s="194"/>
      <c r="V523" s="42"/>
      <c r="W523" s="42"/>
      <c r="X523" s="42"/>
      <c r="Y523" s="42"/>
      <c r="Z523" s="42"/>
      <c r="AA523" s="42"/>
      <c r="AB523" s="195"/>
      <c r="AC523" s="42"/>
      <c r="AD523" s="42"/>
      <c r="AE523" s="195"/>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c r="BM523" s="42"/>
      <c r="BN523" s="42"/>
      <c r="BO523" s="42"/>
      <c r="BP523" s="42"/>
      <c r="BQ523" s="42"/>
      <c r="BR523" s="42"/>
      <c r="BS523" s="42"/>
      <c r="BT523" s="42"/>
      <c r="BU523" s="42"/>
      <c r="BV523" s="42"/>
      <c r="BW523" s="42"/>
      <c r="BX523" s="42"/>
      <c r="BY523" s="42"/>
      <c r="BZ523" s="42"/>
      <c r="CA523" s="42"/>
      <c r="CB523" s="42"/>
      <c r="CC523" s="42"/>
      <c r="CD523" s="42"/>
      <c r="CE523" s="42"/>
      <c r="CF523" s="42"/>
      <c r="CG523" s="42"/>
      <c r="CH523" s="42"/>
      <c r="CI523" s="42"/>
      <c r="CJ523" s="42"/>
      <c r="CK523" s="42"/>
      <c r="CL523" s="42"/>
      <c r="CM523" s="42"/>
      <c r="CN523" s="42"/>
      <c r="CO523" s="42"/>
      <c r="CP523" s="42"/>
      <c r="CQ523" s="42"/>
      <c r="CR523" s="42"/>
      <c r="CS523" s="42"/>
      <c r="CT523" s="42"/>
      <c r="CU523" s="42"/>
      <c r="CV523" s="42"/>
      <c r="CW523" s="42"/>
      <c r="CX523" s="42"/>
      <c r="CY523" s="42"/>
      <c r="CZ523" s="42"/>
      <c r="DA523" s="42"/>
      <c r="DB523" s="42"/>
      <c r="DC523" s="42"/>
      <c r="DD523" s="42"/>
      <c r="DE523" s="42"/>
      <c r="DF523" s="42"/>
      <c r="DG523" s="42"/>
      <c r="DH523" s="42"/>
      <c r="DI523" s="42"/>
      <c r="DJ523" s="42"/>
      <c r="DK523" s="42"/>
      <c r="DL523" s="42"/>
      <c r="DM523" s="42"/>
      <c r="DN523" s="42"/>
      <c r="DO523" s="42"/>
      <c r="DP523" s="42"/>
      <c r="DQ523" s="42"/>
      <c r="DR523" s="42"/>
      <c r="DS523" s="42"/>
      <c r="DT523" s="42"/>
      <c r="DU523" s="42"/>
      <c r="DV523" s="42"/>
      <c r="DW523" s="42"/>
      <c r="DX523" s="42"/>
      <c r="DY523" s="42"/>
      <c r="DZ523" s="42"/>
      <c r="EA523" s="42"/>
      <c r="EB523" s="42"/>
      <c r="EC523" s="42"/>
      <c r="ED523" s="42"/>
      <c r="EE523" s="42"/>
      <c r="EF523" s="42"/>
      <c r="EG523" s="42"/>
      <c r="EH523" s="42"/>
      <c r="EI523" s="42"/>
      <c r="EJ523" s="42"/>
      <c r="EK523" s="42"/>
      <c r="EL523" s="42"/>
      <c r="EM523" s="42"/>
      <c r="EN523" s="42"/>
      <c r="EO523" s="42"/>
      <c r="EP523" s="42"/>
      <c r="EQ523" s="42"/>
      <c r="ER523" s="42"/>
      <c r="ES523" s="42"/>
      <c r="ET523" s="42"/>
      <c r="EU523" s="42"/>
      <c r="EV523" s="42"/>
      <c r="EW523" s="42"/>
      <c r="EX523" s="42"/>
      <c r="EY523" s="42"/>
      <c r="EZ523" s="42"/>
      <c r="FA523" s="42"/>
      <c r="FB523" s="42"/>
      <c r="FC523" s="42"/>
      <c r="FD523" s="42"/>
      <c r="FE523" s="42"/>
      <c r="FF523" s="42"/>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row>
    <row r="524" spans="1:256" ht="13.8" x14ac:dyDescent="0.3">
      <c r="A524" s="42"/>
      <c r="B524" s="42"/>
      <c r="C524" s="42"/>
      <c r="D524" s="42"/>
      <c r="E524" s="42"/>
      <c r="F524" s="42"/>
      <c r="G524" s="42"/>
      <c r="H524" s="42"/>
      <c r="I524" s="42"/>
      <c r="J524" s="42"/>
      <c r="K524" s="42"/>
      <c r="L524" s="42"/>
      <c r="M524" s="42"/>
      <c r="N524" s="42"/>
      <c r="O524" s="42"/>
      <c r="P524" s="42"/>
      <c r="Q524" s="42"/>
      <c r="R524" s="42"/>
      <c r="S524" s="42"/>
      <c r="T524" s="42"/>
      <c r="U524" s="194"/>
      <c r="V524" s="42"/>
      <c r="W524" s="42"/>
      <c r="X524" s="42"/>
      <c r="Y524" s="42"/>
      <c r="Z524" s="42"/>
      <c r="AA524" s="42"/>
      <c r="AB524" s="195"/>
      <c r="AC524" s="42"/>
      <c r="AD524" s="42"/>
      <c r="AE524" s="195"/>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c r="BM524" s="42"/>
      <c r="BN524" s="42"/>
      <c r="BO524" s="42"/>
      <c r="BP524" s="42"/>
      <c r="BQ524" s="42"/>
      <c r="BR524" s="42"/>
      <c r="BS524" s="42"/>
      <c r="BT524" s="42"/>
      <c r="BU524" s="42"/>
      <c r="BV524" s="42"/>
      <c r="BW524" s="42"/>
      <c r="BX524" s="42"/>
      <c r="BY524" s="42"/>
      <c r="BZ524" s="42"/>
      <c r="CA524" s="42"/>
      <c r="CB524" s="42"/>
      <c r="CC524" s="42"/>
      <c r="CD524" s="42"/>
      <c r="CE524" s="42"/>
      <c r="CF524" s="42"/>
      <c r="CG524" s="42"/>
      <c r="CH524" s="42"/>
      <c r="CI524" s="42"/>
      <c r="CJ524" s="42"/>
      <c r="CK524" s="42"/>
      <c r="CL524" s="42"/>
      <c r="CM524" s="42"/>
      <c r="CN524" s="42"/>
      <c r="CO524" s="42"/>
      <c r="CP524" s="42"/>
      <c r="CQ524" s="42"/>
      <c r="CR524" s="42"/>
      <c r="CS524" s="42"/>
      <c r="CT524" s="42"/>
      <c r="CU524" s="42"/>
      <c r="CV524" s="42"/>
      <c r="CW524" s="42"/>
      <c r="CX524" s="42"/>
      <c r="CY524" s="42"/>
      <c r="CZ524" s="42"/>
      <c r="DA524" s="42"/>
      <c r="DB524" s="42"/>
      <c r="DC524" s="42"/>
      <c r="DD524" s="42"/>
      <c r="DE524" s="42"/>
      <c r="DF524" s="42"/>
      <c r="DG524" s="42"/>
      <c r="DH524" s="42"/>
      <c r="DI524" s="42"/>
      <c r="DJ524" s="42"/>
      <c r="DK524" s="42"/>
      <c r="DL524" s="42"/>
      <c r="DM524" s="42"/>
      <c r="DN524" s="42"/>
      <c r="DO524" s="42"/>
      <c r="DP524" s="42"/>
      <c r="DQ524" s="42"/>
      <c r="DR524" s="42"/>
      <c r="DS524" s="42"/>
      <c r="DT524" s="42"/>
      <c r="DU524" s="42"/>
      <c r="DV524" s="42"/>
      <c r="DW524" s="42"/>
      <c r="DX524" s="42"/>
      <c r="DY524" s="42"/>
      <c r="DZ524" s="42"/>
      <c r="EA524" s="42"/>
      <c r="EB524" s="42"/>
      <c r="EC524" s="42"/>
      <c r="ED524" s="42"/>
      <c r="EE524" s="42"/>
      <c r="EF524" s="42"/>
      <c r="EG524" s="42"/>
      <c r="EH524" s="42"/>
      <c r="EI524" s="42"/>
      <c r="EJ524" s="42"/>
      <c r="EK524" s="42"/>
      <c r="EL524" s="42"/>
      <c r="EM524" s="42"/>
      <c r="EN524" s="42"/>
      <c r="EO524" s="42"/>
      <c r="EP524" s="42"/>
      <c r="EQ524" s="42"/>
      <c r="ER524" s="42"/>
      <c r="ES524" s="42"/>
      <c r="ET524" s="42"/>
      <c r="EU524" s="42"/>
      <c r="EV524" s="42"/>
      <c r="EW524" s="42"/>
      <c r="EX524" s="42"/>
      <c r="EY524" s="42"/>
      <c r="EZ524" s="42"/>
      <c r="FA524" s="42"/>
      <c r="FB524" s="42"/>
      <c r="FC524" s="42"/>
      <c r="FD524" s="42"/>
      <c r="FE524" s="42"/>
      <c r="FF524" s="42"/>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row>
    <row r="525" spans="1:256" ht="13.8" x14ac:dyDescent="0.3">
      <c r="A525" s="42"/>
      <c r="B525" s="42"/>
      <c r="C525" s="42"/>
      <c r="D525" s="42"/>
      <c r="E525" s="42"/>
      <c r="F525" s="42"/>
      <c r="G525" s="42"/>
      <c r="H525" s="42"/>
      <c r="I525" s="42"/>
      <c r="J525" s="42"/>
      <c r="K525" s="42"/>
      <c r="L525" s="42"/>
      <c r="M525" s="42"/>
      <c r="N525" s="42"/>
      <c r="O525" s="42"/>
      <c r="P525" s="42"/>
      <c r="Q525" s="42"/>
      <c r="R525" s="42"/>
      <c r="S525" s="42"/>
      <c r="T525" s="42"/>
      <c r="U525" s="194"/>
      <c r="V525" s="42"/>
      <c r="W525" s="42"/>
      <c r="X525" s="42"/>
      <c r="Y525" s="42"/>
      <c r="Z525" s="42"/>
      <c r="AA525" s="42"/>
      <c r="AB525" s="195"/>
      <c r="AC525" s="42"/>
      <c r="AD525" s="42"/>
      <c r="AE525" s="195"/>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c r="BM525" s="42"/>
      <c r="BN525" s="42"/>
      <c r="BO525" s="42"/>
      <c r="BP525" s="42"/>
      <c r="BQ525" s="42"/>
      <c r="BR525" s="42"/>
      <c r="BS525" s="42"/>
      <c r="BT525" s="42"/>
      <c r="BU525" s="42"/>
      <c r="BV525" s="42"/>
      <c r="BW525" s="42"/>
      <c r="BX525" s="42"/>
      <c r="BY525" s="42"/>
      <c r="BZ525" s="42"/>
      <c r="CA525" s="42"/>
      <c r="CB525" s="42"/>
      <c r="CC525" s="42"/>
      <c r="CD525" s="42"/>
      <c r="CE525" s="42"/>
      <c r="CF525" s="42"/>
      <c r="CG525" s="42"/>
      <c r="CH525" s="42"/>
      <c r="CI525" s="42"/>
      <c r="CJ525" s="42"/>
      <c r="CK525" s="42"/>
      <c r="CL525" s="42"/>
      <c r="CM525" s="42"/>
      <c r="CN525" s="42"/>
      <c r="CO525" s="42"/>
      <c r="CP525" s="42"/>
      <c r="CQ525" s="42"/>
      <c r="CR525" s="42"/>
      <c r="CS525" s="42"/>
      <c r="CT525" s="42"/>
      <c r="CU525" s="42"/>
      <c r="CV525" s="42"/>
      <c r="CW525" s="42"/>
      <c r="CX525" s="42"/>
      <c r="CY525" s="42"/>
      <c r="CZ525" s="42"/>
      <c r="DA525" s="42"/>
      <c r="DB525" s="42"/>
      <c r="DC525" s="42"/>
      <c r="DD525" s="42"/>
      <c r="DE525" s="42"/>
      <c r="DF525" s="42"/>
      <c r="DG525" s="42"/>
      <c r="DH525" s="42"/>
      <c r="DI525" s="42"/>
      <c r="DJ525" s="42"/>
      <c r="DK525" s="42"/>
      <c r="DL525" s="42"/>
      <c r="DM525" s="42"/>
      <c r="DN525" s="42"/>
      <c r="DO525" s="42"/>
      <c r="DP525" s="42"/>
      <c r="DQ525" s="42"/>
      <c r="DR525" s="42"/>
      <c r="DS525" s="42"/>
      <c r="DT525" s="42"/>
      <c r="DU525" s="42"/>
      <c r="DV525" s="42"/>
      <c r="DW525" s="42"/>
      <c r="DX525" s="42"/>
      <c r="DY525" s="42"/>
      <c r="DZ525" s="42"/>
      <c r="EA525" s="42"/>
      <c r="EB525" s="42"/>
      <c r="EC525" s="42"/>
      <c r="ED525" s="42"/>
      <c r="EE525" s="42"/>
      <c r="EF525" s="42"/>
      <c r="EG525" s="42"/>
      <c r="EH525" s="42"/>
      <c r="EI525" s="42"/>
      <c r="EJ525" s="42"/>
      <c r="EK525" s="42"/>
      <c r="EL525" s="42"/>
      <c r="EM525" s="42"/>
      <c r="EN525" s="42"/>
      <c r="EO525" s="42"/>
      <c r="EP525" s="42"/>
      <c r="EQ525" s="42"/>
      <c r="ER525" s="42"/>
      <c r="ES525" s="42"/>
      <c r="ET525" s="42"/>
      <c r="EU525" s="42"/>
      <c r="EV525" s="42"/>
      <c r="EW525" s="42"/>
      <c r="EX525" s="42"/>
      <c r="EY525" s="42"/>
      <c r="EZ525" s="42"/>
      <c r="FA525" s="42"/>
      <c r="FB525" s="42"/>
      <c r="FC525" s="42"/>
      <c r="FD525" s="42"/>
      <c r="FE525" s="42"/>
      <c r="FF525" s="42"/>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row>
    <row r="526" spans="1:256" ht="13.8" x14ac:dyDescent="0.3">
      <c r="A526" s="42"/>
      <c r="B526" s="42"/>
      <c r="C526" s="42"/>
      <c r="D526" s="42"/>
      <c r="E526" s="42"/>
      <c r="F526" s="42"/>
      <c r="G526" s="42"/>
      <c r="H526" s="42"/>
      <c r="I526" s="42"/>
      <c r="J526" s="42"/>
      <c r="K526" s="42"/>
      <c r="L526" s="42"/>
      <c r="M526" s="42"/>
      <c r="N526" s="42"/>
      <c r="O526" s="42"/>
      <c r="P526" s="42"/>
      <c r="Q526" s="42"/>
      <c r="R526" s="42"/>
      <c r="S526" s="42"/>
      <c r="T526" s="42"/>
      <c r="U526" s="194"/>
      <c r="V526" s="42"/>
      <c r="W526" s="42"/>
      <c r="X526" s="42"/>
      <c r="Y526" s="42"/>
      <c r="Z526" s="42"/>
      <c r="AA526" s="42"/>
      <c r="AB526" s="195"/>
      <c r="AC526" s="42"/>
      <c r="AD526" s="42"/>
      <c r="AE526" s="195"/>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c r="BM526" s="42"/>
      <c r="BN526" s="42"/>
      <c r="BO526" s="42"/>
      <c r="BP526" s="42"/>
      <c r="BQ526" s="42"/>
      <c r="BR526" s="42"/>
      <c r="BS526" s="42"/>
      <c r="BT526" s="42"/>
      <c r="BU526" s="42"/>
      <c r="BV526" s="42"/>
      <c r="BW526" s="42"/>
      <c r="BX526" s="42"/>
      <c r="BY526" s="42"/>
      <c r="BZ526" s="42"/>
      <c r="CA526" s="42"/>
      <c r="CB526" s="42"/>
      <c r="CC526" s="42"/>
      <c r="CD526" s="42"/>
      <c r="CE526" s="42"/>
      <c r="CF526" s="42"/>
      <c r="CG526" s="42"/>
      <c r="CH526" s="42"/>
      <c r="CI526" s="42"/>
      <c r="CJ526" s="42"/>
      <c r="CK526" s="42"/>
      <c r="CL526" s="42"/>
      <c r="CM526" s="42"/>
      <c r="CN526" s="42"/>
      <c r="CO526" s="42"/>
      <c r="CP526" s="42"/>
      <c r="CQ526" s="42"/>
      <c r="CR526" s="42"/>
      <c r="CS526" s="42"/>
      <c r="CT526" s="42"/>
      <c r="CU526" s="42"/>
      <c r="CV526" s="42"/>
      <c r="CW526" s="42"/>
      <c r="CX526" s="42"/>
      <c r="CY526" s="42"/>
      <c r="CZ526" s="42"/>
      <c r="DA526" s="42"/>
      <c r="DB526" s="42"/>
      <c r="DC526" s="42"/>
      <c r="DD526" s="42"/>
      <c r="DE526" s="42"/>
      <c r="DF526" s="42"/>
      <c r="DG526" s="42"/>
      <c r="DH526" s="42"/>
      <c r="DI526" s="42"/>
      <c r="DJ526" s="42"/>
      <c r="DK526" s="42"/>
      <c r="DL526" s="42"/>
      <c r="DM526" s="42"/>
      <c r="DN526" s="42"/>
      <c r="DO526" s="42"/>
      <c r="DP526" s="42"/>
      <c r="DQ526" s="42"/>
      <c r="DR526" s="42"/>
      <c r="DS526" s="42"/>
      <c r="DT526" s="42"/>
      <c r="DU526" s="42"/>
      <c r="DV526" s="42"/>
      <c r="DW526" s="42"/>
      <c r="DX526" s="42"/>
      <c r="DY526" s="42"/>
      <c r="DZ526" s="42"/>
      <c r="EA526" s="42"/>
      <c r="EB526" s="42"/>
      <c r="EC526" s="42"/>
      <c r="ED526" s="42"/>
      <c r="EE526" s="42"/>
      <c r="EF526" s="42"/>
      <c r="EG526" s="42"/>
      <c r="EH526" s="42"/>
      <c r="EI526" s="42"/>
      <c r="EJ526" s="42"/>
      <c r="EK526" s="42"/>
      <c r="EL526" s="42"/>
      <c r="EM526" s="42"/>
      <c r="EN526" s="42"/>
      <c r="EO526" s="42"/>
      <c r="EP526" s="42"/>
      <c r="EQ526" s="42"/>
      <c r="ER526" s="42"/>
      <c r="ES526" s="42"/>
      <c r="ET526" s="42"/>
      <c r="EU526" s="42"/>
      <c r="EV526" s="42"/>
      <c r="EW526" s="42"/>
      <c r="EX526" s="42"/>
      <c r="EY526" s="42"/>
      <c r="EZ526" s="42"/>
      <c r="FA526" s="42"/>
      <c r="FB526" s="42"/>
      <c r="FC526" s="42"/>
      <c r="FD526" s="42"/>
      <c r="FE526" s="42"/>
      <c r="FF526" s="42"/>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row>
    <row r="527" spans="1:256" ht="13.8" x14ac:dyDescent="0.3">
      <c r="A527" s="42"/>
      <c r="B527" s="42"/>
      <c r="C527" s="42"/>
      <c r="D527" s="42"/>
      <c r="E527" s="42"/>
      <c r="F527" s="42"/>
      <c r="G527" s="42"/>
      <c r="H527" s="42"/>
      <c r="I527" s="42"/>
      <c r="J527" s="42"/>
      <c r="K527" s="42"/>
      <c r="L527" s="42"/>
      <c r="M527" s="42"/>
      <c r="N527" s="42"/>
      <c r="O527" s="42"/>
      <c r="P527" s="42"/>
      <c r="Q527" s="42"/>
      <c r="R527" s="42"/>
      <c r="S527" s="42"/>
      <c r="T527" s="42"/>
      <c r="U527" s="194"/>
      <c r="V527" s="42"/>
      <c r="W527" s="42"/>
      <c r="X527" s="42"/>
      <c r="Y527" s="42"/>
      <c r="Z527" s="42"/>
      <c r="AA527" s="42"/>
      <c r="AB527" s="195"/>
      <c r="AC527" s="42"/>
      <c r="AD527" s="42"/>
      <c r="AE527" s="195"/>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c r="BM527" s="42"/>
      <c r="BN527" s="42"/>
      <c r="BO527" s="42"/>
      <c r="BP527" s="42"/>
      <c r="BQ527" s="42"/>
      <c r="BR527" s="42"/>
      <c r="BS527" s="42"/>
      <c r="BT527" s="42"/>
      <c r="BU527" s="42"/>
      <c r="BV527" s="42"/>
      <c r="BW527" s="42"/>
      <c r="BX527" s="42"/>
      <c r="BY527" s="42"/>
      <c r="BZ527" s="42"/>
      <c r="CA527" s="42"/>
      <c r="CB527" s="42"/>
      <c r="CC527" s="42"/>
      <c r="CD527" s="42"/>
      <c r="CE527" s="42"/>
      <c r="CF527" s="42"/>
      <c r="CG527" s="42"/>
      <c r="CH527" s="42"/>
      <c r="CI527" s="42"/>
      <c r="CJ527" s="42"/>
      <c r="CK527" s="42"/>
      <c r="CL527" s="42"/>
      <c r="CM527" s="42"/>
      <c r="CN527" s="42"/>
      <c r="CO527" s="42"/>
      <c r="CP527" s="42"/>
      <c r="CQ527" s="42"/>
      <c r="CR527" s="42"/>
      <c r="CS527" s="42"/>
      <c r="CT527" s="42"/>
      <c r="CU527" s="42"/>
      <c r="CV527" s="42"/>
      <c r="CW527" s="42"/>
      <c r="CX527" s="42"/>
      <c r="CY527" s="42"/>
      <c r="CZ527" s="42"/>
      <c r="DA527" s="42"/>
      <c r="DB527" s="42"/>
      <c r="DC527" s="42"/>
      <c r="DD527" s="42"/>
      <c r="DE527" s="42"/>
      <c r="DF527" s="42"/>
      <c r="DG527" s="42"/>
      <c r="DH527" s="42"/>
      <c r="DI527" s="42"/>
      <c r="DJ527" s="42"/>
      <c r="DK527" s="42"/>
      <c r="DL527" s="42"/>
      <c r="DM527" s="42"/>
      <c r="DN527" s="42"/>
      <c r="DO527" s="42"/>
      <c r="DP527" s="42"/>
      <c r="DQ527" s="42"/>
      <c r="DR527" s="42"/>
      <c r="DS527" s="42"/>
      <c r="DT527" s="42"/>
      <c r="DU527" s="42"/>
      <c r="DV527" s="42"/>
      <c r="DW527" s="42"/>
      <c r="DX527" s="42"/>
      <c r="DY527" s="42"/>
      <c r="DZ527" s="42"/>
      <c r="EA527" s="42"/>
      <c r="EB527" s="42"/>
      <c r="EC527" s="42"/>
      <c r="ED527" s="42"/>
      <c r="EE527" s="42"/>
      <c r="EF527" s="42"/>
      <c r="EG527" s="42"/>
      <c r="EH527" s="42"/>
      <c r="EI527" s="42"/>
      <c r="EJ527" s="42"/>
      <c r="EK527" s="42"/>
      <c r="EL527" s="42"/>
      <c r="EM527" s="42"/>
      <c r="EN527" s="42"/>
      <c r="EO527" s="42"/>
      <c r="EP527" s="42"/>
      <c r="EQ527" s="42"/>
      <c r="ER527" s="42"/>
      <c r="ES527" s="42"/>
      <c r="ET527" s="42"/>
      <c r="EU527" s="42"/>
      <c r="EV527" s="42"/>
      <c r="EW527" s="42"/>
      <c r="EX527" s="42"/>
      <c r="EY527" s="42"/>
      <c r="EZ527" s="42"/>
      <c r="FA527" s="42"/>
      <c r="FB527" s="42"/>
      <c r="FC527" s="42"/>
      <c r="FD527" s="42"/>
      <c r="FE527" s="42"/>
      <c r="FF527" s="42"/>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row>
    <row r="528" spans="1:256" ht="13.8" x14ac:dyDescent="0.3">
      <c r="A528" s="42"/>
      <c r="B528" s="42"/>
      <c r="C528" s="42"/>
      <c r="D528" s="42"/>
      <c r="E528" s="42"/>
      <c r="F528" s="42"/>
      <c r="G528" s="42"/>
      <c r="H528" s="42"/>
      <c r="I528" s="42"/>
      <c r="J528" s="42"/>
      <c r="K528" s="42"/>
      <c r="L528" s="42"/>
      <c r="M528" s="42"/>
      <c r="N528" s="42"/>
      <c r="O528" s="42"/>
      <c r="P528" s="42"/>
      <c r="Q528" s="42"/>
      <c r="R528" s="42"/>
      <c r="S528" s="42"/>
      <c r="T528" s="42"/>
      <c r="U528" s="194"/>
      <c r="V528" s="42"/>
      <c r="W528" s="42"/>
      <c r="X528" s="42"/>
      <c r="Y528" s="42"/>
      <c r="Z528" s="42"/>
      <c r="AA528" s="42"/>
      <c r="AB528" s="195"/>
      <c r="AC528" s="42"/>
      <c r="AD528" s="42"/>
      <c r="AE528" s="195"/>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c r="BM528" s="42"/>
      <c r="BN528" s="42"/>
      <c r="BO528" s="42"/>
      <c r="BP528" s="42"/>
      <c r="BQ528" s="42"/>
      <c r="BR528" s="42"/>
      <c r="BS528" s="42"/>
      <c r="BT528" s="42"/>
      <c r="BU528" s="42"/>
      <c r="BV528" s="42"/>
      <c r="BW528" s="42"/>
      <c r="BX528" s="42"/>
      <c r="BY528" s="42"/>
      <c r="BZ528" s="42"/>
      <c r="CA528" s="42"/>
      <c r="CB528" s="42"/>
      <c r="CC528" s="42"/>
      <c r="CD528" s="42"/>
      <c r="CE528" s="42"/>
      <c r="CF528" s="42"/>
      <c r="CG528" s="42"/>
      <c r="CH528" s="42"/>
      <c r="CI528" s="42"/>
      <c r="CJ528" s="42"/>
      <c r="CK528" s="42"/>
      <c r="CL528" s="42"/>
      <c r="CM528" s="42"/>
      <c r="CN528" s="42"/>
      <c r="CO528" s="42"/>
      <c r="CP528" s="42"/>
      <c r="CQ528" s="42"/>
      <c r="CR528" s="42"/>
      <c r="CS528" s="42"/>
      <c r="CT528" s="42"/>
      <c r="CU528" s="42"/>
      <c r="CV528" s="42"/>
      <c r="CW528" s="42"/>
      <c r="CX528" s="42"/>
      <c r="CY528" s="42"/>
      <c r="CZ528" s="42"/>
      <c r="DA528" s="42"/>
      <c r="DB528" s="42"/>
      <c r="DC528" s="42"/>
      <c r="DD528" s="42"/>
      <c r="DE528" s="42"/>
      <c r="DF528" s="42"/>
      <c r="DG528" s="42"/>
      <c r="DH528" s="42"/>
      <c r="DI528" s="42"/>
      <c r="DJ528" s="42"/>
      <c r="DK528" s="42"/>
      <c r="DL528" s="42"/>
      <c r="DM528" s="42"/>
      <c r="DN528" s="42"/>
      <c r="DO528" s="42"/>
      <c r="DP528" s="42"/>
      <c r="DQ528" s="42"/>
      <c r="DR528" s="42"/>
      <c r="DS528" s="42"/>
      <c r="DT528" s="42"/>
      <c r="DU528" s="42"/>
      <c r="DV528" s="42"/>
      <c r="DW528" s="42"/>
      <c r="DX528" s="42"/>
      <c r="DY528" s="42"/>
      <c r="DZ528" s="42"/>
      <c r="EA528" s="42"/>
      <c r="EB528" s="42"/>
      <c r="EC528" s="42"/>
      <c r="ED528" s="42"/>
      <c r="EE528" s="42"/>
      <c r="EF528" s="42"/>
      <c r="EG528" s="42"/>
      <c r="EH528" s="42"/>
      <c r="EI528" s="42"/>
      <c r="EJ528" s="42"/>
      <c r="EK528" s="42"/>
      <c r="EL528" s="42"/>
      <c r="EM528" s="42"/>
      <c r="EN528" s="42"/>
      <c r="EO528" s="42"/>
      <c r="EP528" s="42"/>
      <c r="EQ528" s="42"/>
      <c r="ER528" s="42"/>
      <c r="ES528" s="42"/>
      <c r="ET528" s="42"/>
      <c r="EU528" s="42"/>
      <c r="EV528" s="42"/>
      <c r="EW528" s="42"/>
      <c r="EX528" s="42"/>
      <c r="EY528" s="42"/>
      <c r="EZ528" s="42"/>
      <c r="FA528" s="42"/>
      <c r="FB528" s="42"/>
      <c r="FC528" s="42"/>
      <c r="FD528" s="42"/>
      <c r="FE528" s="42"/>
      <c r="FF528" s="42"/>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row>
    <row r="529" spans="1:256" ht="13.8" x14ac:dyDescent="0.3">
      <c r="A529" s="42"/>
      <c r="B529" s="42"/>
      <c r="C529" s="42"/>
      <c r="D529" s="42"/>
      <c r="E529" s="42"/>
      <c r="F529" s="42"/>
      <c r="G529" s="42"/>
      <c r="H529" s="42"/>
      <c r="I529" s="42"/>
      <c r="J529" s="42"/>
      <c r="K529" s="42"/>
      <c r="L529" s="42"/>
      <c r="M529" s="42"/>
      <c r="N529" s="42"/>
      <c r="O529" s="42"/>
      <c r="P529" s="42"/>
      <c r="Q529" s="42"/>
      <c r="R529" s="42"/>
      <c r="S529" s="42"/>
      <c r="T529" s="42"/>
      <c r="U529" s="194"/>
      <c r="V529" s="42"/>
      <c r="W529" s="42"/>
      <c r="X529" s="42"/>
      <c r="Y529" s="42"/>
      <c r="Z529" s="42"/>
      <c r="AA529" s="42"/>
      <c r="AB529" s="195"/>
      <c r="AC529" s="42"/>
      <c r="AD529" s="42"/>
      <c r="AE529" s="195"/>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c r="BM529" s="42"/>
      <c r="BN529" s="42"/>
      <c r="BO529" s="42"/>
      <c r="BP529" s="42"/>
      <c r="BQ529" s="42"/>
      <c r="BR529" s="42"/>
      <c r="BS529" s="42"/>
      <c r="BT529" s="42"/>
      <c r="BU529" s="42"/>
      <c r="BV529" s="42"/>
      <c r="BW529" s="42"/>
      <c r="BX529" s="42"/>
      <c r="BY529" s="42"/>
      <c r="BZ529" s="42"/>
      <c r="CA529" s="42"/>
      <c r="CB529" s="42"/>
      <c r="CC529" s="42"/>
      <c r="CD529" s="42"/>
      <c r="CE529" s="42"/>
      <c r="CF529" s="42"/>
      <c r="CG529" s="42"/>
      <c r="CH529" s="42"/>
      <c r="CI529" s="42"/>
      <c r="CJ529" s="42"/>
      <c r="CK529" s="42"/>
      <c r="CL529" s="42"/>
      <c r="CM529" s="42"/>
      <c r="CN529" s="42"/>
      <c r="CO529" s="42"/>
      <c r="CP529" s="42"/>
      <c r="CQ529" s="42"/>
      <c r="CR529" s="42"/>
      <c r="CS529" s="42"/>
      <c r="CT529" s="42"/>
      <c r="CU529" s="42"/>
      <c r="CV529" s="42"/>
      <c r="CW529" s="42"/>
      <c r="CX529" s="42"/>
      <c r="CY529" s="42"/>
      <c r="CZ529" s="42"/>
      <c r="DA529" s="42"/>
      <c r="DB529" s="42"/>
      <c r="DC529" s="42"/>
      <c r="DD529" s="42"/>
      <c r="DE529" s="42"/>
      <c r="DF529" s="42"/>
      <c r="DG529" s="42"/>
      <c r="DH529" s="42"/>
      <c r="DI529" s="42"/>
      <c r="DJ529" s="42"/>
      <c r="DK529" s="42"/>
      <c r="DL529" s="42"/>
      <c r="DM529" s="42"/>
      <c r="DN529" s="42"/>
      <c r="DO529" s="42"/>
      <c r="DP529" s="42"/>
      <c r="DQ529" s="42"/>
      <c r="DR529" s="42"/>
      <c r="DS529" s="42"/>
      <c r="DT529" s="42"/>
      <c r="DU529" s="42"/>
      <c r="DV529" s="42"/>
      <c r="DW529" s="42"/>
      <c r="DX529" s="42"/>
      <c r="DY529" s="42"/>
      <c r="DZ529" s="42"/>
      <c r="EA529" s="42"/>
      <c r="EB529" s="42"/>
      <c r="EC529" s="42"/>
      <c r="ED529" s="42"/>
      <c r="EE529" s="42"/>
      <c r="EF529" s="42"/>
      <c r="EG529" s="42"/>
      <c r="EH529" s="42"/>
      <c r="EI529" s="42"/>
      <c r="EJ529" s="42"/>
      <c r="EK529" s="42"/>
      <c r="EL529" s="42"/>
      <c r="EM529" s="42"/>
      <c r="EN529" s="42"/>
      <c r="EO529" s="42"/>
      <c r="EP529" s="42"/>
      <c r="EQ529" s="42"/>
      <c r="ER529" s="42"/>
      <c r="ES529" s="42"/>
      <c r="ET529" s="42"/>
      <c r="EU529" s="42"/>
      <c r="EV529" s="42"/>
      <c r="EW529" s="42"/>
      <c r="EX529" s="42"/>
      <c r="EY529" s="42"/>
      <c r="EZ529" s="42"/>
      <c r="FA529" s="42"/>
      <c r="FB529" s="42"/>
      <c r="FC529" s="42"/>
      <c r="FD529" s="42"/>
      <c r="FE529" s="42"/>
      <c r="FF529" s="42"/>
      <c r="FG529" s="42"/>
      <c r="FH529" s="42"/>
      <c r="FI529" s="42"/>
      <c r="FJ529" s="42"/>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row>
    <row r="530" spans="1:256" ht="13.8" x14ac:dyDescent="0.3">
      <c r="A530" s="42"/>
      <c r="B530" s="42"/>
      <c r="C530" s="42"/>
      <c r="D530" s="42"/>
      <c r="E530" s="42"/>
      <c r="F530" s="42"/>
      <c r="G530" s="42"/>
      <c r="H530" s="42"/>
      <c r="I530" s="42"/>
      <c r="J530" s="42"/>
      <c r="K530" s="42"/>
      <c r="L530" s="42"/>
      <c r="M530" s="42"/>
      <c r="N530" s="42"/>
      <c r="O530" s="42"/>
      <c r="P530" s="42"/>
      <c r="Q530" s="42"/>
      <c r="R530" s="42"/>
      <c r="S530" s="42"/>
      <c r="T530" s="42"/>
      <c r="U530" s="194"/>
      <c r="V530" s="42"/>
      <c r="W530" s="42"/>
      <c r="X530" s="42"/>
      <c r="Y530" s="42"/>
      <c r="Z530" s="42"/>
      <c r="AA530" s="42"/>
      <c r="AB530" s="195"/>
      <c r="AC530" s="42"/>
      <c r="AD530" s="42"/>
      <c r="AE530" s="195"/>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c r="BM530" s="42"/>
      <c r="BN530" s="42"/>
      <c r="BO530" s="42"/>
      <c r="BP530" s="42"/>
      <c r="BQ530" s="42"/>
      <c r="BR530" s="42"/>
      <c r="BS530" s="42"/>
      <c r="BT530" s="42"/>
      <c r="BU530" s="42"/>
      <c r="BV530" s="42"/>
      <c r="BW530" s="42"/>
      <c r="BX530" s="42"/>
      <c r="BY530" s="42"/>
      <c r="BZ530" s="42"/>
      <c r="CA530" s="42"/>
      <c r="CB530" s="42"/>
      <c r="CC530" s="42"/>
      <c r="CD530" s="42"/>
      <c r="CE530" s="42"/>
      <c r="CF530" s="42"/>
      <c r="CG530" s="42"/>
      <c r="CH530" s="42"/>
      <c r="CI530" s="42"/>
      <c r="CJ530" s="42"/>
      <c r="CK530" s="42"/>
      <c r="CL530" s="42"/>
      <c r="CM530" s="42"/>
      <c r="CN530" s="42"/>
      <c r="CO530" s="42"/>
      <c r="CP530" s="42"/>
      <c r="CQ530" s="42"/>
      <c r="CR530" s="42"/>
      <c r="CS530" s="42"/>
      <c r="CT530" s="42"/>
      <c r="CU530" s="42"/>
      <c r="CV530" s="42"/>
      <c r="CW530" s="42"/>
      <c r="CX530" s="42"/>
      <c r="CY530" s="42"/>
      <c r="CZ530" s="42"/>
      <c r="DA530" s="42"/>
      <c r="DB530" s="42"/>
      <c r="DC530" s="42"/>
      <c r="DD530" s="42"/>
      <c r="DE530" s="42"/>
      <c r="DF530" s="42"/>
      <c r="DG530" s="42"/>
      <c r="DH530" s="42"/>
      <c r="DI530" s="42"/>
      <c r="DJ530" s="42"/>
      <c r="DK530" s="42"/>
      <c r="DL530" s="42"/>
      <c r="DM530" s="42"/>
      <c r="DN530" s="42"/>
      <c r="DO530" s="42"/>
      <c r="DP530" s="42"/>
      <c r="DQ530" s="42"/>
      <c r="DR530" s="42"/>
      <c r="DS530" s="42"/>
      <c r="DT530" s="42"/>
      <c r="DU530" s="42"/>
      <c r="DV530" s="42"/>
      <c r="DW530" s="42"/>
      <c r="DX530" s="42"/>
      <c r="DY530" s="42"/>
      <c r="DZ530" s="42"/>
      <c r="EA530" s="42"/>
      <c r="EB530" s="42"/>
      <c r="EC530" s="42"/>
      <c r="ED530" s="42"/>
      <c r="EE530" s="42"/>
      <c r="EF530" s="42"/>
      <c r="EG530" s="42"/>
      <c r="EH530" s="42"/>
      <c r="EI530" s="42"/>
      <c r="EJ530" s="42"/>
      <c r="EK530" s="42"/>
      <c r="EL530" s="42"/>
      <c r="EM530" s="42"/>
      <c r="EN530" s="42"/>
      <c r="EO530" s="42"/>
      <c r="EP530" s="42"/>
      <c r="EQ530" s="42"/>
      <c r="ER530" s="42"/>
      <c r="ES530" s="42"/>
      <c r="ET530" s="42"/>
      <c r="EU530" s="42"/>
      <c r="EV530" s="42"/>
      <c r="EW530" s="42"/>
      <c r="EX530" s="42"/>
      <c r="EY530" s="42"/>
      <c r="EZ530" s="42"/>
      <c r="FA530" s="42"/>
      <c r="FB530" s="42"/>
      <c r="FC530" s="42"/>
      <c r="FD530" s="42"/>
      <c r="FE530" s="42"/>
      <c r="FF530" s="42"/>
      <c r="FG530" s="42"/>
      <c r="FH530" s="42"/>
      <c r="FI530" s="42"/>
      <c r="FJ530" s="42"/>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row>
    <row r="531" spans="1:256" ht="13.8" x14ac:dyDescent="0.3">
      <c r="A531" s="42"/>
      <c r="B531" s="42"/>
      <c r="C531" s="42"/>
      <c r="D531" s="42"/>
      <c r="E531" s="42"/>
      <c r="F531" s="42"/>
      <c r="G531" s="42"/>
      <c r="H531" s="42"/>
      <c r="I531" s="42"/>
      <c r="J531" s="42"/>
      <c r="K531" s="42"/>
      <c r="L531" s="42"/>
      <c r="M531" s="42"/>
      <c r="N531" s="42"/>
      <c r="O531" s="42"/>
      <c r="P531" s="42"/>
      <c r="Q531" s="42"/>
      <c r="R531" s="42"/>
      <c r="S531" s="42"/>
      <c r="T531" s="42"/>
      <c r="U531" s="194"/>
      <c r="V531" s="42"/>
      <c r="W531" s="42"/>
      <c r="X531" s="42"/>
      <c r="Y531" s="42"/>
      <c r="Z531" s="42"/>
      <c r="AA531" s="42"/>
      <c r="AB531" s="195"/>
      <c r="AC531" s="42"/>
      <c r="AD531" s="42"/>
      <c r="AE531" s="195"/>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c r="BM531" s="42"/>
      <c r="BN531" s="42"/>
      <c r="BO531" s="42"/>
      <c r="BP531" s="42"/>
      <c r="BQ531" s="42"/>
      <c r="BR531" s="42"/>
      <c r="BS531" s="42"/>
      <c r="BT531" s="42"/>
      <c r="BU531" s="42"/>
      <c r="BV531" s="42"/>
      <c r="BW531" s="42"/>
      <c r="BX531" s="42"/>
      <c r="BY531" s="42"/>
      <c r="BZ531" s="42"/>
      <c r="CA531" s="42"/>
      <c r="CB531" s="42"/>
      <c r="CC531" s="42"/>
      <c r="CD531" s="42"/>
      <c r="CE531" s="42"/>
      <c r="CF531" s="42"/>
      <c r="CG531" s="42"/>
      <c r="CH531" s="42"/>
      <c r="CI531" s="42"/>
      <c r="CJ531" s="42"/>
      <c r="CK531" s="42"/>
      <c r="CL531" s="42"/>
      <c r="CM531" s="42"/>
      <c r="CN531" s="42"/>
      <c r="CO531" s="42"/>
      <c r="CP531" s="42"/>
      <c r="CQ531" s="42"/>
      <c r="CR531" s="42"/>
      <c r="CS531" s="42"/>
      <c r="CT531" s="42"/>
      <c r="CU531" s="42"/>
      <c r="CV531" s="42"/>
      <c r="CW531" s="42"/>
      <c r="CX531" s="42"/>
      <c r="CY531" s="42"/>
      <c r="CZ531" s="42"/>
      <c r="DA531" s="42"/>
      <c r="DB531" s="42"/>
      <c r="DC531" s="42"/>
      <c r="DD531" s="42"/>
      <c r="DE531" s="42"/>
      <c r="DF531" s="42"/>
      <c r="DG531" s="42"/>
      <c r="DH531" s="42"/>
      <c r="DI531" s="42"/>
      <c r="DJ531" s="42"/>
      <c r="DK531" s="42"/>
      <c r="DL531" s="42"/>
      <c r="DM531" s="42"/>
      <c r="DN531" s="42"/>
      <c r="DO531" s="42"/>
      <c r="DP531" s="42"/>
      <c r="DQ531" s="42"/>
      <c r="DR531" s="42"/>
      <c r="DS531" s="42"/>
      <c r="DT531" s="42"/>
      <c r="DU531" s="42"/>
      <c r="DV531" s="42"/>
      <c r="DW531" s="42"/>
      <c r="DX531" s="42"/>
      <c r="DY531" s="42"/>
      <c r="DZ531" s="42"/>
      <c r="EA531" s="42"/>
      <c r="EB531" s="42"/>
      <c r="EC531" s="42"/>
      <c r="ED531" s="42"/>
      <c r="EE531" s="42"/>
      <c r="EF531" s="42"/>
      <c r="EG531" s="42"/>
      <c r="EH531" s="42"/>
      <c r="EI531" s="42"/>
      <c r="EJ531" s="42"/>
      <c r="EK531" s="42"/>
      <c r="EL531" s="42"/>
      <c r="EM531" s="42"/>
      <c r="EN531" s="42"/>
      <c r="EO531" s="42"/>
      <c r="EP531" s="42"/>
      <c r="EQ531" s="42"/>
      <c r="ER531" s="42"/>
      <c r="ES531" s="42"/>
      <c r="ET531" s="42"/>
      <c r="EU531" s="42"/>
      <c r="EV531" s="42"/>
      <c r="EW531" s="42"/>
      <c r="EX531" s="42"/>
      <c r="EY531" s="42"/>
      <c r="EZ531" s="42"/>
      <c r="FA531" s="42"/>
      <c r="FB531" s="42"/>
      <c r="FC531" s="42"/>
      <c r="FD531" s="42"/>
      <c r="FE531" s="42"/>
      <c r="FF531" s="42"/>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row>
    <row r="532" spans="1:256" ht="13.8" x14ac:dyDescent="0.3">
      <c r="A532" s="42"/>
      <c r="B532" s="42"/>
      <c r="C532" s="42"/>
      <c r="D532" s="42"/>
      <c r="E532" s="42"/>
      <c r="F532" s="42"/>
      <c r="G532" s="42"/>
      <c r="H532" s="42"/>
      <c r="I532" s="42"/>
      <c r="J532" s="42"/>
      <c r="K532" s="42"/>
      <c r="L532" s="42"/>
      <c r="M532" s="42"/>
      <c r="N532" s="42"/>
      <c r="O532" s="42"/>
      <c r="P532" s="42"/>
      <c r="Q532" s="42"/>
      <c r="R532" s="42"/>
      <c r="S532" s="42"/>
      <c r="T532" s="42"/>
      <c r="U532" s="194"/>
      <c r="V532" s="42"/>
      <c r="W532" s="42"/>
      <c r="X532" s="42"/>
      <c r="Y532" s="42"/>
      <c r="Z532" s="42"/>
      <c r="AA532" s="42"/>
      <c r="AB532" s="195"/>
      <c r="AC532" s="42"/>
      <c r="AD532" s="42"/>
      <c r="AE532" s="195"/>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c r="BM532" s="42"/>
      <c r="BN532" s="42"/>
      <c r="BO532" s="42"/>
      <c r="BP532" s="42"/>
      <c r="BQ532" s="42"/>
      <c r="BR532" s="42"/>
      <c r="BS532" s="42"/>
      <c r="BT532" s="42"/>
      <c r="BU532" s="42"/>
      <c r="BV532" s="42"/>
      <c r="BW532" s="42"/>
      <c r="BX532" s="42"/>
      <c r="BY532" s="42"/>
      <c r="BZ532" s="42"/>
      <c r="CA532" s="42"/>
      <c r="CB532" s="42"/>
      <c r="CC532" s="42"/>
      <c r="CD532" s="42"/>
      <c r="CE532" s="42"/>
      <c r="CF532" s="42"/>
      <c r="CG532" s="42"/>
      <c r="CH532" s="42"/>
      <c r="CI532" s="42"/>
      <c r="CJ532" s="42"/>
      <c r="CK532" s="42"/>
      <c r="CL532" s="42"/>
      <c r="CM532" s="42"/>
      <c r="CN532" s="42"/>
      <c r="CO532" s="42"/>
      <c r="CP532" s="42"/>
      <c r="CQ532" s="42"/>
      <c r="CR532" s="42"/>
      <c r="CS532" s="42"/>
      <c r="CT532" s="42"/>
      <c r="CU532" s="42"/>
      <c r="CV532" s="42"/>
      <c r="CW532" s="42"/>
      <c r="CX532" s="42"/>
      <c r="CY532" s="42"/>
      <c r="CZ532" s="42"/>
      <c r="DA532" s="42"/>
      <c r="DB532" s="42"/>
      <c r="DC532" s="42"/>
      <c r="DD532" s="42"/>
      <c r="DE532" s="42"/>
      <c r="DF532" s="42"/>
      <c r="DG532" s="42"/>
      <c r="DH532" s="42"/>
      <c r="DI532" s="42"/>
      <c r="DJ532" s="42"/>
      <c r="DK532" s="42"/>
      <c r="DL532" s="42"/>
      <c r="DM532" s="42"/>
      <c r="DN532" s="42"/>
      <c r="DO532" s="42"/>
      <c r="DP532" s="42"/>
      <c r="DQ532" s="42"/>
      <c r="DR532" s="42"/>
      <c r="DS532" s="42"/>
      <c r="DT532" s="42"/>
      <c r="DU532" s="42"/>
      <c r="DV532" s="42"/>
      <c r="DW532" s="42"/>
      <c r="DX532" s="42"/>
      <c r="DY532" s="42"/>
      <c r="DZ532" s="42"/>
      <c r="EA532" s="42"/>
      <c r="EB532" s="42"/>
      <c r="EC532" s="42"/>
      <c r="ED532" s="42"/>
      <c r="EE532" s="42"/>
      <c r="EF532" s="42"/>
      <c r="EG532" s="42"/>
      <c r="EH532" s="42"/>
      <c r="EI532" s="42"/>
      <c r="EJ532" s="42"/>
      <c r="EK532" s="42"/>
      <c r="EL532" s="42"/>
      <c r="EM532" s="42"/>
      <c r="EN532" s="42"/>
      <c r="EO532" s="42"/>
      <c r="EP532" s="42"/>
      <c r="EQ532" s="42"/>
      <c r="ER532" s="42"/>
      <c r="ES532" s="42"/>
      <c r="ET532" s="42"/>
      <c r="EU532" s="42"/>
      <c r="EV532" s="42"/>
      <c r="EW532" s="42"/>
      <c r="EX532" s="42"/>
      <c r="EY532" s="42"/>
      <c r="EZ532" s="42"/>
      <c r="FA532" s="42"/>
      <c r="FB532" s="42"/>
      <c r="FC532" s="42"/>
      <c r="FD532" s="42"/>
      <c r="FE532" s="42"/>
      <c r="FF532" s="42"/>
      <c r="FG532" s="42"/>
      <c r="FH532" s="42"/>
      <c r="FI532" s="42"/>
      <c r="FJ532" s="42"/>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row>
    <row r="533" spans="1:256" ht="13.8" x14ac:dyDescent="0.3">
      <c r="A533" s="42"/>
      <c r="B533" s="42"/>
      <c r="C533" s="42"/>
      <c r="D533" s="42"/>
      <c r="E533" s="42"/>
      <c r="F533" s="42"/>
      <c r="G533" s="42"/>
      <c r="H533" s="42"/>
      <c r="I533" s="42"/>
      <c r="J533" s="42"/>
      <c r="K533" s="42"/>
      <c r="L533" s="42"/>
      <c r="M533" s="42"/>
      <c r="N533" s="42"/>
      <c r="O533" s="42"/>
      <c r="P533" s="42"/>
      <c r="Q533" s="42"/>
      <c r="R533" s="42"/>
      <c r="S533" s="42"/>
      <c r="T533" s="42"/>
      <c r="U533" s="194"/>
      <c r="V533" s="42"/>
      <c r="W533" s="42"/>
      <c r="X533" s="42"/>
      <c r="Y533" s="42"/>
      <c r="Z533" s="42"/>
      <c r="AA533" s="42"/>
      <c r="AB533" s="195"/>
      <c r="AC533" s="42"/>
      <c r="AD533" s="42"/>
      <c r="AE533" s="195"/>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c r="BM533" s="42"/>
      <c r="BN533" s="42"/>
      <c r="BO533" s="42"/>
      <c r="BP533" s="42"/>
      <c r="BQ533" s="42"/>
      <c r="BR533" s="42"/>
      <c r="BS533" s="42"/>
      <c r="BT533" s="42"/>
      <c r="BU533" s="42"/>
      <c r="BV533" s="42"/>
      <c r="BW533" s="42"/>
      <c r="BX533" s="42"/>
      <c r="BY533" s="42"/>
      <c r="BZ533" s="42"/>
      <c r="CA533" s="42"/>
      <c r="CB533" s="42"/>
      <c r="CC533" s="42"/>
      <c r="CD533" s="42"/>
      <c r="CE533" s="42"/>
      <c r="CF533" s="42"/>
      <c r="CG533" s="42"/>
      <c r="CH533" s="42"/>
      <c r="CI533" s="42"/>
      <c r="CJ533" s="42"/>
      <c r="CK533" s="42"/>
      <c r="CL533" s="42"/>
      <c r="CM533" s="42"/>
      <c r="CN533" s="42"/>
      <c r="CO533" s="42"/>
      <c r="CP533" s="42"/>
      <c r="CQ533" s="42"/>
      <c r="CR533" s="42"/>
      <c r="CS533" s="42"/>
      <c r="CT533" s="42"/>
      <c r="CU533" s="42"/>
      <c r="CV533" s="42"/>
      <c r="CW533" s="42"/>
      <c r="CX533" s="42"/>
      <c r="CY533" s="42"/>
      <c r="CZ533" s="42"/>
      <c r="DA533" s="42"/>
      <c r="DB533" s="42"/>
      <c r="DC533" s="42"/>
      <c r="DD533" s="42"/>
      <c r="DE533" s="42"/>
      <c r="DF533" s="42"/>
      <c r="DG533" s="42"/>
      <c r="DH533" s="42"/>
      <c r="DI533" s="42"/>
      <c r="DJ533" s="42"/>
      <c r="DK533" s="42"/>
      <c r="DL533" s="42"/>
      <c r="DM533" s="42"/>
      <c r="DN533" s="42"/>
      <c r="DO533" s="42"/>
      <c r="DP533" s="42"/>
      <c r="DQ533" s="42"/>
      <c r="DR533" s="42"/>
      <c r="DS533" s="42"/>
      <c r="DT533" s="42"/>
      <c r="DU533" s="42"/>
      <c r="DV533" s="42"/>
      <c r="DW533" s="42"/>
      <c r="DX533" s="42"/>
      <c r="DY533" s="42"/>
      <c r="DZ533" s="42"/>
      <c r="EA533" s="42"/>
      <c r="EB533" s="42"/>
      <c r="EC533" s="42"/>
      <c r="ED533" s="42"/>
      <c r="EE533" s="42"/>
      <c r="EF533" s="42"/>
      <c r="EG533" s="42"/>
      <c r="EH533" s="42"/>
      <c r="EI533" s="42"/>
      <c r="EJ533" s="42"/>
      <c r="EK533" s="42"/>
      <c r="EL533" s="42"/>
      <c r="EM533" s="42"/>
      <c r="EN533" s="42"/>
      <c r="EO533" s="42"/>
      <c r="EP533" s="42"/>
      <c r="EQ533" s="42"/>
      <c r="ER533" s="42"/>
      <c r="ES533" s="42"/>
      <c r="ET533" s="42"/>
      <c r="EU533" s="42"/>
      <c r="EV533" s="42"/>
      <c r="EW533" s="42"/>
      <c r="EX533" s="42"/>
      <c r="EY533" s="42"/>
      <c r="EZ533" s="42"/>
      <c r="FA533" s="42"/>
      <c r="FB533" s="42"/>
      <c r="FC533" s="42"/>
      <c r="FD533" s="42"/>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row>
    <row r="534" spans="1:256" ht="13.8" x14ac:dyDescent="0.3">
      <c r="A534" s="42"/>
      <c r="B534" s="42"/>
      <c r="C534" s="42"/>
      <c r="D534" s="42"/>
      <c r="E534" s="42"/>
      <c r="F534" s="42"/>
      <c r="G534" s="42"/>
      <c r="H534" s="42"/>
      <c r="I534" s="42"/>
      <c r="J534" s="42"/>
      <c r="K534" s="42"/>
      <c r="L534" s="42"/>
      <c r="M534" s="42"/>
      <c r="N534" s="42"/>
      <c r="O534" s="42"/>
      <c r="P534" s="42"/>
      <c r="Q534" s="42"/>
      <c r="R534" s="42"/>
      <c r="S534" s="42"/>
      <c r="T534" s="42"/>
      <c r="U534" s="194"/>
      <c r="V534" s="42"/>
      <c r="W534" s="42"/>
      <c r="X534" s="42"/>
      <c r="Y534" s="42"/>
      <c r="Z534" s="42"/>
      <c r="AA534" s="42"/>
      <c r="AB534" s="195"/>
      <c r="AC534" s="42"/>
      <c r="AD534" s="42"/>
      <c r="AE534" s="195"/>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c r="BM534" s="42"/>
      <c r="BN534" s="42"/>
      <c r="BO534" s="42"/>
      <c r="BP534" s="42"/>
      <c r="BQ534" s="42"/>
      <c r="BR534" s="42"/>
      <c r="BS534" s="42"/>
      <c r="BT534" s="42"/>
      <c r="BU534" s="42"/>
      <c r="BV534" s="42"/>
      <c r="BW534" s="42"/>
      <c r="BX534" s="42"/>
      <c r="BY534" s="42"/>
      <c r="BZ534" s="42"/>
      <c r="CA534" s="42"/>
      <c r="CB534" s="42"/>
      <c r="CC534" s="42"/>
      <c r="CD534" s="42"/>
      <c r="CE534" s="42"/>
      <c r="CF534" s="42"/>
      <c r="CG534" s="42"/>
      <c r="CH534" s="42"/>
      <c r="CI534" s="42"/>
      <c r="CJ534" s="42"/>
      <c r="CK534" s="42"/>
      <c r="CL534" s="42"/>
      <c r="CM534" s="42"/>
      <c r="CN534" s="42"/>
      <c r="CO534" s="42"/>
      <c r="CP534" s="42"/>
      <c r="CQ534" s="42"/>
      <c r="CR534" s="42"/>
      <c r="CS534" s="42"/>
      <c r="CT534" s="42"/>
      <c r="CU534" s="42"/>
      <c r="CV534" s="42"/>
      <c r="CW534" s="42"/>
      <c r="CX534" s="42"/>
      <c r="CY534" s="42"/>
      <c r="CZ534" s="42"/>
      <c r="DA534" s="42"/>
      <c r="DB534" s="42"/>
      <c r="DC534" s="42"/>
      <c r="DD534" s="42"/>
      <c r="DE534" s="42"/>
      <c r="DF534" s="42"/>
      <c r="DG534" s="42"/>
      <c r="DH534" s="42"/>
      <c r="DI534" s="42"/>
      <c r="DJ534" s="42"/>
      <c r="DK534" s="42"/>
      <c r="DL534" s="42"/>
      <c r="DM534" s="42"/>
      <c r="DN534" s="42"/>
      <c r="DO534" s="42"/>
      <c r="DP534" s="42"/>
      <c r="DQ534" s="42"/>
      <c r="DR534" s="42"/>
      <c r="DS534" s="42"/>
      <c r="DT534" s="42"/>
      <c r="DU534" s="42"/>
      <c r="DV534" s="42"/>
      <c r="DW534" s="42"/>
      <c r="DX534" s="42"/>
      <c r="DY534" s="42"/>
      <c r="DZ534" s="42"/>
      <c r="EA534" s="42"/>
      <c r="EB534" s="42"/>
      <c r="EC534" s="42"/>
      <c r="ED534" s="42"/>
      <c r="EE534" s="42"/>
      <c r="EF534" s="42"/>
      <c r="EG534" s="42"/>
      <c r="EH534" s="42"/>
      <c r="EI534" s="42"/>
      <c r="EJ534" s="42"/>
      <c r="EK534" s="42"/>
      <c r="EL534" s="42"/>
      <c r="EM534" s="42"/>
      <c r="EN534" s="42"/>
      <c r="EO534" s="42"/>
      <c r="EP534" s="42"/>
      <c r="EQ534" s="42"/>
      <c r="ER534" s="42"/>
      <c r="ES534" s="42"/>
      <c r="ET534" s="42"/>
      <c r="EU534" s="42"/>
      <c r="EV534" s="42"/>
      <c r="EW534" s="42"/>
      <c r="EX534" s="42"/>
      <c r="EY534" s="42"/>
      <c r="EZ534" s="42"/>
      <c r="FA534" s="42"/>
      <c r="FB534" s="42"/>
      <c r="FC534" s="42"/>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row>
    <row r="535" spans="1:256" ht="13.8" x14ac:dyDescent="0.3">
      <c r="A535" s="42"/>
      <c r="B535" s="42"/>
      <c r="C535" s="42"/>
      <c r="D535" s="42"/>
      <c r="E535" s="42"/>
      <c r="F535" s="42"/>
      <c r="G535" s="42"/>
      <c r="H535" s="42"/>
      <c r="I535" s="42"/>
      <c r="J535" s="42"/>
      <c r="K535" s="42"/>
      <c r="L535" s="42"/>
      <c r="M535" s="42"/>
      <c r="N535" s="42"/>
      <c r="O535" s="42"/>
      <c r="P535" s="42"/>
      <c r="Q535" s="42"/>
      <c r="R535" s="42"/>
      <c r="S535" s="42"/>
      <c r="T535" s="42"/>
      <c r="U535" s="194"/>
      <c r="V535" s="42"/>
      <c r="W535" s="42"/>
      <c r="X535" s="42"/>
      <c r="Y535" s="42"/>
      <c r="Z535" s="42"/>
      <c r="AA535" s="42"/>
      <c r="AB535" s="195"/>
      <c r="AC535" s="42"/>
      <c r="AD535" s="42"/>
      <c r="AE535" s="195"/>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c r="BM535" s="42"/>
      <c r="BN535" s="42"/>
      <c r="BO535" s="42"/>
      <c r="BP535" s="42"/>
      <c r="BQ535" s="42"/>
      <c r="BR535" s="42"/>
      <c r="BS535" s="42"/>
      <c r="BT535" s="42"/>
      <c r="BU535" s="42"/>
      <c r="BV535" s="42"/>
      <c r="BW535" s="42"/>
      <c r="BX535" s="42"/>
      <c r="BY535" s="42"/>
      <c r="BZ535" s="42"/>
      <c r="CA535" s="42"/>
      <c r="CB535" s="42"/>
      <c r="CC535" s="42"/>
      <c r="CD535" s="42"/>
      <c r="CE535" s="42"/>
      <c r="CF535" s="42"/>
      <c r="CG535" s="42"/>
      <c r="CH535" s="42"/>
      <c r="CI535" s="42"/>
      <c r="CJ535" s="42"/>
      <c r="CK535" s="42"/>
      <c r="CL535" s="42"/>
      <c r="CM535" s="42"/>
      <c r="CN535" s="42"/>
      <c r="CO535" s="42"/>
      <c r="CP535" s="42"/>
      <c r="CQ535" s="42"/>
      <c r="CR535" s="42"/>
      <c r="CS535" s="42"/>
      <c r="CT535" s="42"/>
      <c r="CU535" s="42"/>
      <c r="CV535" s="42"/>
      <c r="CW535" s="42"/>
      <c r="CX535" s="42"/>
      <c r="CY535" s="42"/>
      <c r="CZ535" s="42"/>
      <c r="DA535" s="42"/>
      <c r="DB535" s="42"/>
      <c r="DC535" s="42"/>
      <c r="DD535" s="42"/>
      <c r="DE535" s="42"/>
      <c r="DF535" s="42"/>
      <c r="DG535" s="42"/>
      <c r="DH535" s="42"/>
      <c r="DI535" s="42"/>
      <c r="DJ535" s="42"/>
      <c r="DK535" s="42"/>
      <c r="DL535" s="42"/>
      <c r="DM535" s="42"/>
      <c r="DN535" s="42"/>
      <c r="DO535" s="42"/>
      <c r="DP535" s="42"/>
      <c r="DQ535" s="42"/>
      <c r="DR535" s="42"/>
      <c r="DS535" s="42"/>
      <c r="DT535" s="42"/>
      <c r="DU535" s="42"/>
      <c r="DV535" s="42"/>
      <c r="DW535" s="42"/>
      <c r="DX535" s="42"/>
      <c r="DY535" s="42"/>
      <c r="DZ535" s="42"/>
      <c r="EA535" s="42"/>
      <c r="EB535" s="42"/>
      <c r="EC535" s="42"/>
      <c r="ED535" s="42"/>
      <c r="EE535" s="42"/>
      <c r="EF535" s="42"/>
      <c r="EG535" s="42"/>
      <c r="EH535" s="42"/>
      <c r="EI535" s="42"/>
      <c r="EJ535" s="42"/>
      <c r="EK535" s="42"/>
      <c r="EL535" s="42"/>
      <c r="EM535" s="42"/>
      <c r="EN535" s="42"/>
      <c r="EO535" s="42"/>
      <c r="EP535" s="42"/>
      <c r="EQ535" s="42"/>
      <c r="ER535" s="42"/>
      <c r="ES535" s="42"/>
      <c r="ET535" s="42"/>
      <c r="EU535" s="42"/>
      <c r="EV535" s="42"/>
      <c r="EW535" s="42"/>
      <c r="EX535" s="42"/>
      <c r="EY535" s="42"/>
      <c r="EZ535" s="42"/>
      <c r="FA535" s="42"/>
      <c r="FB535" s="42"/>
      <c r="FC535" s="42"/>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row>
    <row r="536" spans="1:256" ht="13.8" x14ac:dyDescent="0.3">
      <c r="A536" s="42"/>
      <c r="B536" s="42"/>
      <c r="C536" s="42"/>
      <c r="D536" s="42"/>
      <c r="E536" s="42"/>
      <c r="F536" s="42"/>
      <c r="G536" s="42"/>
      <c r="H536" s="42"/>
      <c r="I536" s="42"/>
      <c r="J536" s="42"/>
      <c r="K536" s="42"/>
      <c r="L536" s="42"/>
      <c r="M536" s="42"/>
      <c r="N536" s="42"/>
      <c r="O536" s="42"/>
      <c r="P536" s="42"/>
      <c r="Q536" s="42"/>
      <c r="R536" s="42"/>
      <c r="S536" s="42"/>
      <c r="T536" s="42"/>
      <c r="U536" s="194"/>
      <c r="V536" s="42"/>
      <c r="W536" s="42"/>
      <c r="X536" s="42"/>
      <c r="Y536" s="42"/>
      <c r="Z536" s="42"/>
      <c r="AA536" s="42"/>
      <c r="AB536" s="195"/>
      <c r="AC536" s="42"/>
      <c r="AD536" s="42"/>
      <c r="AE536" s="195"/>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c r="BM536" s="42"/>
      <c r="BN536" s="42"/>
      <c r="BO536" s="42"/>
      <c r="BP536" s="42"/>
      <c r="BQ536" s="42"/>
      <c r="BR536" s="42"/>
      <c r="BS536" s="42"/>
      <c r="BT536" s="42"/>
      <c r="BU536" s="42"/>
      <c r="BV536" s="42"/>
      <c r="BW536" s="42"/>
      <c r="BX536" s="42"/>
      <c r="BY536" s="42"/>
      <c r="BZ536" s="42"/>
      <c r="CA536" s="42"/>
      <c r="CB536" s="42"/>
      <c r="CC536" s="42"/>
      <c r="CD536" s="42"/>
      <c r="CE536" s="42"/>
      <c r="CF536" s="42"/>
      <c r="CG536" s="42"/>
      <c r="CH536" s="42"/>
      <c r="CI536" s="42"/>
      <c r="CJ536" s="42"/>
      <c r="CK536" s="42"/>
      <c r="CL536" s="42"/>
      <c r="CM536" s="42"/>
      <c r="CN536" s="42"/>
      <c r="CO536" s="42"/>
      <c r="CP536" s="42"/>
      <c r="CQ536" s="42"/>
      <c r="CR536" s="42"/>
      <c r="CS536" s="42"/>
      <c r="CT536" s="42"/>
      <c r="CU536" s="42"/>
      <c r="CV536" s="42"/>
      <c r="CW536" s="42"/>
      <c r="CX536" s="42"/>
      <c r="CY536" s="42"/>
      <c r="CZ536" s="42"/>
      <c r="DA536" s="42"/>
      <c r="DB536" s="42"/>
      <c r="DC536" s="42"/>
      <c r="DD536" s="42"/>
      <c r="DE536" s="42"/>
      <c r="DF536" s="42"/>
      <c r="DG536" s="42"/>
      <c r="DH536" s="42"/>
      <c r="DI536" s="42"/>
      <c r="DJ536" s="42"/>
      <c r="DK536" s="42"/>
      <c r="DL536" s="42"/>
      <c r="DM536" s="42"/>
      <c r="DN536" s="42"/>
      <c r="DO536" s="42"/>
      <c r="DP536" s="42"/>
      <c r="DQ536" s="42"/>
      <c r="DR536" s="42"/>
      <c r="DS536" s="42"/>
      <c r="DT536" s="42"/>
      <c r="DU536" s="42"/>
      <c r="DV536" s="42"/>
      <c r="DW536" s="42"/>
      <c r="DX536" s="42"/>
      <c r="DY536" s="42"/>
      <c r="DZ536" s="42"/>
      <c r="EA536" s="42"/>
      <c r="EB536" s="42"/>
      <c r="EC536" s="42"/>
      <c r="ED536" s="42"/>
      <c r="EE536" s="42"/>
      <c r="EF536" s="42"/>
      <c r="EG536" s="42"/>
      <c r="EH536" s="42"/>
      <c r="EI536" s="42"/>
      <c r="EJ536" s="42"/>
      <c r="EK536" s="42"/>
      <c r="EL536" s="42"/>
      <c r="EM536" s="42"/>
      <c r="EN536" s="42"/>
      <c r="EO536" s="42"/>
      <c r="EP536" s="42"/>
      <c r="EQ536" s="42"/>
      <c r="ER536" s="42"/>
      <c r="ES536" s="42"/>
      <c r="ET536" s="42"/>
      <c r="EU536" s="42"/>
      <c r="EV536" s="42"/>
      <c r="EW536" s="42"/>
      <c r="EX536" s="42"/>
      <c r="EY536" s="42"/>
      <c r="EZ536" s="42"/>
      <c r="FA536" s="42"/>
      <c r="FB536" s="42"/>
      <c r="FC536" s="42"/>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row>
    <row r="537" spans="1:256" ht="13.8" x14ac:dyDescent="0.3">
      <c r="A537" s="42"/>
      <c r="B537" s="42"/>
      <c r="C537" s="42"/>
      <c r="D537" s="42"/>
      <c r="E537" s="42"/>
      <c r="F537" s="42"/>
      <c r="G537" s="42"/>
      <c r="H537" s="42"/>
      <c r="I537" s="42"/>
      <c r="J537" s="42"/>
      <c r="K537" s="42"/>
      <c r="L537" s="42"/>
      <c r="M537" s="42"/>
      <c r="N537" s="42"/>
      <c r="O537" s="42"/>
      <c r="P537" s="42"/>
      <c r="Q537" s="42"/>
      <c r="R537" s="42"/>
      <c r="S537" s="42"/>
      <c r="T537" s="42"/>
      <c r="U537" s="194"/>
      <c r="V537" s="42"/>
      <c r="W537" s="42"/>
      <c r="X537" s="42"/>
      <c r="Y537" s="42"/>
      <c r="Z537" s="42"/>
      <c r="AA537" s="42"/>
      <c r="AB537" s="195"/>
      <c r="AC537" s="42"/>
      <c r="AD537" s="42"/>
      <c r="AE537" s="195"/>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c r="BM537" s="42"/>
      <c r="BN537" s="42"/>
      <c r="BO537" s="42"/>
      <c r="BP537" s="42"/>
      <c r="BQ537" s="42"/>
      <c r="BR537" s="42"/>
      <c r="BS537" s="42"/>
      <c r="BT537" s="42"/>
      <c r="BU537" s="42"/>
      <c r="BV537" s="42"/>
      <c r="BW537" s="42"/>
      <c r="BX537" s="42"/>
      <c r="BY537" s="42"/>
      <c r="BZ537" s="42"/>
      <c r="CA537" s="42"/>
      <c r="CB537" s="42"/>
      <c r="CC537" s="42"/>
      <c r="CD537" s="42"/>
      <c r="CE537" s="42"/>
      <c r="CF537" s="42"/>
      <c r="CG537" s="42"/>
      <c r="CH537" s="42"/>
      <c r="CI537" s="42"/>
      <c r="CJ537" s="42"/>
      <c r="CK537" s="42"/>
      <c r="CL537" s="42"/>
      <c r="CM537" s="42"/>
      <c r="CN537" s="42"/>
      <c r="CO537" s="42"/>
      <c r="CP537" s="42"/>
      <c r="CQ537" s="42"/>
      <c r="CR537" s="42"/>
      <c r="CS537" s="42"/>
      <c r="CT537" s="42"/>
      <c r="CU537" s="42"/>
      <c r="CV537" s="42"/>
      <c r="CW537" s="42"/>
      <c r="CX537" s="42"/>
      <c r="CY537" s="42"/>
      <c r="CZ537" s="42"/>
      <c r="DA537" s="42"/>
      <c r="DB537" s="42"/>
      <c r="DC537" s="42"/>
      <c r="DD537" s="42"/>
      <c r="DE537" s="42"/>
      <c r="DF537" s="42"/>
      <c r="DG537" s="42"/>
      <c r="DH537" s="42"/>
      <c r="DI537" s="42"/>
      <c r="DJ537" s="42"/>
      <c r="DK537" s="42"/>
      <c r="DL537" s="42"/>
      <c r="DM537" s="42"/>
      <c r="DN537" s="42"/>
      <c r="DO537" s="42"/>
      <c r="DP537" s="42"/>
      <c r="DQ537" s="42"/>
      <c r="DR537" s="42"/>
      <c r="DS537" s="42"/>
      <c r="DT537" s="42"/>
      <c r="DU537" s="42"/>
      <c r="DV537" s="42"/>
      <c r="DW537" s="42"/>
      <c r="DX537" s="42"/>
      <c r="DY537" s="42"/>
      <c r="DZ537" s="42"/>
      <c r="EA537" s="42"/>
      <c r="EB537" s="42"/>
      <c r="EC537" s="42"/>
      <c r="ED537" s="42"/>
      <c r="EE537" s="42"/>
      <c r="EF537" s="42"/>
      <c r="EG537" s="42"/>
      <c r="EH537" s="42"/>
      <c r="EI537" s="42"/>
      <c r="EJ537" s="42"/>
      <c r="EK537" s="42"/>
      <c r="EL537" s="42"/>
      <c r="EM537" s="42"/>
      <c r="EN537" s="42"/>
      <c r="EO537" s="42"/>
      <c r="EP537" s="42"/>
      <c r="EQ537" s="42"/>
      <c r="ER537" s="42"/>
      <c r="ES537" s="42"/>
      <c r="ET537" s="42"/>
      <c r="EU537" s="42"/>
      <c r="EV537" s="42"/>
      <c r="EW537" s="42"/>
      <c r="EX537" s="42"/>
      <c r="EY537" s="42"/>
      <c r="EZ537" s="42"/>
      <c r="FA537" s="42"/>
      <c r="FB537" s="42"/>
      <c r="FC537" s="42"/>
      <c r="FD537" s="42"/>
      <c r="FE537" s="42"/>
      <c r="FF537" s="42"/>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row>
    <row r="538" spans="1:256" ht="13.8" x14ac:dyDescent="0.3">
      <c r="A538" s="42"/>
      <c r="B538" s="42"/>
      <c r="C538" s="42"/>
      <c r="D538" s="42"/>
      <c r="E538" s="42"/>
      <c r="F538" s="42"/>
      <c r="G538" s="42"/>
      <c r="H538" s="42"/>
      <c r="I538" s="42"/>
      <c r="J538" s="42"/>
      <c r="K538" s="42"/>
      <c r="L538" s="42"/>
      <c r="M538" s="42"/>
      <c r="N538" s="42"/>
      <c r="O538" s="42"/>
      <c r="P538" s="42"/>
      <c r="Q538" s="42"/>
      <c r="R538" s="42"/>
      <c r="S538" s="42"/>
      <c r="T538" s="42"/>
      <c r="U538" s="194"/>
      <c r="V538" s="42"/>
      <c r="W538" s="42"/>
      <c r="X538" s="42"/>
      <c r="Y538" s="42"/>
      <c r="Z538" s="42"/>
      <c r="AA538" s="42"/>
      <c r="AB538" s="195"/>
      <c r="AC538" s="42"/>
      <c r="AD538" s="42"/>
      <c r="AE538" s="195"/>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c r="BM538" s="42"/>
      <c r="BN538" s="42"/>
      <c r="BO538" s="42"/>
      <c r="BP538" s="42"/>
      <c r="BQ538" s="42"/>
      <c r="BR538" s="42"/>
      <c r="BS538" s="42"/>
      <c r="BT538" s="42"/>
      <c r="BU538" s="42"/>
      <c r="BV538" s="42"/>
      <c r="BW538" s="42"/>
      <c r="BX538" s="42"/>
      <c r="BY538" s="42"/>
      <c r="BZ538" s="42"/>
      <c r="CA538" s="42"/>
      <c r="CB538" s="42"/>
      <c r="CC538" s="42"/>
      <c r="CD538" s="42"/>
      <c r="CE538" s="42"/>
      <c r="CF538" s="42"/>
      <c r="CG538" s="42"/>
      <c r="CH538" s="42"/>
      <c r="CI538" s="42"/>
      <c r="CJ538" s="42"/>
      <c r="CK538" s="42"/>
      <c r="CL538" s="42"/>
      <c r="CM538" s="42"/>
      <c r="CN538" s="42"/>
      <c r="CO538" s="42"/>
      <c r="CP538" s="42"/>
      <c r="CQ538" s="42"/>
      <c r="CR538" s="42"/>
      <c r="CS538" s="42"/>
      <c r="CT538" s="42"/>
      <c r="CU538" s="42"/>
      <c r="CV538" s="42"/>
      <c r="CW538" s="42"/>
      <c r="CX538" s="42"/>
      <c r="CY538" s="42"/>
      <c r="CZ538" s="42"/>
      <c r="DA538" s="42"/>
      <c r="DB538" s="42"/>
      <c r="DC538" s="42"/>
      <c r="DD538" s="42"/>
      <c r="DE538" s="42"/>
      <c r="DF538" s="42"/>
      <c r="DG538" s="42"/>
      <c r="DH538" s="42"/>
      <c r="DI538" s="42"/>
      <c r="DJ538" s="42"/>
      <c r="DK538" s="42"/>
      <c r="DL538" s="42"/>
      <c r="DM538" s="42"/>
      <c r="DN538" s="42"/>
      <c r="DO538" s="42"/>
      <c r="DP538" s="42"/>
      <c r="DQ538" s="42"/>
      <c r="DR538" s="42"/>
      <c r="DS538" s="42"/>
      <c r="DT538" s="42"/>
      <c r="DU538" s="42"/>
      <c r="DV538" s="42"/>
      <c r="DW538" s="42"/>
      <c r="DX538" s="42"/>
      <c r="DY538" s="42"/>
      <c r="DZ538" s="42"/>
      <c r="EA538" s="42"/>
      <c r="EB538" s="42"/>
      <c r="EC538" s="42"/>
      <c r="ED538" s="42"/>
      <c r="EE538" s="42"/>
      <c r="EF538" s="42"/>
      <c r="EG538" s="42"/>
      <c r="EH538" s="42"/>
      <c r="EI538" s="42"/>
      <c r="EJ538" s="42"/>
      <c r="EK538" s="42"/>
      <c r="EL538" s="42"/>
      <c r="EM538" s="42"/>
      <c r="EN538" s="42"/>
      <c r="EO538" s="42"/>
      <c r="EP538" s="42"/>
      <c r="EQ538" s="42"/>
      <c r="ER538" s="42"/>
      <c r="ES538" s="42"/>
      <c r="ET538" s="42"/>
      <c r="EU538" s="42"/>
      <c r="EV538" s="42"/>
      <c r="EW538" s="42"/>
      <c r="EX538" s="42"/>
      <c r="EY538" s="42"/>
      <c r="EZ538" s="42"/>
      <c r="FA538" s="42"/>
      <c r="FB538" s="42"/>
      <c r="FC538" s="42"/>
      <c r="FD538" s="42"/>
      <c r="FE538" s="42"/>
      <c r="FF538" s="42"/>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row>
    <row r="539" spans="1:256" ht="13.8" x14ac:dyDescent="0.3">
      <c r="A539" s="42"/>
      <c r="B539" s="42"/>
      <c r="C539" s="42"/>
      <c r="D539" s="42"/>
      <c r="E539" s="42"/>
      <c r="F539" s="42"/>
      <c r="G539" s="42"/>
      <c r="H539" s="42"/>
      <c r="I539" s="42"/>
      <c r="J539" s="42"/>
      <c r="K539" s="42"/>
      <c r="L539" s="42"/>
      <c r="M539" s="42"/>
      <c r="N539" s="42"/>
      <c r="O539" s="42"/>
      <c r="P539" s="42"/>
      <c r="Q539" s="42"/>
      <c r="R539" s="42"/>
      <c r="S539" s="42"/>
      <c r="T539" s="42"/>
      <c r="U539" s="194"/>
      <c r="V539" s="42"/>
      <c r="W539" s="42"/>
      <c r="X539" s="42"/>
      <c r="Y539" s="42"/>
      <c r="Z539" s="42"/>
      <c r="AA539" s="42"/>
      <c r="AB539" s="195"/>
      <c r="AC539" s="42"/>
      <c r="AD539" s="42"/>
      <c r="AE539" s="195"/>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c r="BM539" s="42"/>
      <c r="BN539" s="42"/>
      <c r="BO539" s="42"/>
      <c r="BP539" s="42"/>
      <c r="BQ539" s="42"/>
      <c r="BR539" s="42"/>
      <c r="BS539" s="42"/>
      <c r="BT539" s="42"/>
      <c r="BU539" s="42"/>
      <c r="BV539" s="42"/>
      <c r="BW539" s="42"/>
      <c r="BX539" s="42"/>
      <c r="BY539" s="42"/>
      <c r="BZ539" s="42"/>
      <c r="CA539" s="42"/>
      <c r="CB539" s="42"/>
      <c r="CC539" s="42"/>
      <c r="CD539" s="42"/>
      <c r="CE539" s="42"/>
      <c r="CF539" s="42"/>
      <c r="CG539" s="42"/>
      <c r="CH539" s="42"/>
      <c r="CI539" s="42"/>
      <c r="CJ539" s="42"/>
      <c r="CK539" s="42"/>
      <c r="CL539" s="42"/>
      <c r="CM539" s="42"/>
      <c r="CN539" s="42"/>
      <c r="CO539" s="42"/>
      <c r="CP539" s="42"/>
      <c r="CQ539" s="42"/>
      <c r="CR539" s="42"/>
      <c r="CS539" s="42"/>
      <c r="CT539" s="42"/>
      <c r="CU539" s="42"/>
      <c r="CV539" s="42"/>
      <c r="CW539" s="42"/>
      <c r="CX539" s="42"/>
      <c r="CY539" s="42"/>
      <c r="CZ539" s="42"/>
      <c r="DA539" s="42"/>
      <c r="DB539" s="42"/>
      <c r="DC539" s="42"/>
      <c r="DD539" s="42"/>
      <c r="DE539" s="42"/>
      <c r="DF539" s="42"/>
      <c r="DG539" s="42"/>
      <c r="DH539" s="42"/>
      <c r="DI539" s="42"/>
      <c r="DJ539" s="42"/>
      <c r="DK539" s="42"/>
      <c r="DL539" s="42"/>
      <c r="DM539" s="42"/>
      <c r="DN539" s="42"/>
      <c r="DO539" s="42"/>
      <c r="DP539" s="42"/>
      <c r="DQ539" s="42"/>
      <c r="DR539" s="42"/>
      <c r="DS539" s="42"/>
      <c r="DT539" s="42"/>
      <c r="DU539" s="42"/>
      <c r="DV539" s="42"/>
      <c r="DW539" s="42"/>
      <c r="DX539" s="42"/>
      <c r="DY539" s="42"/>
      <c r="DZ539" s="42"/>
      <c r="EA539" s="42"/>
      <c r="EB539" s="42"/>
      <c r="EC539" s="42"/>
      <c r="ED539" s="42"/>
      <c r="EE539" s="42"/>
      <c r="EF539" s="42"/>
      <c r="EG539" s="42"/>
      <c r="EH539" s="42"/>
      <c r="EI539" s="42"/>
      <c r="EJ539" s="42"/>
      <c r="EK539" s="42"/>
      <c r="EL539" s="42"/>
      <c r="EM539" s="42"/>
      <c r="EN539" s="42"/>
      <c r="EO539" s="42"/>
      <c r="EP539" s="42"/>
      <c r="EQ539" s="42"/>
      <c r="ER539" s="42"/>
      <c r="ES539" s="42"/>
      <c r="ET539" s="42"/>
      <c r="EU539" s="42"/>
      <c r="EV539" s="42"/>
      <c r="EW539" s="42"/>
      <c r="EX539" s="42"/>
      <c r="EY539" s="42"/>
      <c r="EZ539" s="42"/>
      <c r="FA539" s="42"/>
      <c r="FB539" s="42"/>
      <c r="FC539" s="42"/>
      <c r="FD539" s="42"/>
      <c r="FE539" s="42"/>
      <c r="FF539" s="42"/>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row>
    <row r="540" spans="1:256" ht="13.8" x14ac:dyDescent="0.3">
      <c r="A540" s="42"/>
      <c r="B540" s="42"/>
      <c r="C540" s="42"/>
      <c r="D540" s="42"/>
      <c r="E540" s="42"/>
      <c r="F540" s="42"/>
      <c r="G540" s="42"/>
      <c r="H540" s="42"/>
      <c r="I540" s="42"/>
      <c r="J540" s="42"/>
      <c r="K540" s="42"/>
      <c r="L540" s="42"/>
      <c r="M540" s="42"/>
      <c r="N540" s="42"/>
      <c r="O540" s="42"/>
      <c r="P540" s="42"/>
      <c r="Q540" s="42"/>
      <c r="R540" s="42"/>
      <c r="S540" s="42"/>
      <c r="T540" s="42"/>
      <c r="U540" s="194"/>
      <c r="V540" s="42"/>
      <c r="W540" s="42"/>
      <c r="X540" s="42"/>
      <c r="Y540" s="42"/>
      <c r="Z540" s="42"/>
      <c r="AA540" s="42"/>
      <c r="AB540" s="195"/>
      <c r="AC540" s="42"/>
      <c r="AD540" s="42"/>
      <c r="AE540" s="195"/>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c r="BM540" s="42"/>
      <c r="BN540" s="42"/>
      <c r="BO540" s="42"/>
      <c r="BP540" s="42"/>
      <c r="BQ540" s="42"/>
      <c r="BR540" s="42"/>
      <c r="BS540" s="42"/>
      <c r="BT540" s="42"/>
      <c r="BU540" s="42"/>
      <c r="BV540" s="42"/>
      <c r="BW540" s="42"/>
      <c r="BX540" s="42"/>
      <c r="BY540" s="42"/>
      <c r="BZ540" s="42"/>
      <c r="CA540" s="42"/>
      <c r="CB540" s="42"/>
      <c r="CC540" s="42"/>
      <c r="CD540" s="42"/>
      <c r="CE540" s="42"/>
      <c r="CF540" s="42"/>
      <c r="CG540" s="42"/>
      <c r="CH540" s="42"/>
      <c r="CI540" s="42"/>
      <c r="CJ540" s="42"/>
      <c r="CK540" s="42"/>
      <c r="CL540" s="42"/>
      <c r="CM540" s="42"/>
      <c r="CN540" s="42"/>
      <c r="CO540" s="42"/>
      <c r="CP540" s="42"/>
      <c r="CQ540" s="42"/>
      <c r="CR540" s="42"/>
      <c r="CS540" s="42"/>
      <c r="CT540" s="42"/>
      <c r="CU540" s="42"/>
      <c r="CV540" s="42"/>
      <c r="CW540" s="42"/>
      <c r="CX540" s="42"/>
      <c r="CY540" s="42"/>
      <c r="CZ540" s="42"/>
      <c r="DA540" s="42"/>
      <c r="DB540" s="42"/>
      <c r="DC540" s="42"/>
      <c r="DD540" s="42"/>
      <c r="DE540" s="42"/>
      <c r="DF540" s="42"/>
      <c r="DG540" s="42"/>
      <c r="DH540" s="42"/>
      <c r="DI540" s="42"/>
      <c r="DJ540" s="42"/>
      <c r="DK540" s="42"/>
      <c r="DL540" s="42"/>
      <c r="DM540" s="42"/>
      <c r="DN540" s="42"/>
      <c r="DO540" s="42"/>
      <c r="DP540" s="42"/>
      <c r="DQ540" s="42"/>
      <c r="DR540" s="42"/>
      <c r="DS540" s="42"/>
      <c r="DT540" s="42"/>
      <c r="DU540" s="42"/>
      <c r="DV540" s="42"/>
      <c r="DW540" s="42"/>
      <c r="DX540" s="42"/>
      <c r="DY540" s="42"/>
      <c r="DZ540" s="42"/>
      <c r="EA540" s="42"/>
      <c r="EB540" s="42"/>
      <c r="EC540" s="42"/>
      <c r="ED540" s="42"/>
      <c r="EE540" s="42"/>
      <c r="EF540" s="42"/>
      <c r="EG540" s="42"/>
      <c r="EH540" s="42"/>
      <c r="EI540" s="42"/>
      <c r="EJ540" s="42"/>
      <c r="EK540" s="42"/>
      <c r="EL540" s="42"/>
      <c r="EM540" s="42"/>
      <c r="EN540" s="42"/>
      <c r="EO540" s="42"/>
      <c r="EP540" s="42"/>
      <c r="EQ540" s="42"/>
      <c r="ER540" s="42"/>
      <c r="ES540" s="42"/>
      <c r="ET540" s="42"/>
      <c r="EU540" s="42"/>
      <c r="EV540" s="42"/>
      <c r="EW540" s="42"/>
      <c r="EX540" s="42"/>
      <c r="EY540" s="42"/>
      <c r="EZ540" s="42"/>
      <c r="FA540" s="42"/>
      <c r="FB540" s="42"/>
      <c r="FC540" s="42"/>
      <c r="FD540" s="42"/>
      <c r="FE540" s="42"/>
      <c r="FF540" s="42"/>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row>
    <row r="541" spans="1:256" ht="13.8" x14ac:dyDescent="0.3">
      <c r="A541" s="42"/>
      <c r="B541" s="42"/>
      <c r="C541" s="42"/>
      <c r="D541" s="42"/>
      <c r="E541" s="42"/>
      <c r="F541" s="42"/>
      <c r="G541" s="42"/>
      <c r="H541" s="42"/>
      <c r="I541" s="42"/>
      <c r="J541" s="42"/>
      <c r="K541" s="42"/>
      <c r="L541" s="42"/>
      <c r="M541" s="42"/>
      <c r="N541" s="42"/>
      <c r="O541" s="42"/>
      <c r="P541" s="42"/>
      <c r="Q541" s="42"/>
      <c r="R541" s="42"/>
      <c r="S541" s="42"/>
      <c r="T541" s="42"/>
      <c r="U541" s="194"/>
      <c r="V541" s="42"/>
      <c r="W541" s="42"/>
      <c r="X541" s="42"/>
      <c r="Y541" s="42"/>
      <c r="Z541" s="42"/>
      <c r="AA541" s="42"/>
      <c r="AB541" s="195"/>
      <c r="AC541" s="42"/>
      <c r="AD541" s="42"/>
      <c r="AE541" s="195"/>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c r="BM541" s="42"/>
      <c r="BN541" s="42"/>
      <c r="BO541" s="42"/>
      <c r="BP541" s="42"/>
      <c r="BQ541" s="42"/>
      <c r="BR541" s="42"/>
      <c r="BS541" s="42"/>
      <c r="BT541" s="42"/>
      <c r="BU541" s="42"/>
      <c r="BV541" s="42"/>
      <c r="BW541" s="42"/>
      <c r="BX541" s="42"/>
      <c r="BY541" s="42"/>
      <c r="BZ541" s="42"/>
      <c r="CA541" s="42"/>
      <c r="CB541" s="42"/>
      <c r="CC541" s="42"/>
      <c r="CD541" s="42"/>
      <c r="CE541" s="42"/>
      <c r="CF541" s="42"/>
      <c r="CG541" s="42"/>
      <c r="CH541" s="42"/>
      <c r="CI541" s="42"/>
      <c r="CJ541" s="42"/>
      <c r="CK541" s="42"/>
      <c r="CL541" s="42"/>
      <c r="CM541" s="42"/>
      <c r="CN541" s="42"/>
      <c r="CO541" s="42"/>
      <c r="CP541" s="42"/>
      <c r="CQ541" s="42"/>
      <c r="CR541" s="42"/>
      <c r="CS541" s="42"/>
      <c r="CT541" s="42"/>
      <c r="CU541" s="42"/>
      <c r="CV541" s="42"/>
      <c r="CW541" s="42"/>
      <c r="CX541" s="42"/>
      <c r="CY541" s="42"/>
      <c r="CZ541" s="42"/>
      <c r="DA541" s="42"/>
      <c r="DB541" s="42"/>
      <c r="DC541" s="42"/>
      <c r="DD541" s="42"/>
      <c r="DE541" s="42"/>
      <c r="DF541" s="42"/>
      <c r="DG541" s="42"/>
      <c r="DH541" s="42"/>
      <c r="DI541" s="42"/>
      <c r="DJ541" s="42"/>
      <c r="DK541" s="42"/>
      <c r="DL541" s="42"/>
      <c r="DM541" s="42"/>
      <c r="DN541" s="42"/>
      <c r="DO541" s="42"/>
      <c r="DP541" s="42"/>
      <c r="DQ541" s="42"/>
      <c r="DR541" s="42"/>
      <c r="DS541" s="42"/>
      <c r="DT541" s="42"/>
      <c r="DU541" s="42"/>
      <c r="DV541" s="42"/>
      <c r="DW541" s="42"/>
      <c r="DX541" s="42"/>
      <c r="DY541" s="42"/>
      <c r="DZ541" s="42"/>
      <c r="EA541" s="42"/>
      <c r="EB541" s="42"/>
      <c r="EC541" s="42"/>
      <c r="ED541" s="42"/>
      <c r="EE541" s="42"/>
      <c r="EF541" s="42"/>
      <c r="EG541" s="42"/>
      <c r="EH541" s="42"/>
      <c r="EI541" s="42"/>
      <c r="EJ541" s="42"/>
      <c r="EK541" s="42"/>
      <c r="EL541" s="42"/>
      <c r="EM541" s="42"/>
      <c r="EN541" s="42"/>
      <c r="EO541" s="42"/>
      <c r="EP541" s="42"/>
      <c r="EQ541" s="42"/>
      <c r="ER541" s="42"/>
      <c r="ES541" s="42"/>
      <c r="ET541" s="42"/>
      <c r="EU541" s="42"/>
      <c r="EV541" s="42"/>
      <c r="EW541" s="42"/>
      <c r="EX541" s="42"/>
      <c r="EY541" s="42"/>
      <c r="EZ541" s="42"/>
      <c r="FA541" s="42"/>
      <c r="FB541" s="42"/>
      <c r="FC541" s="42"/>
      <c r="FD541" s="42"/>
      <c r="FE541" s="42"/>
      <c r="FF541" s="42"/>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row>
    <row r="542" spans="1:256" ht="13.8" x14ac:dyDescent="0.3">
      <c r="A542" s="42"/>
      <c r="B542" s="42"/>
      <c r="C542" s="42"/>
      <c r="D542" s="42"/>
      <c r="E542" s="42"/>
      <c r="F542" s="42"/>
      <c r="G542" s="42"/>
      <c r="H542" s="42"/>
      <c r="I542" s="42"/>
      <c r="J542" s="42"/>
      <c r="K542" s="42"/>
      <c r="L542" s="42"/>
      <c r="M542" s="42"/>
      <c r="N542" s="42"/>
      <c r="O542" s="42"/>
      <c r="P542" s="42"/>
      <c r="Q542" s="42"/>
      <c r="R542" s="42"/>
      <c r="S542" s="42"/>
      <c r="T542" s="42"/>
      <c r="U542" s="194"/>
      <c r="V542" s="42"/>
      <c r="W542" s="42"/>
      <c r="X542" s="42"/>
      <c r="Y542" s="42"/>
      <c r="Z542" s="42"/>
      <c r="AA542" s="42"/>
      <c r="AB542" s="195"/>
      <c r="AC542" s="42"/>
      <c r="AD542" s="42"/>
      <c r="AE542" s="195"/>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c r="BM542" s="42"/>
      <c r="BN542" s="42"/>
      <c r="BO542" s="42"/>
      <c r="BP542" s="42"/>
      <c r="BQ542" s="42"/>
      <c r="BR542" s="42"/>
      <c r="BS542" s="42"/>
      <c r="BT542" s="42"/>
      <c r="BU542" s="42"/>
      <c r="BV542" s="42"/>
      <c r="BW542" s="42"/>
      <c r="BX542" s="42"/>
      <c r="BY542" s="42"/>
      <c r="BZ542" s="42"/>
      <c r="CA542" s="42"/>
      <c r="CB542" s="42"/>
      <c r="CC542" s="42"/>
      <c r="CD542" s="42"/>
      <c r="CE542" s="42"/>
      <c r="CF542" s="42"/>
      <c r="CG542" s="42"/>
      <c r="CH542" s="42"/>
      <c r="CI542" s="42"/>
      <c r="CJ542" s="42"/>
      <c r="CK542" s="42"/>
      <c r="CL542" s="42"/>
      <c r="CM542" s="42"/>
      <c r="CN542" s="42"/>
      <c r="CO542" s="42"/>
      <c r="CP542" s="42"/>
      <c r="CQ542" s="42"/>
      <c r="CR542" s="42"/>
      <c r="CS542" s="42"/>
      <c r="CT542" s="42"/>
      <c r="CU542" s="42"/>
      <c r="CV542" s="42"/>
      <c r="CW542" s="42"/>
      <c r="CX542" s="42"/>
      <c r="CY542" s="42"/>
      <c r="CZ542" s="42"/>
      <c r="DA542" s="42"/>
      <c r="DB542" s="42"/>
      <c r="DC542" s="42"/>
      <c r="DD542" s="42"/>
      <c r="DE542" s="42"/>
      <c r="DF542" s="42"/>
      <c r="DG542" s="42"/>
      <c r="DH542" s="42"/>
      <c r="DI542" s="42"/>
      <c r="DJ542" s="42"/>
      <c r="DK542" s="42"/>
      <c r="DL542" s="42"/>
      <c r="DM542" s="42"/>
      <c r="DN542" s="42"/>
      <c r="DO542" s="42"/>
      <c r="DP542" s="42"/>
      <c r="DQ542" s="42"/>
      <c r="DR542" s="42"/>
      <c r="DS542" s="42"/>
      <c r="DT542" s="42"/>
      <c r="DU542" s="42"/>
      <c r="DV542" s="42"/>
      <c r="DW542" s="42"/>
      <c r="DX542" s="42"/>
      <c r="DY542" s="42"/>
      <c r="DZ542" s="42"/>
      <c r="EA542" s="42"/>
      <c r="EB542" s="42"/>
      <c r="EC542" s="42"/>
      <c r="ED542" s="42"/>
      <c r="EE542" s="42"/>
      <c r="EF542" s="42"/>
      <c r="EG542" s="42"/>
      <c r="EH542" s="42"/>
      <c r="EI542" s="42"/>
      <c r="EJ542" s="42"/>
      <c r="EK542" s="42"/>
      <c r="EL542" s="42"/>
      <c r="EM542" s="42"/>
      <c r="EN542" s="42"/>
      <c r="EO542" s="42"/>
      <c r="EP542" s="42"/>
      <c r="EQ542" s="42"/>
      <c r="ER542" s="42"/>
      <c r="ES542" s="42"/>
      <c r="ET542" s="42"/>
      <c r="EU542" s="42"/>
      <c r="EV542" s="42"/>
      <c r="EW542" s="42"/>
      <c r="EX542" s="42"/>
      <c r="EY542" s="42"/>
      <c r="EZ542" s="42"/>
      <c r="FA542" s="42"/>
      <c r="FB542" s="42"/>
      <c r="FC542" s="42"/>
      <c r="FD542" s="42"/>
      <c r="FE542" s="42"/>
      <c r="FF542" s="42"/>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row>
    <row r="543" spans="1:256" ht="13.8" x14ac:dyDescent="0.3">
      <c r="A543" s="42"/>
      <c r="B543" s="42"/>
      <c r="C543" s="42"/>
      <c r="D543" s="42"/>
      <c r="E543" s="42"/>
      <c r="F543" s="42"/>
      <c r="G543" s="42"/>
      <c r="H543" s="42"/>
      <c r="I543" s="42"/>
      <c r="J543" s="42"/>
      <c r="K543" s="42"/>
      <c r="L543" s="42"/>
      <c r="M543" s="42"/>
      <c r="N543" s="42"/>
      <c r="O543" s="42"/>
      <c r="P543" s="42"/>
      <c r="Q543" s="42"/>
      <c r="R543" s="42"/>
      <c r="S543" s="42"/>
      <c r="T543" s="42"/>
      <c r="U543" s="194"/>
      <c r="V543" s="42"/>
      <c r="W543" s="42"/>
      <c r="X543" s="42"/>
      <c r="Y543" s="42"/>
      <c r="Z543" s="42"/>
      <c r="AA543" s="42"/>
      <c r="AB543" s="195"/>
      <c r="AC543" s="42"/>
      <c r="AD543" s="42"/>
      <c r="AE543" s="195"/>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c r="BM543" s="42"/>
      <c r="BN543" s="42"/>
      <c r="BO543" s="42"/>
      <c r="BP543" s="42"/>
      <c r="BQ543" s="42"/>
      <c r="BR543" s="42"/>
      <c r="BS543" s="42"/>
      <c r="BT543" s="42"/>
      <c r="BU543" s="42"/>
      <c r="BV543" s="42"/>
      <c r="BW543" s="42"/>
      <c r="BX543" s="42"/>
      <c r="BY543" s="42"/>
      <c r="BZ543" s="42"/>
      <c r="CA543" s="42"/>
      <c r="CB543" s="42"/>
      <c r="CC543" s="42"/>
      <c r="CD543" s="42"/>
      <c r="CE543" s="42"/>
      <c r="CF543" s="42"/>
      <c r="CG543" s="42"/>
      <c r="CH543" s="42"/>
      <c r="CI543" s="42"/>
      <c r="CJ543" s="42"/>
      <c r="CK543" s="42"/>
      <c r="CL543" s="42"/>
      <c r="CM543" s="42"/>
      <c r="CN543" s="42"/>
      <c r="CO543" s="42"/>
      <c r="CP543" s="42"/>
      <c r="CQ543" s="42"/>
      <c r="CR543" s="42"/>
      <c r="CS543" s="42"/>
      <c r="CT543" s="42"/>
      <c r="CU543" s="42"/>
      <c r="CV543" s="42"/>
      <c r="CW543" s="42"/>
      <c r="CX543" s="42"/>
      <c r="CY543" s="42"/>
      <c r="CZ543" s="42"/>
      <c r="DA543" s="42"/>
      <c r="DB543" s="42"/>
      <c r="DC543" s="42"/>
      <c r="DD543" s="42"/>
      <c r="DE543" s="42"/>
      <c r="DF543" s="42"/>
      <c r="DG543" s="42"/>
      <c r="DH543" s="42"/>
      <c r="DI543" s="42"/>
      <c r="DJ543" s="42"/>
      <c r="DK543" s="42"/>
      <c r="DL543" s="42"/>
      <c r="DM543" s="42"/>
      <c r="DN543" s="42"/>
      <c r="DO543" s="42"/>
      <c r="DP543" s="42"/>
      <c r="DQ543" s="42"/>
      <c r="DR543" s="42"/>
      <c r="DS543" s="42"/>
      <c r="DT543" s="42"/>
      <c r="DU543" s="42"/>
      <c r="DV543" s="42"/>
      <c r="DW543" s="42"/>
      <c r="DX543" s="42"/>
      <c r="DY543" s="42"/>
      <c r="DZ543" s="42"/>
      <c r="EA543" s="42"/>
      <c r="EB543" s="42"/>
      <c r="EC543" s="42"/>
      <c r="ED543" s="42"/>
      <c r="EE543" s="42"/>
      <c r="EF543" s="42"/>
      <c r="EG543" s="42"/>
      <c r="EH543" s="42"/>
      <c r="EI543" s="42"/>
      <c r="EJ543" s="42"/>
      <c r="EK543" s="42"/>
      <c r="EL543" s="42"/>
      <c r="EM543" s="42"/>
      <c r="EN543" s="42"/>
      <c r="EO543" s="42"/>
      <c r="EP543" s="42"/>
      <c r="EQ543" s="42"/>
      <c r="ER543" s="42"/>
      <c r="ES543" s="42"/>
      <c r="ET543" s="42"/>
      <c r="EU543" s="42"/>
      <c r="EV543" s="42"/>
      <c r="EW543" s="42"/>
      <c r="EX543" s="42"/>
      <c r="EY543" s="42"/>
      <c r="EZ543" s="42"/>
      <c r="FA543" s="42"/>
      <c r="FB543" s="42"/>
      <c r="FC543" s="42"/>
      <c r="FD543" s="42"/>
      <c r="FE543" s="42"/>
      <c r="FF543" s="42"/>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row>
    <row r="544" spans="1:256" ht="13.8" x14ac:dyDescent="0.3">
      <c r="A544" s="42"/>
      <c r="B544" s="42"/>
      <c r="C544" s="42"/>
      <c r="D544" s="42"/>
      <c r="E544" s="42"/>
      <c r="F544" s="42"/>
      <c r="G544" s="42"/>
      <c r="H544" s="42"/>
      <c r="I544" s="42"/>
      <c r="J544" s="42"/>
      <c r="K544" s="42"/>
      <c r="L544" s="42"/>
      <c r="M544" s="42"/>
      <c r="N544" s="42"/>
      <c r="O544" s="42"/>
      <c r="P544" s="42"/>
      <c r="Q544" s="42"/>
      <c r="R544" s="42"/>
      <c r="S544" s="42"/>
      <c r="T544" s="42"/>
      <c r="U544" s="194"/>
      <c r="V544" s="42"/>
      <c r="W544" s="42"/>
      <c r="X544" s="42"/>
      <c r="Y544" s="42"/>
      <c r="Z544" s="42"/>
      <c r="AA544" s="42"/>
      <c r="AB544" s="195"/>
      <c r="AC544" s="42"/>
      <c r="AD544" s="42"/>
      <c r="AE544" s="195"/>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c r="BM544" s="42"/>
      <c r="BN544" s="42"/>
      <c r="BO544" s="42"/>
      <c r="BP544" s="42"/>
      <c r="BQ544" s="42"/>
      <c r="BR544" s="42"/>
      <c r="BS544" s="42"/>
      <c r="BT544" s="42"/>
      <c r="BU544" s="42"/>
      <c r="BV544" s="42"/>
      <c r="BW544" s="42"/>
      <c r="BX544" s="42"/>
      <c r="BY544" s="42"/>
      <c r="BZ544" s="42"/>
      <c r="CA544" s="42"/>
      <c r="CB544" s="42"/>
      <c r="CC544" s="42"/>
      <c r="CD544" s="42"/>
      <c r="CE544" s="42"/>
      <c r="CF544" s="42"/>
      <c r="CG544" s="42"/>
      <c r="CH544" s="42"/>
      <c r="CI544" s="42"/>
      <c r="CJ544" s="42"/>
      <c r="CK544" s="42"/>
      <c r="CL544" s="42"/>
      <c r="CM544" s="42"/>
      <c r="CN544" s="42"/>
      <c r="CO544" s="42"/>
      <c r="CP544" s="42"/>
      <c r="CQ544" s="42"/>
      <c r="CR544" s="42"/>
      <c r="CS544" s="42"/>
      <c r="CT544" s="42"/>
      <c r="CU544" s="42"/>
      <c r="CV544" s="42"/>
      <c r="CW544" s="42"/>
      <c r="CX544" s="42"/>
      <c r="CY544" s="42"/>
      <c r="CZ544" s="42"/>
      <c r="DA544" s="42"/>
      <c r="DB544" s="42"/>
      <c r="DC544" s="42"/>
      <c r="DD544" s="42"/>
      <c r="DE544" s="42"/>
      <c r="DF544" s="42"/>
      <c r="DG544" s="42"/>
      <c r="DH544" s="42"/>
      <c r="DI544" s="42"/>
      <c r="DJ544" s="42"/>
      <c r="DK544" s="42"/>
      <c r="DL544" s="42"/>
      <c r="DM544" s="42"/>
      <c r="DN544" s="42"/>
      <c r="DO544" s="42"/>
      <c r="DP544" s="42"/>
      <c r="DQ544" s="42"/>
      <c r="DR544" s="42"/>
      <c r="DS544" s="42"/>
      <c r="DT544" s="42"/>
      <c r="DU544" s="42"/>
      <c r="DV544" s="42"/>
      <c r="DW544" s="42"/>
      <c r="DX544" s="42"/>
      <c r="DY544" s="42"/>
      <c r="DZ544" s="42"/>
      <c r="EA544" s="42"/>
      <c r="EB544" s="42"/>
      <c r="EC544" s="42"/>
      <c r="ED544" s="42"/>
      <c r="EE544" s="42"/>
      <c r="EF544" s="42"/>
      <c r="EG544" s="42"/>
      <c r="EH544" s="42"/>
      <c r="EI544" s="42"/>
      <c r="EJ544" s="42"/>
      <c r="EK544" s="42"/>
      <c r="EL544" s="42"/>
      <c r="EM544" s="42"/>
      <c r="EN544" s="42"/>
      <c r="EO544" s="42"/>
      <c r="EP544" s="42"/>
      <c r="EQ544" s="42"/>
      <c r="ER544" s="42"/>
      <c r="ES544" s="42"/>
      <c r="ET544" s="42"/>
      <c r="EU544" s="42"/>
      <c r="EV544" s="42"/>
      <c r="EW544" s="42"/>
      <c r="EX544" s="42"/>
      <c r="EY544" s="42"/>
      <c r="EZ544" s="42"/>
      <c r="FA544" s="42"/>
      <c r="FB544" s="42"/>
      <c r="FC544" s="42"/>
      <c r="FD544" s="42"/>
      <c r="FE544" s="42"/>
      <c r="FF544" s="42"/>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row>
    <row r="545" spans="1:256" ht="13.8" x14ac:dyDescent="0.3">
      <c r="A545" s="42"/>
      <c r="B545" s="42"/>
      <c r="C545" s="42"/>
      <c r="D545" s="42"/>
      <c r="E545" s="42"/>
      <c r="F545" s="42"/>
      <c r="G545" s="42"/>
      <c r="H545" s="42"/>
      <c r="I545" s="42"/>
      <c r="J545" s="42"/>
      <c r="K545" s="42"/>
      <c r="L545" s="42"/>
      <c r="M545" s="42"/>
      <c r="N545" s="42"/>
      <c r="O545" s="42"/>
      <c r="P545" s="42"/>
      <c r="Q545" s="42"/>
      <c r="R545" s="42"/>
      <c r="S545" s="42"/>
      <c r="T545" s="42"/>
      <c r="U545" s="194"/>
      <c r="V545" s="42"/>
      <c r="W545" s="42"/>
      <c r="X545" s="42"/>
      <c r="Y545" s="42"/>
      <c r="Z545" s="42"/>
      <c r="AA545" s="42"/>
      <c r="AB545" s="195"/>
      <c r="AC545" s="42"/>
      <c r="AD545" s="42"/>
      <c r="AE545" s="195"/>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c r="BM545" s="42"/>
      <c r="BN545" s="42"/>
      <c r="BO545" s="42"/>
      <c r="BP545" s="42"/>
      <c r="BQ545" s="42"/>
      <c r="BR545" s="42"/>
      <c r="BS545" s="42"/>
      <c r="BT545" s="42"/>
      <c r="BU545" s="42"/>
      <c r="BV545" s="42"/>
      <c r="BW545" s="42"/>
      <c r="BX545" s="42"/>
      <c r="BY545" s="42"/>
      <c r="BZ545" s="42"/>
      <c r="CA545" s="42"/>
      <c r="CB545" s="42"/>
      <c r="CC545" s="42"/>
      <c r="CD545" s="42"/>
      <c r="CE545" s="42"/>
      <c r="CF545" s="42"/>
      <c r="CG545" s="42"/>
      <c r="CH545" s="42"/>
      <c r="CI545" s="42"/>
      <c r="CJ545" s="42"/>
      <c r="CK545" s="42"/>
      <c r="CL545" s="42"/>
      <c r="CM545" s="42"/>
      <c r="CN545" s="42"/>
      <c r="CO545" s="42"/>
      <c r="CP545" s="42"/>
      <c r="CQ545" s="42"/>
      <c r="CR545" s="42"/>
      <c r="CS545" s="42"/>
      <c r="CT545" s="42"/>
      <c r="CU545" s="42"/>
      <c r="CV545" s="42"/>
      <c r="CW545" s="42"/>
      <c r="CX545" s="42"/>
      <c r="CY545" s="42"/>
      <c r="CZ545" s="42"/>
      <c r="DA545" s="42"/>
      <c r="DB545" s="42"/>
      <c r="DC545" s="42"/>
      <c r="DD545" s="42"/>
      <c r="DE545" s="42"/>
      <c r="DF545" s="42"/>
      <c r="DG545" s="42"/>
      <c r="DH545" s="42"/>
      <c r="DI545" s="42"/>
      <c r="DJ545" s="42"/>
      <c r="DK545" s="42"/>
      <c r="DL545" s="42"/>
      <c r="DM545" s="42"/>
      <c r="DN545" s="42"/>
      <c r="DO545" s="42"/>
      <c r="DP545" s="42"/>
      <c r="DQ545" s="42"/>
      <c r="DR545" s="42"/>
      <c r="DS545" s="42"/>
      <c r="DT545" s="42"/>
      <c r="DU545" s="42"/>
      <c r="DV545" s="42"/>
      <c r="DW545" s="42"/>
      <c r="DX545" s="42"/>
      <c r="DY545" s="42"/>
      <c r="DZ545" s="42"/>
      <c r="EA545" s="42"/>
      <c r="EB545" s="42"/>
      <c r="EC545" s="42"/>
      <c r="ED545" s="42"/>
      <c r="EE545" s="42"/>
      <c r="EF545" s="42"/>
      <c r="EG545" s="42"/>
      <c r="EH545" s="42"/>
      <c r="EI545" s="42"/>
      <c r="EJ545" s="42"/>
      <c r="EK545" s="42"/>
      <c r="EL545" s="42"/>
      <c r="EM545" s="42"/>
      <c r="EN545" s="42"/>
      <c r="EO545" s="42"/>
      <c r="EP545" s="42"/>
      <c r="EQ545" s="42"/>
      <c r="ER545" s="42"/>
      <c r="ES545" s="42"/>
      <c r="ET545" s="42"/>
      <c r="EU545" s="42"/>
      <c r="EV545" s="42"/>
      <c r="EW545" s="42"/>
      <c r="EX545" s="42"/>
      <c r="EY545" s="42"/>
      <c r="EZ545" s="42"/>
      <c r="FA545" s="42"/>
      <c r="FB545" s="42"/>
      <c r="FC545" s="42"/>
      <c r="FD545" s="42"/>
      <c r="FE545" s="42"/>
      <c r="FF545" s="42"/>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row>
    <row r="546" spans="1:256" ht="13.8" x14ac:dyDescent="0.3">
      <c r="A546" s="42"/>
      <c r="B546" s="42"/>
      <c r="C546" s="42"/>
      <c r="D546" s="42"/>
      <c r="E546" s="42"/>
      <c r="F546" s="42"/>
      <c r="G546" s="42"/>
      <c r="H546" s="42"/>
      <c r="I546" s="42"/>
      <c r="J546" s="42"/>
      <c r="K546" s="42"/>
      <c r="L546" s="42"/>
      <c r="M546" s="42"/>
      <c r="N546" s="42"/>
      <c r="O546" s="42"/>
      <c r="P546" s="42"/>
      <c r="Q546" s="42"/>
      <c r="R546" s="42"/>
      <c r="S546" s="42"/>
      <c r="T546" s="42"/>
      <c r="U546" s="194"/>
      <c r="V546" s="42"/>
      <c r="W546" s="42"/>
      <c r="X546" s="42"/>
      <c r="Y546" s="42"/>
      <c r="Z546" s="42"/>
      <c r="AA546" s="42"/>
      <c r="AB546" s="195"/>
      <c r="AC546" s="42"/>
      <c r="AD546" s="42"/>
      <c r="AE546" s="195"/>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c r="BM546" s="42"/>
      <c r="BN546" s="42"/>
      <c r="BO546" s="42"/>
      <c r="BP546" s="42"/>
      <c r="BQ546" s="42"/>
      <c r="BR546" s="42"/>
      <c r="BS546" s="42"/>
      <c r="BT546" s="42"/>
      <c r="BU546" s="42"/>
      <c r="BV546" s="42"/>
      <c r="BW546" s="42"/>
      <c r="BX546" s="42"/>
      <c r="BY546" s="42"/>
      <c r="BZ546" s="42"/>
      <c r="CA546" s="42"/>
      <c r="CB546" s="42"/>
      <c r="CC546" s="42"/>
      <c r="CD546" s="42"/>
      <c r="CE546" s="42"/>
      <c r="CF546" s="42"/>
      <c r="CG546" s="42"/>
      <c r="CH546" s="42"/>
      <c r="CI546" s="42"/>
      <c r="CJ546" s="42"/>
      <c r="CK546" s="42"/>
      <c r="CL546" s="42"/>
      <c r="CM546" s="42"/>
      <c r="CN546" s="42"/>
      <c r="CO546" s="42"/>
      <c r="CP546" s="42"/>
      <c r="CQ546" s="42"/>
      <c r="CR546" s="42"/>
      <c r="CS546" s="42"/>
      <c r="CT546" s="42"/>
      <c r="CU546" s="42"/>
      <c r="CV546" s="42"/>
      <c r="CW546" s="42"/>
      <c r="CX546" s="42"/>
      <c r="CY546" s="42"/>
      <c r="CZ546" s="42"/>
      <c r="DA546" s="42"/>
      <c r="DB546" s="42"/>
      <c r="DC546" s="42"/>
      <c r="DD546" s="42"/>
      <c r="DE546" s="42"/>
      <c r="DF546" s="42"/>
      <c r="DG546" s="42"/>
      <c r="DH546" s="42"/>
      <c r="DI546" s="42"/>
      <c r="DJ546" s="42"/>
      <c r="DK546" s="42"/>
      <c r="DL546" s="42"/>
      <c r="DM546" s="42"/>
      <c r="DN546" s="42"/>
      <c r="DO546" s="42"/>
      <c r="DP546" s="42"/>
      <c r="DQ546" s="42"/>
      <c r="DR546" s="42"/>
      <c r="DS546" s="42"/>
      <c r="DT546" s="42"/>
      <c r="DU546" s="42"/>
      <c r="DV546" s="42"/>
      <c r="DW546" s="42"/>
      <c r="DX546" s="42"/>
      <c r="DY546" s="42"/>
      <c r="DZ546" s="42"/>
      <c r="EA546" s="42"/>
      <c r="EB546" s="42"/>
      <c r="EC546" s="42"/>
      <c r="ED546" s="42"/>
      <c r="EE546" s="42"/>
      <c r="EF546" s="42"/>
      <c r="EG546" s="42"/>
      <c r="EH546" s="42"/>
      <c r="EI546" s="42"/>
      <c r="EJ546" s="42"/>
      <c r="EK546" s="42"/>
      <c r="EL546" s="42"/>
      <c r="EM546" s="42"/>
      <c r="EN546" s="42"/>
      <c r="EO546" s="42"/>
      <c r="EP546" s="42"/>
      <c r="EQ546" s="42"/>
      <c r="ER546" s="42"/>
      <c r="ES546" s="42"/>
      <c r="ET546" s="42"/>
      <c r="EU546" s="42"/>
      <c r="EV546" s="42"/>
      <c r="EW546" s="42"/>
      <c r="EX546" s="42"/>
      <c r="EY546" s="42"/>
      <c r="EZ546" s="42"/>
      <c r="FA546" s="42"/>
      <c r="FB546" s="42"/>
      <c r="FC546" s="42"/>
      <c r="FD546" s="42"/>
      <c r="FE546" s="42"/>
      <c r="FF546" s="42"/>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row>
    <row r="547" spans="1:256" ht="13.8" x14ac:dyDescent="0.3">
      <c r="A547" s="42"/>
      <c r="B547" s="42"/>
      <c r="C547" s="42"/>
      <c r="D547" s="42"/>
      <c r="E547" s="42"/>
      <c r="F547" s="42"/>
      <c r="G547" s="42"/>
      <c r="H547" s="42"/>
      <c r="I547" s="42"/>
      <c r="J547" s="42"/>
      <c r="K547" s="42"/>
      <c r="L547" s="42"/>
      <c r="M547" s="42"/>
      <c r="N547" s="42"/>
      <c r="O547" s="42"/>
      <c r="P547" s="42"/>
      <c r="Q547" s="42"/>
      <c r="R547" s="42"/>
      <c r="S547" s="42"/>
      <c r="T547" s="42"/>
      <c r="U547" s="194"/>
      <c r="V547" s="42"/>
      <c r="W547" s="42"/>
      <c r="X547" s="42"/>
      <c r="Y547" s="42"/>
      <c r="Z547" s="42"/>
      <c r="AA547" s="42"/>
      <c r="AB547" s="195"/>
      <c r="AC547" s="42"/>
      <c r="AD547" s="42"/>
      <c r="AE547" s="195"/>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c r="BM547" s="42"/>
      <c r="BN547" s="42"/>
      <c r="BO547" s="42"/>
      <c r="BP547" s="42"/>
      <c r="BQ547" s="42"/>
      <c r="BR547" s="42"/>
      <c r="BS547" s="42"/>
      <c r="BT547" s="42"/>
      <c r="BU547" s="42"/>
      <c r="BV547" s="42"/>
      <c r="BW547" s="42"/>
      <c r="BX547" s="42"/>
      <c r="BY547" s="42"/>
      <c r="BZ547" s="42"/>
      <c r="CA547" s="42"/>
      <c r="CB547" s="42"/>
      <c r="CC547" s="42"/>
      <c r="CD547" s="42"/>
      <c r="CE547" s="42"/>
      <c r="CF547" s="42"/>
      <c r="CG547" s="42"/>
      <c r="CH547" s="42"/>
      <c r="CI547" s="42"/>
      <c r="CJ547" s="42"/>
      <c r="CK547" s="42"/>
      <c r="CL547" s="42"/>
      <c r="CM547" s="42"/>
      <c r="CN547" s="42"/>
      <c r="CO547" s="42"/>
      <c r="CP547" s="42"/>
      <c r="CQ547" s="42"/>
      <c r="CR547" s="42"/>
      <c r="CS547" s="42"/>
      <c r="CT547" s="42"/>
      <c r="CU547" s="42"/>
      <c r="CV547" s="42"/>
      <c r="CW547" s="42"/>
      <c r="CX547" s="42"/>
      <c r="CY547" s="42"/>
      <c r="CZ547" s="42"/>
      <c r="DA547" s="42"/>
      <c r="DB547" s="42"/>
      <c r="DC547" s="42"/>
      <c r="DD547" s="42"/>
      <c r="DE547" s="42"/>
      <c r="DF547" s="42"/>
      <c r="DG547" s="42"/>
      <c r="DH547" s="42"/>
      <c r="DI547" s="42"/>
      <c r="DJ547" s="42"/>
      <c r="DK547" s="42"/>
      <c r="DL547" s="42"/>
      <c r="DM547" s="42"/>
      <c r="DN547" s="42"/>
      <c r="DO547" s="42"/>
      <c r="DP547" s="42"/>
      <c r="DQ547" s="42"/>
      <c r="DR547" s="42"/>
      <c r="DS547" s="42"/>
      <c r="DT547" s="42"/>
      <c r="DU547" s="42"/>
      <c r="DV547" s="42"/>
      <c r="DW547" s="42"/>
      <c r="DX547" s="42"/>
      <c r="DY547" s="42"/>
      <c r="DZ547" s="42"/>
      <c r="EA547" s="42"/>
      <c r="EB547" s="42"/>
      <c r="EC547" s="42"/>
      <c r="ED547" s="42"/>
      <c r="EE547" s="42"/>
      <c r="EF547" s="42"/>
      <c r="EG547" s="42"/>
      <c r="EH547" s="42"/>
      <c r="EI547" s="42"/>
      <c r="EJ547" s="42"/>
      <c r="EK547" s="42"/>
      <c r="EL547" s="42"/>
      <c r="EM547" s="42"/>
      <c r="EN547" s="42"/>
      <c r="EO547" s="42"/>
      <c r="EP547" s="42"/>
      <c r="EQ547" s="42"/>
      <c r="ER547" s="42"/>
      <c r="ES547" s="42"/>
      <c r="ET547" s="42"/>
      <c r="EU547" s="42"/>
      <c r="EV547" s="42"/>
      <c r="EW547" s="42"/>
      <c r="EX547" s="42"/>
      <c r="EY547" s="42"/>
      <c r="EZ547" s="42"/>
      <c r="FA547" s="42"/>
      <c r="FB547" s="42"/>
      <c r="FC547" s="42"/>
      <c r="FD547" s="42"/>
      <c r="FE547" s="42"/>
      <c r="FF547" s="42"/>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row>
    <row r="548" spans="1:256" ht="13.8" x14ac:dyDescent="0.3">
      <c r="A548" s="42"/>
      <c r="B548" s="42"/>
      <c r="C548" s="42"/>
      <c r="D548" s="42"/>
      <c r="E548" s="42"/>
      <c r="F548" s="42"/>
      <c r="G548" s="42"/>
      <c r="H548" s="42"/>
      <c r="I548" s="42"/>
      <c r="J548" s="42"/>
      <c r="K548" s="42"/>
      <c r="L548" s="42"/>
      <c r="M548" s="42"/>
      <c r="N548" s="42"/>
      <c r="O548" s="42"/>
      <c r="P548" s="42"/>
      <c r="Q548" s="42"/>
      <c r="R548" s="42"/>
      <c r="S548" s="42"/>
      <c r="T548" s="42"/>
      <c r="U548" s="194"/>
      <c r="V548" s="42"/>
      <c r="W548" s="42"/>
      <c r="X548" s="42"/>
      <c r="Y548" s="42"/>
      <c r="Z548" s="42"/>
      <c r="AA548" s="42"/>
      <c r="AB548" s="195"/>
      <c r="AC548" s="42"/>
      <c r="AD548" s="42"/>
      <c r="AE548" s="195"/>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c r="BM548" s="42"/>
      <c r="BN548" s="42"/>
      <c r="BO548" s="42"/>
      <c r="BP548" s="42"/>
      <c r="BQ548" s="42"/>
      <c r="BR548" s="42"/>
      <c r="BS548" s="42"/>
      <c r="BT548" s="42"/>
      <c r="BU548" s="42"/>
      <c r="BV548" s="42"/>
      <c r="BW548" s="42"/>
      <c r="BX548" s="42"/>
      <c r="BY548" s="42"/>
      <c r="BZ548" s="42"/>
      <c r="CA548" s="42"/>
      <c r="CB548" s="42"/>
      <c r="CC548" s="42"/>
      <c r="CD548" s="42"/>
      <c r="CE548" s="42"/>
      <c r="CF548" s="42"/>
      <c r="CG548" s="42"/>
      <c r="CH548" s="42"/>
      <c r="CI548" s="42"/>
      <c r="CJ548" s="42"/>
      <c r="CK548" s="42"/>
      <c r="CL548" s="42"/>
      <c r="CM548" s="42"/>
      <c r="CN548" s="42"/>
      <c r="CO548" s="42"/>
      <c r="CP548" s="42"/>
      <c r="CQ548" s="42"/>
      <c r="CR548" s="42"/>
      <c r="CS548" s="42"/>
      <c r="CT548" s="42"/>
      <c r="CU548" s="42"/>
      <c r="CV548" s="42"/>
      <c r="CW548" s="42"/>
      <c r="CX548" s="42"/>
      <c r="CY548" s="42"/>
      <c r="CZ548" s="42"/>
      <c r="DA548" s="42"/>
      <c r="DB548" s="42"/>
      <c r="DC548" s="42"/>
      <c r="DD548" s="42"/>
      <c r="DE548" s="42"/>
      <c r="DF548" s="42"/>
      <c r="DG548" s="42"/>
      <c r="DH548" s="42"/>
      <c r="DI548" s="42"/>
      <c r="DJ548" s="42"/>
      <c r="DK548" s="42"/>
      <c r="DL548" s="42"/>
      <c r="DM548" s="42"/>
      <c r="DN548" s="42"/>
      <c r="DO548" s="42"/>
      <c r="DP548" s="42"/>
      <c r="DQ548" s="42"/>
      <c r="DR548" s="42"/>
      <c r="DS548" s="42"/>
      <c r="DT548" s="42"/>
      <c r="DU548" s="42"/>
      <c r="DV548" s="42"/>
      <c r="DW548" s="42"/>
      <c r="DX548" s="42"/>
      <c r="DY548" s="42"/>
      <c r="DZ548" s="42"/>
      <c r="EA548" s="42"/>
      <c r="EB548" s="42"/>
      <c r="EC548" s="42"/>
      <c r="ED548" s="42"/>
      <c r="EE548" s="42"/>
      <c r="EF548" s="42"/>
      <c r="EG548" s="42"/>
      <c r="EH548" s="42"/>
      <c r="EI548" s="42"/>
      <c r="EJ548" s="42"/>
      <c r="EK548" s="42"/>
      <c r="EL548" s="42"/>
      <c r="EM548" s="42"/>
      <c r="EN548" s="42"/>
      <c r="EO548" s="42"/>
      <c r="EP548" s="42"/>
      <c r="EQ548" s="42"/>
      <c r="ER548" s="42"/>
      <c r="ES548" s="42"/>
      <c r="ET548" s="42"/>
      <c r="EU548" s="42"/>
      <c r="EV548" s="42"/>
      <c r="EW548" s="42"/>
      <c r="EX548" s="42"/>
      <c r="EY548" s="42"/>
      <c r="EZ548" s="42"/>
      <c r="FA548" s="42"/>
      <c r="FB548" s="42"/>
      <c r="FC548" s="42"/>
      <c r="FD548" s="42"/>
      <c r="FE548" s="42"/>
      <c r="FF548" s="42"/>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row>
    <row r="549" spans="1:256" ht="13.8" x14ac:dyDescent="0.3">
      <c r="A549" s="42"/>
      <c r="B549" s="42"/>
      <c r="C549" s="42"/>
      <c r="D549" s="42"/>
      <c r="E549" s="42"/>
      <c r="F549" s="42"/>
      <c r="G549" s="42"/>
      <c r="H549" s="42"/>
      <c r="I549" s="42"/>
      <c r="J549" s="42"/>
      <c r="K549" s="42"/>
      <c r="L549" s="42"/>
      <c r="M549" s="42"/>
      <c r="N549" s="42"/>
      <c r="O549" s="42"/>
      <c r="P549" s="42"/>
      <c r="Q549" s="42"/>
      <c r="R549" s="42"/>
      <c r="S549" s="42"/>
      <c r="T549" s="42"/>
      <c r="U549" s="194"/>
      <c r="V549" s="42"/>
      <c r="W549" s="42"/>
      <c r="X549" s="42"/>
      <c r="Y549" s="42"/>
      <c r="Z549" s="42"/>
      <c r="AA549" s="42"/>
      <c r="AB549" s="195"/>
      <c r="AC549" s="42"/>
      <c r="AD549" s="42"/>
      <c r="AE549" s="195"/>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c r="BM549" s="42"/>
      <c r="BN549" s="42"/>
      <c r="BO549" s="42"/>
      <c r="BP549" s="42"/>
      <c r="BQ549" s="42"/>
      <c r="BR549" s="42"/>
      <c r="BS549" s="42"/>
      <c r="BT549" s="42"/>
      <c r="BU549" s="42"/>
      <c r="BV549" s="42"/>
      <c r="BW549" s="42"/>
      <c r="BX549" s="42"/>
      <c r="BY549" s="42"/>
      <c r="BZ549" s="42"/>
      <c r="CA549" s="42"/>
      <c r="CB549" s="42"/>
      <c r="CC549" s="42"/>
      <c r="CD549" s="42"/>
      <c r="CE549" s="42"/>
      <c r="CF549" s="42"/>
      <c r="CG549" s="42"/>
      <c r="CH549" s="42"/>
      <c r="CI549" s="42"/>
      <c r="CJ549" s="42"/>
      <c r="CK549" s="42"/>
      <c r="CL549" s="42"/>
      <c r="CM549" s="42"/>
      <c r="CN549" s="42"/>
      <c r="CO549" s="42"/>
      <c r="CP549" s="42"/>
      <c r="CQ549" s="42"/>
      <c r="CR549" s="42"/>
      <c r="CS549" s="42"/>
      <c r="CT549" s="42"/>
      <c r="CU549" s="42"/>
      <c r="CV549" s="42"/>
      <c r="CW549" s="42"/>
      <c r="CX549" s="42"/>
      <c r="CY549" s="42"/>
      <c r="CZ549" s="42"/>
      <c r="DA549" s="42"/>
      <c r="DB549" s="42"/>
      <c r="DC549" s="42"/>
      <c r="DD549" s="42"/>
      <c r="DE549" s="42"/>
      <c r="DF549" s="42"/>
      <c r="DG549" s="42"/>
      <c r="DH549" s="42"/>
      <c r="DI549" s="42"/>
      <c r="DJ549" s="42"/>
      <c r="DK549" s="42"/>
      <c r="DL549" s="42"/>
      <c r="DM549" s="42"/>
      <c r="DN549" s="42"/>
      <c r="DO549" s="42"/>
      <c r="DP549" s="42"/>
      <c r="DQ549" s="42"/>
      <c r="DR549" s="42"/>
      <c r="DS549" s="42"/>
      <c r="DT549" s="42"/>
      <c r="DU549" s="42"/>
      <c r="DV549" s="42"/>
      <c r="DW549" s="42"/>
      <c r="DX549" s="42"/>
      <c r="DY549" s="42"/>
      <c r="DZ549" s="42"/>
      <c r="EA549" s="42"/>
      <c r="EB549" s="42"/>
      <c r="EC549" s="42"/>
      <c r="ED549" s="42"/>
      <c r="EE549" s="42"/>
      <c r="EF549" s="42"/>
      <c r="EG549" s="42"/>
      <c r="EH549" s="42"/>
      <c r="EI549" s="42"/>
      <c r="EJ549" s="42"/>
      <c r="EK549" s="42"/>
      <c r="EL549" s="42"/>
      <c r="EM549" s="42"/>
      <c r="EN549" s="42"/>
      <c r="EO549" s="42"/>
      <c r="EP549" s="42"/>
      <c r="EQ549" s="42"/>
      <c r="ER549" s="42"/>
      <c r="ES549" s="42"/>
      <c r="ET549" s="42"/>
      <c r="EU549" s="42"/>
      <c r="EV549" s="42"/>
      <c r="EW549" s="42"/>
      <c r="EX549" s="42"/>
      <c r="EY549" s="42"/>
      <c r="EZ549" s="42"/>
      <c r="FA549" s="42"/>
      <c r="FB549" s="42"/>
      <c r="FC549" s="42"/>
      <c r="FD549" s="42"/>
      <c r="FE549" s="42"/>
      <c r="FF549" s="42"/>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row>
    <row r="550" spans="1:256" ht="13.8" x14ac:dyDescent="0.3">
      <c r="A550" s="42"/>
      <c r="B550" s="42"/>
      <c r="C550" s="42"/>
      <c r="D550" s="42"/>
      <c r="E550" s="42"/>
      <c r="F550" s="42"/>
      <c r="G550" s="42"/>
      <c r="H550" s="42"/>
      <c r="I550" s="42"/>
      <c r="J550" s="42"/>
      <c r="K550" s="42"/>
      <c r="L550" s="42"/>
      <c r="M550" s="42"/>
      <c r="N550" s="42"/>
      <c r="O550" s="42"/>
      <c r="P550" s="42"/>
      <c r="Q550" s="42"/>
      <c r="R550" s="42"/>
      <c r="S550" s="42"/>
      <c r="T550" s="42"/>
      <c r="U550" s="194"/>
      <c r="V550" s="42"/>
      <c r="W550" s="42"/>
      <c r="X550" s="42"/>
      <c r="Y550" s="42"/>
      <c r="Z550" s="42"/>
      <c r="AA550" s="42"/>
      <c r="AB550" s="195"/>
      <c r="AC550" s="42"/>
      <c r="AD550" s="42"/>
      <c r="AE550" s="195"/>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c r="BM550" s="42"/>
      <c r="BN550" s="42"/>
      <c r="BO550" s="42"/>
      <c r="BP550" s="42"/>
      <c r="BQ550" s="42"/>
      <c r="BR550" s="42"/>
      <c r="BS550" s="42"/>
      <c r="BT550" s="42"/>
      <c r="BU550" s="42"/>
      <c r="BV550" s="42"/>
      <c r="BW550" s="42"/>
      <c r="BX550" s="42"/>
      <c r="BY550" s="42"/>
      <c r="BZ550" s="42"/>
      <c r="CA550" s="42"/>
      <c r="CB550" s="42"/>
      <c r="CC550" s="42"/>
      <c r="CD550" s="42"/>
      <c r="CE550" s="42"/>
      <c r="CF550" s="42"/>
      <c r="CG550" s="42"/>
      <c r="CH550" s="42"/>
      <c r="CI550" s="42"/>
      <c r="CJ550" s="42"/>
      <c r="CK550" s="42"/>
      <c r="CL550" s="42"/>
      <c r="CM550" s="42"/>
      <c r="CN550" s="42"/>
      <c r="CO550" s="42"/>
      <c r="CP550" s="42"/>
      <c r="CQ550" s="42"/>
      <c r="CR550" s="42"/>
      <c r="CS550" s="42"/>
      <c r="CT550" s="42"/>
      <c r="CU550" s="42"/>
      <c r="CV550" s="42"/>
      <c r="CW550" s="42"/>
      <c r="CX550" s="42"/>
      <c r="CY550" s="42"/>
      <c r="CZ550" s="42"/>
      <c r="DA550" s="42"/>
      <c r="DB550" s="42"/>
      <c r="DC550" s="42"/>
      <c r="DD550" s="42"/>
      <c r="DE550" s="42"/>
      <c r="DF550" s="42"/>
      <c r="DG550" s="42"/>
      <c r="DH550" s="42"/>
      <c r="DI550" s="42"/>
      <c r="DJ550" s="42"/>
      <c r="DK550" s="42"/>
      <c r="DL550" s="42"/>
      <c r="DM550" s="42"/>
      <c r="DN550" s="42"/>
      <c r="DO550" s="42"/>
      <c r="DP550" s="42"/>
      <c r="DQ550" s="42"/>
      <c r="DR550" s="42"/>
      <c r="DS550" s="42"/>
      <c r="DT550" s="42"/>
      <c r="DU550" s="42"/>
      <c r="DV550" s="42"/>
      <c r="DW550" s="42"/>
      <c r="DX550" s="42"/>
      <c r="DY550" s="42"/>
      <c r="DZ550" s="42"/>
      <c r="EA550" s="42"/>
      <c r="EB550" s="42"/>
      <c r="EC550" s="42"/>
      <c r="ED550" s="42"/>
      <c r="EE550" s="42"/>
      <c r="EF550" s="42"/>
      <c r="EG550" s="42"/>
      <c r="EH550" s="42"/>
      <c r="EI550" s="42"/>
      <c r="EJ550" s="42"/>
      <c r="EK550" s="42"/>
      <c r="EL550" s="42"/>
      <c r="EM550" s="42"/>
      <c r="EN550" s="42"/>
      <c r="EO550" s="42"/>
      <c r="EP550" s="42"/>
      <c r="EQ550" s="42"/>
      <c r="ER550" s="42"/>
      <c r="ES550" s="42"/>
      <c r="ET550" s="42"/>
      <c r="EU550" s="42"/>
      <c r="EV550" s="42"/>
      <c r="EW550" s="42"/>
      <c r="EX550" s="42"/>
      <c r="EY550" s="42"/>
      <c r="EZ550" s="42"/>
      <c r="FA550" s="42"/>
      <c r="FB550" s="42"/>
      <c r="FC550" s="42"/>
      <c r="FD550" s="42"/>
      <c r="FE550" s="42"/>
      <c r="FF550" s="42"/>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row>
    <row r="551" spans="1:256" ht="13.8" x14ac:dyDescent="0.3">
      <c r="A551" s="42"/>
      <c r="B551" s="42"/>
      <c r="C551" s="42"/>
      <c r="D551" s="42"/>
      <c r="E551" s="42"/>
      <c r="F551" s="42"/>
      <c r="G551" s="42"/>
      <c r="H551" s="42"/>
      <c r="I551" s="42"/>
      <c r="J551" s="42"/>
      <c r="K551" s="42"/>
      <c r="L551" s="42"/>
      <c r="M551" s="42"/>
      <c r="N551" s="42"/>
      <c r="O551" s="42"/>
      <c r="P551" s="42"/>
      <c r="Q551" s="42"/>
      <c r="R551" s="42"/>
      <c r="S551" s="42"/>
      <c r="T551" s="42"/>
      <c r="U551" s="194"/>
      <c r="V551" s="42"/>
      <c r="W551" s="42"/>
      <c r="X551" s="42"/>
      <c r="Y551" s="42"/>
      <c r="Z551" s="42"/>
      <c r="AA551" s="42"/>
      <c r="AB551" s="195"/>
      <c r="AC551" s="42"/>
      <c r="AD551" s="42"/>
      <c r="AE551" s="195"/>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c r="BM551" s="42"/>
      <c r="BN551" s="42"/>
      <c r="BO551" s="42"/>
      <c r="BP551" s="42"/>
      <c r="BQ551" s="42"/>
      <c r="BR551" s="42"/>
      <c r="BS551" s="42"/>
      <c r="BT551" s="42"/>
      <c r="BU551" s="42"/>
      <c r="BV551" s="42"/>
      <c r="BW551" s="42"/>
      <c r="BX551" s="42"/>
      <c r="BY551" s="42"/>
      <c r="BZ551" s="42"/>
      <c r="CA551" s="42"/>
      <c r="CB551" s="42"/>
      <c r="CC551" s="42"/>
      <c r="CD551" s="42"/>
      <c r="CE551" s="42"/>
      <c r="CF551" s="42"/>
      <c r="CG551" s="42"/>
      <c r="CH551" s="42"/>
      <c r="CI551" s="42"/>
      <c r="CJ551" s="42"/>
      <c r="CK551" s="42"/>
      <c r="CL551" s="42"/>
      <c r="CM551" s="42"/>
      <c r="CN551" s="42"/>
      <c r="CO551" s="42"/>
      <c r="CP551" s="42"/>
      <c r="CQ551" s="42"/>
      <c r="CR551" s="42"/>
      <c r="CS551" s="42"/>
      <c r="CT551" s="42"/>
      <c r="CU551" s="42"/>
      <c r="CV551" s="42"/>
      <c r="CW551" s="42"/>
      <c r="CX551" s="42"/>
      <c r="CY551" s="42"/>
      <c r="CZ551" s="42"/>
      <c r="DA551" s="42"/>
      <c r="DB551" s="42"/>
      <c r="DC551" s="42"/>
      <c r="DD551" s="42"/>
      <c r="DE551" s="42"/>
      <c r="DF551" s="42"/>
      <c r="DG551" s="42"/>
      <c r="DH551" s="42"/>
      <c r="DI551" s="42"/>
      <c r="DJ551" s="42"/>
      <c r="DK551" s="42"/>
      <c r="DL551" s="42"/>
      <c r="DM551" s="42"/>
      <c r="DN551" s="42"/>
      <c r="DO551" s="42"/>
      <c r="DP551" s="42"/>
      <c r="DQ551" s="42"/>
      <c r="DR551" s="42"/>
      <c r="DS551" s="42"/>
      <c r="DT551" s="42"/>
      <c r="DU551" s="42"/>
      <c r="DV551" s="42"/>
      <c r="DW551" s="42"/>
      <c r="DX551" s="42"/>
      <c r="DY551" s="42"/>
      <c r="DZ551" s="42"/>
      <c r="EA551" s="42"/>
      <c r="EB551" s="42"/>
      <c r="EC551" s="42"/>
      <c r="ED551" s="42"/>
      <c r="EE551" s="42"/>
      <c r="EF551" s="42"/>
      <c r="EG551" s="42"/>
      <c r="EH551" s="42"/>
      <c r="EI551" s="42"/>
      <c r="EJ551" s="42"/>
      <c r="EK551" s="42"/>
      <c r="EL551" s="42"/>
      <c r="EM551" s="42"/>
      <c r="EN551" s="42"/>
      <c r="EO551" s="42"/>
      <c r="EP551" s="42"/>
      <c r="EQ551" s="42"/>
      <c r="ER551" s="42"/>
      <c r="ES551" s="42"/>
      <c r="ET551" s="42"/>
      <c r="EU551" s="42"/>
      <c r="EV551" s="42"/>
      <c r="EW551" s="42"/>
      <c r="EX551" s="42"/>
      <c r="EY551" s="42"/>
      <c r="EZ551" s="42"/>
      <c r="FA551" s="42"/>
      <c r="FB551" s="42"/>
      <c r="FC551" s="42"/>
      <c r="FD551" s="42"/>
      <c r="FE551" s="42"/>
      <c r="FF551" s="42"/>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row>
    <row r="552" spans="1:256" ht="13.8" x14ac:dyDescent="0.3">
      <c r="A552" s="42"/>
      <c r="B552" s="42"/>
      <c r="C552" s="42"/>
      <c r="D552" s="42"/>
      <c r="E552" s="42"/>
      <c r="F552" s="42"/>
      <c r="G552" s="42"/>
      <c r="H552" s="42"/>
      <c r="I552" s="42"/>
      <c r="J552" s="42"/>
      <c r="K552" s="42"/>
      <c r="L552" s="42"/>
      <c r="M552" s="42"/>
      <c r="N552" s="42"/>
      <c r="O552" s="42"/>
      <c r="P552" s="42"/>
      <c r="Q552" s="42"/>
      <c r="R552" s="42"/>
      <c r="S552" s="42"/>
      <c r="T552" s="42"/>
      <c r="U552" s="194"/>
      <c r="V552" s="42"/>
      <c r="W552" s="42"/>
      <c r="X552" s="42"/>
      <c r="Y552" s="42"/>
      <c r="Z552" s="42"/>
      <c r="AA552" s="42"/>
      <c r="AB552" s="195"/>
      <c r="AC552" s="42"/>
      <c r="AD552" s="42"/>
      <c r="AE552" s="195"/>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c r="BM552" s="42"/>
      <c r="BN552" s="42"/>
      <c r="BO552" s="42"/>
      <c r="BP552" s="42"/>
      <c r="BQ552" s="42"/>
      <c r="BR552" s="42"/>
      <c r="BS552" s="42"/>
      <c r="BT552" s="42"/>
      <c r="BU552" s="42"/>
      <c r="BV552" s="42"/>
      <c r="BW552" s="42"/>
      <c r="BX552" s="42"/>
      <c r="BY552" s="42"/>
      <c r="BZ552" s="42"/>
      <c r="CA552" s="42"/>
      <c r="CB552" s="42"/>
      <c r="CC552" s="42"/>
      <c r="CD552" s="42"/>
      <c r="CE552" s="42"/>
      <c r="CF552" s="42"/>
      <c r="CG552" s="42"/>
      <c r="CH552" s="42"/>
      <c r="CI552" s="42"/>
      <c r="CJ552" s="42"/>
      <c r="CK552" s="42"/>
      <c r="CL552" s="42"/>
      <c r="CM552" s="42"/>
      <c r="CN552" s="42"/>
      <c r="CO552" s="42"/>
      <c r="CP552" s="42"/>
      <c r="CQ552" s="42"/>
      <c r="CR552" s="42"/>
      <c r="CS552" s="42"/>
      <c r="CT552" s="42"/>
      <c r="CU552" s="42"/>
      <c r="CV552" s="42"/>
      <c r="CW552" s="42"/>
      <c r="CX552" s="42"/>
      <c r="CY552" s="42"/>
      <c r="CZ552" s="42"/>
      <c r="DA552" s="42"/>
      <c r="DB552" s="42"/>
      <c r="DC552" s="42"/>
      <c r="DD552" s="42"/>
      <c r="DE552" s="42"/>
      <c r="DF552" s="42"/>
      <c r="DG552" s="42"/>
      <c r="DH552" s="42"/>
      <c r="DI552" s="42"/>
      <c r="DJ552" s="42"/>
      <c r="DK552" s="42"/>
      <c r="DL552" s="42"/>
      <c r="DM552" s="42"/>
      <c r="DN552" s="42"/>
      <c r="DO552" s="42"/>
      <c r="DP552" s="42"/>
      <c r="DQ552" s="42"/>
      <c r="DR552" s="42"/>
      <c r="DS552" s="42"/>
      <c r="DT552" s="42"/>
      <c r="DU552" s="42"/>
      <c r="DV552" s="42"/>
      <c r="DW552" s="42"/>
      <c r="DX552" s="42"/>
      <c r="DY552" s="42"/>
      <c r="DZ552" s="42"/>
      <c r="EA552" s="42"/>
      <c r="EB552" s="42"/>
      <c r="EC552" s="42"/>
      <c r="ED552" s="42"/>
      <c r="EE552" s="42"/>
      <c r="EF552" s="42"/>
      <c r="EG552" s="42"/>
      <c r="EH552" s="42"/>
      <c r="EI552" s="42"/>
      <c r="EJ552" s="42"/>
      <c r="EK552" s="42"/>
      <c r="EL552" s="42"/>
      <c r="EM552" s="42"/>
      <c r="EN552" s="42"/>
      <c r="EO552" s="42"/>
      <c r="EP552" s="42"/>
      <c r="EQ552" s="42"/>
      <c r="ER552" s="42"/>
      <c r="ES552" s="42"/>
      <c r="ET552" s="42"/>
      <c r="EU552" s="42"/>
      <c r="EV552" s="42"/>
      <c r="EW552" s="42"/>
      <c r="EX552" s="42"/>
      <c r="EY552" s="42"/>
      <c r="EZ552" s="42"/>
      <c r="FA552" s="42"/>
      <c r="FB552" s="42"/>
      <c r="FC552" s="42"/>
      <c r="FD552" s="42"/>
      <c r="FE552" s="42"/>
      <c r="FF552" s="42"/>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row>
    <row r="553" spans="1:256" ht="13.8" x14ac:dyDescent="0.3">
      <c r="A553" s="42"/>
      <c r="B553" s="42"/>
      <c r="C553" s="42"/>
      <c r="D553" s="42"/>
      <c r="E553" s="42"/>
      <c r="F553" s="42"/>
      <c r="G553" s="42"/>
      <c r="H553" s="42"/>
      <c r="I553" s="42"/>
      <c r="J553" s="42"/>
      <c r="K553" s="42"/>
      <c r="L553" s="42"/>
      <c r="M553" s="42"/>
      <c r="N553" s="42"/>
      <c r="O553" s="42"/>
      <c r="P553" s="42"/>
      <c r="Q553" s="42"/>
      <c r="R553" s="42"/>
      <c r="S553" s="42"/>
      <c r="T553" s="42"/>
      <c r="U553" s="194"/>
      <c r="V553" s="42"/>
      <c r="W553" s="42"/>
      <c r="X553" s="42"/>
      <c r="Y553" s="42"/>
      <c r="Z553" s="42"/>
      <c r="AA553" s="42"/>
      <c r="AB553" s="195"/>
      <c r="AC553" s="42"/>
      <c r="AD553" s="42"/>
      <c r="AE553" s="195"/>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c r="BM553" s="42"/>
      <c r="BN553" s="42"/>
      <c r="BO553" s="42"/>
      <c r="BP553" s="42"/>
      <c r="BQ553" s="42"/>
      <c r="BR553" s="42"/>
      <c r="BS553" s="42"/>
      <c r="BT553" s="42"/>
      <c r="BU553" s="42"/>
      <c r="BV553" s="42"/>
      <c r="BW553" s="42"/>
      <c r="BX553" s="42"/>
      <c r="BY553" s="42"/>
      <c r="BZ553" s="42"/>
      <c r="CA553" s="42"/>
      <c r="CB553" s="42"/>
      <c r="CC553" s="42"/>
      <c r="CD553" s="42"/>
      <c r="CE553" s="42"/>
      <c r="CF553" s="42"/>
      <c r="CG553" s="42"/>
      <c r="CH553" s="42"/>
      <c r="CI553" s="42"/>
      <c r="CJ553" s="42"/>
      <c r="CK553" s="42"/>
      <c r="CL553" s="42"/>
      <c r="CM553" s="42"/>
      <c r="CN553" s="42"/>
      <c r="CO553" s="42"/>
      <c r="CP553" s="42"/>
      <c r="CQ553" s="42"/>
      <c r="CR553" s="42"/>
      <c r="CS553" s="42"/>
      <c r="CT553" s="42"/>
      <c r="CU553" s="42"/>
      <c r="CV553" s="42"/>
      <c r="CW553" s="42"/>
      <c r="CX553" s="42"/>
      <c r="CY553" s="42"/>
      <c r="CZ553" s="42"/>
      <c r="DA553" s="42"/>
      <c r="DB553" s="42"/>
      <c r="DC553" s="42"/>
      <c r="DD553" s="42"/>
      <c r="DE553" s="42"/>
      <c r="DF553" s="42"/>
      <c r="DG553" s="42"/>
      <c r="DH553" s="42"/>
      <c r="DI553" s="42"/>
      <c r="DJ553" s="42"/>
      <c r="DK553" s="42"/>
      <c r="DL553" s="42"/>
      <c r="DM553" s="42"/>
      <c r="DN553" s="42"/>
      <c r="DO553" s="42"/>
      <c r="DP553" s="42"/>
      <c r="DQ553" s="42"/>
      <c r="DR553" s="42"/>
      <c r="DS553" s="42"/>
      <c r="DT553" s="42"/>
      <c r="DU553" s="42"/>
      <c r="DV553" s="42"/>
      <c r="DW553" s="42"/>
      <c r="DX553" s="42"/>
      <c r="DY553" s="42"/>
      <c r="DZ553" s="42"/>
      <c r="EA553" s="42"/>
      <c r="EB553" s="42"/>
      <c r="EC553" s="42"/>
      <c r="ED553" s="42"/>
      <c r="EE553" s="42"/>
      <c r="EF553" s="42"/>
      <c r="EG553" s="42"/>
      <c r="EH553" s="42"/>
      <c r="EI553" s="42"/>
      <c r="EJ553" s="42"/>
      <c r="EK553" s="42"/>
      <c r="EL553" s="42"/>
      <c r="EM553" s="42"/>
      <c r="EN553" s="42"/>
      <c r="EO553" s="42"/>
      <c r="EP553" s="42"/>
      <c r="EQ553" s="42"/>
      <c r="ER553" s="42"/>
      <c r="ES553" s="42"/>
      <c r="ET553" s="42"/>
      <c r="EU553" s="42"/>
      <c r="EV553" s="42"/>
      <c r="EW553" s="42"/>
      <c r="EX553" s="42"/>
      <c r="EY553" s="42"/>
      <c r="EZ553" s="42"/>
      <c r="FA553" s="42"/>
      <c r="FB553" s="42"/>
      <c r="FC553" s="42"/>
      <c r="FD553" s="42"/>
      <c r="FE553" s="42"/>
      <c r="FF553" s="42"/>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row>
    <row r="554" spans="1:256" ht="13.8" x14ac:dyDescent="0.3">
      <c r="A554" s="42"/>
      <c r="B554" s="42"/>
      <c r="C554" s="42"/>
      <c r="D554" s="42"/>
      <c r="E554" s="42"/>
      <c r="F554" s="42"/>
      <c r="G554" s="42"/>
      <c r="H554" s="42"/>
      <c r="I554" s="42"/>
      <c r="J554" s="42"/>
      <c r="K554" s="42"/>
      <c r="L554" s="42"/>
      <c r="M554" s="42"/>
      <c r="N554" s="42"/>
      <c r="O554" s="42"/>
      <c r="P554" s="42"/>
      <c r="Q554" s="42"/>
      <c r="R554" s="42"/>
      <c r="S554" s="42"/>
      <c r="T554" s="42"/>
      <c r="U554" s="194"/>
      <c r="V554" s="42"/>
      <c r="W554" s="42"/>
      <c r="X554" s="42"/>
      <c r="Y554" s="42"/>
      <c r="Z554" s="42"/>
      <c r="AA554" s="42"/>
      <c r="AB554" s="195"/>
      <c r="AC554" s="42"/>
      <c r="AD554" s="42"/>
      <c r="AE554" s="195"/>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c r="BM554" s="42"/>
      <c r="BN554" s="42"/>
      <c r="BO554" s="42"/>
      <c r="BP554" s="42"/>
      <c r="BQ554" s="42"/>
      <c r="BR554" s="42"/>
      <c r="BS554" s="42"/>
      <c r="BT554" s="42"/>
      <c r="BU554" s="42"/>
      <c r="BV554" s="42"/>
      <c r="BW554" s="42"/>
      <c r="BX554" s="42"/>
      <c r="BY554" s="42"/>
      <c r="BZ554" s="42"/>
      <c r="CA554" s="42"/>
      <c r="CB554" s="42"/>
      <c r="CC554" s="42"/>
      <c r="CD554" s="42"/>
      <c r="CE554" s="42"/>
      <c r="CF554" s="42"/>
      <c r="CG554" s="42"/>
      <c r="CH554" s="42"/>
      <c r="CI554" s="42"/>
      <c r="CJ554" s="42"/>
      <c r="CK554" s="42"/>
      <c r="CL554" s="42"/>
      <c r="CM554" s="42"/>
      <c r="CN554" s="42"/>
      <c r="CO554" s="42"/>
      <c r="CP554" s="42"/>
      <c r="CQ554" s="42"/>
      <c r="CR554" s="42"/>
      <c r="CS554" s="42"/>
      <c r="CT554" s="42"/>
      <c r="CU554" s="42"/>
      <c r="CV554" s="42"/>
      <c r="CW554" s="42"/>
      <c r="CX554" s="42"/>
      <c r="CY554" s="42"/>
      <c r="CZ554" s="42"/>
      <c r="DA554" s="42"/>
      <c r="DB554" s="42"/>
      <c r="DC554" s="42"/>
      <c r="DD554" s="42"/>
      <c r="DE554" s="42"/>
      <c r="DF554" s="42"/>
      <c r="DG554" s="42"/>
      <c r="DH554" s="42"/>
      <c r="DI554" s="42"/>
      <c r="DJ554" s="42"/>
      <c r="DK554" s="42"/>
      <c r="DL554" s="42"/>
      <c r="DM554" s="42"/>
      <c r="DN554" s="42"/>
      <c r="DO554" s="42"/>
      <c r="DP554" s="42"/>
      <c r="DQ554" s="42"/>
      <c r="DR554" s="42"/>
      <c r="DS554" s="42"/>
      <c r="DT554" s="42"/>
      <c r="DU554" s="42"/>
      <c r="DV554" s="42"/>
      <c r="DW554" s="42"/>
      <c r="DX554" s="42"/>
      <c r="DY554" s="42"/>
      <c r="DZ554" s="42"/>
      <c r="EA554" s="42"/>
      <c r="EB554" s="42"/>
      <c r="EC554" s="42"/>
      <c r="ED554" s="42"/>
      <c r="EE554" s="42"/>
      <c r="EF554" s="42"/>
      <c r="EG554" s="42"/>
      <c r="EH554" s="42"/>
      <c r="EI554" s="42"/>
      <c r="EJ554" s="42"/>
      <c r="EK554" s="42"/>
      <c r="EL554" s="42"/>
      <c r="EM554" s="42"/>
      <c r="EN554" s="42"/>
      <c r="EO554" s="42"/>
      <c r="EP554" s="42"/>
      <c r="EQ554" s="42"/>
      <c r="ER554" s="42"/>
      <c r="ES554" s="42"/>
      <c r="ET554" s="42"/>
      <c r="EU554" s="42"/>
      <c r="EV554" s="42"/>
      <c r="EW554" s="42"/>
      <c r="EX554" s="42"/>
      <c r="EY554" s="42"/>
      <c r="EZ554" s="42"/>
      <c r="FA554" s="42"/>
      <c r="FB554" s="42"/>
      <c r="FC554" s="42"/>
      <c r="FD554" s="42"/>
      <c r="FE554" s="42"/>
      <c r="FF554" s="42"/>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row>
    <row r="555" spans="1:256" ht="13.8" x14ac:dyDescent="0.3">
      <c r="A555" s="42"/>
      <c r="B555" s="42"/>
      <c r="C555" s="42"/>
      <c r="D555" s="42"/>
      <c r="E555" s="42"/>
      <c r="F555" s="42"/>
      <c r="G555" s="42"/>
      <c r="H555" s="42"/>
      <c r="I555" s="42"/>
      <c r="J555" s="42"/>
      <c r="K555" s="42"/>
      <c r="L555" s="42"/>
      <c r="M555" s="42"/>
      <c r="N555" s="42"/>
      <c r="O555" s="42"/>
      <c r="P555" s="42"/>
      <c r="Q555" s="42"/>
      <c r="R555" s="42"/>
      <c r="S555" s="42"/>
      <c r="T555" s="42"/>
      <c r="U555" s="194"/>
      <c r="V555" s="42"/>
      <c r="W555" s="42"/>
      <c r="X555" s="42"/>
      <c r="Y555" s="42"/>
      <c r="Z555" s="42"/>
      <c r="AA555" s="42"/>
      <c r="AB555" s="195"/>
      <c r="AC555" s="42"/>
      <c r="AD555" s="42"/>
      <c r="AE555" s="195"/>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c r="BM555" s="42"/>
      <c r="BN555" s="42"/>
      <c r="BO555" s="42"/>
      <c r="BP555" s="42"/>
      <c r="BQ555" s="42"/>
      <c r="BR555" s="42"/>
      <c r="BS555" s="42"/>
      <c r="BT555" s="42"/>
      <c r="BU555" s="42"/>
      <c r="BV555" s="42"/>
      <c r="BW555" s="42"/>
      <c r="BX555" s="42"/>
      <c r="BY555" s="42"/>
      <c r="BZ555" s="42"/>
      <c r="CA555" s="42"/>
      <c r="CB555" s="42"/>
      <c r="CC555" s="42"/>
      <c r="CD555" s="42"/>
      <c r="CE555" s="42"/>
      <c r="CF555" s="42"/>
      <c r="CG555" s="42"/>
      <c r="CH555" s="42"/>
      <c r="CI555" s="42"/>
      <c r="CJ555" s="42"/>
      <c r="CK555" s="42"/>
      <c r="CL555" s="42"/>
      <c r="CM555" s="42"/>
      <c r="CN555" s="42"/>
      <c r="CO555" s="42"/>
      <c r="CP555" s="42"/>
      <c r="CQ555" s="42"/>
      <c r="CR555" s="42"/>
      <c r="CS555" s="42"/>
      <c r="CT555" s="42"/>
      <c r="CU555" s="42"/>
      <c r="CV555" s="42"/>
      <c r="CW555" s="42"/>
      <c r="CX555" s="42"/>
      <c r="CY555" s="42"/>
      <c r="CZ555" s="42"/>
      <c r="DA555" s="42"/>
      <c r="DB555" s="42"/>
      <c r="DC555" s="42"/>
      <c r="DD555" s="42"/>
      <c r="DE555" s="42"/>
      <c r="DF555" s="42"/>
      <c r="DG555" s="42"/>
      <c r="DH555" s="42"/>
      <c r="DI555" s="42"/>
      <c r="DJ555" s="42"/>
      <c r="DK555" s="42"/>
      <c r="DL555" s="42"/>
      <c r="DM555" s="42"/>
      <c r="DN555" s="42"/>
      <c r="DO555" s="42"/>
      <c r="DP555" s="42"/>
      <c r="DQ555" s="42"/>
      <c r="DR555" s="42"/>
      <c r="DS555" s="42"/>
      <c r="DT555" s="42"/>
      <c r="DU555" s="42"/>
      <c r="DV555" s="42"/>
      <c r="DW555" s="42"/>
      <c r="DX555" s="42"/>
      <c r="DY555" s="42"/>
      <c r="DZ555" s="42"/>
      <c r="EA555" s="42"/>
      <c r="EB555" s="42"/>
      <c r="EC555" s="42"/>
      <c r="ED555" s="42"/>
      <c r="EE555" s="42"/>
      <c r="EF555" s="42"/>
      <c r="EG555" s="42"/>
      <c r="EH555" s="42"/>
      <c r="EI555" s="42"/>
      <c r="EJ555" s="42"/>
      <c r="EK555" s="42"/>
      <c r="EL555" s="42"/>
      <c r="EM555" s="42"/>
      <c r="EN555" s="42"/>
      <c r="EO555" s="42"/>
      <c r="EP555" s="42"/>
      <c r="EQ555" s="42"/>
      <c r="ER555" s="42"/>
      <c r="ES555" s="42"/>
      <c r="ET555" s="42"/>
      <c r="EU555" s="42"/>
      <c r="EV555" s="42"/>
      <c r="EW555" s="42"/>
      <c r="EX555" s="42"/>
      <c r="EY555" s="42"/>
      <c r="EZ555" s="42"/>
      <c r="FA555" s="42"/>
      <c r="FB555" s="42"/>
      <c r="FC555" s="42"/>
      <c r="FD555" s="42"/>
      <c r="FE555" s="42"/>
      <c r="FF555" s="42"/>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row>
    <row r="556" spans="1:256" ht="13.8" x14ac:dyDescent="0.3">
      <c r="A556" s="42"/>
      <c r="B556" s="42"/>
      <c r="C556" s="42"/>
      <c r="D556" s="42"/>
      <c r="E556" s="42"/>
      <c r="F556" s="42"/>
      <c r="G556" s="42"/>
      <c r="H556" s="42"/>
      <c r="I556" s="42"/>
      <c r="J556" s="42"/>
      <c r="K556" s="42"/>
      <c r="L556" s="42"/>
      <c r="M556" s="42"/>
      <c r="N556" s="42"/>
      <c r="O556" s="42"/>
      <c r="P556" s="42"/>
      <c r="Q556" s="42"/>
      <c r="R556" s="42"/>
      <c r="S556" s="42"/>
      <c r="T556" s="42"/>
      <c r="U556" s="194"/>
      <c r="V556" s="42"/>
      <c r="W556" s="42"/>
      <c r="X556" s="42"/>
      <c r="Y556" s="42"/>
      <c r="Z556" s="42"/>
      <c r="AA556" s="42"/>
      <c r="AB556" s="195"/>
      <c r="AC556" s="42"/>
      <c r="AD556" s="42"/>
      <c r="AE556" s="195"/>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c r="BM556" s="42"/>
      <c r="BN556" s="42"/>
      <c r="BO556" s="42"/>
      <c r="BP556" s="42"/>
      <c r="BQ556" s="42"/>
      <c r="BR556" s="42"/>
      <c r="BS556" s="42"/>
      <c r="BT556" s="42"/>
      <c r="BU556" s="42"/>
      <c r="BV556" s="42"/>
      <c r="BW556" s="42"/>
      <c r="BX556" s="42"/>
      <c r="BY556" s="42"/>
      <c r="BZ556" s="42"/>
      <c r="CA556" s="42"/>
      <c r="CB556" s="42"/>
      <c r="CC556" s="42"/>
      <c r="CD556" s="42"/>
      <c r="CE556" s="42"/>
      <c r="CF556" s="42"/>
      <c r="CG556" s="42"/>
      <c r="CH556" s="42"/>
      <c r="CI556" s="42"/>
      <c r="CJ556" s="42"/>
      <c r="CK556" s="42"/>
      <c r="CL556" s="42"/>
      <c r="CM556" s="42"/>
      <c r="CN556" s="42"/>
      <c r="CO556" s="42"/>
      <c r="CP556" s="42"/>
      <c r="CQ556" s="42"/>
      <c r="CR556" s="42"/>
      <c r="CS556" s="42"/>
      <c r="CT556" s="42"/>
      <c r="CU556" s="42"/>
      <c r="CV556" s="42"/>
      <c r="CW556" s="42"/>
      <c r="CX556" s="42"/>
      <c r="CY556" s="42"/>
      <c r="CZ556" s="42"/>
      <c r="DA556" s="42"/>
      <c r="DB556" s="42"/>
      <c r="DC556" s="42"/>
      <c r="DD556" s="42"/>
      <c r="DE556" s="42"/>
      <c r="DF556" s="42"/>
      <c r="DG556" s="42"/>
      <c r="DH556" s="42"/>
      <c r="DI556" s="42"/>
      <c r="DJ556" s="42"/>
      <c r="DK556" s="42"/>
      <c r="DL556" s="42"/>
      <c r="DM556" s="42"/>
      <c r="DN556" s="42"/>
      <c r="DO556" s="42"/>
      <c r="DP556" s="42"/>
      <c r="DQ556" s="42"/>
      <c r="DR556" s="42"/>
      <c r="DS556" s="42"/>
      <c r="DT556" s="42"/>
      <c r="DU556" s="42"/>
      <c r="DV556" s="42"/>
      <c r="DW556" s="42"/>
      <c r="DX556" s="42"/>
      <c r="DY556" s="42"/>
      <c r="DZ556" s="42"/>
      <c r="EA556" s="42"/>
      <c r="EB556" s="42"/>
      <c r="EC556" s="42"/>
      <c r="ED556" s="42"/>
      <c r="EE556" s="42"/>
      <c r="EF556" s="42"/>
      <c r="EG556" s="42"/>
      <c r="EH556" s="42"/>
      <c r="EI556" s="42"/>
      <c r="EJ556" s="42"/>
      <c r="EK556" s="42"/>
      <c r="EL556" s="42"/>
      <c r="EM556" s="42"/>
      <c r="EN556" s="42"/>
      <c r="EO556" s="42"/>
      <c r="EP556" s="42"/>
      <c r="EQ556" s="42"/>
      <c r="ER556" s="42"/>
      <c r="ES556" s="42"/>
      <c r="ET556" s="42"/>
      <c r="EU556" s="42"/>
      <c r="EV556" s="42"/>
      <c r="EW556" s="42"/>
      <c r="EX556" s="42"/>
      <c r="EY556" s="42"/>
      <c r="EZ556" s="42"/>
      <c r="FA556" s="42"/>
      <c r="FB556" s="42"/>
      <c r="FC556" s="42"/>
      <c r="FD556" s="42"/>
      <c r="FE556" s="42"/>
      <c r="FF556" s="42"/>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row>
    <row r="557" spans="1:256" ht="13.8" x14ac:dyDescent="0.3">
      <c r="A557" s="42"/>
      <c r="B557" s="42"/>
      <c r="C557" s="42"/>
      <c r="D557" s="42"/>
      <c r="E557" s="42"/>
      <c r="F557" s="42"/>
      <c r="G557" s="42"/>
      <c r="H557" s="42"/>
      <c r="I557" s="42"/>
      <c r="J557" s="42"/>
      <c r="K557" s="42"/>
      <c r="L557" s="42"/>
      <c r="M557" s="42"/>
      <c r="N557" s="42"/>
      <c r="O557" s="42"/>
      <c r="P557" s="42"/>
      <c r="Q557" s="42"/>
      <c r="R557" s="42"/>
      <c r="S557" s="42"/>
      <c r="T557" s="42"/>
      <c r="U557" s="194"/>
      <c r="V557" s="42"/>
      <c r="W557" s="42"/>
      <c r="X557" s="42"/>
      <c r="Y557" s="42"/>
      <c r="Z557" s="42"/>
      <c r="AA557" s="42"/>
      <c r="AB557" s="195"/>
      <c r="AC557" s="42"/>
      <c r="AD557" s="42"/>
      <c r="AE557" s="195"/>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c r="BM557" s="42"/>
      <c r="BN557" s="42"/>
      <c r="BO557" s="42"/>
      <c r="BP557" s="42"/>
      <c r="BQ557" s="42"/>
      <c r="BR557" s="42"/>
      <c r="BS557" s="42"/>
      <c r="BT557" s="42"/>
      <c r="BU557" s="42"/>
      <c r="BV557" s="42"/>
      <c r="BW557" s="42"/>
      <c r="BX557" s="42"/>
      <c r="BY557" s="42"/>
      <c r="BZ557" s="42"/>
      <c r="CA557" s="42"/>
      <c r="CB557" s="42"/>
      <c r="CC557" s="42"/>
      <c r="CD557" s="42"/>
      <c r="CE557" s="42"/>
      <c r="CF557" s="42"/>
      <c r="CG557" s="42"/>
      <c r="CH557" s="42"/>
      <c r="CI557" s="42"/>
      <c r="CJ557" s="42"/>
      <c r="CK557" s="42"/>
      <c r="CL557" s="42"/>
      <c r="CM557" s="42"/>
      <c r="CN557" s="42"/>
      <c r="CO557" s="42"/>
      <c r="CP557" s="42"/>
      <c r="CQ557" s="42"/>
      <c r="CR557" s="42"/>
      <c r="CS557" s="42"/>
      <c r="CT557" s="42"/>
      <c r="CU557" s="42"/>
      <c r="CV557" s="42"/>
      <c r="CW557" s="42"/>
      <c r="CX557" s="42"/>
      <c r="CY557" s="42"/>
      <c r="CZ557" s="42"/>
      <c r="DA557" s="42"/>
      <c r="DB557" s="42"/>
      <c r="DC557" s="42"/>
      <c r="DD557" s="42"/>
      <c r="DE557" s="42"/>
      <c r="DF557" s="42"/>
      <c r="DG557" s="42"/>
      <c r="DH557" s="42"/>
      <c r="DI557" s="42"/>
      <c r="DJ557" s="42"/>
      <c r="DK557" s="42"/>
      <c r="DL557" s="42"/>
      <c r="DM557" s="42"/>
      <c r="DN557" s="42"/>
      <c r="DO557" s="42"/>
      <c r="DP557" s="42"/>
      <c r="DQ557" s="42"/>
      <c r="DR557" s="42"/>
      <c r="DS557" s="42"/>
      <c r="DT557" s="42"/>
      <c r="DU557" s="42"/>
      <c r="DV557" s="42"/>
      <c r="DW557" s="42"/>
      <c r="DX557" s="42"/>
      <c r="DY557" s="42"/>
      <c r="DZ557" s="42"/>
      <c r="EA557" s="42"/>
      <c r="EB557" s="42"/>
      <c r="EC557" s="42"/>
      <c r="ED557" s="42"/>
      <c r="EE557" s="42"/>
      <c r="EF557" s="42"/>
      <c r="EG557" s="42"/>
      <c r="EH557" s="42"/>
      <c r="EI557" s="42"/>
      <c r="EJ557" s="42"/>
      <c r="EK557" s="42"/>
      <c r="EL557" s="42"/>
      <c r="EM557" s="42"/>
      <c r="EN557" s="42"/>
      <c r="EO557" s="42"/>
      <c r="EP557" s="42"/>
      <c r="EQ557" s="42"/>
      <c r="ER557" s="42"/>
      <c r="ES557" s="42"/>
      <c r="ET557" s="42"/>
      <c r="EU557" s="42"/>
      <c r="EV557" s="42"/>
      <c r="EW557" s="42"/>
      <c r="EX557" s="42"/>
      <c r="EY557" s="42"/>
      <c r="EZ557" s="42"/>
      <c r="FA557" s="42"/>
      <c r="FB557" s="42"/>
      <c r="FC557" s="42"/>
      <c r="FD557" s="42"/>
      <c r="FE557" s="42"/>
      <c r="FF557" s="42"/>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row>
    <row r="558" spans="1:256" ht="13.8" x14ac:dyDescent="0.3">
      <c r="A558" s="42"/>
      <c r="B558" s="42"/>
      <c r="C558" s="42"/>
      <c r="D558" s="42"/>
      <c r="E558" s="42"/>
      <c r="F558" s="42"/>
      <c r="G558" s="42"/>
      <c r="H558" s="42"/>
      <c r="I558" s="42"/>
      <c r="J558" s="42"/>
      <c r="K558" s="42"/>
      <c r="L558" s="42"/>
      <c r="M558" s="42"/>
      <c r="N558" s="42"/>
      <c r="O558" s="42"/>
      <c r="P558" s="42"/>
      <c r="Q558" s="42"/>
      <c r="R558" s="42"/>
      <c r="S558" s="42"/>
      <c r="T558" s="42"/>
      <c r="U558" s="194"/>
      <c r="V558" s="42"/>
      <c r="W558" s="42"/>
      <c r="X558" s="42"/>
      <c r="Y558" s="42"/>
      <c r="Z558" s="42"/>
      <c r="AA558" s="42"/>
      <c r="AB558" s="195"/>
      <c r="AC558" s="42"/>
      <c r="AD558" s="42"/>
      <c r="AE558" s="195"/>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c r="BM558" s="42"/>
      <c r="BN558" s="42"/>
      <c r="BO558" s="42"/>
      <c r="BP558" s="42"/>
      <c r="BQ558" s="42"/>
      <c r="BR558" s="42"/>
      <c r="BS558" s="42"/>
      <c r="BT558" s="42"/>
      <c r="BU558" s="42"/>
      <c r="BV558" s="42"/>
      <c r="BW558" s="42"/>
      <c r="BX558" s="42"/>
      <c r="BY558" s="42"/>
      <c r="BZ558" s="42"/>
      <c r="CA558" s="42"/>
      <c r="CB558" s="42"/>
      <c r="CC558" s="42"/>
      <c r="CD558" s="42"/>
      <c r="CE558" s="42"/>
      <c r="CF558" s="42"/>
      <c r="CG558" s="42"/>
      <c r="CH558" s="42"/>
      <c r="CI558" s="42"/>
      <c r="CJ558" s="42"/>
      <c r="CK558" s="42"/>
      <c r="CL558" s="42"/>
      <c r="CM558" s="42"/>
      <c r="CN558" s="42"/>
      <c r="CO558" s="42"/>
      <c r="CP558" s="42"/>
      <c r="CQ558" s="42"/>
      <c r="CR558" s="42"/>
      <c r="CS558" s="42"/>
      <c r="CT558" s="42"/>
      <c r="CU558" s="42"/>
      <c r="CV558" s="42"/>
      <c r="CW558" s="42"/>
      <c r="CX558" s="42"/>
      <c r="CY558" s="42"/>
      <c r="CZ558" s="42"/>
      <c r="DA558" s="42"/>
      <c r="DB558" s="42"/>
      <c r="DC558" s="42"/>
      <c r="DD558" s="42"/>
      <c r="DE558" s="42"/>
      <c r="DF558" s="42"/>
      <c r="DG558" s="42"/>
      <c r="DH558" s="42"/>
      <c r="DI558" s="42"/>
      <c r="DJ558" s="42"/>
      <c r="DK558" s="42"/>
      <c r="DL558" s="42"/>
      <c r="DM558" s="42"/>
      <c r="DN558" s="42"/>
      <c r="DO558" s="42"/>
      <c r="DP558" s="42"/>
      <c r="DQ558" s="42"/>
      <c r="DR558" s="42"/>
      <c r="DS558" s="42"/>
      <c r="DT558" s="42"/>
      <c r="DU558" s="42"/>
      <c r="DV558" s="42"/>
      <c r="DW558" s="42"/>
      <c r="DX558" s="42"/>
      <c r="DY558" s="42"/>
      <c r="DZ558" s="42"/>
      <c r="EA558" s="42"/>
      <c r="EB558" s="42"/>
      <c r="EC558" s="42"/>
      <c r="ED558" s="42"/>
      <c r="EE558" s="42"/>
      <c r="EF558" s="42"/>
      <c r="EG558" s="42"/>
      <c r="EH558" s="42"/>
      <c r="EI558" s="42"/>
      <c r="EJ558" s="42"/>
      <c r="EK558" s="42"/>
      <c r="EL558" s="42"/>
      <c r="EM558" s="42"/>
      <c r="EN558" s="42"/>
      <c r="EO558" s="42"/>
      <c r="EP558" s="42"/>
      <c r="EQ558" s="42"/>
      <c r="ER558" s="42"/>
      <c r="ES558" s="42"/>
      <c r="ET558" s="42"/>
      <c r="EU558" s="42"/>
      <c r="EV558" s="42"/>
      <c r="EW558" s="42"/>
      <c r="EX558" s="42"/>
      <c r="EY558" s="42"/>
      <c r="EZ558" s="42"/>
      <c r="FA558" s="42"/>
      <c r="FB558" s="42"/>
      <c r="FC558" s="42"/>
      <c r="FD558" s="42"/>
      <c r="FE558" s="42"/>
      <c r="FF558" s="42"/>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row>
    <row r="559" spans="1:256" ht="13.8" x14ac:dyDescent="0.3">
      <c r="A559" s="42"/>
      <c r="B559" s="42"/>
      <c r="C559" s="42"/>
      <c r="D559" s="42"/>
      <c r="E559" s="42"/>
      <c r="F559" s="42"/>
      <c r="G559" s="42"/>
      <c r="H559" s="42"/>
      <c r="I559" s="42"/>
      <c r="J559" s="42"/>
      <c r="K559" s="42"/>
      <c r="L559" s="42"/>
      <c r="M559" s="42"/>
      <c r="N559" s="42"/>
      <c r="O559" s="42"/>
      <c r="P559" s="42"/>
      <c r="Q559" s="42"/>
      <c r="R559" s="42"/>
      <c r="S559" s="42"/>
      <c r="T559" s="42"/>
      <c r="U559" s="194"/>
      <c r="V559" s="42"/>
      <c r="W559" s="42"/>
      <c r="X559" s="42"/>
      <c r="Y559" s="42"/>
      <c r="Z559" s="42"/>
      <c r="AA559" s="42"/>
      <c r="AB559" s="195"/>
      <c r="AC559" s="42"/>
      <c r="AD559" s="42"/>
      <c r="AE559" s="195"/>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c r="BM559" s="42"/>
      <c r="BN559" s="42"/>
      <c r="BO559" s="42"/>
      <c r="BP559" s="42"/>
      <c r="BQ559" s="42"/>
      <c r="BR559" s="42"/>
      <c r="BS559" s="42"/>
      <c r="BT559" s="42"/>
      <c r="BU559" s="42"/>
      <c r="BV559" s="42"/>
      <c r="BW559" s="42"/>
      <c r="BX559" s="42"/>
      <c r="BY559" s="42"/>
      <c r="BZ559" s="42"/>
      <c r="CA559" s="42"/>
      <c r="CB559" s="42"/>
      <c r="CC559" s="42"/>
      <c r="CD559" s="42"/>
      <c r="CE559" s="42"/>
      <c r="CF559" s="42"/>
      <c r="CG559" s="42"/>
      <c r="CH559" s="42"/>
      <c r="CI559" s="42"/>
      <c r="CJ559" s="42"/>
      <c r="CK559" s="42"/>
      <c r="CL559" s="42"/>
      <c r="CM559" s="42"/>
      <c r="CN559" s="42"/>
      <c r="CO559" s="42"/>
      <c r="CP559" s="42"/>
      <c r="CQ559" s="42"/>
      <c r="CR559" s="42"/>
      <c r="CS559" s="42"/>
      <c r="CT559" s="42"/>
      <c r="CU559" s="42"/>
      <c r="CV559" s="42"/>
      <c r="CW559" s="42"/>
      <c r="CX559" s="42"/>
      <c r="CY559" s="42"/>
      <c r="CZ559" s="42"/>
      <c r="DA559" s="42"/>
      <c r="DB559" s="42"/>
      <c r="DC559" s="42"/>
      <c r="DD559" s="42"/>
      <c r="DE559" s="42"/>
      <c r="DF559" s="42"/>
      <c r="DG559" s="42"/>
      <c r="DH559" s="42"/>
      <c r="DI559" s="42"/>
      <c r="DJ559" s="42"/>
      <c r="DK559" s="42"/>
      <c r="DL559" s="42"/>
      <c r="DM559" s="42"/>
      <c r="DN559" s="42"/>
      <c r="DO559" s="42"/>
      <c r="DP559" s="42"/>
      <c r="DQ559" s="42"/>
      <c r="DR559" s="42"/>
      <c r="DS559" s="42"/>
      <c r="DT559" s="42"/>
      <c r="DU559" s="42"/>
      <c r="DV559" s="42"/>
      <c r="DW559" s="42"/>
      <c r="DX559" s="42"/>
      <c r="DY559" s="42"/>
      <c r="DZ559" s="42"/>
      <c r="EA559" s="42"/>
      <c r="EB559" s="42"/>
      <c r="EC559" s="42"/>
      <c r="ED559" s="42"/>
      <c r="EE559" s="42"/>
      <c r="EF559" s="42"/>
      <c r="EG559" s="42"/>
      <c r="EH559" s="42"/>
      <c r="EI559" s="42"/>
      <c r="EJ559" s="42"/>
      <c r="EK559" s="42"/>
      <c r="EL559" s="42"/>
      <c r="EM559" s="42"/>
      <c r="EN559" s="42"/>
      <c r="EO559" s="42"/>
      <c r="EP559" s="42"/>
      <c r="EQ559" s="42"/>
      <c r="ER559" s="42"/>
      <c r="ES559" s="42"/>
      <c r="ET559" s="42"/>
      <c r="EU559" s="42"/>
      <c r="EV559" s="42"/>
      <c r="EW559" s="42"/>
      <c r="EX559" s="42"/>
      <c r="EY559" s="42"/>
      <c r="EZ559" s="42"/>
      <c r="FA559" s="42"/>
      <c r="FB559" s="42"/>
      <c r="FC559" s="42"/>
      <c r="FD559" s="42"/>
      <c r="FE559" s="42"/>
      <c r="FF559" s="42"/>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row>
    <row r="560" spans="1:256" ht="13.8" x14ac:dyDescent="0.3">
      <c r="A560" s="42"/>
      <c r="B560" s="42"/>
      <c r="C560" s="42"/>
      <c r="D560" s="42"/>
      <c r="E560" s="42"/>
      <c r="F560" s="42"/>
      <c r="G560" s="42"/>
      <c r="H560" s="42"/>
      <c r="I560" s="42"/>
      <c r="J560" s="42"/>
      <c r="K560" s="42"/>
      <c r="L560" s="42"/>
      <c r="M560" s="42"/>
      <c r="N560" s="42"/>
      <c r="O560" s="42"/>
      <c r="P560" s="42"/>
      <c r="Q560" s="42"/>
      <c r="R560" s="42"/>
      <c r="S560" s="42"/>
      <c r="T560" s="42"/>
      <c r="U560" s="194"/>
      <c r="V560" s="42"/>
      <c r="W560" s="42"/>
      <c r="X560" s="42"/>
      <c r="Y560" s="42"/>
      <c r="Z560" s="42"/>
      <c r="AA560" s="42"/>
      <c r="AB560" s="195"/>
      <c r="AC560" s="42"/>
      <c r="AD560" s="42"/>
      <c r="AE560" s="195"/>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c r="BM560" s="42"/>
      <c r="BN560" s="42"/>
      <c r="BO560" s="42"/>
      <c r="BP560" s="42"/>
      <c r="BQ560" s="42"/>
      <c r="BR560" s="42"/>
      <c r="BS560" s="42"/>
      <c r="BT560" s="42"/>
      <c r="BU560" s="42"/>
      <c r="BV560" s="42"/>
      <c r="BW560" s="42"/>
      <c r="BX560" s="42"/>
      <c r="BY560" s="42"/>
      <c r="BZ560" s="42"/>
      <c r="CA560" s="42"/>
      <c r="CB560" s="42"/>
      <c r="CC560" s="42"/>
      <c r="CD560" s="42"/>
      <c r="CE560" s="42"/>
      <c r="CF560" s="42"/>
      <c r="CG560" s="42"/>
      <c r="CH560" s="42"/>
      <c r="CI560" s="42"/>
      <c r="CJ560" s="42"/>
      <c r="CK560" s="42"/>
      <c r="CL560" s="42"/>
      <c r="CM560" s="42"/>
      <c r="CN560" s="42"/>
      <c r="CO560" s="42"/>
      <c r="CP560" s="42"/>
      <c r="CQ560" s="42"/>
      <c r="CR560" s="42"/>
      <c r="CS560" s="42"/>
      <c r="CT560" s="42"/>
      <c r="CU560" s="42"/>
      <c r="CV560" s="42"/>
      <c r="CW560" s="42"/>
      <c r="CX560" s="42"/>
      <c r="CY560" s="42"/>
      <c r="CZ560" s="42"/>
      <c r="DA560" s="42"/>
      <c r="DB560" s="42"/>
      <c r="DC560" s="42"/>
      <c r="DD560" s="42"/>
      <c r="DE560" s="42"/>
      <c r="DF560" s="42"/>
      <c r="DG560" s="42"/>
      <c r="DH560" s="42"/>
      <c r="DI560" s="42"/>
      <c r="DJ560" s="42"/>
      <c r="DK560" s="42"/>
      <c r="DL560" s="42"/>
      <c r="DM560" s="42"/>
      <c r="DN560" s="42"/>
      <c r="DO560" s="42"/>
      <c r="DP560" s="42"/>
      <c r="DQ560" s="42"/>
      <c r="DR560" s="42"/>
      <c r="DS560" s="42"/>
      <c r="DT560" s="42"/>
      <c r="DU560" s="42"/>
      <c r="DV560" s="42"/>
      <c r="DW560" s="42"/>
      <c r="DX560" s="42"/>
      <c r="DY560" s="42"/>
      <c r="DZ560" s="42"/>
      <c r="EA560" s="42"/>
      <c r="EB560" s="42"/>
      <c r="EC560" s="42"/>
      <c r="ED560" s="42"/>
      <c r="EE560" s="42"/>
      <c r="EF560" s="42"/>
      <c r="EG560" s="42"/>
      <c r="EH560" s="42"/>
      <c r="EI560" s="42"/>
      <c r="EJ560" s="42"/>
      <c r="EK560" s="42"/>
      <c r="EL560" s="42"/>
      <c r="EM560" s="42"/>
      <c r="EN560" s="42"/>
      <c r="EO560" s="42"/>
      <c r="EP560" s="42"/>
      <c r="EQ560" s="42"/>
      <c r="ER560" s="42"/>
      <c r="ES560" s="42"/>
      <c r="ET560" s="42"/>
      <c r="EU560" s="42"/>
      <c r="EV560" s="42"/>
      <c r="EW560" s="42"/>
      <c r="EX560" s="42"/>
      <c r="EY560" s="42"/>
      <c r="EZ560" s="42"/>
      <c r="FA560" s="42"/>
      <c r="FB560" s="42"/>
      <c r="FC560" s="42"/>
      <c r="FD560" s="42"/>
      <c r="FE560" s="42"/>
      <c r="FF560" s="42"/>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row>
    <row r="561" spans="1:256" ht="13.8" x14ac:dyDescent="0.3">
      <c r="A561" s="42"/>
      <c r="B561" s="42"/>
      <c r="C561" s="42"/>
      <c r="D561" s="42"/>
      <c r="E561" s="42"/>
      <c r="F561" s="42"/>
      <c r="G561" s="42"/>
      <c r="H561" s="42"/>
      <c r="I561" s="42"/>
      <c r="J561" s="42"/>
      <c r="K561" s="42"/>
      <c r="L561" s="42"/>
      <c r="M561" s="42"/>
      <c r="N561" s="42"/>
      <c r="O561" s="42"/>
      <c r="P561" s="42"/>
      <c r="Q561" s="42"/>
      <c r="R561" s="42"/>
      <c r="S561" s="42"/>
      <c r="T561" s="42"/>
      <c r="U561" s="194"/>
      <c r="V561" s="42"/>
      <c r="W561" s="42"/>
      <c r="X561" s="42"/>
      <c r="Y561" s="42"/>
      <c r="Z561" s="42"/>
      <c r="AA561" s="42"/>
      <c r="AB561" s="195"/>
      <c r="AC561" s="42"/>
      <c r="AD561" s="42"/>
      <c r="AE561" s="195"/>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c r="BM561" s="42"/>
      <c r="BN561" s="42"/>
      <c r="BO561" s="42"/>
      <c r="BP561" s="42"/>
      <c r="BQ561" s="42"/>
      <c r="BR561" s="42"/>
      <c r="BS561" s="42"/>
      <c r="BT561" s="42"/>
      <c r="BU561" s="42"/>
      <c r="BV561" s="42"/>
      <c r="BW561" s="42"/>
      <c r="BX561" s="42"/>
      <c r="BY561" s="42"/>
      <c r="BZ561" s="42"/>
      <c r="CA561" s="42"/>
      <c r="CB561" s="42"/>
      <c r="CC561" s="42"/>
      <c r="CD561" s="42"/>
      <c r="CE561" s="42"/>
      <c r="CF561" s="42"/>
      <c r="CG561" s="42"/>
      <c r="CH561" s="42"/>
      <c r="CI561" s="42"/>
      <c r="CJ561" s="42"/>
      <c r="CK561" s="42"/>
      <c r="CL561" s="42"/>
      <c r="CM561" s="42"/>
      <c r="CN561" s="42"/>
      <c r="CO561" s="42"/>
      <c r="CP561" s="42"/>
      <c r="CQ561" s="42"/>
      <c r="CR561" s="42"/>
      <c r="CS561" s="42"/>
      <c r="CT561" s="42"/>
      <c r="CU561" s="42"/>
      <c r="CV561" s="42"/>
      <c r="CW561" s="42"/>
      <c r="CX561" s="42"/>
      <c r="CY561" s="42"/>
      <c r="CZ561" s="42"/>
      <c r="DA561" s="42"/>
      <c r="DB561" s="42"/>
      <c r="DC561" s="42"/>
      <c r="DD561" s="42"/>
      <c r="DE561" s="42"/>
      <c r="DF561" s="42"/>
      <c r="DG561" s="42"/>
      <c r="DH561" s="42"/>
      <c r="DI561" s="42"/>
      <c r="DJ561" s="42"/>
      <c r="DK561" s="42"/>
      <c r="DL561" s="42"/>
      <c r="DM561" s="42"/>
      <c r="DN561" s="42"/>
      <c r="DO561" s="42"/>
      <c r="DP561" s="42"/>
      <c r="DQ561" s="42"/>
      <c r="DR561" s="42"/>
      <c r="DS561" s="42"/>
      <c r="DT561" s="42"/>
      <c r="DU561" s="42"/>
      <c r="DV561" s="42"/>
      <c r="DW561" s="42"/>
      <c r="DX561" s="42"/>
      <c r="DY561" s="42"/>
      <c r="DZ561" s="42"/>
      <c r="EA561" s="42"/>
      <c r="EB561" s="42"/>
      <c r="EC561" s="42"/>
      <c r="ED561" s="42"/>
      <c r="EE561" s="42"/>
      <c r="EF561" s="42"/>
      <c r="EG561" s="42"/>
      <c r="EH561" s="42"/>
      <c r="EI561" s="42"/>
      <c r="EJ561" s="42"/>
      <c r="EK561" s="42"/>
      <c r="EL561" s="42"/>
      <c r="EM561" s="42"/>
      <c r="EN561" s="42"/>
      <c r="EO561" s="42"/>
      <c r="EP561" s="42"/>
      <c r="EQ561" s="42"/>
      <c r="ER561" s="42"/>
      <c r="ES561" s="42"/>
      <c r="ET561" s="42"/>
      <c r="EU561" s="42"/>
      <c r="EV561" s="42"/>
      <c r="EW561" s="42"/>
      <c r="EX561" s="42"/>
      <c r="EY561" s="42"/>
      <c r="EZ561" s="42"/>
      <c r="FA561" s="42"/>
      <c r="FB561" s="42"/>
      <c r="FC561" s="42"/>
      <c r="FD561" s="42"/>
      <c r="FE561" s="42"/>
      <c r="FF561" s="42"/>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row>
    <row r="562" spans="1:256" ht="13.8" x14ac:dyDescent="0.3">
      <c r="A562" s="42"/>
      <c r="B562" s="42"/>
      <c r="C562" s="42"/>
      <c r="D562" s="42"/>
      <c r="E562" s="42"/>
      <c r="F562" s="42"/>
      <c r="G562" s="42"/>
      <c r="H562" s="42"/>
      <c r="I562" s="42"/>
      <c r="J562" s="42"/>
      <c r="K562" s="42"/>
      <c r="L562" s="42"/>
      <c r="M562" s="42"/>
      <c r="N562" s="42"/>
      <c r="O562" s="42"/>
      <c r="P562" s="42"/>
      <c r="Q562" s="42"/>
      <c r="R562" s="42"/>
      <c r="S562" s="42"/>
      <c r="T562" s="42"/>
      <c r="U562" s="194"/>
      <c r="V562" s="42"/>
      <c r="W562" s="42"/>
      <c r="X562" s="42"/>
      <c r="Y562" s="42"/>
      <c r="Z562" s="42"/>
      <c r="AA562" s="42"/>
      <c r="AB562" s="195"/>
      <c r="AC562" s="42"/>
      <c r="AD562" s="42"/>
      <c r="AE562" s="195"/>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c r="BM562" s="42"/>
      <c r="BN562" s="42"/>
      <c r="BO562" s="42"/>
      <c r="BP562" s="42"/>
      <c r="BQ562" s="42"/>
      <c r="BR562" s="42"/>
      <c r="BS562" s="42"/>
      <c r="BT562" s="42"/>
      <c r="BU562" s="42"/>
      <c r="BV562" s="42"/>
      <c r="BW562" s="42"/>
      <c r="BX562" s="42"/>
      <c r="BY562" s="42"/>
      <c r="BZ562" s="42"/>
      <c r="CA562" s="42"/>
      <c r="CB562" s="42"/>
      <c r="CC562" s="42"/>
      <c r="CD562" s="42"/>
      <c r="CE562" s="42"/>
      <c r="CF562" s="42"/>
      <c r="CG562" s="42"/>
      <c r="CH562" s="42"/>
      <c r="CI562" s="42"/>
      <c r="CJ562" s="42"/>
      <c r="CK562" s="42"/>
      <c r="CL562" s="42"/>
      <c r="CM562" s="42"/>
      <c r="CN562" s="42"/>
      <c r="CO562" s="42"/>
      <c r="CP562" s="42"/>
      <c r="CQ562" s="42"/>
      <c r="CR562" s="42"/>
      <c r="CS562" s="42"/>
      <c r="CT562" s="42"/>
      <c r="CU562" s="42"/>
      <c r="CV562" s="42"/>
      <c r="CW562" s="42"/>
      <c r="CX562" s="42"/>
      <c r="CY562" s="42"/>
      <c r="CZ562" s="42"/>
      <c r="DA562" s="42"/>
      <c r="DB562" s="42"/>
      <c r="DC562" s="42"/>
      <c r="DD562" s="42"/>
      <c r="DE562" s="42"/>
      <c r="DF562" s="42"/>
      <c r="DG562" s="42"/>
      <c r="DH562" s="42"/>
      <c r="DI562" s="42"/>
      <c r="DJ562" s="42"/>
      <c r="DK562" s="42"/>
      <c r="DL562" s="42"/>
      <c r="DM562" s="42"/>
      <c r="DN562" s="42"/>
      <c r="DO562" s="42"/>
      <c r="DP562" s="42"/>
      <c r="DQ562" s="42"/>
      <c r="DR562" s="42"/>
      <c r="DS562" s="42"/>
      <c r="DT562" s="42"/>
      <c r="DU562" s="42"/>
      <c r="DV562" s="42"/>
      <c r="DW562" s="42"/>
      <c r="DX562" s="42"/>
      <c r="DY562" s="42"/>
      <c r="DZ562" s="42"/>
      <c r="EA562" s="42"/>
      <c r="EB562" s="42"/>
      <c r="EC562" s="42"/>
      <c r="ED562" s="42"/>
      <c r="EE562" s="42"/>
      <c r="EF562" s="42"/>
      <c r="EG562" s="42"/>
      <c r="EH562" s="42"/>
      <c r="EI562" s="42"/>
      <c r="EJ562" s="42"/>
      <c r="EK562" s="42"/>
      <c r="EL562" s="42"/>
      <c r="EM562" s="42"/>
      <c r="EN562" s="42"/>
      <c r="EO562" s="42"/>
      <c r="EP562" s="42"/>
      <c r="EQ562" s="42"/>
      <c r="ER562" s="42"/>
      <c r="ES562" s="42"/>
      <c r="ET562" s="42"/>
      <c r="EU562" s="42"/>
      <c r="EV562" s="42"/>
      <c r="EW562" s="42"/>
      <c r="EX562" s="42"/>
      <c r="EY562" s="42"/>
      <c r="EZ562" s="42"/>
      <c r="FA562" s="42"/>
      <c r="FB562" s="42"/>
      <c r="FC562" s="42"/>
      <c r="FD562" s="42"/>
      <c r="FE562" s="42"/>
      <c r="FF562" s="42"/>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row>
    <row r="563" spans="1:256" ht="13.8" x14ac:dyDescent="0.3">
      <c r="A563" s="42"/>
      <c r="B563" s="42"/>
      <c r="C563" s="42"/>
      <c r="D563" s="42"/>
      <c r="E563" s="42"/>
      <c r="F563" s="42"/>
      <c r="G563" s="42"/>
      <c r="H563" s="42"/>
      <c r="I563" s="42"/>
      <c r="J563" s="42"/>
      <c r="K563" s="42"/>
      <c r="L563" s="42"/>
      <c r="M563" s="42"/>
      <c r="N563" s="42"/>
      <c r="O563" s="42"/>
      <c r="P563" s="42"/>
      <c r="Q563" s="42"/>
      <c r="R563" s="42"/>
      <c r="S563" s="42"/>
      <c r="T563" s="42"/>
      <c r="U563" s="194"/>
      <c r="V563" s="42"/>
      <c r="W563" s="42"/>
      <c r="X563" s="42"/>
      <c r="Y563" s="42"/>
      <c r="Z563" s="42"/>
      <c r="AA563" s="42"/>
      <c r="AB563" s="195"/>
      <c r="AC563" s="42"/>
      <c r="AD563" s="42"/>
      <c r="AE563" s="195"/>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c r="BM563" s="42"/>
      <c r="BN563" s="42"/>
      <c r="BO563" s="42"/>
      <c r="BP563" s="42"/>
      <c r="BQ563" s="42"/>
      <c r="BR563" s="42"/>
      <c r="BS563" s="42"/>
      <c r="BT563" s="42"/>
      <c r="BU563" s="42"/>
      <c r="BV563" s="42"/>
      <c r="BW563" s="42"/>
      <c r="BX563" s="42"/>
      <c r="BY563" s="42"/>
      <c r="BZ563" s="42"/>
      <c r="CA563" s="42"/>
      <c r="CB563" s="42"/>
      <c r="CC563" s="42"/>
      <c r="CD563" s="42"/>
      <c r="CE563" s="42"/>
      <c r="CF563" s="42"/>
      <c r="CG563" s="42"/>
      <c r="CH563" s="42"/>
      <c r="CI563" s="42"/>
      <c r="CJ563" s="42"/>
      <c r="CK563" s="42"/>
      <c r="CL563" s="42"/>
      <c r="CM563" s="42"/>
      <c r="CN563" s="42"/>
      <c r="CO563" s="42"/>
      <c r="CP563" s="42"/>
      <c r="CQ563" s="42"/>
      <c r="CR563" s="42"/>
      <c r="CS563" s="42"/>
      <c r="CT563" s="42"/>
      <c r="CU563" s="42"/>
      <c r="CV563" s="42"/>
      <c r="CW563" s="42"/>
      <c r="CX563" s="42"/>
      <c r="CY563" s="42"/>
      <c r="CZ563" s="42"/>
      <c r="DA563" s="42"/>
      <c r="DB563" s="42"/>
      <c r="DC563" s="42"/>
      <c r="DD563" s="42"/>
      <c r="DE563" s="42"/>
      <c r="DF563" s="42"/>
      <c r="DG563" s="42"/>
      <c r="DH563" s="42"/>
      <c r="DI563" s="42"/>
      <c r="DJ563" s="42"/>
      <c r="DK563" s="42"/>
      <c r="DL563" s="42"/>
      <c r="DM563" s="42"/>
      <c r="DN563" s="42"/>
      <c r="DO563" s="42"/>
      <c r="DP563" s="42"/>
      <c r="DQ563" s="42"/>
      <c r="DR563" s="42"/>
      <c r="DS563" s="42"/>
      <c r="DT563" s="42"/>
      <c r="DU563" s="42"/>
      <c r="DV563" s="42"/>
      <c r="DW563" s="42"/>
      <c r="DX563" s="42"/>
      <c r="DY563" s="42"/>
      <c r="DZ563" s="42"/>
      <c r="EA563" s="42"/>
      <c r="EB563" s="42"/>
      <c r="EC563" s="42"/>
      <c r="ED563" s="42"/>
      <c r="EE563" s="42"/>
      <c r="EF563" s="42"/>
      <c r="EG563" s="42"/>
      <c r="EH563" s="42"/>
      <c r="EI563" s="42"/>
      <c r="EJ563" s="42"/>
      <c r="EK563" s="42"/>
      <c r="EL563" s="42"/>
      <c r="EM563" s="42"/>
      <c r="EN563" s="42"/>
      <c r="EO563" s="42"/>
      <c r="EP563" s="42"/>
      <c r="EQ563" s="42"/>
      <c r="ER563" s="42"/>
      <c r="ES563" s="42"/>
      <c r="ET563" s="42"/>
      <c r="EU563" s="42"/>
      <c r="EV563" s="42"/>
      <c r="EW563" s="42"/>
      <c r="EX563" s="42"/>
      <c r="EY563" s="42"/>
      <c r="EZ563" s="42"/>
      <c r="FA563" s="42"/>
      <c r="FB563" s="42"/>
      <c r="FC563" s="42"/>
      <c r="FD563" s="42"/>
      <c r="FE563" s="42"/>
      <c r="FF563" s="42"/>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row>
    <row r="564" spans="1:256" ht="13.8" x14ac:dyDescent="0.3">
      <c r="A564" s="42"/>
      <c r="B564" s="42"/>
      <c r="C564" s="42"/>
      <c r="D564" s="42"/>
      <c r="E564" s="42"/>
      <c r="F564" s="42"/>
      <c r="G564" s="42"/>
      <c r="H564" s="42"/>
      <c r="I564" s="42"/>
      <c r="J564" s="42"/>
      <c r="K564" s="42"/>
      <c r="L564" s="42"/>
      <c r="M564" s="42"/>
      <c r="N564" s="42"/>
      <c r="O564" s="42"/>
      <c r="P564" s="42"/>
      <c r="Q564" s="42"/>
      <c r="R564" s="42"/>
      <c r="S564" s="42"/>
      <c r="T564" s="42"/>
      <c r="U564" s="194"/>
      <c r="V564" s="42"/>
      <c r="W564" s="42"/>
      <c r="X564" s="42"/>
      <c r="Y564" s="42"/>
      <c r="Z564" s="42"/>
      <c r="AA564" s="42"/>
      <c r="AB564" s="195"/>
      <c r="AC564" s="42"/>
      <c r="AD564" s="42"/>
      <c r="AE564" s="195"/>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c r="BM564" s="42"/>
      <c r="BN564" s="42"/>
      <c r="BO564" s="42"/>
      <c r="BP564" s="42"/>
      <c r="BQ564" s="42"/>
      <c r="BR564" s="42"/>
      <c r="BS564" s="42"/>
      <c r="BT564" s="42"/>
      <c r="BU564" s="42"/>
      <c r="BV564" s="42"/>
      <c r="BW564" s="42"/>
      <c r="BX564" s="42"/>
      <c r="BY564" s="42"/>
      <c r="BZ564" s="42"/>
      <c r="CA564" s="42"/>
      <c r="CB564" s="42"/>
      <c r="CC564" s="42"/>
      <c r="CD564" s="42"/>
      <c r="CE564" s="42"/>
      <c r="CF564" s="42"/>
      <c r="CG564" s="42"/>
      <c r="CH564" s="42"/>
      <c r="CI564" s="42"/>
      <c r="CJ564" s="42"/>
      <c r="CK564" s="42"/>
      <c r="CL564" s="42"/>
      <c r="CM564" s="42"/>
      <c r="CN564" s="42"/>
      <c r="CO564" s="42"/>
      <c r="CP564" s="42"/>
      <c r="CQ564" s="42"/>
      <c r="CR564" s="42"/>
      <c r="CS564" s="42"/>
      <c r="CT564" s="42"/>
      <c r="CU564" s="42"/>
      <c r="CV564" s="42"/>
      <c r="CW564" s="42"/>
      <c r="CX564" s="42"/>
      <c r="CY564" s="42"/>
      <c r="CZ564" s="42"/>
      <c r="DA564" s="42"/>
      <c r="DB564" s="42"/>
      <c r="DC564" s="42"/>
      <c r="DD564" s="42"/>
      <c r="DE564" s="42"/>
      <c r="DF564" s="42"/>
      <c r="DG564" s="42"/>
      <c r="DH564" s="42"/>
      <c r="DI564" s="42"/>
      <c r="DJ564" s="42"/>
      <c r="DK564" s="42"/>
      <c r="DL564" s="42"/>
      <c r="DM564" s="42"/>
      <c r="DN564" s="42"/>
      <c r="DO564" s="42"/>
      <c r="DP564" s="42"/>
      <c r="DQ564" s="42"/>
      <c r="DR564" s="42"/>
      <c r="DS564" s="42"/>
      <c r="DT564" s="42"/>
      <c r="DU564" s="42"/>
      <c r="DV564" s="42"/>
      <c r="DW564" s="42"/>
      <c r="DX564" s="42"/>
      <c r="DY564" s="42"/>
      <c r="DZ564" s="42"/>
      <c r="EA564" s="42"/>
      <c r="EB564" s="42"/>
      <c r="EC564" s="42"/>
      <c r="ED564" s="42"/>
      <c r="EE564" s="42"/>
      <c r="EF564" s="42"/>
      <c r="EG564" s="42"/>
      <c r="EH564" s="42"/>
      <c r="EI564" s="42"/>
      <c r="EJ564" s="42"/>
      <c r="EK564" s="42"/>
      <c r="EL564" s="42"/>
      <c r="EM564" s="42"/>
      <c r="EN564" s="42"/>
      <c r="EO564" s="42"/>
      <c r="EP564" s="42"/>
      <c r="EQ564" s="42"/>
      <c r="ER564" s="42"/>
      <c r="ES564" s="42"/>
      <c r="ET564" s="42"/>
      <c r="EU564" s="42"/>
      <c r="EV564" s="42"/>
      <c r="EW564" s="42"/>
      <c r="EX564" s="42"/>
      <c r="EY564" s="42"/>
      <c r="EZ564" s="42"/>
      <c r="FA564" s="42"/>
      <c r="FB564" s="42"/>
      <c r="FC564" s="42"/>
      <c r="FD564" s="42"/>
      <c r="FE564" s="42"/>
      <c r="FF564" s="42"/>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row>
    <row r="565" spans="1:256" ht="13.8" x14ac:dyDescent="0.3">
      <c r="A565" s="42"/>
      <c r="B565" s="42"/>
      <c r="C565" s="42"/>
      <c r="D565" s="42"/>
      <c r="E565" s="42"/>
      <c r="F565" s="42"/>
      <c r="G565" s="42"/>
      <c r="H565" s="42"/>
      <c r="I565" s="42"/>
      <c r="J565" s="42"/>
      <c r="K565" s="42"/>
      <c r="L565" s="42"/>
      <c r="M565" s="42"/>
      <c r="N565" s="42"/>
      <c r="O565" s="42"/>
      <c r="P565" s="42"/>
      <c r="Q565" s="42"/>
      <c r="R565" s="42"/>
      <c r="S565" s="42"/>
      <c r="T565" s="42"/>
      <c r="U565" s="194"/>
      <c r="V565" s="42"/>
      <c r="W565" s="42"/>
      <c r="X565" s="42"/>
      <c r="Y565" s="42"/>
      <c r="Z565" s="42"/>
      <c r="AA565" s="42"/>
      <c r="AB565" s="195"/>
      <c r="AC565" s="42"/>
      <c r="AD565" s="42"/>
      <c r="AE565" s="195"/>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c r="BM565" s="42"/>
      <c r="BN565" s="42"/>
      <c r="BO565" s="42"/>
      <c r="BP565" s="42"/>
      <c r="BQ565" s="42"/>
      <c r="BR565" s="42"/>
      <c r="BS565" s="42"/>
      <c r="BT565" s="42"/>
      <c r="BU565" s="42"/>
      <c r="BV565" s="42"/>
      <c r="BW565" s="42"/>
      <c r="BX565" s="42"/>
      <c r="BY565" s="42"/>
      <c r="BZ565" s="42"/>
      <c r="CA565" s="42"/>
      <c r="CB565" s="42"/>
      <c r="CC565" s="42"/>
      <c r="CD565" s="42"/>
      <c r="CE565" s="42"/>
      <c r="CF565" s="42"/>
      <c r="CG565" s="42"/>
      <c r="CH565" s="42"/>
      <c r="CI565" s="42"/>
      <c r="CJ565" s="42"/>
      <c r="CK565" s="42"/>
      <c r="CL565" s="42"/>
      <c r="CM565" s="42"/>
      <c r="CN565" s="42"/>
      <c r="CO565" s="42"/>
      <c r="CP565" s="42"/>
      <c r="CQ565" s="42"/>
      <c r="CR565" s="42"/>
      <c r="CS565" s="42"/>
      <c r="CT565" s="42"/>
      <c r="CU565" s="42"/>
      <c r="CV565" s="42"/>
      <c r="CW565" s="42"/>
      <c r="CX565" s="42"/>
      <c r="CY565" s="42"/>
      <c r="CZ565" s="42"/>
      <c r="DA565" s="42"/>
      <c r="DB565" s="42"/>
      <c r="DC565" s="42"/>
      <c r="DD565" s="42"/>
      <c r="DE565" s="42"/>
      <c r="DF565" s="42"/>
      <c r="DG565" s="42"/>
      <c r="DH565" s="42"/>
      <c r="DI565" s="42"/>
      <c r="DJ565" s="42"/>
      <c r="DK565" s="42"/>
      <c r="DL565" s="42"/>
      <c r="DM565" s="42"/>
      <c r="DN565" s="42"/>
      <c r="DO565" s="42"/>
      <c r="DP565" s="42"/>
      <c r="DQ565" s="42"/>
      <c r="DR565" s="42"/>
      <c r="DS565" s="42"/>
      <c r="DT565" s="42"/>
      <c r="DU565" s="42"/>
      <c r="DV565" s="42"/>
      <c r="DW565" s="42"/>
      <c r="DX565" s="42"/>
      <c r="DY565" s="42"/>
      <c r="DZ565" s="42"/>
      <c r="EA565" s="42"/>
      <c r="EB565" s="42"/>
      <c r="EC565" s="42"/>
      <c r="ED565" s="42"/>
      <c r="EE565" s="42"/>
      <c r="EF565" s="42"/>
      <c r="EG565" s="42"/>
      <c r="EH565" s="42"/>
      <c r="EI565" s="42"/>
      <c r="EJ565" s="42"/>
      <c r="EK565" s="42"/>
      <c r="EL565" s="42"/>
      <c r="EM565" s="42"/>
      <c r="EN565" s="42"/>
      <c r="EO565" s="42"/>
      <c r="EP565" s="42"/>
      <c r="EQ565" s="42"/>
      <c r="ER565" s="42"/>
      <c r="ES565" s="42"/>
      <c r="ET565" s="42"/>
      <c r="EU565" s="42"/>
      <c r="EV565" s="42"/>
      <c r="EW565" s="42"/>
      <c r="EX565" s="42"/>
      <c r="EY565" s="42"/>
      <c r="EZ565" s="42"/>
      <c r="FA565" s="42"/>
      <c r="FB565" s="42"/>
      <c r="FC565" s="42"/>
      <c r="FD565" s="42"/>
      <c r="FE565" s="42"/>
      <c r="FF565" s="42"/>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row>
    <row r="566" spans="1:256" ht="13.8" x14ac:dyDescent="0.3">
      <c r="A566" s="42"/>
      <c r="B566" s="42"/>
      <c r="C566" s="42"/>
      <c r="D566" s="42"/>
      <c r="E566" s="42"/>
      <c r="F566" s="42"/>
      <c r="G566" s="42"/>
      <c r="H566" s="42"/>
      <c r="I566" s="42"/>
      <c r="J566" s="42"/>
      <c r="K566" s="42"/>
      <c r="L566" s="42"/>
      <c r="M566" s="42"/>
      <c r="N566" s="42"/>
      <c r="O566" s="42"/>
      <c r="P566" s="42"/>
      <c r="Q566" s="42"/>
      <c r="R566" s="42"/>
      <c r="S566" s="42"/>
      <c r="T566" s="42"/>
      <c r="U566" s="194"/>
      <c r="V566" s="42"/>
      <c r="W566" s="42"/>
      <c r="X566" s="42"/>
      <c r="Y566" s="42"/>
      <c r="Z566" s="42"/>
      <c r="AA566" s="42"/>
      <c r="AB566" s="195"/>
      <c r="AC566" s="42"/>
      <c r="AD566" s="42"/>
      <c r="AE566" s="195"/>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c r="BM566" s="42"/>
      <c r="BN566" s="42"/>
      <c r="BO566" s="42"/>
      <c r="BP566" s="42"/>
      <c r="BQ566" s="42"/>
      <c r="BR566" s="42"/>
      <c r="BS566" s="42"/>
      <c r="BT566" s="42"/>
      <c r="BU566" s="42"/>
      <c r="BV566" s="42"/>
      <c r="BW566" s="42"/>
      <c r="BX566" s="42"/>
      <c r="BY566" s="42"/>
      <c r="BZ566" s="42"/>
      <c r="CA566" s="42"/>
      <c r="CB566" s="42"/>
      <c r="CC566" s="42"/>
      <c r="CD566" s="42"/>
      <c r="CE566" s="42"/>
      <c r="CF566" s="42"/>
      <c r="CG566" s="42"/>
      <c r="CH566" s="42"/>
      <c r="CI566" s="42"/>
      <c r="CJ566" s="42"/>
      <c r="CK566" s="42"/>
      <c r="CL566" s="42"/>
      <c r="CM566" s="42"/>
      <c r="CN566" s="42"/>
      <c r="CO566" s="42"/>
      <c r="CP566" s="42"/>
      <c r="CQ566" s="42"/>
      <c r="CR566" s="42"/>
      <c r="CS566" s="42"/>
      <c r="CT566" s="42"/>
      <c r="CU566" s="42"/>
      <c r="CV566" s="42"/>
      <c r="CW566" s="42"/>
      <c r="CX566" s="42"/>
      <c r="CY566" s="42"/>
      <c r="CZ566" s="42"/>
      <c r="DA566" s="42"/>
      <c r="DB566" s="42"/>
      <c r="DC566" s="42"/>
      <c r="DD566" s="42"/>
      <c r="DE566" s="42"/>
      <c r="DF566" s="42"/>
      <c r="DG566" s="42"/>
      <c r="DH566" s="42"/>
      <c r="DI566" s="42"/>
      <c r="DJ566" s="42"/>
      <c r="DK566" s="42"/>
      <c r="DL566" s="42"/>
      <c r="DM566" s="42"/>
      <c r="DN566" s="42"/>
      <c r="DO566" s="42"/>
      <c r="DP566" s="42"/>
      <c r="DQ566" s="42"/>
      <c r="DR566" s="42"/>
      <c r="DS566" s="42"/>
      <c r="DT566" s="42"/>
      <c r="DU566" s="42"/>
      <c r="DV566" s="42"/>
      <c r="DW566" s="42"/>
      <c r="DX566" s="42"/>
      <c r="DY566" s="42"/>
      <c r="DZ566" s="42"/>
      <c r="EA566" s="42"/>
      <c r="EB566" s="42"/>
      <c r="EC566" s="42"/>
      <c r="ED566" s="42"/>
      <c r="EE566" s="42"/>
      <c r="EF566" s="42"/>
      <c r="EG566" s="42"/>
      <c r="EH566" s="42"/>
      <c r="EI566" s="42"/>
      <c r="EJ566" s="42"/>
      <c r="EK566" s="42"/>
      <c r="EL566" s="42"/>
      <c r="EM566" s="42"/>
      <c r="EN566" s="42"/>
      <c r="EO566" s="42"/>
      <c r="EP566" s="42"/>
      <c r="EQ566" s="42"/>
      <c r="ER566" s="42"/>
      <c r="ES566" s="42"/>
      <c r="ET566" s="42"/>
      <c r="EU566" s="42"/>
      <c r="EV566" s="42"/>
      <c r="EW566" s="42"/>
      <c r="EX566" s="42"/>
      <c r="EY566" s="42"/>
      <c r="EZ566" s="42"/>
      <c r="FA566" s="42"/>
      <c r="FB566" s="42"/>
      <c r="FC566" s="42"/>
      <c r="FD566" s="42"/>
      <c r="FE566" s="42"/>
      <c r="FF566" s="42"/>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row>
    <row r="567" spans="1:256" ht="13.8" x14ac:dyDescent="0.3">
      <c r="A567" s="42"/>
      <c r="B567" s="42"/>
      <c r="C567" s="42"/>
      <c r="D567" s="42"/>
      <c r="E567" s="42"/>
      <c r="F567" s="42"/>
      <c r="G567" s="42"/>
      <c r="H567" s="42"/>
      <c r="I567" s="42"/>
      <c r="J567" s="42"/>
      <c r="K567" s="42"/>
      <c r="L567" s="42"/>
      <c r="M567" s="42"/>
      <c r="N567" s="42"/>
      <c r="O567" s="42"/>
      <c r="P567" s="42"/>
      <c r="Q567" s="42"/>
      <c r="R567" s="42"/>
      <c r="S567" s="42"/>
      <c r="T567" s="42"/>
      <c r="U567" s="194"/>
      <c r="V567" s="42"/>
      <c r="W567" s="42"/>
      <c r="X567" s="42"/>
      <c r="Y567" s="42"/>
      <c r="Z567" s="42"/>
      <c r="AA567" s="42"/>
      <c r="AB567" s="195"/>
      <c r="AC567" s="42"/>
      <c r="AD567" s="42"/>
      <c r="AE567" s="195"/>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c r="BM567" s="42"/>
      <c r="BN567" s="42"/>
      <c r="BO567" s="42"/>
      <c r="BP567" s="42"/>
      <c r="BQ567" s="42"/>
      <c r="BR567" s="42"/>
      <c r="BS567" s="42"/>
      <c r="BT567" s="42"/>
      <c r="BU567" s="42"/>
      <c r="BV567" s="42"/>
      <c r="BW567" s="42"/>
      <c r="BX567" s="42"/>
      <c r="BY567" s="42"/>
      <c r="BZ567" s="42"/>
      <c r="CA567" s="42"/>
      <c r="CB567" s="42"/>
      <c r="CC567" s="42"/>
      <c r="CD567" s="42"/>
      <c r="CE567" s="42"/>
      <c r="CF567" s="42"/>
      <c r="CG567" s="42"/>
      <c r="CH567" s="42"/>
      <c r="CI567" s="42"/>
      <c r="CJ567" s="42"/>
      <c r="CK567" s="42"/>
      <c r="CL567" s="42"/>
      <c r="CM567" s="42"/>
      <c r="CN567" s="42"/>
      <c r="CO567" s="42"/>
      <c r="CP567" s="42"/>
      <c r="CQ567" s="42"/>
      <c r="CR567" s="42"/>
      <c r="CS567" s="42"/>
      <c r="CT567" s="42"/>
      <c r="CU567" s="42"/>
      <c r="CV567" s="42"/>
      <c r="CW567" s="42"/>
      <c r="CX567" s="42"/>
      <c r="CY567" s="42"/>
      <c r="CZ567" s="42"/>
      <c r="DA567" s="42"/>
      <c r="DB567" s="42"/>
      <c r="DC567" s="42"/>
      <c r="DD567" s="42"/>
      <c r="DE567" s="42"/>
      <c r="DF567" s="42"/>
      <c r="DG567" s="42"/>
      <c r="DH567" s="42"/>
      <c r="DI567" s="42"/>
      <c r="DJ567" s="42"/>
      <c r="DK567" s="42"/>
      <c r="DL567" s="42"/>
      <c r="DM567" s="42"/>
      <c r="DN567" s="42"/>
      <c r="DO567" s="42"/>
      <c r="DP567" s="42"/>
      <c r="DQ567" s="42"/>
      <c r="DR567" s="42"/>
      <c r="DS567" s="42"/>
      <c r="DT567" s="42"/>
      <c r="DU567" s="42"/>
      <c r="DV567" s="42"/>
      <c r="DW567" s="42"/>
      <c r="DX567" s="42"/>
      <c r="DY567" s="42"/>
      <c r="DZ567" s="42"/>
      <c r="EA567" s="42"/>
      <c r="EB567" s="42"/>
      <c r="EC567" s="42"/>
      <c r="ED567" s="42"/>
      <c r="EE567" s="42"/>
      <c r="EF567" s="42"/>
      <c r="EG567" s="42"/>
      <c r="EH567" s="42"/>
      <c r="EI567" s="42"/>
      <c r="EJ567" s="42"/>
      <c r="EK567" s="42"/>
      <c r="EL567" s="42"/>
      <c r="EM567" s="42"/>
      <c r="EN567" s="42"/>
      <c r="EO567" s="42"/>
      <c r="EP567" s="42"/>
      <c r="EQ567" s="42"/>
      <c r="ER567" s="42"/>
      <c r="ES567" s="42"/>
      <c r="ET567" s="42"/>
      <c r="EU567" s="42"/>
      <c r="EV567" s="42"/>
      <c r="EW567" s="42"/>
      <c r="EX567" s="42"/>
      <c r="EY567" s="42"/>
      <c r="EZ567" s="42"/>
      <c r="FA567" s="42"/>
      <c r="FB567" s="42"/>
      <c r="FC567" s="42"/>
      <c r="FD567" s="42"/>
      <c r="FE567" s="42"/>
      <c r="FF567" s="42"/>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row>
    <row r="568" spans="1:256" ht="13.8" x14ac:dyDescent="0.3">
      <c r="A568" s="42"/>
      <c r="B568" s="42"/>
      <c r="C568" s="42"/>
      <c r="D568" s="42"/>
      <c r="E568" s="42"/>
      <c r="F568" s="42"/>
      <c r="G568" s="42"/>
      <c r="H568" s="42"/>
      <c r="I568" s="42"/>
      <c r="J568" s="42"/>
      <c r="K568" s="42"/>
      <c r="L568" s="42"/>
      <c r="M568" s="42"/>
      <c r="N568" s="42"/>
      <c r="O568" s="42"/>
      <c r="P568" s="42"/>
      <c r="Q568" s="42"/>
      <c r="R568" s="42"/>
      <c r="S568" s="42"/>
      <c r="T568" s="42"/>
      <c r="U568" s="194"/>
      <c r="V568" s="42"/>
      <c r="W568" s="42"/>
      <c r="X568" s="42"/>
      <c r="Y568" s="42"/>
      <c r="Z568" s="42"/>
      <c r="AA568" s="42"/>
      <c r="AB568" s="195"/>
      <c r="AC568" s="42"/>
      <c r="AD568" s="42"/>
      <c r="AE568" s="195"/>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c r="BM568" s="42"/>
      <c r="BN568" s="42"/>
      <c r="BO568" s="42"/>
      <c r="BP568" s="42"/>
      <c r="BQ568" s="42"/>
      <c r="BR568" s="42"/>
      <c r="BS568" s="42"/>
      <c r="BT568" s="42"/>
      <c r="BU568" s="42"/>
      <c r="BV568" s="42"/>
      <c r="BW568" s="42"/>
      <c r="BX568" s="42"/>
      <c r="BY568" s="42"/>
      <c r="BZ568" s="42"/>
      <c r="CA568" s="42"/>
      <c r="CB568" s="42"/>
      <c r="CC568" s="42"/>
      <c r="CD568" s="42"/>
      <c r="CE568" s="42"/>
      <c r="CF568" s="42"/>
      <c r="CG568" s="42"/>
      <c r="CH568" s="42"/>
      <c r="CI568" s="42"/>
      <c r="CJ568" s="42"/>
      <c r="CK568" s="42"/>
      <c r="CL568" s="42"/>
      <c r="CM568" s="42"/>
      <c r="CN568" s="42"/>
      <c r="CO568" s="42"/>
      <c r="CP568" s="42"/>
      <c r="CQ568" s="42"/>
      <c r="CR568" s="42"/>
      <c r="CS568" s="42"/>
      <c r="CT568" s="42"/>
      <c r="CU568" s="42"/>
      <c r="CV568" s="42"/>
      <c r="CW568" s="42"/>
      <c r="CX568" s="42"/>
      <c r="CY568" s="42"/>
      <c r="CZ568" s="42"/>
      <c r="DA568" s="42"/>
      <c r="DB568" s="42"/>
      <c r="DC568" s="42"/>
      <c r="DD568" s="42"/>
      <c r="DE568" s="42"/>
      <c r="DF568" s="42"/>
      <c r="DG568" s="42"/>
      <c r="DH568" s="42"/>
      <c r="DI568" s="42"/>
      <c r="DJ568" s="42"/>
      <c r="DK568" s="42"/>
      <c r="DL568" s="42"/>
      <c r="DM568" s="42"/>
      <c r="DN568" s="42"/>
      <c r="DO568" s="42"/>
      <c r="DP568" s="42"/>
      <c r="DQ568" s="42"/>
      <c r="DR568" s="42"/>
      <c r="DS568" s="42"/>
      <c r="DT568" s="42"/>
      <c r="DU568" s="42"/>
      <c r="DV568" s="42"/>
      <c r="DW568" s="42"/>
      <c r="DX568" s="42"/>
      <c r="DY568" s="42"/>
      <c r="DZ568" s="42"/>
      <c r="EA568" s="42"/>
      <c r="EB568" s="42"/>
      <c r="EC568" s="42"/>
      <c r="ED568" s="42"/>
      <c r="EE568" s="42"/>
      <c r="EF568" s="42"/>
      <c r="EG568" s="42"/>
      <c r="EH568" s="42"/>
      <c r="EI568" s="42"/>
      <c r="EJ568" s="42"/>
      <c r="EK568" s="42"/>
      <c r="EL568" s="42"/>
      <c r="EM568" s="42"/>
      <c r="EN568" s="42"/>
      <c r="EO568" s="42"/>
      <c r="EP568" s="42"/>
      <c r="EQ568" s="42"/>
      <c r="ER568" s="42"/>
      <c r="ES568" s="42"/>
      <c r="ET568" s="42"/>
      <c r="EU568" s="42"/>
      <c r="EV568" s="42"/>
      <c r="EW568" s="42"/>
      <c r="EX568" s="42"/>
      <c r="EY568" s="42"/>
      <c r="EZ568" s="42"/>
      <c r="FA568" s="42"/>
      <c r="FB568" s="42"/>
      <c r="FC568" s="42"/>
      <c r="FD568" s="42"/>
      <c r="FE568" s="42"/>
      <c r="FF568" s="42"/>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row>
    <row r="569" spans="1:256" ht="13.8" x14ac:dyDescent="0.3">
      <c r="A569" s="42"/>
      <c r="B569" s="42"/>
      <c r="C569" s="42"/>
      <c r="D569" s="42"/>
      <c r="E569" s="42"/>
      <c r="F569" s="42"/>
      <c r="G569" s="42"/>
      <c r="H569" s="42"/>
      <c r="I569" s="42"/>
      <c r="J569" s="42"/>
      <c r="K569" s="42"/>
      <c r="L569" s="42"/>
      <c r="M569" s="42"/>
      <c r="N569" s="42"/>
      <c r="O569" s="42"/>
      <c r="P569" s="42"/>
      <c r="Q569" s="42"/>
      <c r="R569" s="42"/>
      <c r="S569" s="42"/>
      <c r="T569" s="42"/>
      <c r="U569" s="194"/>
      <c r="V569" s="42"/>
      <c r="W569" s="42"/>
      <c r="X569" s="42"/>
      <c r="Y569" s="42"/>
      <c r="Z569" s="42"/>
      <c r="AA569" s="42"/>
      <c r="AB569" s="195"/>
      <c r="AC569" s="42"/>
      <c r="AD569" s="42"/>
      <c r="AE569" s="195"/>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c r="BM569" s="42"/>
      <c r="BN569" s="42"/>
      <c r="BO569" s="42"/>
      <c r="BP569" s="42"/>
      <c r="BQ569" s="42"/>
      <c r="BR569" s="42"/>
      <c r="BS569" s="42"/>
      <c r="BT569" s="42"/>
      <c r="BU569" s="42"/>
      <c r="BV569" s="42"/>
      <c r="BW569" s="42"/>
      <c r="BX569" s="42"/>
      <c r="BY569" s="42"/>
      <c r="BZ569" s="42"/>
      <c r="CA569" s="42"/>
      <c r="CB569" s="42"/>
      <c r="CC569" s="42"/>
      <c r="CD569" s="42"/>
      <c r="CE569" s="42"/>
      <c r="CF569" s="42"/>
      <c r="CG569" s="42"/>
      <c r="CH569" s="42"/>
      <c r="CI569" s="42"/>
      <c r="CJ569" s="42"/>
      <c r="CK569" s="42"/>
      <c r="CL569" s="42"/>
      <c r="CM569" s="42"/>
      <c r="CN569" s="42"/>
      <c r="CO569" s="42"/>
      <c r="CP569" s="42"/>
      <c r="CQ569" s="42"/>
      <c r="CR569" s="42"/>
      <c r="CS569" s="42"/>
      <c r="CT569" s="42"/>
      <c r="CU569" s="42"/>
      <c r="CV569" s="42"/>
      <c r="CW569" s="42"/>
      <c r="CX569" s="42"/>
      <c r="CY569" s="42"/>
      <c r="CZ569" s="42"/>
      <c r="DA569" s="42"/>
      <c r="DB569" s="42"/>
      <c r="DC569" s="42"/>
      <c r="DD569" s="42"/>
      <c r="DE569" s="42"/>
      <c r="DF569" s="42"/>
      <c r="DG569" s="42"/>
      <c r="DH569" s="42"/>
      <c r="DI569" s="42"/>
      <c r="DJ569" s="42"/>
      <c r="DK569" s="42"/>
      <c r="DL569" s="42"/>
      <c r="DM569" s="42"/>
      <c r="DN569" s="42"/>
      <c r="DO569" s="42"/>
      <c r="DP569" s="42"/>
      <c r="DQ569" s="42"/>
      <c r="DR569" s="42"/>
      <c r="DS569" s="42"/>
      <c r="DT569" s="42"/>
      <c r="DU569" s="42"/>
      <c r="DV569" s="42"/>
      <c r="DW569" s="42"/>
      <c r="DX569" s="42"/>
      <c r="DY569" s="42"/>
      <c r="DZ569" s="42"/>
      <c r="EA569" s="42"/>
      <c r="EB569" s="42"/>
      <c r="EC569" s="42"/>
      <c r="ED569" s="42"/>
      <c r="EE569" s="42"/>
      <c r="EF569" s="42"/>
      <c r="EG569" s="42"/>
      <c r="EH569" s="42"/>
      <c r="EI569" s="42"/>
      <c r="EJ569" s="42"/>
      <c r="EK569" s="42"/>
      <c r="EL569" s="42"/>
      <c r="EM569" s="42"/>
      <c r="EN569" s="42"/>
      <c r="EO569" s="42"/>
      <c r="EP569" s="42"/>
      <c r="EQ569" s="42"/>
      <c r="ER569" s="42"/>
      <c r="ES569" s="42"/>
      <c r="ET569" s="42"/>
      <c r="EU569" s="42"/>
      <c r="EV569" s="42"/>
      <c r="EW569" s="42"/>
      <c r="EX569" s="42"/>
      <c r="EY569" s="42"/>
      <c r="EZ569" s="42"/>
      <c r="FA569" s="42"/>
      <c r="FB569" s="42"/>
      <c r="FC569" s="42"/>
      <c r="FD569" s="42"/>
      <c r="FE569" s="42"/>
      <c r="FF569" s="42"/>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row>
    <row r="570" spans="1:256" ht="13.8" x14ac:dyDescent="0.3">
      <c r="A570" s="42"/>
      <c r="B570" s="42"/>
      <c r="C570" s="42"/>
      <c r="D570" s="42"/>
      <c r="E570" s="42"/>
      <c r="F570" s="42"/>
      <c r="G570" s="42"/>
      <c r="H570" s="42"/>
      <c r="I570" s="42"/>
      <c r="J570" s="42"/>
      <c r="K570" s="42"/>
      <c r="L570" s="42"/>
      <c r="M570" s="42"/>
      <c r="N570" s="42"/>
      <c r="O570" s="42"/>
      <c r="P570" s="42"/>
      <c r="Q570" s="42"/>
      <c r="R570" s="42"/>
      <c r="S570" s="42"/>
      <c r="T570" s="42"/>
      <c r="U570" s="194"/>
      <c r="V570" s="42"/>
      <c r="W570" s="42"/>
      <c r="X570" s="42"/>
      <c r="Y570" s="42"/>
      <c r="Z570" s="42"/>
      <c r="AA570" s="42"/>
      <c r="AB570" s="195"/>
      <c r="AC570" s="42"/>
      <c r="AD570" s="42"/>
      <c r="AE570" s="195"/>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c r="BM570" s="42"/>
      <c r="BN570" s="42"/>
      <c r="BO570" s="42"/>
      <c r="BP570" s="42"/>
      <c r="BQ570" s="42"/>
      <c r="BR570" s="42"/>
      <c r="BS570" s="42"/>
      <c r="BT570" s="42"/>
      <c r="BU570" s="42"/>
      <c r="BV570" s="42"/>
      <c r="BW570" s="42"/>
      <c r="BX570" s="42"/>
      <c r="BY570" s="42"/>
      <c r="BZ570" s="42"/>
      <c r="CA570" s="42"/>
      <c r="CB570" s="42"/>
      <c r="CC570" s="42"/>
      <c r="CD570" s="42"/>
      <c r="CE570" s="42"/>
      <c r="CF570" s="42"/>
      <c r="CG570" s="42"/>
      <c r="CH570" s="42"/>
      <c r="CI570" s="42"/>
      <c r="CJ570" s="42"/>
      <c r="CK570" s="42"/>
      <c r="CL570" s="42"/>
      <c r="CM570" s="42"/>
      <c r="CN570" s="42"/>
      <c r="CO570" s="42"/>
      <c r="CP570" s="42"/>
      <c r="CQ570" s="42"/>
      <c r="CR570" s="42"/>
      <c r="CS570" s="42"/>
      <c r="CT570" s="42"/>
      <c r="CU570" s="42"/>
      <c r="CV570" s="42"/>
      <c r="CW570" s="42"/>
      <c r="CX570" s="42"/>
      <c r="CY570" s="42"/>
      <c r="CZ570" s="42"/>
      <c r="DA570" s="42"/>
      <c r="DB570" s="42"/>
      <c r="DC570" s="42"/>
      <c r="DD570" s="42"/>
      <c r="DE570" s="42"/>
      <c r="DF570" s="42"/>
      <c r="DG570" s="42"/>
      <c r="DH570" s="42"/>
      <c r="DI570" s="42"/>
      <c r="DJ570" s="42"/>
      <c r="DK570" s="42"/>
      <c r="DL570" s="42"/>
      <c r="DM570" s="42"/>
      <c r="DN570" s="42"/>
      <c r="DO570" s="42"/>
      <c r="DP570" s="42"/>
      <c r="DQ570" s="42"/>
      <c r="DR570" s="42"/>
      <c r="DS570" s="42"/>
      <c r="DT570" s="42"/>
      <c r="DU570" s="42"/>
      <c r="DV570" s="42"/>
      <c r="DW570" s="42"/>
      <c r="DX570" s="42"/>
      <c r="DY570" s="42"/>
      <c r="DZ570" s="42"/>
      <c r="EA570" s="42"/>
      <c r="EB570" s="42"/>
      <c r="EC570" s="42"/>
      <c r="ED570" s="42"/>
      <c r="EE570" s="42"/>
      <c r="EF570" s="42"/>
      <c r="EG570" s="42"/>
      <c r="EH570" s="42"/>
      <c r="EI570" s="42"/>
      <c r="EJ570" s="42"/>
      <c r="EK570" s="42"/>
      <c r="EL570" s="42"/>
      <c r="EM570" s="42"/>
      <c r="EN570" s="42"/>
      <c r="EO570" s="42"/>
      <c r="EP570" s="42"/>
      <c r="EQ570" s="42"/>
      <c r="ER570" s="42"/>
      <c r="ES570" s="42"/>
      <c r="ET570" s="42"/>
      <c r="EU570" s="42"/>
      <c r="EV570" s="42"/>
      <c r="EW570" s="42"/>
      <c r="EX570" s="42"/>
      <c r="EY570" s="42"/>
      <c r="EZ570" s="42"/>
      <c r="FA570" s="42"/>
      <c r="FB570" s="42"/>
      <c r="FC570" s="42"/>
      <c r="FD570" s="42"/>
      <c r="FE570" s="42"/>
      <c r="FF570" s="42"/>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row>
    <row r="571" spans="1:256" ht="13.8" x14ac:dyDescent="0.3">
      <c r="A571" s="42"/>
      <c r="B571" s="42"/>
      <c r="C571" s="42"/>
      <c r="D571" s="42"/>
      <c r="E571" s="42"/>
      <c r="F571" s="42"/>
      <c r="G571" s="42"/>
      <c r="H571" s="42"/>
      <c r="I571" s="42"/>
      <c r="J571" s="42"/>
      <c r="K571" s="42"/>
      <c r="L571" s="42"/>
      <c r="M571" s="42"/>
      <c r="N571" s="42"/>
      <c r="O571" s="42"/>
      <c r="P571" s="42"/>
      <c r="Q571" s="42"/>
      <c r="R571" s="42"/>
      <c r="S571" s="42"/>
      <c r="T571" s="42"/>
      <c r="U571" s="194"/>
      <c r="V571" s="42"/>
      <c r="W571" s="42"/>
      <c r="X571" s="42"/>
      <c r="Y571" s="42"/>
      <c r="Z571" s="42"/>
      <c r="AA571" s="42"/>
      <c r="AB571" s="195"/>
      <c r="AC571" s="42"/>
      <c r="AD571" s="42"/>
      <c r="AE571" s="195"/>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c r="BM571" s="42"/>
      <c r="BN571" s="42"/>
      <c r="BO571" s="42"/>
      <c r="BP571" s="42"/>
      <c r="BQ571" s="42"/>
      <c r="BR571" s="42"/>
      <c r="BS571" s="42"/>
      <c r="BT571" s="42"/>
      <c r="BU571" s="42"/>
      <c r="BV571" s="42"/>
      <c r="BW571" s="42"/>
      <c r="BX571" s="42"/>
      <c r="BY571" s="42"/>
      <c r="BZ571" s="42"/>
      <c r="CA571" s="42"/>
      <c r="CB571" s="42"/>
      <c r="CC571" s="42"/>
      <c r="CD571" s="42"/>
      <c r="CE571" s="42"/>
      <c r="CF571" s="42"/>
      <c r="CG571" s="42"/>
      <c r="CH571" s="42"/>
      <c r="CI571" s="42"/>
      <c r="CJ571" s="42"/>
      <c r="CK571" s="42"/>
      <c r="CL571" s="42"/>
      <c r="CM571" s="42"/>
      <c r="CN571" s="42"/>
      <c r="CO571" s="42"/>
      <c r="CP571" s="42"/>
      <c r="CQ571" s="42"/>
      <c r="CR571" s="42"/>
      <c r="CS571" s="42"/>
      <c r="CT571" s="42"/>
      <c r="CU571" s="42"/>
      <c r="CV571" s="42"/>
      <c r="CW571" s="42"/>
      <c r="CX571" s="42"/>
      <c r="CY571" s="42"/>
      <c r="CZ571" s="42"/>
      <c r="DA571" s="42"/>
      <c r="DB571" s="42"/>
      <c r="DC571" s="42"/>
      <c r="DD571" s="42"/>
      <c r="DE571" s="42"/>
      <c r="DF571" s="42"/>
      <c r="DG571" s="42"/>
      <c r="DH571" s="42"/>
      <c r="DI571" s="42"/>
      <c r="DJ571" s="42"/>
      <c r="DK571" s="42"/>
      <c r="DL571" s="42"/>
      <c r="DM571" s="42"/>
      <c r="DN571" s="42"/>
      <c r="DO571" s="42"/>
      <c r="DP571" s="42"/>
      <c r="DQ571" s="42"/>
      <c r="DR571" s="42"/>
      <c r="DS571" s="42"/>
      <c r="DT571" s="42"/>
      <c r="DU571" s="42"/>
      <c r="DV571" s="42"/>
      <c r="DW571" s="42"/>
      <c r="DX571" s="42"/>
      <c r="DY571" s="42"/>
      <c r="DZ571" s="42"/>
      <c r="EA571" s="42"/>
      <c r="EB571" s="42"/>
      <c r="EC571" s="42"/>
      <c r="ED571" s="42"/>
      <c r="EE571" s="42"/>
      <c r="EF571" s="42"/>
      <c r="EG571" s="42"/>
      <c r="EH571" s="42"/>
      <c r="EI571" s="42"/>
      <c r="EJ571" s="42"/>
      <c r="EK571" s="42"/>
      <c r="EL571" s="42"/>
      <c r="EM571" s="42"/>
      <c r="EN571" s="42"/>
      <c r="EO571" s="42"/>
      <c r="EP571" s="42"/>
      <c r="EQ571" s="42"/>
      <c r="ER571" s="42"/>
      <c r="ES571" s="42"/>
      <c r="ET571" s="42"/>
      <c r="EU571" s="42"/>
      <c r="EV571" s="42"/>
      <c r="EW571" s="42"/>
      <c r="EX571" s="42"/>
      <c r="EY571" s="42"/>
      <c r="EZ571" s="42"/>
      <c r="FA571" s="42"/>
      <c r="FB571" s="42"/>
      <c r="FC571" s="42"/>
      <c r="FD571" s="42"/>
      <c r="FE571" s="42"/>
      <c r="FF571" s="42"/>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row>
    <row r="572" spans="1:256" ht="13.8" x14ac:dyDescent="0.3">
      <c r="A572" s="42"/>
      <c r="B572" s="42"/>
      <c r="C572" s="42"/>
      <c r="D572" s="42"/>
      <c r="E572" s="42"/>
      <c r="F572" s="42"/>
      <c r="G572" s="42"/>
      <c r="H572" s="42"/>
      <c r="I572" s="42"/>
      <c r="J572" s="42"/>
      <c r="K572" s="42"/>
      <c r="L572" s="42"/>
      <c r="M572" s="42"/>
      <c r="N572" s="42"/>
      <c r="O572" s="42"/>
      <c r="P572" s="42"/>
      <c r="Q572" s="42"/>
      <c r="R572" s="42"/>
      <c r="S572" s="42"/>
      <c r="T572" s="42"/>
      <c r="U572" s="194"/>
      <c r="V572" s="42"/>
      <c r="W572" s="42"/>
      <c r="X572" s="42"/>
      <c r="Y572" s="42"/>
      <c r="Z572" s="42"/>
      <c r="AA572" s="42"/>
      <c r="AB572" s="195"/>
      <c r="AC572" s="42"/>
      <c r="AD572" s="42"/>
      <c r="AE572" s="195"/>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c r="BM572" s="42"/>
      <c r="BN572" s="42"/>
      <c r="BO572" s="42"/>
      <c r="BP572" s="42"/>
      <c r="BQ572" s="42"/>
      <c r="BR572" s="42"/>
      <c r="BS572" s="42"/>
      <c r="BT572" s="42"/>
      <c r="BU572" s="42"/>
      <c r="BV572" s="42"/>
      <c r="BW572" s="42"/>
      <c r="BX572" s="42"/>
      <c r="BY572" s="42"/>
      <c r="BZ572" s="42"/>
      <c r="CA572" s="42"/>
      <c r="CB572" s="42"/>
      <c r="CC572" s="42"/>
      <c r="CD572" s="42"/>
      <c r="CE572" s="42"/>
      <c r="CF572" s="42"/>
      <c r="CG572" s="42"/>
      <c r="CH572" s="42"/>
      <c r="CI572" s="42"/>
      <c r="CJ572" s="42"/>
      <c r="CK572" s="42"/>
      <c r="CL572" s="42"/>
      <c r="CM572" s="42"/>
      <c r="CN572" s="42"/>
      <c r="CO572" s="42"/>
      <c r="CP572" s="42"/>
      <c r="CQ572" s="42"/>
      <c r="CR572" s="42"/>
      <c r="CS572" s="42"/>
      <c r="CT572" s="42"/>
      <c r="CU572" s="42"/>
      <c r="CV572" s="42"/>
      <c r="CW572" s="42"/>
      <c r="CX572" s="42"/>
      <c r="CY572" s="42"/>
      <c r="CZ572" s="42"/>
      <c r="DA572" s="42"/>
      <c r="DB572" s="42"/>
      <c r="DC572" s="42"/>
      <c r="DD572" s="42"/>
      <c r="DE572" s="42"/>
      <c r="DF572" s="42"/>
      <c r="DG572" s="42"/>
      <c r="DH572" s="42"/>
      <c r="DI572" s="42"/>
      <c r="DJ572" s="42"/>
      <c r="DK572" s="42"/>
      <c r="DL572" s="42"/>
      <c r="DM572" s="42"/>
      <c r="DN572" s="42"/>
      <c r="DO572" s="42"/>
      <c r="DP572" s="42"/>
      <c r="DQ572" s="42"/>
      <c r="DR572" s="42"/>
      <c r="DS572" s="42"/>
      <c r="DT572" s="42"/>
      <c r="DU572" s="42"/>
      <c r="DV572" s="42"/>
      <c r="DW572" s="42"/>
      <c r="DX572" s="42"/>
      <c r="DY572" s="42"/>
      <c r="DZ572" s="42"/>
      <c r="EA572" s="42"/>
      <c r="EB572" s="42"/>
      <c r="EC572" s="42"/>
      <c r="ED572" s="42"/>
      <c r="EE572" s="42"/>
      <c r="EF572" s="42"/>
      <c r="EG572" s="42"/>
      <c r="EH572" s="42"/>
      <c r="EI572" s="42"/>
      <c r="EJ572" s="42"/>
      <c r="EK572" s="42"/>
      <c r="EL572" s="42"/>
      <c r="EM572" s="42"/>
      <c r="EN572" s="42"/>
      <c r="EO572" s="42"/>
      <c r="EP572" s="42"/>
      <c r="EQ572" s="42"/>
      <c r="ER572" s="42"/>
      <c r="ES572" s="42"/>
      <c r="ET572" s="42"/>
      <c r="EU572" s="42"/>
      <c r="EV572" s="42"/>
      <c r="EW572" s="42"/>
      <c r="EX572" s="42"/>
      <c r="EY572" s="42"/>
      <c r="EZ572" s="42"/>
      <c r="FA572" s="42"/>
      <c r="FB572" s="42"/>
      <c r="FC572" s="42"/>
      <c r="FD572" s="42"/>
      <c r="FE572" s="42"/>
      <c r="FF572" s="42"/>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row>
    <row r="573" spans="1:256" ht="13.8" x14ac:dyDescent="0.3">
      <c r="A573" s="42"/>
      <c r="B573" s="42"/>
      <c r="C573" s="42"/>
      <c r="D573" s="42"/>
      <c r="E573" s="42"/>
      <c r="F573" s="42"/>
      <c r="G573" s="42"/>
      <c r="H573" s="42"/>
      <c r="I573" s="42"/>
      <c r="J573" s="42"/>
      <c r="K573" s="42"/>
      <c r="L573" s="42"/>
      <c r="M573" s="42"/>
      <c r="N573" s="42"/>
      <c r="O573" s="42"/>
      <c r="P573" s="42"/>
      <c r="Q573" s="42"/>
      <c r="R573" s="42"/>
      <c r="S573" s="42"/>
      <c r="T573" s="42"/>
      <c r="U573" s="194"/>
      <c r="V573" s="42"/>
      <c r="W573" s="42"/>
      <c r="X573" s="42"/>
      <c r="Y573" s="42"/>
      <c r="Z573" s="42"/>
      <c r="AA573" s="42"/>
      <c r="AB573" s="195"/>
      <c r="AC573" s="42"/>
      <c r="AD573" s="42"/>
      <c r="AE573" s="195"/>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c r="BM573" s="42"/>
      <c r="BN573" s="42"/>
      <c r="BO573" s="42"/>
      <c r="BP573" s="42"/>
      <c r="BQ573" s="42"/>
      <c r="BR573" s="42"/>
      <c r="BS573" s="42"/>
      <c r="BT573" s="42"/>
      <c r="BU573" s="42"/>
      <c r="BV573" s="42"/>
      <c r="BW573" s="42"/>
      <c r="BX573" s="42"/>
      <c r="BY573" s="42"/>
      <c r="BZ573" s="42"/>
      <c r="CA573" s="42"/>
      <c r="CB573" s="42"/>
      <c r="CC573" s="42"/>
      <c r="CD573" s="42"/>
      <c r="CE573" s="42"/>
      <c r="CF573" s="42"/>
      <c r="CG573" s="42"/>
      <c r="CH573" s="42"/>
      <c r="CI573" s="42"/>
      <c r="CJ573" s="42"/>
      <c r="CK573" s="42"/>
      <c r="CL573" s="42"/>
      <c r="CM573" s="42"/>
      <c r="CN573" s="42"/>
      <c r="CO573" s="42"/>
      <c r="CP573" s="42"/>
      <c r="CQ573" s="42"/>
      <c r="CR573" s="42"/>
      <c r="CS573" s="42"/>
      <c r="CT573" s="42"/>
      <c r="CU573" s="42"/>
      <c r="CV573" s="42"/>
      <c r="CW573" s="42"/>
      <c r="CX573" s="42"/>
      <c r="CY573" s="42"/>
      <c r="CZ573" s="42"/>
      <c r="DA573" s="42"/>
      <c r="DB573" s="42"/>
      <c r="DC573" s="42"/>
      <c r="DD573" s="42"/>
      <c r="DE573" s="42"/>
      <c r="DF573" s="42"/>
      <c r="DG573" s="42"/>
      <c r="DH573" s="42"/>
      <c r="DI573" s="42"/>
      <c r="DJ573" s="42"/>
      <c r="DK573" s="42"/>
      <c r="DL573" s="42"/>
      <c r="DM573" s="42"/>
      <c r="DN573" s="42"/>
      <c r="DO573" s="42"/>
      <c r="DP573" s="42"/>
      <c r="DQ573" s="42"/>
      <c r="DR573" s="42"/>
      <c r="DS573" s="42"/>
      <c r="DT573" s="42"/>
      <c r="DU573" s="42"/>
      <c r="DV573" s="42"/>
      <c r="DW573" s="42"/>
      <c r="DX573" s="42"/>
      <c r="DY573" s="42"/>
      <c r="DZ573" s="42"/>
      <c r="EA573" s="42"/>
      <c r="EB573" s="42"/>
      <c r="EC573" s="42"/>
      <c r="ED573" s="42"/>
      <c r="EE573" s="42"/>
      <c r="EF573" s="42"/>
      <c r="EG573" s="42"/>
      <c r="EH573" s="42"/>
      <c r="EI573" s="42"/>
      <c r="EJ573" s="42"/>
      <c r="EK573" s="42"/>
      <c r="EL573" s="42"/>
      <c r="EM573" s="42"/>
      <c r="EN573" s="42"/>
      <c r="EO573" s="42"/>
      <c r="EP573" s="42"/>
      <c r="EQ573" s="42"/>
      <c r="ER573" s="42"/>
      <c r="ES573" s="42"/>
      <c r="ET573" s="42"/>
      <c r="EU573" s="42"/>
      <c r="EV573" s="42"/>
      <c r="EW573" s="42"/>
      <c r="EX573" s="42"/>
      <c r="EY573" s="42"/>
      <c r="EZ573" s="42"/>
      <c r="FA573" s="42"/>
      <c r="FB573" s="42"/>
      <c r="FC573" s="42"/>
      <c r="FD573" s="42"/>
      <c r="FE573" s="42"/>
      <c r="FF573" s="42"/>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row>
    <row r="574" spans="1:256" ht="13.8" x14ac:dyDescent="0.3">
      <c r="A574" s="42"/>
      <c r="B574" s="42"/>
      <c r="C574" s="42"/>
      <c r="D574" s="42"/>
      <c r="E574" s="42"/>
      <c r="F574" s="42"/>
      <c r="G574" s="42"/>
      <c r="H574" s="42"/>
      <c r="I574" s="42"/>
      <c r="J574" s="42"/>
      <c r="K574" s="42"/>
      <c r="L574" s="42"/>
      <c r="M574" s="42"/>
      <c r="N574" s="42"/>
      <c r="O574" s="42"/>
      <c r="P574" s="42"/>
      <c r="Q574" s="42"/>
      <c r="R574" s="42"/>
      <c r="S574" s="42"/>
      <c r="T574" s="42"/>
      <c r="U574" s="194"/>
      <c r="V574" s="42"/>
      <c r="W574" s="42"/>
      <c r="X574" s="42"/>
      <c r="Y574" s="42"/>
      <c r="Z574" s="42"/>
      <c r="AA574" s="42"/>
      <c r="AB574" s="195"/>
      <c r="AC574" s="42"/>
      <c r="AD574" s="42"/>
      <c r="AE574" s="195"/>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c r="BM574" s="42"/>
      <c r="BN574" s="42"/>
      <c r="BO574" s="42"/>
      <c r="BP574" s="42"/>
      <c r="BQ574" s="42"/>
      <c r="BR574" s="42"/>
      <c r="BS574" s="42"/>
      <c r="BT574" s="42"/>
      <c r="BU574" s="42"/>
      <c r="BV574" s="42"/>
      <c r="BW574" s="42"/>
      <c r="BX574" s="42"/>
      <c r="BY574" s="42"/>
      <c r="BZ574" s="42"/>
      <c r="CA574" s="42"/>
      <c r="CB574" s="42"/>
      <c r="CC574" s="42"/>
      <c r="CD574" s="42"/>
      <c r="CE574" s="42"/>
      <c r="CF574" s="42"/>
      <c r="CG574" s="42"/>
      <c r="CH574" s="42"/>
      <c r="CI574" s="42"/>
      <c r="CJ574" s="42"/>
      <c r="CK574" s="42"/>
      <c r="CL574" s="42"/>
      <c r="CM574" s="42"/>
      <c r="CN574" s="42"/>
      <c r="CO574" s="42"/>
      <c r="CP574" s="42"/>
      <c r="CQ574" s="42"/>
      <c r="CR574" s="42"/>
      <c r="CS574" s="42"/>
      <c r="CT574" s="42"/>
      <c r="CU574" s="42"/>
      <c r="CV574" s="42"/>
      <c r="CW574" s="42"/>
      <c r="CX574" s="42"/>
      <c r="CY574" s="42"/>
      <c r="CZ574" s="42"/>
      <c r="DA574" s="42"/>
      <c r="DB574" s="42"/>
      <c r="DC574" s="42"/>
      <c r="DD574" s="42"/>
      <c r="DE574" s="42"/>
      <c r="DF574" s="42"/>
      <c r="DG574" s="42"/>
      <c r="DH574" s="42"/>
      <c r="DI574" s="42"/>
      <c r="DJ574" s="42"/>
      <c r="DK574" s="42"/>
      <c r="DL574" s="42"/>
      <c r="DM574" s="42"/>
      <c r="DN574" s="42"/>
      <c r="DO574" s="42"/>
      <c r="DP574" s="42"/>
      <c r="DQ574" s="42"/>
      <c r="DR574" s="42"/>
      <c r="DS574" s="42"/>
      <c r="DT574" s="42"/>
      <c r="DU574" s="42"/>
      <c r="DV574" s="42"/>
      <c r="DW574" s="42"/>
      <c r="DX574" s="42"/>
      <c r="DY574" s="42"/>
      <c r="DZ574" s="42"/>
      <c r="EA574" s="42"/>
      <c r="EB574" s="42"/>
      <c r="EC574" s="42"/>
      <c r="ED574" s="42"/>
      <c r="EE574" s="42"/>
      <c r="EF574" s="42"/>
      <c r="EG574" s="42"/>
      <c r="EH574" s="42"/>
      <c r="EI574" s="42"/>
      <c r="EJ574" s="42"/>
      <c r="EK574" s="42"/>
      <c r="EL574" s="42"/>
      <c r="EM574" s="42"/>
      <c r="EN574" s="42"/>
      <c r="EO574" s="42"/>
      <c r="EP574" s="42"/>
      <c r="EQ574" s="42"/>
      <c r="ER574" s="42"/>
      <c r="ES574" s="42"/>
      <c r="ET574" s="42"/>
      <c r="EU574" s="42"/>
      <c r="EV574" s="42"/>
      <c r="EW574" s="42"/>
      <c r="EX574" s="42"/>
      <c r="EY574" s="42"/>
      <c r="EZ574" s="42"/>
      <c r="FA574" s="42"/>
      <c r="FB574" s="42"/>
      <c r="FC574" s="42"/>
      <c r="FD574" s="42"/>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row>
    <row r="575" spans="1:256" ht="13.8" x14ac:dyDescent="0.3">
      <c r="A575" s="42"/>
      <c r="B575" s="42"/>
      <c r="C575" s="42"/>
      <c r="D575" s="42"/>
      <c r="E575" s="42"/>
      <c r="F575" s="42"/>
      <c r="G575" s="42"/>
      <c r="H575" s="42"/>
      <c r="I575" s="42"/>
      <c r="J575" s="42"/>
      <c r="K575" s="42"/>
      <c r="L575" s="42"/>
      <c r="M575" s="42"/>
      <c r="N575" s="42"/>
      <c r="O575" s="42"/>
      <c r="P575" s="42"/>
      <c r="Q575" s="42"/>
      <c r="R575" s="42"/>
      <c r="S575" s="42"/>
      <c r="T575" s="42"/>
      <c r="U575" s="194"/>
      <c r="V575" s="42"/>
      <c r="W575" s="42"/>
      <c r="X575" s="42"/>
      <c r="Y575" s="42"/>
      <c r="Z575" s="42"/>
      <c r="AA575" s="42"/>
      <c r="AB575" s="195"/>
      <c r="AC575" s="42"/>
      <c r="AD575" s="42"/>
      <c r="AE575" s="195"/>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c r="BM575" s="42"/>
      <c r="BN575" s="42"/>
      <c r="BO575" s="42"/>
      <c r="BP575" s="42"/>
      <c r="BQ575" s="42"/>
      <c r="BR575" s="42"/>
      <c r="BS575" s="42"/>
      <c r="BT575" s="42"/>
      <c r="BU575" s="42"/>
      <c r="BV575" s="42"/>
      <c r="BW575" s="42"/>
      <c r="BX575" s="42"/>
      <c r="BY575" s="42"/>
      <c r="BZ575" s="42"/>
      <c r="CA575" s="42"/>
      <c r="CB575" s="42"/>
      <c r="CC575" s="42"/>
      <c r="CD575" s="42"/>
      <c r="CE575" s="42"/>
      <c r="CF575" s="42"/>
      <c r="CG575" s="42"/>
      <c r="CH575" s="42"/>
      <c r="CI575" s="42"/>
      <c r="CJ575" s="42"/>
      <c r="CK575" s="42"/>
      <c r="CL575" s="42"/>
      <c r="CM575" s="42"/>
      <c r="CN575" s="42"/>
      <c r="CO575" s="42"/>
      <c r="CP575" s="42"/>
      <c r="CQ575" s="42"/>
      <c r="CR575" s="42"/>
      <c r="CS575" s="42"/>
      <c r="CT575" s="42"/>
      <c r="CU575" s="42"/>
      <c r="CV575" s="42"/>
      <c r="CW575" s="42"/>
      <c r="CX575" s="42"/>
      <c r="CY575" s="42"/>
      <c r="CZ575" s="42"/>
      <c r="DA575" s="42"/>
      <c r="DB575" s="42"/>
      <c r="DC575" s="42"/>
      <c r="DD575" s="42"/>
      <c r="DE575" s="42"/>
      <c r="DF575" s="42"/>
      <c r="DG575" s="42"/>
      <c r="DH575" s="42"/>
      <c r="DI575" s="42"/>
      <c r="DJ575" s="42"/>
      <c r="DK575" s="42"/>
      <c r="DL575" s="42"/>
      <c r="DM575" s="42"/>
      <c r="DN575" s="42"/>
      <c r="DO575" s="42"/>
      <c r="DP575" s="42"/>
      <c r="DQ575" s="42"/>
      <c r="DR575" s="42"/>
      <c r="DS575" s="42"/>
      <c r="DT575" s="42"/>
      <c r="DU575" s="42"/>
      <c r="DV575" s="42"/>
      <c r="DW575" s="42"/>
      <c r="DX575" s="42"/>
      <c r="DY575" s="42"/>
      <c r="DZ575" s="42"/>
      <c r="EA575" s="42"/>
      <c r="EB575" s="42"/>
      <c r="EC575" s="42"/>
      <c r="ED575" s="42"/>
      <c r="EE575" s="42"/>
      <c r="EF575" s="42"/>
      <c r="EG575" s="42"/>
      <c r="EH575" s="42"/>
      <c r="EI575" s="42"/>
      <c r="EJ575" s="42"/>
      <c r="EK575" s="42"/>
      <c r="EL575" s="42"/>
      <c r="EM575" s="42"/>
      <c r="EN575" s="42"/>
      <c r="EO575" s="42"/>
      <c r="EP575" s="42"/>
      <c r="EQ575" s="42"/>
      <c r="ER575" s="42"/>
      <c r="ES575" s="42"/>
      <c r="ET575" s="42"/>
      <c r="EU575" s="42"/>
      <c r="EV575" s="42"/>
      <c r="EW575" s="42"/>
      <c r="EX575" s="42"/>
      <c r="EY575" s="42"/>
      <c r="EZ575" s="42"/>
      <c r="FA575" s="42"/>
      <c r="FB575" s="42"/>
      <c r="FC575" s="42"/>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row>
    <row r="576" spans="1:256" ht="13.8" x14ac:dyDescent="0.3">
      <c r="A576" s="42"/>
      <c r="B576" s="42"/>
      <c r="C576" s="42"/>
      <c r="D576" s="42"/>
      <c r="E576" s="42"/>
      <c r="F576" s="42"/>
      <c r="G576" s="42"/>
      <c r="H576" s="42"/>
      <c r="I576" s="42"/>
      <c r="J576" s="42"/>
      <c r="K576" s="42"/>
      <c r="L576" s="42"/>
      <c r="M576" s="42"/>
      <c r="N576" s="42"/>
      <c r="O576" s="42"/>
      <c r="P576" s="42"/>
      <c r="Q576" s="42"/>
      <c r="R576" s="42"/>
      <c r="S576" s="42"/>
      <c r="T576" s="42"/>
      <c r="U576" s="194"/>
      <c r="V576" s="42"/>
      <c r="W576" s="42"/>
      <c r="X576" s="42"/>
      <c r="Y576" s="42"/>
      <c r="Z576" s="42"/>
      <c r="AA576" s="42"/>
      <c r="AB576" s="195"/>
      <c r="AC576" s="42"/>
      <c r="AD576" s="42"/>
      <c r="AE576" s="195"/>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c r="BM576" s="42"/>
      <c r="BN576" s="42"/>
      <c r="BO576" s="42"/>
      <c r="BP576" s="42"/>
      <c r="BQ576" s="42"/>
      <c r="BR576" s="42"/>
      <c r="BS576" s="42"/>
      <c r="BT576" s="42"/>
      <c r="BU576" s="42"/>
      <c r="BV576" s="42"/>
      <c r="BW576" s="42"/>
      <c r="BX576" s="42"/>
      <c r="BY576" s="42"/>
      <c r="BZ576" s="42"/>
      <c r="CA576" s="42"/>
      <c r="CB576" s="42"/>
      <c r="CC576" s="42"/>
      <c r="CD576" s="42"/>
      <c r="CE576" s="42"/>
      <c r="CF576" s="42"/>
      <c r="CG576" s="42"/>
      <c r="CH576" s="42"/>
      <c r="CI576" s="42"/>
      <c r="CJ576" s="42"/>
      <c r="CK576" s="42"/>
      <c r="CL576" s="42"/>
      <c r="CM576" s="42"/>
      <c r="CN576" s="42"/>
      <c r="CO576" s="42"/>
      <c r="CP576" s="42"/>
      <c r="CQ576" s="42"/>
      <c r="CR576" s="42"/>
      <c r="CS576" s="42"/>
      <c r="CT576" s="42"/>
      <c r="CU576" s="42"/>
      <c r="CV576" s="42"/>
      <c r="CW576" s="42"/>
      <c r="CX576" s="42"/>
      <c r="CY576" s="42"/>
      <c r="CZ576" s="42"/>
      <c r="DA576" s="42"/>
      <c r="DB576" s="42"/>
      <c r="DC576" s="42"/>
      <c r="DD576" s="42"/>
      <c r="DE576" s="42"/>
      <c r="DF576" s="42"/>
      <c r="DG576" s="42"/>
      <c r="DH576" s="42"/>
      <c r="DI576" s="42"/>
      <c r="DJ576" s="42"/>
      <c r="DK576" s="42"/>
      <c r="DL576" s="42"/>
      <c r="DM576" s="42"/>
      <c r="DN576" s="42"/>
      <c r="DO576" s="42"/>
      <c r="DP576" s="42"/>
      <c r="DQ576" s="42"/>
      <c r="DR576" s="42"/>
      <c r="DS576" s="42"/>
      <c r="DT576" s="42"/>
      <c r="DU576" s="42"/>
      <c r="DV576" s="42"/>
      <c r="DW576" s="42"/>
      <c r="DX576" s="42"/>
      <c r="DY576" s="42"/>
      <c r="DZ576" s="42"/>
      <c r="EA576" s="42"/>
      <c r="EB576" s="42"/>
      <c r="EC576" s="42"/>
      <c r="ED576" s="42"/>
      <c r="EE576" s="42"/>
      <c r="EF576" s="42"/>
      <c r="EG576" s="42"/>
      <c r="EH576" s="42"/>
      <c r="EI576" s="42"/>
      <c r="EJ576" s="42"/>
      <c r="EK576" s="42"/>
      <c r="EL576" s="42"/>
      <c r="EM576" s="42"/>
      <c r="EN576" s="42"/>
      <c r="EO576" s="42"/>
      <c r="EP576" s="42"/>
      <c r="EQ576" s="42"/>
      <c r="ER576" s="42"/>
      <c r="ES576" s="42"/>
      <c r="ET576" s="42"/>
      <c r="EU576" s="42"/>
      <c r="EV576" s="42"/>
      <c r="EW576" s="42"/>
      <c r="EX576" s="42"/>
      <c r="EY576" s="42"/>
      <c r="EZ576" s="42"/>
      <c r="FA576" s="42"/>
      <c r="FB576" s="42"/>
      <c r="FC576" s="42"/>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row>
    <row r="577" spans="1:256" ht="13.8" x14ac:dyDescent="0.3">
      <c r="A577" s="42"/>
      <c r="B577" s="42"/>
      <c r="C577" s="42"/>
      <c r="D577" s="42"/>
      <c r="E577" s="42"/>
      <c r="F577" s="42"/>
      <c r="G577" s="42"/>
      <c r="H577" s="42"/>
      <c r="I577" s="42"/>
      <c r="J577" s="42"/>
      <c r="K577" s="42"/>
      <c r="L577" s="42"/>
      <c r="M577" s="42"/>
      <c r="N577" s="42"/>
      <c r="O577" s="42"/>
      <c r="P577" s="42"/>
      <c r="Q577" s="42"/>
      <c r="R577" s="42"/>
      <c r="S577" s="42"/>
      <c r="T577" s="42"/>
      <c r="U577" s="194"/>
      <c r="V577" s="42"/>
      <c r="W577" s="42"/>
      <c r="X577" s="42"/>
      <c r="Y577" s="42"/>
      <c r="Z577" s="42"/>
      <c r="AA577" s="42"/>
      <c r="AB577" s="195"/>
      <c r="AC577" s="42"/>
      <c r="AD577" s="42"/>
      <c r="AE577" s="195"/>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c r="BM577" s="42"/>
      <c r="BN577" s="42"/>
      <c r="BO577" s="42"/>
      <c r="BP577" s="42"/>
      <c r="BQ577" s="42"/>
      <c r="BR577" s="42"/>
      <c r="BS577" s="42"/>
      <c r="BT577" s="42"/>
      <c r="BU577" s="42"/>
      <c r="BV577" s="42"/>
      <c r="BW577" s="42"/>
      <c r="BX577" s="42"/>
      <c r="BY577" s="42"/>
      <c r="BZ577" s="42"/>
      <c r="CA577" s="42"/>
      <c r="CB577" s="42"/>
      <c r="CC577" s="42"/>
      <c r="CD577" s="42"/>
      <c r="CE577" s="42"/>
      <c r="CF577" s="42"/>
      <c r="CG577" s="42"/>
      <c r="CH577" s="42"/>
      <c r="CI577" s="42"/>
      <c r="CJ577" s="42"/>
      <c r="CK577" s="42"/>
      <c r="CL577" s="42"/>
      <c r="CM577" s="42"/>
      <c r="CN577" s="42"/>
      <c r="CO577" s="42"/>
      <c r="CP577" s="42"/>
      <c r="CQ577" s="42"/>
      <c r="CR577" s="42"/>
      <c r="CS577" s="42"/>
      <c r="CT577" s="42"/>
      <c r="CU577" s="42"/>
      <c r="CV577" s="42"/>
      <c r="CW577" s="42"/>
      <c r="CX577" s="42"/>
      <c r="CY577" s="42"/>
      <c r="CZ577" s="42"/>
      <c r="DA577" s="42"/>
      <c r="DB577" s="42"/>
      <c r="DC577" s="42"/>
      <c r="DD577" s="42"/>
      <c r="DE577" s="42"/>
      <c r="DF577" s="42"/>
      <c r="DG577" s="42"/>
      <c r="DH577" s="42"/>
      <c r="DI577" s="42"/>
      <c r="DJ577" s="42"/>
      <c r="DK577" s="42"/>
      <c r="DL577" s="42"/>
      <c r="DM577" s="42"/>
      <c r="DN577" s="42"/>
      <c r="DO577" s="42"/>
      <c r="DP577" s="42"/>
      <c r="DQ577" s="42"/>
      <c r="DR577" s="42"/>
      <c r="DS577" s="42"/>
      <c r="DT577" s="42"/>
      <c r="DU577" s="42"/>
      <c r="DV577" s="42"/>
      <c r="DW577" s="42"/>
      <c r="DX577" s="42"/>
      <c r="DY577" s="42"/>
      <c r="DZ577" s="42"/>
      <c r="EA577" s="42"/>
      <c r="EB577" s="42"/>
      <c r="EC577" s="42"/>
      <c r="ED577" s="42"/>
      <c r="EE577" s="42"/>
      <c r="EF577" s="42"/>
      <c r="EG577" s="42"/>
      <c r="EH577" s="42"/>
      <c r="EI577" s="42"/>
      <c r="EJ577" s="42"/>
      <c r="EK577" s="42"/>
      <c r="EL577" s="42"/>
      <c r="EM577" s="42"/>
      <c r="EN577" s="42"/>
      <c r="EO577" s="42"/>
      <c r="EP577" s="42"/>
      <c r="EQ577" s="42"/>
      <c r="ER577" s="42"/>
      <c r="ES577" s="42"/>
      <c r="ET577" s="42"/>
      <c r="EU577" s="42"/>
      <c r="EV577" s="42"/>
      <c r="EW577" s="42"/>
      <c r="EX577" s="42"/>
      <c r="EY577" s="42"/>
      <c r="EZ577" s="42"/>
      <c r="FA577" s="42"/>
      <c r="FB577" s="42"/>
      <c r="FC577" s="42"/>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row>
    <row r="578" spans="1:256" ht="13.8" x14ac:dyDescent="0.3">
      <c r="A578" s="42"/>
      <c r="B578" s="42"/>
      <c r="C578" s="42"/>
      <c r="D578" s="42"/>
      <c r="E578" s="42"/>
      <c r="F578" s="42"/>
      <c r="G578" s="42"/>
      <c r="H578" s="42"/>
      <c r="I578" s="42"/>
      <c r="J578" s="42"/>
      <c r="K578" s="42"/>
      <c r="L578" s="42"/>
      <c r="M578" s="42"/>
      <c r="N578" s="42"/>
      <c r="O578" s="42"/>
      <c r="P578" s="42"/>
      <c r="Q578" s="42"/>
      <c r="R578" s="42"/>
      <c r="S578" s="42"/>
      <c r="T578" s="42"/>
      <c r="U578" s="194"/>
      <c r="V578" s="42"/>
      <c r="W578" s="42"/>
      <c r="X578" s="42"/>
      <c r="Y578" s="42"/>
      <c r="Z578" s="42"/>
      <c r="AA578" s="42"/>
      <c r="AB578" s="195"/>
      <c r="AC578" s="42"/>
      <c r="AD578" s="42"/>
      <c r="AE578" s="195"/>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c r="BM578" s="42"/>
      <c r="BN578" s="42"/>
      <c r="BO578" s="42"/>
      <c r="BP578" s="42"/>
      <c r="BQ578" s="42"/>
      <c r="BR578" s="42"/>
      <c r="BS578" s="42"/>
      <c r="BT578" s="42"/>
      <c r="BU578" s="42"/>
      <c r="BV578" s="42"/>
      <c r="BW578" s="42"/>
      <c r="BX578" s="42"/>
      <c r="BY578" s="42"/>
      <c r="BZ578" s="42"/>
      <c r="CA578" s="42"/>
      <c r="CB578" s="42"/>
      <c r="CC578" s="42"/>
      <c r="CD578" s="42"/>
      <c r="CE578" s="42"/>
      <c r="CF578" s="42"/>
      <c r="CG578" s="42"/>
      <c r="CH578" s="42"/>
      <c r="CI578" s="42"/>
      <c r="CJ578" s="42"/>
      <c r="CK578" s="42"/>
      <c r="CL578" s="42"/>
      <c r="CM578" s="42"/>
      <c r="CN578" s="42"/>
      <c r="CO578" s="42"/>
      <c r="CP578" s="42"/>
      <c r="CQ578" s="42"/>
      <c r="CR578" s="42"/>
      <c r="CS578" s="42"/>
      <c r="CT578" s="42"/>
      <c r="CU578" s="42"/>
      <c r="CV578" s="42"/>
      <c r="CW578" s="42"/>
      <c r="CX578" s="42"/>
      <c r="CY578" s="42"/>
      <c r="CZ578" s="42"/>
      <c r="DA578" s="42"/>
      <c r="DB578" s="42"/>
      <c r="DC578" s="42"/>
      <c r="DD578" s="42"/>
      <c r="DE578" s="42"/>
      <c r="DF578" s="42"/>
      <c r="DG578" s="42"/>
      <c r="DH578" s="42"/>
      <c r="DI578" s="42"/>
      <c r="DJ578" s="42"/>
      <c r="DK578" s="42"/>
      <c r="DL578" s="42"/>
      <c r="DM578" s="42"/>
      <c r="DN578" s="42"/>
      <c r="DO578" s="42"/>
      <c r="DP578" s="42"/>
      <c r="DQ578" s="42"/>
      <c r="DR578" s="42"/>
      <c r="DS578" s="42"/>
      <c r="DT578" s="42"/>
      <c r="DU578" s="42"/>
      <c r="DV578" s="42"/>
      <c r="DW578" s="42"/>
      <c r="DX578" s="42"/>
      <c r="DY578" s="42"/>
      <c r="DZ578" s="42"/>
      <c r="EA578" s="42"/>
      <c r="EB578" s="42"/>
      <c r="EC578" s="42"/>
      <c r="ED578" s="42"/>
      <c r="EE578" s="42"/>
      <c r="EF578" s="42"/>
      <c r="EG578" s="42"/>
      <c r="EH578" s="42"/>
      <c r="EI578" s="42"/>
      <c r="EJ578" s="42"/>
      <c r="EK578" s="42"/>
      <c r="EL578" s="42"/>
      <c r="EM578" s="42"/>
      <c r="EN578" s="42"/>
      <c r="EO578" s="42"/>
      <c r="EP578" s="42"/>
      <c r="EQ578" s="42"/>
      <c r="ER578" s="42"/>
      <c r="ES578" s="42"/>
      <c r="ET578" s="42"/>
      <c r="EU578" s="42"/>
      <c r="EV578" s="42"/>
      <c r="EW578" s="42"/>
      <c r="EX578" s="42"/>
      <c r="EY578" s="42"/>
      <c r="EZ578" s="42"/>
      <c r="FA578" s="42"/>
      <c r="FB578" s="42"/>
      <c r="FC578" s="42"/>
      <c r="FD578" s="42"/>
      <c r="FE578" s="42"/>
      <c r="FF578" s="42"/>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row>
    <row r="579" spans="1:256" ht="13.8" x14ac:dyDescent="0.3">
      <c r="A579" s="42"/>
      <c r="B579" s="42"/>
      <c r="C579" s="42"/>
      <c r="D579" s="42"/>
      <c r="E579" s="42"/>
      <c r="F579" s="42"/>
      <c r="G579" s="42"/>
      <c r="H579" s="42"/>
      <c r="I579" s="42"/>
      <c r="J579" s="42"/>
      <c r="K579" s="42"/>
      <c r="L579" s="42"/>
      <c r="M579" s="42"/>
      <c r="N579" s="42"/>
      <c r="O579" s="42"/>
      <c r="P579" s="42"/>
      <c r="Q579" s="42"/>
      <c r="R579" s="42"/>
      <c r="S579" s="42"/>
      <c r="T579" s="42"/>
      <c r="U579" s="194"/>
      <c r="V579" s="42"/>
      <c r="W579" s="42"/>
      <c r="X579" s="42"/>
      <c r="Y579" s="42"/>
      <c r="Z579" s="42"/>
      <c r="AA579" s="42"/>
      <c r="AB579" s="195"/>
      <c r="AC579" s="42"/>
      <c r="AD579" s="42"/>
      <c r="AE579" s="195"/>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c r="BM579" s="42"/>
      <c r="BN579" s="42"/>
      <c r="BO579" s="42"/>
      <c r="BP579" s="42"/>
      <c r="BQ579" s="42"/>
      <c r="BR579" s="42"/>
      <c r="BS579" s="42"/>
      <c r="BT579" s="42"/>
      <c r="BU579" s="42"/>
      <c r="BV579" s="42"/>
      <c r="BW579" s="42"/>
      <c r="BX579" s="42"/>
      <c r="BY579" s="42"/>
      <c r="BZ579" s="42"/>
      <c r="CA579" s="42"/>
      <c r="CB579" s="42"/>
      <c r="CC579" s="42"/>
      <c r="CD579" s="42"/>
      <c r="CE579" s="42"/>
      <c r="CF579" s="42"/>
      <c r="CG579" s="42"/>
      <c r="CH579" s="42"/>
      <c r="CI579" s="42"/>
      <c r="CJ579" s="42"/>
      <c r="CK579" s="42"/>
      <c r="CL579" s="42"/>
      <c r="CM579" s="42"/>
      <c r="CN579" s="42"/>
      <c r="CO579" s="42"/>
      <c r="CP579" s="42"/>
      <c r="CQ579" s="42"/>
      <c r="CR579" s="42"/>
      <c r="CS579" s="42"/>
      <c r="CT579" s="42"/>
      <c r="CU579" s="42"/>
      <c r="CV579" s="42"/>
      <c r="CW579" s="42"/>
      <c r="CX579" s="42"/>
      <c r="CY579" s="42"/>
      <c r="CZ579" s="42"/>
      <c r="DA579" s="42"/>
      <c r="DB579" s="42"/>
      <c r="DC579" s="42"/>
      <c r="DD579" s="42"/>
      <c r="DE579" s="42"/>
      <c r="DF579" s="42"/>
      <c r="DG579" s="42"/>
      <c r="DH579" s="42"/>
      <c r="DI579" s="42"/>
      <c r="DJ579" s="42"/>
      <c r="DK579" s="42"/>
      <c r="DL579" s="42"/>
      <c r="DM579" s="42"/>
      <c r="DN579" s="42"/>
      <c r="DO579" s="42"/>
      <c r="DP579" s="42"/>
      <c r="DQ579" s="42"/>
      <c r="DR579" s="42"/>
      <c r="DS579" s="42"/>
      <c r="DT579" s="42"/>
      <c r="DU579" s="42"/>
      <c r="DV579" s="42"/>
      <c r="DW579" s="42"/>
      <c r="DX579" s="42"/>
      <c r="DY579" s="42"/>
      <c r="DZ579" s="42"/>
      <c r="EA579" s="42"/>
      <c r="EB579" s="42"/>
      <c r="EC579" s="42"/>
      <c r="ED579" s="42"/>
      <c r="EE579" s="42"/>
      <c r="EF579" s="42"/>
      <c r="EG579" s="42"/>
      <c r="EH579" s="42"/>
      <c r="EI579" s="42"/>
      <c r="EJ579" s="42"/>
      <c r="EK579" s="42"/>
      <c r="EL579" s="42"/>
      <c r="EM579" s="42"/>
      <c r="EN579" s="42"/>
      <c r="EO579" s="42"/>
      <c r="EP579" s="42"/>
      <c r="EQ579" s="42"/>
      <c r="ER579" s="42"/>
      <c r="ES579" s="42"/>
      <c r="ET579" s="42"/>
      <c r="EU579" s="42"/>
      <c r="EV579" s="42"/>
      <c r="EW579" s="42"/>
      <c r="EX579" s="42"/>
      <c r="EY579" s="42"/>
      <c r="EZ579" s="42"/>
      <c r="FA579" s="42"/>
      <c r="FB579" s="42"/>
      <c r="FC579" s="42"/>
      <c r="FD579" s="42"/>
      <c r="FE579" s="42"/>
      <c r="FF579" s="42"/>
      <c r="FG579" s="42"/>
      <c r="FH579" s="42"/>
      <c r="FI579" s="42"/>
      <c r="FJ579" s="42"/>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row>
    <row r="580" spans="1:256" ht="13.8" x14ac:dyDescent="0.3">
      <c r="A580" s="42"/>
      <c r="B580" s="42"/>
      <c r="C580" s="42"/>
      <c r="D580" s="42"/>
      <c r="E580" s="42"/>
      <c r="F580" s="42"/>
      <c r="G580" s="42"/>
      <c r="H580" s="42"/>
      <c r="I580" s="42"/>
      <c r="J580" s="42"/>
      <c r="K580" s="42"/>
      <c r="L580" s="42"/>
      <c r="M580" s="42"/>
      <c r="N580" s="42"/>
      <c r="O580" s="42"/>
      <c r="P580" s="42"/>
      <c r="Q580" s="42"/>
      <c r="R580" s="42"/>
      <c r="S580" s="42"/>
      <c r="T580" s="42"/>
      <c r="U580" s="194"/>
      <c r="V580" s="42"/>
      <c r="W580" s="42"/>
      <c r="X580" s="42"/>
      <c r="Y580" s="42"/>
      <c r="Z580" s="42"/>
      <c r="AA580" s="42"/>
      <c r="AB580" s="195"/>
      <c r="AC580" s="42"/>
      <c r="AD580" s="42"/>
      <c r="AE580" s="195"/>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c r="BM580" s="42"/>
      <c r="BN580" s="42"/>
      <c r="BO580" s="42"/>
      <c r="BP580" s="42"/>
      <c r="BQ580" s="42"/>
      <c r="BR580" s="42"/>
      <c r="BS580" s="42"/>
      <c r="BT580" s="42"/>
      <c r="BU580" s="42"/>
      <c r="BV580" s="42"/>
      <c r="BW580" s="42"/>
      <c r="BX580" s="42"/>
      <c r="BY580" s="42"/>
      <c r="BZ580" s="42"/>
      <c r="CA580" s="42"/>
      <c r="CB580" s="42"/>
      <c r="CC580" s="42"/>
      <c r="CD580" s="42"/>
      <c r="CE580" s="42"/>
      <c r="CF580" s="42"/>
      <c r="CG580" s="42"/>
      <c r="CH580" s="42"/>
      <c r="CI580" s="42"/>
      <c r="CJ580" s="42"/>
      <c r="CK580" s="42"/>
      <c r="CL580" s="42"/>
      <c r="CM580" s="42"/>
      <c r="CN580" s="42"/>
      <c r="CO580" s="42"/>
      <c r="CP580" s="42"/>
      <c r="CQ580" s="42"/>
      <c r="CR580" s="42"/>
      <c r="CS580" s="42"/>
      <c r="CT580" s="42"/>
      <c r="CU580" s="42"/>
      <c r="CV580" s="42"/>
      <c r="CW580" s="42"/>
      <c r="CX580" s="42"/>
      <c r="CY580" s="42"/>
      <c r="CZ580" s="42"/>
      <c r="DA580" s="42"/>
      <c r="DB580" s="42"/>
      <c r="DC580" s="42"/>
      <c r="DD580" s="42"/>
      <c r="DE580" s="42"/>
      <c r="DF580" s="42"/>
      <c r="DG580" s="42"/>
      <c r="DH580" s="42"/>
      <c r="DI580" s="42"/>
      <c r="DJ580" s="42"/>
      <c r="DK580" s="42"/>
      <c r="DL580" s="42"/>
      <c r="DM580" s="42"/>
      <c r="DN580" s="42"/>
      <c r="DO580" s="42"/>
      <c r="DP580" s="42"/>
      <c r="DQ580" s="42"/>
      <c r="DR580" s="42"/>
      <c r="DS580" s="42"/>
      <c r="DT580" s="42"/>
      <c r="DU580" s="42"/>
      <c r="DV580" s="42"/>
      <c r="DW580" s="42"/>
      <c r="DX580" s="42"/>
      <c r="DY580" s="42"/>
      <c r="DZ580" s="42"/>
      <c r="EA580" s="42"/>
      <c r="EB580" s="42"/>
      <c r="EC580" s="42"/>
      <c r="ED580" s="42"/>
      <c r="EE580" s="42"/>
      <c r="EF580" s="42"/>
      <c r="EG580" s="42"/>
      <c r="EH580" s="42"/>
      <c r="EI580" s="42"/>
      <c r="EJ580" s="42"/>
      <c r="EK580" s="42"/>
      <c r="EL580" s="42"/>
      <c r="EM580" s="42"/>
      <c r="EN580" s="42"/>
      <c r="EO580" s="42"/>
      <c r="EP580" s="42"/>
      <c r="EQ580" s="42"/>
      <c r="ER580" s="42"/>
      <c r="ES580" s="42"/>
      <c r="ET580" s="42"/>
      <c r="EU580" s="42"/>
      <c r="EV580" s="42"/>
      <c r="EW580" s="42"/>
      <c r="EX580" s="42"/>
      <c r="EY580" s="42"/>
      <c r="EZ580" s="42"/>
      <c r="FA580" s="42"/>
      <c r="FB580" s="42"/>
      <c r="FC580" s="42"/>
      <c r="FD580" s="42"/>
      <c r="FE580" s="42"/>
      <c r="FF580" s="42"/>
      <c r="FG580" s="42"/>
      <c r="FH580" s="42"/>
      <c r="FI580" s="42"/>
      <c r="FJ580" s="42"/>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row>
    <row r="581" spans="1:256" ht="13.8" x14ac:dyDescent="0.3">
      <c r="A581" s="42"/>
      <c r="B581" s="42"/>
      <c r="C581" s="42"/>
      <c r="D581" s="42"/>
      <c r="E581" s="42"/>
      <c r="F581" s="42"/>
      <c r="G581" s="42"/>
      <c r="H581" s="42"/>
      <c r="I581" s="42"/>
      <c r="J581" s="42"/>
      <c r="K581" s="42"/>
      <c r="L581" s="42"/>
      <c r="M581" s="42"/>
      <c r="N581" s="42"/>
      <c r="O581" s="42"/>
      <c r="P581" s="42"/>
      <c r="Q581" s="42"/>
      <c r="R581" s="42"/>
      <c r="S581" s="42"/>
      <c r="T581" s="42"/>
      <c r="U581" s="194"/>
      <c r="V581" s="42"/>
      <c r="W581" s="42"/>
      <c r="X581" s="42"/>
      <c r="Y581" s="42"/>
      <c r="Z581" s="42"/>
      <c r="AA581" s="42"/>
      <c r="AB581" s="195"/>
      <c r="AC581" s="42"/>
      <c r="AD581" s="42"/>
      <c r="AE581" s="195"/>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c r="BM581" s="42"/>
      <c r="BN581" s="42"/>
      <c r="BO581" s="42"/>
      <c r="BP581" s="42"/>
      <c r="BQ581" s="42"/>
      <c r="BR581" s="42"/>
      <c r="BS581" s="42"/>
      <c r="BT581" s="42"/>
      <c r="BU581" s="42"/>
      <c r="BV581" s="42"/>
      <c r="BW581" s="42"/>
      <c r="BX581" s="42"/>
      <c r="BY581" s="42"/>
      <c r="BZ581" s="42"/>
      <c r="CA581" s="42"/>
      <c r="CB581" s="42"/>
      <c r="CC581" s="42"/>
      <c r="CD581" s="42"/>
      <c r="CE581" s="42"/>
      <c r="CF581" s="42"/>
      <c r="CG581" s="42"/>
      <c r="CH581" s="42"/>
      <c r="CI581" s="42"/>
      <c r="CJ581" s="42"/>
      <c r="CK581" s="42"/>
      <c r="CL581" s="42"/>
      <c r="CM581" s="42"/>
      <c r="CN581" s="42"/>
      <c r="CO581" s="42"/>
      <c r="CP581" s="42"/>
      <c r="CQ581" s="42"/>
      <c r="CR581" s="42"/>
      <c r="CS581" s="42"/>
      <c r="CT581" s="42"/>
      <c r="CU581" s="42"/>
      <c r="CV581" s="42"/>
      <c r="CW581" s="42"/>
      <c r="CX581" s="42"/>
      <c r="CY581" s="42"/>
      <c r="CZ581" s="42"/>
      <c r="DA581" s="42"/>
      <c r="DB581" s="42"/>
      <c r="DC581" s="42"/>
      <c r="DD581" s="42"/>
      <c r="DE581" s="42"/>
      <c r="DF581" s="42"/>
      <c r="DG581" s="42"/>
      <c r="DH581" s="42"/>
      <c r="DI581" s="42"/>
      <c r="DJ581" s="42"/>
      <c r="DK581" s="42"/>
      <c r="DL581" s="42"/>
      <c r="DM581" s="42"/>
      <c r="DN581" s="42"/>
      <c r="DO581" s="42"/>
      <c r="DP581" s="42"/>
      <c r="DQ581" s="42"/>
      <c r="DR581" s="42"/>
      <c r="DS581" s="42"/>
      <c r="DT581" s="42"/>
      <c r="DU581" s="42"/>
      <c r="DV581" s="42"/>
      <c r="DW581" s="42"/>
      <c r="DX581" s="42"/>
      <c r="DY581" s="42"/>
      <c r="DZ581" s="42"/>
      <c r="EA581" s="42"/>
      <c r="EB581" s="42"/>
      <c r="EC581" s="42"/>
      <c r="ED581" s="42"/>
      <c r="EE581" s="42"/>
      <c r="EF581" s="42"/>
      <c r="EG581" s="42"/>
      <c r="EH581" s="42"/>
      <c r="EI581" s="42"/>
      <c r="EJ581" s="42"/>
      <c r="EK581" s="42"/>
      <c r="EL581" s="42"/>
      <c r="EM581" s="42"/>
      <c r="EN581" s="42"/>
      <c r="EO581" s="42"/>
      <c r="EP581" s="42"/>
      <c r="EQ581" s="42"/>
      <c r="ER581" s="42"/>
      <c r="ES581" s="42"/>
      <c r="ET581" s="42"/>
      <c r="EU581" s="42"/>
      <c r="EV581" s="42"/>
      <c r="EW581" s="42"/>
      <c r="EX581" s="42"/>
      <c r="EY581" s="42"/>
      <c r="EZ581" s="42"/>
      <c r="FA581" s="42"/>
      <c r="FB581" s="42"/>
      <c r="FC581" s="42"/>
      <c r="FD581" s="42"/>
      <c r="FE581" s="42"/>
      <c r="FF581" s="42"/>
      <c r="FG581" s="42"/>
      <c r="FH581" s="42"/>
      <c r="FI581" s="42"/>
      <c r="FJ581" s="42"/>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row>
    <row r="582" spans="1:256" ht="13.8" x14ac:dyDescent="0.3">
      <c r="A582" s="42"/>
      <c r="B582" s="42"/>
      <c r="C582" s="42"/>
      <c r="D582" s="42"/>
      <c r="E582" s="42"/>
      <c r="F582" s="42"/>
      <c r="G582" s="42"/>
      <c r="H582" s="42"/>
      <c r="I582" s="42"/>
      <c r="J582" s="42"/>
      <c r="K582" s="42"/>
      <c r="L582" s="42"/>
      <c r="M582" s="42"/>
      <c r="N582" s="42"/>
      <c r="O582" s="42"/>
      <c r="P582" s="42"/>
      <c r="Q582" s="42"/>
      <c r="R582" s="42"/>
      <c r="S582" s="42"/>
      <c r="T582" s="42"/>
      <c r="U582" s="194"/>
      <c r="V582" s="42"/>
      <c r="W582" s="42"/>
      <c r="X582" s="42"/>
      <c r="Y582" s="42"/>
      <c r="Z582" s="42"/>
      <c r="AA582" s="42"/>
      <c r="AB582" s="195"/>
      <c r="AC582" s="42"/>
      <c r="AD582" s="42"/>
      <c r="AE582" s="195"/>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c r="BM582" s="42"/>
      <c r="BN582" s="42"/>
      <c r="BO582" s="42"/>
      <c r="BP582" s="42"/>
      <c r="BQ582" s="42"/>
      <c r="BR582" s="42"/>
      <c r="BS582" s="42"/>
      <c r="BT582" s="42"/>
      <c r="BU582" s="42"/>
      <c r="BV582" s="42"/>
      <c r="BW582" s="42"/>
      <c r="BX582" s="42"/>
      <c r="BY582" s="42"/>
      <c r="BZ582" s="42"/>
      <c r="CA582" s="42"/>
      <c r="CB582" s="42"/>
      <c r="CC582" s="42"/>
      <c r="CD582" s="42"/>
      <c r="CE582" s="42"/>
      <c r="CF582" s="42"/>
      <c r="CG582" s="42"/>
      <c r="CH582" s="42"/>
      <c r="CI582" s="42"/>
      <c r="CJ582" s="42"/>
      <c r="CK582" s="42"/>
      <c r="CL582" s="42"/>
      <c r="CM582" s="42"/>
      <c r="CN582" s="42"/>
      <c r="CO582" s="42"/>
      <c r="CP582" s="42"/>
      <c r="CQ582" s="42"/>
      <c r="CR582" s="42"/>
      <c r="CS582" s="42"/>
      <c r="CT582" s="42"/>
      <c r="CU582" s="42"/>
      <c r="CV582" s="42"/>
      <c r="CW582" s="42"/>
      <c r="CX582" s="42"/>
      <c r="CY582" s="42"/>
      <c r="CZ582" s="42"/>
      <c r="DA582" s="42"/>
      <c r="DB582" s="42"/>
      <c r="DC582" s="42"/>
      <c r="DD582" s="42"/>
      <c r="DE582" s="42"/>
      <c r="DF582" s="42"/>
      <c r="DG582" s="42"/>
      <c r="DH582" s="42"/>
      <c r="DI582" s="42"/>
      <c r="DJ582" s="42"/>
      <c r="DK582" s="42"/>
      <c r="DL582" s="42"/>
      <c r="DM582" s="42"/>
      <c r="DN582" s="42"/>
      <c r="DO582" s="42"/>
      <c r="DP582" s="42"/>
      <c r="DQ582" s="42"/>
      <c r="DR582" s="42"/>
      <c r="DS582" s="42"/>
      <c r="DT582" s="42"/>
      <c r="DU582" s="42"/>
      <c r="DV582" s="42"/>
      <c r="DW582" s="42"/>
      <c r="DX582" s="42"/>
      <c r="DY582" s="42"/>
      <c r="DZ582" s="42"/>
      <c r="EA582" s="42"/>
      <c r="EB582" s="42"/>
      <c r="EC582" s="42"/>
      <c r="ED582" s="42"/>
      <c r="EE582" s="42"/>
      <c r="EF582" s="42"/>
      <c r="EG582" s="42"/>
      <c r="EH582" s="42"/>
      <c r="EI582" s="42"/>
      <c r="EJ582" s="42"/>
      <c r="EK582" s="42"/>
      <c r="EL582" s="42"/>
      <c r="EM582" s="42"/>
      <c r="EN582" s="42"/>
      <c r="EO582" s="42"/>
      <c r="EP582" s="42"/>
      <c r="EQ582" s="42"/>
      <c r="ER582" s="42"/>
      <c r="ES582" s="42"/>
      <c r="ET582" s="42"/>
      <c r="EU582" s="42"/>
      <c r="EV582" s="42"/>
      <c r="EW582" s="42"/>
      <c r="EX582" s="42"/>
      <c r="EY582" s="42"/>
      <c r="EZ582" s="42"/>
      <c r="FA582" s="42"/>
      <c r="FB582" s="42"/>
      <c r="FC582" s="42"/>
      <c r="FD582" s="42"/>
      <c r="FE582" s="42"/>
      <c r="FF582" s="42"/>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row>
    <row r="583" spans="1:256" ht="13.8" x14ac:dyDescent="0.3">
      <c r="A583" s="42"/>
      <c r="B583" s="42"/>
      <c r="C583" s="42"/>
      <c r="D583" s="42"/>
      <c r="E583" s="42"/>
      <c r="F583" s="42"/>
      <c r="G583" s="42"/>
      <c r="H583" s="42"/>
      <c r="I583" s="42"/>
      <c r="J583" s="42"/>
      <c r="K583" s="42"/>
      <c r="L583" s="42"/>
      <c r="M583" s="42"/>
      <c r="N583" s="42"/>
      <c r="O583" s="42"/>
      <c r="P583" s="42"/>
      <c r="Q583" s="42"/>
      <c r="R583" s="42"/>
      <c r="S583" s="42"/>
      <c r="T583" s="42"/>
      <c r="U583" s="194"/>
      <c r="V583" s="42"/>
      <c r="W583" s="42"/>
      <c r="X583" s="42"/>
      <c r="Y583" s="42"/>
      <c r="Z583" s="42"/>
      <c r="AA583" s="42"/>
      <c r="AB583" s="195"/>
      <c r="AC583" s="42"/>
      <c r="AD583" s="42"/>
      <c r="AE583" s="195"/>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c r="BM583" s="42"/>
      <c r="BN583" s="42"/>
      <c r="BO583" s="42"/>
      <c r="BP583" s="42"/>
      <c r="BQ583" s="42"/>
      <c r="BR583" s="42"/>
      <c r="BS583" s="42"/>
      <c r="BT583" s="42"/>
      <c r="BU583" s="42"/>
      <c r="BV583" s="42"/>
      <c r="BW583" s="42"/>
      <c r="BX583" s="42"/>
      <c r="BY583" s="42"/>
      <c r="BZ583" s="42"/>
      <c r="CA583" s="42"/>
      <c r="CB583" s="42"/>
      <c r="CC583" s="42"/>
      <c r="CD583" s="42"/>
      <c r="CE583" s="42"/>
      <c r="CF583" s="42"/>
      <c r="CG583" s="42"/>
      <c r="CH583" s="42"/>
      <c r="CI583" s="42"/>
      <c r="CJ583" s="42"/>
      <c r="CK583" s="42"/>
      <c r="CL583" s="42"/>
      <c r="CM583" s="42"/>
      <c r="CN583" s="42"/>
      <c r="CO583" s="42"/>
      <c r="CP583" s="42"/>
      <c r="CQ583" s="42"/>
      <c r="CR583" s="42"/>
      <c r="CS583" s="42"/>
      <c r="CT583" s="42"/>
      <c r="CU583" s="42"/>
      <c r="CV583" s="42"/>
      <c r="CW583" s="42"/>
      <c r="CX583" s="42"/>
      <c r="CY583" s="42"/>
      <c r="CZ583" s="42"/>
      <c r="DA583" s="42"/>
      <c r="DB583" s="42"/>
      <c r="DC583" s="42"/>
      <c r="DD583" s="42"/>
      <c r="DE583" s="42"/>
      <c r="DF583" s="42"/>
      <c r="DG583" s="42"/>
      <c r="DH583" s="42"/>
      <c r="DI583" s="42"/>
      <c r="DJ583" s="42"/>
      <c r="DK583" s="42"/>
      <c r="DL583" s="42"/>
      <c r="DM583" s="42"/>
      <c r="DN583" s="42"/>
      <c r="DO583" s="42"/>
      <c r="DP583" s="42"/>
      <c r="DQ583" s="42"/>
      <c r="DR583" s="42"/>
      <c r="DS583" s="42"/>
      <c r="DT583" s="42"/>
      <c r="DU583" s="42"/>
      <c r="DV583" s="42"/>
      <c r="DW583" s="42"/>
      <c r="DX583" s="42"/>
      <c r="DY583" s="42"/>
      <c r="DZ583" s="42"/>
      <c r="EA583" s="42"/>
      <c r="EB583" s="42"/>
      <c r="EC583" s="42"/>
      <c r="ED583" s="42"/>
      <c r="EE583" s="42"/>
      <c r="EF583" s="42"/>
      <c r="EG583" s="42"/>
      <c r="EH583" s="42"/>
      <c r="EI583" s="42"/>
      <c r="EJ583" s="42"/>
      <c r="EK583" s="42"/>
      <c r="EL583" s="42"/>
      <c r="EM583" s="42"/>
      <c r="EN583" s="42"/>
      <c r="EO583" s="42"/>
      <c r="EP583" s="42"/>
      <c r="EQ583" s="42"/>
      <c r="ER583" s="42"/>
      <c r="ES583" s="42"/>
      <c r="ET583" s="42"/>
      <c r="EU583" s="42"/>
      <c r="EV583" s="42"/>
      <c r="EW583" s="42"/>
      <c r="EX583" s="42"/>
      <c r="EY583" s="42"/>
      <c r="EZ583" s="42"/>
      <c r="FA583" s="42"/>
      <c r="FB583" s="42"/>
      <c r="FC583" s="42"/>
      <c r="FD583" s="42"/>
      <c r="FE583" s="42"/>
      <c r="FF583" s="42"/>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row>
    <row r="584" spans="1:256" ht="13.8" x14ac:dyDescent="0.3">
      <c r="A584" s="42"/>
      <c r="B584" s="42"/>
      <c r="C584" s="42"/>
      <c r="D584" s="42"/>
      <c r="E584" s="42"/>
      <c r="F584" s="42"/>
      <c r="G584" s="42"/>
      <c r="H584" s="42"/>
      <c r="I584" s="42"/>
      <c r="J584" s="42"/>
      <c r="K584" s="42"/>
      <c r="L584" s="42"/>
      <c r="M584" s="42"/>
      <c r="N584" s="42"/>
      <c r="O584" s="42"/>
      <c r="P584" s="42"/>
      <c r="Q584" s="42"/>
      <c r="R584" s="42"/>
      <c r="S584" s="42"/>
      <c r="T584" s="42"/>
      <c r="U584" s="194"/>
      <c r="V584" s="42"/>
      <c r="W584" s="42"/>
      <c r="X584" s="42"/>
      <c r="Y584" s="42"/>
      <c r="Z584" s="42"/>
      <c r="AA584" s="42"/>
      <c r="AB584" s="195"/>
      <c r="AC584" s="42"/>
      <c r="AD584" s="42"/>
      <c r="AE584" s="195"/>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c r="BM584" s="42"/>
      <c r="BN584" s="42"/>
      <c r="BO584" s="42"/>
      <c r="BP584" s="42"/>
      <c r="BQ584" s="42"/>
      <c r="BR584" s="42"/>
      <c r="BS584" s="42"/>
      <c r="BT584" s="42"/>
      <c r="BU584" s="42"/>
      <c r="BV584" s="42"/>
      <c r="BW584" s="42"/>
      <c r="BX584" s="42"/>
      <c r="BY584" s="42"/>
      <c r="BZ584" s="42"/>
      <c r="CA584" s="42"/>
      <c r="CB584" s="42"/>
      <c r="CC584" s="42"/>
      <c r="CD584" s="42"/>
      <c r="CE584" s="42"/>
      <c r="CF584" s="42"/>
      <c r="CG584" s="42"/>
      <c r="CH584" s="42"/>
      <c r="CI584" s="42"/>
      <c r="CJ584" s="42"/>
      <c r="CK584" s="42"/>
      <c r="CL584" s="42"/>
      <c r="CM584" s="42"/>
      <c r="CN584" s="42"/>
      <c r="CO584" s="42"/>
      <c r="CP584" s="42"/>
      <c r="CQ584" s="42"/>
      <c r="CR584" s="42"/>
      <c r="CS584" s="42"/>
      <c r="CT584" s="42"/>
      <c r="CU584" s="42"/>
      <c r="CV584" s="42"/>
      <c r="CW584" s="42"/>
      <c r="CX584" s="42"/>
      <c r="CY584" s="42"/>
      <c r="CZ584" s="42"/>
      <c r="DA584" s="42"/>
      <c r="DB584" s="42"/>
      <c r="DC584" s="42"/>
      <c r="DD584" s="42"/>
      <c r="DE584" s="42"/>
      <c r="DF584" s="42"/>
      <c r="DG584" s="42"/>
      <c r="DH584" s="42"/>
      <c r="DI584" s="42"/>
      <c r="DJ584" s="42"/>
      <c r="DK584" s="42"/>
      <c r="DL584" s="42"/>
      <c r="DM584" s="42"/>
      <c r="DN584" s="42"/>
      <c r="DO584" s="42"/>
      <c r="DP584" s="42"/>
      <c r="DQ584" s="42"/>
      <c r="DR584" s="42"/>
      <c r="DS584" s="42"/>
      <c r="DT584" s="42"/>
      <c r="DU584" s="42"/>
      <c r="DV584" s="42"/>
      <c r="DW584" s="42"/>
      <c r="DX584" s="42"/>
      <c r="DY584" s="42"/>
      <c r="DZ584" s="42"/>
      <c r="EA584" s="42"/>
      <c r="EB584" s="42"/>
      <c r="EC584" s="42"/>
      <c r="ED584" s="42"/>
      <c r="EE584" s="42"/>
      <c r="EF584" s="42"/>
      <c r="EG584" s="42"/>
      <c r="EH584" s="42"/>
      <c r="EI584" s="42"/>
      <c r="EJ584" s="42"/>
      <c r="EK584" s="42"/>
      <c r="EL584" s="42"/>
      <c r="EM584" s="42"/>
      <c r="EN584" s="42"/>
      <c r="EO584" s="42"/>
      <c r="EP584" s="42"/>
      <c r="EQ584" s="42"/>
      <c r="ER584" s="42"/>
      <c r="ES584" s="42"/>
      <c r="ET584" s="42"/>
      <c r="EU584" s="42"/>
      <c r="EV584" s="42"/>
      <c r="EW584" s="42"/>
      <c r="EX584" s="42"/>
      <c r="EY584" s="42"/>
      <c r="EZ584" s="42"/>
      <c r="FA584" s="42"/>
      <c r="FB584" s="42"/>
      <c r="FC584" s="42"/>
      <c r="FD584" s="42"/>
      <c r="FE584" s="42"/>
      <c r="FF584" s="42"/>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row>
    <row r="585" spans="1:256" ht="13.8" x14ac:dyDescent="0.3">
      <c r="A585" s="42"/>
      <c r="B585" s="42"/>
      <c r="C585" s="42"/>
      <c r="D585" s="42"/>
      <c r="E585" s="42"/>
      <c r="F585" s="42"/>
      <c r="G585" s="42"/>
      <c r="H585" s="42"/>
      <c r="I585" s="42"/>
      <c r="J585" s="42"/>
      <c r="K585" s="42"/>
      <c r="L585" s="42"/>
      <c r="M585" s="42"/>
      <c r="N585" s="42"/>
      <c r="O585" s="42"/>
      <c r="P585" s="42"/>
      <c r="Q585" s="42"/>
      <c r="R585" s="42"/>
      <c r="S585" s="42"/>
      <c r="T585" s="42"/>
      <c r="U585" s="194"/>
      <c r="V585" s="42"/>
      <c r="W585" s="42"/>
      <c r="X585" s="42"/>
      <c r="Y585" s="42"/>
      <c r="Z585" s="42"/>
      <c r="AA585" s="42"/>
      <c r="AB585" s="195"/>
      <c r="AC585" s="42"/>
      <c r="AD585" s="42"/>
      <c r="AE585" s="195"/>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c r="BM585" s="42"/>
      <c r="BN585" s="42"/>
      <c r="BO585" s="42"/>
      <c r="BP585" s="42"/>
      <c r="BQ585" s="42"/>
      <c r="BR585" s="42"/>
      <c r="BS585" s="42"/>
      <c r="BT585" s="42"/>
      <c r="BU585" s="42"/>
      <c r="BV585" s="42"/>
      <c r="BW585" s="42"/>
      <c r="BX585" s="42"/>
      <c r="BY585" s="42"/>
      <c r="BZ585" s="42"/>
      <c r="CA585" s="42"/>
      <c r="CB585" s="42"/>
      <c r="CC585" s="42"/>
      <c r="CD585" s="42"/>
      <c r="CE585" s="42"/>
      <c r="CF585" s="42"/>
      <c r="CG585" s="42"/>
      <c r="CH585" s="42"/>
      <c r="CI585" s="42"/>
      <c r="CJ585" s="42"/>
      <c r="CK585" s="42"/>
      <c r="CL585" s="42"/>
      <c r="CM585" s="42"/>
      <c r="CN585" s="42"/>
      <c r="CO585" s="42"/>
      <c r="CP585" s="42"/>
      <c r="CQ585" s="42"/>
      <c r="CR585" s="42"/>
      <c r="CS585" s="42"/>
      <c r="CT585" s="42"/>
      <c r="CU585" s="42"/>
      <c r="CV585" s="42"/>
      <c r="CW585" s="42"/>
      <c r="CX585" s="42"/>
      <c r="CY585" s="42"/>
      <c r="CZ585" s="42"/>
      <c r="DA585" s="42"/>
      <c r="DB585" s="42"/>
      <c r="DC585" s="42"/>
      <c r="DD585" s="42"/>
      <c r="DE585" s="42"/>
      <c r="DF585" s="42"/>
      <c r="DG585" s="42"/>
      <c r="DH585" s="42"/>
      <c r="DI585" s="42"/>
      <c r="DJ585" s="42"/>
      <c r="DK585" s="42"/>
      <c r="DL585" s="42"/>
      <c r="DM585" s="42"/>
      <c r="DN585" s="42"/>
      <c r="DO585" s="42"/>
      <c r="DP585" s="42"/>
      <c r="DQ585" s="42"/>
      <c r="DR585" s="42"/>
      <c r="DS585" s="42"/>
      <c r="DT585" s="42"/>
      <c r="DU585" s="42"/>
      <c r="DV585" s="42"/>
      <c r="DW585" s="42"/>
      <c r="DX585" s="42"/>
      <c r="DY585" s="42"/>
      <c r="DZ585" s="42"/>
      <c r="EA585" s="42"/>
      <c r="EB585" s="42"/>
      <c r="EC585" s="42"/>
      <c r="ED585" s="42"/>
      <c r="EE585" s="42"/>
      <c r="EF585" s="42"/>
      <c r="EG585" s="42"/>
      <c r="EH585" s="42"/>
      <c r="EI585" s="42"/>
      <c r="EJ585" s="42"/>
      <c r="EK585" s="42"/>
      <c r="EL585" s="42"/>
      <c r="EM585" s="42"/>
      <c r="EN585" s="42"/>
      <c r="EO585" s="42"/>
      <c r="EP585" s="42"/>
      <c r="EQ585" s="42"/>
      <c r="ER585" s="42"/>
      <c r="ES585" s="42"/>
      <c r="ET585" s="42"/>
      <c r="EU585" s="42"/>
      <c r="EV585" s="42"/>
      <c r="EW585" s="42"/>
      <c r="EX585" s="42"/>
      <c r="EY585" s="42"/>
      <c r="EZ585" s="42"/>
      <c r="FA585" s="42"/>
      <c r="FB585" s="42"/>
      <c r="FC585" s="42"/>
      <c r="FD585" s="42"/>
      <c r="FE585" s="42"/>
      <c r="FF585" s="42"/>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row>
    <row r="586" spans="1:256" ht="13.8" x14ac:dyDescent="0.3">
      <c r="A586" s="42"/>
      <c r="B586" s="42"/>
      <c r="C586" s="42"/>
      <c r="D586" s="42"/>
      <c r="E586" s="42"/>
      <c r="F586" s="42"/>
      <c r="G586" s="42"/>
      <c r="H586" s="42"/>
      <c r="I586" s="42"/>
      <c r="J586" s="42"/>
      <c r="K586" s="42"/>
      <c r="L586" s="42"/>
      <c r="M586" s="42"/>
      <c r="N586" s="42"/>
      <c r="O586" s="42"/>
      <c r="P586" s="42"/>
      <c r="Q586" s="42"/>
      <c r="R586" s="42"/>
      <c r="S586" s="42"/>
      <c r="T586" s="42"/>
      <c r="U586" s="194"/>
      <c r="V586" s="42"/>
      <c r="W586" s="42"/>
      <c r="X586" s="42"/>
      <c r="Y586" s="42"/>
      <c r="Z586" s="42"/>
      <c r="AA586" s="42"/>
      <c r="AB586" s="195"/>
      <c r="AC586" s="42"/>
      <c r="AD586" s="42"/>
      <c r="AE586" s="195"/>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c r="BM586" s="42"/>
      <c r="BN586" s="42"/>
      <c r="BO586" s="42"/>
      <c r="BP586" s="42"/>
      <c r="BQ586" s="42"/>
      <c r="BR586" s="42"/>
      <c r="BS586" s="42"/>
      <c r="BT586" s="42"/>
      <c r="BU586" s="42"/>
      <c r="BV586" s="42"/>
      <c r="BW586" s="42"/>
      <c r="BX586" s="42"/>
      <c r="BY586" s="42"/>
      <c r="BZ586" s="42"/>
      <c r="CA586" s="42"/>
      <c r="CB586" s="42"/>
      <c r="CC586" s="42"/>
      <c r="CD586" s="42"/>
      <c r="CE586" s="42"/>
      <c r="CF586" s="42"/>
      <c r="CG586" s="42"/>
      <c r="CH586" s="42"/>
      <c r="CI586" s="42"/>
      <c r="CJ586" s="42"/>
      <c r="CK586" s="42"/>
      <c r="CL586" s="42"/>
      <c r="CM586" s="42"/>
      <c r="CN586" s="42"/>
      <c r="CO586" s="42"/>
      <c r="CP586" s="42"/>
      <c r="CQ586" s="42"/>
      <c r="CR586" s="42"/>
      <c r="CS586" s="42"/>
      <c r="CT586" s="42"/>
      <c r="CU586" s="42"/>
      <c r="CV586" s="42"/>
      <c r="CW586" s="42"/>
      <c r="CX586" s="42"/>
      <c r="CY586" s="42"/>
      <c r="CZ586" s="42"/>
      <c r="DA586" s="42"/>
      <c r="DB586" s="42"/>
      <c r="DC586" s="42"/>
      <c r="DD586" s="42"/>
      <c r="DE586" s="42"/>
      <c r="DF586" s="42"/>
      <c r="DG586" s="42"/>
      <c r="DH586" s="42"/>
      <c r="DI586" s="42"/>
      <c r="DJ586" s="42"/>
      <c r="DK586" s="42"/>
      <c r="DL586" s="42"/>
      <c r="DM586" s="42"/>
      <c r="DN586" s="42"/>
      <c r="DO586" s="42"/>
      <c r="DP586" s="42"/>
      <c r="DQ586" s="42"/>
      <c r="DR586" s="42"/>
      <c r="DS586" s="42"/>
      <c r="DT586" s="42"/>
      <c r="DU586" s="42"/>
      <c r="DV586" s="42"/>
      <c r="DW586" s="42"/>
      <c r="DX586" s="42"/>
      <c r="DY586" s="42"/>
      <c r="DZ586" s="42"/>
      <c r="EA586" s="42"/>
      <c r="EB586" s="42"/>
      <c r="EC586" s="42"/>
      <c r="ED586" s="42"/>
      <c r="EE586" s="42"/>
      <c r="EF586" s="42"/>
      <c r="EG586" s="42"/>
      <c r="EH586" s="42"/>
      <c r="EI586" s="42"/>
      <c r="EJ586" s="42"/>
      <c r="EK586" s="42"/>
      <c r="EL586" s="42"/>
      <c r="EM586" s="42"/>
      <c r="EN586" s="42"/>
      <c r="EO586" s="42"/>
      <c r="EP586" s="42"/>
      <c r="EQ586" s="42"/>
      <c r="ER586" s="42"/>
      <c r="ES586" s="42"/>
      <c r="ET586" s="42"/>
      <c r="EU586" s="42"/>
      <c r="EV586" s="42"/>
      <c r="EW586" s="42"/>
      <c r="EX586" s="42"/>
      <c r="EY586" s="42"/>
      <c r="EZ586" s="42"/>
      <c r="FA586" s="42"/>
      <c r="FB586" s="42"/>
      <c r="FC586" s="42"/>
      <c r="FD586" s="42"/>
      <c r="FE586" s="42"/>
      <c r="FF586" s="42"/>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row>
    <row r="587" spans="1:256" ht="13.8" x14ac:dyDescent="0.3">
      <c r="A587" s="42"/>
      <c r="B587" s="42"/>
      <c r="C587" s="42"/>
      <c r="D587" s="42"/>
      <c r="E587" s="42"/>
      <c r="F587" s="42"/>
      <c r="G587" s="42"/>
      <c r="H587" s="42"/>
      <c r="I587" s="42"/>
      <c r="J587" s="42"/>
      <c r="K587" s="42"/>
      <c r="L587" s="42"/>
      <c r="M587" s="42"/>
      <c r="N587" s="42"/>
      <c r="O587" s="42"/>
      <c r="P587" s="42"/>
      <c r="Q587" s="42"/>
      <c r="R587" s="42"/>
      <c r="S587" s="42"/>
      <c r="T587" s="42"/>
      <c r="U587" s="194"/>
      <c r="V587" s="42"/>
      <c r="W587" s="42"/>
      <c r="X587" s="42"/>
      <c r="Y587" s="42"/>
      <c r="Z587" s="42"/>
      <c r="AA587" s="42"/>
      <c r="AB587" s="195"/>
      <c r="AC587" s="42"/>
      <c r="AD587" s="42"/>
      <c r="AE587" s="195"/>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c r="BM587" s="42"/>
      <c r="BN587" s="42"/>
      <c r="BO587" s="42"/>
      <c r="BP587" s="42"/>
      <c r="BQ587" s="42"/>
      <c r="BR587" s="42"/>
      <c r="BS587" s="42"/>
      <c r="BT587" s="42"/>
      <c r="BU587" s="42"/>
      <c r="BV587" s="42"/>
      <c r="BW587" s="42"/>
      <c r="BX587" s="42"/>
      <c r="BY587" s="42"/>
      <c r="BZ587" s="42"/>
      <c r="CA587" s="42"/>
      <c r="CB587" s="42"/>
      <c r="CC587" s="42"/>
      <c r="CD587" s="42"/>
      <c r="CE587" s="42"/>
      <c r="CF587" s="42"/>
      <c r="CG587" s="42"/>
      <c r="CH587" s="42"/>
      <c r="CI587" s="42"/>
      <c r="CJ587" s="42"/>
      <c r="CK587" s="42"/>
      <c r="CL587" s="42"/>
      <c r="CM587" s="42"/>
      <c r="CN587" s="42"/>
      <c r="CO587" s="42"/>
      <c r="CP587" s="42"/>
      <c r="CQ587" s="42"/>
      <c r="CR587" s="42"/>
      <c r="CS587" s="42"/>
      <c r="CT587" s="42"/>
      <c r="CU587" s="42"/>
      <c r="CV587" s="42"/>
      <c r="CW587" s="42"/>
      <c r="CX587" s="42"/>
      <c r="CY587" s="42"/>
      <c r="CZ587" s="42"/>
      <c r="DA587" s="42"/>
      <c r="DB587" s="42"/>
      <c r="DC587" s="42"/>
      <c r="DD587" s="42"/>
      <c r="DE587" s="42"/>
      <c r="DF587" s="42"/>
      <c r="DG587" s="42"/>
      <c r="DH587" s="42"/>
      <c r="DI587" s="42"/>
      <c r="DJ587" s="42"/>
      <c r="DK587" s="42"/>
      <c r="DL587" s="42"/>
      <c r="DM587" s="42"/>
      <c r="DN587" s="42"/>
      <c r="DO587" s="42"/>
      <c r="DP587" s="42"/>
      <c r="DQ587" s="42"/>
      <c r="DR587" s="42"/>
      <c r="DS587" s="42"/>
      <c r="DT587" s="42"/>
      <c r="DU587" s="42"/>
      <c r="DV587" s="42"/>
      <c r="DW587" s="42"/>
      <c r="DX587" s="42"/>
      <c r="DY587" s="42"/>
      <c r="DZ587" s="42"/>
      <c r="EA587" s="42"/>
      <c r="EB587" s="42"/>
      <c r="EC587" s="42"/>
      <c r="ED587" s="42"/>
      <c r="EE587" s="42"/>
      <c r="EF587" s="42"/>
      <c r="EG587" s="42"/>
      <c r="EH587" s="42"/>
      <c r="EI587" s="42"/>
      <c r="EJ587" s="42"/>
      <c r="EK587" s="42"/>
      <c r="EL587" s="42"/>
      <c r="EM587" s="42"/>
      <c r="EN587" s="42"/>
      <c r="EO587" s="42"/>
      <c r="EP587" s="42"/>
      <c r="EQ587" s="42"/>
      <c r="ER587" s="42"/>
      <c r="ES587" s="42"/>
      <c r="ET587" s="42"/>
      <c r="EU587" s="42"/>
      <c r="EV587" s="42"/>
      <c r="EW587" s="42"/>
      <c r="EX587" s="42"/>
      <c r="EY587" s="42"/>
      <c r="EZ587" s="42"/>
      <c r="FA587" s="42"/>
      <c r="FB587" s="42"/>
      <c r="FC587" s="42"/>
      <c r="FD587" s="42"/>
      <c r="FE587" s="42"/>
      <c r="FF587" s="42"/>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row>
    <row r="588" spans="1:256" ht="13.8" x14ac:dyDescent="0.3">
      <c r="A588" s="42"/>
      <c r="B588" s="42"/>
      <c r="C588" s="42"/>
      <c r="D588" s="42"/>
      <c r="E588" s="42"/>
      <c r="F588" s="42"/>
      <c r="G588" s="42"/>
      <c r="H588" s="42"/>
      <c r="I588" s="42"/>
      <c r="J588" s="42"/>
      <c r="K588" s="42"/>
      <c r="L588" s="42"/>
      <c r="M588" s="42"/>
      <c r="N588" s="42"/>
      <c r="O588" s="42"/>
      <c r="P588" s="42"/>
      <c r="Q588" s="42"/>
      <c r="R588" s="42"/>
      <c r="S588" s="42"/>
      <c r="T588" s="42"/>
      <c r="U588" s="194"/>
      <c r="V588" s="42"/>
      <c r="W588" s="42"/>
      <c r="X588" s="42"/>
      <c r="Y588" s="42"/>
      <c r="Z588" s="42"/>
      <c r="AA588" s="42"/>
      <c r="AB588" s="195"/>
      <c r="AC588" s="42"/>
      <c r="AD588" s="42"/>
      <c r="AE588" s="195"/>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c r="BM588" s="42"/>
      <c r="BN588" s="42"/>
      <c r="BO588" s="42"/>
      <c r="BP588" s="42"/>
      <c r="BQ588" s="42"/>
      <c r="BR588" s="42"/>
      <c r="BS588" s="42"/>
      <c r="BT588" s="42"/>
      <c r="BU588" s="42"/>
      <c r="BV588" s="42"/>
      <c r="BW588" s="42"/>
      <c r="BX588" s="42"/>
      <c r="BY588" s="42"/>
      <c r="BZ588" s="42"/>
      <c r="CA588" s="42"/>
      <c r="CB588" s="42"/>
      <c r="CC588" s="42"/>
      <c r="CD588" s="42"/>
      <c r="CE588" s="42"/>
      <c r="CF588" s="42"/>
      <c r="CG588" s="42"/>
      <c r="CH588" s="42"/>
      <c r="CI588" s="42"/>
      <c r="CJ588" s="42"/>
      <c r="CK588" s="42"/>
      <c r="CL588" s="42"/>
      <c r="CM588" s="42"/>
      <c r="CN588" s="42"/>
      <c r="CO588" s="42"/>
      <c r="CP588" s="42"/>
      <c r="CQ588" s="42"/>
      <c r="CR588" s="42"/>
      <c r="CS588" s="42"/>
      <c r="CT588" s="42"/>
      <c r="CU588" s="42"/>
      <c r="CV588" s="42"/>
      <c r="CW588" s="42"/>
      <c r="CX588" s="42"/>
      <c r="CY588" s="42"/>
      <c r="CZ588" s="42"/>
      <c r="DA588" s="42"/>
      <c r="DB588" s="42"/>
      <c r="DC588" s="42"/>
      <c r="DD588" s="42"/>
      <c r="DE588" s="42"/>
      <c r="DF588" s="42"/>
      <c r="DG588" s="42"/>
      <c r="DH588" s="42"/>
      <c r="DI588" s="42"/>
      <c r="DJ588" s="42"/>
      <c r="DK588" s="42"/>
      <c r="DL588" s="42"/>
      <c r="DM588" s="42"/>
      <c r="DN588" s="42"/>
      <c r="DO588" s="42"/>
      <c r="DP588" s="42"/>
      <c r="DQ588" s="42"/>
      <c r="DR588" s="42"/>
      <c r="DS588" s="42"/>
      <c r="DT588" s="42"/>
      <c r="DU588" s="42"/>
      <c r="DV588" s="42"/>
      <c r="DW588" s="42"/>
      <c r="DX588" s="42"/>
      <c r="DY588" s="42"/>
      <c r="DZ588" s="42"/>
      <c r="EA588" s="42"/>
      <c r="EB588" s="42"/>
      <c r="EC588" s="42"/>
      <c r="ED588" s="42"/>
      <c r="EE588" s="42"/>
      <c r="EF588" s="42"/>
      <c r="EG588" s="42"/>
      <c r="EH588" s="42"/>
      <c r="EI588" s="42"/>
      <c r="EJ588" s="42"/>
      <c r="EK588" s="42"/>
      <c r="EL588" s="42"/>
      <c r="EM588" s="42"/>
      <c r="EN588" s="42"/>
      <c r="EO588" s="42"/>
      <c r="EP588" s="42"/>
      <c r="EQ588" s="42"/>
      <c r="ER588" s="42"/>
      <c r="ES588" s="42"/>
      <c r="ET588" s="42"/>
      <c r="EU588" s="42"/>
      <c r="EV588" s="42"/>
      <c r="EW588" s="42"/>
      <c r="EX588" s="42"/>
      <c r="EY588" s="42"/>
      <c r="EZ588" s="42"/>
      <c r="FA588" s="42"/>
      <c r="FB588" s="42"/>
      <c r="FC588" s="42"/>
      <c r="FD588" s="42"/>
      <c r="FE588" s="42"/>
      <c r="FF588" s="42"/>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row>
    <row r="589" spans="1:256" ht="13.8" x14ac:dyDescent="0.3">
      <c r="A589" s="42"/>
      <c r="B589" s="42"/>
      <c r="C589" s="42"/>
      <c r="D589" s="42"/>
      <c r="E589" s="42"/>
      <c r="F589" s="42"/>
      <c r="G589" s="42"/>
      <c r="H589" s="42"/>
      <c r="I589" s="42"/>
      <c r="J589" s="42"/>
      <c r="K589" s="42"/>
      <c r="L589" s="42"/>
      <c r="M589" s="42"/>
      <c r="N589" s="42"/>
      <c r="O589" s="42"/>
      <c r="P589" s="42"/>
      <c r="Q589" s="42"/>
      <c r="R589" s="42"/>
      <c r="S589" s="42"/>
      <c r="T589" s="42"/>
      <c r="U589" s="194"/>
      <c r="V589" s="42"/>
      <c r="W589" s="42"/>
      <c r="X589" s="42"/>
      <c r="Y589" s="42"/>
      <c r="Z589" s="42"/>
      <c r="AA589" s="42"/>
      <c r="AB589" s="195"/>
      <c r="AC589" s="42"/>
      <c r="AD589" s="42"/>
      <c r="AE589" s="195"/>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c r="BM589" s="42"/>
      <c r="BN589" s="42"/>
      <c r="BO589" s="42"/>
      <c r="BP589" s="42"/>
      <c r="BQ589" s="42"/>
      <c r="BR589" s="42"/>
      <c r="BS589" s="42"/>
      <c r="BT589" s="42"/>
      <c r="BU589" s="42"/>
      <c r="BV589" s="42"/>
      <c r="BW589" s="42"/>
      <c r="BX589" s="42"/>
      <c r="BY589" s="42"/>
      <c r="BZ589" s="42"/>
      <c r="CA589" s="42"/>
      <c r="CB589" s="42"/>
      <c r="CC589" s="42"/>
      <c r="CD589" s="42"/>
      <c r="CE589" s="42"/>
      <c r="CF589" s="42"/>
      <c r="CG589" s="42"/>
      <c r="CH589" s="42"/>
      <c r="CI589" s="42"/>
      <c r="CJ589" s="42"/>
      <c r="CK589" s="42"/>
      <c r="CL589" s="42"/>
      <c r="CM589" s="42"/>
      <c r="CN589" s="42"/>
      <c r="CO589" s="42"/>
      <c r="CP589" s="42"/>
      <c r="CQ589" s="42"/>
      <c r="CR589" s="42"/>
      <c r="CS589" s="42"/>
      <c r="CT589" s="42"/>
      <c r="CU589" s="42"/>
      <c r="CV589" s="42"/>
      <c r="CW589" s="42"/>
      <c r="CX589" s="42"/>
      <c r="CY589" s="42"/>
      <c r="CZ589" s="42"/>
      <c r="DA589" s="42"/>
      <c r="DB589" s="42"/>
      <c r="DC589" s="42"/>
      <c r="DD589" s="42"/>
      <c r="DE589" s="42"/>
      <c r="DF589" s="42"/>
      <c r="DG589" s="42"/>
      <c r="DH589" s="42"/>
      <c r="DI589" s="42"/>
      <c r="DJ589" s="42"/>
      <c r="DK589" s="42"/>
      <c r="DL589" s="42"/>
      <c r="DM589" s="42"/>
      <c r="DN589" s="42"/>
      <c r="DO589" s="42"/>
      <c r="DP589" s="42"/>
      <c r="DQ589" s="42"/>
      <c r="DR589" s="42"/>
      <c r="DS589" s="42"/>
      <c r="DT589" s="42"/>
      <c r="DU589" s="42"/>
      <c r="DV589" s="42"/>
      <c r="DW589" s="42"/>
      <c r="DX589" s="42"/>
      <c r="DY589" s="42"/>
      <c r="DZ589" s="42"/>
      <c r="EA589" s="42"/>
      <c r="EB589" s="42"/>
      <c r="EC589" s="42"/>
      <c r="ED589" s="42"/>
      <c r="EE589" s="42"/>
      <c r="EF589" s="42"/>
      <c r="EG589" s="42"/>
      <c r="EH589" s="42"/>
      <c r="EI589" s="42"/>
      <c r="EJ589" s="42"/>
      <c r="EK589" s="42"/>
      <c r="EL589" s="42"/>
      <c r="EM589" s="42"/>
      <c r="EN589" s="42"/>
      <c r="EO589" s="42"/>
      <c r="EP589" s="42"/>
      <c r="EQ589" s="42"/>
      <c r="ER589" s="42"/>
      <c r="ES589" s="42"/>
      <c r="ET589" s="42"/>
      <c r="EU589" s="42"/>
      <c r="EV589" s="42"/>
      <c r="EW589" s="42"/>
      <c r="EX589" s="42"/>
      <c r="EY589" s="42"/>
      <c r="EZ589" s="42"/>
      <c r="FA589" s="42"/>
      <c r="FB589" s="42"/>
      <c r="FC589" s="42"/>
      <c r="FD589" s="42"/>
      <c r="FE589" s="42"/>
      <c r="FF589" s="42"/>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row>
    <row r="590" spans="1:256" ht="13.8" x14ac:dyDescent="0.3">
      <c r="A590" s="42"/>
      <c r="B590" s="42"/>
      <c r="C590" s="42"/>
      <c r="D590" s="42"/>
      <c r="E590" s="42"/>
      <c r="F590" s="42"/>
      <c r="G590" s="42"/>
      <c r="H590" s="42"/>
      <c r="I590" s="42"/>
      <c r="J590" s="42"/>
      <c r="K590" s="42"/>
      <c r="L590" s="42"/>
      <c r="M590" s="42"/>
      <c r="N590" s="42"/>
      <c r="O590" s="42"/>
      <c r="P590" s="42"/>
      <c r="Q590" s="42"/>
      <c r="R590" s="42"/>
      <c r="S590" s="42"/>
      <c r="T590" s="42"/>
      <c r="U590" s="194"/>
      <c r="V590" s="42"/>
      <c r="W590" s="42"/>
      <c r="X590" s="42"/>
      <c r="Y590" s="42"/>
      <c r="Z590" s="42"/>
      <c r="AA590" s="42"/>
      <c r="AB590" s="195"/>
      <c r="AC590" s="42"/>
      <c r="AD590" s="42"/>
      <c r="AE590" s="195"/>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c r="BM590" s="42"/>
      <c r="BN590" s="42"/>
      <c r="BO590" s="42"/>
      <c r="BP590" s="42"/>
      <c r="BQ590" s="42"/>
      <c r="BR590" s="42"/>
      <c r="BS590" s="42"/>
      <c r="BT590" s="42"/>
      <c r="BU590" s="42"/>
      <c r="BV590" s="42"/>
      <c r="BW590" s="42"/>
      <c r="BX590" s="42"/>
      <c r="BY590" s="42"/>
      <c r="BZ590" s="42"/>
      <c r="CA590" s="42"/>
      <c r="CB590" s="42"/>
      <c r="CC590" s="42"/>
      <c r="CD590" s="42"/>
      <c r="CE590" s="42"/>
      <c r="CF590" s="42"/>
      <c r="CG590" s="42"/>
      <c r="CH590" s="42"/>
      <c r="CI590" s="42"/>
      <c r="CJ590" s="42"/>
      <c r="CK590" s="42"/>
      <c r="CL590" s="42"/>
      <c r="CM590" s="42"/>
      <c r="CN590" s="42"/>
      <c r="CO590" s="42"/>
      <c r="CP590" s="42"/>
      <c r="CQ590" s="42"/>
      <c r="CR590" s="42"/>
      <c r="CS590" s="42"/>
      <c r="CT590" s="42"/>
      <c r="CU590" s="42"/>
      <c r="CV590" s="42"/>
      <c r="CW590" s="42"/>
      <c r="CX590" s="42"/>
      <c r="CY590" s="42"/>
      <c r="CZ590" s="42"/>
      <c r="DA590" s="42"/>
      <c r="DB590" s="42"/>
      <c r="DC590" s="42"/>
      <c r="DD590" s="42"/>
      <c r="DE590" s="42"/>
      <c r="DF590" s="42"/>
      <c r="DG590" s="42"/>
      <c r="DH590" s="42"/>
      <c r="DI590" s="42"/>
      <c r="DJ590" s="42"/>
      <c r="DK590" s="42"/>
      <c r="DL590" s="42"/>
      <c r="DM590" s="42"/>
      <c r="DN590" s="42"/>
      <c r="DO590" s="42"/>
      <c r="DP590" s="42"/>
      <c r="DQ590" s="42"/>
      <c r="DR590" s="42"/>
      <c r="DS590" s="42"/>
      <c r="DT590" s="42"/>
      <c r="DU590" s="42"/>
      <c r="DV590" s="42"/>
      <c r="DW590" s="42"/>
      <c r="DX590" s="42"/>
      <c r="DY590" s="42"/>
      <c r="DZ590" s="42"/>
      <c r="EA590" s="42"/>
      <c r="EB590" s="42"/>
      <c r="EC590" s="42"/>
      <c r="ED590" s="42"/>
      <c r="EE590" s="42"/>
      <c r="EF590" s="42"/>
      <c r="EG590" s="42"/>
      <c r="EH590" s="42"/>
      <c r="EI590" s="42"/>
      <c r="EJ590" s="42"/>
      <c r="EK590" s="42"/>
      <c r="EL590" s="42"/>
      <c r="EM590" s="42"/>
      <c r="EN590" s="42"/>
      <c r="EO590" s="42"/>
      <c r="EP590" s="42"/>
      <c r="EQ590" s="42"/>
      <c r="ER590" s="42"/>
      <c r="ES590" s="42"/>
      <c r="ET590" s="42"/>
      <c r="EU590" s="42"/>
      <c r="EV590" s="42"/>
      <c r="EW590" s="42"/>
      <c r="EX590" s="42"/>
      <c r="EY590" s="42"/>
      <c r="EZ590" s="42"/>
      <c r="FA590" s="42"/>
      <c r="FB590" s="42"/>
      <c r="FC590" s="42"/>
      <c r="FD590" s="42"/>
      <c r="FE590" s="42"/>
      <c r="FF590" s="42"/>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row>
    <row r="591" spans="1:256" ht="13.8" x14ac:dyDescent="0.3">
      <c r="A591" s="42"/>
      <c r="B591" s="42"/>
      <c r="C591" s="42"/>
      <c r="D591" s="42"/>
      <c r="E591" s="42"/>
      <c r="F591" s="42"/>
      <c r="G591" s="42"/>
      <c r="H591" s="42"/>
      <c r="I591" s="42"/>
      <c r="J591" s="42"/>
      <c r="K591" s="42"/>
      <c r="L591" s="42"/>
      <c r="M591" s="42"/>
      <c r="N591" s="42"/>
      <c r="O591" s="42"/>
      <c r="P591" s="42"/>
      <c r="Q591" s="42"/>
      <c r="R591" s="42"/>
      <c r="S591" s="42"/>
      <c r="T591" s="42"/>
      <c r="U591" s="194"/>
      <c r="V591" s="42"/>
      <c r="W591" s="42"/>
      <c r="X591" s="42"/>
      <c r="Y591" s="42"/>
      <c r="Z591" s="42"/>
      <c r="AA591" s="42"/>
      <c r="AB591" s="195"/>
      <c r="AC591" s="42"/>
      <c r="AD591" s="42"/>
      <c r="AE591" s="195"/>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c r="BM591" s="42"/>
      <c r="BN591" s="42"/>
      <c r="BO591" s="42"/>
      <c r="BP591" s="42"/>
      <c r="BQ591" s="42"/>
      <c r="BR591" s="42"/>
      <c r="BS591" s="42"/>
      <c r="BT591" s="42"/>
      <c r="BU591" s="42"/>
      <c r="BV591" s="42"/>
      <c r="BW591" s="42"/>
      <c r="BX591" s="42"/>
      <c r="BY591" s="42"/>
      <c r="BZ591" s="42"/>
      <c r="CA591" s="42"/>
      <c r="CB591" s="42"/>
      <c r="CC591" s="42"/>
      <c r="CD591" s="42"/>
      <c r="CE591" s="42"/>
      <c r="CF591" s="42"/>
      <c r="CG591" s="42"/>
      <c r="CH591" s="42"/>
      <c r="CI591" s="42"/>
      <c r="CJ591" s="42"/>
      <c r="CK591" s="42"/>
      <c r="CL591" s="42"/>
      <c r="CM591" s="42"/>
      <c r="CN591" s="42"/>
      <c r="CO591" s="42"/>
      <c r="CP591" s="42"/>
      <c r="CQ591" s="42"/>
      <c r="CR591" s="42"/>
      <c r="CS591" s="42"/>
      <c r="CT591" s="42"/>
      <c r="CU591" s="42"/>
      <c r="CV591" s="42"/>
      <c r="CW591" s="42"/>
      <c r="CX591" s="42"/>
      <c r="CY591" s="42"/>
      <c r="CZ591" s="42"/>
      <c r="DA591" s="42"/>
      <c r="DB591" s="42"/>
      <c r="DC591" s="42"/>
      <c r="DD591" s="42"/>
      <c r="DE591" s="42"/>
      <c r="DF591" s="42"/>
      <c r="DG591" s="42"/>
      <c r="DH591" s="42"/>
      <c r="DI591" s="42"/>
      <c r="DJ591" s="42"/>
      <c r="DK591" s="42"/>
      <c r="DL591" s="42"/>
      <c r="DM591" s="42"/>
      <c r="DN591" s="42"/>
      <c r="DO591" s="42"/>
      <c r="DP591" s="42"/>
      <c r="DQ591" s="42"/>
      <c r="DR591" s="42"/>
      <c r="DS591" s="42"/>
      <c r="DT591" s="42"/>
      <c r="DU591" s="42"/>
      <c r="DV591" s="42"/>
      <c r="DW591" s="42"/>
      <c r="DX591" s="42"/>
      <c r="DY591" s="42"/>
      <c r="DZ591" s="42"/>
      <c r="EA591" s="42"/>
      <c r="EB591" s="42"/>
      <c r="EC591" s="42"/>
      <c r="ED591" s="42"/>
      <c r="EE591" s="42"/>
      <c r="EF591" s="42"/>
      <c r="EG591" s="42"/>
      <c r="EH591" s="42"/>
      <c r="EI591" s="42"/>
      <c r="EJ591" s="42"/>
      <c r="EK591" s="42"/>
      <c r="EL591" s="42"/>
      <c r="EM591" s="42"/>
      <c r="EN591" s="42"/>
      <c r="EO591" s="42"/>
      <c r="EP591" s="42"/>
      <c r="EQ591" s="42"/>
      <c r="ER591" s="42"/>
      <c r="ES591" s="42"/>
      <c r="ET591" s="42"/>
      <c r="EU591" s="42"/>
      <c r="EV591" s="42"/>
      <c r="EW591" s="42"/>
      <c r="EX591" s="42"/>
      <c r="EY591" s="42"/>
      <c r="EZ591" s="42"/>
      <c r="FA591" s="42"/>
      <c r="FB591" s="42"/>
      <c r="FC591" s="42"/>
      <c r="FD591" s="42"/>
      <c r="FE591" s="42"/>
      <c r="FF591" s="42"/>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row>
    <row r="592" spans="1:256" ht="13.8" x14ac:dyDescent="0.3">
      <c r="A592" s="42"/>
      <c r="B592" s="42"/>
      <c r="C592" s="42"/>
      <c r="D592" s="42"/>
      <c r="E592" s="42"/>
      <c r="F592" s="42"/>
      <c r="G592" s="42"/>
      <c r="H592" s="42"/>
      <c r="I592" s="42"/>
      <c r="J592" s="42"/>
      <c r="K592" s="42"/>
      <c r="L592" s="42"/>
      <c r="M592" s="42"/>
      <c r="N592" s="42"/>
      <c r="O592" s="42"/>
      <c r="P592" s="42"/>
      <c r="Q592" s="42"/>
      <c r="R592" s="42"/>
      <c r="S592" s="42"/>
      <c r="T592" s="42"/>
      <c r="U592" s="194"/>
      <c r="V592" s="42"/>
      <c r="W592" s="42"/>
      <c r="X592" s="42"/>
      <c r="Y592" s="42"/>
      <c r="Z592" s="42"/>
      <c r="AA592" s="42"/>
      <c r="AB592" s="195"/>
      <c r="AC592" s="42"/>
      <c r="AD592" s="42"/>
      <c r="AE592" s="195"/>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c r="BM592" s="42"/>
      <c r="BN592" s="42"/>
      <c r="BO592" s="42"/>
      <c r="BP592" s="42"/>
      <c r="BQ592" s="42"/>
      <c r="BR592" s="42"/>
      <c r="BS592" s="42"/>
      <c r="BT592" s="42"/>
      <c r="BU592" s="42"/>
      <c r="BV592" s="42"/>
      <c r="BW592" s="42"/>
      <c r="BX592" s="42"/>
      <c r="BY592" s="42"/>
      <c r="BZ592" s="42"/>
      <c r="CA592" s="42"/>
      <c r="CB592" s="42"/>
      <c r="CC592" s="42"/>
      <c r="CD592" s="42"/>
      <c r="CE592" s="42"/>
      <c r="CF592" s="42"/>
      <c r="CG592" s="42"/>
      <c r="CH592" s="42"/>
      <c r="CI592" s="42"/>
      <c r="CJ592" s="42"/>
      <c r="CK592" s="42"/>
      <c r="CL592" s="42"/>
      <c r="CM592" s="42"/>
      <c r="CN592" s="42"/>
      <c r="CO592" s="42"/>
      <c r="CP592" s="42"/>
      <c r="CQ592" s="42"/>
      <c r="CR592" s="42"/>
      <c r="CS592" s="42"/>
      <c r="CT592" s="42"/>
      <c r="CU592" s="42"/>
      <c r="CV592" s="42"/>
      <c r="CW592" s="42"/>
      <c r="CX592" s="42"/>
      <c r="CY592" s="42"/>
      <c r="CZ592" s="42"/>
      <c r="DA592" s="42"/>
      <c r="DB592" s="42"/>
      <c r="DC592" s="42"/>
      <c r="DD592" s="42"/>
      <c r="DE592" s="42"/>
      <c r="DF592" s="42"/>
      <c r="DG592" s="42"/>
      <c r="DH592" s="42"/>
      <c r="DI592" s="42"/>
      <c r="DJ592" s="42"/>
      <c r="DK592" s="42"/>
      <c r="DL592" s="42"/>
      <c r="DM592" s="42"/>
      <c r="DN592" s="42"/>
      <c r="DO592" s="42"/>
      <c r="DP592" s="42"/>
      <c r="DQ592" s="42"/>
      <c r="DR592" s="42"/>
      <c r="DS592" s="42"/>
      <c r="DT592" s="42"/>
      <c r="DU592" s="42"/>
      <c r="DV592" s="42"/>
      <c r="DW592" s="42"/>
      <c r="DX592" s="42"/>
      <c r="DY592" s="42"/>
      <c r="DZ592" s="42"/>
      <c r="EA592" s="42"/>
      <c r="EB592" s="42"/>
      <c r="EC592" s="42"/>
      <c r="ED592" s="42"/>
      <c r="EE592" s="42"/>
      <c r="EF592" s="42"/>
      <c r="EG592" s="42"/>
      <c r="EH592" s="42"/>
      <c r="EI592" s="42"/>
      <c r="EJ592" s="42"/>
      <c r="EK592" s="42"/>
      <c r="EL592" s="42"/>
      <c r="EM592" s="42"/>
      <c r="EN592" s="42"/>
      <c r="EO592" s="42"/>
      <c r="EP592" s="42"/>
      <c r="EQ592" s="42"/>
      <c r="ER592" s="42"/>
      <c r="ES592" s="42"/>
      <c r="ET592" s="42"/>
      <c r="EU592" s="42"/>
      <c r="EV592" s="42"/>
      <c r="EW592" s="42"/>
      <c r="EX592" s="42"/>
      <c r="EY592" s="42"/>
      <c r="EZ592" s="42"/>
      <c r="FA592" s="42"/>
      <c r="FB592" s="42"/>
      <c r="FC592" s="42"/>
      <c r="FD592" s="42"/>
      <c r="FE592" s="42"/>
      <c r="FF592" s="42"/>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row>
    <row r="593" spans="1:256" ht="13.8" x14ac:dyDescent="0.3">
      <c r="A593" s="42"/>
      <c r="B593" s="42"/>
      <c r="C593" s="42"/>
      <c r="D593" s="42"/>
      <c r="E593" s="42"/>
      <c r="F593" s="42"/>
      <c r="G593" s="42"/>
      <c r="H593" s="42"/>
      <c r="I593" s="42"/>
      <c r="J593" s="42"/>
      <c r="K593" s="42"/>
      <c r="L593" s="42"/>
      <c r="M593" s="42"/>
      <c r="N593" s="42"/>
      <c r="O593" s="42"/>
      <c r="P593" s="42"/>
      <c r="Q593" s="42"/>
      <c r="R593" s="42"/>
      <c r="S593" s="42"/>
      <c r="T593" s="42"/>
      <c r="U593" s="194"/>
      <c r="V593" s="42"/>
      <c r="W593" s="42"/>
      <c r="X593" s="42"/>
      <c r="Y593" s="42"/>
      <c r="Z593" s="42"/>
      <c r="AA593" s="42"/>
      <c r="AB593" s="195"/>
      <c r="AC593" s="42"/>
      <c r="AD593" s="42"/>
      <c r="AE593" s="195"/>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c r="BM593" s="42"/>
      <c r="BN593" s="42"/>
      <c r="BO593" s="42"/>
      <c r="BP593" s="42"/>
      <c r="BQ593" s="42"/>
      <c r="BR593" s="42"/>
      <c r="BS593" s="42"/>
      <c r="BT593" s="42"/>
      <c r="BU593" s="42"/>
      <c r="BV593" s="42"/>
      <c r="BW593" s="42"/>
      <c r="BX593" s="42"/>
      <c r="BY593" s="42"/>
      <c r="BZ593" s="42"/>
      <c r="CA593" s="42"/>
      <c r="CB593" s="42"/>
      <c r="CC593" s="42"/>
      <c r="CD593" s="42"/>
      <c r="CE593" s="42"/>
      <c r="CF593" s="42"/>
      <c r="CG593" s="42"/>
      <c r="CH593" s="42"/>
      <c r="CI593" s="42"/>
      <c r="CJ593" s="42"/>
      <c r="CK593" s="42"/>
      <c r="CL593" s="42"/>
      <c r="CM593" s="42"/>
      <c r="CN593" s="42"/>
      <c r="CO593" s="42"/>
      <c r="CP593" s="42"/>
      <c r="CQ593" s="42"/>
      <c r="CR593" s="42"/>
      <c r="CS593" s="42"/>
      <c r="CT593" s="42"/>
      <c r="CU593" s="42"/>
      <c r="CV593" s="42"/>
      <c r="CW593" s="42"/>
      <c r="CX593" s="42"/>
      <c r="CY593" s="42"/>
      <c r="CZ593" s="42"/>
      <c r="DA593" s="42"/>
      <c r="DB593" s="42"/>
      <c r="DC593" s="42"/>
      <c r="DD593" s="42"/>
      <c r="DE593" s="42"/>
      <c r="DF593" s="42"/>
      <c r="DG593" s="42"/>
      <c r="DH593" s="42"/>
      <c r="DI593" s="42"/>
      <c r="DJ593" s="42"/>
      <c r="DK593" s="42"/>
      <c r="DL593" s="42"/>
      <c r="DM593" s="42"/>
      <c r="DN593" s="42"/>
      <c r="DO593" s="42"/>
      <c r="DP593" s="42"/>
      <c r="DQ593" s="42"/>
      <c r="DR593" s="42"/>
      <c r="DS593" s="42"/>
      <c r="DT593" s="42"/>
      <c r="DU593" s="42"/>
      <c r="DV593" s="42"/>
      <c r="DW593" s="42"/>
      <c r="DX593" s="42"/>
      <c r="DY593" s="42"/>
      <c r="DZ593" s="42"/>
      <c r="EA593" s="42"/>
      <c r="EB593" s="42"/>
      <c r="EC593" s="42"/>
      <c r="ED593" s="42"/>
      <c r="EE593" s="42"/>
      <c r="EF593" s="42"/>
      <c r="EG593" s="42"/>
      <c r="EH593" s="42"/>
      <c r="EI593" s="42"/>
      <c r="EJ593" s="42"/>
      <c r="EK593" s="42"/>
      <c r="EL593" s="42"/>
      <c r="EM593" s="42"/>
      <c r="EN593" s="42"/>
      <c r="EO593" s="42"/>
      <c r="EP593" s="42"/>
      <c r="EQ593" s="42"/>
      <c r="ER593" s="42"/>
      <c r="ES593" s="42"/>
      <c r="ET593" s="42"/>
      <c r="EU593" s="42"/>
      <c r="EV593" s="42"/>
      <c r="EW593" s="42"/>
      <c r="EX593" s="42"/>
      <c r="EY593" s="42"/>
      <c r="EZ593" s="42"/>
      <c r="FA593" s="42"/>
      <c r="FB593" s="42"/>
      <c r="FC593" s="42"/>
      <c r="FD593" s="42"/>
      <c r="FE593" s="42"/>
      <c r="FF593" s="42"/>
      <c r="FG593" s="42"/>
      <c r="FH593" s="42"/>
      <c r="FI593" s="42"/>
      <c r="FJ593" s="42"/>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row>
    <row r="594" spans="1:256" ht="13.8" x14ac:dyDescent="0.3">
      <c r="A594" s="42"/>
      <c r="B594" s="42"/>
      <c r="C594" s="42"/>
      <c r="D594" s="42"/>
      <c r="E594" s="42"/>
      <c r="F594" s="42"/>
      <c r="G594" s="42"/>
      <c r="H594" s="42"/>
      <c r="I594" s="42"/>
      <c r="J594" s="42"/>
      <c r="K594" s="42"/>
      <c r="L594" s="42"/>
      <c r="M594" s="42"/>
      <c r="N594" s="42"/>
      <c r="O594" s="42"/>
      <c r="P594" s="42"/>
      <c r="Q594" s="42"/>
      <c r="R594" s="42"/>
      <c r="S594" s="42"/>
      <c r="T594" s="42"/>
      <c r="U594" s="194"/>
      <c r="V594" s="42"/>
      <c r="W594" s="42"/>
      <c r="X594" s="42"/>
      <c r="Y594" s="42"/>
      <c r="Z594" s="42"/>
      <c r="AA594" s="42"/>
      <c r="AB594" s="195"/>
      <c r="AC594" s="42"/>
      <c r="AD594" s="42"/>
      <c r="AE594" s="195"/>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c r="BM594" s="42"/>
      <c r="BN594" s="42"/>
      <c r="BO594" s="42"/>
      <c r="BP594" s="42"/>
      <c r="BQ594" s="42"/>
      <c r="BR594" s="42"/>
      <c r="BS594" s="42"/>
      <c r="BT594" s="42"/>
      <c r="BU594" s="42"/>
      <c r="BV594" s="42"/>
      <c r="BW594" s="42"/>
      <c r="BX594" s="42"/>
      <c r="BY594" s="42"/>
      <c r="BZ594" s="42"/>
      <c r="CA594" s="42"/>
      <c r="CB594" s="42"/>
      <c r="CC594" s="42"/>
      <c r="CD594" s="42"/>
      <c r="CE594" s="42"/>
      <c r="CF594" s="42"/>
      <c r="CG594" s="42"/>
      <c r="CH594" s="42"/>
      <c r="CI594" s="42"/>
      <c r="CJ594" s="42"/>
      <c r="CK594" s="42"/>
      <c r="CL594" s="42"/>
      <c r="CM594" s="42"/>
      <c r="CN594" s="42"/>
      <c r="CO594" s="42"/>
      <c r="CP594" s="42"/>
      <c r="CQ594" s="42"/>
      <c r="CR594" s="42"/>
      <c r="CS594" s="42"/>
      <c r="CT594" s="42"/>
      <c r="CU594" s="42"/>
      <c r="CV594" s="42"/>
      <c r="CW594" s="42"/>
      <c r="CX594" s="42"/>
      <c r="CY594" s="42"/>
      <c r="CZ594" s="42"/>
      <c r="DA594" s="42"/>
      <c r="DB594" s="42"/>
      <c r="DC594" s="42"/>
      <c r="DD594" s="42"/>
      <c r="DE594" s="42"/>
      <c r="DF594" s="42"/>
      <c r="DG594" s="42"/>
      <c r="DH594" s="42"/>
      <c r="DI594" s="42"/>
      <c r="DJ594" s="42"/>
      <c r="DK594" s="42"/>
      <c r="DL594" s="42"/>
      <c r="DM594" s="42"/>
      <c r="DN594" s="42"/>
      <c r="DO594" s="42"/>
      <c r="DP594" s="42"/>
      <c r="DQ594" s="42"/>
      <c r="DR594" s="42"/>
      <c r="DS594" s="42"/>
      <c r="DT594" s="42"/>
      <c r="DU594" s="42"/>
      <c r="DV594" s="42"/>
      <c r="DW594" s="42"/>
      <c r="DX594" s="42"/>
      <c r="DY594" s="42"/>
      <c r="DZ594" s="42"/>
      <c r="EA594" s="42"/>
      <c r="EB594" s="42"/>
      <c r="EC594" s="42"/>
      <c r="ED594" s="42"/>
      <c r="EE594" s="42"/>
      <c r="EF594" s="42"/>
      <c r="EG594" s="42"/>
      <c r="EH594" s="42"/>
      <c r="EI594" s="42"/>
      <c r="EJ594" s="42"/>
      <c r="EK594" s="42"/>
      <c r="EL594" s="42"/>
      <c r="EM594" s="42"/>
      <c r="EN594" s="42"/>
      <c r="EO594" s="42"/>
      <c r="EP594" s="42"/>
      <c r="EQ594" s="42"/>
      <c r="ER594" s="42"/>
      <c r="ES594" s="42"/>
      <c r="ET594" s="42"/>
      <c r="EU594" s="42"/>
      <c r="EV594" s="42"/>
      <c r="EW594" s="42"/>
      <c r="EX594" s="42"/>
      <c r="EY594" s="42"/>
      <c r="EZ594" s="42"/>
      <c r="FA594" s="42"/>
      <c r="FB594" s="42"/>
      <c r="FC594" s="42"/>
      <c r="FD594" s="42"/>
      <c r="FE594" s="42"/>
      <c r="FF594" s="42"/>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row>
    <row r="595" spans="1:256" ht="13.8" x14ac:dyDescent="0.3">
      <c r="A595" s="42"/>
      <c r="B595" s="42"/>
      <c r="C595" s="42"/>
      <c r="D595" s="42"/>
      <c r="E595" s="42"/>
      <c r="F595" s="42"/>
      <c r="G595" s="42"/>
      <c r="H595" s="42"/>
      <c r="I595" s="42"/>
      <c r="J595" s="42"/>
      <c r="K595" s="42"/>
      <c r="L595" s="42"/>
      <c r="M595" s="42"/>
      <c r="N595" s="42"/>
      <c r="O595" s="42"/>
      <c r="P595" s="42"/>
      <c r="Q595" s="42"/>
      <c r="R595" s="42"/>
      <c r="S595" s="42"/>
      <c r="T595" s="42"/>
      <c r="U595" s="194"/>
      <c r="V595" s="42"/>
      <c r="W595" s="42"/>
      <c r="X595" s="42"/>
      <c r="Y595" s="42"/>
      <c r="Z595" s="42"/>
      <c r="AA595" s="42"/>
      <c r="AB595" s="195"/>
      <c r="AC595" s="42"/>
      <c r="AD595" s="42"/>
      <c r="AE595" s="195"/>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c r="BM595" s="42"/>
      <c r="BN595" s="42"/>
      <c r="BO595" s="42"/>
      <c r="BP595" s="42"/>
      <c r="BQ595" s="42"/>
      <c r="BR595" s="42"/>
      <c r="BS595" s="42"/>
      <c r="BT595" s="42"/>
      <c r="BU595" s="42"/>
      <c r="BV595" s="42"/>
      <c r="BW595" s="42"/>
      <c r="BX595" s="42"/>
      <c r="BY595" s="42"/>
      <c r="BZ595" s="42"/>
      <c r="CA595" s="42"/>
      <c r="CB595" s="42"/>
      <c r="CC595" s="42"/>
      <c r="CD595" s="42"/>
      <c r="CE595" s="42"/>
      <c r="CF595" s="42"/>
      <c r="CG595" s="42"/>
      <c r="CH595" s="42"/>
      <c r="CI595" s="42"/>
      <c r="CJ595" s="42"/>
      <c r="CK595" s="42"/>
      <c r="CL595" s="42"/>
      <c r="CM595" s="42"/>
      <c r="CN595" s="42"/>
      <c r="CO595" s="42"/>
      <c r="CP595" s="42"/>
      <c r="CQ595" s="42"/>
      <c r="CR595" s="42"/>
      <c r="CS595" s="42"/>
      <c r="CT595" s="42"/>
      <c r="CU595" s="42"/>
      <c r="CV595" s="42"/>
      <c r="CW595" s="42"/>
      <c r="CX595" s="42"/>
      <c r="CY595" s="42"/>
      <c r="CZ595" s="42"/>
      <c r="DA595" s="42"/>
      <c r="DB595" s="42"/>
      <c r="DC595" s="42"/>
      <c r="DD595" s="42"/>
      <c r="DE595" s="42"/>
      <c r="DF595" s="42"/>
      <c r="DG595" s="42"/>
      <c r="DH595" s="42"/>
      <c r="DI595" s="42"/>
      <c r="DJ595" s="42"/>
      <c r="DK595" s="42"/>
      <c r="DL595" s="42"/>
      <c r="DM595" s="42"/>
      <c r="DN595" s="42"/>
      <c r="DO595" s="42"/>
      <c r="DP595" s="42"/>
      <c r="DQ595" s="42"/>
      <c r="DR595" s="42"/>
      <c r="DS595" s="42"/>
      <c r="DT595" s="42"/>
      <c r="DU595" s="42"/>
      <c r="DV595" s="42"/>
      <c r="DW595" s="42"/>
      <c r="DX595" s="42"/>
      <c r="DY595" s="42"/>
      <c r="DZ595" s="42"/>
      <c r="EA595" s="42"/>
      <c r="EB595" s="42"/>
      <c r="EC595" s="42"/>
      <c r="ED595" s="42"/>
      <c r="EE595" s="42"/>
      <c r="EF595" s="42"/>
      <c r="EG595" s="42"/>
      <c r="EH595" s="42"/>
      <c r="EI595" s="42"/>
      <c r="EJ595" s="42"/>
      <c r="EK595" s="42"/>
      <c r="EL595" s="42"/>
      <c r="EM595" s="42"/>
      <c r="EN595" s="42"/>
      <c r="EO595" s="42"/>
      <c r="EP595" s="42"/>
      <c r="EQ595" s="42"/>
      <c r="ER595" s="42"/>
      <c r="ES595" s="42"/>
      <c r="ET595" s="42"/>
      <c r="EU595" s="42"/>
      <c r="EV595" s="42"/>
      <c r="EW595" s="42"/>
      <c r="EX595" s="42"/>
      <c r="EY595" s="42"/>
      <c r="EZ595" s="42"/>
      <c r="FA595" s="42"/>
      <c r="FB595" s="42"/>
      <c r="FC595" s="42"/>
      <c r="FD595" s="42"/>
      <c r="FE595" s="42"/>
      <c r="FF595" s="42"/>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row>
    <row r="596" spans="1:256" ht="13.8" x14ac:dyDescent="0.3">
      <c r="A596" s="42"/>
      <c r="B596" s="42"/>
      <c r="C596" s="42"/>
      <c r="D596" s="42"/>
      <c r="E596" s="42"/>
      <c r="F596" s="42"/>
      <c r="G596" s="42"/>
      <c r="H596" s="42"/>
      <c r="I596" s="42"/>
      <c r="J596" s="42"/>
      <c r="K596" s="42"/>
      <c r="L596" s="42"/>
      <c r="M596" s="42"/>
      <c r="N596" s="42"/>
      <c r="O596" s="42"/>
      <c r="P596" s="42"/>
      <c r="Q596" s="42"/>
      <c r="R596" s="42"/>
      <c r="S596" s="42"/>
      <c r="T596" s="42"/>
      <c r="U596" s="194"/>
      <c r="V596" s="42"/>
      <c r="W596" s="42"/>
      <c r="X596" s="42"/>
      <c r="Y596" s="42"/>
      <c r="Z596" s="42"/>
      <c r="AA596" s="42"/>
      <c r="AB596" s="195"/>
      <c r="AC596" s="42"/>
      <c r="AD596" s="42"/>
      <c r="AE596" s="195"/>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c r="BM596" s="42"/>
      <c r="BN596" s="42"/>
      <c r="BO596" s="42"/>
      <c r="BP596" s="42"/>
      <c r="BQ596" s="42"/>
      <c r="BR596" s="42"/>
      <c r="BS596" s="42"/>
      <c r="BT596" s="42"/>
      <c r="BU596" s="42"/>
      <c r="BV596" s="42"/>
      <c r="BW596" s="42"/>
      <c r="BX596" s="42"/>
      <c r="BY596" s="42"/>
      <c r="BZ596" s="42"/>
      <c r="CA596" s="42"/>
      <c r="CB596" s="42"/>
      <c r="CC596" s="42"/>
      <c r="CD596" s="42"/>
      <c r="CE596" s="42"/>
      <c r="CF596" s="42"/>
      <c r="CG596" s="42"/>
      <c r="CH596" s="42"/>
      <c r="CI596" s="42"/>
      <c r="CJ596" s="42"/>
      <c r="CK596" s="42"/>
      <c r="CL596" s="42"/>
      <c r="CM596" s="42"/>
      <c r="CN596" s="42"/>
      <c r="CO596" s="42"/>
      <c r="CP596" s="42"/>
      <c r="CQ596" s="42"/>
      <c r="CR596" s="42"/>
      <c r="CS596" s="42"/>
      <c r="CT596" s="42"/>
      <c r="CU596" s="42"/>
      <c r="CV596" s="42"/>
      <c r="CW596" s="42"/>
      <c r="CX596" s="42"/>
      <c r="CY596" s="42"/>
      <c r="CZ596" s="42"/>
      <c r="DA596" s="42"/>
      <c r="DB596" s="42"/>
      <c r="DC596" s="42"/>
      <c r="DD596" s="42"/>
      <c r="DE596" s="42"/>
      <c r="DF596" s="42"/>
      <c r="DG596" s="42"/>
      <c r="DH596" s="42"/>
      <c r="DI596" s="42"/>
      <c r="DJ596" s="42"/>
      <c r="DK596" s="42"/>
      <c r="DL596" s="42"/>
      <c r="DM596" s="42"/>
      <c r="DN596" s="42"/>
      <c r="DO596" s="42"/>
      <c r="DP596" s="42"/>
      <c r="DQ596" s="42"/>
      <c r="DR596" s="42"/>
      <c r="DS596" s="42"/>
      <c r="DT596" s="42"/>
      <c r="DU596" s="42"/>
      <c r="DV596" s="42"/>
      <c r="DW596" s="42"/>
      <c r="DX596" s="42"/>
      <c r="DY596" s="42"/>
      <c r="DZ596" s="42"/>
      <c r="EA596" s="42"/>
      <c r="EB596" s="42"/>
      <c r="EC596" s="42"/>
      <c r="ED596" s="42"/>
      <c r="EE596" s="42"/>
      <c r="EF596" s="42"/>
      <c r="EG596" s="42"/>
      <c r="EH596" s="42"/>
      <c r="EI596" s="42"/>
      <c r="EJ596" s="42"/>
      <c r="EK596" s="42"/>
      <c r="EL596" s="42"/>
      <c r="EM596" s="42"/>
      <c r="EN596" s="42"/>
      <c r="EO596" s="42"/>
      <c r="EP596" s="42"/>
      <c r="EQ596" s="42"/>
      <c r="ER596" s="42"/>
      <c r="ES596" s="42"/>
      <c r="ET596" s="42"/>
      <c r="EU596" s="42"/>
      <c r="EV596" s="42"/>
      <c r="EW596" s="42"/>
      <c r="EX596" s="42"/>
      <c r="EY596" s="42"/>
      <c r="EZ596" s="42"/>
      <c r="FA596" s="42"/>
      <c r="FB596" s="42"/>
      <c r="FC596" s="42"/>
      <c r="FD596" s="42"/>
      <c r="FE596" s="42"/>
      <c r="FF596" s="42"/>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row>
    <row r="597" spans="1:256" ht="13.8" x14ac:dyDescent="0.3">
      <c r="A597" s="42"/>
      <c r="B597" s="42"/>
      <c r="C597" s="42"/>
      <c r="D597" s="42"/>
      <c r="E597" s="42"/>
      <c r="F597" s="42"/>
      <c r="G597" s="42"/>
      <c r="H597" s="42"/>
      <c r="I597" s="42"/>
      <c r="J597" s="42"/>
      <c r="K597" s="42"/>
      <c r="L597" s="42"/>
      <c r="M597" s="42"/>
      <c r="N597" s="42"/>
      <c r="O597" s="42"/>
      <c r="P597" s="42"/>
      <c r="Q597" s="42"/>
      <c r="R597" s="42"/>
      <c r="S597" s="42"/>
      <c r="T597" s="42"/>
      <c r="U597" s="194"/>
      <c r="V597" s="42"/>
      <c r="W597" s="42"/>
      <c r="X597" s="42"/>
      <c r="Y597" s="42"/>
      <c r="Z597" s="42"/>
      <c r="AA597" s="42"/>
      <c r="AB597" s="195"/>
      <c r="AC597" s="42"/>
      <c r="AD597" s="42"/>
      <c r="AE597" s="195"/>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c r="BM597" s="42"/>
      <c r="BN597" s="42"/>
      <c r="BO597" s="42"/>
      <c r="BP597" s="42"/>
      <c r="BQ597" s="42"/>
      <c r="BR597" s="42"/>
      <c r="BS597" s="42"/>
      <c r="BT597" s="42"/>
      <c r="BU597" s="42"/>
      <c r="BV597" s="42"/>
      <c r="BW597" s="42"/>
      <c r="BX597" s="42"/>
      <c r="BY597" s="42"/>
      <c r="BZ597" s="42"/>
      <c r="CA597" s="42"/>
      <c r="CB597" s="42"/>
      <c r="CC597" s="42"/>
      <c r="CD597" s="42"/>
      <c r="CE597" s="42"/>
      <c r="CF597" s="42"/>
      <c r="CG597" s="42"/>
      <c r="CH597" s="42"/>
      <c r="CI597" s="42"/>
      <c r="CJ597" s="42"/>
      <c r="CK597" s="42"/>
      <c r="CL597" s="42"/>
      <c r="CM597" s="42"/>
      <c r="CN597" s="42"/>
      <c r="CO597" s="42"/>
      <c r="CP597" s="42"/>
      <c r="CQ597" s="42"/>
      <c r="CR597" s="42"/>
      <c r="CS597" s="42"/>
      <c r="CT597" s="42"/>
      <c r="CU597" s="42"/>
      <c r="CV597" s="42"/>
      <c r="CW597" s="42"/>
      <c r="CX597" s="42"/>
      <c r="CY597" s="42"/>
      <c r="CZ597" s="42"/>
      <c r="DA597" s="42"/>
      <c r="DB597" s="42"/>
      <c r="DC597" s="42"/>
      <c r="DD597" s="42"/>
      <c r="DE597" s="42"/>
      <c r="DF597" s="42"/>
      <c r="DG597" s="42"/>
      <c r="DH597" s="42"/>
      <c r="DI597" s="42"/>
      <c r="DJ597" s="42"/>
      <c r="DK597" s="42"/>
      <c r="DL597" s="42"/>
      <c r="DM597" s="42"/>
      <c r="DN597" s="42"/>
      <c r="DO597" s="42"/>
      <c r="DP597" s="42"/>
      <c r="DQ597" s="42"/>
      <c r="DR597" s="42"/>
      <c r="DS597" s="42"/>
      <c r="DT597" s="42"/>
      <c r="DU597" s="42"/>
      <c r="DV597" s="42"/>
      <c r="DW597" s="42"/>
      <c r="DX597" s="42"/>
      <c r="DY597" s="42"/>
      <c r="DZ597" s="42"/>
      <c r="EA597" s="42"/>
      <c r="EB597" s="42"/>
      <c r="EC597" s="42"/>
      <c r="ED597" s="42"/>
      <c r="EE597" s="42"/>
      <c r="EF597" s="42"/>
      <c r="EG597" s="42"/>
      <c r="EH597" s="42"/>
      <c r="EI597" s="42"/>
      <c r="EJ597" s="42"/>
      <c r="EK597" s="42"/>
      <c r="EL597" s="42"/>
      <c r="EM597" s="42"/>
      <c r="EN597" s="42"/>
      <c r="EO597" s="42"/>
      <c r="EP597" s="42"/>
      <c r="EQ597" s="42"/>
      <c r="ER597" s="42"/>
      <c r="ES597" s="42"/>
      <c r="ET597" s="42"/>
      <c r="EU597" s="42"/>
      <c r="EV597" s="42"/>
      <c r="EW597" s="42"/>
      <c r="EX597" s="42"/>
      <c r="EY597" s="42"/>
      <c r="EZ597" s="42"/>
      <c r="FA597" s="42"/>
      <c r="FB597" s="42"/>
      <c r="FC597" s="42"/>
      <c r="FD597" s="42"/>
      <c r="FE597" s="42"/>
      <c r="FF597" s="42"/>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row>
    <row r="598" spans="1:256" ht="13.8" x14ac:dyDescent="0.3">
      <c r="A598" s="42"/>
      <c r="B598" s="42"/>
      <c r="C598" s="42"/>
      <c r="D598" s="42"/>
      <c r="E598" s="42"/>
      <c r="F598" s="42"/>
      <c r="G598" s="42"/>
      <c r="H598" s="42"/>
      <c r="I598" s="42"/>
      <c r="J598" s="42"/>
      <c r="K598" s="42"/>
      <c r="L598" s="42"/>
      <c r="M598" s="42"/>
      <c r="N598" s="42"/>
      <c r="O598" s="42"/>
      <c r="P598" s="42"/>
      <c r="Q598" s="42"/>
      <c r="R598" s="42"/>
      <c r="S598" s="42"/>
      <c r="T598" s="42"/>
      <c r="U598" s="194"/>
      <c r="V598" s="42"/>
      <c r="W598" s="42"/>
      <c r="X598" s="42"/>
      <c r="Y598" s="42"/>
      <c r="Z598" s="42"/>
      <c r="AA598" s="42"/>
      <c r="AB598" s="195"/>
      <c r="AC598" s="42"/>
      <c r="AD598" s="42"/>
      <c r="AE598" s="195"/>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c r="BM598" s="42"/>
      <c r="BN598" s="42"/>
      <c r="BO598" s="42"/>
      <c r="BP598" s="42"/>
      <c r="BQ598" s="42"/>
      <c r="BR598" s="42"/>
      <c r="BS598" s="42"/>
      <c r="BT598" s="42"/>
      <c r="BU598" s="42"/>
      <c r="BV598" s="42"/>
      <c r="BW598" s="42"/>
      <c r="BX598" s="42"/>
      <c r="BY598" s="42"/>
      <c r="BZ598" s="42"/>
      <c r="CA598" s="42"/>
      <c r="CB598" s="42"/>
      <c r="CC598" s="42"/>
      <c r="CD598" s="42"/>
      <c r="CE598" s="42"/>
      <c r="CF598" s="42"/>
      <c r="CG598" s="42"/>
      <c r="CH598" s="42"/>
      <c r="CI598" s="42"/>
      <c r="CJ598" s="42"/>
      <c r="CK598" s="42"/>
      <c r="CL598" s="42"/>
      <c r="CM598" s="42"/>
      <c r="CN598" s="42"/>
      <c r="CO598" s="42"/>
      <c r="CP598" s="42"/>
      <c r="CQ598" s="42"/>
      <c r="CR598" s="42"/>
      <c r="CS598" s="42"/>
      <c r="CT598" s="42"/>
      <c r="CU598" s="42"/>
      <c r="CV598" s="42"/>
      <c r="CW598" s="42"/>
      <c r="CX598" s="42"/>
      <c r="CY598" s="42"/>
      <c r="CZ598" s="42"/>
      <c r="DA598" s="42"/>
      <c r="DB598" s="42"/>
      <c r="DC598" s="42"/>
      <c r="DD598" s="42"/>
      <c r="DE598" s="42"/>
      <c r="DF598" s="42"/>
      <c r="DG598" s="42"/>
      <c r="DH598" s="42"/>
      <c r="DI598" s="42"/>
      <c r="DJ598" s="42"/>
      <c r="DK598" s="42"/>
      <c r="DL598" s="42"/>
      <c r="DM598" s="42"/>
      <c r="DN598" s="42"/>
      <c r="DO598" s="42"/>
      <c r="DP598" s="42"/>
      <c r="DQ598" s="42"/>
      <c r="DR598" s="42"/>
      <c r="DS598" s="42"/>
      <c r="DT598" s="42"/>
      <c r="DU598" s="42"/>
      <c r="DV598" s="42"/>
      <c r="DW598" s="42"/>
      <c r="DX598" s="42"/>
      <c r="DY598" s="42"/>
      <c r="DZ598" s="42"/>
      <c r="EA598" s="42"/>
      <c r="EB598" s="42"/>
      <c r="EC598" s="42"/>
      <c r="ED598" s="42"/>
      <c r="EE598" s="42"/>
      <c r="EF598" s="42"/>
      <c r="EG598" s="42"/>
      <c r="EH598" s="42"/>
      <c r="EI598" s="42"/>
      <c r="EJ598" s="42"/>
      <c r="EK598" s="42"/>
      <c r="EL598" s="42"/>
      <c r="EM598" s="42"/>
      <c r="EN598" s="42"/>
      <c r="EO598" s="42"/>
      <c r="EP598" s="42"/>
      <c r="EQ598" s="42"/>
      <c r="ER598" s="42"/>
      <c r="ES598" s="42"/>
      <c r="ET598" s="42"/>
      <c r="EU598" s="42"/>
      <c r="EV598" s="42"/>
      <c r="EW598" s="42"/>
      <c r="EX598" s="42"/>
      <c r="EY598" s="42"/>
      <c r="EZ598" s="42"/>
      <c r="FA598" s="42"/>
      <c r="FB598" s="42"/>
      <c r="FC598" s="42"/>
      <c r="FD598" s="42"/>
      <c r="FE598" s="42"/>
      <c r="FF598" s="42"/>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row>
    <row r="599" spans="1:256" ht="13.8" x14ac:dyDescent="0.3">
      <c r="A599" s="42"/>
      <c r="B599" s="42"/>
      <c r="C599" s="42"/>
      <c r="D599" s="42"/>
      <c r="E599" s="42"/>
      <c r="F599" s="42"/>
      <c r="G599" s="42"/>
      <c r="H599" s="42"/>
      <c r="I599" s="42"/>
      <c r="J599" s="42"/>
      <c r="K599" s="42"/>
      <c r="L599" s="42"/>
      <c r="M599" s="42"/>
      <c r="N599" s="42"/>
      <c r="O599" s="42"/>
      <c r="P599" s="42"/>
      <c r="Q599" s="42"/>
      <c r="R599" s="42"/>
      <c r="S599" s="42"/>
      <c r="T599" s="42"/>
      <c r="U599" s="194"/>
      <c r="V599" s="42"/>
      <c r="W599" s="42"/>
      <c r="X599" s="42"/>
      <c r="Y599" s="42"/>
      <c r="Z599" s="42"/>
      <c r="AA599" s="42"/>
      <c r="AB599" s="195"/>
      <c r="AC599" s="42"/>
      <c r="AD599" s="42"/>
      <c r="AE599" s="195"/>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c r="BM599" s="42"/>
      <c r="BN599" s="42"/>
      <c r="BO599" s="42"/>
      <c r="BP599" s="42"/>
      <c r="BQ599" s="42"/>
      <c r="BR599" s="42"/>
      <c r="BS599" s="42"/>
      <c r="BT599" s="42"/>
      <c r="BU599" s="42"/>
      <c r="BV599" s="42"/>
      <c r="BW599" s="42"/>
      <c r="BX599" s="42"/>
      <c r="BY599" s="42"/>
      <c r="BZ599" s="42"/>
      <c r="CA599" s="42"/>
      <c r="CB599" s="42"/>
      <c r="CC599" s="42"/>
      <c r="CD599" s="42"/>
      <c r="CE599" s="42"/>
      <c r="CF599" s="42"/>
      <c r="CG599" s="42"/>
      <c r="CH599" s="42"/>
      <c r="CI599" s="42"/>
      <c r="CJ599" s="42"/>
      <c r="CK599" s="42"/>
      <c r="CL599" s="42"/>
      <c r="CM599" s="42"/>
      <c r="CN599" s="42"/>
      <c r="CO599" s="42"/>
      <c r="CP599" s="42"/>
      <c r="CQ599" s="42"/>
      <c r="CR599" s="42"/>
      <c r="CS599" s="42"/>
      <c r="CT599" s="42"/>
      <c r="CU599" s="42"/>
      <c r="CV599" s="42"/>
      <c r="CW599" s="42"/>
      <c r="CX599" s="42"/>
      <c r="CY599" s="42"/>
      <c r="CZ599" s="42"/>
      <c r="DA599" s="42"/>
      <c r="DB599" s="42"/>
      <c r="DC599" s="42"/>
      <c r="DD599" s="42"/>
      <c r="DE599" s="42"/>
      <c r="DF599" s="42"/>
      <c r="DG599" s="42"/>
      <c r="DH599" s="42"/>
      <c r="DI599" s="42"/>
      <c r="DJ599" s="42"/>
      <c r="DK599" s="42"/>
      <c r="DL599" s="42"/>
      <c r="DM599" s="42"/>
      <c r="DN599" s="42"/>
      <c r="DO599" s="42"/>
      <c r="DP599" s="42"/>
      <c r="DQ599" s="42"/>
      <c r="DR599" s="42"/>
      <c r="DS599" s="42"/>
      <c r="DT599" s="42"/>
      <c r="DU599" s="42"/>
      <c r="DV599" s="42"/>
      <c r="DW599" s="42"/>
      <c r="DX599" s="42"/>
      <c r="DY599" s="42"/>
      <c r="DZ599" s="42"/>
      <c r="EA599" s="42"/>
      <c r="EB599" s="42"/>
      <c r="EC599" s="42"/>
      <c r="ED599" s="42"/>
      <c r="EE599" s="42"/>
      <c r="EF599" s="42"/>
      <c r="EG599" s="42"/>
      <c r="EH599" s="42"/>
      <c r="EI599" s="42"/>
      <c r="EJ599" s="42"/>
      <c r="EK599" s="42"/>
      <c r="EL599" s="42"/>
      <c r="EM599" s="42"/>
      <c r="EN599" s="42"/>
      <c r="EO599" s="42"/>
      <c r="EP599" s="42"/>
      <c r="EQ599" s="42"/>
      <c r="ER599" s="42"/>
      <c r="ES599" s="42"/>
      <c r="ET599" s="42"/>
      <c r="EU599" s="42"/>
      <c r="EV599" s="42"/>
      <c r="EW599" s="42"/>
      <c r="EX599" s="42"/>
      <c r="EY599" s="42"/>
      <c r="EZ599" s="42"/>
      <c r="FA599" s="42"/>
      <c r="FB599" s="42"/>
      <c r="FC599" s="42"/>
      <c r="FD599" s="42"/>
      <c r="FE599" s="42"/>
      <c r="FF599" s="42"/>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row>
    <row r="600" spans="1:256" ht="13.8" x14ac:dyDescent="0.3">
      <c r="A600" s="42"/>
      <c r="B600" s="42"/>
      <c r="C600" s="42"/>
      <c r="D600" s="42"/>
      <c r="E600" s="42"/>
      <c r="F600" s="42"/>
      <c r="G600" s="42"/>
      <c r="H600" s="42"/>
      <c r="I600" s="42"/>
      <c r="J600" s="42"/>
      <c r="K600" s="42"/>
      <c r="L600" s="42"/>
      <c r="M600" s="42"/>
      <c r="N600" s="42"/>
      <c r="O600" s="42"/>
      <c r="P600" s="42"/>
      <c r="Q600" s="42"/>
      <c r="R600" s="42"/>
      <c r="S600" s="42"/>
      <c r="T600" s="42"/>
      <c r="U600" s="194"/>
      <c r="V600" s="42"/>
      <c r="W600" s="42"/>
      <c r="X600" s="42"/>
      <c r="Y600" s="42"/>
      <c r="Z600" s="42"/>
      <c r="AA600" s="42"/>
      <c r="AB600" s="195"/>
      <c r="AC600" s="42"/>
      <c r="AD600" s="42"/>
      <c r="AE600" s="195"/>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c r="BM600" s="42"/>
      <c r="BN600" s="42"/>
      <c r="BO600" s="42"/>
      <c r="BP600" s="42"/>
      <c r="BQ600" s="42"/>
      <c r="BR600" s="42"/>
      <c r="BS600" s="42"/>
      <c r="BT600" s="42"/>
      <c r="BU600" s="42"/>
      <c r="BV600" s="42"/>
      <c r="BW600" s="42"/>
      <c r="BX600" s="42"/>
      <c r="BY600" s="42"/>
      <c r="BZ600" s="42"/>
      <c r="CA600" s="42"/>
      <c r="CB600" s="42"/>
      <c r="CC600" s="42"/>
      <c r="CD600" s="42"/>
      <c r="CE600" s="42"/>
      <c r="CF600" s="42"/>
      <c r="CG600" s="42"/>
      <c r="CH600" s="42"/>
      <c r="CI600" s="42"/>
      <c r="CJ600" s="42"/>
      <c r="CK600" s="42"/>
      <c r="CL600" s="42"/>
      <c r="CM600" s="42"/>
      <c r="CN600" s="42"/>
      <c r="CO600" s="42"/>
      <c r="CP600" s="42"/>
      <c r="CQ600" s="42"/>
      <c r="CR600" s="42"/>
      <c r="CS600" s="42"/>
      <c r="CT600" s="42"/>
      <c r="CU600" s="42"/>
      <c r="CV600" s="42"/>
      <c r="CW600" s="42"/>
      <c r="CX600" s="42"/>
      <c r="CY600" s="42"/>
      <c r="CZ600" s="42"/>
      <c r="DA600" s="42"/>
      <c r="DB600" s="42"/>
      <c r="DC600" s="42"/>
      <c r="DD600" s="42"/>
      <c r="DE600" s="42"/>
      <c r="DF600" s="42"/>
      <c r="DG600" s="42"/>
      <c r="DH600" s="42"/>
      <c r="DI600" s="42"/>
      <c r="DJ600" s="42"/>
      <c r="DK600" s="42"/>
      <c r="DL600" s="42"/>
      <c r="DM600" s="42"/>
      <c r="DN600" s="42"/>
      <c r="DO600" s="42"/>
      <c r="DP600" s="42"/>
      <c r="DQ600" s="42"/>
      <c r="DR600" s="42"/>
      <c r="DS600" s="42"/>
      <c r="DT600" s="42"/>
      <c r="DU600" s="42"/>
      <c r="DV600" s="42"/>
      <c r="DW600" s="42"/>
      <c r="DX600" s="42"/>
      <c r="DY600" s="42"/>
      <c r="DZ600" s="42"/>
      <c r="EA600" s="42"/>
      <c r="EB600" s="42"/>
      <c r="EC600" s="42"/>
      <c r="ED600" s="42"/>
      <c r="EE600" s="42"/>
      <c r="EF600" s="42"/>
      <c r="EG600" s="42"/>
      <c r="EH600" s="42"/>
      <c r="EI600" s="42"/>
      <c r="EJ600" s="42"/>
      <c r="EK600" s="42"/>
      <c r="EL600" s="42"/>
      <c r="EM600" s="42"/>
      <c r="EN600" s="42"/>
      <c r="EO600" s="42"/>
      <c r="EP600" s="42"/>
      <c r="EQ600" s="42"/>
      <c r="ER600" s="42"/>
      <c r="ES600" s="42"/>
      <c r="ET600" s="42"/>
      <c r="EU600" s="42"/>
      <c r="EV600" s="42"/>
      <c r="EW600" s="42"/>
      <c r="EX600" s="42"/>
      <c r="EY600" s="42"/>
      <c r="EZ600" s="42"/>
      <c r="FA600" s="42"/>
      <c r="FB600" s="42"/>
      <c r="FC600" s="42"/>
      <c r="FD600" s="42"/>
      <c r="FE600" s="42"/>
      <c r="FF600" s="42"/>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row>
    <row r="601" spans="1:256" ht="13.8" x14ac:dyDescent="0.3">
      <c r="A601" s="42"/>
      <c r="B601" s="42"/>
      <c r="C601" s="42"/>
      <c r="D601" s="42"/>
      <c r="E601" s="42"/>
      <c r="F601" s="42"/>
      <c r="G601" s="42"/>
      <c r="H601" s="42"/>
      <c r="I601" s="42"/>
      <c r="J601" s="42"/>
      <c r="K601" s="42"/>
      <c r="L601" s="42"/>
      <c r="M601" s="42"/>
      <c r="N601" s="42"/>
      <c r="O601" s="42"/>
      <c r="P601" s="42"/>
      <c r="Q601" s="42"/>
      <c r="R601" s="42"/>
      <c r="S601" s="42"/>
      <c r="T601" s="42"/>
      <c r="U601" s="194"/>
      <c r="V601" s="42"/>
      <c r="W601" s="42"/>
      <c r="X601" s="42"/>
      <c r="Y601" s="42"/>
      <c r="Z601" s="42"/>
      <c r="AA601" s="42"/>
      <c r="AB601" s="195"/>
      <c r="AC601" s="42"/>
      <c r="AD601" s="42"/>
      <c r="AE601" s="195"/>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c r="BM601" s="42"/>
      <c r="BN601" s="42"/>
      <c r="BO601" s="42"/>
      <c r="BP601" s="42"/>
      <c r="BQ601" s="42"/>
      <c r="BR601" s="42"/>
      <c r="BS601" s="42"/>
      <c r="BT601" s="42"/>
      <c r="BU601" s="42"/>
      <c r="BV601" s="42"/>
      <c r="BW601" s="42"/>
      <c r="BX601" s="42"/>
      <c r="BY601" s="42"/>
      <c r="BZ601" s="42"/>
      <c r="CA601" s="42"/>
      <c r="CB601" s="42"/>
      <c r="CC601" s="42"/>
      <c r="CD601" s="42"/>
      <c r="CE601" s="42"/>
      <c r="CF601" s="42"/>
      <c r="CG601" s="42"/>
      <c r="CH601" s="42"/>
      <c r="CI601" s="42"/>
      <c r="CJ601" s="42"/>
      <c r="CK601" s="42"/>
      <c r="CL601" s="42"/>
      <c r="CM601" s="42"/>
      <c r="CN601" s="42"/>
      <c r="CO601" s="42"/>
      <c r="CP601" s="42"/>
      <c r="CQ601" s="42"/>
      <c r="CR601" s="42"/>
      <c r="CS601" s="42"/>
      <c r="CT601" s="42"/>
      <c r="CU601" s="42"/>
      <c r="CV601" s="42"/>
      <c r="CW601" s="42"/>
      <c r="CX601" s="42"/>
      <c r="CY601" s="42"/>
      <c r="CZ601" s="42"/>
      <c r="DA601" s="42"/>
      <c r="DB601" s="42"/>
      <c r="DC601" s="42"/>
      <c r="DD601" s="42"/>
      <c r="DE601" s="42"/>
      <c r="DF601" s="42"/>
      <c r="DG601" s="42"/>
      <c r="DH601" s="42"/>
      <c r="DI601" s="42"/>
      <c r="DJ601" s="42"/>
      <c r="DK601" s="42"/>
      <c r="DL601" s="42"/>
      <c r="DM601" s="42"/>
      <c r="DN601" s="42"/>
      <c r="DO601" s="42"/>
      <c r="DP601" s="42"/>
      <c r="DQ601" s="42"/>
      <c r="DR601" s="42"/>
      <c r="DS601" s="42"/>
      <c r="DT601" s="42"/>
      <c r="DU601" s="42"/>
      <c r="DV601" s="42"/>
      <c r="DW601" s="42"/>
      <c r="DX601" s="42"/>
      <c r="DY601" s="42"/>
      <c r="DZ601" s="42"/>
      <c r="EA601" s="42"/>
      <c r="EB601" s="42"/>
      <c r="EC601" s="42"/>
      <c r="ED601" s="42"/>
      <c r="EE601" s="42"/>
      <c r="EF601" s="42"/>
      <c r="EG601" s="42"/>
      <c r="EH601" s="42"/>
      <c r="EI601" s="42"/>
      <c r="EJ601" s="42"/>
      <c r="EK601" s="42"/>
      <c r="EL601" s="42"/>
      <c r="EM601" s="42"/>
      <c r="EN601" s="42"/>
      <c r="EO601" s="42"/>
      <c r="EP601" s="42"/>
      <c r="EQ601" s="42"/>
      <c r="ER601" s="42"/>
      <c r="ES601" s="42"/>
      <c r="ET601" s="42"/>
      <c r="EU601" s="42"/>
      <c r="EV601" s="42"/>
      <c r="EW601" s="42"/>
      <c r="EX601" s="42"/>
      <c r="EY601" s="42"/>
      <c r="EZ601" s="42"/>
      <c r="FA601" s="42"/>
      <c r="FB601" s="42"/>
      <c r="FC601" s="42"/>
      <c r="FD601" s="42"/>
      <c r="FE601" s="42"/>
      <c r="FF601" s="42"/>
      <c r="FG601" s="42"/>
      <c r="FH601" s="42"/>
      <c r="FI601" s="42"/>
      <c r="FJ601" s="42"/>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row>
    <row r="602" spans="1:256" ht="13.8" x14ac:dyDescent="0.3">
      <c r="A602" s="42"/>
      <c r="B602" s="42"/>
      <c r="C602" s="42"/>
      <c r="D602" s="42"/>
      <c r="E602" s="42"/>
      <c r="F602" s="42"/>
      <c r="G602" s="42"/>
      <c r="H602" s="42"/>
      <c r="I602" s="42"/>
      <c r="J602" s="42"/>
      <c r="K602" s="42"/>
      <c r="L602" s="42"/>
      <c r="M602" s="42"/>
      <c r="N602" s="42"/>
      <c r="O602" s="42"/>
      <c r="P602" s="42"/>
      <c r="Q602" s="42"/>
      <c r="R602" s="42"/>
      <c r="S602" s="42"/>
      <c r="T602" s="42"/>
      <c r="U602" s="194"/>
      <c r="V602" s="42"/>
      <c r="W602" s="42"/>
      <c r="X602" s="42"/>
      <c r="Y602" s="42"/>
      <c r="Z602" s="42"/>
      <c r="AA602" s="42"/>
      <c r="AB602" s="195"/>
      <c r="AC602" s="42"/>
      <c r="AD602" s="42"/>
      <c r="AE602" s="195"/>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c r="BM602" s="42"/>
      <c r="BN602" s="42"/>
      <c r="BO602" s="42"/>
      <c r="BP602" s="42"/>
      <c r="BQ602" s="42"/>
      <c r="BR602" s="42"/>
      <c r="BS602" s="42"/>
      <c r="BT602" s="42"/>
      <c r="BU602" s="42"/>
      <c r="BV602" s="42"/>
      <c r="BW602" s="42"/>
      <c r="BX602" s="42"/>
      <c r="BY602" s="42"/>
      <c r="BZ602" s="42"/>
      <c r="CA602" s="42"/>
      <c r="CB602" s="42"/>
      <c r="CC602" s="42"/>
      <c r="CD602" s="42"/>
      <c r="CE602" s="42"/>
      <c r="CF602" s="42"/>
      <c r="CG602" s="42"/>
      <c r="CH602" s="42"/>
      <c r="CI602" s="42"/>
      <c r="CJ602" s="42"/>
      <c r="CK602" s="42"/>
      <c r="CL602" s="42"/>
      <c r="CM602" s="42"/>
      <c r="CN602" s="42"/>
      <c r="CO602" s="42"/>
      <c r="CP602" s="42"/>
      <c r="CQ602" s="42"/>
      <c r="CR602" s="42"/>
      <c r="CS602" s="42"/>
      <c r="CT602" s="42"/>
      <c r="CU602" s="42"/>
      <c r="CV602" s="42"/>
      <c r="CW602" s="42"/>
      <c r="CX602" s="42"/>
      <c r="CY602" s="42"/>
      <c r="CZ602" s="42"/>
      <c r="DA602" s="42"/>
      <c r="DB602" s="42"/>
      <c r="DC602" s="42"/>
      <c r="DD602" s="42"/>
      <c r="DE602" s="42"/>
      <c r="DF602" s="42"/>
      <c r="DG602" s="42"/>
      <c r="DH602" s="42"/>
      <c r="DI602" s="42"/>
      <c r="DJ602" s="42"/>
      <c r="DK602" s="42"/>
      <c r="DL602" s="42"/>
      <c r="DM602" s="42"/>
      <c r="DN602" s="42"/>
      <c r="DO602" s="42"/>
      <c r="DP602" s="42"/>
      <c r="DQ602" s="42"/>
      <c r="DR602" s="42"/>
      <c r="DS602" s="42"/>
      <c r="DT602" s="42"/>
      <c r="DU602" s="42"/>
      <c r="DV602" s="42"/>
      <c r="DW602" s="42"/>
      <c r="DX602" s="42"/>
      <c r="DY602" s="42"/>
      <c r="DZ602" s="42"/>
      <c r="EA602" s="42"/>
      <c r="EB602" s="42"/>
      <c r="EC602" s="42"/>
      <c r="ED602" s="42"/>
      <c r="EE602" s="42"/>
      <c r="EF602" s="42"/>
      <c r="EG602" s="42"/>
      <c r="EH602" s="42"/>
      <c r="EI602" s="42"/>
      <c r="EJ602" s="42"/>
      <c r="EK602" s="42"/>
      <c r="EL602" s="42"/>
      <c r="EM602" s="42"/>
      <c r="EN602" s="42"/>
      <c r="EO602" s="42"/>
      <c r="EP602" s="42"/>
      <c r="EQ602" s="42"/>
      <c r="ER602" s="42"/>
      <c r="ES602" s="42"/>
      <c r="ET602" s="42"/>
      <c r="EU602" s="42"/>
      <c r="EV602" s="42"/>
      <c r="EW602" s="42"/>
      <c r="EX602" s="42"/>
      <c r="EY602" s="42"/>
      <c r="EZ602" s="42"/>
      <c r="FA602" s="42"/>
      <c r="FB602" s="42"/>
      <c r="FC602" s="42"/>
      <c r="FD602" s="42"/>
      <c r="FE602" s="42"/>
      <c r="FF602" s="42"/>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row>
    <row r="603" spans="1:256" ht="13.8" x14ac:dyDescent="0.3">
      <c r="A603" s="42"/>
      <c r="B603" s="42"/>
      <c r="C603" s="42"/>
      <c r="D603" s="42"/>
      <c r="E603" s="42"/>
      <c r="F603" s="42"/>
      <c r="G603" s="42"/>
      <c r="H603" s="42"/>
      <c r="I603" s="42"/>
      <c r="J603" s="42"/>
      <c r="K603" s="42"/>
      <c r="L603" s="42"/>
      <c r="M603" s="42"/>
      <c r="N603" s="42"/>
      <c r="O603" s="42"/>
      <c r="P603" s="42"/>
      <c r="Q603" s="42"/>
      <c r="R603" s="42"/>
      <c r="S603" s="42"/>
      <c r="T603" s="42"/>
      <c r="U603" s="194"/>
      <c r="V603" s="42"/>
      <c r="W603" s="42"/>
      <c r="X603" s="42"/>
      <c r="Y603" s="42"/>
      <c r="Z603" s="42"/>
      <c r="AA603" s="42"/>
      <c r="AB603" s="195"/>
      <c r="AC603" s="42"/>
      <c r="AD603" s="42"/>
      <c r="AE603" s="195"/>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c r="BM603" s="42"/>
      <c r="BN603" s="42"/>
      <c r="BO603" s="42"/>
      <c r="BP603" s="42"/>
      <c r="BQ603" s="42"/>
      <c r="BR603" s="42"/>
      <c r="BS603" s="42"/>
      <c r="BT603" s="42"/>
      <c r="BU603" s="42"/>
      <c r="BV603" s="42"/>
      <c r="BW603" s="42"/>
      <c r="BX603" s="42"/>
      <c r="BY603" s="42"/>
      <c r="BZ603" s="42"/>
      <c r="CA603" s="42"/>
      <c r="CB603" s="42"/>
      <c r="CC603" s="42"/>
      <c r="CD603" s="42"/>
      <c r="CE603" s="42"/>
      <c r="CF603" s="42"/>
      <c r="CG603" s="42"/>
      <c r="CH603" s="42"/>
      <c r="CI603" s="42"/>
      <c r="CJ603" s="42"/>
      <c r="CK603" s="42"/>
      <c r="CL603" s="42"/>
      <c r="CM603" s="42"/>
      <c r="CN603" s="42"/>
      <c r="CO603" s="42"/>
      <c r="CP603" s="42"/>
      <c r="CQ603" s="42"/>
      <c r="CR603" s="42"/>
      <c r="CS603" s="42"/>
      <c r="CT603" s="42"/>
      <c r="CU603" s="42"/>
      <c r="CV603" s="42"/>
      <c r="CW603" s="42"/>
      <c r="CX603" s="42"/>
      <c r="CY603" s="42"/>
      <c r="CZ603" s="42"/>
      <c r="DA603" s="42"/>
      <c r="DB603" s="42"/>
      <c r="DC603" s="42"/>
      <c r="DD603" s="42"/>
      <c r="DE603" s="42"/>
      <c r="DF603" s="42"/>
      <c r="DG603" s="42"/>
      <c r="DH603" s="42"/>
      <c r="DI603" s="42"/>
      <c r="DJ603" s="42"/>
      <c r="DK603" s="42"/>
      <c r="DL603" s="42"/>
      <c r="DM603" s="42"/>
      <c r="DN603" s="42"/>
      <c r="DO603" s="42"/>
      <c r="DP603" s="42"/>
      <c r="DQ603" s="42"/>
      <c r="DR603" s="42"/>
      <c r="DS603" s="42"/>
      <c r="DT603" s="42"/>
      <c r="DU603" s="42"/>
      <c r="DV603" s="42"/>
      <c r="DW603" s="42"/>
      <c r="DX603" s="42"/>
      <c r="DY603" s="42"/>
      <c r="DZ603" s="42"/>
      <c r="EA603" s="42"/>
      <c r="EB603" s="42"/>
      <c r="EC603" s="42"/>
      <c r="ED603" s="42"/>
      <c r="EE603" s="42"/>
      <c r="EF603" s="42"/>
      <c r="EG603" s="42"/>
      <c r="EH603" s="42"/>
      <c r="EI603" s="42"/>
      <c r="EJ603" s="42"/>
      <c r="EK603" s="42"/>
      <c r="EL603" s="42"/>
      <c r="EM603" s="42"/>
      <c r="EN603" s="42"/>
      <c r="EO603" s="42"/>
      <c r="EP603" s="42"/>
      <c r="EQ603" s="42"/>
      <c r="ER603" s="42"/>
      <c r="ES603" s="42"/>
      <c r="ET603" s="42"/>
      <c r="EU603" s="42"/>
      <c r="EV603" s="42"/>
      <c r="EW603" s="42"/>
      <c r="EX603" s="42"/>
      <c r="EY603" s="42"/>
      <c r="EZ603" s="42"/>
      <c r="FA603" s="42"/>
      <c r="FB603" s="42"/>
      <c r="FC603" s="42"/>
      <c r="FD603" s="42"/>
      <c r="FE603" s="42"/>
      <c r="FF603" s="42"/>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row>
    <row r="604" spans="1:256" ht="13.8" x14ac:dyDescent="0.3">
      <c r="A604" s="42"/>
      <c r="B604" s="42"/>
      <c r="C604" s="42"/>
      <c r="D604" s="42"/>
      <c r="E604" s="42"/>
      <c r="F604" s="42"/>
      <c r="G604" s="42"/>
      <c r="H604" s="42"/>
      <c r="I604" s="42"/>
      <c r="J604" s="42"/>
      <c r="K604" s="42"/>
      <c r="L604" s="42"/>
      <c r="M604" s="42"/>
      <c r="N604" s="42"/>
      <c r="O604" s="42"/>
      <c r="P604" s="42"/>
      <c r="Q604" s="42"/>
      <c r="R604" s="42"/>
      <c r="S604" s="42"/>
      <c r="T604" s="42"/>
      <c r="U604" s="194"/>
      <c r="V604" s="42"/>
      <c r="W604" s="42"/>
      <c r="X604" s="42"/>
      <c r="Y604" s="42"/>
      <c r="Z604" s="42"/>
      <c r="AA604" s="42"/>
      <c r="AB604" s="195"/>
      <c r="AC604" s="42"/>
      <c r="AD604" s="42"/>
      <c r="AE604" s="195"/>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c r="BM604" s="42"/>
      <c r="BN604" s="42"/>
      <c r="BO604" s="42"/>
      <c r="BP604" s="42"/>
      <c r="BQ604" s="42"/>
      <c r="BR604" s="42"/>
      <c r="BS604" s="42"/>
      <c r="BT604" s="42"/>
      <c r="BU604" s="42"/>
      <c r="BV604" s="42"/>
      <c r="BW604" s="42"/>
      <c r="BX604" s="42"/>
      <c r="BY604" s="42"/>
      <c r="BZ604" s="42"/>
      <c r="CA604" s="42"/>
      <c r="CB604" s="42"/>
      <c r="CC604" s="42"/>
      <c r="CD604" s="42"/>
      <c r="CE604" s="42"/>
      <c r="CF604" s="42"/>
      <c r="CG604" s="42"/>
      <c r="CH604" s="42"/>
      <c r="CI604" s="42"/>
      <c r="CJ604" s="42"/>
      <c r="CK604" s="42"/>
      <c r="CL604" s="42"/>
      <c r="CM604" s="42"/>
      <c r="CN604" s="42"/>
      <c r="CO604" s="42"/>
      <c r="CP604" s="42"/>
      <c r="CQ604" s="42"/>
      <c r="CR604" s="42"/>
      <c r="CS604" s="42"/>
      <c r="CT604" s="42"/>
      <c r="CU604" s="42"/>
      <c r="CV604" s="42"/>
      <c r="CW604" s="42"/>
      <c r="CX604" s="42"/>
      <c r="CY604" s="42"/>
      <c r="CZ604" s="42"/>
      <c r="DA604" s="42"/>
      <c r="DB604" s="42"/>
      <c r="DC604" s="42"/>
      <c r="DD604" s="42"/>
      <c r="DE604" s="42"/>
      <c r="DF604" s="42"/>
      <c r="DG604" s="42"/>
      <c r="DH604" s="42"/>
      <c r="DI604" s="42"/>
      <c r="DJ604" s="42"/>
      <c r="DK604" s="42"/>
      <c r="DL604" s="42"/>
      <c r="DM604" s="42"/>
      <c r="DN604" s="42"/>
      <c r="DO604" s="42"/>
      <c r="DP604" s="42"/>
      <c r="DQ604" s="42"/>
      <c r="DR604" s="42"/>
      <c r="DS604" s="42"/>
      <c r="DT604" s="42"/>
      <c r="DU604" s="42"/>
      <c r="DV604" s="42"/>
      <c r="DW604" s="42"/>
      <c r="DX604" s="42"/>
      <c r="DY604" s="42"/>
      <c r="DZ604" s="42"/>
      <c r="EA604" s="42"/>
      <c r="EB604" s="42"/>
      <c r="EC604" s="42"/>
      <c r="ED604" s="42"/>
      <c r="EE604" s="42"/>
      <c r="EF604" s="42"/>
      <c r="EG604" s="42"/>
      <c r="EH604" s="42"/>
      <c r="EI604" s="42"/>
      <c r="EJ604" s="42"/>
      <c r="EK604" s="42"/>
      <c r="EL604" s="42"/>
      <c r="EM604" s="42"/>
      <c r="EN604" s="42"/>
      <c r="EO604" s="42"/>
      <c r="EP604" s="42"/>
      <c r="EQ604" s="42"/>
      <c r="ER604" s="42"/>
      <c r="ES604" s="42"/>
      <c r="ET604" s="42"/>
      <c r="EU604" s="42"/>
      <c r="EV604" s="42"/>
      <c r="EW604" s="42"/>
      <c r="EX604" s="42"/>
      <c r="EY604" s="42"/>
      <c r="EZ604" s="42"/>
      <c r="FA604" s="42"/>
      <c r="FB604" s="42"/>
      <c r="FC604" s="42"/>
      <c r="FD604" s="42"/>
      <c r="FE604" s="42"/>
      <c r="FF604" s="42"/>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row>
    <row r="605" spans="1:256" ht="13.8" x14ac:dyDescent="0.3">
      <c r="A605" s="42"/>
      <c r="B605" s="42"/>
      <c r="C605" s="42"/>
      <c r="D605" s="42"/>
      <c r="E605" s="42"/>
      <c r="F605" s="42"/>
      <c r="G605" s="42"/>
      <c r="H605" s="42"/>
      <c r="I605" s="42"/>
      <c r="J605" s="42"/>
      <c r="K605" s="42"/>
      <c r="L605" s="42"/>
      <c r="M605" s="42"/>
      <c r="N605" s="42"/>
      <c r="O605" s="42"/>
      <c r="P605" s="42"/>
      <c r="Q605" s="42"/>
      <c r="R605" s="42"/>
      <c r="S605" s="42"/>
      <c r="T605" s="42"/>
      <c r="U605" s="194"/>
      <c r="V605" s="42"/>
      <c r="W605" s="42"/>
      <c r="X605" s="42"/>
      <c r="Y605" s="42"/>
      <c r="Z605" s="42"/>
      <c r="AA605" s="42"/>
      <c r="AB605" s="195"/>
      <c r="AC605" s="42"/>
      <c r="AD605" s="42"/>
      <c r="AE605" s="195"/>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c r="BM605" s="42"/>
      <c r="BN605" s="42"/>
      <c r="BO605" s="42"/>
      <c r="BP605" s="42"/>
      <c r="BQ605" s="42"/>
      <c r="BR605" s="42"/>
      <c r="BS605" s="42"/>
      <c r="BT605" s="42"/>
      <c r="BU605" s="42"/>
      <c r="BV605" s="42"/>
      <c r="BW605" s="42"/>
      <c r="BX605" s="42"/>
      <c r="BY605" s="42"/>
      <c r="BZ605" s="42"/>
      <c r="CA605" s="42"/>
      <c r="CB605" s="42"/>
      <c r="CC605" s="42"/>
      <c r="CD605" s="42"/>
      <c r="CE605" s="42"/>
      <c r="CF605" s="42"/>
      <c r="CG605" s="42"/>
      <c r="CH605" s="42"/>
      <c r="CI605" s="42"/>
      <c r="CJ605" s="42"/>
      <c r="CK605" s="42"/>
      <c r="CL605" s="42"/>
      <c r="CM605" s="42"/>
      <c r="CN605" s="42"/>
      <c r="CO605" s="42"/>
      <c r="CP605" s="42"/>
      <c r="CQ605" s="42"/>
      <c r="CR605" s="42"/>
      <c r="CS605" s="42"/>
      <c r="CT605" s="42"/>
      <c r="CU605" s="42"/>
      <c r="CV605" s="42"/>
      <c r="CW605" s="42"/>
      <c r="CX605" s="42"/>
      <c r="CY605" s="42"/>
      <c r="CZ605" s="42"/>
      <c r="DA605" s="42"/>
      <c r="DB605" s="42"/>
      <c r="DC605" s="42"/>
      <c r="DD605" s="42"/>
      <c r="DE605" s="42"/>
      <c r="DF605" s="42"/>
      <c r="DG605" s="42"/>
      <c r="DH605" s="42"/>
      <c r="DI605" s="42"/>
      <c r="DJ605" s="42"/>
      <c r="DK605" s="42"/>
      <c r="DL605" s="42"/>
      <c r="DM605" s="42"/>
      <c r="DN605" s="42"/>
      <c r="DO605" s="42"/>
      <c r="DP605" s="42"/>
      <c r="DQ605" s="42"/>
      <c r="DR605" s="42"/>
      <c r="DS605" s="42"/>
      <c r="DT605" s="42"/>
      <c r="DU605" s="42"/>
      <c r="DV605" s="42"/>
      <c r="DW605" s="42"/>
      <c r="DX605" s="42"/>
      <c r="DY605" s="42"/>
      <c r="DZ605" s="42"/>
      <c r="EA605" s="42"/>
      <c r="EB605" s="42"/>
      <c r="EC605" s="42"/>
      <c r="ED605" s="42"/>
      <c r="EE605" s="42"/>
      <c r="EF605" s="42"/>
      <c r="EG605" s="42"/>
      <c r="EH605" s="42"/>
      <c r="EI605" s="42"/>
      <c r="EJ605" s="42"/>
      <c r="EK605" s="42"/>
      <c r="EL605" s="42"/>
      <c r="EM605" s="42"/>
      <c r="EN605" s="42"/>
      <c r="EO605" s="42"/>
      <c r="EP605" s="42"/>
      <c r="EQ605" s="42"/>
      <c r="ER605" s="42"/>
      <c r="ES605" s="42"/>
      <c r="ET605" s="42"/>
      <c r="EU605" s="42"/>
      <c r="EV605" s="42"/>
      <c r="EW605" s="42"/>
      <c r="EX605" s="42"/>
      <c r="EY605" s="42"/>
      <c r="EZ605" s="42"/>
      <c r="FA605" s="42"/>
      <c r="FB605" s="42"/>
      <c r="FC605" s="42"/>
      <c r="FD605" s="42"/>
      <c r="FE605" s="42"/>
      <c r="FF605" s="42"/>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row>
    <row r="606" spans="1:256" ht="13.8" x14ac:dyDescent="0.3">
      <c r="A606" s="42"/>
      <c r="B606" s="42"/>
      <c r="C606" s="42"/>
      <c r="D606" s="42"/>
      <c r="E606" s="42"/>
      <c r="F606" s="42"/>
      <c r="G606" s="42"/>
      <c r="H606" s="42"/>
      <c r="I606" s="42"/>
      <c r="J606" s="42"/>
      <c r="K606" s="42"/>
      <c r="L606" s="42"/>
      <c r="M606" s="42"/>
      <c r="N606" s="42"/>
      <c r="O606" s="42"/>
      <c r="P606" s="42"/>
      <c r="Q606" s="42"/>
      <c r="R606" s="42"/>
      <c r="S606" s="42"/>
      <c r="T606" s="42"/>
      <c r="U606" s="194"/>
      <c r="V606" s="42"/>
      <c r="W606" s="42"/>
      <c r="X606" s="42"/>
      <c r="Y606" s="42"/>
      <c r="Z606" s="42"/>
      <c r="AA606" s="42"/>
      <c r="AB606" s="195"/>
      <c r="AC606" s="42"/>
      <c r="AD606" s="42"/>
      <c r="AE606" s="195"/>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c r="BM606" s="42"/>
      <c r="BN606" s="42"/>
      <c r="BO606" s="42"/>
      <c r="BP606" s="42"/>
      <c r="BQ606" s="42"/>
      <c r="BR606" s="42"/>
      <c r="BS606" s="42"/>
      <c r="BT606" s="42"/>
      <c r="BU606" s="42"/>
      <c r="BV606" s="42"/>
      <c r="BW606" s="42"/>
      <c r="BX606" s="42"/>
      <c r="BY606" s="42"/>
      <c r="BZ606" s="42"/>
      <c r="CA606" s="42"/>
      <c r="CB606" s="42"/>
      <c r="CC606" s="42"/>
      <c r="CD606" s="42"/>
      <c r="CE606" s="42"/>
      <c r="CF606" s="42"/>
      <c r="CG606" s="42"/>
      <c r="CH606" s="42"/>
      <c r="CI606" s="42"/>
      <c r="CJ606" s="42"/>
      <c r="CK606" s="42"/>
      <c r="CL606" s="42"/>
      <c r="CM606" s="42"/>
      <c r="CN606" s="42"/>
      <c r="CO606" s="42"/>
      <c r="CP606" s="42"/>
      <c r="CQ606" s="42"/>
      <c r="CR606" s="42"/>
      <c r="CS606" s="42"/>
      <c r="CT606" s="42"/>
      <c r="CU606" s="42"/>
      <c r="CV606" s="42"/>
      <c r="CW606" s="42"/>
      <c r="CX606" s="42"/>
      <c r="CY606" s="42"/>
      <c r="CZ606" s="42"/>
      <c r="DA606" s="42"/>
      <c r="DB606" s="42"/>
      <c r="DC606" s="42"/>
      <c r="DD606" s="42"/>
      <c r="DE606" s="42"/>
      <c r="DF606" s="42"/>
      <c r="DG606" s="42"/>
      <c r="DH606" s="42"/>
      <c r="DI606" s="42"/>
      <c r="DJ606" s="42"/>
      <c r="DK606" s="42"/>
      <c r="DL606" s="42"/>
      <c r="DM606" s="42"/>
      <c r="DN606" s="42"/>
      <c r="DO606" s="42"/>
      <c r="DP606" s="42"/>
      <c r="DQ606" s="42"/>
      <c r="DR606" s="42"/>
      <c r="DS606" s="42"/>
      <c r="DT606" s="42"/>
      <c r="DU606" s="42"/>
      <c r="DV606" s="42"/>
      <c r="DW606" s="42"/>
      <c r="DX606" s="42"/>
      <c r="DY606" s="42"/>
      <c r="DZ606" s="42"/>
      <c r="EA606" s="42"/>
      <c r="EB606" s="42"/>
      <c r="EC606" s="42"/>
      <c r="ED606" s="42"/>
      <c r="EE606" s="42"/>
      <c r="EF606" s="42"/>
      <c r="EG606" s="42"/>
      <c r="EH606" s="42"/>
      <c r="EI606" s="42"/>
      <c r="EJ606" s="42"/>
      <c r="EK606" s="42"/>
      <c r="EL606" s="42"/>
      <c r="EM606" s="42"/>
      <c r="EN606" s="42"/>
      <c r="EO606" s="42"/>
      <c r="EP606" s="42"/>
      <c r="EQ606" s="42"/>
      <c r="ER606" s="42"/>
      <c r="ES606" s="42"/>
      <c r="ET606" s="42"/>
      <c r="EU606" s="42"/>
      <c r="EV606" s="42"/>
      <c r="EW606" s="42"/>
      <c r="EX606" s="42"/>
      <c r="EY606" s="42"/>
      <c r="EZ606" s="42"/>
      <c r="FA606" s="42"/>
      <c r="FB606" s="42"/>
      <c r="FC606" s="42"/>
      <c r="FD606" s="42"/>
      <c r="FE606" s="42"/>
      <c r="FF606" s="42"/>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row>
    <row r="607" spans="1:256" ht="13.8" x14ac:dyDescent="0.3">
      <c r="A607" s="42"/>
      <c r="B607" s="42"/>
      <c r="C607" s="42"/>
      <c r="D607" s="42"/>
      <c r="E607" s="42"/>
      <c r="F607" s="42"/>
      <c r="G607" s="42"/>
      <c r="H607" s="42"/>
      <c r="I607" s="42"/>
      <c r="J607" s="42"/>
      <c r="K607" s="42"/>
      <c r="L607" s="42"/>
      <c r="M607" s="42"/>
      <c r="N607" s="42"/>
      <c r="O607" s="42"/>
      <c r="P607" s="42"/>
      <c r="Q607" s="42"/>
      <c r="R607" s="42"/>
      <c r="S607" s="42"/>
      <c r="T607" s="42"/>
      <c r="U607" s="194"/>
      <c r="V607" s="42"/>
      <c r="W607" s="42"/>
      <c r="X607" s="42"/>
      <c r="Y607" s="42"/>
      <c r="Z607" s="42"/>
      <c r="AA607" s="42"/>
      <c r="AB607" s="195"/>
      <c r="AC607" s="42"/>
      <c r="AD607" s="42"/>
      <c r="AE607" s="195"/>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c r="BM607" s="42"/>
      <c r="BN607" s="42"/>
      <c r="BO607" s="42"/>
      <c r="BP607" s="42"/>
      <c r="BQ607" s="42"/>
      <c r="BR607" s="42"/>
      <c r="BS607" s="42"/>
      <c r="BT607" s="42"/>
      <c r="BU607" s="42"/>
      <c r="BV607" s="42"/>
      <c r="BW607" s="42"/>
      <c r="BX607" s="42"/>
      <c r="BY607" s="42"/>
      <c r="BZ607" s="42"/>
      <c r="CA607" s="42"/>
      <c r="CB607" s="42"/>
      <c r="CC607" s="42"/>
      <c r="CD607" s="42"/>
      <c r="CE607" s="42"/>
      <c r="CF607" s="42"/>
      <c r="CG607" s="42"/>
      <c r="CH607" s="42"/>
      <c r="CI607" s="42"/>
      <c r="CJ607" s="42"/>
      <c r="CK607" s="42"/>
      <c r="CL607" s="42"/>
      <c r="CM607" s="42"/>
      <c r="CN607" s="42"/>
      <c r="CO607" s="42"/>
      <c r="CP607" s="42"/>
      <c r="CQ607" s="42"/>
      <c r="CR607" s="42"/>
      <c r="CS607" s="42"/>
      <c r="CT607" s="42"/>
      <c r="CU607" s="42"/>
      <c r="CV607" s="42"/>
      <c r="CW607" s="42"/>
      <c r="CX607" s="42"/>
      <c r="CY607" s="42"/>
      <c r="CZ607" s="42"/>
      <c r="DA607" s="42"/>
      <c r="DB607" s="42"/>
      <c r="DC607" s="42"/>
      <c r="DD607" s="42"/>
      <c r="DE607" s="42"/>
      <c r="DF607" s="42"/>
      <c r="DG607" s="42"/>
      <c r="DH607" s="42"/>
      <c r="DI607" s="42"/>
      <c r="DJ607" s="42"/>
      <c r="DK607" s="42"/>
      <c r="DL607" s="42"/>
      <c r="DM607" s="42"/>
      <c r="DN607" s="42"/>
      <c r="DO607" s="42"/>
      <c r="DP607" s="42"/>
      <c r="DQ607" s="42"/>
      <c r="DR607" s="42"/>
      <c r="DS607" s="42"/>
      <c r="DT607" s="42"/>
      <c r="DU607" s="42"/>
      <c r="DV607" s="42"/>
      <c r="DW607" s="42"/>
      <c r="DX607" s="42"/>
      <c r="DY607" s="42"/>
      <c r="DZ607" s="42"/>
      <c r="EA607" s="42"/>
      <c r="EB607" s="42"/>
      <c r="EC607" s="42"/>
      <c r="ED607" s="42"/>
      <c r="EE607" s="42"/>
      <c r="EF607" s="42"/>
      <c r="EG607" s="42"/>
      <c r="EH607" s="42"/>
      <c r="EI607" s="42"/>
      <c r="EJ607" s="42"/>
      <c r="EK607" s="42"/>
      <c r="EL607" s="42"/>
      <c r="EM607" s="42"/>
      <c r="EN607" s="42"/>
      <c r="EO607" s="42"/>
      <c r="EP607" s="42"/>
      <c r="EQ607" s="42"/>
      <c r="ER607" s="42"/>
      <c r="ES607" s="42"/>
      <c r="ET607" s="42"/>
      <c r="EU607" s="42"/>
      <c r="EV607" s="42"/>
      <c r="EW607" s="42"/>
      <c r="EX607" s="42"/>
      <c r="EY607" s="42"/>
      <c r="EZ607" s="42"/>
      <c r="FA607" s="42"/>
      <c r="FB607" s="42"/>
      <c r="FC607" s="42"/>
      <c r="FD607" s="42"/>
      <c r="FE607" s="42"/>
      <c r="FF607" s="42"/>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row>
    <row r="608" spans="1:256" ht="13.8" x14ac:dyDescent="0.3">
      <c r="A608" s="42"/>
      <c r="B608" s="42"/>
      <c r="C608" s="42"/>
      <c r="D608" s="42"/>
      <c r="E608" s="42"/>
      <c r="F608" s="42"/>
      <c r="G608" s="42"/>
      <c r="H608" s="42"/>
      <c r="I608" s="42"/>
      <c r="J608" s="42"/>
      <c r="K608" s="42"/>
      <c r="L608" s="42"/>
      <c r="M608" s="42"/>
      <c r="N608" s="42"/>
      <c r="O608" s="42"/>
      <c r="P608" s="42"/>
      <c r="Q608" s="42"/>
      <c r="R608" s="42"/>
      <c r="S608" s="42"/>
      <c r="T608" s="42"/>
      <c r="U608" s="194"/>
      <c r="V608" s="42"/>
      <c r="W608" s="42"/>
      <c r="X608" s="42"/>
      <c r="Y608" s="42"/>
      <c r="Z608" s="42"/>
      <c r="AA608" s="42"/>
      <c r="AB608" s="195"/>
      <c r="AC608" s="42"/>
      <c r="AD608" s="42"/>
      <c r="AE608" s="195"/>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c r="BM608" s="42"/>
      <c r="BN608" s="42"/>
      <c r="BO608" s="42"/>
      <c r="BP608" s="42"/>
      <c r="BQ608" s="42"/>
      <c r="BR608" s="42"/>
      <c r="BS608" s="42"/>
      <c r="BT608" s="42"/>
      <c r="BU608" s="42"/>
      <c r="BV608" s="42"/>
      <c r="BW608" s="42"/>
      <c r="BX608" s="42"/>
      <c r="BY608" s="42"/>
      <c r="BZ608" s="42"/>
      <c r="CA608" s="42"/>
      <c r="CB608" s="42"/>
      <c r="CC608" s="42"/>
      <c r="CD608" s="42"/>
      <c r="CE608" s="42"/>
      <c r="CF608" s="42"/>
      <c r="CG608" s="42"/>
      <c r="CH608" s="42"/>
      <c r="CI608" s="42"/>
      <c r="CJ608" s="42"/>
      <c r="CK608" s="42"/>
      <c r="CL608" s="42"/>
      <c r="CM608" s="42"/>
      <c r="CN608" s="42"/>
      <c r="CO608" s="42"/>
      <c r="CP608" s="42"/>
      <c r="CQ608" s="42"/>
      <c r="CR608" s="42"/>
      <c r="CS608" s="42"/>
      <c r="CT608" s="42"/>
      <c r="CU608" s="42"/>
      <c r="CV608" s="42"/>
      <c r="CW608" s="42"/>
      <c r="CX608" s="42"/>
      <c r="CY608" s="42"/>
      <c r="CZ608" s="42"/>
      <c r="DA608" s="42"/>
      <c r="DB608" s="42"/>
      <c r="DC608" s="42"/>
      <c r="DD608" s="42"/>
      <c r="DE608" s="42"/>
      <c r="DF608" s="42"/>
      <c r="DG608" s="42"/>
      <c r="DH608" s="42"/>
      <c r="DI608" s="42"/>
      <c r="DJ608" s="42"/>
      <c r="DK608" s="42"/>
      <c r="DL608" s="42"/>
      <c r="DM608" s="42"/>
      <c r="DN608" s="42"/>
      <c r="DO608" s="42"/>
      <c r="DP608" s="42"/>
      <c r="DQ608" s="42"/>
      <c r="DR608" s="42"/>
      <c r="DS608" s="42"/>
      <c r="DT608" s="42"/>
      <c r="DU608" s="42"/>
      <c r="DV608" s="42"/>
      <c r="DW608" s="42"/>
      <c r="DX608" s="42"/>
      <c r="DY608" s="42"/>
      <c r="DZ608" s="42"/>
      <c r="EA608" s="42"/>
      <c r="EB608" s="42"/>
      <c r="EC608" s="42"/>
      <c r="ED608" s="42"/>
      <c r="EE608" s="42"/>
      <c r="EF608" s="42"/>
      <c r="EG608" s="42"/>
      <c r="EH608" s="42"/>
      <c r="EI608" s="42"/>
      <c r="EJ608" s="42"/>
      <c r="EK608" s="42"/>
      <c r="EL608" s="42"/>
      <c r="EM608" s="42"/>
      <c r="EN608" s="42"/>
      <c r="EO608" s="42"/>
      <c r="EP608" s="42"/>
      <c r="EQ608" s="42"/>
      <c r="ER608" s="42"/>
      <c r="ES608" s="42"/>
      <c r="ET608" s="42"/>
      <c r="EU608" s="42"/>
      <c r="EV608" s="42"/>
      <c r="EW608" s="42"/>
      <c r="EX608" s="42"/>
      <c r="EY608" s="42"/>
      <c r="EZ608" s="42"/>
      <c r="FA608" s="42"/>
      <c r="FB608" s="42"/>
      <c r="FC608" s="42"/>
      <c r="FD608" s="42"/>
      <c r="FE608" s="42"/>
      <c r="FF608" s="42"/>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row>
    <row r="609" spans="1:256" ht="13.8" x14ac:dyDescent="0.3">
      <c r="A609" s="42"/>
      <c r="B609" s="42"/>
      <c r="C609" s="42"/>
      <c r="D609" s="42"/>
      <c r="E609" s="42"/>
      <c r="F609" s="42"/>
      <c r="G609" s="42"/>
      <c r="H609" s="42"/>
      <c r="I609" s="42"/>
      <c r="J609" s="42"/>
      <c r="K609" s="42"/>
      <c r="L609" s="42"/>
      <c r="M609" s="42"/>
      <c r="N609" s="42"/>
      <c r="O609" s="42"/>
      <c r="P609" s="42"/>
      <c r="Q609" s="42"/>
      <c r="R609" s="42"/>
      <c r="S609" s="42"/>
      <c r="T609" s="42"/>
      <c r="U609" s="194"/>
      <c r="V609" s="42"/>
      <c r="W609" s="42"/>
      <c r="X609" s="42"/>
      <c r="Y609" s="42"/>
      <c r="Z609" s="42"/>
      <c r="AA609" s="42"/>
      <c r="AB609" s="195"/>
      <c r="AC609" s="42"/>
      <c r="AD609" s="42"/>
      <c r="AE609" s="195"/>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c r="BM609" s="42"/>
      <c r="BN609" s="42"/>
      <c r="BO609" s="42"/>
      <c r="BP609" s="42"/>
      <c r="BQ609" s="42"/>
      <c r="BR609" s="42"/>
      <c r="BS609" s="42"/>
      <c r="BT609" s="42"/>
      <c r="BU609" s="42"/>
      <c r="BV609" s="42"/>
      <c r="BW609" s="42"/>
      <c r="BX609" s="42"/>
      <c r="BY609" s="42"/>
      <c r="BZ609" s="42"/>
      <c r="CA609" s="42"/>
      <c r="CB609" s="42"/>
      <c r="CC609" s="42"/>
      <c r="CD609" s="42"/>
      <c r="CE609" s="42"/>
      <c r="CF609" s="42"/>
      <c r="CG609" s="42"/>
      <c r="CH609" s="42"/>
      <c r="CI609" s="42"/>
      <c r="CJ609" s="42"/>
      <c r="CK609" s="42"/>
      <c r="CL609" s="42"/>
      <c r="CM609" s="42"/>
      <c r="CN609" s="42"/>
      <c r="CO609" s="42"/>
      <c r="CP609" s="42"/>
      <c r="CQ609" s="42"/>
      <c r="CR609" s="42"/>
      <c r="CS609" s="42"/>
      <c r="CT609" s="42"/>
      <c r="CU609" s="42"/>
      <c r="CV609" s="42"/>
      <c r="CW609" s="42"/>
      <c r="CX609" s="42"/>
      <c r="CY609" s="42"/>
      <c r="CZ609" s="42"/>
      <c r="DA609" s="42"/>
      <c r="DB609" s="42"/>
      <c r="DC609" s="42"/>
      <c r="DD609" s="42"/>
      <c r="DE609" s="42"/>
      <c r="DF609" s="42"/>
      <c r="DG609" s="42"/>
      <c r="DH609" s="42"/>
      <c r="DI609" s="42"/>
      <c r="DJ609" s="42"/>
      <c r="DK609" s="42"/>
      <c r="DL609" s="42"/>
      <c r="DM609" s="42"/>
      <c r="DN609" s="42"/>
      <c r="DO609" s="42"/>
      <c r="DP609" s="42"/>
      <c r="DQ609" s="42"/>
      <c r="DR609" s="42"/>
      <c r="DS609" s="42"/>
      <c r="DT609" s="42"/>
      <c r="DU609" s="42"/>
      <c r="DV609" s="42"/>
      <c r="DW609" s="42"/>
      <c r="DX609" s="42"/>
      <c r="DY609" s="42"/>
      <c r="DZ609" s="42"/>
      <c r="EA609" s="42"/>
      <c r="EB609" s="42"/>
      <c r="EC609" s="42"/>
      <c r="ED609" s="42"/>
      <c r="EE609" s="42"/>
      <c r="EF609" s="42"/>
      <c r="EG609" s="42"/>
      <c r="EH609" s="42"/>
      <c r="EI609" s="42"/>
      <c r="EJ609" s="42"/>
      <c r="EK609" s="42"/>
      <c r="EL609" s="42"/>
      <c r="EM609" s="42"/>
      <c r="EN609" s="42"/>
      <c r="EO609" s="42"/>
      <c r="EP609" s="42"/>
      <c r="EQ609" s="42"/>
      <c r="ER609" s="42"/>
      <c r="ES609" s="42"/>
      <c r="ET609" s="42"/>
      <c r="EU609" s="42"/>
      <c r="EV609" s="42"/>
      <c r="EW609" s="42"/>
      <c r="EX609" s="42"/>
      <c r="EY609" s="42"/>
      <c r="EZ609" s="42"/>
      <c r="FA609" s="42"/>
      <c r="FB609" s="42"/>
      <c r="FC609" s="42"/>
      <c r="FD609" s="42"/>
      <c r="FE609" s="42"/>
      <c r="FF609" s="42"/>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row>
    <row r="610" spans="1:256" ht="13.8" x14ac:dyDescent="0.3">
      <c r="A610" s="42"/>
      <c r="B610" s="42"/>
      <c r="C610" s="42"/>
      <c r="D610" s="42"/>
      <c r="E610" s="42"/>
      <c r="F610" s="42"/>
      <c r="G610" s="42"/>
      <c r="H610" s="42"/>
      <c r="I610" s="42"/>
      <c r="J610" s="42"/>
      <c r="K610" s="42"/>
      <c r="L610" s="42"/>
      <c r="M610" s="42"/>
      <c r="N610" s="42"/>
      <c r="O610" s="42"/>
      <c r="P610" s="42"/>
      <c r="Q610" s="42"/>
      <c r="R610" s="42"/>
      <c r="S610" s="42"/>
      <c r="T610" s="42"/>
      <c r="U610" s="194"/>
      <c r="V610" s="42"/>
      <c r="W610" s="42"/>
      <c r="X610" s="42"/>
      <c r="Y610" s="42"/>
      <c r="Z610" s="42"/>
      <c r="AA610" s="42"/>
      <c r="AB610" s="195"/>
      <c r="AC610" s="42"/>
      <c r="AD610" s="42"/>
      <c r="AE610" s="195"/>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c r="BM610" s="42"/>
      <c r="BN610" s="42"/>
      <c r="BO610" s="42"/>
      <c r="BP610" s="42"/>
      <c r="BQ610" s="42"/>
      <c r="BR610" s="42"/>
      <c r="BS610" s="42"/>
      <c r="BT610" s="42"/>
      <c r="BU610" s="42"/>
      <c r="BV610" s="42"/>
      <c r="BW610" s="42"/>
      <c r="BX610" s="42"/>
      <c r="BY610" s="42"/>
      <c r="BZ610" s="42"/>
      <c r="CA610" s="42"/>
      <c r="CB610" s="42"/>
      <c r="CC610" s="42"/>
      <c r="CD610" s="42"/>
      <c r="CE610" s="42"/>
      <c r="CF610" s="42"/>
      <c r="CG610" s="42"/>
      <c r="CH610" s="42"/>
      <c r="CI610" s="42"/>
      <c r="CJ610" s="42"/>
      <c r="CK610" s="42"/>
      <c r="CL610" s="42"/>
      <c r="CM610" s="42"/>
      <c r="CN610" s="42"/>
      <c r="CO610" s="42"/>
      <c r="CP610" s="42"/>
      <c r="CQ610" s="42"/>
      <c r="CR610" s="42"/>
      <c r="CS610" s="42"/>
      <c r="CT610" s="42"/>
      <c r="CU610" s="42"/>
      <c r="CV610" s="42"/>
      <c r="CW610" s="42"/>
      <c r="CX610" s="42"/>
      <c r="CY610" s="42"/>
      <c r="CZ610" s="42"/>
      <c r="DA610" s="42"/>
      <c r="DB610" s="42"/>
      <c r="DC610" s="42"/>
      <c r="DD610" s="42"/>
      <c r="DE610" s="42"/>
      <c r="DF610" s="42"/>
      <c r="DG610" s="42"/>
      <c r="DH610" s="42"/>
      <c r="DI610" s="42"/>
      <c r="DJ610" s="42"/>
      <c r="DK610" s="42"/>
      <c r="DL610" s="42"/>
      <c r="DM610" s="42"/>
      <c r="DN610" s="42"/>
      <c r="DO610" s="42"/>
      <c r="DP610" s="42"/>
      <c r="DQ610" s="42"/>
      <c r="DR610" s="42"/>
      <c r="DS610" s="42"/>
      <c r="DT610" s="42"/>
      <c r="DU610" s="42"/>
      <c r="DV610" s="42"/>
      <c r="DW610" s="42"/>
      <c r="DX610" s="42"/>
      <c r="DY610" s="42"/>
      <c r="DZ610" s="42"/>
      <c r="EA610" s="42"/>
      <c r="EB610" s="42"/>
      <c r="EC610" s="42"/>
      <c r="ED610" s="42"/>
      <c r="EE610" s="42"/>
      <c r="EF610" s="42"/>
      <c r="EG610" s="42"/>
      <c r="EH610" s="42"/>
      <c r="EI610" s="42"/>
      <c r="EJ610" s="42"/>
      <c r="EK610" s="42"/>
      <c r="EL610" s="42"/>
      <c r="EM610" s="42"/>
      <c r="EN610" s="42"/>
      <c r="EO610" s="42"/>
      <c r="EP610" s="42"/>
      <c r="EQ610" s="42"/>
      <c r="ER610" s="42"/>
      <c r="ES610" s="42"/>
      <c r="ET610" s="42"/>
      <c r="EU610" s="42"/>
      <c r="EV610" s="42"/>
      <c r="EW610" s="42"/>
      <c r="EX610" s="42"/>
      <c r="EY610" s="42"/>
      <c r="EZ610" s="42"/>
      <c r="FA610" s="42"/>
      <c r="FB610" s="42"/>
      <c r="FC610" s="42"/>
      <c r="FD610" s="42"/>
      <c r="FE610" s="42"/>
      <c r="FF610" s="42"/>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row>
    <row r="611" spans="1:256" ht="13.8" x14ac:dyDescent="0.3">
      <c r="A611" s="42"/>
      <c r="B611" s="42"/>
      <c r="C611" s="42"/>
      <c r="D611" s="42"/>
      <c r="E611" s="42"/>
      <c r="F611" s="42"/>
      <c r="G611" s="42"/>
      <c r="H611" s="42"/>
      <c r="I611" s="42"/>
      <c r="J611" s="42"/>
      <c r="K611" s="42"/>
      <c r="L611" s="42"/>
      <c r="M611" s="42"/>
      <c r="N611" s="42"/>
      <c r="O611" s="42"/>
      <c r="P611" s="42"/>
      <c r="Q611" s="42"/>
      <c r="R611" s="42"/>
      <c r="S611" s="42"/>
      <c r="T611" s="42"/>
      <c r="U611" s="194"/>
      <c r="V611" s="42"/>
      <c r="W611" s="42"/>
      <c r="X611" s="42"/>
      <c r="Y611" s="42"/>
      <c r="Z611" s="42"/>
      <c r="AA611" s="42"/>
      <c r="AB611" s="195"/>
      <c r="AC611" s="42"/>
      <c r="AD611" s="42"/>
      <c r="AE611" s="195"/>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c r="BM611" s="42"/>
      <c r="BN611" s="42"/>
      <c r="BO611" s="42"/>
      <c r="BP611" s="42"/>
      <c r="BQ611" s="42"/>
      <c r="BR611" s="42"/>
      <c r="BS611" s="42"/>
      <c r="BT611" s="42"/>
      <c r="BU611" s="42"/>
      <c r="BV611" s="42"/>
      <c r="BW611" s="42"/>
      <c r="BX611" s="42"/>
      <c r="BY611" s="42"/>
      <c r="BZ611" s="42"/>
      <c r="CA611" s="42"/>
      <c r="CB611" s="42"/>
      <c r="CC611" s="42"/>
      <c r="CD611" s="42"/>
      <c r="CE611" s="42"/>
      <c r="CF611" s="42"/>
      <c r="CG611" s="42"/>
      <c r="CH611" s="42"/>
      <c r="CI611" s="42"/>
      <c r="CJ611" s="42"/>
      <c r="CK611" s="42"/>
      <c r="CL611" s="42"/>
      <c r="CM611" s="42"/>
      <c r="CN611" s="42"/>
      <c r="CO611" s="42"/>
      <c r="CP611" s="42"/>
      <c r="CQ611" s="42"/>
      <c r="CR611" s="42"/>
      <c r="CS611" s="42"/>
      <c r="CT611" s="42"/>
      <c r="CU611" s="42"/>
      <c r="CV611" s="42"/>
      <c r="CW611" s="42"/>
      <c r="CX611" s="42"/>
      <c r="CY611" s="42"/>
      <c r="CZ611" s="42"/>
      <c r="DA611" s="42"/>
      <c r="DB611" s="42"/>
      <c r="DC611" s="42"/>
      <c r="DD611" s="42"/>
      <c r="DE611" s="42"/>
      <c r="DF611" s="42"/>
      <c r="DG611" s="42"/>
      <c r="DH611" s="42"/>
      <c r="DI611" s="42"/>
      <c r="DJ611" s="42"/>
      <c r="DK611" s="42"/>
      <c r="DL611" s="42"/>
      <c r="DM611" s="42"/>
      <c r="DN611" s="42"/>
      <c r="DO611" s="42"/>
      <c r="DP611" s="42"/>
      <c r="DQ611" s="42"/>
      <c r="DR611" s="42"/>
      <c r="DS611" s="42"/>
      <c r="DT611" s="42"/>
      <c r="DU611" s="42"/>
      <c r="DV611" s="42"/>
      <c r="DW611" s="42"/>
      <c r="DX611" s="42"/>
      <c r="DY611" s="42"/>
      <c r="DZ611" s="42"/>
      <c r="EA611" s="42"/>
      <c r="EB611" s="42"/>
      <c r="EC611" s="42"/>
      <c r="ED611" s="42"/>
      <c r="EE611" s="42"/>
      <c r="EF611" s="42"/>
      <c r="EG611" s="42"/>
      <c r="EH611" s="42"/>
      <c r="EI611" s="42"/>
      <c r="EJ611" s="42"/>
      <c r="EK611" s="42"/>
      <c r="EL611" s="42"/>
      <c r="EM611" s="42"/>
      <c r="EN611" s="42"/>
      <c r="EO611" s="42"/>
      <c r="EP611" s="42"/>
      <c r="EQ611" s="42"/>
      <c r="ER611" s="42"/>
      <c r="ES611" s="42"/>
      <c r="ET611" s="42"/>
      <c r="EU611" s="42"/>
      <c r="EV611" s="42"/>
      <c r="EW611" s="42"/>
      <c r="EX611" s="42"/>
      <c r="EY611" s="42"/>
      <c r="EZ611" s="42"/>
      <c r="FA611" s="42"/>
      <c r="FB611" s="42"/>
      <c r="FC611" s="42"/>
      <c r="FD611" s="42"/>
      <c r="FE611" s="42"/>
      <c r="FF611" s="42"/>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row>
    <row r="612" spans="1:256" ht="13.8" x14ac:dyDescent="0.3">
      <c r="A612" s="42"/>
      <c r="B612" s="42"/>
      <c r="C612" s="42"/>
      <c r="D612" s="42"/>
      <c r="E612" s="42"/>
      <c r="F612" s="42"/>
      <c r="G612" s="42"/>
      <c r="H612" s="42"/>
      <c r="I612" s="42"/>
      <c r="J612" s="42"/>
      <c r="K612" s="42"/>
      <c r="L612" s="42"/>
      <c r="M612" s="42"/>
      <c r="N612" s="42"/>
      <c r="O612" s="42"/>
      <c r="P612" s="42"/>
      <c r="Q612" s="42"/>
      <c r="R612" s="42"/>
      <c r="S612" s="42"/>
      <c r="T612" s="42"/>
      <c r="U612" s="194"/>
      <c r="V612" s="42"/>
      <c r="W612" s="42"/>
      <c r="X612" s="42"/>
      <c r="Y612" s="42"/>
      <c r="Z612" s="42"/>
      <c r="AA612" s="42"/>
      <c r="AB612" s="195"/>
      <c r="AC612" s="42"/>
      <c r="AD612" s="42"/>
      <c r="AE612" s="195"/>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c r="BM612" s="42"/>
      <c r="BN612" s="42"/>
      <c r="BO612" s="42"/>
      <c r="BP612" s="42"/>
      <c r="BQ612" s="42"/>
      <c r="BR612" s="42"/>
      <c r="BS612" s="42"/>
      <c r="BT612" s="42"/>
      <c r="BU612" s="42"/>
      <c r="BV612" s="42"/>
      <c r="BW612" s="42"/>
      <c r="BX612" s="42"/>
      <c r="BY612" s="42"/>
      <c r="BZ612" s="42"/>
      <c r="CA612" s="42"/>
      <c r="CB612" s="42"/>
      <c r="CC612" s="42"/>
      <c r="CD612" s="42"/>
      <c r="CE612" s="42"/>
      <c r="CF612" s="42"/>
      <c r="CG612" s="42"/>
      <c r="CH612" s="42"/>
      <c r="CI612" s="42"/>
      <c r="CJ612" s="42"/>
      <c r="CK612" s="42"/>
      <c r="CL612" s="42"/>
      <c r="CM612" s="42"/>
      <c r="CN612" s="42"/>
      <c r="CO612" s="42"/>
      <c r="CP612" s="42"/>
      <c r="CQ612" s="42"/>
      <c r="CR612" s="42"/>
      <c r="CS612" s="42"/>
      <c r="CT612" s="42"/>
      <c r="CU612" s="42"/>
      <c r="CV612" s="42"/>
      <c r="CW612" s="42"/>
      <c r="CX612" s="42"/>
      <c r="CY612" s="42"/>
      <c r="CZ612" s="42"/>
      <c r="DA612" s="42"/>
      <c r="DB612" s="42"/>
      <c r="DC612" s="42"/>
      <c r="DD612" s="42"/>
      <c r="DE612" s="42"/>
      <c r="DF612" s="42"/>
      <c r="DG612" s="42"/>
      <c r="DH612" s="42"/>
      <c r="DI612" s="42"/>
      <c r="DJ612" s="42"/>
      <c r="DK612" s="42"/>
      <c r="DL612" s="42"/>
      <c r="DM612" s="42"/>
      <c r="DN612" s="42"/>
      <c r="DO612" s="42"/>
      <c r="DP612" s="42"/>
      <c r="DQ612" s="42"/>
      <c r="DR612" s="42"/>
      <c r="DS612" s="42"/>
      <c r="DT612" s="42"/>
      <c r="DU612" s="42"/>
      <c r="DV612" s="42"/>
      <c r="DW612" s="42"/>
      <c r="DX612" s="42"/>
      <c r="DY612" s="42"/>
      <c r="DZ612" s="42"/>
      <c r="EA612" s="42"/>
      <c r="EB612" s="42"/>
      <c r="EC612" s="42"/>
      <c r="ED612" s="42"/>
      <c r="EE612" s="42"/>
      <c r="EF612" s="42"/>
      <c r="EG612" s="42"/>
      <c r="EH612" s="42"/>
      <c r="EI612" s="42"/>
      <c r="EJ612" s="42"/>
      <c r="EK612" s="42"/>
      <c r="EL612" s="42"/>
      <c r="EM612" s="42"/>
      <c r="EN612" s="42"/>
      <c r="EO612" s="42"/>
      <c r="EP612" s="42"/>
      <c r="EQ612" s="42"/>
      <c r="ER612" s="42"/>
      <c r="ES612" s="42"/>
      <c r="ET612" s="42"/>
      <c r="EU612" s="42"/>
      <c r="EV612" s="42"/>
      <c r="EW612" s="42"/>
      <c r="EX612" s="42"/>
      <c r="EY612" s="42"/>
      <c r="EZ612" s="42"/>
      <c r="FA612" s="42"/>
      <c r="FB612" s="42"/>
      <c r="FC612" s="42"/>
      <c r="FD612" s="42"/>
      <c r="FE612" s="42"/>
      <c r="FF612" s="42"/>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row>
    <row r="613" spans="1:256" ht="13.8" x14ac:dyDescent="0.3">
      <c r="A613" s="42"/>
      <c r="B613" s="42"/>
      <c r="C613" s="42"/>
      <c r="D613" s="42"/>
      <c r="E613" s="42"/>
      <c r="F613" s="42"/>
      <c r="G613" s="42"/>
      <c r="H613" s="42"/>
      <c r="I613" s="42"/>
      <c r="J613" s="42"/>
      <c r="K613" s="42"/>
      <c r="L613" s="42"/>
      <c r="M613" s="42"/>
      <c r="N613" s="42"/>
      <c r="O613" s="42"/>
      <c r="P613" s="42"/>
      <c r="Q613" s="42"/>
      <c r="R613" s="42"/>
      <c r="S613" s="42"/>
      <c r="T613" s="42"/>
      <c r="U613" s="194"/>
      <c r="V613" s="42"/>
      <c r="W613" s="42"/>
      <c r="X613" s="42"/>
      <c r="Y613" s="42"/>
      <c r="Z613" s="42"/>
      <c r="AA613" s="42"/>
      <c r="AB613" s="195"/>
      <c r="AC613" s="42"/>
      <c r="AD613" s="42"/>
      <c r="AE613" s="195"/>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c r="BM613" s="42"/>
      <c r="BN613" s="42"/>
      <c r="BO613" s="42"/>
      <c r="BP613" s="42"/>
      <c r="BQ613" s="42"/>
      <c r="BR613" s="42"/>
      <c r="BS613" s="42"/>
      <c r="BT613" s="42"/>
      <c r="BU613" s="42"/>
      <c r="BV613" s="42"/>
      <c r="BW613" s="42"/>
      <c r="BX613" s="42"/>
      <c r="BY613" s="42"/>
      <c r="BZ613" s="42"/>
      <c r="CA613" s="42"/>
      <c r="CB613" s="42"/>
      <c r="CC613" s="42"/>
      <c r="CD613" s="42"/>
      <c r="CE613" s="42"/>
      <c r="CF613" s="42"/>
      <c r="CG613" s="42"/>
      <c r="CH613" s="42"/>
      <c r="CI613" s="42"/>
      <c r="CJ613" s="42"/>
      <c r="CK613" s="42"/>
      <c r="CL613" s="42"/>
      <c r="CM613" s="42"/>
      <c r="CN613" s="42"/>
      <c r="CO613" s="42"/>
      <c r="CP613" s="42"/>
      <c r="CQ613" s="42"/>
      <c r="CR613" s="42"/>
      <c r="CS613" s="42"/>
      <c r="CT613" s="42"/>
      <c r="CU613" s="42"/>
      <c r="CV613" s="42"/>
      <c r="CW613" s="42"/>
      <c r="CX613" s="42"/>
      <c r="CY613" s="42"/>
      <c r="CZ613" s="42"/>
      <c r="DA613" s="42"/>
      <c r="DB613" s="42"/>
      <c r="DC613" s="42"/>
      <c r="DD613" s="42"/>
      <c r="DE613" s="42"/>
      <c r="DF613" s="42"/>
      <c r="DG613" s="42"/>
      <c r="DH613" s="42"/>
      <c r="DI613" s="42"/>
      <c r="DJ613" s="42"/>
      <c r="DK613" s="42"/>
      <c r="DL613" s="42"/>
      <c r="DM613" s="42"/>
      <c r="DN613" s="42"/>
      <c r="DO613" s="42"/>
      <c r="DP613" s="42"/>
      <c r="DQ613" s="42"/>
      <c r="DR613" s="42"/>
      <c r="DS613" s="42"/>
      <c r="DT613" s="42"/>
      <c r="DU613" s="42"/>
      <c r="DV613" s="42"/>
      <c r="DW613" s="42"/>
      <c r="DX613" s="42"/>
      <c r="DY613" s="42"/>
      <c r="DZ613" s="42"/>
      <c r="EA613" s="42"/>
      <c r="EB613" s="42"/>
      <c r="EC613" s="42"/>
      <c r="ED613" s="42"/>
      <c r="EE613" s="42"/>
      <c r="EF613" s="42"/>
      <c r="EG613" s="42"/>
      <c r="EH613" s="42"/>
      <c r="EI613" s="42"/>
      <c r="EJ613" s="42"/>
      <c r="EK613" s="42"/>
      <c r="EL613" s="42"/>
      <c r="EM613" s="42"/>
      <c r="EN613" s="42"/>
      <c r="EO613" s="42"/>
      <c r="EP613" s="42"/>
      <c r="EQ613" s="42"/>
      <c r="ER613" s="42"/>
      <c r="ES613" s="42"/>
      <c r="ET613" s="42"/>
      <c r="EU613" s="42"/>
      <c r="EV613" s="42"/>
      <c r="EW613" s="42"/>
      <c r="EX613" s="42"/>
      <c r="EY613" s="42"/>
      <c r="EZ613" s="42"/>
      <c r="FA613" s="42"/>
      <c r="FB613" s="42"/>
      <c r="FC613" s="42"/>
      <c r="FD613" s="42"/>
      <c r="FE613" s="42"/>
      <c r="FF613" s="42"/>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row>
    <row r="614" spans="1:256" ht="13.8" x14ac:dyDescent="0.3">
      <c r="A614" s="42"/>
      <c r="B614" s="42"/>
      <c r="C614" s="42"/>
      <c r="D614" s="42"/>
      <c r="E614" s="42"/>
      <c r="F614" s="42"/>
      <c r="G614" s="42"/>
      <c r="H614" s="42"/>
      <c r="I614" s="42"/>
      <c r="J614" s="42"/>
      <c r="K614" s="42"/>
      <c r="L614" s="42"/>
      <c r="M614" s="42"/>
      <c r="N614" s="42"/>
      <c r="O614" s="42"/>
      <c r="P614" s="42"/>
      <c r="Q614" s="42"/>
      <c r="R614" s="42"/>
      <c r="S614" s="42"/>
      <c r="T614" s="42"/>
      <c r="U614" s="194"/>
      <c r="V614" s="42"/>
      <c r="W614" s="42"/>
      <c r="X614" s="42"/>
      <c r="Y614" s="42"/>
      <c r="Z614" s="42"/>
      <c r="AA614" s="42"/>
      <c r="AB614" s="195"/>
      <c r="AC614" s="42"/>
      <c r="AD614" s="42"/>
      <c r="AE614" s="195"/>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c r="BM614" s="42"/>
      <c r="BN614" s="42"/>
      <c r="BO614" s="42"/>
      <c r="BP614" s="42"/>
      <c r="BQ614" s="42"/>
      <c r="BR614" s="42"/>
      <c r="BS614" s="42"/>
      <c r="BT614" s="42"/>
      <c r="BU614" s="42"/>
      <c r="BV614" s="42"/>
      <c r="BW614" s="42"/>
      <c r="BX614" s="42"/>
      <c r="BY614" s="42"/>
      <c r="BZ614" s="42"/>
      <c r="CA614" s="42"/>
      <c r="CB614" s="42"/>
      <c r="CC614" s="42"/>
      <c r="CD614" s="42"/>
      <c r="CE614" s="42"/>
      <c r="CF614" s="42"/>
      <c r="CG614" s="42"/>
      <c r="CH614" s="42"/>
      <c r="CI614" s="42"/>
      <c r="CJ614" s="42"/>
      <c r="CK614" s="42"/>
      <c r="CL614" s="42"/>
      <c r="CM614" s="42"/>
      <c r="CN614" s="42"/>
      <c r="CO614" s="42"/>
      <c r="CP614" s="42"/>
      <c r="CQ614" s="42"/>
      <c r="CR614" s="42"/>
      <c r="CS614" s="42"/>
      <c r="CT614" s="42"/>
      <c r="CU614" s="42"/>
      <c r="CV614" s="42"/>
      <c r="CW614" s="42"/>
      <c r="CX614" s="42"/>
      <c r="CY614" s="42"/>
      <c r="CZ614" s="42"/>
      <c r="DA614" s="42"/>
      <c r="DB614" s="42"/>
      <c r="DC614" s="42"/>
      <c r="DD614" s="42"/>
      <c r="DE614" s="42"/>
      <c r="DF614" s="42"/>
      <c r="DG614" s="42"/>
      <c r="DH614" s="42"/>
      <c r="DI614" s="42"/>
      <c r="DJ614" s="42"/>
      <c r="DK614" s="42"/>
      <c r="DL614" s="42"/>
      <c r="DM614" s="42"/>
      <c r="DN614" s="42"/>
      <c r="DO614" s="42"/>
      <c r="DP614" s="42"/>
      <c r="DQ614" s="42"/>
      <c r="DR614" s="42"/>
      <c r="DS614" s="42"/>
      <c r="DT614" s="42"/>
      <c r="DU614" s="42"/>
      <c r="DV614" s="42"/>
      <c r="DW614" s="42"/>
      <c r="DX614" s="42"/>
      <c r="DY614" s="42"/>
      <c r="DZ614" s="42"/>
      <c r="EA614" s="42"/>
      <c r="EB614" s="42"/>
      <c r="EC614" s="42"/>
      <c r="ED614" s="42"/>
      <c r="EE614" s="42"/>
      <c r="EF614" s="42"/>
      <c r="EG614" s="42"/>
      <c r="EH614" s="42"/>
      <c r="EI614" s="42"/>
      <c r="EJ614" s="42"/>
      <c r="EK614" s="42"/>
      <c r="EL614" s="42"/>
      <c r="EM614" s="42"/>
      <c r="EN614" s="42"/>
      <c r="EO614" s="42"/>
      <c r="EP614" s="42"/>
      <c r="EQ614" s="42"/>
      <c r="ER614" s="42"/>
      <c r="ES614" s="42"/>
      <c r="ET614" s="42"/>
      <c r="EU614" s="42"/>
      <c r="EV614" s="42"/>
      <c r="EW614" s="42"/>
      <c r="EX614" s="42"/>
      <c r="EY614" s="42"/>
      <c r="EZ614" s="42"/>
      <c r="FA614" s="42"/>
      <c r="FB614" s="42"/>
      <c r="FC614" s="42"/>
      <c r="FD614" s="42"/>
      <c r="FE614" s="42"/>
      <c r="FF614" s="42"/>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row>
    <row r="615" spans="1:256" ht="13.8" x14ac:dyDescent="0.3">
      <c r="A615" s="42"/>
      <c r="B615" s="42"/>
      <c r="C615" s="42"/>
      <c r="D615" s="42"/>
      <c r="E615" s="42"/>
      <c r="F615" s="42"/>
      <c r="G615" s="42"/>
      <c r="H615" s="42"/>
      <c r="I615" s="42"/>
      <c r="J615" s="42"/>
      <c r="K615" s="42"/>
      <c r="L615" s="42"/>
      <c r="M615" s="42"/>
      <c r="N615" s="42"/>
      <c r="O615" s="42"/>
      <c r="P615" s="42"/>
      <c r="Q615" s="42"/>
      <c r="R615" s="42"/>
      <c r="S615" s="42"/>
      <c r="T615" s="42"/>
      <c r="U615" s="194"/>
      <c r="V615" s="42"/>
      <c r="W615" s="42"/>
      <c r="X615" s="42"/>
      <c r="Y615" s="42"/>
      <c r="Z615" s="42"/>
      <c r="AA615" s="42"/>
      <c r="AB615" s="195"/>
      <c r="AC615" s="42"/>
      <c r="AD615" s="42"/>
      <c r="AE615" s="195"/>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c r="BM615" s="42"/>
      <c r="BN615" s="42"/>
      <c r="BO615" s="42"/>
      <c r="BP615" s="42"/>
      <c r="BQ615" s="42"/>
      <c r="BR615" s="42"/>
      <c r="BS615" s="42"/>
      <c r="BT615" s="42"/>
      <c r="BU615" s="42"/>
      <c r="BV615" s="42"/>
      <c r="BW615" s="42"/>
      <c r="BX615" s="42"/>
      <c r="BY615" s="42"/>
      <c r="BZ615" s="42"/>
      <c r="CA615" s="42"/>
      <c r="CB615" s="42"/>
      <c r="CC615" s="42"/>
      <c r="CD615" s="42"/>
      <c r="CE615" s="42"/>
      <c r="CF615" s="42"/>
      <c r="CG615" s="42"/>
      <c r="CH615" s="42"/>
      <c r="CI615" s="42"/>
      <c r="CJ615" s="42"/>
      <c r="CK615" s="42"/>
      <c r="CL615" s="42"/>
      <c r="CM615" s="42"/>
      <c r="CN615" s="42"/>
      <c r="CO615" s="42"/>
      <c r="CP615" s="42"/>
      <c r="CQ615" s="42"/>
      <c r="CR615" s="42"/>
      <c r="CS615" s="42"/>
      <c r="CT615" s="42"/>
      <c r="CU615" s="42"/>
      <c r="CV615" s="42"/>
      <c r="CW615" s="42"/>
      <c r="CX615" s="42"/>
      <c r="CY615" s="42"/>
      <c r="CZ615" s="42"/>
      <c r="DA615" s="42"/>
      <c r="DB615" s="42"/>
      <c r="DC615" s="42"/>
      <c r="DD615" s="42"/>
      <c r="DE615" s="42"/>
      <c r="DF615" s="42"/>
      <c r="DG615" s="42"/>
      <c r="DH615" s="42"/>
      <c r="DI615" s="42"/>
      <c r="DJ615" s="42"/>
      <c r="DK615" s="42"/>
      <c r="DL615" s="42"/>
      <c r="DM615" s="42"/>
      <c r="DN615" s="42"/>
      <c r="DO615" s="42"/>
      <c r="DP615" s="42"/>
      <c r="DQ615" s="42"/>
      <c r="DR615" s="42"/>
      <c r="DS615" s="42"/>
      <c r="DT615" s="42"/>
      <c r="DU615" s="42"/>
      <c r="DV615" s="42"/>
      <c r="DW615" s="42"/>
      <c r="DX615" s="42"/>
      <c r="DY615" s="42"/>
      <c r="DZ615" s="42"/>
      <c r="EA615" s="42"/>
      <c r="EB615" s="42"/>
      <c r="EC615" s="42"/>
      <c r="ED615" s="42"/>
      <c r="EE615" s="42"/>
      <c r="EF615" s="42"/>
      <c r="EG615" s="42"/>
      <c r="EH615" s="42"/>
      <c r="EI615" s="42"/>
      <c r="EJ615" s="42"/>
      <c r="EK615" s="42"/>
      <c r="EL615" s="42"/>
      <c r="EM615" s="42"/>
      <c r="EN615" s="42"/>
      <c r="EO615" s="42"/>
      <c r="EP615" s="42"/>
      <c r="EQ615" s="42"/>
      <c r="ER615" s="42"/>
      <c r="ES615" s="42"/>
      <c r="ET615" s="42"/>
      <c r="EU615" s="42"/>
      <c r="EV615" s="42"/>
      <c r="EW615" s="42"/>
      <c r="EX615" s="42"/>
      <c r="EY615" s="42"/>
      <c r="EZ615" s="42"/>
      <c r="FA615" s="42"/>
      <c r="FB615" s="42"/>
      <c r="FC615" s="42"/>
      <c r="FD615" s="42"/>
      <c r="FE615" s="42"/>
      <c r="FF615" s="42"/>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row>
    <row r="616" spans="1:256" ht="13.8" x14ac:dyDescent="0.3">
      <c r="A616" s="42"/>
      <c r="B616" s="42"/>
      <c r="C616" s="42"/>
      <c r="D616" s="42"/>
      <c r="E616" s="42"/>
      <c r="F616" s="42"/>
      <c r="G616" s="42"/>
      <c r="H616" s="42"/>
      <c r="I616" s="42"/>
      <c r="J616" s="42"/>
      <c r="K616" s="42"/>
      <c r="L616" s="42"/>
      <c r="M616" s="42"/>
      <c r="N616" s="42"/>
      <c r="O616" s="42"/>
      <c r="P616" s="42"/>
      <c r="Q616" s="42"/>
      <c r="R616" s="42"/>
      <c r="S616" s="42"/>
      <c r="T616" s="42"/>
      <c r="U616" s="194"/>
      <c r="V616" s="42"/>
      <c r="W616" s="42"/>
      <c r="X616" s="42"/>
      <c r="Y616" s="42"/>
      <c r="Z616" s="42"/>
      <c r="AA616" s="42"/>
      <c r="AB616" s="195"/>
      <c r="AC616" s="42"/>
      <c r="AD616" s="42"/>
      <c r="AE616" s="195"/>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c r="BM616" s="42"/>
      <c r="BN616" s="42"/>
      <c r="BO616" s="42"/>
      <c r="BP616" s="42"/>
      <c r="BQ616" s="42"/>
      <c r="BR616" s="42"/>
      <c r="BS616" s="42"/>
      <c r="BT616" s="42"/>
      <c r="BU616" s="42"/>
      <c r="BV616" s="42"/>
      <c r="BW616" s="42"/>
      <c r="BX616" s="42"/>
      <c r="BY616" s="42"/>
      <c r="BZ616" s="42"/>
      <c r="CA616" s="42"/>
      <c r="CB616" s="42"/>
      <c r="CC616" s="42"/>
      <c r="CD616" s="42"/>
      <c r="CE616" s="42"/>
      <c r="CF616" s="42"/>
      <c r="CG616" s="42"/>
      <c r="CH616" s="42"/>
      <c r="CI616" s="42"/>
      <c r="CJ616" s="42"/>
      <c r="CK616" s="42"/>
      <c r="CL616" s="42"/>
      <c r="CM616" s="42"/>
      <c r="CN616" s="42"/>
      <c r="CO616" s="42"/>
      <c r="CP616" s="42"/>
      <c r="CQ616" s="42"/>
      <c r="CR616" s="42"/>
      <c r="CS616" s="42"/>
      <c r="CT616" s="42"/>
      <c r="CU616" s="42"/>
      <c r="CV616" s="42"/>
      <c r="CW616" s="42"/>
      <c r="CX616" s="42"/>
      <c r="CY616" s="42"/>
      <c r="CZ616" s="42"/>
      <c r="DA616" s="42"/>
      <c r="DB616" s="42"/>
      <c r="DC616" s="42"/>
      <c r="DD616" s="42"/>
      <c r="DE616" s="42"/>
      <c r="DF616" s="42"/>
      <c r="DG616" s="42"/>
      <c r="DH616" s="42"/>
      <c r="DI616" s="42"/>
      <c r="DJ616" s="42"/>
      <c r="DK616" s="42"/>
      <c r="DL616" s="42"/>
      <c r="DM616" s="42"/>
      <c r="DN616" s="42"/>
      <c r="DO616" s="42"/>
      <c r="DP616" s="42"/>
      <c r="DQ616" s="42"/>
      <c r="DR616" s="42"/>
      <c r="DS616" s="42"/>
      <c r="DT616" s="42"/>
      <c r="DU616" s="42"/>
      <c r="DV616" s="42"/>
      <c r="DW616" s="42"/>
      <c r="DX616" s="42"/>
      <c r="DY616" s="42"/>
      <c r="DZ616" s="42"/>
      <c r="EA616" s="42"/>
      <c r="EB616" s="42"/>
      <c r="EC616" s="42"/>
      <c r="ED616" s="42"/>
      <c r="EE616" s="42"/>
      <c r="EF616" s="42"/>
      <c r="EG616" s="42"/>
      <c r="EH616" s="42"/>
      <c r="EI616" s="42"/>
      <c r="EJ616" s="42"/>
      <c r="EK616" s="42"/>
      <c r="EL616" s="42"/>
      <c r="EM616" s="42"/>
      <c r="EN616" s="42"/>
      <c r="EO616" s="42"/>
      <c r="EP616" s="42"/>
      <c r="EQ616" s="42"/>
      <c r="ER616" s="42"/>
      <c r="ES616" s="42"/>
      <c r="ET616" s="42"/>
      <c r="EU616" s="42"/>
      <c r="EV616" s="42"/>
      <c r="EW616" s="42"/>
      <c r="EX616" s="42"/>
      <c r="EY616" s="42"/>
      <c r="EZ616" s="42"/>
      <c r="FA616" s="42"/>
      <c r="FB616" s="42"/>
      <c r="FC616" s="42"/>
      <c r="FD616" s="42"/>
      <c r="FE616" s="42"/>
      <c r="FF616" s="42"/>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row>
    <row r="617" spans="1:256" ht="13.8" x14ac:dyDescent="0.3">
      <c r="A617" s="42"/>
      <c r="B617" s="42"/>
      <c r="C617" s="42"/>
      <c r="D617" s="42"/>
      <c r="E617" s="42"/>
      <c r="F617" s="42"/>
      <c r="G617" s="42"/>
      <c r="H617" s="42"/>
      <c r="I617" s="42"/>
      <c r="J617" s="42"/>
      <c r="K617" s="42"/>
      <c r="L617" s="42"/>
      <c r="M617" s="42"/>
      <c r="N617" s="42"/>
      <c r="O617" s="42"/>
      <c r="P617" s="42"/>
      <c r="Q617" s="42"/>
      <c r="R617" s="42"/>
      <c r="S617" s="42"/>
      <c r="T617" s="42"/>
      <c r="U617" s="194"/>
      <c r="V617" s="42"/>
      <c r="W617" s="42"/>
      <c r="X617" s="42"/>
      <c r="Y617" s="42"/>
      <c r="Z617" s="42"/>
      <c r="AA617" s="42"/>
      <c r="AB617" s="195"/>
      <c r="AC617" s="42"/>
      <c r="AD617" s="42"/>
      <c r="AE617" s="195"/>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c r="BM617" s="42"/>
      <c r="BN617" s="42"/>
      <c r="BO617" s="42"/>
      <c r="BP617" s="42"/>
      <c r="BQ617" s="42"/>
      <c r="BR617" s="42"/>
      <c r="BS617" s="42"/>
      <c r="BT617" s="42"/>
      <c r="BU617" s="42"/>
      <c r="BV617" s="42"/>
      <c r="BW617" s="42"/>
      <c r="BX617" s="42"/>
      <c r="BY617" s="42"/>
      <c r="BZ617" s="42"/>
      <c r="CA617" s="42"/>
      <c r="CB617" s="42"/>
      <c r="CC617" s="42"/>
      <c r="CD617" s="42"/>
      <c r="CE617" s="42"/>
      <c r="CF617" s="42"/>
      <c r="CG617" s="42"/>
      <c r="CH617" s="42"/>
      <c r="CI617" s="42"/>
      <c r="CJ617" s="42"/>
      <c r="CK617" s="42"/>
      <c r="CL617" s="42"/>
      <c r="CM617" s="42"/>
      <c r="CN617" s="42"/>
      <c r="CO617" s="42"/>
      <c r="CP617" s="42"/>
      <c r="CQ617" s="42"/>
      <c r="CR617" s="42"/>
      <c r="CS617" s="42"/>
      <c r="CT617" s="42"/>
      <c r="CU617" s="42"/>
      <c r="CV617" s="42"/>
      <c r="CW617" s="42"/>
      <c r="CX617" s="42"/>
      <c r="CY617" s="42"/>
      <c r="CZ617" s="42"/>
      <c r="DA617" s="42"/>
      <c r="DB617" s="42"/>
      <c r="DC617" s="42"/>
      <c r="DD617" s="42"/>
      <c r="DE617" s="42"/>
      <c r="DF617" s="42"/>
      <c r="DG617" s="42"/>
      <c r="DH617" s="42"/>
      <c r="DI617" s="42"/>
      <c r="DJ617" s="42"/>
      <c r="DK617" s="42"/>
      <c r="DL617" s="42"/>
      <c r="DM617" s="42"/>
      <c r="DN617" s="42"/>
      <c r="DO617" s="42"/>
      <c r="DP617" s="42"/>
      <c r="DQ617" s="42"/>
      <c r="DR617" s="42"/>
      <c r="DS617" s="42"/>
      <c r="DT617" s="42"/>
      <c r="DU617" s="42"/>
      <c r="DV617" s="42"/>
      <c r="DW617" s="42"/>
      <c r="DX617" s="42"/>
      <c r="DY617" s="42"/>
      <c r="DZ617" s="42"/>
      <c r="EA617" s="42"/>
      <c r="EB617" s="42"/>
      <c r="EC617" s="42"/>
      <c r="ED617" s="42"/>
      <c r="EE617" s="42"/>
      <c r="EF617" s="42"/>
      <c r="EG617" s="42"/>
      <c r="EH617" s="42"/>
      <c r="EI617" s="42"/>
      <c r="EJ617" s="42"/>
      <c r="EK617" s="42"/>
      <c r="EL617" s="42"/>
      <c r="EM617" s="42"/>
      <c r="EN617" s="42"/>
      <c r="EO617" s="42"/>
      <c r="EP617" s="42"/>
      <c r="EQ617" s="42"/>
      <c r="ER617" s="42"/>
      <c r="ES617" s="42"/>
      <c r="ET617" s="42"/>
      <c r="EU617" s="42"/>
      <c r="EV617" s="42"/>
      <c r="EW617" s="42"/>
      <c r="EX617" s="42"/>
      <c r="EY617" s="42"/>
      <c r="EZ617" s="42"/>
      <c r="FA617" s="42"/>
      <c r="FB617" s="42"/>
      <c r="FC617" s="42"/>
      <c r="FD617" s="42"/>
      <c r="FE617" s="42"/>
      <c r="FF617" s="42"/>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row>
    <row r="618" spans="1:256" ht="13.8" x14ac:dyDescent="0.3">
      <c r="A618" s="42"/>
      <c r="B618" s="42"/>
      <c r="C618" s="42"/>
      <c r="D618" s="42"/>
      <c r="E618" s="42"/>
      <c r="F618" s="42"/>
      <c r="G618" s="42"/>
      <c r="H618" s="42"/>
      <c r="I618" s="42"/>
      <c r="J618" s="42"/>
      <c r="K618" s="42"/>
      <c r="L618" s="42"/>
      <c r="M618" s="42"/>
      <c r="N618" s="42"/>
      <c r="O618" s="42"/>
      <c r="P618" s="42"/>
      <c r="Q618" s="42"/>
      <c r="R618" s="42"/>
      <c r="S618" s="42"/>
      <c r="T618" s="42"/>
      <c r="U618" s="194"/>
      <c r="V618" s="42"/>
      <c r="W618" s="42"/>
      <c r="X618" s="42"/>
      <c r="Y618" s="42"/>
      <c r="Z618" s="42"/>
      <c r="AA618" s="42"/>
      <c r="AB618" s="195"/>
      <c r="AC618" s="42"/>
      <c r="AD618" s="42"/>
      <c r="AE618" s="195"/>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c r="BM618" s="42"/>
      <c r="BN618" s="42"/>
      <c r="BO618" s="42"/>
      <c r="BP618" s="42"/>
      <c r="BQ618" s="42"/>
      <c r="BR618" s="42"/>
      <c r="BS618" s="42"/>
      <c r="BT618" s="42"/>
      <c r="BU618" s="42"/>
      <c r="BV618" s="42"/>
      <c r="BW618" s="42"/>
      <c r="BX618" s="42"/>
      <c r="BY618" s="42"/>
      <c r="BZ618" s="42"/>
      <c r="CA618" s="42"/>
      <c r="CB618" s="42"/>
      <c r="CC618" s="42"/>
      <c r="CD618" s="42"/>
      <c r="CE618" s="42"/>
      <c r="CF618" s="42"/>
      <c r="CG618" s="42"/>
      <c r="CH618" s="42"/>
      <c r="CI618" s="42"/>
      <c r="CJ618" s="42"/>
      <c r="CK618" s="42"/>
      <c r="CL618" s="42"/>
      <c r="CM618" s="42"/>
      <c r="CN618" s="42"/>
      <c r="CO618" s="42"/>
      <c r="CP618" s="42"/>
      <c r="CQ618" s="42"/>
      <c r="CR618" s="42"/>
      <c r="CS618" s="42"/>
      <c r="CT618" s="42"/>
      <c r="CU618" s="42"/>
      <c r="CV618" s="42"/>
      <c r="CW618" s="42"/>
      <c r="CX618" s="42"/>
      <c r="CY618" s="42"/>
      <c r="CZ618" s="42"/>
      <c r="DA618" s="42"/>
      <c r="DB618" s="42"/>
      <c r="DC618" s="42"/>
      <c r="DD618" s="42"/>
      <c r="DE618" s="42"/>
      <c r="DF618" s="42"/>
      <c r="DG618" s="42"/>
      <c r="DH618" s="42"/>
      <c r="DI618" s="42"/>
      <c r="DJ618" s="42"/>
      <c r="DK618" s="42"/>
      <c r="DL618" s="42"/>
      <c r="DM618" s="42"/>
      <c r="DN618" s="42"/>
      <c r="DO618" s="42"/>
      <c r="DP618" s="42"/>
      <c r="DQ618" s="42"/>
      <c r="DR618" s="42"/>
      <c r="DS618" s="42"/>
      <c r="DT618" s="42"/>
      <c r="DU618" s="42"/>
      <c r="DV618" s="42"/>
      <c r="DW618" s="42"/>
      <c r="DX618" s="42"/>
      <c r="DY618" s="42"/>
      <c r="DZ618" s="42"/>
      <c r="EA618" s="42"/>
      <c r="EB618" s="42"/>
      <c r="EC618" s="42"/>
      <c r="ED618" s="42"/>
      <c r="EE618" s="42"/>
      <c r="EF618" s="42"/>
      <c r="EG618" s="42"/>
      <c r="EH618" s="42"/>
      <c r="EI618" s="42"/>
      <c r="EJ618" s="42"/>
      <c r="EK618" s="42"/>
      <c r="EL618" s="42"/>
      <c r="EM618" s="42"/>
      <c r="EN618" s="42"/>
      <c r="EO618" s="42"/>
      <c r="EP618" s="42"/>
      <c r="EQ618" s="42"/>
      <c r="ER618" s="42"/>
      <c r="ES618" s="42"/>
      <c r="ET618" s="42"/>
      <c r="EU618" s="42"/>
      <c r="EV618" s="42"/>
      <c r="EW618" s="42"/>
      <c r="EX618" s="42"/>
      <c r="EY618" s="42"/>
      <c r="EZ618" s="42"/>
      <c r="FA618" s="42"/>
      <c r="FB618" s="42"/>
      <c r="FC618" s="42"/>
      <c r="FD618" s="42"/>
      <c r="FE618" s="42"/>
      <c r="FF618" s="42"/>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row>
    <row r="619" spans="1:256" ht="13.8" x14ac:dyDescent="0.3">
      <c r="A619" s="42"/>
      <c r="B619" s="42"/>
      <c r="C619" s="42"/>
      <c r="D619" s="42"/>
      <c r="E619" s="42"/>
      <c r="F619" s="42"/>
      <c r="G619" s="42"/>
      <c r="H619" s="42"/>
      <c r="I619" s="42"/>
      <c r="J619" s="42"/>
      <c r="K619" s="42"/>
      <c r="L619" s="42"/>
      <c r="M619" s="42"/>
      <c r="N619" s="42"/>
      <c r="O619" s="42"/>
      <c r="P619" s="42"/>
      <c r="Q619" s="42"/>
      <c r="R619" s="42"/>
      <c r="S619" s="42"/>
      <c r="T619" s="42"/>
      <c r="U619" s="194"/>
      <c r="V619" s="42"/>
      <c r="W619" s="42"/>
      <c r="X619" s="42"/>
      <c r="Y619" s="42"/>
      <c r="Z619" s="42"/>
      <c r="AA619" s="42"/>
      <c r="AB619" s="195"/>
      <c r="AC619" s="42"/>
      <c r="AD619" s="42"/>
      <c r="AE619" s="195"/>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c r="BM619" s="42"/>
      <c r="BN619" s="42"/>
      <c r="BO619" s="42"/>
      <c r="BP619" s="42"/>
      <c r="BQ619" s="42"/>
      <c r="BR619" s="42"/>
      <c r="BS619" s="42"/>
      <c r="BT619" s="42"/>
      <c r="BU619" s="42"/>
      <c r="BV619" s="42"/>
      <c r="BW619" s="42"/>
      <c r="BX619" s="42"/>
      <c r="BY619" s="42"/>
      <c r="BZ619" s="42"/>
      <c r="CA619" s="42"/>
      <c r="CB619" s="42"/>
      <c r="CC619" s="42"/>
      <c r="CD619" s="42"/>
      <c r="CE619" s="42"/>
      <c r="CF619" s="42"/>
      <c r="CG619" s="42"/>
      <c r="CH619" s="42"/>
      <c r="CI619" s="42"/>
      <c r="CJ619" s="42"/>
      <c r="CK619" s="42"/>
      <c r="CL619" s="42"/>
      <c r="CM619" s="42"/>
      <c r="CN619" s="42"/>
      <c r="CO619" s="42"/>
      <c r="CP619" s="42"/>
      <c r="CQ619" s="42"/>
      <c r="CR619" s="42"/>
      <c r="CS619" s="42"/>
      <c r="CT619" s="42"/>
      <c r="CU619" s="42"/>
      <c r="CV619" s="42"/>
      <c r="CW619" s="42"/>
      <c r="CX619" s="42"/>
      <c r="CY619" s="42"/>
      <c r="CZ619" s="42"/>
      <c r="DA619" s="42"/>
      <c r="DB619" s="42"/>
      <c r="DC619" s="42"/>
      <c r="DD619" s="42"/>
      <c r="DE619" s="42"/>
      <c r="DF619" s="42"/>
      <c r="DG619" s="42"/>
      <c r="DH619" s="42"/>
      <c r="DI619" s="42"/>
      <c r="DJ619" s="42"/>
      <c r="DK619" s="42"/>
      <c r="DL619" s="42"/>
      <c r="DM619" s="42"/>
      <c r="DN619" s="42"/>
      <c r="DO619" s="42"/>
      <c r="DP619" s="42"/>
      <c r="DQ619" s="42"/>
      <c r="DR619" s="42"/>
      <c r="DS619" s="42"/>
      <c r="DT619" s="42"/>
      <c r="DU619" s="42"/>
      <c r="DV619" s="42"/>
      <c r="DW619" s="42"/>
      <c r="DX619" s="42"/>
      <c r="DY619" s="42"/>
      <c r="DZ619" s="42"/>
      <c r="EA619" s="42"/>
      <c r="EB619" s="42"/>
      <c r="EC619" s="42"/>
      <c r="ED619" s="42"/>
      <c r="EE619" s="42"/>
      <c r="EF619" s="42"/>
      <c r="EG619" s="42"/>
      <c r="EH619" s="42"/>
      <c r="EI619" s="42"/>
      <c r="EJ619" s="42"/>
      <c r="EK619" s="42"/>
      <c r="EL619" s="42"/>
      <c r="EM619" s="42"/>
      <c r="EN619" s="42"/>
      <c r="EO619" s="42"/>
      <c r="EP619" s="42"/>
      <c r="EQ619" s="42"/>
      <c r="ER619" s="42"/>
      <c r="ES619" s="42"/>
      <c r="ET619" s="42"/>
      <c r="EU619" s="42"/>
      <c r="EV619" s="42"/>
      <c r="EW619" s="42"/>
      <c r="EX619" s="42"/>
      <c r="EY619" s="42"/>
      <c r="EZ619" s="42"/>
      <c r="FA619" s="42"/>
      <c r="FB619" s="42"/>
      <c r="FC619" s="42"/>
      <c r="FD619" s="42"/>
      <c r="FE619" s="42"/>
      <c r="FF619" s="42"/>
      <c r="FG619" s="42"/>
      <c r="FH619" s="42"/>
      <c r="FI619" s="42"/>
      <c r="FJ619" s="42"/>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row>
    <row r="620" spans="1:256" ht="13.8" x14ac:dyDescent="0.3">
      <c r="A620" s="42"/>
      <c r="B620" s="42"/>
      <c r="C620" s="42"/>
      <c r="D620" s="42"/>
      <c r="E620" s="42"/>
      <c r="F620" s="42"/>
      <c r="G620" s="42"/>
      <c r="H620" s="42"/>
      <c r="I620" s="42"/>
      <c r="J620" s="42"/>
      <c r="K620" s="42"/>
      <c r="L620" s="42"/>
      <c r="M620" s="42"/>
      <c r="N620" s="42"/>
      <c r="O620" s="42"/>
      <c r="P620" s="42"/>
      <c r="Q620" s="42"/>
      <c r="R620" s="42"/>
      <c r="S620" s="42"/>
      <c r="T620" s="42"/>
      <c r="U620" s="194"/>
      <c r="V620" s="42"/>
      <c r="W620" s="42"/>
      <c r="X620" s="42"/>
      <c r="Y620" s="42"/>
      <c r="Z620" s="42"/>
      <c r="AA620" s="42"/>
      <c r="AB620" s="195"/>
      <c r="AC620" s="42"/>
      <c r="AD620" s="42"/>
      <c r="AE620" s="195"/>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c r="BM620" s="42"/>
      <c r="BN620" s="42"/>
      <c r="BO620" s="42"/>
      <c r="BP620" s="42"/>
      <c r="BQ620" s="42"/>
      <c r="BR620" s="42"/>
      <c r="BS620" s="42"/>
      <c r="BT620" s="42"/>
      <c r="BU620" s="42"/>
      <c r="BV620" s="42"/>
      <c r="BW620" s="42"/>
      <c r="BX620" s="42"/>
      <c r="BY620" s="42"/>
      <c r="BZ620" s="42"/>
      <c r="CA620" s="42"/>
      <c r="CB620" s="42"/>
      <c r="CC620" s="42"/>
      <c r="CD620" s="42"/>
      <c r="CE620" s="42"/>
      <c r="CF620" s="42"/>
      <c r="CG620" s="42"/>
      <c r="CH620" s="42"/>
      <c r="CI620" s="42"/>
      <c r="CJ620" s="42"/>
      <c r="CK620" s="42"/>
      <c r="CL620" s="42"/>
      <c r="CM620" s="42"/>
      <c r="CN620" s="42"/>
      <c r="CO620" s="42"/>
      <c r="CP620" s="42"/>
      <c r="CQ620" s="42"/>
      <c r="CR620" s="42"/>
      <c r="CS620" s="42"/>
      <c r="CT620" s="42"/>
      <c r="CU620" s="42"/>
      <c r="CV620" s="42"/>
      <c r="CW620" s="42"/>
      <c r="CX620" s="42"/>
      <c r="CY620" s="42"/>
      <c r="CZ620" s="42"/>
      <c r="DA620" s="42"/>
      <c r="DB620" s="42"/>
      <c r="DC620" s="42"/>
      <c r="DD620" s="42"/>
      <c r="DE620" s="42"/>
      <c r="DF620" s="42"/>
      <c r="DG620" s="42"/>
      <c r="DH620" s="42"/>
      <c r="DI620" s="42"/>
      <c r="DJ620" s="42"/>
      <c r="DK620" s="42"/>
      <c r="DL620" s="42"/>
      <c r="DM620" s="42"/>
      <c r="DN620" s="42"/>
      <c r="DO620" s="42"/>
      <c r="DP620" s="42"/>
      <c r="DQ620" s="42"/>
      <c r="DR620" s="42"/>
      <c r="DS620" s="42"/>
      <c r="DT620" s="42"/>
      <c r="DU620" s="42"/>
      <c r="DV620" s="42"/>
      <c r="DW620" s="42"/>
      <c r="DX620" s="42"/>
      <c r="DY620" s="42"/>
      <c r="DZ620" s="42"/>
      <c r="EA620" s="42"/>
      <c r="EB620" s="42"/>
      <c r="EC620" s="42"/>
      <c r="ED620" s="42"/>
      <c r="EE620" s="42"/>
      <c r="EF620" s="42"/>
      <c r="EG620" s="42"/>
      <c r="EH620" s="42"/>
      <c r="EI620" s="42"/>
      <c r="EJ620" s="42"/>
      <c r="EK620" s="42"/>
      <c r="EL620" s="42"/>
      <c r="EM620" s="42"/>
      <c r="EN620" s="42"/>
      <c r="EO620" s="42"/>
      <c r="EP620" s="42"/>
      <c r="EQ620" s="42"/>
      <c r="ER620" s="42"/>
      <c r="ES620" s="42"/>
      <c r="ET620" s="42"/>
      <c r="EU620" s="42"/>
      <c r="EV620" s="42"/>
      <c r="EW620" s="42"/>
      <c r="EX620" s="42"/>
      <c r="EY620" s="42"/>
      <c r="EZ620" s="42"/>
      <c r="FA620" s="42"/>
      <c r="FB620" s="42"/>
      <c r="FC620" s="42"/>
      <c r="FD620" s="42"/>
      <c r="FE620" s="42"/>
      <c r="FF620" s="42"/>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row>
    <row r="621" spans="1:256" ht="13.8" x14ac:dyDescent="0.3">
      <c r="A621" s="42"/>
      <c r="B621" s="42"/>
      <c r="C621" s="42"/>
      <c r="D621" s="42"/>
      <c r="E621" s="42"/>
      <c r="F621" s="42"/>
      <c r="G621" s="42"/>
      <c r="H621" s="42"/>
      <c r="I621" s="42"/>
      <c r="J621" s="42"/>
      <c r="K621" s="42"/>
      <c r="L621" s="42"/>
      <c r="M621" s="42"/>
      <c r="N621" s="42"/>
      <c r="O621" s="42"/>
      <c r="P621" s="42"/>
      <c r="Q621" s="42"/>
      <c r="R621" s="42"/>
      <c r="S621" s="42"/>
      <c r="T621" s="42"/>
      <c r="U621" s="194"/>
      <c r="V621" s="42"/>
      <c r="W621" s="42"/>
      <c r="X621" s="42"/>
      <c r="Y621" s="42"/>
      <c r="Z621" s="42"/>
      <c r="AA621" s="42"/>
      <c r="AB621" s="195"/>
      <c r="AC621" s="42"/>
      <c r="AD621" s="42"/>
      <c r="AE621" s="195"/>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c r="BM621" s="42"/>
      <c r="BN621" s="42"/>
      <c r="BO621" s="42"/>
      <c r="BP621" s="42"/>
      <c r="BQ621" s="42"/>
      <c r="BR621" s="42"/>
      <c r="BS621" s="42"/>
      <c r="BT621" s="42"/>
      <c r="BU621" s="42"/>
      <c r="BV621" s="42"/>
      <c r="BW621" s="42"/>
      <c r="BX621" s="42"/>
      <c r="BY621" s="42"/>
      <c r="BZ621" s="42"/>
      <c r="CA621" s="42"/>
      <c r="CB621" s="42"/>
      <c r="CC621" s="42"/>
      <c r="CD621" s="42"/>
      <c r="CE621" s="42"/>
      <c r="CF621" s="42"/>
      <c r="CG621" s="42"/>
      <c r="CH621" s="42"/>
      <c r="CI621" s="42"/>
      <c r="CJ621" s="42"/>
      <c r="CK621" s="42"/>
      <c r="CL621" s="42"/>
      <c r="CM621" s="42"/>
      <c r="CN621" s="42"/>
      <c r="CO621" s="42"/>
      <c r="CP621" s="42"/>
      <c r="CQ621" s="42"/>
      <c r="CR621" s="42"/>
      <c r="CS621" s="42"/>
      <c r="CT621" s="42"/>
      <c r="CU621" s="42"/>
      <c r="CV621" s="42"/>
      <c r="CW621" s="42"/>
      <c r="CX621" s="42"/>
      <c r="CY621" s="42"/>
      <c r="CZ621" s="42"/>
      <c r="DA621" s="42"/>
      <c r="DB621" s="42"/>
      <c r="DC621" s="42"/>
      <c r="DD621" s="42"/>
      <c r="DE621" s="42"/>
      <c r="DF621" s="42"/>
      <c r="DG621" s="42"/>
      <c r="DH621" s="42"/>
      <c r="DI621" s="42"/>
      <c r="DJ621" s="42"/>
      <c r="DK621" s="42"/>
      <c r="DL621" s="42"/>
      <c r="DM621" s="42"/>
      <c r="DN621" s="42"/>
      <c r="DO621" s="42"/>
      <c r="DP621" s="42"/>
      <c r="DQ621" s="42"/>
      <c r="DR621" s="42"/>
      <c r="DS621" s="42"/>
      <c r="DT621" s="42"/>
      <c r="DU621" s="42"/>
      <c r="DV621" s="42"/>
      <c r="DW621" s="42"/>
      <c r="DX621" s="42"/>
      <c r="DY621" s="42"/>
      <c r="DZ621" s="42"/>
      <c r="EA621" s="42"/>
      <c r="EB621" s="42"/>
      <c r="EC621" s="42"/>
      <c r="ED621" s="42"/>
      <c r="EE621" s="42"/>
      <c r="EF621" s="42"/>
      <c r="EG621" s="42"/>
      <c r="EH621" s="42"/>
      <c r="EI621" s="42"/>
      <c r="EJ621" s="42"/>
      <c r="EK621" s="42"/>
      <c r="EL621" s="42"/>
      <c r="EM621" s="42"/>
      <c r="EN621" s="42"/>
      <c r="EO621" s="42"/>
      <c r="EP621" s="42"/>
      <c r="EQ621" s="42"/>
      <c r="ER621" s="42"/>
      <c r="ES621" s="42"/>
      <c r="ET621" s="42"/>
      <c r="EU621" s="42"/>
      <c r="EV621" s="42"/>
      <c r="EW621" s="42"/>
      <c r="EX621" s="42"/>
      <c r="EY621" s="42"/>
      <c r="EZ621" s="42"/>
      <c r="FA621" s="42"/>
      <c r="FB621" s="42"/>
      <c r="FC621" s="42"/>
      <c r="FD621" s="42"/>
      <c r="FE621" s="42"/>
      <c r="FF621" s="42"/>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row>
    <row r="622" spans="1:256" ht="13.8" x14ac:dyDescent="0.3">
      <c r="A622" s="42"/>
      <c r="B622" s="42"/>
      <c r="C622" s="42"/>
      <c r="D622" s="42"/>
      <c r="E622" s="42"/>
      <c r="F622" s="42"/>
      <c r="G622" s="42"/>
      <c r="H622" s="42"/>
      <c r="I622" s="42"/>
      <c r="J622" s="42"/>
      <c r="K622" s="42"/>
      <c r="L622" s="42"/>
      <c r="M622" s="42"/>
      <c r="N622" s="42"/>
      <c r="O622" s="42"/>
      <c r="P622" s="42"/>
      <c r="Q622" s="42"/>
      <c r="R622" s="42"/>
      <c r="S622" s="42"/>
      <c r="T622" s="42"/>
      <c r="U622" s="194"/>
      <c r="V622" s="42"/>
      <c r="W622" s="42"/>
      <c r="X622" s="42"/>
      <c r="Y622" s="42"/>
      <c r="Z622" s="42"/>
      <c r="AA622" s="42"/>
      <c r="AB622" s="195"/>
      <c r="AC622" s="42"/>
      <c r="AD622" s="42"/>
      <c r="AE622" s="195"/>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c r="BM622" s="42"/>
      <c r="BN622" s="42"/>
      <c r="BO622" s="42"/>
      <c r="BP622" s="42"/>
      <c r="BQ622" s="42"/>
      <c r="BR622" s="42"/>
      <c r="BS622" s="42"/>
      <c r="BT622" s="42"/>
      <c r="BU622" s="42"/>
      <c r="BV622" s="42"/>
      <c r="BW622" s="42"/>
      <c r="BX622" s="42"/>
      <c r="BY622" s="42"/>
      <c r="BZ622" s="42"/>
      <c r="CA622" s="42"/>
      <c r="CB622" s="42"/>
      <c r="CC622" s="42"/>
      <c r="CD622" s="42"/>
      <c r="CE622" s="42"/>
      <c r="CF622" s="42"/>
      <c r="CG622" s="42"/>
      <c r="CH622" s="42"/>
      <c r="CI622" s="42"/>
      <c r="CJ622" s="42"/>
      <c r="CK622" s="42"/>
      <c r="CL622" s="42"/>
      <c r="CM622" s="42"/>
      <c r="CN622" s="42"/>
      <c r="CO622" s="42"/>
      <c r="CP622" s="42"/>
      <c r="CQ622" s="42"/>
      <c r="CR622" s="42"/>
      <c r="CS622" s="42"/>
      <c r="CT622" s="42"/>
      <c r="CU622" s="42"/>
      <c r="CV622" s="42"/>
      <c r="CW622" s="42"/>
      <c r="CX622" s="42"/>
      <c r="CY622" s="42"/>
      <c r="CZ622" s="42"/>
      <c r="DA622" s="42"/>
      <c r="DB622" s="42"/>
      <c r="DC622" s="42"/>
      <c r="DD622" s="42"/>
      <c r="DE622" s="42"/>
      <c r="DF622" s="42"/>
      <c r="DG622" s="42"/>
      <c r="DH622" s="42"/>
      <c r="DI622" s="42"/>
      <c r="DJ622" s="42"/>
      <c r="DK622" s="42"/>
      <c r="DL622" s="42"/>
      <c r="DM622" s="42"/>
      <c r="DN622" s="42"/>
      <c r="DO622" s="42"/>
      <c r="DP622" s="42"/>
      <c r="DQ622" s="42"/>
      <c r="DR622" s="42"/>
      <c r="DS622" s="42"/>
      <c r="DT622" s="42"/>
      <c r="DU622" s="42"/>
      <c r="DV622" s="42"/>
      <c r="DW622" s="42"/>
      <c r="DX622" s="42"/>
      <c r="DY622" s="42"/>
      <c r="DZ622" s="42"/>
      <c r="EA622" s="42"/>
      <c r="EB622" s="42"/>
      <c r="EC622" s="42"/>
      <c r="ED622" s="42"/>
      <c r="EE622" s="42"/>
      <c r="EF622" s="42"/>
      <c r="EG622" s="42"/>
      <c r="EH622" s="42"/>
      <c r="EI622" s="42"/>
      <c r="EJ622" s="42"/>
      <c r="EK622" s="42"/>
      <c r="EL622" s="42"/>
      <c r="EM622" s="42"/>
      <c r="EN622" s="42"/>
      <c r="EO622" s="42"/>
      <c r="EP622" s="42"/>
      <c r="EQ622" s="42"/>
      <c r="ER622" s="42"/>
      <c r="ES622" s="42"/>
      <c r="ET622" s="42"/>
      <c r="EU622" s="42"/>
      <c r="EV622" s="42"/>
      <c r="EW622" s="42"/>
      <c r="EX622" s="42"/>
      <c r="EY622" s="42"/>
      <c r="EZ622" s="42"/>
      <c r="FA622" s="42"/>
      <c r="FB622" s="42"/>
      <c r="FC622" s="42"/>
      <c r="FD622" s="42"/>
      <c r="FE622" s="42"/>
      <c r="FF622" s="42"/>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row>
    <row r="623" spans="1:256" ht="13.8" x14ac:dyDescent="0.3">
      <c r="A623" s="42"/>
      <c r="B623" s="42"/>
      <c r="C623" s="42"/>
      <c r="D623" s="42"/>
      <c r="E623" s="42"/>
      <c r="F623" s="42"/>
      <c r="G623" s="42"/>
      <c r="H623" s="42"/>
      <c r="I623" s="42"/>
      <c r="J623" s="42"/>
      <c r="K623" s="42"/>
      <c r="L623" s="42"/>
      <c r="M623" s="42"/>
      <c r="N623" s="42"/>
      <c r="O623" s="42"/>
      <c r="P623" s="42"/>
      <c r="Q623" s="42"/>
      <c r="R623" s="42"/>
      <c r="S623" s="42"/>
      <c r="T623" s="42"/>
      <c r="U623" s="194"/>
      <c r="V623" s="42"/>
      <c r="W623" s="42"/>
      <c r="X623" s="42"/>
      <c r="Y623" s="42"/>
      <c r="Z623" s="42"/>
      <c r="AA623" s="42"/>
      <c r="AB623" s="195"/>
      <c r="AC623" s="42"/>
      <c r="AD623" s="42"/>
      <c r="AE623" s="195"/>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c r="BM623" s="42"/>
      <c r="BN623" s="42"/>
      <c r="BO623" s="42"/>
      <c r="BP623" s="42"/>
      <c r="BQ623" s="42"/>
      <c r="BR623" s="42"/>
      <c r="BS623" s="42"/>
      <c r="BT623" s="42"/>
      <c r="BU623" s="42"/>
      <c r="BV623" s="42"/>
      <c r="BW623" s="42"/>
      <c r="BX623" s="42"/>
      <c r="BY623" s="42"/>
      <c r="BZ623" s="42"/>
      <c r="CA623" s="42"/>
      <c r="CB623" s="42"/>
      <c r="CC623" s="42"/>
      <c r="CD623" s="42"/>
      <c r="CE623" s="42"/>
      <c r="CF623" s="42"/>
      <c r="CG623" s="42"/>
      <c r="CH623" s="42"/>
      <c r="CI623" s="42"/>
      <c r="CJ623" s="42"/>
      <c r="CK623" s="42"/>
      <c r="CL623" s="42"/>
      <c r="CM623" s="42"/>
      <c r="CN623" s="42"/>
      <c r="CO623" s="42"/>
      <c r="CP623" s="42"/>
      <c r="CQ623" s="42"/>
      <c r="CR623" s="42"/>
      <c r="CS623" s="42"/>
      <c r="CT623" s="42"/>
      <c r="CU623" s="42"/>
      <c r="CV623" s="42"/>
      <c r="CW623" s="42"/>
      <c r="CX623" s="42"/>
      <c r="CY623" s="42"/>
      <c r="CZ623" s="42"/>
      <c r="DA623" s="42"/>
      <c r="DB623" s="42"/>
      <c r="DC623" s="42"/>
      <c r="DD623" s="42"/>
      <c r="DE623" s="42"/>
      <c r="DF623" s="42"/>
      <c r="DG623" s="42"/>
      <c r="DH623" s="42"/>
      <c r="DI623" s="42"/>
      <c r="DJ623" s="42"/>
      <c r="DK623" s="42"/>
      <c r="DL623" s="42"/>
      <c r="DM623" s="42"/>
      <c r="DN623" s="42"/>
      <c r="DO623" s="42"/>
      <c r="DP623" s="42"/>
      <c r="DQ623" s="42"/>
      <c r="DR623" s="42"/>
      <c r="DS623" s="42"/>
      <c r="DT623" s="42"/>
      <c r="DU623" s="42"/>
      <c r="DV623" s="42"/>
      <c r="DW623" s="42"/>
      <c r="DX623" s="42"/>
      <c r="DY623" s="42"/>
      <c r="DZ623" s="42"/>
      <c r="EA623" s="42"/>
      <c r="EB623" s="42"/>
      <c r="EC623" s="42"/>
      <c r="ED623" s="42"/>
      <c r="EE623" s="42"/>
      <c r="EF623" s="42"/>
      <c r="EG623" s="42"/>
      <c r="EH623" s="42"/>
      <c r="EI623" s="42"/>
      <c r="EJ623" s="42"/>
      <c r="EK623" s="42"/>
      <c r="EL623" s="42"/>
      <c r="EM623" s="42"/>
      <c r="EN623" s="42"/>
      <c r="EO623" s="42"/>
      <c r="EP623" s="42"/>
      <c r="EQ623" s="42"/>
      <c r="ER623" s="42"/>
      <c r="ES623" s="42"/>
      <c r="ET623" s="42"/>
      <c r="EU623" s="42"/>
      <c r="EV623" s="42"/>
      <c r="EW623" s="42"/>
      <c r="EX623" s="42"/>
      <c r="EY623" s="42"/>
      <c r="EZ623" s="42"/>
      <c r="FA623" s="42"/>
      <c r="FB623" s="42"/>
      <c r="FC623" s="42"/>
      <c r="FD623" s="42"/>
      <c r="FE623" s="42"/>
      <c r="FF623" s="42"/>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row>
    <row r="624" spans="1:256" ht="13.8" x14ac:dyDescent="0.3">
      <c r="A624" s="42"/>
      <c r="B624" s="42"/>
      <c r="C624" s="42"/>
      <c r="D624" s="42"/>
      <c r="E624" s="42"/>
      <c r="F624" s="42"/>
      <c r="G624" s="42"/>
      <c r="H624" s="42"/>
      <c r="I624" s="42"/>
      <c r="J624" s="42"/>
      <c r="K624" s="42"/>
      <c r="L624" s="42"/>
      <c r="M624" s="42"/>
      <c r="N624" s="42"/>
      <c r="O624" s="42"/>
      <c r="P624" s="42"/>
      <c r="Q624" s="42"/>
      <c r="R624" s="42"/>
      <c r="S624" s="42"/>
      <c r="T624" s="42"/>
      <c r="U624" s="194"/>
      <c r="V624" s="42"/>
      <c r="W624" s="42"/>
      <c r="X624" s="42"/>
      <c r="Y624" s="42"/>
      <c r="Z624" s="42"/>
      <c r="AA624" s="42"/>
      <c r="AB624" s="195"/>
      <c r="AC624" s="42"/>
      <c r="AD624" s="42"/>
      <c r="AE624" s="195"/>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c r="BM624" s="42"/>
      <c r="BN624" s="42"/>
      <c r="BO624" s="42"/>
      <c r="BP624" s="42"/>
      <c r="BQ624" s="42"/>
      <c r="BR624" s="42"/>
      <c r="BS624" s="42"/>
      <c r="BT624" s="42"/>
      <c r="BU624" s="42"/>
      <c r="BV624" s="42"/>
      <c r="BW624" s="42"/>
      <c r="BX624" s="42"/>
      <c r="BY624" s="42"/>
      <c r="BZ624" s="42"/>
      <c r="CA624" s="42"/>
      <c r="CB624" s="42"/>
      <c r="CC624" s="42"/>
      <c r="CD624" s="42"/>
      <c r="CE624" s="42"/>
      <c r="CF624" s="42"/>
      <c r="CG624" s="42"/>
      <c r="CH624" s="42"/>
      <c r="CI624" s="42"/>
      <c r="CJ624" s="42"/>
      <c r="CK624" s="42"/>
      <c r="CL624" s="42"/>
      <c r="CM624" s="42"/>
      <c r="CN624" s="42"/>
      <c r="CO624" s="42"/>
      <c r="CP624" s="42"/>
      <c r="CQ624" s="42"/>
      <c r="CR624" s="42"/>
      <c r="CS624" s="42"/>
      <c r="CT624" s="42"/>
      <c r="CU624" s="42"/>
      <c r="CV624" s="42"/>
      <c r="CW624" s="42"/>
      <c r="CX624" s="42"/>
      <c r="CY624" s="42"/>
      <c r="CZ624" s="42"/>
      <c r="DA624" s="42"/>
      <c r="DB624" s="42"/>
      <c r="DC624" s="42"/>
      <c r="DD624" s="42"/>
      <c r="DE624" s="42"/>
      <c r="DF624" s="42"/>
      <c r="DG624" s="42"/>
      <c r="DH624" s="42"/>
      <c r="DI624" s="42"/>
      <c r="DJ624" s="42"/>
      <c r="DK624" s="42"/>
      <c r="DL624" s="42"/>
      <c r="DM624" s="42"/>
      <c r="DN624" s="42"/>
      <c r="DO624" s="42"/>
      <c r="DP624" s="42"/>
      <c r="DQ624" s="42"/>
      <c r="DR624" s="42"/>
      <c r="DS624" s="42"/>
      <c r="DT624" s="42"/>
      <c r="DU624" s="42"/>
      <c r="DV624" s="42"/>
      <c r="DW624" s="42"/>
      <c r="DX624" s="42"/>
      <c r="DY624" s="42"/>
      <c r="DZ624" s="42"/>
      <c r="EA624" s="42"/>
      <c r="EB624" s="42"/>
      <c r="EC624" s="42"/>
      <c r="ED624" s="42"/>
      <c r="EE624" s="42"/>
      <c r="EF624" s="42"/>
      <c r="EG624" s="42"/>
      <c r="EH624" s="42"/>
      <c r="EI624" s="42"/>
      <c r="EJ624" s="42"/>
      <c r="EK624" s="42"/>
      <c r="EL624" s="42"/>
      <c r="EM624" s="42"/>
      <c r="EN624" s="42"/>
      <c r="EO624" s="42"/>
      <c r="EP624" s="42"/>
      <c r="EQ624" s="42"/>
      <c r="ER624" s="42"/>
      <c r="ES624" s="42"/>
      <c r="ET624" s="42"/>
      <c r="EU624" s="42"/>
      <c r="EV624" s="42"/>
      <c r="EW624" s="42"/>
      <c r="EX624" s="42"/>
      <c r="EY624" s="42"/>
      <c r="EZ624" s="42"/>
      <c r="FA624" s="42"/>
      <c r="FB624" s="42"/>
      <c r="FC624" s="42"/>
      <c r="FD624" s="42"/>
      <c r="FE624" s="42"/>
      <c r="FF624" s="42"/>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row>
    <row r="625" spans="1:256" ht="13.8" x14ac:dyDescent="0.3">
      <c r="A625" s="42"/>
      <c r="B625" s="42"/>
      <c r="C625" s="42"/>
      <c r="D625" s="42"/>
      <c r="E625" s="42"/>
      <c r="F625" s="42"/>
      <c r="G625" s="42"/>
      <c r="H625" s="42"/>
      <c r="I625" s="42"/>
      <c r="J625" s="42"/>
      <c r="K625" s="42"/>
      <c r="L625" s="42"/>
      <c r="M625" s="42"/>
      <c r="N625" s="42"/>
      <c r="O625" s="42"/>
      <c r="P625" s="42"/>
      <c r="Q625" s="42"/>
      <c r="R625" s="42"/>
      <c r="S625" s="42"/>
      <c r="T625" s="42"/>
      <c r="U625" s="194"/>
      <c r="V625" s="42"/>
      <c r="W625" s="42"/>
      <c r="X625" s="42"/>
      <c r="Y625" s="42"/>
      <c r="Z625" s="42"/>
      <c r="AA625" s="42"/>
      <c r="AB625" s="195"/>
      <c r="AC625" s="42"/>
      <c r="AD625" s="42"/>
      <c r="AE625" s="195"/>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c r="BM625" s="42"/>
      <c r="BN625" s="42"/>
      <c r="BO625" s="42"/>
      <c r="BP625" s="42"/>
      <c r="BQ625" s="42"/>
      <c r="BR625" s="42"/>
      <c r="BS625" s="42"/>
      <c r="BT625" s="42"/>
      <c r="BU625" s="42"/>
      <c r="BV625" s="42"/>
      <c r="BW625" s="42"/>
      <c r="BX625" s="42"/>
      <c r="BY625" s="42"/>
      <c r="BZ625" s="42"/>
      <c r="CA625" s="42"/>
      <c r="CB625" s="42"/>
      <c r="CC625" s="42"/>
      <c r="CD625" s="42"/>
      <c r="CE625" s="42"/>
      <c r="CF625" s="42"/>
      <c r="CG625" s="42"/>
      <c r="CH625" s="42"/>
      <c r="CI625" s="42"/>
      <c r="CJ625" s="42"/>
      <c r="CK625" s="42"/>
      <c r="CL625" s="42"/>
      <c r="CM625" s="42"/>
      <c r="CN625" s="42"/>
      <c r="CO625" s="42"/>
      <c r="CP625" s="42"/>
      <c r="CQ625" s="42"/>
      <c r="CR625" s="42"/>
      <c r="CS625" s="42"/>
      <c r="CT625" s="42"/>
      <c r="CU625" s="42"/>
      <c r="CV625" s="42"/>
      <c r="CW625" s="42"/>
      <c r="CX625" s="42"/>
      <c r="CY625" s="42"/>
      <c r="CZ625" s="42"/>
      <c r="DA625" s="42"/>
      <c r="DB625" s="42"/>
      <c r="DC625" s="42"/>
      <c r="DD625" s="42"/>
      <c r="DE625" s="42"/>
      <c r="DF625" s="42"/>
      <c r="DG625" s="42"/>
      <c r="DH625" s="42"/>
      <c r="DI625" s="42"/>
      <c r="DJ625" s="42"/>
      <c r="DK625" s="42"/>
      <c r="DL625" s="42"/>
      <c r="DM625" s="42"/>
      <c r="DN625" s="42"/>
      <c r="DO625" s="42"/>
      <c r="DP625" s="42"/>
      <c r="DQ625" s="42"/>
      <c r="DR625" s="42"/>
      <c r="DS625" s="42"/>
      <c r="DT625" s="42"/>
      <c r="DU625" s="42"/>
      <c r="DV625" s="42"/>
      <c r="DW625" s="42"/>
      <c r="DX625" s="42"/>
      <c r="DY625" s="42"/>
      <c r="DZ625" s="42"/>
      <c r="EA625" s="42"/>
      <c r="EB625" s="42"/>
      <c r="EC625" s="42"/>
      <c r="ED625" s="42"/>
      <c r="EE625" s="42"/>
      <c r="EF625" s="42"/>
      <c r="EG625" s="42"/>
      <c r="EH625" s="42"/>
      <c r="EI625" s="42"/>
      <c r="EJ625" s="42"/>
      <c r="EK625" s="42"/>
      <c r="EL625" s="42"/>
      <c r="EM625" s="42"/>
      <c r="EN625" s="42"/>
      <c r="EO625" s="42"/>
      <c r="EP625" s="42"/>
      <c r="EQ625" s="42"/>
      <c r="ER625" s="42"/>
      <c r="ES625" s="42"/>
      <c r="ET625" s="42"/>
      <c r="EU625" s="42"/>
      <c r="EV625" s="42"/>
      <c r="EW625" s="42"/>
      <c r="EX625" s="42"/>
      <c r="EY625" s="42"/>
      <c r="EZ625" s="42"/>
      <c r="FA625" s="42"/>
      <c r="FB625" s="42"/>
      <c r="FC625" s="42"/>
      <c r="FD625" s="42"/>
      <c r="FE625" s="42"/>
      <c r="FF625" s="42"/>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row>
    <row r="626" spans="1:256" ht="13.8" x14ac:dyDescent="0.3">
      <c r="A626" s="42"/>
      <c r="B626" s="42"/>
      <c r="C626" s="42"/>
      <c r="D626" s="42"/>
      <c r="E626" s="42"/>
      <c r="F626" s="42"/>
      <c r="G626" s="42"/>
      <c r="H626" s="42"/>
      <c r="I626" s="42"/>
      <c r="J626" s="42"/>
      <c r="K626" s="42"/>
      <c r="L626" s="42"/>
      <c r="M626" s="42"/>
      <c r="N626" s="42"/>
      <c r="O626" s="42"/>
      <c r="P626" s="42"/>
      <c r="Q626" s="42"/>
      <c r="R626" s="42"/>
      <c r="S626" s="42"/>
      <c r="T626" s="42"/>
      <c r="U626" s="194"/>
      <c r="V626" s="42"/>
      <c r="W626" s="42"/>
      <c r="X626" s="42"/>
      <c r="Y626" s="42"/>
      <c r="Z626" s="42"/>
      <c r="AA626" s="42"/>
      <c r="AB626" s="195"/>
      <c r="AC626" s="42"/>
      <c r="AD626" s="42"/>
      <c r="AE626" s="195"/>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c r="BM626" s="42"/>
      <c r="BN626" s="42"/>
      <c r="BO626" s="42"/>
      <c r="BP626" s="42"/>
      <c r="BQ626" s="42"/>
      <c r="BR626" s="42"/>
      <c r="BS626" s="42"/>
      <c r="BT626" s="42"/>
      <c r="BU626" s="42"/>
      <c r="BV626" s="42"/>
      <c r="BW626" s="42"/>
      <c r="BX626" s="42"/>
      <c r="BY626" s="42"/>
      <c r="BZ626" s="42"/>
      <c r="CA626" s="42"/>
      <c r="CB626" s="42"/>
      <c r="CC626" s="42"/>
      <c r="CD626" s="42"/>
      <c r="CE626" s="42"/>
      <c r="CF626" s="42"/>
      <c r="CG626" s="42"/>
      <c r="CH626" s="42"/>
      <c r="CI626" s="42"/>
      <c r="CJ626" s="42"/>
      <c r="CK626" s="42"/>
      <c r="CL626" s="42"/>
      <c r="CM626" s="42"/>
      <c r="CN626" s="42"/>
      <c r="CO626" s="42"/>
      <c r="CP626" s="42"/>
      <c r="CQ626" s="42"/>
      <c r="CR626" s="42"/>
      <c r="CS626" s="42"/>
      <c r="CT626" s="42"/>
      <c r="CU626" s="42"/>
      <c r="CV626" s="42"/>
      <c r="CW626" s="42"/>
      <c r="CX626" s="42"/>
      <c r="CY626" s="42"/>
      <c r="CZ626" s="42"/>
      <c r="DA626" s="42"/>
      <c r="DB626" s="42"/>
      <c r="DC626" s="42"/>
      <c r="DD626" s="42"/>
      <c r="DE626" s="42"/>
      <c r="DF626" s="42"/>
      <c r="DG626" s="42"/>
      <c r="DH626" s="42"/>
      <c r="DI626" s="42"/>
      <c r="DJ626" s="42"/>
      <c r="DK626" s="42"/>
      <c r="DL626" s="42"/>
      <c r="DM626" s="42"/>
      <c r="DN626" s="42"/>
      <c r="DO626" s="42"/>
      <c r="DP626" s="42"/>
      <c r="DQ626" s="42"/>
      <c r="DR626" s="42"/>
      <c r="DS626" s="42"/>
      <c r="DT626" s="42"/>
      <c r="DU626" s="42"/>
      <c r="DV626" s="42"/>
      <c r="DW626" s="42"/>
      <c r="DX626" s="42"/>
      <c r="DY626" s="42"/>
      <c r="DZ626" s="42"/>
      <c r="EA626" s="42"/>
      <c r="EB626" s="42"/>
      <c r="EC626" s="42"/>
      <c r="ED626" s="42"/>
      <c r="EE626" s="42"/>
      <c r="EF626" s="42"/>
      <c r="EG626" s="42"/>
      <c r="EH626" s="42"/>
      <c r="EI626" s="42"/>
      <c r="EJ626" s="42"/>
      <c r="EK626" s="42"/>
      <c r="EL626" s="42"/>
      <c r="EM626" s="42"/>
      <c r="EN626" s="42"/>
      <c r="EO626" s="42"/>
      <c r="EP626" s="42"/>
      <c r="EQ626" s="42"/>
      <c r="ER626" s="42"/>
      <c r="ES626" s="42"/>
      <c r="ET626" s="42"/>
      <c r="EU626" s="42"/>
      <c r="EV626" s="42"/>
      <c r="EW626" s="42"/>
      <c r="EX626" s="42"/>
      <c r="EY626" s="42"/>
      <c r="EZ626" s="42"/>
      <c r="FA626" s="42"/>
      <c r="FB626" s="42"/>
      <c r="FC626" s="42"/>
      <c r="FD626" s="42"/>
      <c r="FE626" s="42"/>
      <c r="FF626" s="42"/>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row>
    <row r="627" spans="1:256" ht="13.8" x14ac:dyDescent="0.3">
      <c r="A627" s="42"/>
      <c r="B627" s="42"/>
      <c r="C627" s="42"/>
      <c r="D627" s="42"/>
      <c r="E627" s="42"/>
      <c r="F627" s="42"/>
      <c r="G627" s="42"/>
      <c r="H627" s="42"/>
      <c r="I627" s="42"/>
      <c r="J627" s="42"/>
      <c r="K627" s="42"/>
      <c r="L627" s="42"/>
      <c r="M627" s="42"/>
      <c r="N627" s="42"/>
      <c r="O627" s="42"/>
      <c r="P627" s="42"/>
      <c r="Q627" s="42"/>
      <c r="R627" s="42"/>
      <c r="S627" s="42"/>
      <c r="T627" s="42"/>
      <c r="U627" s="194"/>
      <c r="V627" s="42"/>
      <c r="W627" s="42"/>
      <c r="X627" s="42"/>
      <c r="Y627" s="42"/>
      <c r="Z627" s="42"/>
      <c r="AA627" s="42"/>
      <c r="AB627" s="195"/>
      <c r="AC627" s="42"/>
      <c r="AD627" s="42"/>
      <c r="AE627" s="195"/>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c r="BM627" s="42"/>
      <c r="BN627" s="42"/>
      <c r="BO627" s="42"/>
      <c r="BP627" s="42"/>
      <c r="BQ627" s="42"/>
      <c r="BR627" s="42"/>
      <c r="BS627" s="42"/>
      <c r="BT627" s="42"/>
      <c r="BU627" s="42"/>
      <c r="BV627" s="42"/>
      <c r="BW627" s="42"/>
      <c r="BX627" s="42"/>
      <c r="BY627" s="42"/>
      <c r="BZ627" s="42"/>
      <c r="CA627" s="42"/>
      <c r="CB627" s="42"/>
      <c r="CC627" s="42"/>
      <c r="CD627" s="42"/>
      <c r="CE627" s="42"/>
      <c r="CF627" s="42"/>
      <c r="CG627" s="42"/>
      <c r="CH627" s="42"/>
      <c r="CI627" s="42"/>
      <c r="CJ627" s="42"/>
      <c r="CK627" s="42"/>
      <c r="CL627" s="42"/>
      <c r="CM627" s="42"/>
      <c r="CN627" s="42"/>
      <c r="CO627" s="42"/>
      <c r="CP627" s="42"/>
      <c r="CQ627" s="42"/>
      <c r="CR627" s="42"/>
      <c r="CS627" s="42"/>
      <c r="CT627" s="42"/>
      <c r="CU627" s="42"/>
      <c r="CV627" s="42"/>
      <c r="CW627" s="42"/>
      <c r="CX627" s="42"/>
      <c r="CY627" s="42"/>
      <c r="CZ627" s="42"/>
      <c r="DA627" s="42"/>
      <c r="DB627" s="42"/>
      <c r="DC627" s="42"/>
      <c r="DD627" s="42"/>
      <c r="DE627" s="42"/>
      <c r="DF627" s="42"/>
      <c r="DG627" s="42"/>
      <c r="DH627" s="42"/>
      <c r="DI627" s="42"/>
      <c r="DJ627" s="42"/>
      <c r="DK627" s="42"/>
      <c r="DL627" s="42"/>
      <c r="DM627" s="42"/>
      <c r="DN627" s="42"/>
      <c r="DO627" s="42"/>
      <c r="DP627" s="42"/>
      <c r="DQ627" s="42"/>
      <c r="DR627" s="42"/>
      <c r="DS627" s="42"/>
      <c r="DT627" s="42"/>
      <c r="DU627" s="42"/>
      <c r="DV627" s="42"/>
      <c r="DW627" s="42"/>
      <c r="DX627" s="42"/>
      <c r="DY627" s="42"/>
      <c r="DZ627" s="42"/>
      <c r="EA627" s="42"/>
      <c r="EB627" s="42"/>
      <c r="EC627" s="42"/>
      <c r="ED627" s="42"/>
      <c r="EE627" s="42"/>
      <c r="EF627" s="42"/>
      <c r="EG627" s="42"/>
      <c r="EH627" s="42"/>
      <c r="EI627" s="42"/>
      <c r="EJ627" s="42"/>
      <c r="EK627" s="42"/>
      <c r="EL627" s="42"/>
      <c r="EM627" s="42"/>
      <c r="EN627" s="42"/>
      <c r="EO627" s="42"/>
      <c r="EP627" s="42"/>
      <c r="EQ627" s="42"/>
      <c r="ER627" s="42"/>
      <c r="ES627" s="42"/>
      <c r="ET627" s="42"/>
      <c r="EU627" s="42"/>
      <c r="EV627" s="42"/>
      <c r="EW627" s="42"/>
      <c r="EX627" s="42"/>
      <c r="EY627" s="42"/>
      <c r="EZ627" s="42"/>
      <c r="FA627" s="42"/>
      <c r="FB627" s="42"/>
      <c r="FC627" s="42"/>
      <c r="FD627" s="42"/>
      <c r="FE627" s="42"/>
      <c r="FF627" s="42"/>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row>
    <row r="628" spans="1:256" ht="13.8" x14ac:dyDescent="0.3">
      <c r="A628" s="42"/>
      <c r="B628" s="42"/>
      <c r="C628" s="42"/>
      <c r="D628" s="42"/>
      <c r="E628" s="42"/>
      <c r="F628" s="42"/>
      <c r="G628" s="42"/>
      <c r="H628" s="42"/>
      <c r="I628" s="42"/>
      <c r="J628" s="42"/>
      <c r="K628" s="42"/>
      <c r="L628" s="42"/>
      <c r="M628" s="42"/>
      <c r="N628" s="42"/>
      <c r="O628" s="42"/>
      <c r="P628" s="42"/>
      <c r="Q628" s="42"/>
      <c r="R628" s="42"/>
      <c r="S628" s="42"/>
      <c r="T628" s="42"/>
      <c r="U628" s="194"/>
      <c r="V628" s="42"/>
      <c r="W628" s="42"/>
      <c r="X628" s="42"/>
      <c r="Y628" s="42"/>
      <c r="Z628" s="42"/>
      <c r="AA628" s="42"/>
      <c r="AB628" s="195"/>
      <c r="AC628" s="42"/>
      <c r="AD628" s="42"/>
      <c r="AE628" s="195"/>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c r="BM628" s="42"/>
      <c r="BN628" s="42"/>
      <c r="BO628" s="42"/>
      <c r="BP628" s="42"/>
      <c r="BQ628" s="42"/>
      <c r="BR628" s="42"/>
      <c r="BS628" s="42"/>
      <c r="BT628" s="42"/>
      <c r="BU628" s="42"/>
      <c r="BV628" s="42"/>
      <c r="BW628" s="42"/>
      <c r="BX628" s="42"/>
      <c r="BY628" s="42"/>
      <c r="BZ628" s="42"/>
      <c r="CA628" s="42"/>
      <c r="CB628" s="42"/>
      <c r="CC628" s="42"/>
      <c r="CD628" s="42"/>
      <c r="CE628" s="42"/>
      <c r="CF628" s="42"/>
      <c r="CG628" s="42"/>
      <c r="CH628" s="42"/>
      <c r="CI628" s="42"/>
      <c r="CJ628" s="42"/>
      <c r="CK628" s="42"/>
      <c r="CL628" s="42"/>
      <c r="CM628" s="42"/>
      <c r="CN628" s="42"/>
      <c r="CO628" s="42"/>
      <c r="CP628" s="42"/>
      <c r="CQ628" s="42"/>
      <c r="CR628" s="42"/>
      <c r="CS628" s="42"/>
      <c r="CT628" s="42"/>
      <c r="CU628" s="42"/>
      <c r="CV628" s="42"/>
      <c r="CW628" s="42"/>
      <c r="CX628" s="42"/>
      <c r="CY628" s="42"/>
      <c r="CZ628" s="42"/>
      <c r="DA628" s="42"/>
      <c r="DB628" s="42"/>
      <c r="DC628" s="42"/>
      <c r="DD628" s="42"/>
      <c r="DE628" s="42"/>
      <c r="DF628" s="42"/>
      <c r="DG628" s="42"/>
      <c r="DH628" s="42"/>
      <c r="DI628" s="42"/>
      <c r="DJ628" s="42"/>
      <c r="DK628" s="42"/>
      <c r="DL628" s="42"/>
      <c r="DM628" s="42"/>
      <c r="DN628" s="42"/>
      <c r="DO628" s="42"/>
      <c r="DP628" s="42"/>
      <c r="DQ628" s="42"/>
      <c r="DR628" s="42"/>
      <c r="DS628" s="42"/>
      <c r="DT628" s="42"/>
      <c r="DU628" s="42"/>
      <c r="DV628" s="42"/>
      <c r="DW628" s="42"/>
      <c r="DX628" s="42"/>
      <c r="DY628" s="42"/>
      <c r="DZ628" s="42"/>
      <c r="EA628" s="42"/>
      <c r="EB628" s="42"/>
      <c r="EC628" s="42"/>
      <c r="ED628" s="42"/>
      <c r="EE628" s="42"/>
      <c r="EF628" s="42"/>
      <c r="EG628" s="42"/>
      <c r="EH628" s="42"/>
      <c r="EI628" s="42"/>
      <c r="EJ628" s="42"/>
      <c r="EK628" s="42"/>
      <c r="EL628" s="42"/>
      <c r="EM628" s="42"/>
      <c r="EN628" s="42"/>
      <c r="EO628" s="42"/>
      <c r="EP628" s="42"/>
      <c r="EQ628" s="42"/>
      <c r="ER628" s="42"/>
      <c r="ES628" s="42"/>
      <c r="ET628" s="42"/>
      <c r="EU628" s="42"/>
      <c r="EV628" s="42"/>
      <c r="EW628" s="42"/>
      <c r="EX628" s="42"/>
      <c r="EY628" s="42"/>
      <c r="EZ628" s="42"/>
      <c r="FA628" s="42"/>
      <c r="FB628" s="42"/>
      <c r="FC628" s="42"/>
      <c r="FD628" s="42"/>
      <c r="FE628" s="42"/>
      <c r="FF628" s="42"/>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row>
    <row r="629" spans="1:256" ht="13.8" x14ac:dyDescent="0.3">
      <c r="A629" s="42"/>
      <c r="B629" s="42"/>
      <c r="C629" s="42"/>
      <c r="D629" s="42"/>
      <c r="E629" s="42"/>
      <c r="F629" s="42"/>
      <c r="G629" s="42"/>
      <c r="H629" s="42"/>
      <c r="I629" s="42"/>
      <c r="J629" s="42"/>
      <c r="K629" s="42"/>
      <c r="L629" s="42"/>
      <c r="M629" s="42"/>
      <c r="N629" s="42"/>
      <c r="O629" s="42"/>
      <c r="P629" s="42"/>
      <c r="Q629" s="42"/>
      <c r="R629" s="42"/>
      <c r="S629" s="42"/>
      <c r="T629" s="42"/>
      <c r="U629" s="194"/>
      <c r="V629" s="42"/>
      <c r="W629" s="42"/>
      <c r="X629" s="42"/>
      <c r="Y629" s="42"/>
      <c r="Z629" s="42"/>
      <c r="AA629" s="42"/>
      <c r="AB629" s="195"/>
      <c r="AC629" s="42"/>
      <c r="AD629" s="42"/>
      <c r="AE629" s="195"/>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c r="BM629" s="42"/>
      <c r="BN629" s="42"/>
      <c r="BO629" s="42"/>
      <c r="BP629" s="42"/>
      <c r="BQ629" s="42"/>
      <c r="BR629" s="42"/>
      <c r="BS629" s="42"/>
      <c r="BT629" s="42"/>
      <c r="BU629" s="42"/>
      <c r="BV629" s="42"/>
      <c r="BW629" s="42"/>
      <c r="BX629" s="42"/>
      <c r="BY629" s="42"/>
      <c r="BZ629" s="42"/>
      <c r="CA629" s="42"/>
      <c r="CB629" s="42"/>
      <c r="CC629" s="42"/>
      <c r="CD629" s="42"/>
      <c r="CE629" s="42"/>
      <c r="CF629" s="42"/>
      <c r="CG629" s="42"/>
      <c r="CH629" s="42"/>
      <c r="CI629" s="42"/>
      <c r="CJ629" s="42"/>
      <c r="CK629" s="42"/>
      <c r="CL629" s="42"/>
      <c r="CM629" s="42"/>
      <c r="CN629" s="42"/>
      <c r="CO629" s="42"/>
      <c r="CP629" s="42"/>
      <c r="CQ629" s="42"/>
      <c r="CR629" s="42"/>
      <c r="CS629" s="42"/>
      <c r="CT629" s="42"/>
      <c r="CU629" s="42"/>
      <c r="CV629" s="42"/>
      <c r="CW629" s="42"/>
      <c r="CX629" s="42"/>
      <c r="CY629" s="42"/>
      <c r="CZ629" s="42"/>
      <c r="DA629" s="42"/>
      <c r="DB629" s="42"/>
      <c r="DC629" s="42"/>
      <c r="DD629" s="42"/>
      <c r="DE629" s="42"/>
      <c r="DF629" s="42"/>
      <c r="DG629" s="42"/>
      <c r="DH629" s="42"/>
      <c r="DI629" s="42"/>
      <c r="DJ629" s="42"/>
      <c r="DK629" s="42"/>
      <c r="DL629" s="42"/>
      <c r="DM629" s="42"/>
      <c r="DN629" s="42"/>
      <c r="DO629" s="42"/>
      <c r="DP629" s="42"/>
      <c r="DQ629" s="42"/>
      <c r="DR629" s="42"/>
      <c r="DS629" s="42"/>
      <c r="DT629" s="42"/>
      <c r="DU629" s="42"/>
      <c r="DV629" s="42"/>
      <c r="DW629" s="42"/>
      <c r="DX629" s="42"/>
      <c r="DY629" s="42"/>
      <c r="DZ629" s="42"/>
      <c r="EA629" s="42"/>
      <c r="EB629" s="42"/>
      <c r="EC629" s="42"/>
      <c r="ED629" s="42"/>
      <c r="EE629" s="42"/>
      <c r="EF629" s="42"/>
      <c r="EG629" s="42"/>
      <c r="EH629" s="42"/>
      <c r="EI629" s="42"/>
      <c r="EJ629" s="42"/>
      <c r="EK629" s="42"/>
      <c r="EL629" s="42"/>
      <c r="EM629" s="42"/>
      <c r="EN629" s="42"/>
      <c r="EO629" s="42"/>
      <c r="EP629" s="42"/>
      <c r="EQ629" s="42"/>
      <c r="ER629" s="42"/>
      <c r="ES629" s="42"/>
      <c r="ET629" s="42"/>
      <c r="EU629" s="42"/>
      <c r="EV629" s="42"/>
      <c r="EW629" s="42"/>
      <c r="EX629" s="42"/>
      <c r="EY629" s="42"/>
      <c r="EZ629" s="42"/>
      <c r="FA629" s="42"/>
      <c r="FB629" s="42"/>
      <c r="FC629" s="42"/>
      <c r="FD629" s="42"/>
      <c r="FE629" s="42"/>
      <c r="FF629" s="42"/>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row>
    <row r="630" spans="1:256" ht="13.8" x14ac:dyDescent="0.3">
      <c r="A630" s="42"/>
      <c r="B630" s="42"/>
      <c r="C630" s="42"/>
      <c r="D630" s="42"/>
      <c r="E630" s="42"/>
      <c r="F630" s="42"/>
      <c r="G630" s="42"/>
      <c r="H630" s="42"/>
      <c r="I630" s="42"/>
      <c r="J630" s="42"/>
      <c r="K630" s="42"/>
      <c r="L630" s="42"/>
      <c r="M630" s="42"/>
      <c r="N630" s="42"/>
      <c r="O630" s="42"/>
      <c r="P630" s="42"/>
      <c r="Q630" s="42"/>
      <c r="R630" s="42"/>
      <c r="S630" s="42"/>
      <c r="T630" s="42"/>
      <c r="U630" s="194"/>
      <c r="V630" s="42"/>
      <c r="W630" s="42"/>
      <c r="X630" s="42"/>
      <c r="Y630" s="42"/>
      <c r="Z630" s="42"/>
      <c r="AA630" s="42"/>
      <c r="AB630" s="195"/>
      <c r="AC630" s="42"/>
      <c r="AD630" s="42"/>
      <c r="AE630" s="195"/>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c r="BM630" s="42"/>
      <c r="BN630" s="42"/>
      <c r="BO630" s="42"/>
      <c r="BP630" s="42"/>
      <c r="BQ630" s="42"/>
      <c r="BR630" s="42"/>
      <c r="BS630" s="42"/>
      <c r="BT630" s="42"/>
      <c r="BU630" s="42"/>
      <c r="BV630" s="42"/>
      <c r="BW630" s="42"/>
      <c r="BX630" s="42"/>
      <c r="BY630" s="42"/>
      <c r="BZ630" s="42"/>
      <c r="CA630" s="42"/>
      <c r="CB630" s="42"/>
      <c r="CC630" s="42"/>
      <c r="CD630" s="42"/>
      <c r="CE630" s="42"/>
      <c r="CF630" s="42"/>
      <c r="CG630" s="42"/>
      <c r="CH630" s="42"/>
      <c r="CI630" s="42"/>
      <c r="CJ630" s="42"/>
      <c r="CK630" s="42"/>
      <c r="CL630" s="42"/>
      <c r="CM630" s="42"/>
      <c r="CN630" s="42"/>
      <c r="CO630" s="42"/>
      <c r="CP630" s="42"/>
      <c r="CQ630" s="42"/>
      <c r="CR630" s="42"/>
      <c r="CS630" s="42"/>
      <c r="CT630" s="42"/>
      <c r="CU630" s="42"/>
      <c r="CV630" s="42"/>
      <c r="CW630" s="42"/>
      <c r="CX630" s="42"/>
      <c r="CY630" s="42"/>
      <c r="CZ630" s="42"/>
      <c r="DA630" s="42"/>
      <c r="DB630" s="42"/>
      <c r="DC630" s="42"/>
      <c r="DD630" s="42"/>
      <c r="DE630" s="42"/>
      <c r="DF630" s="42"/>
      <c r="DG630" s="42"/>
      <c r="DH630" s="42"/>
      <c r="DI630" s="42"/>
      <c r="DJ630" s="42"/>
      <c r="DK630" s="42"/>
      <c r="DL630" s="42"/>
      <c r="DM630" s="42"/>
      <c r="DN630" s="42"/>
      <c r="DO630" s="42"/>
      <c r="DP630" s="42"/>
      <c r="DQ630" s="42"/>
      <c r="DR630" s="42"/>
      <c r="DS630" s="42"/>
      <c r="DT630" s="42"/>
      <c r="DU630" s="42"/>
      <c r="DV630" s="42"/>
      <c r="DW630" s="42"/>
      <c r="DX630" s="42"/>
      <c r="DY630" s="42"/>
      <c r="DZ630" s="42"/>
      <c r="EA630" s="42"/>
      <c r="EB630" s="42"/>
      <c r="EC630" s="42"/>
      <c r="ED630" s="42"/>
      <c r="EE630" s="42"/>
      <c r="EF630" s="42"/>
      <c r="EG630" s="42"/>
      <c r="EH630" s="42"/>
      <c r="EI630" s="42"/>
      <c r="EJ630" s="42"/>
      <c r="EK630" s="42"/>
      <c r="EL630" s="42"/>
      <c r="EM630" s="42"/>
      <c r="EN630" s="42"/>
      <c r="EO630" s="42"/>
      <c r="EP630" s="42"/>
      <c r="EQ630" s="42"/>
      <c r="ER630" s="42"/>
      <c r="ES630" s="42"/>
      <c r="ET630" s="42"/>
      <c r="EU630" s="42"/>
      <c r="EV630" s="42"/>
      <c r="EW630" s="42"/>
      <c r="EX630" s="42"/>
      <c r="EY630" s="42"/>
      <c r="EZ630" s="42"/>
      <c r="FA630" s="42"/>
      <c r="FB630" s="42"/>
      <c r="FC630" s="42"/>
      <c r="FD630" s="42"/>
      <c r="FE630" s="42"/>
      <c r="FF630" s="42"/>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row>
    <row r="631" spans="1:256" ht="13.8" x14ac:dyDescent="0.3">
      <c r="A631" s="42"/>
      <c r="B631" s="42"/>
      <c r="C631" s="42"/>
      <c r="D631" s="42"/>
      <c r="E631" s="42"/>
      <c r="F631" s="42"/>
      <c r="G631" s="42"/>
      <c r="H631" s="42"/>
      <c r="I631" s="42"/>
      <c r="J631" s="42"/>
      <c r="K631" s="42"/>
      <c r="L631" s="42"/>
      <c r="M631" s="42"/>
      <c r="N631" s="42"/>
      <c r="O631" s="42"/>
      <c r="P631" s="42"/>
      <c r="Q631" s="42"/>
      <c r="R631" s="42"/>
      <c r="S631" s="42"/>
      <c r="T631" s="42"/>
      <c r="U631" s="194"/>
      <c r="V631" s="42"/>
      <c r="W631" s="42"/>
      <c r="X631" s="42"/>
      <c r="Y631" s="42"/>
      <c r="Z631" s="42"/>
      <c r="AA631" s="42"/>
      <c r="AB631" s="195"/>
      <c r="AC631" s="42"/>
      <c r="AD631" s="42"/>
      <c r="AE631" s="195"/>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c r="BM631" s="42"/>
      <c r="BN631" s="42"/>
      <c r="BO631" s="42"/>
      <c r="BP631" s="42"/>
      <c r="BQ631" s="42"/>
      <c r="BR631" s="42"/>
      <c r="BS631" s="42"/>
      <c r="BT631" s="42"/>
      <c r="BU631" s="42"/>
      <c r="BV631" s="42"/>
      <c r="BW631" s="42"/>
      <c r="BX631" s="42"/>
      <c r="BY631" s="42"/>
      <c r="BZ631" s="42"/>
      <c r="CA631" s="42"/>
      <c r="CB631" s="42"/>
      <c r="CC631" s="42"/>
      <c r="CD631" s="42"/>
      <c r="CE631" s="42"/>
      <c r="CF631" s="42"/>
      <c r="CG631" s="42"/>
      <c r="CH631" s="42"/>
      <c r="CI631" s="42"/>
      <c r="CJ631" s="42"/>
      <c r="CK631" s="42"/>
      <c r="CL631" s="42"/>
      <c r="CM631" s="42"/>
      <c r="CN631" s="42"/>
      <c r="CO631" s="42"/>
      <c r="CP631" s="42"/>
      <c r="CQ631" s="42"/>
      <c r="CR631" s="42"/>
      <c r="CS631" s="42"/>
      <c r="CT631" s="42"/>
      <c r="CU631" s="42"/>
      <c r="CV631" s="42"/>
      <c r="CW631" s="42"/>
      <c r="CX631" s="42"/>
      <c r="CY631" s="42"/>
      <c r="CZ631" s="42"/>
      <c r="DA631" s="42"/>
      <c r="DB631" s="42"/>
      <c r="DC631" s="42"/>
      <c r="DD631" s="42"/>
      <c r="DE631" s="42"/>
      <c r="DF631" s="42"/>
      <c r="DG631" s="42"/>
      <c r="DH631" s="42"/>
      <c r="DI631" s="42"/>
      <c r="DJ631" s="42"/>
      <c r="DK631" s="42"/>
      <c r="DL631" s="42"/>
      <c r="DM631" s="42"/>
      <c r="DN631" s="42"/>
      <c r="DO631" s="42"/>
      <c r="DP631" s="42"/>
      <c r="DQ631" s="42"/>
      <c r="DR631" s="42"/>
      <c r="DS631" s="42"/>
      <c r="DT631" s="42"/>
      <c r="DU631" s="42"/>
      <c r="DV631" s="42"/>
      <c r="DW631" s="42"/>
      <c r="DX631" s="42"/>
      <c r="DY631" s="42"/>
      <c r="DZ631" s="42"/>
      <c r="EA631" s="42"/>
      <c r="EB631" s="42"/>
      <c r="EC631" s="42"/>
      <c r="ED631" s="42"/>
      <c r="EE631" s="42"/>
      <c r="EF631" s="42"/>
      <c r="EG631" s="42"/>
      <c r="EH631" s="42"/>
      <c r="EI631" s="42"/>
      <c r="EJ631" s="42"/>
      <c r="EK631" s="42"/>
      <c r="EL631" s="42"/>
      <c r="EM631" s="42"/>
      <c r="EN631" s="42"/>
      <c r="EO631" s="42"/>
      <c r="EP631" s="42"/>
      <c r="EQ631" s="42"/>
      <c r="ER631" s="42"/>
      <c r="ES631" s="42"/>
      <c r="ET631" s="42"/>
      <c r="EU631" s="42"/>
      <c r="EV631" s="42"/>
      <c r="EW631" s="42"/>
      <c r="EX631" s="42"/>
      <c r="EY631" s="42"/>
      <c r="EZ631" s="42"/>
      <c r="FA631" s="42"/>
      <c r="FB631" s="42"/>
      <c r="FC631" s="42"/>
      <c r="FD631" s="42"/>
      <c r="FE631" s="42"/>
      <c r="FF631" s="42"/>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row>
    <row r="632" spans="1:256" ht="13.8" x14ac:dyDescent="0.3">
      <c r="A632" s="42"/>
      <c r="B632" s="42"/>
      <c r="C632" s="42"/>
      <c r="D632" s="42"/>
      <c r="E632" s="42"/>
      <c r="F632" s="42"/>
      <c r="G632" s="42"/>
      <c r="H632" s="42"/>
      <c r="I632" s="42"/>
      <c r="J632" s="42"/>
      <c r="K632" s="42"/>
      <c r="L632" s="42"/>
      <c r="M632" s="42"/>
      <c r="N632" s="42"/>
      <c r="O632" s="42"/>
      <c r="P632" s="42"/>
      <c r="Q632" s="42"/>
      <c r="R632" s="42"/>
      <c r="S632" s="42"/>
      <c r="T632" s="42"/>
      <c r="U632" s="194"/>
      <c r="V632" s="42"/>
      <c r="W632" s="42"/>
      <c r="X632" s="42"/>
      <c r="Y632" s="42"/>
      <c r="Z632" s="42"/>
      <c r="AA632" s="42"/>
      <c r="AB632" s="195"/>
      <c r="AC632" s="42"/>
      <c r="AD632" s="42"/>
      <c r="AE632" s="195"/>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c r="BM632" s="42"/>
      <c r="BN632" s="42"/>
      <c r="BO632" s="42"/>
      <c r="BP632" s="42"/>
      <c r="BQ632" s="42"/>
      <c r="BR632" s="42"/>
      <c r="BS632" s="42"/>
      <c r="BT632" s="42"/>
      <c r="BU632" s="42"/>
      <c r="BV632" s="42"/>
      <c r="BW632" s="42"/>
      <c r="BX632" s="42"/>
      <c r="BY632" s="42"/>
      <c r="BZ632" s="42"/>
      <c r="CA632" s="42"/>
      <c r="CB632" s="42"/>
      <c r="CC632" s="42"/>
      <c r="CD632" s="42"/>
      <c r="CE632" s="42"/>
      <c r="CF632" s="42"/>
      <c r="CG632" s="42"/>
      <c r="CH632" s="42"/>
      <c r="CI632" s="42"/>
      <c r="CJ632" s="42"/>
      <c r="CK632" s="42"/>
      <c r="CL632" s="42"/>
      <c r="CM632" s="42"/>
      <c r="CN632" s="42"/>
      <c r="CO632" s="42"/>
      <c r="CP632" s="42"/>
      <c r="CQ632" s="42"/>
      <c r="CR632" s="42"/>
      <c r="CS632" s="42"/>
      <c r="CT632" s="42"/>
      <c r="CU632" s="42"/>
      <c r="CV632" s="42"/>
      <c r="CW632" s="42"/>
      <c r="CX632" s="42"/>
      <c r="CY632" s="42"/>
      <c r="CZ632" s="42"/>
      <c r="DA632" s="42"/>
      <c r="DB632" s="42"/>
      <c r="DC632" s="42"/>
      <c r="DD632" s="42"/>
      <c r="DE632" s="42"/>
      <c r="DF632" s="42"/>
      <c r="DG632" s="42"/>
      <c r="DH632" s="42"/>
      <c r="DI632" s="42"/>
      <c r="DJ632" s="42"/>
      <c r="DK632" s="42"/>
      <c r="DL632" s="42"/>
      <c r="DM632" s="42"/>
      <c r="DN632" s="42"/>
      <c r="DO632" s="42"/>
      <c r="DP632" s="42"/>
      <c r="DQ632" s="42"/>
      <c r="DR632" s="42"/>
      <c r="DS632" s="42"/>
      <c r="DT632" s="42"/>
      <c r="DU632" s="42"/>
      <c r="DV632" s="42"/>
      <c r="DW632" s="42"/>
      <c r="DX632" s="42"/>
      <c r="DY632" s="42"/>
      <c r="DZ632" s="42"/>
      <c r="EA632" s="42"/>
      <c r="EB632" s="42"/>
      <c r="EC632" s="42"/>
      <c r="ED632" s="42"/>
      <c r="EE632" s="42"/>
      <c r="EF632" s="42"/>
      <c r="EG632" s="42"/>
      <c r="EH632" s="42"/>
      <c r="EI632" s="42"/>
      <c r="EJ632" s="42"/>
      <c r="EK632" s="42"/>
      <c r="EL632" s="42"/>
      <c r="EM632" s="42"/>
      <c r="EN632" s="42"/>
      <c r="EO632" s="42"/>
      <c r="EP632" s="42"/>
      <c r="EQ632" s="42"/>
      <c r="ER632" s="42"/>
      <c r="ES632" s="42"/>
      <c r="ET632" s="42"/>
      <c r="EU632" s="42"/>
      <c r="EV632" s="42"/>
      <c r="EW632" s="42"/>
      <c r="EX632" s="42"/>
      <c r="EY632" s="42"/>
      <c r="EZ632" s="42"/>
      <c r="FA632" s="42"/>
      <c r="FB632" s="42"/>
      <c r="FC632" s="42"/>
      <c r="FD632" s="42"/>
      <c r="FE632" s="42"/>
      <c r="FF632" s="42"/>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row>
    <row r="633" spans="1:256" ht="13.8" x14ac:dyDescent="0.3">
      <c r="A633" s="42"/>
      <c r="B633" s="42"/>
      <c r="C633" s="42"/>
      <c r="D633" s="42"/>
      <c r="E633" s="42"/>
      <c r="F633" s="42"/>
      <c r="G633" s="42"/>
      <c r="H633" s="42"/>
      <c r="I633" s="42"/>
      <c r="J633" s="42"/>
      <c r="K633" s="42"/>
      <c r="L633" s="42"/>
      <c r="M633" s="42"/>
      <c r="N633" s="42"/>
      <c r="O633" s="42"/>
      <c r="P633" s="42"/>
      <c r="Q633" s="42"/>
      <c r="R633" s="42"/>
      <c r="S633" s="42"/>
      <c r="T633" s="42"/>
      <c r="U633" s="194"/>
      <c r="V633" s="42"/>
      <c r="W633" s="42"/>
      <c r="X633" s="42"/>
      <c r="Y633" s="42"/>
      <c r="Z633" s="42"/>
      <c r="AA633" s="42"/>
      <c r="AB633" s="195"/>
      <c r="AC633" s="42"/>
      <c r="AD633" s="42"/>
      <c r="AE633" s="195"/>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c r="BM633" s="42"/>
      <c r="BN633" s="42"/>
      <c r="BO633" s="42"/>
      <c r="BP633" s="42"/>
      <c r="BQ633" s="42"/>
      <c r="BR633" s="42"/>
      <c r="BS633" s="42"/>
      <c r="BT633" s="42"/>
      <c r="BU633" s="42"/>
      <c r="BV633" s="42"/>
      <c r="BW633" s="42"/>
      <c r="BX633" s="42"/>
      <c r="BY633" s="42"/>
      <c r="BZ633" s="42"/>
      <c r="CA633" s="42"/>
      <c r="CB633" s="42"/>
      <c r="CC633" s="42"/>
      <c r="CD633" s="42"/>
      <c r="CE633" s="42"/>
      <c r="CF633" s="42"/>
      <c r="CG633" s="42"/>
      <c r="CH633" s="42"/>
      <c r="CI633" s="42"/>
      <c r="CJ633" s="42"/>
      <c r="CK633" s="42"/>
      <c r="CL633" s="42"/>
      <c r="CM633" s="42"/>
      <c r="CN633" s="42"/>
      <c r="CO633" s="42"/>
      <c r="CP633" s="42"/>
      <c r="CQ633" s="42"/>
      <c r="CR633" s="42"/>
      <c r="CS633" s="42"/>
      <c r="CT633" s="42"/>
      <c r="CU633" s="42"/>
      <c r="CV633" s="42"/>
      <c r="CW633" s="42"/>
      <c r="CX633" s="42"/>
      <c r="CY633" s="42"/>
      <c r="CZ633" s="42"/>
      <c r="DA633" s="42"/>
      <c r="DB633" s="42"/>
      <c r="DC633" s="42"/>
      <c r="DD633" s="42"/>
      <c r="DE633" s="42"/>
      <c r="DF633" s="42"/>
      <c r="DG633" s="42"/>
      <c r="DH633" s="42"/>
      <c r="DI633" s="42"/>
      <c r="DJ633" s="42"/>
      <c r="DK633" s="42"/>
      <c r="DL633" s="42"/>
      <c r="DM633" s="42"/>
      <c r="DN633" s="42"/>
      <c r="DO633" s="42"/>
      <c r="DP633" s="42"/>
      <c r="DQ633" s="42"/>
      <c r="DR633" s="42"/>
      <c r="DS633" s="42"/>
      <c r="DT633" s="42"/>
      <c r="DU633" s="42"/>
      <c r="DV633" s="42"/>
      <c r="DW633" s="42"/>
      <c r="DX633" s="42"/>
      <c r="DY633" s="42"/>
      <c r="DZ633" s="42"/>
      <c r="EA633" s="42"/>
      <c r="EB633" s="42"/>
      <c r="EC633" s="42"/>
      <c r="ED633" s="42"/>
      <c r="EE633" s="42"/>
      <c r="EF633" s="42"/>
      <c r="EG633" s="42"/>
      <c r="EH633" s="42"/>
      <c r="EI633" s="42"/>
      <c r="EJ633" s="42"/>
      <c r="EK633" s="42"/>
      <c r="EL633" s="42"/>
      <c r="EM633" s="42"/>
      <c r="EN633" s="42"/>
      <c r="EO633" s="42"/>
      <c r="EP633" s="42"/>
      <c r="EQ633" s="42"/>
      <c r="ER633" s="42"/>
      <c r="ES633" s="42"/>
      <c r="ET633" s="42"/>
      <c r="EU633" s="42"/>
      <c r="EV633" s="42"/>
      <c r="EW633" s="42"/>
      <c r="EX633" s="42"/>
      <c r="EY633" s="42"/>
      <c r="EZ633" s="42"/>
      <c r="FA633" s="42"/>
      <c r="FB633" s="42"/>
      <c r="FC633" s="42"/>
      <c r="FD633" s="42"/>
      <c r="FE633" s="42"/>
      <c r="FF633" s="42"/>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row>
    <row r="634" spans="1:256" ht="13.8" x14ac:dyDescent="0.3">
      <c r="A634" s="42"/>
      <c r="B634" s="42"/>
      <c r="C634" s="42"/>
      <c r="D634" s="42"/>
      <c r="E634" s="42"/>
      <c r="F634" s="42"/>
      <c r="G634" s="42"/>
      <c r="H634" s="42"/>
      <c r="I634" s="42"/>
      <c r="J634" s="42"/>
      <c r="K634" s="42"/>
      <c r="L634" s="42"/>
      <c r="M634" s="42"/>
      <c r="N634" s="42"/>
      <c r="O634" s="42"/>
      <c r="P634" s="42"/>
      <c r="Q634" s="42"/>
      <c r="R634" s="42"/>
      <c r="S634" s="42"/>
      <c r="T634" s="42"/>
      <c r="U634" s="194"/>
      <c r="V634" s="42"/>
      <c r="W634" s="42"/>
      <c r="X634" s="42"/>
      <c r="Y634" s="42"/>
      <c r="Z634" s="42"/>
      <c r="AA634" s="42"/>
      <c r="AB634" s="195"/>
      <c r="AC634" s="42"/>
      <c r="AD634" s="42"/>
      <c r="AE634" s="195"/>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c r="BM634" s="42"/>
      <c r="BN634" s="42"/>
      <c r="BO634" s="42"/>
      <c r="BP634" s="42"/>
      <c r="BQ634" s="42"/>
      <c r="BR634" s="42"/>
      <c r="BS634" s="42"/>
      <c r="BT634" s="42"/>
      <c r="BU634" s="42"/>
      <c r="BV634" s="42"/>
      <c r="BW634" s="42"/>
      <c r="BX634" s="42"/>
      <c r="BY634" s="42"/>
      <c r="BZ634" s="42"/>
      <c r="CA634" s="42"/>
      <c r="CB634" s="42"/>
      <c r="CC634" s="42"/>
      <c r="CD634" s="42"/>
      <c r="CE634" s="42"/>
      <c r="CF634" s="42"/>
      <c r="CG634" s="42"/>
      <c r="CH634" s="42"/>
      <c r="CI634" s="42"/>
      <c r="CJ634" s="42"/>
      <c r="CK634" s="42"/>
      <c r="CL634" s="42"/>
      <c r="CM634" s="42"/>
      <c r="CN634" s="42"/>
      <c r="CO634" s="42"/>
      <c r="CP634" s="42"/>
      <c r="CQ634" s="42"/>
      <c r="CR634" s="42"/>
      <c r="CS634" s="42"/>
      <c r="CT634" s="42"/>
      <c r="CU634" s="42"/>
      <c r="CV634" s="42"/>
      <c r="CW634" s="42"/>
      <c r="CX634" s="42"/>
      <c r="CY634" s="42"/>
      <c r="CZ634" s="42"/>
      <c r="DA634" s="42"/>
      <c r="DB634" s="42"/>
      <c r="DC634" s="42"/>
      <c r="DD634" s="42"/>
      <c r="DE634" s="42"/>
      <c r="DF634" s="42"/>
      <c r="DG634" s="42"/>
      <c r="DH634" s="42"/>
      <c r="DI634" s="42"/>
      <c r="DJ634" s="42"/>
      <c r="DK634" s="42"/>
      <c r="DL634" s="42"/>
      <c r="DM634" s="42"/>
      <c r="DN634" s="42"/>
      <c r="DO634" s="42"/>
      <c r="DP634" s="42"/>
      <c r="DQ634" s="42"/>
      <c r="DR634" s="42"/>
      <c r="DS634" s="42"/>
      <c r="DT634" s="42"/>
      <c r="DU634" s="42"/>
      <c r="DV634" s="42"/>
      <c r="DW634" s="42"/>
      <c r="DX634" s="42"/>
      <c r="DY634" s="42"/>
      <c r="DZ634" s="42"/>
      <c r="EA634" s="42"/>
      <c r="EB634" s="42"/>
      <c r="EC634" s="42"/>
      <c r="ED634" s="42"/>
      <c r="EE634" s="42"/>
      <c r="EF634" s="42"/>
      <c r="EG634" s="42"/>
      <c r="EH634" s="42"/>
      <c r="EI634" s="42"/>
      <c r="EJ634" s="42"/>
      <c r="EK634" s="42"/>
      <c r="EL634" s="42"/>
      <c r="EM634" s="42"/>
      <c r="EN634" s="42"/>
      <c r="EO634" s="42"/>
      <c r="EP634" s="42"/>
      <c r="EQ634" s="42"/>
      <c r="ER634" s="42"/>
      <c r="ES634" s="42"/>
      <c r="ET634" s="42"/>
      <c r="EU634" s="42"/>
      <c r="EV634" s="42"/>
      <c r="EW634" s="42"/>
      <c r="EX634" s="42"/>
      <c r="EY634" s="42"/>
      <c r="EZ634" s="42"/>
      <c r="FA634" s="42"/>
      <c r="FB634" s="42"/>
      <c r="FC634" s="42"/>
      <c r="FD634" s="42"/>
      <c r="FE634" s="42"/>
      <c r="FF634" s="42"/>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row>
    <row r="635" spans="1:256" ht="13.8" x14ac:dyDescent="0.3">
      <c r="A635" s="42"/>
      <c r="B635" s="42"/>
      <c r="C635" s="42"/>
      <c r="D635" s="42"/>
      <c r="E635" s="42"/>
      <c r="F635" s="42"/>
      <c r="G635" s="42"/>
      <c r="H635" s="42"/>
      <c r="I635" s="42"/>
      <c r="J635" s="42"/>
      <c r="K635" s="42"/>
      <c r="L635" s="42"/>
      <c r="M635" s="42"/>
      <c r="N635" s="42"/>
      <c r="O635" s="42"/>
      <c r="P635" s="42"/>
      <c r="Q635" s="42"/>
      <c r="R635" s="42"/>
      <c r="S635" s="42"/>
      <c r="T635" s="42"/>
      <c r="U635" s="194"/>
      <c r="V635" s="42"/>
      <c r="W635" s="42"/>
      <c r="X635" s="42"/>
      <c r="Y635" s="42"/>
      <c r="Z635" s="42"/>
      <c r="AA635" s="42"/>
      <c r="AB635" s="195"/>
      <c r="AC635" s="42"/>
      <c r="AD635" s="42"/>
      <c r="AE635" s="195"/>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c r="BM635" s="42"/>
      <c r="BN635" s="42"/>
      <c r="BO635" s="42"/>
      <c r="BP635" s="42"/>
      <c r="BQ635" s="42"/>
      <c r="BR635" s="42"/>
      <c r="BS635" s="42"/>
      <c r="BT635" s="42"/>
      <c r="BU635" s="42"/>
      <c r="BV635" s="42"/>
      <c r="BW635" s="42"/>
      <c r="BX635" s="42"/>
      <c r="BY635" s="42"/>
      <c r="BZ635" s="42"/>
      <c r="CA635" s="42"/>
      <c r="CB635" s="42"/>
      <c r="CC635" s="42"/>
      <c r="CD635" s="42"/>
      <c r="CE635" s="42"/>
      <c r="CF635" s="42"/>
      <c r="CG635" s="42"/>
      <c r="CH635" s="42"/>
      <c r="CI635" s="42"/>
      <c r="CJ635" s="42"/>
      <c r="CK635" s="42"/>
      <c r="CL635" s="42"/>
      <c r="CM635" s="42"/>
      <c r="CN635" s="42"/>
      <c r="CO635" s="42"/>
      <c r="CP635" s="42"/>
      <c r="CQ635" s="42"/>
      <c r="CR635" s="42"/>
      <c r="CS635" s="42"/>
      <c r="CT635" s="42"/>
      <c r="CU635" s="42"/>
      <c r="CV635" s="42"/>
      <c r="CW635" s="42"/>
      <c r="CX635" s="42"/>
      <c r="CY635" s="42"/>
      <c r="CZ635" s="42"/>
      <c r="DA635" s="42"/>
      <c r="DB635" s="42"/>
      <c r="DC635" s="42"/>
      <c r="DD635" s="42"/>
      <c r="DE635" s="42"/>
      <c r="DF635" s="42"/>
      <c r="DG635" s="42"/>
      <c r="DH635" s="42"/>
      <c r="DI635" s="42"/>
      <c r="DJ635" s="42"/>
      <c r="DK635" s="42"/>
      <c r="DL635" s="42"/>
      <c r="DM635" s="42"/>
      <c r="DN635" s="42"/>
      <c r="DO635" s="42"/>
      <c r="DP635" s="42"/>
      <c r="DQ635" s="42"/>
      <c r="DR635" s="42"/>
      <c r="DS635" s="42"/>
      <c r="DT635" s="42"/>
      <c r="DU635" s="42"/>
      <c r="DV635" s="42"/>
      <c r="DW635" s="42"/>
      <c r="DX635" s="42"/>
      <c r="DY635" s="42"/>
      <c r="DZ635" s="42"/>
      <c r="EA635" s="42"/>
      <c r="EB635" s="42"/>
      <c r="EC635" s="42"/>
      <c r="ED635" s="42"/>
      <c r="EE635" s="42"/>
      <c r="EF635" s="42"/>
      <c r="EG635" s="42"/>
      <c r="EH635" s="42"/>
      <c r="EI635" s="42"/>
      <c r="EJ635" s="42"/>
      <c r="EK635" s="42"/>
      <c r="EL635" s="42"/>
      <c r="EM635" s="42"/>
      <c r="EN635" s="42"/>
      <c r="EO635" s="42"/>
      <c r="EP635" s="42"/>
      <c r="EQ635" s="42"/>
      <c r="ER635" s="42"/>
      <c r="ES635" s="42"/>
      <c r="ET635" s="42"/>
      <c r="EU635" s="42"/>
      <c r="EV635" s="42"/>
      <c r="EW635" s="42"/>
      <c r="EX635" s="42"/>
      <c r="EY635" s="42"/>
      <c r="EZ635" s="42"/>
      <c r="FA635" s="42"/>
      <c r="FB635" s="42"/>
      <c r="FC635" s="42"/>
      <c r="FD635" s="42"/>
      <c r="FE635" s="42"/>
      <c r="FF635" s="42"/>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row>
    <row r="636" spans="1:256" ht="13.8" x14ac:dyDescent="0.3">
      <c r="A636" s="42"/>
      <c r="B636" s="42"/>
      <c r="C636" s="42"/>
      <c r="D636" s="42"/>
      <c r="E636" s="42"/>
      <c r="F636" s="42"/>
      <c r="G636" s="42"/>
      <c r="H636" s="42"/>
      <c r="I636" s="42"/>
      <c r="J636" s="42"/>
      <c r="K636" s="42"/>
      <c r="L636" s="42"/>
      <c r="M636" s="42"/>
      <c r="N636" s="42"/>
      <c r="O636" s="42"/>
      <c r="P636" s="42"/>
      <c r="Q636" s="42"/>
      <c r="R636" s="42"/>
      <c r="S636" s="42"/>
      <c r="T636" s="42"/>
      <c r="U636" s="194"/>
      <c r="V636" s="42"/>
      <c r="W636" s="42"/>
      <c r="X636" s="42"/>
      <c r="Y636" s="42"/>
      <c r="Z636" s="42"/>
      <c r="AA636" s="42"/>
      <c r="AB636" s="195"/>
      <c r="AC636" s="42"/>
      <c r="AD636" s="42"/>
      <c r="AE636" s="195"/>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c r="BM636" s="42"/>
      <c r="BN636" s="42"/>
      <c r="BO636" s="42"/>
      <c r="BP636" s="42"/>
      <c r="BQ636" s="42"/>
      <c r="BR636" s="42"/>
      <c r="BS636" s="42"/>
      <c r="BT636" s="42"/>
      <c r="BU636" s="42"/>
      <c r="BV636" s="42"/>
      <c r="BW636" s="42"/>
      <c r="BX636" s="42"/>
      <c r="BY636" s="42"/>
      <c r="BZ636" s="42"/>
      <c r="CA636" s="42"/>
      <c r="CB636" s="42"/>
      <c r="CC636" s="42"/>
      <c r="CD636" s="42"/>
      <c r="CE636" s="42"/>
      <c r="CF636" s="42"/>
      <c r="CG636" s="42"/>
      <c r="CH636" s="42"/>
      <c r="CI636" s="42"/>
      <c r="CJ636" s="42"/>
      <c r="CK636" s="42"/>
      <c r="CL636" s="42"/>
      <c r="CM636" s="42"/>
      <c r="CN636" s="42"/>
      <c r="CO636" s="42"/>
      <c r="CP636" s="42"/>
      <c r="CQ636" s="42"/>
      <c r="CR636" s="42"/>
      <c r="CS636" s="42"/>
      <c r="CT636" s="42"/>
      <c r="CU636" s="42"/>
      <c r="CV636" s="42"/>
      <c r="CW636" s="42"/>
      <c r="CX636" s="42"/>
      <c r="CY636" s="42"/>
      <c r="CZ636" s="42"/>
      <c r="DA636" s="42"/>
      <c r="DB636" s="42"/>
      <c r="DC636" s="42"/>
      <c r="DD636" s="42"/>
      <c r="DE636" s="42"/>
      <c r="DF636" s="42"/>
      <c r="DG636" s="42"/>
      <c r="DH636" s="42"/>
      <c r="DI636" s="42"/>
      <c r="DJ636" s="42"/>
      <c r="DK636" s="42"/>
      <c r="DL636" s="42"/>
      <c r="DM636" s="42"/>
      <c r="DN636" s="42"/>
      <c r="DO636" s="42"/>
      <c r="DP636" s="42"/>
      <c r="DQ636" s="42"/>
      <c r="DR636" s="42"/>
      <c r="DS636" s="42"/>
      <c r="DT636" s="42"/>
      <c r="DU636" s="42"/>
      <c r="DV636" s="42"/>
      <c r="DW636" s="42"/>
      <c r="DX636" s="42"/>
      <c r="DY636" s="42"/>
      <c r="DZ636" s="42"/>
      <c r="EA636" s="42"/>
      <c r="EB636" s="42"/>
      <c r="EC636" s="42"/>
      <c r="ED636" s="42"/>
      <c r="EE636" s="42"/>
      <c r="EF636" s="42"/>
      <c r="EG636" s="42"/>
      <c r="EH636" s="42"/>
      <c r="EI636" s="42"/>
      <c r="EJ636" s="42"/>
      <c r="EK636" s="42"/>
      <c r="EL636" s="42"/>
      <c r="EM636" s="42"/>
      <c r="EN636" s="42"/>
      <c r="EO636" s="42"/>
      <c r="EP636" s="42"/>
      <c r="EQ636" s="42"/>
      <c r="ER636" s="42"/>
      <c r="ES636" s="42"/>
      <c r="ET636" s="42"/>
      <c r="EU636" s="42"/>
      <c r="EV636" s="42"/>
      <c r="EW636" s="42"/>
      <c r="EX636" s="42"/>
      <c r="EY636" s="42"/>
      <c r="EZ636" s="42"/>
      <c r="FA636" s="42"/>
      <c r="FB636" s="42"/>
      <c r="FC636" s="42"/>
      <c r="FD636" s="42"/>
      <c r="FE636" s="42"/>
      <c r="FF636" s="42"/>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row>
    <row r="637" spans="1:256" ht="13.8" x14ac:dyDescent="0.3">
      <c r="A637" s="42"/>
      <c r="B637" s="42"/>
      <c r="C637" s="42"/>
      <c r="D637" s="42"/>
      <c r="E637" s="42"/>
      <c r="F637" s="42"/>
      <c r="G637" s="42"/>
      <c r="H637" s="42"/>
      <c r="I637" s="42"/>
      <c r="J637" s="42"/>
      <c r="K637" s="42"/>
      <c r="L637" s="42"/>
      <c r="M637" s="42"/>
      <c r="N637" s="42"/>
      <c r="O637" s="42"/>
      <c r="P637" s="42"/>
      <c r="Q637" s="42"/>
      <c r="R637" s="42"/>
      <c r="S637" s="42"/>
      <c r="T637" s="42"/>
      <c r="U637" s="194"/>
      <c r="V637" s="42"/>
      <c r="W637" s="42"/>
      <c r="X637" s="42"/>
      <c r="Y637" s="42"/>
      <c r="Z637" s="42"/>
      <c r="AA637" s="42"/>
      <c r="AB637" s="195"/>
      <c r="AC637" s="42"/>
      <c r="AD637" s="42"/>
      <c r="AE637" s="195"/>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c r="BM637" s="42"/>
      <c r="BN637" s="42"/>
      <c r="BO637" s="42"/>
      <c r="BP637" s="42"/>
      <c r="BQ637" s="42"/>
      <c r="BR637" s="42"/>
      <c r="BS637" s="42"/>
      <c r="BT637" s="42"/>
      <c r="BU637" s="42"/>
      <c r="BV637" s="42"/>
      <c r="BW637" s="42"/>
      <c r="BX637" s="42"/>
      <c r="BY637" s="42"/>
      <c r="BZ637" s="42"/>
      <c r="CA637" s="42"/>
      <c r="CB637" s="42"/>
      <c r="CC637" s="42"/>
      <c r="CD637" s="42"/>
      <c r="CE637" s="42"/>
      <c r="CF637" s="42"/>
      <c r="CG637" s="42"/>
      <c r="CH637" s="42"/>
      <c r="CI637" s="42"/>
      <c r="CJ637" s="42"/>
      <c r="CK637" s="42"/>
      <c r="CL637" s="42"/>
      <c r="CM637" s="42"/>
      <c r="CN637" s="42"/>
      <c r="CO637" s="42"/>
      <c r="CP637" s="42"/>
      <c r="CQ637" s="42"/>
      <c r="CR637" s="42"/>
      <c r="CS637" s="42"/>
      <c r="CT637" s="42"/>
      <c r="CU637" s="42"/>
      <c r="CV637" s="42"/>
      <c r="CW637" s="42"/>
      <c r="CX637" s="42"/>
      <c r="CY637" s="42"/>
      <c r="CZ637" s="42"/>
      <c r="DA637" s="42"/>
      <c r="DB637" s="42"/>
      <c r="DC637" s="42"/>
      <c r="DD637" s="42"/>
      <c r="DE637" s="42"/>
      <c r="DF637" s="42"/>
      <c r="DG637" s="42"/>
      <c r="DH637" s="42"/>
      <c r="DI637" s="42"/>
      <c r="DJ637" s="42"/>
      <c r="DK637" s="42"/>
      <c r="DL637" s="42"/>
      <c r="DM637" s="42"/>
      <c r="DN637" s="42"/>
      <c r="DO637" s="42"/>
      <c r="DP637" s="42"/>
      <c r="DQ637" s="42"/>
      <c r="DR637" s="42"/>
      <c r="DS637" s="42"/>
      <c r="DT637" s="42"/>
      <c r="DU637" s="42"/>
      <c r="DV637" s="42"/>
      <c r="DW637" s="42"/>
      <c r="DX637" s="42"/>
      <c r="DY637" s="42"/>
      <c r="DZ637" s="42"/>
      <c r="EA637" s="42"/>
      <c r="EB637" s="42"/>
      <c r="EC637" s="42"/>
      <c r="ED637" s="42"/>
      <c r="EE637" s="42"/>
      <c r="EF637" s="42"/>
      <c r="EG637" s="42"/>
      <c r="EH637" s="42"/>
      <c r="EI637" s="42"/>
      <c r="EJ637" s="42"/>
      <c r="EK637" s="42"/>
      <c r="EL637" s="42"/>
      <c r="EM637" s="42"/>
      <c r="EN637" s="42"/>
      <c r="EO637" s="42"/>
      <c r="EP637" s="42"/>
      <c r="EQ637" s="42"/>
      <c r="ER637" s="42"/>
      <c r="ES637" s="42"/>
      <c r="ET637" s="42"/>
      <c r="EU637" s="42"/>
      <c r="EV637" s="42"/>
      <c r="EW637" s="42"/>
      <c r="EX637" s="42"/>
      <c r="EY637" s="42"/>
      <c r="EZ637" s="42"/>
      <c r="FA637" s="42"/>
      <c r="FB637" s="42"/>
      <c r="FC637" s="42"/>
      <c r="FD637" s="42"/>
      <c r="FE637" s="42"/>
      <c r="FF637" s="42"/>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row>
    <row r="638" spans="1:256" ht="13.8" x14ac:dyDescent="0.3">
      <c r="A638" s="42"/>
      <c r="B638" s="42"/>
      <c r="C638" s="42"/>
      <c r="D638" s="42"/>
      <c r="E638" s="42"/>
      <c r="F638" s="42"/>
      <c r="G638" s="42"/>
      <c r="H638" s="42"/>
      <c r="I638" s="42"/>
      <c r="J638" s="42"/>
      <c r="K638" s="42"/>
      <c r="L638" s="42"/>
      <c r="M638" s="42"/>
      <c r="N638" s="42"/>
      <c r="O638" s="42"/>
      <c r="P638" s="42"/>
      <c r="Q638" s="42"/>
      <c r="R638" s="42"/>
      <c r="S638" s="42"/>
      <c r="T638" s="42"/>
      <c r="U638" s="194"/>
      <c r="V638" s="42"/>
      <c r="W638" s="42"/>
      <c r="X638" s="42"/>
      <c r="Y638" s="42"/>
      <c r="Z638" s="42"/>
      <c r="AA638" s="42"/>
      <c r="AB638" s="195"/>
      <c r="AC638" s="42"/>
      <c r="AD638" s="42"/>
      <c r="AE638" s="195"/>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c r="BM638" s="42"/>
      <c r="BN638" s="42"/>
      <c r="BO638" s="42"/>
      <c r="BP638" s="42"/>
      <c r="BQ638" s="42"/>
      <c r="BR638" s="42"/>
      <c r="BS638" s="42"/>
      <c r="BT638" s="42"/>
      <c r="BU638" s="42"/>
      <c r="BV638" s="42"/>
      <c r="BW638" s="42"/>
      <c r="BX638" s="42"/>
      <c r="BY638" s="42"/>
      <c r="BZ638" s="42"/>
      <c r="CA638" s="42"/>
      <c r="CB638" s="42"/>
      <c r="CC638" s="42"/>
      <c r="CD638" s="42"/>
      <c r="CE638" s="42"/>
      <c r="CF638" s="42"/>
      <c r="CG638" s="42"/>
      <c r="CH638" s="42"/>
      <c r="CI638" s="42"/>
      <c r="CJ638" s="42"/>
      <c r="CK638" s="42"/>
      <c r="CL638" s="42"/>
      <c r="CM638" s="42"/>
      <c r="CN638" s="42"/>
      <c r="CO638" s="42"/>
      <c r="CP638" s="42"/>
      <c r="CQ638" s="42"/>
      <c r="CR638" s="42"/>
      <c r="CS638" s="42"/>
      <c r="CT638" s="42"/>
      <c r="CU638" s="42"/>
      <c r="CV638" s="42"/>
      <c r="CW638" s="42"/>
      <c r="CX638" s="42"/>
      <c r="CY638" s="42"/>
      <c r="CZ638" s="42"/>
      <c r="DA638" s="42"/>
      <c r="DB638" s="42"/>
      <c r="DC638" s="42"/>
      <c r="DD638" s="42"/>
      <c r="DE638" s="42"/>
      <c r="DF638" s="42"/>
      <c r="DG638" s="42"/>
      <c r="DH638" s="42"/>
      <c r="DI638" s="42"/>
      <c r="DJ638" s="42"/>
      <c r="DK638" s="42"/>
      <c r="DL638" s="42"/>
      <c r="DM638" s="42"/>
      <c r="DN638" s="42"/>
      <c r="DO638" s="42"/>
      <c r="DP638" s="42"/>
      <c r="DQ638" s="42"/>
      <c r="DR638" s="42"/>
      <c r="DS638" s="42"/>
      <c r="DT638" s="42"/>
      <c r="DU638" s="42"/>
      <c r="DV638" s="42"/>
      <c r="DW638" s="42"/>
      <c r="DX638" s="42"/>
      <c r="DY638" s="42"/>
      <c r="DZ638" s="42"/>
      <c r="EA638" s="42"/>
      <c r="EB638" s="42"/>
      <c r="EC638" s="42"/>
      <c r="ED638" s="42"/>
      <c r="EE638" s="42"/>
      <c r="EF638" s="42"/>
      <c r="EG638" s="42"/>
      <c r="EH638" s="42"/>
      <c r="EI638" s="42"/>
      <c r="EJ638" s="42"/>
      <c r="EK638" s="42"/>
      <c r="EL638" s="42"/>
      <c r="EM638" s="42"/>
      <c r="EN638" s="42"/>
      <c r="EO638" s="42"/>
      <c r="EP638" s="42"/>
      <c r="EQ638" s="42"/>
      <c r="ER638" s="42"/>
      <c r="ES638" s="42"/>
      <c r="ET638" s="42"/>
      <c r="EU638" s="42"/>
      <c r="EV638" s="42"/>
      <c r="EW638" s="42"/>
      <c r="EX638" s="42"/>
      <c r="EY638" s="42"/>
      <c r="EZ638" s="42"/>
      <c r="FA638" s="42"/>
      <c r="FB638" s="42"/>
      <c r="FC638" s="42"/>
      <c r="FD638" s="42"/>
      <c r="FE638" s="42"/>
      <c r="FF638" s="42"/>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row>
    <row r="639" spans="1:256" ht="13.8" x14ac:dyDescent="0.3">
      <c r="A639" s="42"/>
      <c r="B639" s="42"/>
      <c r="C639" s="42"/>
      <c r="D639" s="42"/>
      <c r="E639" s="42"/>
      <c r="F639" s="42"/>
      <c r="G639" s="42"/>
      <c r="H639" s="42"/>
      <c r="I639" s="42"/>
      <c r="J639" s="42"/>
      <c r="K639" s="42"/>
      <c r="L639" s="42"/>
      <c r="M639" s="42"/>
      <c r="N639" s="42"/>
      <c r="O639" s="42"/>
      <c r="P639" s="42"/>
      <c r="Q639" s="42"/>
      <c r="R639" s="42"/>
      <c r="S639" s="42"/>
      <c r="T639" s="42"/>
      <c r="U639" s="194"/>
      <c r="V639" s="42"/>
      <c r="W639" s="42"/>
      <c r="X639" s="42"/>
      <c r="Y639" s="42"/>
      <c r="Z639" s="42"/>
      <c r="AA639" s="42"/>
      <c r="AB639" s="195"/>
      <c r="AC639" s="42"/>
      <c r="AD639" s="42"/>
      <c r="AE639" s="195"/>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c r="BM639" s="42"/>
      <c r="BN639" s="42"/>
      <c r="BO639" s="42"/>
      <c r="BP639" s="42"/>
      <c r="BQ639" s="42"/>
      <c r="BR639" s="42"/>
      <c r="BS639" s="42"/>
      <c r="BT639" s="42"/>
      <c r="BU639" s="42"/>
      <c r="BV639" s="42"/>
      <c r="BW639" s="42"/>
      <c r="BX639" s="42"/>
      <c r="BY639" s="42"/>
      <c r="BZ639" s="42"/>
      <c r="CA639" s="42"/>
      <c r="CB639" s="42"/>
      <c r="CC639" s="42"/>
      <c r="CD639" s="42"/>
      <c r="CE639" s="42"/>
      <c r="CF639" s="42"/>
      <c r="CG639" s="42"/>
      <c r="CH639" s="42"/>
      <c r="CI639" s="42"/>
      <c r="CJ639" s="42"/>
      <c r="CK639" s="42"/>
      <c r="CL639" s="42"/>
      <c r="CM639" s="42"/>
      <c r="CN639" s="42"/>
      <c r="CO639" s="42"/>
      <c r="CP639" s="42"/>
      <c r="CQ639" s="42"/>
      <c r="CR639" s="42"/>
      <c r="CS639" s="42"/>
      <c r="CT639" s="42"/>
      <c r="CU639" s="42"/>
      <c r="CV639" s="42"/>
      <c r="CW639" s="42"/>
      <c r="CX639" s="42"/>
      <c r="CY639" s="42"/>
      <c r="CZ639" s="42"/>
      <c r="DA639" s="42"/>
      <c r="DB639" s="42"/>
      <c r="DC639" s="42"/>
      <c r="DD639" s="42"/>
      <c r="DE639" s="42"/>
      <c r="DF639" s="42"/>
      <c r="DG639" s="42"/>
      <c r="DH639" s="42"/>
      <c r="DI639" s="42"/>
      <c r="DJ639" s="42"/>
      <c r="DK639" s="42"/>
      <c r="DL639" s="42"/>
      <c r="DM639" s="42"/>
      <c r="DN639" s="42"/>
      <c r="DO639" s="42"/>
      <c r="DP639" s="42"/>
      <c r="DQ639" s="42"/>
      <c r="DR639" s="42"/>
      <c r="DS639" s="42"/>
      <c r="DT639" s="42"/>
      <c r="DU639" s="42"/>
      <c r="DV639" s="42"/>
      <c r="DW639" s="42"/>
      <c r="DX639" s="42"/>
      <c r="DY639" s="42"/>
      <c r="DZ639" s="42"/>
      <c r="EA639" s="42"/>
      <c r="EB639" s="42"/>
      <c r="EC639" s="42"/>
      <c r="ED639" s="42"/>
      <c r="EE639" s="42"/>
      <c r="EF639" s="42"/>
      <c r="EG639" s="42"/>
      <c r="EH639" s="42"/>
      <c r="EI639" s="42"/>
      <c r="EJ639" s="42"/>
      <c r="EK639" s="42"/>
      <c r="EL639" s="42"/>
      <c r="EM639" s="42"/>
      <c r="EN639" s="42"/>
      <c r="EO639" s="42"/>
      <c r="EP639" s="42"/>
      <c r="EQ639" s="42"/>
      <c r="ER639" s="42"/>
      <c r="ES639" s="42"/>
      <c r="ET639" s="42"/>
      <c r="EU639" s="42"/>
      <c r="EV639" s="42"/>
      <c r="EW639" s="42"/>
      <c r="EX639" s="42"/>
      <c r="EY639" s="42"/>
      <c r="EZ639" s="42"/>
      <c r="FA639" s="42"/>
      <c r="FB639" s="42"/>
      <c r="FC639" s="42"/>
      <c r="FD639" s="42"/>
      <c r="FE639" s="42"/>
      <c r="FF639" s="42"/>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row>
    <row r="640" spans="1:256" ht="13.8" x14ac:dyDescent="0.3">
      <c r="A640" s="42"/>
      <c r="B640" s="42"/>
      <c r="C640" s="42"/>
      <c r="D640" s="42"/>
      <c r="E640" s="42"/>
      <c r="F640" s="42"/>
      <c r="G640" s="42"/>
      <c r="H640" s="42"/>
      <c r="I640" s="42"/>
      <c r="J640" s="42"/>
      <c r="K640" s="42"/>
      <c r="L640" s="42"/>
      <c r="M640" s="42"/>
      <c r="N640" s="42"/>
      <c r="O640" s="42"/>
      <c r="P640" s="42"/>
      <c r="Q640" s="42"/>
      <c r="R640" s="42"/>
      <c r="S640" s="42"/>
      <c r="T640" s="42"/>
      <c r="U640" s="194"/>
      <c r="V640" s="42"/>
      <c r="W640" s="42"/>
      <c r="X640" s="42"/>
      <c r="Y640" s="42"/>
      <c r="Z640" s="42"/>
      <c r="AA640" s="42"/>
      <c r="AB640" s="195"/>
      <c r="AC640" s="42"/>
      <c r="AD640" s="42"/>
      <c r="AE640" s="195"/>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c r="BM640" s="42"/>
      <c r="BN640" s="42"/>
      <c r="BO640" s="42"/>
      <c r="BP640" s="42"/>
      <c r="BQ640" s="42"/>
      <c r="BR640" s="42"/>
      <c r="BS640" s="42"/>
      <c r="BT640" s="42"/>
      <c r="BU640" s="42"/>
      <c r="BV640" s="42"/>
      <c r="BW640" s="42"/>
      <c r="BX640" s="42"/>
      <c r="BY640" s="42"/>
      <c r="BZ640" s="42"/>
      <c r="CA640" s="42"/>
      <c r="CB640" s="42"/>
      <c r="CC640" s="42"/>
      <c r="CD640" s="42"/>
      <c r="CE640" s="42"/>
      <c r="CF640" s="42"/>
      <c r="CG640" s="42"/>
      <c r="CH640" s="42"/>
      <c r="CI640" s="42"/>
      <c r="CJ640" s="42"/>
      <c r="CK640" s="42"/>
      <c r="CL640" s="42"/>
      <c r="CM640" s="42"/>
      <c r="CN640" s="42"/>
      <c r="CO640" s="42"/>
      <c r="CP640" s="42"/>
      <c r="CQ640" s="42"/>
      <c r="CR640" s="42"/>
      <c r="CS640" s="42"/>
      <c r="CT640" s="42"/>
      <c r="CU640" s="42"/>
      <c r="CV640" s="42"/>
      <c r="CW640" s="42"/>
      <c r="CX640" s="42"/>
      <c r="CY640" s="42"/>
      <c r="CZ640" s="42"/>
      <c r="DA640" s="42"/>
      <c r="DB640" s="42"/>
      <c r="DC640" s="42"/>
      <c r="DD640" s="42"/>
      <c r="DE640" s="42"/>
      <c r="DF640" s="42"/>
      <c r="DG640" s="42"/>
      <c r="DH640" s="42"/>
      <c r="DI640" s="42"/>
      <c r="DJ640" s="42"/>
      <c r="DK640" s="42"/>
      <c r="DL640" s="42"/>
      <c r="DM640" s="42"/>
      <c r="DN640" s="42"/>
      <c r="DO640" s="42"/>
      <c r="DP640" s="42"/>
      <c r="DQ640" s="42"/>
      <c r="DR640" s="42"/>
      <c r="DS640" s="42"/>
      <c r="DT640" s="42"/>
      <c r="DU640" s="42"/>
      <c r="DV640" s="42"/>
      <c r="DW640" s="42"/>
      <c r="DX640" s="42"/>
      <c r="DY640" s="42"/>
      <c r="DZ640" s="42"/>
      <c r="EA640" s="42"/>
      <c r="EB640" s="42"/>
      <c r="EC640" s="42"/>
      <c r="ED640" s="42"/>
      <c r="EE640" s="42"/>
      <c r="EF640" s="42"/>
      <c r="EG640" s="42"/>
      <c r="EH640" s="42"/>
      <c r="EI640" s="42"/>
      <c r="EJ640" s="42"/>
      <c r="EK640" s="42"/>
      <c r="EL640" s="42"/>
      <c r="EM640" s="42"/>
      <c r="EN640" s="42"/>
      <c r="EO640" s="42"/>
      <c r="EP640" s="42"/>
      <c r="EQ640" s="42"/>
      <c r="ER640" s="42"/>
      <c r="ES640" s="42"/>
      <c r="ET640" s="42"/>
      <c r="EU640" s="42"/>
      <c r="EV640" s="42"/>
      <c r="EW640" s="42"/>
      <c r="EX640" s="42"/>
      <c r="EY640" s="42"/>
      <c r="EZ640" s="42"/>
      <c r="FA640" s="42"/>
      <c r="FB640" s="42"/>
      <c r="FC640" s="42"/>
      <c r="FD640" s="42"/>
      <c r="FE640" s="42"/>
      <c r="FF640" s="42"/>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row>
    <row r="641" spans="1:256" ht="13.8" x14ac:dyDescent="0.3">
      <c r="A641" s="42"/>
      <c r="B641" s="42"/>
      <c r="C641" s="42"/>
      <c r="D641" s="42"/>
      <c r="E641" s="42"/>
      <c r="F641" s="42"/>
      <c r="G641" s="42"/>
      <c r="H641" s="42"/>
      <c r="I641" s="42"/>
      <c r="J641" s="42"/>
      <c r="K641" s="42"/>
      <c r="L641" s="42"/>
      <c r="M641" s="42"/>
      <c r="N641" s="42"/>
      <c r="O641" s="42"/>
      <c r="P641" s="42"/>
      <c r="Q641" s="42"/>
      <c r="R641" s="42"/>
      <c r="S641" s="42"/>
      <c r="T641" s="42"/>
      <c r="U641" s="194"/>
      <c r="V641" s="42"/>
      <c r="W641" s="42"/>
      <c r="X641" s="42"/>
      <c r="Y641" s="42"/>
      <c r="Z641" s="42"/>
      <c r="AA641" s="42"/>
      <c r="AB641" s="195"/>
      <c r="AC641" s="42"/>
      <c r="AD641" s="42"/>
      <c r="AE641" s="195"/>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c r="BM641" s="42"/>
      <c r="BN641" s="42"/>
      <c r="BO641" s="42"/>
      <c r="BP641" s="42"/>
      <c r="BQ641" s="42"/>
      <c r="BR641" s="42"/>
      <c r="BS641" s="42"/>
      <c r="BT641" s="42"/>
      <c r="BU641" s="42"/>
      <c r="BV641" s="42"/>
      <c r="BW641" s="42"/>
      <c r="BX641" s="42"/>
      <c r="BY641" s="42"/>
      <c r="BZ641" s="42"/>
      <c r="CA641" s="42"/>
      <c r="CB641" s="42"/>
      <c r="CC641" s="42"/>
      <c r="CD641" s="42"/>
      <c r="CE641" s="42"/>
      <c r="CF641" s="42"/>
      <c r="CG641" s="42"/>
      <c r="CH641" s="42"/>
      <c r="CI641" s="42"/>
      <c r="CJ641" s="42"/>
      <c r="CK641" s="42"/>
      <c r="CL641" s="42"/>
      <c r="CM641" s="42"/>
      <c r="CN641" s="42"/>
      <c r="CO641" s="42"/>
      <c r="CP641" s="42"/>
      <c r="CQ641" s="42"/>
      <c r="CR641" s="42"/>
      <c r="CS641" s="42"/>
      <c r="CT641" s="42"/>
      <c r="CU641" s="42"/>
      <c r="CV641" s="42"/>
      <c r="CW641" s="42"/>
      <c r="CX641" s="42"/>
      <c r="CY641" s="42"/>
      <c r="CZ641" s="42"/>
      <c r="DA641" s="42"/>
      <c r="DB641" s="42"/>
      <c r="DC641" s="42"/>
      <c r="DD641" s="42"/>
      <c r="DE641" s="42"/>
      <c r="DF641" s="42"/>
      <c r="DG641" s="42"/>
      <c r="DH641" s="42"/>
      <c r="DI641" s="42"/>
      <c r="DJ641" s="42"/>
      <c r="DK641" s="42"/>
      <c r="DL641" s="42"/>
      <c r="DM641" s="42"/>
      <c r="DN641" s="42"/>
      <c r="DO641" s="42"/>
      <c r="DP641" s="42"/>
      <c r="DQ641" s="42"/>
      <c r="DR641" s="42"/>
      <c r="DS641" s="42"/>
      <c r="DT641" s="42"/>
      <c r="DU641" s="42"/>
      <c r="DV641" s="42"/>
      <c r="DW641" s="42"/>
      <c r="DX641" s="42"/>
      <c r="DY641" s="42"/>
      <c r="DZ641" s="42"/>
      <c r="EA641" s="42"/>
      <c r="EB641" s="42"/>
      <c r="EC641" s="42"/>
      <c r="ED641" s="42"/>
      <c r="EE641" s="42"/>
      <c r="EF641" s="42"/>
      <c r="EG641" s="42"/>
      <c r="EH641" s="42"/>
      <c r="EI641" s="42"/>
      <c r="EJ641" s="42"/>
      <c r="EK641" s="42"/>
      <c r="EL641" s="42"/>
      <c r="EM641" s="42"/>
      <c r="EN641" s="42"/>
      <c r="EO641" s="42"/>
      <c r="EP641" s="42"/>
      <c r="EQ641" s="42"/>
      <c r="ER641" s="42"/>
      <c r="ES641" s="42"/>
      <c r="ET641" s="42"/>
      <c r="EU641" s="42"/>
      <c r="EV641" s="42"/>
      <c r="EW641" s="42"/>
      <c r="EX641" s="42"/>
      <c r="EY641" s="42"/>
      <c r="EZ641" s="42"/>
      <c r="FA641" s="42"/>
      <c r="FB641" s="42"/>
      <c r="FC641" s="42"/>
      <c r="FD641" s="42"/>
      <c r="FE641" s="42"/>
      <c r="FF641" s="42"/>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row>
    <row r="642" spans="1:256" ht="13.8" x14ac:dyDescent="0.3">
      <c r="A642" s="42"/>
      <c r="B642" s="42"/>
      <c r="C642" s="42"/>
      <c r="D642" s="42"/>
      <c r="E642" s="42"/>
      <c r="F642" s="42"/>
      <c r="G642" s="42"/>
      <c r="H642" s="42"/>
      <c r="I642" s="42"/>
      <c r="J642" s="42"/>
      <c r="K642" s="42"/>
      <c r="L642" s="42"/>
      <c r="M642" s="42"/>
      <c r="N642" s="42"/>
      <c r="O642" s="42"/>
      <c r="P642" s="42"/>
      <c r="Q642" s="42"/>
      <c r="R642" s="42"/>
      <c r="S642" s="42"/>
      <c r="T642" s="42"/>
      <c r="U642" s="194"/>
      <c r="V642" s="42"/>
      <c r="W642" s="42"/>
      <c r="X642" s="42"/>
      <c r="Y642" s="42"/>
      <c r="Z642" s="42"/>
      <c r="AA642" s="42"/>
      <c r="AB642" s="195"/>
      <c r="AC642" s="42"/>
      <c r="AD642" s="42"/>
      <c r="AE642" s="195"/>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c r="BM642" s="42"/>
      <c r="BN642" s="42"/>
      <c r="BO642" s="42"/>
      <c r="BP642" s="42"/>
      <c r="BQ642" s="42"/>
      <c r="BR642" s="42"/>
      <c r="BS642" s="42"/>
      <c r="BT642" s="42"/>
      <c r="BU642" s="42"/>
      <c r="BV642" s="42"/>
      <c r="BW642" s="42"/>
      <c r="BX642" s="42"/>
      <c r="BY642" s="42"/>
      <c r="BZ642" s="42"/>
      <c r="CA642" s="42"/>
      <c r="CB642" s="42"/>
      <c r="CC642" s="42"/>
      <c r="CD642" s="42"/>
      <c r="CE642" s="42"/>
      <c r="CF642" s="42"/>
      <c r="CG642" s="42"/>
      <c r="CH642" s="42"/>
      <c r="CI642" s="42"/>
      <c r="CJ642" s="42"/>
      <c r="CK642" s="42"/>
      <c r="CL642" s="42"/>
      <c r="CM642" s="42"/>
      <c r="CN642" s="42"/>
      <c r="CO642" s="42"/>
      <c r="CP642" s="42"/>
      <c r="CQ642" s="42"/>
      <c r="CR642" s="42"/>
      <c r="CS642" s="42"/>
      <c r="CT642" s="42"/>
      <c r="CU642" s="42"/>
      <c r="CV642" s="42"/>
      <c r="CW642" s="42"/>
      <c r="CX642" s="42"/>
      <c r="CY642" s="42"/>
      <c r="CZ642" s="42"/>
      <c r="DA642" s="42"/>
      <c r="DB642" s="42"/>
      <c r="DC642" s="42"/>
      <c r="DD642" s="42"/>
      <c r="DE642" s="42"/>
      <c r="DF642" s="42"/>
      <c r="DG642" s="42"/>
      <c r="DH642" s="42"/>
      <c r="DI642" s="42"/>
      <c r="DJ642" s="42"/>
      <c r="DK642" s="42"/>
      <c r="DL642" s="42"/>
      <c r="DM642" s="42"/>
      <c r="DN642" s="42"/>
      <c r="DO642" s="42"/>
      <c r="DP642" s="42"/>
      <c r="DQ642" s="42"/>
      <c r="DR642" s="42"/>
      <c r="DS642" s="42"/>
      <c r="DT642" s="42"/>
      <c r="DU642" s="42"/>
      <c r="DV642" s="42"/>
      <c r="DW642" s="42"/>
      <c r="DX642" s="42"/>
      <c r="DY642" s="42"/>
      <c r="DZ642" s="42"/>
      <c r="EA642" s="42"/>
      <c r="EB642" s="42"/>
      <c r="EC642" s="42"/>
      <c r="ED642" s="42"/>
      <c r="EE642" s="42"/>
      <c r="EF642" s="42"/>
      <c r="EG642" s="42"/>
      <c r="EH642" s="42"/>
      <c r="EI642" s="42"/>
      <c r="EJ642" s="42"/>
      <c r="EK642" s="42"/>
      <c r="EL642" s="42"/>
      <c r="EM642" s="42"/>
      <c r="EN642" s="42"/>
      <c r="EO642" s="42"/>
      <c r="EP642" s="42"/>
      <c r="EQ642" s="42"/>
      <c r="ER642" s="42"/>
      <c r="ES642" s="42"/>
      <c r="ET642" s="42"/>
      <c r="EU642" s="42"/>
      <c r="EV642" s="42"/>
      <c r="EW642" s="42"/>
      <c r="EX642" s="42"/>
      <c r="EY642" s="42"/>
      <c r="EZ642" s="42"/>
      <c r="FA642" s="42"/>
      <c r="FB642" s="42"/>
      <c r="FC642" s="42"/>
      <c r="FD642" s="42"/>
      <c r="FE642" s="42"/>
      <c r="FF642" s="42"/>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row>
    <row r="643" spans="1:256" ht="13.8" x14ac:dyDescent="0.3">
      <c r="A643" s="42"/>
      <c r="B643" s="42"/>
      <c r="C643" s="42"/>
      <c r="D643" s="42"/>
      <c r="E643" s="42"/>
      <c r="F643" s="42"/>
      <c r="G643" s="42"/>
      <c r="H643" s="42"/>
      <c r="I643" s="42"/>
      <c r="J643" s="42"/>
      <c r="K643" s="42"/>
      <c r="L643" s="42"/>
      <c r="M643" s="42"/>
      <c r="N643" s="42"/>
      <c r="O643" s="42"/>
      <c r="P643" s="42"/>
      <c r="Q643" s="42"/>
      <c r="R643" s="42"/>
      <c r="S643" s="42"/>
      <c r="T643" s="42"/>
      <c r="U643" s="194"/>
      <c r="V643" s="42"/>
      <c r="W643" s="42"/>
      <c r="X643" s="42"/>
      <c r="Y643" s="42"/>
      <c r="Z643" s="42"/>
      <c r="AA643" s="42"/>
      <c r="AB643" s="195"/>
      <c r="AC643" s="42"/>
      <c r="AD643" s="42"/>
      <c r="AE643" s="195"/>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c r="BM643" s="42"/>
      <c r="BN643" s="42"/>
      <c r="BO643" s="42"/>
      <c r="BP643" s="42"/>
      <c r="BQ643" s="42"/>
      <c r="BR643" s="42"/>
      <c r="BS643" s="42"/>
      <c r="BT643" s="42"/>
      <c r="BU643" s="42"/>
      <c r="BV643" s="42"/>
      <c r="BW643" s="42"/>
      <c r="BX643" s="42"/>
      <c r="BY643" s="42"/>
      <c r="BZ643" s="42"/>
      <c r="CA643" s="42"/>
      <c r="CB643" s="42"/>
      <c r="CC643" s="42"/>
      <c r="CD643" s="42"/>
      <c r="CE643" s="42"/>
      <c r="CF643" s="42"/>
      <c r="CG643" s="42"/>
      <c r="CH643" s="42"/>
      <c r="CI643" s="42"/>
      <c r="CJ643" s="42"/>
      <c r="CK643" s="42"/>
      <c r="CL643" s="42"/>
      <c r="CM643" s="42"/>
      <c r="CN643" s="42"/>
      <c r="CO643" s="42"/>
      <c r="CP643" s="42"/>
      <c r="CQ643" s="42"/>
      <c r="CR643" s="42"/>
      <c r="CS643" s="42"/>
      <c r="CT643" s="42"/>
      <c r="CU643" s="42"/>
      <c r="CV643" s="42"/>
      <c r="CW643" s="42"/>
      <c r="CX643" s="42"/>
      <c r="CY643" s="42"/>
      <c r="CZ643" s="42"/>
      <c r="DA643" s="42"/>
      <c r="DB643" s="42"/>
      <c r="DC643" s="42"/>
      <c r="DD643" s="42"/>
      <c r="DE643" s="42"/>
      <c r="DF643" s="42"/>
      <c r="DG643" s="42"/>
      <c r="DH643" s="42"/>
      <c r="DI643" s="42"/>
      <c r="DJ643" s="42"/>
      <c r="DK643" s="42"/>
      <c r="DL643" s="42"/>
      <c r="DM643" s="42"/>
      <c r="DN643" s="42"/>
      <c r="DO643" s="42"/>
      <c r="DP643" s="42"/>
      <c r="DQ643" s="42"/>
      <c r="DR643" s="42"/>
      <c r="DS643" s="42"/>
      <c r="DT643" s="42"/>
      <c r="DU643" s="42"/>
      <c r="DV643" s="42"/>
      <c r="DW643" s="42"/>
      <c r="DX643" s="42"/>
      <c r="DY643" s="42"/>
      <c r="DZ643" s="42"/>
      <c r="EA643" s="42"/>
      <c r="EB643" s="42"/>
      <c r="EC643" s="42"/>
      <c r="ED643" s="42"/>
      <c r="EE643" s="42"/>
      <c r="EF643" s="42"/>
      <c r="EG643" s="42"/>
      <c r="EH643" s="42"/>
      <c r="EI643" s="42"/>
      <c r="EJ643" s="42"/>
      <c r="EK643" s="42"/>
      <c r="EL643" s="42"/>
      <c r="EM643" s="42"/>
      <c r="EN643" s="42"/>
      <c r="EO643" s="42"/>
      <c r="EP643" s="42"/>
      <c r="EQ643" s="42"/>
      <c r="ER643" s="42"/>
      <c r="ES643" s="42"/>
      <c r="ET643" s="42"/>
      <c r="EU643" s="42"/>
      <c r="EV643" s="42"/>
      <c r="EW643" s="42"/>
      <c r="EX643" s="42"/>
      <c r="EY643" s="42"/>
      <c r="EZ643" s="42"/>
      <c r="FA643" s="42"/>
      <c r="FB643" s="42"/>
      <c r="FC643" s="42"/>
      <c r="FD643" s="42"/>
      <c r="FE643" s="42"/>
      <c r="FF643" s="42"/>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row>
    <row r="644" spans="1:256" ht="13.8" x14ac:dyDescent="0.3">
      <c r="A644" s="42"/>
      <c r="B644" s="42"/>
      <c r="C644" s="42"/>
      <c r="D644" s="42"/>
      <c r="E644" s="42"/>
      <c r="F644" s="42"/>
      <c r="G644" s="42"/>
      <c r="H644" s="42"/>
      <c r="I644" s="42"/>
      <c r="J644" s="42"/>
      <c r="K644" s="42"/>
      <c r="L644" s="42"/>
      <c r="M644" s="42"/>
      <c r="N644" s="42"/>
      <c r="O644" s="42"/>
      <c r="P644" s="42"/>
      <c r="Q644" s="42"/>
      <c r="R644" s="42"/>
      <c r="S644" s="42"/>
      <c r="T644" s="42"/>
      <c r="U644" s="194"/>
      <c r="V644" s="42"/>
      <c r="W644" s="42"/>
      <c r="X644" s="42"/>
      <c r="Y644" s="42"/>
      <c r="Z644" s="42"/>
      <c r="AA644" s="42"/>
      <c r="AB644" s="195"/>
      <c r="AC644" s="42"/>
      <c r="AD644" s="42"/>
      <c r="AE644" s="195"/>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c r="BM644" s="42"/>
      <c r="BN644" s="42"/>
      <c r="BO644" s="42"/>
      <c r="BP644" s="42"/>
      <c r="BQ644" s="42"/>
      <c r="BR644" s="42"/>
      <c r="BS644" s="42"/>
      <c r="BT644" s="42"/>
      <c r="BU644" s="42"/>
      <c r="BV644" s="42"/>
      <c r="BW644" s="42"/>
      <c r="BX644" s="42"/>
      <c r="BY644" s="42"/>
      <c r="BZ644" s="42"/>
      <c r="CA644" s="42"/>
      <c r="CB644" s="42"/>
      <c r="CC644" s="42"/>
      <c r="CD644" s="42"/>
      <c r="CE644" s="42"/>
      <c r="CF644" s="42"/>
      <c r="CG644" s="42"/>
      <c r="CH644" s="42"/>
      <c r="CI644" s="42"/>
      <c r="CJ644" s="42"/>
      <c r="CK644" s="42"/>
      <c r="CL644" s="42"/>
      <c r="CM644" s="42"/>
      <c r="CN644" s="42"/>
      <c r="CO644" s="42"/>
      <c r="CP644" s="42"/>
      <c r="CQ644" s="42"/>
      <c r="CR644" s="42"/>
      <c r="CS644" s="42"/>
      <c r="CT644" s="42"/>
      <c r="CU644" s="42"/>
      <c r="CV644" s="42"/>
      <c r="CW644" s="42"/>
      <c r="CX644" s="42"/>
      <c r="CY644" s="42"/>
      <c r="CZ644" s="42"/>
      <c r="DA644" s="42"/>
      <c r="DB644" s="42"/>
      <c r="DC644" s="42"/>
      <c r="DD644" s="42"/>
      <c r="DE644" s="42"/>
      <c r="DF644" s="42"/>
      <c r="DG644" s="42"/>
      <c r="DH644" s="42"/>
      <c r="DI644" s="42"/>
      <c r="DJ644" s="42"/>
      <c r="DK644" s="42"/>
      <c r="DL644" s="42"/>
      <c r="DM644" s="42"/>
      <c r="DN644" s="42"/>
      <c r="DO644" s="42"/>
      <c r="DP644" s="42"/>
      <c r="DQ644" s="42"/>
      <c r="DR644" s="42"/>
      <c r="DS644" s="42"/>
      <c r="DT644" s="42"/>
      <c r="DU644" s="42"/>
      <c r="DV644" s="42"/>
      <c r="DW644" s="42"/>
      <c r="DX644" s="42"/>
      <c r="DY644" s="42"/>
      <c r="DZ644" s="42"/>
      <c r="EA644" s="42"/>
      <c r="EB644" s="42"/>
      <c r="EC644" s="42"/>
      <c r="ED644" s="42"/>
      <c r="EE644" s="42"/>
      <c r="EF644" s="42"/>
      <c r="EG644" s="42"/>
      <c r="EH644" s="42"/>
      <c r="EI644" s="42"/>
      <c r="EJ644" s="42"/>
      <c r="EK644" s="42"/>
      <c r="EL644" s="42"/>
      <c r="EM644" s="42"/>
      <c r="EN644" s="42"/>
      <c r="EO644" s="42"/>
      <c r="EP644" s="42"/>
      <c r="EQ644" s="42"/>
      <c r="ER644" s="42"/>
      <c r="ES644" s="42"/>
      <c r="ET644" s="42"/>
      <c r="EU644" s="42"/>
      <c r="EV644" s="42"/>
      <c r="EW644" s="42"/>
      <c r="EX644" s="42"/>
      <c r="EY644" s="42"/>
      <c r="EZ644" s="42"/>
      <c r="FA644" s="42"/>
      <c r="FB644" s="42"/>
      <c r="FC644" s="42"/>
      <c r="FD644" s="42"/>
      <c r="FE644" s="42"/>
      <c r="FF644" s="42"/>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row>
    <row r="645" spans="1:256" ht="13.8" x14ac:dyDescent="0.3">
      <c r="A645" s="42"/>
      <c r="B645" s="42"/>
      <c r="C645" s="42"/>
      <c r="D645" s="42"/>
      <c r="E645" s="42"/>
      <c r="F645" s="42"/>
      <c r="G645" s="42"/>
      <c r="H645" s="42"/>
      <c r="I645" s="42"/>
      <c r="J645" s="42"/>
      <c r="K645" s="42"/>
      <c r="L645" s="42"/>
      <c r="M645" s="42"/>
      <c r="N645" s="42"/>
      <c r="O645" s="42"/>
      <c r="P645" s="42"/>
      <c r="Q645" s="42"/>
      <c r="R645" s="42"/>
      <c r="S645" s="42"/>
      <c r="T645" s="42"/>
      <c r="U645" s="194"/>
      <c r="V645" s="42"/>
      <c r="W645" s="42"/>
      <c r="X645" s="42"/>
      <c r="Y645" s="42"/>
      <c r="Z645" s="42"/>
      <c r="AA645" s="42"/>
      <c r="AB645" s="195"/>
      <c r="AC645" s="42"/>
      <c r="AD645" s="42"/>
      <c r="AE645" s="195"/>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c r="BM645" s="42"/>
      <c r="BN645" s="42"/>
      <c r="BO645" s="42"/>
      <c r="BP645" s="42"/>
      <c r="BQ645" s="42"/>
      <c r="BR645" s="42"/>
      <c r="BS645" s="42"/>
      <c r="BT645" s="42"/>
      <c r="BU645" s="42"/>
      <c r="BV645" s="42"/>
      <c r="BW645" s="42"/>
      <c r="BX645" s="42"/>
      <c r="BY645" s="42"/>
      <c r="BZ645" s="42"/>
      <c r="CA645" s="42"/>
      <c r="CB645" s="42"/>
      <c r="CC645" s="42"/>
      <c r="CD645" s="42"/>
      <c r="CE645" s="42"/>
      <c r="CF645" s="42"/>
      <c r="CG645" s="42"/>
      <c r="CH645" s="42"/>
      <c r="CI645" s="42"/>
      <c r="CJ645" s="42"/>
      <c r="CK645" s="42"/>
      <c r="CL645" s="42"/>
      <c r="CM645" s="42"/>
      <c r="CN645" s="42"/>
      <c r="CO645" s="42"/>
      <c r="CP645" s="42"/>
      <c r="CQ645" s="42"/>
      <c r="CR645" s="42"/>
      <c r="CS645" s="42"/>
      <c r="CT645" s="42"/>
      <c r="CU645" s="42"/>
      <c r="CV645" s="42"/>
      <c r="CW645" s="42"/>
      <c r="CX645" s="42"/>
      <c r="CY645" s="42"/>
      <c r="CZ645" s="42"/>
      <c r="DA645" s="42"/>
      <c r="DB645" s="42"/>
      <c r="DC645" s="42"/>
      <c r="DD645" s="42"/>
      <c r="DE645" s="42"/>
      <c r="DF645" s="42"/>
      <c r="DG645" s="42"/>
      <c r="DH645" s="42"/>
      <c r="DI645" s="42"/>
      <c r="DJ645" s="42"/>
      <c r="DK645" s="42"/>
      <c r="DL645" s="42"/>
      <c r="DM645" s="42"/>
      <c r="DN645" s="42"/>
      <c r="DO645" s="42"/>
      <c r="DP645" s="42"/>
      <c r="DQ645" s="42"/>
      <c r="DR645" s="42"/>
      <c r="DS645" s="42"/>
      <c r="DT645" s="42"/>
      <c r="DU645" s="42"/>
      <c r="DV645" s="42"/>
      <c r="DW645" s="42"/>
      <c r="DX645" s="42"/>
      <c r="DY645" s="42"/>
      <c r="DZ645" s="42"/>
      <c r="EA645" s="42"/>
      <c r="EB645" s="42"/>
      <c r="EC645" s="42"/>
      <c r="ED645" s="42"/>
      <c r="EE645" s="42"/>
      <c r="EF645" s="42"/>
      <c r="EG645" s="42"/>
      <c r="EH645" s="42"/>
      <c r="EI645" s="42"/>
      <c r="EJ645" s="42"/>
      <c r="EK645" s="42"/>
      <c r="EL645" s="42"/>
      <c r="EM645" s="42"/>
      <c r="EN645" s="42"/>
      <c r="EO645" s="42"/>
      <c r="EP645" s="42"/>
      <c r="EQ645" s="42"/>
      <c r="ER645" s="42"/>
      <c r="ES645" s="42"/>
      <c r="ET645" s="42"/>
      <c r="EU645" s="42"/>
      <c r="EV645" s="42"/>
      <c r="EW645" s="42"/>
      <c r="EX645" s="42"/>
      <c r="EY645" s="42"/>
      <c r="EZ645" s="42"/>
      <c r="FA645" s="42"/>
      <c r="FB645" s="42"/>
      <c r="FC645" s="42"/>
      <c r="FD645" s="42"/>
      <c r="FE645" s="42"/>
      <c r="FF645" s="42"/>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row>
    <row r="646" spans="1:256" ht="13.8" x14ac:dyDescent="0.3">
      <c r="A646" s="42"/>
      <c r="B646" s="42"/>
      <c r="C646" s="42"/>
      <c r="D646" s="42"/>
      <c r="E646" s="42"/>
      <c r="F646" s="42"/>
      <c r="G646" s="42"/>
      <c r="H646" s="42"/>
      <c r="I646" s="42"/>
      <c r="J646" s="42"/>
      <c r="K646" s="42"/>
      <c r="L646" s="42"/>
      <c r="M646" s="42"/>
      <c r="N646" s="42"/>
      <c r="O646" s="42"/>
      <c r="P646" s="42"/>
      <c r="Q646" s="42"/>
      <c r="R646" s="42"/>
      <c r="S646" s="42"/>
      <c r="T646" s="42"/>
      <c r="U646" s="194"/>
      <c r="V646" s="42"/>
      <c r="W646" s="42"/>
      <c r="X646" s="42"/>
      <c r="Y646" s="42"/>
      <c r="Z646" s="42"/>
      <c r="AA646" s="42"/>
      <c r="AB646" s="195"/>
      <c r="AC646" s="42"/>
      <c r="AD646" s="42"/>
      <c r="AE646" s="195"/>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c r="BM646" s="42"/>
      <c r="BN646" s="42"/>
      <c r="BO646" s="42"/>
      <c r="BP646" s="42"/>
      <c r="BQ646" s="42"/>
      <c r="BR646" s="42"/>
      <c r="BS646" s="42"/>
      <c r="BT646" s="42"/>
      <c r="BU646" s="42"/>
      <c r="BV646" s="42"/>
      <c r="BW646" s="42"/>
      <c r="BX646" s="42"/>
      <c r="BY646" s="42"/>
      <c r="BZ646" s="42"/>
      <c r="CA646" s="42"/>
      <c r="CB646" s="42"/>
      <c r="CC646" s="42"/>
      <c r="CD646" s="42"/>
      <c r="CE646" s="42"/>
      <c r="CF646" s="42"/>
      <c r="CG646" s="42"/>
      <c r="CH646" s="42"/>
      <c r="CI646" s="42"/>
      <c r="CJ646" s="42"/>
      <c r="CK646" s="42"/>
      <c r="CL646" s="42"/>
      <c r="CM646" s="42"/>
      <c r="CN646" s="42"/>
      <c r="CO646" s="42"/>
      <c r="CP646" s="42"/>
      <c r="CQ646" s="42"/>
      <c r="CR646" s="42"/>
      <c r="CS646" s="42"/>
      <c r="CT646" s="42"/>
      <c r="CU646" s="42"/>
      <c r="CV646" s="42"/>
      <c r="CW646" s="42"/>
      <c r="CX646" s="42"/>
      <c r="CY646" s="42"/>
      <c r="CZ646" s="42"/>
      <c r="DA646" s="42"/>
      <c r="DB646" s="42"/>
      <c r="DC646" s="42"/>
      <c r="DD646" s="42"/>
      <c r="DE646" s="42"/>
      <c r="DF646" s="42"/>
      <c r="DG646" s="42"/>
      <c r="DH646" s="42"/>
      <c r="DI646" s="42"/>
      <c r="DJ646" s="42"/>
      <c r="DK646" s="42"/>
      <c r="DL646" s="42"/>
      <c r="DM646" s="42"/>
      <c r="DN646" s="42"/>
      <c r="DO646" s="42"/>
      <c r="DP646" s="42"/>
      <c r="DQ646" s="42"/>
      <c r="DR646" s="42"/>
      <c r="DS646" s="42"/>
      <c r="DT646" s="42"/>
      <c r="DU646" s="42"/>
      <c r="DV646" s="42"/>
      <c r="DW646" s="42"/>
      <c r="DX646" s="42"/>
      <c r="DY646" s="42"/>
      <c r="DZ646" s="42"/>
      <c r="EA646" s="42"/>
      <c r="EB646" s="42"/>
      <c r="EC646" s="42"/>
      <c r="ED646" s="42"/>
      <c r="EE646" s="42"/>
      <c r="EF646" s="42"/>
      <c r="EG646" s="42"/>
      <c r="EH646" s="42"/>
      <c r="EI646" s="42"/>
      <c r="EJ646" s="42"/>
      <c r="EK646" s="42"/>
      <c r="EL646" s="42"/>
      <c r="EM646" s="42"/>
      <c r="EN646" s="42"/>
      <c r="EO646" s="42"/>
      <c r="EP646" s="42"/>
      <c r="EQ646" s="42"/>
      <c r="ER646" s="42"/>
      <c r="ES646" s="42"/>
      <c r="ET646" s="42"/>
      <c r="EU646" s="42"/>
      <c r="EV646" s="42"/>
      <c r="EW646" s="42"/>
      <c r="EX646" s="42"/>
      <c r="EY646" s="42"/>
      <c r="EZ646" s="42"/>
      <c r="FA646" s="42"/>
      <c r="FB646" s="42"/>
      <c r="FC646" s="42"/>
      <c r="FD646" s="42"/>
      <c r="FE646" s="42"/>
      <c r="FF646" s="42"/>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row>
    <row r="647" spans="1:256" ht="13.8" x14ac:dyDescent="0.3">
      <c r="A647" s="42"/>
      <c r="B647" s="42"/>
      <c r="C647" s="42"/>
      <c r="D647" s="42"/>
      <c r="E647" s="42"/>
      <c r="F647" s="42"/>
      <c r="G647" s="42"/>
      <c r="H647" s="42"/>
      <c r="I647" s="42"/>
      <c r="J647" s="42"/>
      <c r="K647" s="42"/>
      <c r="L647" s="42"/>
      <c r="M647" s="42"/>
      <c r="N647" s="42"/>
      <c r="O647" s="42"/>
      <c r="P647" s="42"/>
      <c r="Q647" s="42"/>
      <c r="R647" s="42"/>
      <c r="S647" s="42"/>
      <c r="T647" s="42"/>
      <c r="U647" s="194"/>
      <c r="V647" s="42"/>
      <c r="W647" s="42"/>
      <c r="X647" s="42"/>
      <c r="Y647" s="42"/>
      <c r="Z647" s="42"/>
      <c r="AA647" s="42"/>
      <c r="AB647" s="195"/>
      <c r="AC647" s="42"/>
      <c r="AD647" s="42"/>
      <c r="AE647" s="195"/>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c r="BM647" s="42"/>
      <c r="BN647" s="42"/>
      <c r="BO647" s="42"/>
      <c r="BP647" s="42"/>
      <c r="BQ647" s="42"/>
      <c r="BR647" s="42"/>
      <c r="BS647" s="42"/>
      <c r="BT647" s="42"/>
      <c r="BU647" s="42"/>
      <c r="BV647" s="42"/>
      <c r="BW647" s="42"/>
      <c r="BX647" s="42"/>
      <c r="BY647" s="42"/>
      <c r="BZ647" s="42"/>
      <c r="CA647" s="42"/>
      <c r="CB647" s="42"/>
      <c r="CC647" s="42"/>
      <c r="CD647" s="42"/>
      <c r="CE647" s="42"/>
      <c r="CF647" s="42"/>
      <c r="CG647" s="42"/>
      <c r="CH647" s="42"/>
      <c r="CI647" s="42"/>
      <c r="CJ647" s="42"/>
      <c r="CK647" s="42"/>
      <c r="CL647" s="42"/>
      <c r="CM647" s="42"/>
      <c r="CN647" s="42"/>
      <c r="CO647" s="42"/>
      <c r="CP647" s="42"/>
      <c r="CQ647" s="42"/>
      <c r="CR647" s="42"/>
      <c r="CS647" s="42"/>
      <c r="CT647" s="42"/>
      <c r="CU647" s="42"/>
      <c r="CV647" s="42"/>
      <c r="CW647" s="42"/>
      <c r="CX647" s="42"/>
      <c r="CY647" s="42"/>
      <c r="CZ647" s="42"/>
      <c r="DA647" s="42"/>
      <c r="DB647" s="42"/>
      <c r="DC647" s="42"/>
      <c r="DD647" s="42"/>
      <c r="DE647" s="42"/>
      <c r="DF647" s="42"/>
      <c r="DG647" s="42"/>
      <c r="DH647" s="42"/>
      <c r="DI647" s="42"/>
      <c r="DJ647" s="42"/>
      <c r="DK647" s="42"/>
      <c r="DL647" s="42"/>
      <c r="DM647" s="42"/>
      <c r="DN647" s="42"/>
      <c r="DO647" s="42"/>
      <c r="DP647" s="42"/>
      <c r="DQ647" s="42"/>
      <c r="DR647" s="42"/>
      <c r="DS647" s="42"/>
      <c r="DT647" s="42"/>
      <c r="DU647" s="42"/>
      <c r="DV647" s="42"/>
      <c r="DW647" s="42"/>
      <c r="DX647" s="42"/>
      <c r="DY647" s="42"/>
      <c r="DZ647" s="42"/>
      <c r="EA647" s="42"/>
      <c r="EB647" s="42"/>
      <c r="EC647" s="42"/>
      <c r="ED647" s="42"/>
      <c r="EE647" s="42"/>
      <c r="EF647" s="42"/>
      <c r="EG647" s="42"/>
      <c r="EH647" s="42"/>
      <c r="EI647" s="42"/>
      <c r="EJ647" s="42"/>
      <c r="EK647" s="42"/>
      <c r="EL647" s="42"/>
      <c r="EM647" s="42"/>
      <c r="EN647" s="42"/>
      <c r="EO647" s="42"/>
      <c r="EP647" s="42"/>
      <c r="EQ647" s="42"/>
      <c r="ER647" s="42"/>
      <c r="ES647" s="42"/>
      <c r="ET647" s="42"/>
      <c r="EU647" s="42"/>
      <c r="EV647" s="42"/>
      <c r="EW647" s="42"/>
      <c r="EX647" s="42"/>
      <c r="EY647" s="42"/>
      <c r="EZ647" s="42"/>
      <c r="FA647" s="42"/>
      <c r="FB647" s="42"/>
      <c r="FC647" s="42"/>
      <c r="FD647" s="42"/>
      <c r="FE647" s="42"/>
      <c r="FF647" s="42"/>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row>
    <row r="648" spans="1:256" ht="13.8" x14ac:dyDescent="0.3">
      <c r="A648" s="42"/>
      <c r="B648" s="42"/>
      <c r="C648" s="42"/>
      <c r="D648" s="42"/>
      <c r="E648" s="42"/>
      <c r="F648" s="42"/>
      <c r="G648" s="42"/>
      <c r="H648" s="42"/>
      <c r="I648" s="42"/>
      <c r="J648" s="42"/>
      <c r="K648" s="42"/>
      <c r="L648" s="42"/>
      <c r="M648" s="42"/>
      <c r="N648" s="42"/>
      <c r="O648" s="42"/>
      <c r="P648" s="42"/>
      <c r="Q648" s="42"/>
      <c r="R648" s="42"/>
      <c r="S648" s="42"/>
      <c r="T648" s="42"/>
      <c r="U648" s="194"/>
      <c r="V648" s="42"/>
      <c r="W648" s="42"/>
      <c r="X648" s="42"/>
      <c r="Y648" s="42"/>
      <c r="Z648" s="42"/>
      <c r="AA648" s="42"/>
      <c r="AB648" s="195"/>
      <c r="AC648" s="42"/>
      <c r="AD648" s="42"/>
      <c r="AE648" s="195"/>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c r="BM648" s="42"/>
      <c r="BN648" s="42"/>
      <c r="BO648" s="42"/>
      <c r="BP648" s="42"/>
      <c r="BQ648" s="42"/>
      <c r="BR648" s="42"/>
      <c r="BS648" s="42"/>
      <c r="BT648" s="42"/>
      <c r="BU648" s="42"/>
      <c r="BV648" s="42"/>
      <c r="BW648" s="42"/>
      <c r="BX648" s="42"/>
      <c r="BY648" s="42"/>
      <c r="BZ648" s="42"/>
      <c r="CA648" s="42"/>
      <c r="CB648" s="42"/>
      <c r="CC648" s="42"/>
      <c r="CD648" s="42"/>
      <c r="CE648" s="42"/>
      <c r="CF648" s="42"/>
      <c r="CG648" s="42"/>
      <c r="CH648" s="42"/>
      <c r="CI648" s="42"/>
      <c r="CJ648" s="42"/>
      <c r="CK648" s="42"/>
      <c r="CL648" s="42"/>
      <c r="CM648" s="42"/>
      <c r="CN648" s="42"/>
      <c r="CO648" s="42"/>
      <c r="CP648" s="42"/>
      <c r="CQ648" s="42"/>
      <c r="CR648" s="42"/>
      <c r="CS648" s="42"/>
      <c r="CT648" s="42"/>
      <c r="CU648" s="42"/>
      <c r="CV648" s="42"/>
      <c r="CW648" s="42"/>
      <c r="CX648" s="42"/>
      <c r="CY648" s="42"/>
      <c r="CZ648" s="42"/>
      <c r="DA648" s="42"/>
      <c r="DB648" s="42"/>
      <c r="DC648" s="42"/>
      <c r="DD648" s="42"/>
      <c r="DE648" s="42"/>
      <c r="DF648" s="42"/>
      <c r="DG648" s="42"/>
      <c r="DH648" s="42"/>
      <c r="DI648" s="42"/>
      <c r="DJ648" s="42"/>
      <c r="DK648" s="42"/>
      <c r="DL648" s="42"/>
      <c r="DM648" s="42"/>
      <c r="DN648" s="42"/>
      <c r="DO648" s="42"/>
      <c r="DP648" s="42"/>
      <c r="DQ648" s="42"/>
      <c r="DR648" s="42"/>
      <c r="DS648" s="42"/>
      <c r="DT648" s="42"/>
      <c r="DU648" s="42"/>
      <c r="DV648" s="42"/>
      <c r="DW648" s="42"/>
      <c r="DX648" s="42"/>
      <c r="DY648" s="42"/>
      <c r="DZ648" s="42"/>
      <c r="EA648" s="42"/>
      <c r="EB648" s="42"/>
      <c r="EC648" s="42"/>
      <c r="ED648" s="42"/>
      <c r="EE648" s="42"/>
      <c r="EF648" s="42"/>
      <c r="EG648" s="42"/>
      <c r="EH648" s="42"/>
      <c r="EI648" s="42"/>
      <c r="EJ648" s="42"/>
      <c r="EK648" s="42"/>
      <c r="EL648" s="42"/>
      <c r="EM648" s="42"/>
      <c r="EN648" s="42"/>
      <c r="EO648" s="42"/>
      <c r="EP648" s="42"/>
      <c r="EQ648" s="42"/>
      <c r="ER648" s="42"/>
      <c r="ES648" s="42"/>
      <c r="ET648" s="42"/>
      <c r="EU648" s="42"/>
      <c r="EV648" s="42"/>
      <c r="EW648" s="42"/>
      <c r="EX648" s="42"/>
      <c r="EY648" s="42"/>
      <c r="EZ648" s="42"/>
      <c r="FA648" s="42"/>
      <c r="FB648" s="42"/>
      <c r="FC648" s="42"/>
      <c r="FD648" s="42"/>
      <c r="FE648" s="42"/>
      <c r="FF648" s="42"/>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row>
    <row r="649" spans="1:256" ht="13.8" x14ac:dyDescent="0.3">
      <c r="A649" s="42"/>
      <c r="B649" s="42"/>
      <c r="C649" s="42"/>
      <c r="D649" s="42"/>
      <c r="E649" s="42"/>
      <c r="F649" s="42"/>
      <c r="G649" s="42"/>
      <c r="H649" s="42"/>
      <c r="I649" s="42"/>
      <c r="J649" s="42"/>
      <c r="K649" s="42"/>
      <c r="L649" s="42"/>
      <c r="M649" s="42"/>
      <c r="N649" s="42"/>
      <c r="O649" s="42"/>
      <c r="P649" s="42"/>
      <c r="Q649" s="42"/>
      <c r="R649" s="42"/>
      <c r="S649" s="42"/>
      <c r="T649" s="42"/>
      <c r="U649" s="194"/>
      <c r="V649" s="42"/>
      <c r="W649" s="42"/>
      <c r="X649" s="42"/>
      <c r="Y649" s="42"/>
      <c r="Z649" s="42"/>
      <c r="AA649" s="42"/>
      <c r="AB649" s="195"/>
      <c r="AC649" s="42"/>
      <c r="AD649" s="42"/>
      <c r="AE649" s="195"/>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c r="BM649" s="42"/>
      <c r="BN649" s="42"/>
      <c r="BO649" s="42"/>
      <c r="BP649" s="42"/>
      <c r="BQ649" s="42"/>
      <c r="BR649" s="42"/>
      <c r="BS649" s="42"/>
      <c r="BT649" s="42"/>
      <c r="BU649" s="42"/>
      <c r="BV649" s="42"/>
      <c r="BW649" s="42"/>
      <c r="BX649" s="42"/>
      <c r="BY649" s="42"/>
      <c r="BZ649" s="42"/>
      <c r="CA649" s="42"/>
      <c r="CB649" s="42"/>
      <c r="CC649" s="42"/>
      <c r="CD649" s="42"/>
      <c r="CE649" s="42"/>
      <c r="CF649" s="42"/>
      <c r="CG649" s="42"/>
      <c r="CH649" s="42"/>
      <c r="CI649" s="42"/>
      <c r="CJ649" s="42"/>
      <c r="CK649" s="42"/>
      <c r="CL649" s="42"/>
      <c r="CM649" s="42"/>
      <c r="CN649" s="42"/>
      <c r="CO649" s="42"/>
      <c r="CP649" s="42"/>
      <c r="CQ649" s="42"/>
      <c r="CR649" s="42"/>
      <c r="CS649" s="42"/>
      <c r="CT649" s="42"/>
      <c r="CU649" s="42"/>
      <c r="CV649" s="42"/>
      <c r="CW649" s="42"/>
      <c r="CX649" s="42"/>
      <c r="CY649" s="42"/>
      <c r="CZ649" s="42"/>
      <c r="DA649" s="42"/>
      <c r="DB649" s="42"/>
      <c r="DC649" s="42"/>
      <c r="DD649" s="42"/>
      <c r="DE649" s="42"/>
      <c r="DF649" s="42"/>
      <c r="DG649" s="42"/>
      <c r="DH649" s="42"/>
      <c r="DI649" s="42"/>
      <c r="DJ649" s="42"/>
      <c r="DK649" s="42"/>
      <c r="DL649" s="42"/>
      <c r="DM649" s="42"/>
      <c r="DN649" s="42"/>
      <c r="DO649" s="42"/>
      <c r="DP649" s="42"/>
      <c r="DQ649" s="42"/>
      <c r="DR649" s="42"/>
      <c r="DS649" s="42"/>
      <c r="DT649" s="42"/>
      <c r="DU649" s="42"/>
      <c r="DV649" s="42"/>
      <c r="DW649" s="42"/>
      <c r="DX649" s="42"/>
      <c r="DY649" s="42"/>
      <c r="DZ649" s="42"/>
      <c r="EA649" s="42"/>
      <c r="EB649" s="42"/>
      <c r="EC649" s="42"/>
      <c r="ED649" s="42"/>
      <c r="EE649" s="42"/>
      <c r="EF649" s="42"/>
      <c r="EG649" s="42"/>
      <c r="EH649" s="42"/>
      <c r="EI649" s="42"/>
      <c r="EJ649" s="42"/>
      <c r="EK649" s="42"/>
      <c r="EL649" s="42"/>
      <c r="EM649" s="42"/>
      <c r="EN649" s="42"/>
      <c r="EO649" s="42"/>
      <c r="EP649" s="42"/>
      <c r="EQ649" s="42"/>
      <c r="ER649" s="42"/>
      <c r="ES649" s="42"/>
      <c r="ET649" s="42"/>
      <c r="EU649" s="42"/>
      <c r="EV649" s="42"/>
      <c r="EW649" s="42"/>
      <c r="EX649" s="42"/>
      <c r="EY649" s="42"/>
      <c r="EZ649" s="42"/>
      <c r="FA649" s="42"/>
      <c r="FB649" s="42"/>
      <c r="FC649" s="42"/>
      <c r="FD649" s="42"/>
      <c r="FE649" s="42"/>
      <c r="FF649" s="42"/>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row>
    <row r="650" spans="1:256" ht="13.8" x14ac:dyDescent="0.3">
      <c r="A650" s="42"/>
      <c r="B650" s="42"/>
      <c r="C650" s="42"/>
      <c r="D650" s="42"/>
      <c r="E650" s="42"/>
      <c r="F650" s="42"/>
      <c r="G650" s="42"/>
      <c r="H650" s="42"/>
      <c r="I650" s="42"/>
      <c r="J650" s="42"/>
      <c r="K650" s="42"/>
      <c r="L650" s="42"/>
      <c r="M650" s="42"/>
      <c r="N650" s="42"/>
      <c r="O650" s="42"/>
      <c r="P650" s="42"/>
      <c r="Q650" s="42"/>
      <c r="R650" s="42"/>
      <c r="S650" s="42"/>
      <c r="T650" s="42"/>
      <c r="U650" s="194"/>
      <c r="V650" s="42"/>
      <c r="W650" s="42"/>
      <c r="X650" s="42"/>
      <c r="Y650" s="42"/>
      <c r="Z650" s="42"/>
      <c r="AA650" s="42"/>
      <c r="AB650" s="195"/>
      <c r="AC650" s="42"/>
      <c r="AD650" s="42"/>
      <c r="AE650" s="195"/>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c r="BM650" s="42"/>
      <c r="BN650" s="42"/>
      <c r="BO650" s="42"/>
      <c r="BP650" s="42"/>
      <c r="BQ650" s="42"/>
      <c r="BR650" s="42"/>
      <c r="BS650" s="42"/>
      <c r="BT650" s="42"/>
      <c r="BU650" s="42"/>
      <c r="BV650" s="42"/>
      <c r="BW650" s="42"/>
      <c r="BX650" s="42"/>
      <c r="BY650" s="42"/>
      <c r="BZ650" s="42"/>
      <c r="CA650" s="42"/>
      <c r="CB650" s="42"/>
      <c r="CC650" s="42"/>
      <c r="CD650" s="42"/>
      <c r="CE650" s="42"/>
      <c r="CF650" s="42"/>
      <c r="CG650" s="42"/>
      <c r="CH650" s="42"/>
      <c r="CI650" s="42"/>
      <c r="CJ650" s="42"/>
      <c r="CK650" s="42"/>
      <c r="CL650" s="42"/>
      <c r="CM650" s="42"/>
      <c r="CN650" s="42"/>
      <c r="CO650" s="42"/>
      <c r="CP650" s="42"/>
      <c r="CQ650" s="42"/>
      <c r="CR650" s="42"/>
      <c r="CS650" s="42"/>
      <c r="CT650" s="42"/>
      <c r="CU650" s="42"/>
      <c r="CV650" s="42"/>
      <c r="CW650" s="42"/>
      <c r="CX650" s="42"/>
      <c r="CY650" s="42"/>
      <c r="CZ650" s="42"/>
      <c r="DA650" s="42"/>
      <c r="DB650" s="42"/>
      <c r="DC650" s="42"/>
      <c r="DD650" s="42"/>
      <c r="DE650" s="42"/>
      <c r="DF650" s="42"/>
      <c r="DG650" s="42"/>
      <c r="DH650" s="42"/>
      <c r="DI650" s="42"/>
      <c r="DJ650" s="42"/>
      <c r="DK650" s="42"/>
      <c r="DL650" s="42"/>
      <c r="DM650" s="42"/>
      <c r="DN650" s="42"/>
      <c r="DO650" s="42"/>
      <c r="DP650" s="42"/>
      <c r="DQ650" s="42"/>
      <c r="DR650" s="42"/>
      <c r="DS650" s="42"/>
      <c r="DT650" s="42"/>
      <c r="DU650" s="42"/>
      <c r="DV650" s="42"/>
      <c r="DW650" s="42"/>
      <c r="DX650" s="42"/>
      <c r="DY650" s="42"/>
      <c r="DZ650" s="42"/>
      <c r="EA650" s="42"/>
      <c r="EB650" s="42"/>
      <c r="EC650" s="42"/>
      <c r="ED650" s="42"/>
      <c r="EE650" s="42"/>
      <c r="EF650" s="42"/>
      <c r="EG650" s="42"/>
      <c r="EH650" s="42"/>
      <c r="EI650" s="42"/>
      <c r="EJ650" s="42"/>
      <c r="EK650" s="42"/>
      <c r="EL650" s="42"/>
      <c r="EM650" s="42"/>
      <c r="EN650" s="42"/>
      <c r="EO650" s="42"/>
      <c r="EP650" s="42"/>
      <c r="EQ650" s="42"/>
      <c r="ER650" s="42"/>
      <c r="ES650" s="42"/>
      <c r="ET650" s="42"/>
      <c r="EU650" s="42"/>
      <c r="EV650" s="42"/>
      <c r="EW650" s="42"/>
      <c r="EX650" s="42"/>
      <c r="EY650" s="42"/>
      <c r="EZ650" s="42"/>
      <c r="FA650" s="42"/>
      <c r="FB650" s="42"/>
      <c r="FC650" s="42"/>
      <c r="FD650" s="42"/>
      <c r="FE650" s="42"/>
      <c r="FF650" s="42"/>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row>
    <row r="651" spans="1:256" ht="13.8" x14ac:dyDescent="0.3">
      <c r="A651" s="42"/>
      <c r="B651" s="42"/>
      <c r="C651" s="42"/>
      <c r="D651" s="42"/>
      <c r="E651" s="42"/>
      <c r="F651" s="42"/>
      <c r="G651" s="42"/>
      <c r="H651" s="42"/>
      <c r="I651" s="42"/>
      <c r="J651" s="42"/>
      <c r="K651" s="42"/>
      <c r="L651" s="42"/>
      <c r="M651" s="42"/>
      <c r="N651" s="42"/>
      <c r="O651" s="42"/>
      <c r="P651" s="42"/>
      <c r="Q651" s="42"/>
      <c r="R651" s="42"/>
      <c r="S651" s="42"/>
      <c r="T651" s="42"/>
      <c r="U651" s="194"/>
      <c r="V651" s="42"/>
      <c r="W651" s="42"/>
      <c r="X651" s="42"/>
      <c r="Y651" s="42"/>
      <c r="Z651" s="42"/>
      <c r="AA651" s="42"/>
      <c r="AB651" s="195"/>
      <c r="AC651" s="42"/>
      <c r="AD651" s="42"/>
      <c r="AE651" s="195"/>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c r="BM651" s="42"/>
      <c r="BN651" s="42"/>
      <c r="BO651" s="42"/>
      <c r="BP651" s="42"/>
      <c r="BQ651" s="42"/>
      <c r="BR651" s="42"/>
      <c r="BS651" s="42"/>
      <c r="BT651" s="42"/>
      <c r="BU651" s="42"/>
      <c r="BV651" s="42"/>
      <c r="BW651" s="42"/>
      <c r="BX651" s="42"/>
      <c r="BY651" s="42"/>
      <c r="BZ651" s="42"/>
      <c r="CA651" s="42"/>
      <c r="CB651" s="42"/>
      <c r="CC651" s="42"/>
      <c r="CD651" s="42"/>
      <c r="CE651" s="42"/>
      <c r="CF651" s="42"/>
      <c r="CG651" s="42"/>
      <c r="CH651" s="42"/>
      <c r="CI651" s="42"/>
      <c r="CJ651" s="42"/>
      <c r="CK651" s="42"/>
      <c r="CL651" s="42"/>
      <c r="CM651" s="42"/>
      <c r="CN651" s="42"/>
      <c r="CO651" s="42"/>
      <c r="CP651" s="42"/>
      <c r="CQ651" s="42"/>
      <c r="CR651" s="42"/>
      <c r="CS651" s="42"/>
      <c r="CT651" s="42"/>
      <c r="CU651" s="42"/>
      <c r="CV651" s="42"/>
      <c r="CW651" s="42"/>
      <c r="CX651" s="42"/>
      <c r="CY651" s="42"/>
      <c r="CZ651" s="42"/>
      <c r="DA651" s="42"/>
      <c r="DB651" s="42"/>
      <c r="DC651" s="42"/>
      <c r="DD651" s="42"/>
      <c r="DE651" s="42"/>
      <c r="DF651" s="42"/>
      <c r="DG651" s="42"/>
      <c r="DH651" s="42"/>
      <c r="DI651" s="42"/>
      <c r="DJ651" s="42"/>
      <c r="DK651" s="42"/>
      <c r="DL651" s="42"/>
      <c r="DM651" s="42"/>
      <c r="DN651" s="42"/>
      <c r="DO651" s="42"/>
      <c r="DP651" s="42"/>
      <c r="DQ651" s="42"/>
      <c r="DR651" s="42"/>
      <c r="DS651" s="42"/>
      <c r="DT651" s="42"/>
      <c r="DU651" s="42"/>
      <c r="DV651" s="42"/>
      <c r="DW651" s="42"/>
      <c r="DX651" s="42"/>
      <c r="DY651" s="42"/>
      <c r="DZ651" s="42"/>
      <c r="EA651" s="42"/>
      <c r="EB651" s="42"/>
      <c r="EC651" s="42"/>
      <c r="ED651" s="42"/>
      <c r="EE651" s="42"/>
      <c r="EF651" s="42"/>
      <c r="EG651" s="42"/>
      <c r="EH651" s="42"/>
      <c r="EI651" s="42"/>
      <c r="EJ651" s="42"/>
      <c r="EK651" s="42"/>
      <c r="EL651" s="42"/>
      <c r="EM651" s="42"/>
      <c r="EN651" s="42"/>
      <c r="EO651" s="42"/>
      <c r="EP651" s="42"/>
      <c r="EQ651" s="42"/>
      <c r="ER651" s="42"/>
      <c r="ES651" s="42"/>
      <c r="ET651" s="42"/>
      <c r="EU651" s="42"/>
      <c r="EV651" s="42"/>
      <c r="EW651" s="42"/>
      <c r="EX651" s="42"/>
      <c r="EY651" s="42"/>
      <c r="EZ651" s="42"/>
      <c r="FA651" s="42"/>
      <c r="FB651" s="42"/>
      <c r="FC651" s="42"/>
      <c r="FD651" s="42"/>
      <c r="FE651" s="42"/>
      <c r="FF651" s="42"/>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row>
    <row r="652" spans="1:256" ht="13.8" x14ac:dyDescent="0.3">
      <c r="A652" s="42"/>
      <c r="B652" s="42"/>
      <c r="C652" s="42"/>
      <c r="D652" s="42"/>
      <c r="E652" s="42"/>
      <c r="F652" s="42"/>
      <c r="G652" s="42"/>
      <c r="H652" s="42"/>
      <c r="I652" s="42"/>
      <c r="J652" s="42"/>
      <c r="K652" s="42"/>
      <c r="L652" s="42"/>
      <c r="M652" s="42"/>
      <c r="N652" s="42"/>
      <c r="O652" s="42"/>
      <c r="P652" s="42"/>
      <c r="Q652" s="42"/>
      <c r="R652" s="42"/>
      <c r="S652" s="42"/>
      <c r="T652" s="42"/>
      <c r="U652" s="194"/>
      <c r="V652" s="42"/>
      <c r="W652" s="42"/>
      <c r="X652" s="42"/>
      <c r="Y652" s="42"/>
      <c r="Z652" s="42"/>
      <c r="AA652" s="42"/>
      <c r="AB652" s="195"/>
      <c r="AC652" s="42"/>
      <c r="AD652" s="42"/>
      <c r="AE652" s="195"/>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c r="BM652" s="42"/>
      <c r="BN652" s="42"/>
      <c r="BO652" s="42"/>
      <c r="BP652" s="42"/>
      <c r="BQ652" s="42"/>
      <c r="BR652" s="42"/>
      <c r="BS652" s="42"/>
      <c r="BT652" s="42"/>
      <c r="BU652" s="42"/>
      <c r="BV652" s="42"/>
      <c r="BW652" s="42"/>
      <c r="BX652" s="42"/>
      <c r="BY652" s="42"/>
      <c r="BZ652" s="42"/>
      <c r="CA652" s="42"/>
      <c r="CB652" s="42"/>
      <c r="CC652" s="42"/>
      <c r="CD652" s="42"/>
      <c r="CE652" s="42"/>
      <c r="CF652" s="42"/>
      <c r="CG652" s="42"/>
      <c r="CH652" s="42"/>
      <c r="CI652" s="42"/>
      <c r="CJ652" s="42"/>
      <c r="CK652" s="42"/>
      <c r="CL652" s="42"/>
      <c r="CM652" s="42"/>
      <c r="CN652" s="42"/>
      <c r="CO652" s="42"/>
      <c r="CP652" s="42"/>
      <c r="CQ652" s="42"/>
      <c r="CR652" s="42"/>
      <c r="CS652" s="42"/>
      <c r="CT652" s="42"/>
      <c r="CU652" s="42"/>
      <c r="CV652" s="42"/>
      <c r="CW652" s="42"/>
      <c r="CX652" s="42"/>
      <c r="CY652" s="42"/>
      <c r="CZ652" s="42"/>
      <c r="DA652" s="42"/>
      <c r="DB652" s="42"/>
      <c r="DC652" s="42"/>
      <c r="DD652" s="42"/>
      <c r="DE652" s="42"/>
      <c r="DF652" s="42"/>
      <c r="DG652" s="42"/>
      <c r="DH652" s="42"/>
      <c r="DI652" s="42"/>
      <c r="DJ652" s="42"/>
      <c r="DK652" s="42"/>
      <c r="DL652" s="42"/>
      <c r="DM652" s="42"/>
      <c r="DN652" s="42"/>
      <c r="DO652" s="42"/>
      <c r="DP652" s="42"/>
      <c r="DQ652" s="42"/>
      <c r="DR652" s="42"/>
      <c r="DS652" s="42"/>
      <c r="DT652" s="42"/>
      <c r="DU652" s="42"/>
      <c r="DV652" s="42"/>
      <c r="DW652" s="42"/>
      <c r="DX652" s="42"/>
      <c r="DY652" s="42"/>
      <c r="DZ652" s="42"/>
      <c r="EA652" s="42"/>
      <c r="EB652" s="42"/>
      <c r="EC652" s="42"/>
      <c r="ED652" s="42"/>
      <c r="EE652" s="42"/>
      <c r="EF652" s="42"/>
      <c r="EG652" s="42"/>
      <c r="EH652" s="42"/>
      <c r="EI652" s="42"/>
      <c r="EJ652" s="42"/>
      <c r="EK652" s="42"/>
      <c r="EL652" s="42"/>
      <c r="EM652" s="42"/>
      <c r="EN652" s="42"/>
      <c r="EO652" s="42"/>
      <c r="EP652" s="42"/>
      <c r="EQ652" s="42"/>
      <c r="ER652" s="42"/>
      <c r="ES652" s="42"/>
      <c r="ET652" s="42"/>
      <c r="EU652" s="42"/>
      <c r="EV652" s="42"/>
      <c r="EW652" s="42"/>
      <c r="EX652" s="42"/>
      <c r="EY652" s="42"/>
      <c r="EZ652" s="42"/>
      <c r="FA652" s="42"/>
      <c r="FB652" s="42"/>
      <c r="FC652" s="42"/>
      <c r="FD652" s="42"/>
      <c r="FE652" s="42"/>
      <c r="FF652" s="42"/>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row>
    <row r="653" spans="1:256" ht="13.8" x14ac:dyDescent="0.3">
      <c r="A653" s="42"/>
      <c r="B653" s="42"/>
      <c r="C653" s="42"/>
      <c r="D653" s="42"/>
      <c r="E653" s="42"/>
      <c r="F653" s="42"/>
      <c r="G653" s="42"/>
      <c r="H653" s="42"/>
      <c r="I653" s="42"/>
      <c r="J653" s="42"/>
      <c r="K653" s="42"/>
      <c r="L653" s="42"/>
      <c r="M653" s="42"/>
      <c r="N653" s="42"/>
      <c r="O653" s="42"/>
      <c r="P653" s="42"/>
      <c r="Q653" s="42"/>
      <c r="R653" s="42"/>
      <c r="S653" s="42"/>
      <c r="T653" s="42"/>
      <c r="U653" s="194"/>
      <c r="V653" s="42"/>
      <c r="W653" s="42"/>
      <c r="X653" s="42"/>
      <c r="Y653" s="42"/>
      <c r="Z653" s="42"/>
      <c r="AA653" s="42"/>
      <c r="AB653" s="195"/>
      <c r="AC653" s="42"/>
      <c r="AD653" s="42"/>
      <c r="AE653" s="195"/>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c r="BM653" s="42"/>
      <c r="BN653" s="42"/>
      <c r="BO653" s="42"/>
      <c r="BP653" s="42"/>
      <c r="BQ653" s="42"/>
      <c r="BR653" s="42"/>
      <c r="BS653" s="42"/>
      <c r="BT653" s="42"/>
      <c r="BU653" s="42"/>
      <c r="BV653" s="42"/>
      <c r="BW653" s="42"/>
      <c r="BX653" s="42"/>
      <c r="BY653" s="42"/>
      <c r="BZ653" s="42"/>
      <c r="CA653" s="42"/>
      <c r="CB653" s="42"/>
      <c r="CC653" s="42"/>
      <c r="CD653" s="42"/>
      <c r="CE653" s="42"/>
      <c r="CF653" s="42"/>
      <c r="CG653" s="42"/>
      <c r="CH653" s="42"/>
      <c r="CI653" s="42"/>
      <c r="CJ653" s="42"/>
      <c r="CK653" s="42"/>
      <c r="CL653" s="42"/>
      <c r="CM653" s="42"/>
      <c r="CN653" s="42"/>
      <c r="CO653" s="42"/>
      <c r="CP653" s="42"/>
      <c r="CQ653" s="42"/>
      <c r="CR653" s="42"/>
      <c r="CS653" s="42"/>
      <c r="CT653" s="42"/>
      <c r="CU653" s="42"/>
      <c r="CV653" s="42"/>
      <c r="CW653" s="42"/>
      <c r="CX653" s="42"/>
      <c r="CY653" s="42"/>
      <c r="CZ653" s="42"/>
      <c r="DA653" s="42"/>
      <c r="DB653" s="42"/>
      <c r="DC653" s="42"/>
      <c r="DD653" s="42"/>
      <c r="DE653" s="42"/>
      <c r="DF653" s="42"/>
      <c r="DG653" s="42"/>
      <c r="DH653" s="42"/>
      <c r="DI653" s="42"/>
      <c r="DJ653" s="42"/>
      <c r="DK653" s="42"/>
      <c r="DL653" s="42"/>
      <c r="DM653" s="42"/>
      <c r="DN653" s="42"/>
      <c r="DO653" s="42"/>
      <c r="DP653" s="42"/>
      <c r="DQ653" s="42"/>
      <c r="DR653" s="42"/>
      <c r="DS653" s="42"/>
      <c r="DT653" s="42"/>
      <c r="DU653" s="42"/>
      <c r="DV653" s="42"/>
      <c r="DW653" s="42"/>
      <c r="DX653" s="42"/>
      <c r="DY653" s="42"/>
      <c r="DZ653" s="42"/>
      <c r="EA653" s="42"/>
      <c r="EB653" s="42"/>
      <c r="EC653" s="42"/>
      <c r="ED653" s="42"/>
      <c r="EE653" s="42"/>
      <c r="EF653" s="42"/>
      <c r="EG653" s="42"/>
      <c r="EH653" s="42"/>
      <c r="EI653" s="42"/>
      <c r="EJ653" s="42"/>
      <c r="EK653" s="42"/>
      <c r="EL653" s="42"/>
      <c r="EM653" s="42"/>
      <c r="EN653" s="42"/>
      <c r="EO653" s="42"/>
      <c r="EP653" s="42"/>
      <c r="EQ653" s="42"/>
      <c r="ER653" s="42"/>
      <c r="ES653" s="42"/>
      <c r="ET653" s="42"/>
      <c r="EU653" s="42"/>
      <c r="EV653" s="42"/>
      <c r="EW653" s="42"/>
      <c r="EX653" s="42"/>
      <c r="EY653" s="42"/>
      <c r="EZ653" s="42"/>
      <c r="FA653" s="42"/>
      <c r="FB653" s="42"/>
      <c r="FC653" s="42"/>
      <c r="FD653" s="42"/>
      <c r="FE653" s="42"/>
      <c r="FF653" s="42"/>
      <c r="FG653" s="42"/>
      <c r="FH653" s="42"/>
      <c r="FI653" s="42"/>
      <c r="FJ653" s="42"/>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row>
    <row r="654" spans="1:256" ht="13.8" x14ac:dyDescent="0.3">
      <c r="A654" s="42"/>
      <c r="B654" s="42"/>
      <c r="C654" s="42"/>
      <c r="D654" s="42"/>
      <c r="E654" s="42"/>
      <c r="F654" s="42"/>
      <c r="G654" s="42"/>
      <c r="H654" s="42"/>
      <c r="I654" s="42"/>
      <c r="J654" s="42"/>
      <c r="K654" s="42"/>
      <c r="L654" s="42"/>
      <c r="M654" s="42"/>
      <c r="N654" s="42"/>
      <c r="O654" s="42"/>
      <c r="P654" s="42"/>
      <c r="Q654" s="42"/>
      <c r="R654" s="42"/>
      <c r="S654" s="42"/>
      <c r="T654" s="42"/>
      <c r="U654" s="194"/>
      <c r="V654" s="42"/>
      <c r="W654" s="42"/>
      <c r="X654" s="42"/>
      <c r="Y654" s="42"/>
      <c r="Z654" s="42"/>
      <c r="AA654" s="42"/>
      <c r="AB654" s="195"/>
      <c r="AC654" s="42"/>
      <c r="AD654" s="42"/>
      <c r="AE654" s="195"/>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c r="BM654" s="42"/>
      <c r="BN654" s="42"/>
      <c r="BO654" s="42"/>
      <c r="BP654" s="42"/>
      <c r="BQ654" s="42"/>
      <c r="BR654" s="42"/>
      <c r="BS654" s="42"/>
      <c r="BT654" s="42"/>
      <c r="BU654" s="42"/>
      <c r="BV654" s="42"/>
      <c r="BW654" s="42"/>
      <c r="BX654" s="42"/>
      <c r="BY654" s="42"/>
      <c r="BZ654" s="42"/>
      <c r="CA654" s="42"/>
      <c r="CB654" s="42"/>
      <c r="CC654" s="42"/>
      <c r="CD654" s="42"/>
      <c r="CE654" s="42"/>
      <c r="CF654" s="42"/>
      <c r="CG654" s="42"/>
      <c r="CH654" s="42"/>
      <c r="CI654" s="42"/>
      <c r="CJ654" s="42"/>
      <c r="CK654" s="42"/>
      <c r="CL654" s="42"/>
      <c r="CM654" s="42"/>
      <c r="CN654" s="42"/>
      <c r="CO654" s="42"/>
      <c r="CP654" s="42"/>
      <c r="CQ654" s="42"/>
      <c r="CR654" s="42"/>
      <c r="CS654" s="42"/>
      <c r="CT654" s="42"/>
      <c r="CU654" s="42"/>
      <c r="CV654" s="42"/>
      <c r="CW654" s="42"/>
      <c r="CX654" s="42"/>
      <c r="CY654" s="42"/>
      <c r="CZ654" s="42"/>
      <c r="DA654" s="42"/>
      <c r="DB654" s="42"/>
      <c r="DC654" s="42"/>
      <c r="DD654" s="42"/>
      <c r="DE654" s="42"/>
      <c r="DF654" s="42"/>
      <c r="DG654" s="42"/>
      <c r="DH654" s="42"/>
      <c r="DI654" s="42"/>
      <c r="DJ654" s="42"/>
      <c r="DK654" s="42"/>
      <c r="DL654" s="42"/>
      <c r="DM654" s="42"/>
      <c r="DN654" s="42"/>
      <c r="DO654" s="42"/>
      <c r="DP654" s="42"/>
      <c r="DQ654" s="42"/>
      <c r="DR654" s="42"/>
      <c r="DS654" s="42"/>
      <c r="DT654" s="42"/>
      <c r="DU654" s="42"/>
      <c r="DV654" s="42"/>
      <c r="DW654" s="42"/>
      <c r="DX654" s="42"/>
      <c r="DY654" s="42"/>
      <c r="DZ654" s="42"/>
      <c r="EA654" s="42"/>
      <c r="EB654" s="42"/>
      <c r="EC654" s="42"/>
      <c r="ED654" s="42"/>
      <c r="EE654" s="42"/>
      <c r="EF654" s="42"/>
      <c r="EG654" s="42"/>
      <c r="EH654" s="42"/>
      <c r="EI654" s="42"/>
      <c r="EJ654" s="42"/>
      <c r="EK654" s="42"/>
      <c r="EL654" s="42"/>
      <c r="EM654" s="42"/>
      <c r="EN654" s="42"/>
      <c r="EO654" s="42"/>
      <c r="EP654" s="42"/>
      <c r="EQ654" s="42"/>
      <c r="ER654" s="42"/>
      <c r="ES654" s="42"/>
      <c r="ET654" s="42"/>
      <c r="EU654" s="42"/>
      <c r="EV654" s="42"/>
      <c r="EW654" s="42"/>
      <c r="EX654" s="42"/>
      <c r="EY654" s="42"/>
      <c r="EZ654" s="42"/>
      <c r="FA654" s="42"/>
      <c r="FB654" s="42"/>
      <c r="FC654" s="42"/>
      <c r="FD654" s="42"/>
      <c r="FE654" s="42"/>
      <c r="FF654" s="42"/>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row>
    <row r="655" spans="1:256" ht="13.8" x14ac:dyDescent="0.3">
      <c r="A655" s="42"/>
      <c r="B655" s="42"/>
      <c r="C655" s="42"/>
      <c r="D655" s="42"/>
      <c r="E655" s="42"/>
      <c r="F655" s="42"/>
      <c r="G655" s="42"/>
      <c r="H655" s="42"/>
      <c r="I655" s="42"/>
      <c r="J655" s="42"/>
      <c r="K655" s="42"/>
      <c r="L655" s="42"/>
      <c r="M655" s="42"/>
      <c r="N655" s="42"/>
      <c r="O655" s="42"/>
      <c r="P655" s="42"/>
      <c r="Q655" s="42"/>
      <c r="R655" s="42"/>
      <c r="S655" s="42"/>
      <c r="T655" s="42"/>
      <c r="U655" s="194"/>
      <c r="V655" s="42"/>
      <c r="W655" s="42"/>
      <c r="X655" s="42"/>
      <c r="Y655" s="42"/>
      <c r="Z655" s="42"/>
      <c r="AA655" s="42"/>
      <c r="AB655" s="195"/>
      <c r="AC655" s="42"/>
      <c r="AD655" s="42"/>
      <c r="AE655" s="195"/>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c r="BM655" s="42"/>
      <c r="BN655" s="42"/>
      <c r="BO655" s="42"/>
      <c r="BP655" s="42"/>
      <c r="BQ655" s="42"/>
      <c r="BR655" s="42"/>
      <c r="BS655" s="42"/>
      <c r="BT655" s="42"/>
      <c r="BU655" s="42"/>
      <c r="BV655" s="42"/>
      <c r="BW655" s="42"/>
      <c r="BX655" s="42"/>
      <c r="BY655" s="42"/>
      <c r="BZ655" s="42"/>
      <c r="CA655" s="42"/>
      <c r="CB655" s="42"/>
      <c r="CC655" s="42"/>
      <c r="CD655" s="42"/>
      <c r="CE655" s="42"/>
      <c r="CF655" s="42"/>
      <c r="CG655" s="42"/>
      <c r="CH655" s="42"/>
      <c r="CI655" s="42"/>
      <c r="CJ655" s="42"/>
      <c r="CK655" s="42"/>
      <c r="CL655" s="42"/>
      <c r="CM655" s="42"/>
      <c r="CN655" s="42"/>
      <c r="CO655" s="42"/>
      <c r="CP655" s="42"/>
      <c r="CQ655" s="42"/>
      <c r="CR655" s="42"/>
      <c r="CS655" s="42"/>
      <c r="CT655" s="42"/>
      <c r="CU655" s="42"/>
      <c r="CV655" s="42"/>
      <c r="CW655" s="42"/>
      <c r="CX655" s="42"/>
      <c r="CY655" s="42"/>
      <c r="CZ655" s="42"/>
      <c r="DA655" s="42"/>
      <c r="DB655" s="42"/>
      <c r="DC655" s="42"/>
      <c r="DD655" s="42"/>
      <c r="DE655" s="42"/>
      <c r="DF655" s="42"/>
      <c r="DG655" s="42"/>
      <c r="DH655" s="42"/>
      <c r="DI655" s="42"/>
      <c r="DJ655" s="42"/>
      <c r="DK655" s="42"/>
      <c r="DL655" s="42"/>
      <c r="DM655" s="42"/>
      <c r="DN655" s="42"/>
      <c r="DO655" s="42"/>
      <c r="DP655" s="42"/>
      <c r="DQ655" s="42"/>
      <c r="DR655" s="42"/>
      <c r="DS655" s="42"/>
      <c r="DT655" s="42"/>
      <c r="DU655" s="42"/>
      <c r="DV655" s="42"/>
      <c r="DW655" s="42"/>
      <c r="DX655" s="42"/>
      <c r="DY655" s="42"/>
      <c r="DZ655" s="42"/>
      <c r="EA655" s="42"/>
      <c r="EB655" s="42"/>
      <c r="EC655" s="42"/>
      <c r="ED655" s="42"/>
      <c r="EE655" s="42"/>
      <c r="EF655" s="42"/>
      <c r="EG655" s="42"/>
      <c r="EH655" s="42"/>
      <c r="EI655" s="42"/>
      <c r="EJ655" s="42"/>
      <c r="EK655" s="42"/>
      <c r="EL655" s="42"/>
      <c r="EM655" s="42"/>
      <c r="EN655" s="42"/>
      <c r="EO655" s="42"/>
      <c r="EP655" s="42"/>
      <c r="EQ655" s="42"/>
      <c r="ER655" s="42"/>
      <c r="ES655" s="42"/>
      <c r="ET655" s="42"/>
      <c r="EU655" s="42"/>
      <c r="EV655" s="42"/>
      <c r="EW655" s="42"/>
      <c r="EX655" s="42"/>
      <c r="EY655" s="42"/>
      <c r="EZ655" s="42"/>
      <c r="FA655" s="42"/>
      <c r="FB655" s="42"/>
      <c r="FC655" s="42"/>
      <c r="FD655" s="42"/>
      <c r="FE655" s="42"/>
      <c r="FF655" s="42"/>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row>
    <row r="656" spans="1:256" ht="13.8" x14ac:dyDescent="0.3">
      <c r="A656" s="42"/>
      <c r="B656" s="42"/>
      <c r="C656" s="42"/>
      <c r="D656" s="42"/>
      <c r="E656" s="42"/>
      <c r="F656" s="42"/>
      <c r="G656" s="42"/>
      <c r="H656" s="42"/>
      <c r="I656" s="42"/>
      <c r="J656" s="42"/>
      <c r="K656" s="42"/>
      <c r="L656" s="42"/>
      <c r="M656" s="42"/>
      <c r="N656" s="42"/>
      <c r="O656" s="42"/>
      <c r="P656" s="42"/>
      <c r="Q656" s="42"/>
      <c r="R656" s="42"/>
      <c r="S656" s="42"/>
      <c r="T656" s="42"/>
      <c r="U656" s="194"/>
      <c r="V656" s="42"/>
      <c r="W656" s="42"/>
      <c r="X656" s="42"/>
      <c r="Y656" s="42"/>
      <c r="Z656" s="42"/>
      <c r="AA656" s="42"/>
      <c r="AB656" s="195"/>
      <c r="AC656" s="42"/>
      <c r="AD656" s="42"/>
      <c r="AE656" s="195"/>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c r="BM656" s="42"/>
      <c r="BN656" s="42"/>
      <c r="BO656" s="42"/>
      <c r="BP656" s="42"/>
      <c r="BQ656" s="42"/>
      <c r="BR656" s="42"/>
      <c r="BS656" s="42"/>
      <c r="BT656" s="42"/>
      <c r="BU656" s="42"/>
      <c r="BV656" s="42"/>
      <c r="BW656" s="42"/>
      <c r="BX656" s="42"/>
      <c r="BY656" s="42"/>
      <c r="BZ656" s="42"/>
      <c r="CA656" s="42"/>
      <c r="CB656" s="42"/>
      <c r="CC656" s="42"/>
      <c r="CD656" s="42"/>
      <c r="CE656" s="42"/>
      <c r="CF656" s="42"/>
      <c r="CG656" s="42"/>
      <c r="CH656" s="42"/>
      <c r="CI656" s="42"/>
      <c r="CJ656" s="42"/>
      <c r="CK656" s="42"/>
      <c r="CL656" s="42"/>
      <c r="CM656" s="42"/>
      <c r="CN656" s="42"/>
      <c r="CO656" s="42"/>
      <c r="CP656" s="42"/>
      <c r="CQ656" s="42"/>
      <c r="CR656" s="42"/>
      <c r="CS656" s="42"/>
      <c r="CT656" s="42"/>
      <c r="CU656" s="42"/>
      <c r="CV656" s="42"/>
      <c r="CW656" s="42"/>
      <c r="CX656" s="42"/>
      <c r="CY656" s="42"/>
      <c r="CZ656" s="42"/>
      <c r="DA656" s="42"/>
      <c r="DB656" s="42"/>
      <c r="DC656" s="42"/>
      <c r="DD656" s="42"/>
      <c r="DE656" s="42"/>
      <c r="DF656" s="42"/>
      <c r="DG656" s="42"/>
      <c r="DH656" s="42"/>
      <c r="DI656" s="42"/>
      <c r="DJ656" s="42"/>
      <c r="DK656" s="42"/>
      <c r="DL656" s="42"/>
      <c r="DM656" s="42"/>
      <c r="DN656" s="42"/>
      <c r="DO656" s="42"/>
      <c r="DP656" s="42"/>
      <c r="DQ656" s="42"/>
      <c r="DR656" s="42"/>
      <c r="DS656" s="42"/>
      <c r="DT656" s="42"/>
      <c r="DU656" s="42"/>
      <c r="DV656" s="42"/>
      <c r="DW656" s="42"/>
      <c r="DX656" s="42"/>
      <c r="DY656" s="42"/>
      <c r="DZ656" s="42"/>
      <c r="EA656" s="42"/>
      <c r="EB656" s="42"/>
      <c r="EC656" s="42"/>
      <c r="ED656" s="42"/>
      <c r="EE656" s="42"/>
      <c r="EF656" s="42"/>
      <c r="EG656" s="42"/>
      <c r="EH656" s="42"/>
      <c r="EI656" s="42"/>
      <c r="EJ656" s="42"/>
      <c r="EK656" s="42"/>
      <c r="EL656" s="42"/>
      <c r="EM656" s="42"/>
      <c r="EN656" s="42"/>
      <c r="EO656" s="42"/>
      <c r="EP656" s="42"/>
      <c r="EQ656" s="42"/>
      <c r="ER656" s="42"/>
      <c r="ES656" s="42"/>
      <c r="ET656" s="42"/>
      <c r="EU656" s="42"/>
      <c r="EV656" s="42"/>
      <c r="EW656" s="42"/>
      <c r="EX656" s="42"/>
      <c r="EY656" s="42"/>
      <c r="EZ656" s="42"/>
      <c r="FA656" s="42"/>
      <c r="FB656" s="42"/>
      <c r="FC656" s="42"/>
      <c r="FD656" s="42"/>
      <c r="FE656" s="42"/>
      <c r="FF656" s="42"/>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row>
    <row r="657" spans="1:256" ht="13.8" x14ac:dyDescent="0.3">
      <c r="A657" s="42"/>
      <c r="B657" s="42"/>
      <c r="C657" s="42"/>
      <c r="D657" s="42"/>
      <c r="E657" s="42"/>
      <c r="F657" s="42"/>
      <c r="G657" s="42"/>
      <c r="H657" s="42"/>
      <c r="I657" s="42"/>
      <c r="J657" s="42"/>
      <c r="K657" s="42"/>
      <c r="L657" s="42"/>
      <c r="M657" s="42"/>
      <c r="N657" s="42"/>
      <c r="O657" s="42"/>
      <c r="P657" s="42"/>
      <c r="Q657" s="42"/>
      <c r="R657" s="42"/>
      <c r="S657" s="42"/>
      <c r="T657" s="42"/>
      <c r="U657" s="194"/>
      <c r="V657" s="42"/>
      <c r="W657" s="42"/>
      <c r="X657" s="42"/>
      <c r="Y657" s="42"/>
      <c r="Z657" s="42"/>
      <c r="AA657" s="42"/>
      <c r="AB657" s="195"/>
      <c r="AC657" s="42"/>
      <c r="AD657" s="42"/>
      <c r="AE657" s="195"/>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c r="BM657" s="42"/>
      <c r="BN657" s="42"/>
      <c r="BO657" s="42"/>
      <c r="BP657" s="42"/>
      <c r="BQ657" s="42"/>
      <c r="BR657" s="42"/>
      <c r="BS657" s="42"/>
      <c r="BT657" s="42"/>
      <c r="BU657" s="42"/>
      <c r="BV657" s="42"/>
      <c r="BW657" s="42"/>
      <c r="BX657" s="42"/>
      <c r="BY657" s="42"/>
      <c r="BZ657" s="42"/>
      <c r="CA657" s="42"/>
      <c r="CB657" s="42"/>
      <c r="CC657" s="42"/>
      <c r="CD657" s="42"/>
      <c r="CE657" s="42"/>
      <c r="CF657" s="42"/>
      <c r="CG657" s="42"/>
      <c r="CH657" s="42"/>
      <c r="CI657" s="42"/>
      <c r="CJ657" s="42"/>
      <c r="CK657" s="42"/>
      <c r="CL657" s="42"/>
      <c r="CM657" s="42"/>
      <c r="CN657" s="42"/>
      <c r="CO657" s="42"/>
      <c r="CP657" s="42"/>
      <c r="CQ657" s="42"/>
      <c r="CR657" s="42"/>
      <c r="CS657" s="42"/>
      <c r="CT657" s="42"/>
      <c r="CU657" s="42"/>
      <c r="CV657" s="42"/>
      <c r="CW657" s="42"/>
      <c r="CX657" s="42"/>
      <c r="CY657" s="42"/>
      <c r="CZ657" s="42"/>
      <c r="DA657" s="42"/>
      <c r="DB657" s="42"/>
      <c r="DC657" s="42"/>
      <c r="DD657" s="42"/>
      <c r="DE657" s="42"/>
      <c r="DF657" s="42"/>
      <c r="DG657" s="42"/>
      <c r="DH657" s="42"/>
      <c r="DI657" s="42"/>
      <c r="DJ657" s="42"/>
      <c r="DK657" s="42"/>
      <c r="DL657" s="42"/>
      <c r="DM657" s="42"/>
      <c r="DN657" s="42"/>
      <c r="DO657" s="42"/>
      <c r="DP657" s="42"/>
      <c r="DQ657" s="42"/>
      <c r="DR657" s="42"/>
      <c r="DS657" s="42"/>
      <c r="DT657" s="42"/>
      <c r="DU657" s="42"/>
      <c r="DV657" s="42"/>
      <c r="DW657" s="42"/>
      <c r="DX657" s="42"/>
      <c r="DY657" s="42"/>
      <c r="DZ657" s="42"/>
      <c r="EA657" s="42"/>
      <c r="EB657" s="42"/>
      <c r="EC657" s="42"/>
      <c r="ED657" s="42"/>
      <c r="EE657" s="42"/>
      <c r="EF657" s="42"/>
      <c r="EG657" s="42"/>
      <c r="EH657" s="42"/>
      <c r="EI657" s="42"/>
      <c r="EJ657" s="42"/>
      <c r="EK657" s="42"/>
      <c r="EL657" s="42"/>
      <c r="EM657" s="42"/>
      <c r="EN657" s="42"/>
      <c r="EO657" s="42"/>
      <c r="EP657" s="42"/>
      <c r="EQ657" s="42"/>
      <c r="ER657" s="42"/>
      <c r="ES657" s="42"/>
      <c r="ET657" s="42"/>
      <c r="EU657" s="42"/>
      <c r="EV657" s="42"/>
      <c r="EW657" s="42"/>
      <c r="EX657" s="42"/>
      <c r="EY657" s="42"/>
      <c r="EZ657" s="42"/>
      <c r="FA657" s="42"/>
      <c r="FB657" s="42"/>
      <c r="FC657" s="42"/>
      <c r="FD657" s="42"/>
      <c r="FE657" s="42"/>
      <c r="FF657" s="42"/>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row>
    <row r="658" spans="1:256" ht="13.8" x14ac:dyDescent="0.3">
      <c r="A658" s="42"/>
      <c r="B658" s="42"/>
      <c r="C658" s="42"/>
      <c r="D658" s="42"/>
      <c r="E658" s="42"/>
      <c r="F658" s="42"/>
      <c r="G658" s="42"/>
      <c r="H658" s="42"/>
      <c r="I658" s="42"/>
      <c r="J658" s="42"/>
      <c r="K658" s="42"/>
      <c r="L658" s="42"/>
      <c r="M658" s="42"/>
      <c r="N658" s="42"/>
      <c r="O658" s="42"/>
      <c r="P658" s="42"/>
      <c r="Q658" s="42"/>
      <c r="R658" s="42"/>
      <c r="S658" s="42"/>
      <c r="T658" s="42"/>
      <c r="U658" s="194"/>
      <c r="V658" s="42"/>
      <c r="W658" s="42"/>
      <c r="X658" s="42"/>
      <c r="Y658" s="42"/>
      <c r="Z658" s="42"/>
      <c r="AA658" s="42"/>
      <c r="AB658" s="195"/>
      <c r="AC658" s="42"/>
      <c r="AD658" s="42"/>
      <c r="AE658" s="195"/>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c r="CF658" s="42"/>
      <c r="CG658" s="42"/>
      <c r="CH658" s="42"/>
      <c r="CI658" s="42"/>
      <c r="CJ658" s="42"/>
      <c r="CK658" s="42"/>
      <c r="CL658" s="42"/>
      <c r="CM658" s="42"/>
      <c r="CN658" s="42"/>
      <c r="CO658" s="42"/>
      <c r="CP658" s="42"/>
      <c r="CQ658" s="42"/>
      <c r="CR658" s="42"/>
      <c r="CS658" s="42"/>
      <c r="CT658" s="42"/>
      <c r="CU658" s="42"/>
      <c r="CV658" s="42"/>
      <c r="CW658" s="42"/>
      <c r="CX658" s="42"/>
      <c r="CY658" s="42"/>
      <c r="CZ658" s="42"/>
      <c r="DA658" s="42"/>
      <c r="DB658" s="42"/>
      <c r="DC658" s="42"/>
      <c r="DD658" s="42"/>
      <c r="DE658" s="42"/>
      <c r="DF658" s="42"/>
      <c r="DG658" s="42"/>
      <c r="DH658" s="42"/>
      <c r="DI658" s="42"/>
      <c r="DJ658" s="42"/>
      <c r="DK658" s="42"/>
      <c r="DL658" s="42"/>
      <c r="DM658" s="42"/>
      <c r="DN658" s="42"/>
      <c r="DO658" s="42"/>
      <c r="DP658" s="42"/>
      <c r="DQ658" s="42"/>
      <c r="DR658" s="42"/>
      <c r="DS658" s="42"/>
      <c r="DT658" s="42"/>
      <c r="DU658" s="42"/>
      <c r="DV658" s="42"/>
      <c r="DW658" s="42"/>
      <c r="DX658" s="42"/>
      <c r="DY658" s="42"/>
      <c r="DZ658" s="42"/>
      <c r="EA658" s="42"/>
      <c r="EB658" s="42"/>
      <c r="EC658" s="42"/>
      <c r="ED658" s="42"/>
      <c r="EE658" s="42"/>
      <c r="EF658" s="42"/>
      <c r="EG658" s="42"/>
      <c r="EH658" s="42"/>
      <c r="EI658" s="42"/>
      <c r="EJ658" s="42"/>
      <c r="EK658" s="42"/>
      <c r="EL658" s="42"/>
      <c r="EM658" s="42"/>
      <c r="EN658" s="42"/>
      <c r="EO658" s="42"/>
      <c r="EP658" s="42"/>
      <c r="EQ658" s="42"/>
      <c r="ER658" s="42"/>
      <c r="ES658" s="42"/>
      <c r="ET658" s="42"/>
      <c r="EU658" s="42"/>
      <c r="EV658" s="42"/>
      <c r="EW658" s="42"/>
      <c r="EX658" s="42"/>
      <c r="EY658" s="42"/>
      <c r="EZ658" s="42"/>
      <c r="FA658" s="42"/>
      <c r="FB658" s="42"/>
      <c r="FC658" s="42"/>
      <c r="FD658" s="42"/>
      <c r="FE658" s="42"/>
      <c r="FF658" s="42"/>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row>
    <row r="659" spans="1:256" ht="13.8" x14ac:dyDescent="0.3">
      <c r="A659" s="42"/>
      <c r="B659" s="42"/>
      <c r="C659" s="42"/>
      <c r="D659" s="42"/>
      <c r="E659" s="42"/>
      <c r="F659" s="42"/>
      <c r="G659" s="42"/>
      <c r="H659" s="42"/>
      <c r="I659" s="42"/>
      <c r="J659" s="42"/>
      <c r="K659" s="42"/>
      <c r="L659" s="42"/>
      <c r="M659" s="42"/>
      <c r="N659" s="42"/>
      <c r="O659" s="42"/>
      <c r="P659" s="42"/>
      <c r="Q659" s="42"/>
      <c r="R659" s="42"/>
      <c r="S659" s="42"/>
      <c r="T659" s="42"/>
      <c r="U659" s="194"/>
      <c r="V659" s="42"/>
      <c r="W659" s="42"/>
      <c r="X659" s="42"/>
      <c r="Y659" s="42"/>
      <c r="Z659" s="42"/>
      <c r="AA659" s="42"/>
      <c r="AB659" s="195"/>
      <c r="AC659" s="42"/>
      <c r="AD659" s="42"/>
      <c r="AE659" s="195"/>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c r="BM659" s="42"/>
      <c r="BN659" s="42"/>
      <c r="BO659" s="42"/>
      <c r="BP659" s="42"/>
      <c r="BQ659" s="42"/>
      <c r="BR659" s="42"/>
      <c r="BS659" s="42"/>
      <c r="BT659" s="42"/>
      <c r="BU659" s="42"/>
      <c r="BV659" s="42"/>
      <c r="BW659" s="42"/>
      <c r="BX659" s="42"/>
      <c r="BY659" s="42"/>
      <c r="BZ659" s="42"/>
      <c r="CA659" s="42"/>
      <c r="CB659" s="42"/>
      <c r="CC659" s="42"/>
      <c r="CD659" s="42"/>
      <c r="CE659" s="42"/>
      <c r="CF659" s="42"/>
      <c r="CG659" s="42"/>
      <c r="CH659" s="42"/>
      <c r="CI659" s="42"/>
      <c r="CJ659" s="42"/>
      <c r="CK659" s="42"/>
      <c r="CL659" s="42"/>
      <c r="CM659" s="42"/>
      <c r="CN659" s="42"/>
      <c r="CO659" s="42"/>
      <c r="CP659" s="42"/>
      <c r="CQ659" s="42"/>
      <c r="CR659" s="42"/>
      <c r="CS659" s="42"/>
      <c r="CT659" s="42"/>
      <c r="CU659" s="42"/>
      <c r="CV659" s="42"/>
      <c r="CW659" s="42"/>
      <c r="CX659" s="42"/>
      <c r="CY659" s="42"/>
      <c r="CZ659" s="42"/>
      <c r="DA659" s="42"/>
      <c r="DB659" s="42"/>
      <c r="DC659" s="42"/>
      <c r="DD659" s="42"/>
      <c r="DE659" s="42"/>
      <c r="DF659" s="42"/>
      <c r="DG659" s="42"/>
      <c r="DH659" s="42"/>
      <c r="DI659" s="42"/>
      <c r="DJ659" s="42"/>
      <c r="DK659" s="42"/>
      <c r="DL659" s="42"/>
      <c r="DM659" s="42"/>
      <c r="DN659" s="42"/>
      <c r="DO659" s="42"/>
      <c r="DP659" s="42"/>
      <c r="DQ659" s="42"/>
      <c r="DR659" s="42"/>
      <c r="DS659" s="42"/>
      <c r="DT659" s="42"/>
      <c r="DU659" s="42"/>
      <c r="DV659" s="42"/>
      <c r="DW659" s="42"/>
      <c r="DX659" s="42"/>
      <c r="DY659" s="42"/>
      <c r="DZ659" s="42"/>
      <c r="EA659" s="42"/>
      <c r="EB659" s="42"/>
      <c r="EC659" s="42"/>
      <c r="ED659" s="42"/>
      <c r="EE659" s="42"/>
      <c r="EF659" s="42"/>
      <c r="EG659" s="42"/>
      <c r="EH659" s="42"/>
      <c r="EI659" s="42"/>
      <c r="EJ659" s="42"/>
      <c r="EK659" s="42"/>
      <c r="EL659" s="42"/>
      <c r="EM659" s="42"/>
      <c r="EN659" s="42"/>
      <c r="EO659" s="42"/>
      <c r="EP659" s="42"/>
      <c r="EQ659" s="42"/>
      <c r="ER659" s="42"/>
      <c r="ES659" s="42"/>
      <c r="ET659" s="42"/>
      <c r="EU659" s="42"/>
      <c r="EV659" s="42"/>
      <c r="EW659" s="42"/>
      <c r="EX659" s="42"/>
      <c r="EY659" s="42"/>
      <c r="EZ659" s="42"/>
      <c r="FA659" s="42"/>
      <c r="FB659" s="42"/>
      <c r="FC659" s="42"/>
      <c r="FD659" s="42"/>
      <c r="FE659" s="42"/>
      <c r="FF659" s="42"/>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row>
    <row r="660" spans="1:256" ht="13.8" x14ac:dyDescent="0.3">
      <c r="A660" s="42"/>
      <c r="B660" s="42"/>
      <c r="C660" s="42"/>
      <c r="D660" s="42"/>
      <c r="E660" s="42"/>
      <c r="F660" s="42"/>
      <c r="G660" s="42"/>
      <c r="H660" s="42"/>
      <c r="I660" s="42"/>
      <c r="J660" s="42"/>
      <c r="K660" s="42"/>
      <c r="L660" s="42"/>
      <c r="M660" s="42"/>
      <c r="N660" s="42"/>
      <c r="O660" s="42"/>
      <c r="P660" s="42"/>
      <c r="Q660" s="42"/>
      <c r="R660" s="42"/>
      <c r="S660" s="42"/>
      <c r="T660" s="42"/>
      <c r="U660" s="194"/>
      <c r="V660" s="42"/>
      <c r="W660" s="42"/>
      <c r="X660" s="42"/>
      <c r="Y660" s="42"/>
      <c r="Z660" s="42"/>
      <c r="AA660" s="42"/>
      <c r="AB660" s="195"/>
      <c r="AC660" s="42"/>
      <c r="AD660" s="42"/>
      <c r="AE660" s="195"/>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c r="CF660" s="42"/>
      <c r="CG660" s="42"/>
      <c r="CH660" s="42"/>
      <c r="CI660" s="42"/>
      <c r="CJ660" s="42"/>
      <c r="CK660" s="42"/>
      <c r="CL660" s="42"/>
      <c r="CM660" s="42"/>
      <c r="CN660" s="42"/>
      <c r="CO660" s="42"/>
      <c r="CP660" s="42"/>
      <c r="CQ660" s="42"/>
      <c r="CR660" s="42"/>
      <c r="CS660" s="42"/>
      <c r="CT660" s="42"/>
      <c r="CU660" s="42"/>
      <c r="CV660" s="42"/>
      <c r="CW660" s="42"/>
      <c r="CX660" s="42"/>
      <c r="CY660" s="42"/>
      <c r="CZ660" s="42"/>
      <c r="DA660" s="42"/>
      <c r="DB660" s="42"/>
      <c r="DC660" s="42"/>
      <c r="DD660" s="42"/>
      <c r="DE660" s="42"/>
      <c r="DF660" s="42"/>
      <c r="DG660" s="42"/>
      <c r="DH660" s="42"/>
      <c r="DI660" s="42"/>
      <c r="DJ660" s="42"/>
      <c r="DK660" s="42"/>
      <c r="DL660" s="42"/>
      <c r="DM660" s="42"/>
      <c r="DN660" s="42"/>
      <c r="DO660" s="42"/>
      <c r="DP660" s="42"/>
      <c r="DQ660" s="42"/>
      <c r="DR660" s="42"/>
      <c r="DS660" s="42"/>
      <c r="DT660" s="42"/>
      <c r="DU660" s="42"/>
      <c r="DV660" s="42"/>
      <c r="DW660" s="42"/>
      <c r="DX660" s="42"/>
      <c r="DY660" s="42"/>
      <c r="DZ660" s="42"/>
      <c r="EA660" s="42"/>
      <c r="EB660" s="42"/>
      <c r="EC660" s="42"/>
      <c r="ED660" s="42"/>
      <c r="EE660" s="42"/>
      <c r="EF660" s="42"/>
      <c r="EG660" s="42"/>
      <c r="EH660" s="42"/>
      <c r="EI660" s="42"/>
      <c r="EJ660" s="42"/>
      <c r="EK660" s="42"/>
      <c r="EL660" s="42"/>
      <c r="EM660" s="42"/>
      <c r="EN660" s="42"/>
      <c r="EO660" s="42"/>
      <c r="EP660" s="42"/>
      <c r="EQ660" s="42"/>
      <c r="ER660" s="42"/>
      <c r="ES660" s="42"/>
      <c r="ET660" s="42"/>
      <c r="EU660" s="42"/>
      <c r="EV660" s="42"/>
      <c r="EW660" s="42"/>
      <c r="EX660" s="42"/>
      <c r="EY660" s="42"/>
      <c r="EZ660" s="42"/>
      <c r="FA660" s="42"/>
      <c r="FB660" s="42"/>
      <c r="FC660" s="42"/>
      <c r="FD660" s="42"/>
      <c r="FE660" s="42"/>
      <c r="FF660" s="42"/>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row>
    <row r="661" spans="1:256" ht="13.8" x14ac:dyDescent="0.3">
      <c r="A661" s="42"/>
      <c r="B661" s="42"/>
      <c r="C661" s="42"/>
      <c r="D661" s="42"/>
      <c r="E661" s="42"/>
      <c r="F661" s="42"/>
      <c r="G661" s="42"/>
      <c r="H661" s="42"/>
      <c r="I661" s="42"/>
      <c r="J661" s="42"/>
      <c r="K661" s="42"/>
      <c r="L661" s="42"/>
      <c r="M661" s="42"/>
      <c r="N661" s="42"/>
      <c r="O661" s="42"/>
      <c r="P661" s="42"/>
      <c r="Q661" s="42"/>
      <c r="R661" s="42"/>
      <c r="S661" s="42"/>
      <c r="T661" s="42"/>
      <c r="U661" s="194"/>
      <c r="V661" s="42"/>
      <c r="W661" s="42"/>
      <c r="X661" s="42"/>
      <c r="Y661" s="42"/>
      <c r="Z661" s="42"/>
      <c r="AA661" s="42"/>
      <c r="AB661" s="195"/>
      <c r="AC661" s="42"/>
      <c r="AD661" s="42"/>
      <c r="AE661" s="195"/>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c r="CF661" s="42"/>
      <c r="CG661" s="42"/>
      <c r="CH661" s="42"/>
      <c r="CI661" s="42"/>
      <c r="CJ661" s="42"/>
      <c r="CK661" s="42"/>
      <c r="CL661" s="42"/>
      <c r="CM661" s="42"/>
      <c r="CN661" s="42"/>
      <c r="CO661" s="42"/>
      <c r="CP661" s="42"/>
      <c r="CQ661" s="42"/>
      <c r="CR661" s="42"/>
      <c r="CS661" s="42"/>
      <c r="CT661" s="42"/>
      <c r="CU661" s="42"/>
      <c r="CV661" s="42"/>
      <c r="CW661" s="42"/>
      <c r="CX661" s="42"/>
      <c r="CY661" s="42"/>
      <c r="CZ661" s="42"/>
      <c r="DA661" s="42"/>
      <c r="DB661" s="42"/>
      <c r="DC661" s="42"/>
      <c r="DD661" s="42"/>
      <c r="DE661" s="42"/>
      <c r="DF661" s="42"/>
      <c r="DG661" s="42"/>
      <c r="DH661" s="42"/>
      <c r="DI661" s="42"/>
      <c r="DJ661" s="42"/>
      <c r="DK661" s="42"/>
      <c r="DL661" s="42"/>
      <c r="DM661" s="42"/>
      <c r="DN661" s="42"/>
      <c r="DO661" s="42"/>
      <c r="DP661" s="42"/>
      <c r="DQ661" s="42"/>
      <c r="DR661" s="42"/>
      <c r="DS661" s="42"/>
      <c r="DT661" s="42"/>
      <c r="DU661" s="42"/>
      <c r="DV661" s="42"/>
      <c r="DW661" s="42"/>
      <c r="DX661" s="42"/>
      <c r="DY661" s="42"/>
      <c r="DZ661" s="42"/>
      <c r="EA661" s="42"/>
      <c r="EB661" s="42"/>
      <c r="EC661" s="42"/>
      <c r="ED661" s="42"/>
      <c r="EE661" s="42"/>
      <c r="EF661" s="42"/>
      <c r="EG661" s="42"/>
      <c r="EH661" s="42"/>
      <c r="EI661" s="42"/>
      <c r="EJ661" s="42"/>
      <c r="EK661" s="42"/>
      <c r="EL661" s="42"/>
      <c r="EM661" s="42"/>
      <c r="EN661" s="42"/>
      <c r="EO661" s="42"/>
      <c r="EP661" s="42"/>
      <c r="EQ661" s="42"/>
      <c r="ER661" s="42"/>
      <c r="ES661" s="42"/>
      <c r="ET661" s="42"/>
      <c r="EU661" s="42"/>
      <c r="EV661" s="42"/>
      <c r="EW661" s="42"/>
      <c r="EX661" s="42"/>
      <c r="EY661" s="42"/>
      <c r="EZ661" s="42"/>
      <c r="FA661" s="42"/>
      <c r="FB661" s="42"/>
      <c r="FC661" s="42"/>
      <c r="FD661" s="42"/>
      <c r="FE661" s="42"/>
      <c r="FF661" s="42"/>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row>
    <row r="662" spans="1:256" ht="13.8" x14ac:dyDescent="0.3">
      <c r="A662" s="42"/>
      <c r="B662" s="42"/>
      <c r="C662" s="42"/>
      <c r="D662" s="42"/>
      <c r="E662" s="42"/>
      <c r="F662" s="42"/>
      <c r="G662" s="42"/>
      <c r="H662" s="42"/>
      <c r="I662" s="42"/>
      <c r="J662" s="42"/>
      <c r="K662" s="42"/>
      <c r="L662" s="42"/>
      <c r="M662" s="42"/>
      <c r="N662" s="42"/>
      <c r="O662" s="42"/>
      <c r="P662" s="42"/>
      <c r="Q662" s="42"/>
      <c r="R662" s="42"/>
      <c r="S662" s="42"/>
      <c r="T662" s="42"/>
      <c r="U662" s="194"/>
      <c r="V662" s="42"/>
      <c r="W662" s="42"/>
      <c r="X662" s="42"/>
      <c r="Y662" s="42"/>
      <c r="Z662" s="42"/>
      <c r="AA662" s="42"/>
      <c r="AB662" s="195"/>
      <c r="AC662" s="42"/>
      <c r="AD662" s="42"/>
      <c r="AE662" s="195"/>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c r="BM662" s="42"/>
      <c r="BN662" s="42"/>
      <c r="BO662" s="42"/>
      <c r="BP662" s="42"/>
      <c r="BQ662" s="42"/>
      <c r="BR662" s="42"/>
      <c r="BS662" s="42"/>
      <c r="BT662" s="42"/>
      <c r="BU662" s="42"/>
      <c r="BV662" s="42"/>
      <c r="BW662" s="42"/>
      <c r="BX662" s="42"/>
      <c r="BY662" s="42"/>
      <c r="BZ662" s="42"/>
      <c r="CA662" s="42"/>
      <c r="CB662" s="42"/>
      <c r="CC662" s="42"/>
      <c r="CD662" s="42"/>
      <c r="CE662" s="42"/>
      <c r="CF662" s="42"/>
      <c r="CG662" s="42"/>
      <c r="CH662" s="42"/>
      <c r="CI662" s="42"/>
      <c r="CJ662" s="42"/>
      <c r="CK662" s="42"/>
      <c r="CL662" s="42"/>
      <c r="CM662" s="42"/>
      <c r="CN662" s="42"/>
      <c r="CO662" s="42"/>
      <c r="CP662" s="42"/>
      <c r="CQ662" s="42"/>
      <c r="CR662" s="42"/>
      <c r="CS662" s="42"/>
      <c r="CT662" s="42"/>
      <c r="CU662" s="42"/>
      <c r="CV662" s="42"/>
      <c r="CW662" s="42"/>
      <c r="CX662" s="42"/>
      <c r="CY662" s="42"/>
      <c r="CZ662" s="42"/>
      <c r="DA662" s="42"/>
      <c r="DB662" s="42"/>
      <c r="DC662" s="42"/>
      <c r="DD662" s="42"/>
      <c r="DE662" s="42"/>
      <c r="DF662" s="42"/>
      <c r="DG662" s="42"/>
      <c r="DH662" s="42"/>
      <c r="DI662" s="42"/>
      <c r="DJ662" s="42"/>
      <c r="DK662" s="42"/>
      <c r="DL662" s="42"/>
      <c r="DM662" s="42"/>
      <c r="DN662" s="42"/>
      <c r="DO662" s="42"/>
      <c r="DP662" s="42"/>
      <c r="DQ662" s="42"/>
      <c r="DR662" s="42"/>
      <c r="DS662" s="42"/>
      <c r="DT662" s="42"/>
      <c r="DU662" s="42"/>
      <c r="DV662" s="42"/>
      <c r="DW662" s="42"/>
      <c r="DX662" s="42"/>
      <c r="DY662" s="42"/>
      <c r="DZ662" s="42"/>
      <c r="EA662" s="42"/>
      <c r="EB662" s="42"/>
      <c r="EC662" s="42"/>
      <c r="ED662" s="42"/>
      <c r="EE662" s="42"/>
      <c r="EF662" s="42"/>
      <c r="EG662" s="42"/>
      <c r="EH662" s="42"/>
      <c r="EI662" s="42"/>
      <c r="EJ662" s="42"/>
      <c r="EK662" s="42"/>
      <c r="EL662" s="42"/>
      <c r="EM662" s="42"/>
      <c r="EN662" s="42"/>
      <c r="EO662" s="42"/>
      <c r="EP662" s="42"/>
      <c r="EQ662" s="42"/>
      <c r="ER662" s="42"/>
      <c r="ES662" s="42"/>
      <c r="ET662" s="42"/>
      <c r="EU662" s="42"/>
      <c r="EV662" s="42"/>
      <c r="EW662" s="42"/>
      <c r="EX662" s="42"/>
      <c r="EY662" s="42"/>
      <c r="EZ662" s="42"/>
      <c r="FA662" s="42"/>
      <c r="FB662" s="42"/>
      <c r="FC662" s="42"/>
      <c r="FD662" s="42"/>
      <c r="FE662" s="42"/>
      <c r="FF662" s="42"/>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row>
    <row r="663" spans="1:256" ht="13.8" x14ac:dyDescent="0.3">
      <c r="A663" s="42"/>
      <c r="B663" s="42"/>
      <c r="C663" s="42"/>
      <c r="D663" s="42"/>
      <c r="E663" s="42"/>
      <c r="F663" s="42"/>
      <c r="G663" s="42"/>
      <c r="H663" s="42"/>
      <c r="I663" s="42"/>
      <c r="J663" s="42"/>
      <c r="K663" s="42"/>
      <c r="L663" s="42"/>
      <c r="M663" s="42"/>
      <c r="N663" s="42"/>
      <c r="O663" s="42"/>
      <c r="P663" s="42"/>
      <c r="Q663" s="42"/>
      <c r="R663" s="42"/>
      <c r="S663" s="42"/>
      <c r="T663" s="42"/>
      <c r="U663" s="194"/>
      <c r="V663" s="42"/>
      <c r="W663" s="42"/>
      <c r="X663" s="42"/>
      <c r="Y663" s="42"/>
      <c r="Z663" s="42"/>
      <c r="AA663" s="42"/>
      <c r="AB663" s="195"/>
      <c r="AC663" s="42"/>
      <c r="AD663" s="42"/>
      <c r="AE663" s="195"/>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c r="BM663" s="42"/>
      <c r="BN663" s="42"/>
      <c r="BO663" s="42"/>
      <c r="BP663" s="42"/>
      <c r="BQ663" s="42"/>
      <c r="BR663" s="42"/>
      <c r="BS663" s="42"/>
      <c r="BT663" s="42"/>
      <c r="BU663" s="42"/>
      <c r="BV663" s="42"/>
      <c r="BW663" s="42"/>
      <c r="BX663" s="42"/>
      <c r="BY663" s="42"/>
      <c r="BZ663" s="42"/>
      <c r="CA663" s="42"/>
      <c r="CB663" s="42"/>
      <c r="CC663" s="42"/>
      <c r="CD663" s="42"/>
      <c r="CE663" s="42"/>
      <c r="CF663" s="42"/>
      <c r="CG663" s="42"/>
      <c r="CH663" s="42"/>
      <c r="CI663" s="42"/>
      <c r="CJ663" s="42"/>
      <c r="CK663" s="42"/>
      <c r="CL663" s="42"/>
      <c r="CM663" s="42"/>
      <c r="CN663" s="42"/>
      <c r="CO663" s="42"/>
      <c r="CP663" s="42"/>
      <c r="CQ663" s="42"/>
      <c r="CR663" s="42"/>
      <c r="CS663" s="42"/>
      <c r="CT663" s="42"/>
      <c r="CU663" s="42"/>
      <c r="CV663" s="42"/>
      <c r="CW663" s="42"/>
      <c r="CX663" s="42"/>
      <c r="CY663" s="42"/>
      <c r="CZ663" s="42"/>
      <c r="DA663" s="42"/>
      <c r="DB663" s="42"/>
      <c r="DC663" s="42"/>
      <c r="DD663" s="42"/>
      <c r="DE663" s="42"/>
      <c r="DF663" s="42"/>
      <c r="DG663" s="42"/>
      <c r="DH663" s="42"/>
      <c r="DI663" s="42"/>
      <c r="DJ663" s="42"/>
      <c r="DK663" s="42"/>
      <c r="DL663" s="42"/>
      <c r="DM663" s="42"/>
      <c r="DN663" s="42"/>
      <c r="DO663" s="42"/>
      <c r="DP663" s="42"/>
      <c r="DQ663" s="42"/>
      <c r="DR663" s="42"/>
      <c r="DS663" s="42"/>
      <c r="DT663" s="42"/>
      <c r="DU663" s="42"/>
      <c r="DV663" s="42"/>
      <c r="DW663" s="42"/>
      <c r="DX663" s="42"/>
      <c r="DY663" s="42"/>
      <c r="DZ663" s="42"/>
      <c r="EA663" s="42"/>
      <c r="EB663" s="42"/>
      <c r="EC663" s="42"/>
      <c r="ED663" s="42"/>
      <c r="EE663" s="42"/>
      <c r="EF663" s="42"/>
      <c r="EG663" s="42"/>
      <c r="EH663" s="42"/>
      <c r="EI663" s="42"/>
      <c r="EJ663" s="42"/>
      <c r="EK663" s="42"/>
      <c r="EL663" s="42"/>
      <c r="EM663" s="42"/>
      <c r="EN663" s="42"/>
      <c r="EO663" s="42"/>
      <c r="EP663" s="42"/>
      <c r="EQ663" s="42"/>
      <c r="ER663" s="42"/>
      <c r="ES663" s="42"/>
      <c r="ET663" s="42"/>
      <c r="EU663" s="42"/>
      <c r="EV663" s="42"/>
      <c r="EW663" s="42"/>
      <c r="EX663" s="42"/>
      <c r="EY663" s="42"/>
      <c r="EZ663" s="42"/>
      <c r="FA663" s="42"/>
      <c r="FB663" s="42"/>
      <c r="FC663" s="42"/>
      <c r="FD663" s="42"/>
      <c r="FE663" s="42"/>
      <c r="FF663" s="42"/>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row>
    <row r="664" spans="1:256" ht="13.8" x14ac:dyDescent="0.3">
      <c r="A664" s="42"/>
      <c r="B664" s="42"/>
      <c r="C664" s="42"/>
      <c r="D664" s="42"/>
      <c r="E664" s="42"/>
      <c r="F664" s="42"/>
      <c r="G664" s="42"/>
      <c r="H664" s="42"/>
      <c r="I664" s="42"/>
      <c r="J664" s="42"/>
      <c r="K664" s="42"/>
      <c r="L664" s="42"/>
      <c r="M664" s="42"/>
      <c r="N664" s="42"/>
      <c r="O664" s="42"/>
      <c r="P664" s="42"/>
      <c r="Q664" s="42"/>
      <c r="R664" s="42"/>
      <c r="S664" s="42"/>
      <c r="T664" s="42"/>
      <c r="U664" s="194"/>
      <c r="V664" s="42"/>
      <c r="W664" s="42"/>
      <c r="X664" s="42"/>
      <c r="Y664" s="42"/>
      <c r="Z664" s="42"/>
      <c r="AA664" s="42"/>
      <c r="AB664" s="195"/>
      <c r="AC664" s="42"/>
      <c r="AD664" s="42"/>
      <c r="AE664" s="195"/>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c r="BM664" s="42"/>
      <c r="BN664" s="42"/>
      <c r="BO664" s="42"/>
      <c r="BP664" s="42"/>
      <c r="BQ664" s="42"/>
      <c r="BR664" s="42"/>
      <c r="BS664" s="42"/>
      <c r="BT664" s="42"/>
      <c r="BU664" s="42"/>
      <c r="BV664" s="42"/>
      <c r="BW664" s="42"/>
      <c r="BX664" s="42"/>
      <c r="BY664" s="42"/>
      <c r="BZ664" s="42"/>
      <c r="CA664" s="42"/>
      <c r="CB664" s="42"/>
      <c r="CC664" s="42"/>
      <c r="CD664" s="42"/>
      <c r="CE664" s="42"/>
      <c r="CF664" s="42"/>
      <c r="CG664" s="42"/>
      <c r="CH664" s="42"/>
      <c r="CI664" s="42"/>
      <c r="CJ664" s="42"/>
      <c r="CK664" s="42"/>
      <c r="CL664" s="42"/>
      <c r="CM664" s="42"/>
      <c r="CN664" s="42"/>
      <c r="CO664" s="42"/>
      <c r="CP664" s="42"/>
      <c r="CQ664" s="42"/>
      <c r="CR664" s="42"/>
      <c r="CS664" s="42"/>
      <c r="CT664" s="42"/>
      <c r="CU664" s="42"/>
      <c r="CV664" s="42"/>
      <c r="CW664" s="42"/>
      <c r="CX664" s="42"/>
      <c r="CY664" s="42"/>
      <c r="CZ664" s="42"/>
      <c r="DA664" s="42"/>
      <c r="DB664" s="42"/>
      <c r="DC664" s="42"/>
      <c r="DD664" s="42"/>
      <c r="DE664" s="42"/>
      <c r="DF664" s="42"/>
      <c r="DG664" s="42"/>
      <c r="DH664" s="42"/>
      <c r="DI664" s="42"/>
      <c r="DJ664" s="42"/>
      <c r="DK664" s="42"/>
      <c r="DL664" s="42"/>
      <c r="DM664" s="42"/>
      <c r="DN664" s="42"/>
      <c r="DO664" s="42"/>
      <c r="DP664" s="42"/>
      <c r="DQ664" s="42"/>
      <c r="DR664" s="42"/>
      <c r="DS664" s="42"/>
      <c r="DT664" s="42"/>
      <c r="DU664" s="42"/>
      <c r="DV664" s="42"/>
      <c r="DW664" s="42"/>
      <c r="DX664" s="42"/>
      <c r="DY664" s="42"/>
      <c r="DZ664" s="42"/>
      <c r="EA664" s="42"/>
      <c r="EB664" s="42"/>
      <c r="EC664" s="42"/>
      <c r="ED664" s="42"/>
      <c r="EE664" s="42"/>
      <c r="EF664" s="42"/>
      <c r="EG664" s="42"/>
      <c r="EH664" s="42"/>
      <c r="EI664" s="42"/>
      <c r="EJ664" s="42"/>
      <c r="EK664" s="42"/>
      <c r="EL664" s="42"/>
      <c r="EM664" s="42"/>
      <c r="EN664" s="42"/>
      <c r="EO664" s="42"/>
      <c r="EP664" s="42"/>
      <c r="EQ664" s="42"/>
      <c r="ER664" s="42"/>
      <c r="ES664" s="42"/>
      <c r="ET664" s="42"/>
      <c r="EU664" s="42"/>
      <c r="EV664" s="42"/>
      <c r="EW664" s="42"/>
      <c r="EX664" s="42"/>
      <c r="EY664" s="42"/>
      <c r="EZ664" s="42"/>
      <c r="FA664" s="42"/>
      <c r="FB664" s="42"/>
      <c r="FC664" s="42"/>
      <c r="FD664" s="42"/>
      <c r="FE664" s="42"/>
      <c r="FF664" s="42"/>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row>
    <row r="665" spans="1:256" ht="13.8" x14ac:dyDescent="0.3">
      <c r="A665" s="42"/>
      <c r="B665" s="42"/>
      <c r="C665" s="42"/>
      <c r="D665" s="42"/>
      <c r="E665" s="42"/>
      <c r="F665" s="42"/>
      <c r="G665" s="42"/>
      <c r="H665" s="42"/>
      <c r="I665" s="42"/>
      <c r="J665" s="42"/>
      <c r="K665" s="42"/>
      <c r="L665" s="42"/>
      <c r="M665" s="42"/>
      <c r="N665" s="42"/>
      <c r="O665" s="42"/>
      <c r="P665" s="42"/>
      <c r="Q665" s="42"/>
      <c r="R665" s="42"/>
      <c r="S665" s="42"/>
      <c r="T665" s="42"/>
      <c r="U665" s="194"/>
      <c r="V665" s="42"/>
      <c r="W665" s="42"/>
      <c r="X665" s="42"/>
      <c r="Y665" s="42"/>
      <c r="Z665" s="42"/>
      <c r="AA665" s="42"/>
      <c r="AB665" s="195"/>
      <c r="AC665" s="42"/>
      <c r="AD665" s="42"/>
      <c r="AE665" s="195"/>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c r="BM665" s="42"/>
      <c r="BN665" s="42"/>
      <c r="BO665" s="42"/>
      <c r="BP665" s="42"/>
      <c r="BQ665" s="42"/>
      <c r="BR665" s="42"/>
      <c r="BS665" s="42"/>
      <c r="BT665" s="42"/>
      <c r="BU665" s="42"/>
      <c r="BV665" s="42"/>
      <c r="BW665" s="42"/>
      <c r="BX665" s="42"/>
      <c r="BY665" s="42"/>
      <c r="BZ665" s="42"/>
      <c r="CA665" s="42"/>
      <c r="CB665" s="42"/>
      <c r="CC665" s="42"/>
      <c r="CD665" s="42"/>
      <c r="CE665" s="42"/>
      <c r="CF665" s="42"/>
      <c r="CG665" s="42"/>
      <c r="CH665" s="42"/>
      <c r="CI665" s="42"/>
      <c r="CJ665" s="42"/>
      <c r="CK665" s="42"/>
      <c r="CL665" s="42"/>
      <c r="CM665" s="42"/>
      <c r="CN665" s="42"/>
      <c r="CO665" s="42"/>
      <c r="CP665" s="42"/>
      <c r="CQ665" s="42"/>
      <c r="CR665" s="42"/>
      <c r="CS665" s="42"/>
      <c r="CT665" s="42"/>
      <c r="CU665" s="42"/>
      <c r="CV665" s="42"/>
      <c r="CW665" s="42"/>
      <c r="CX665" s="42"/>
      <c r="CY665" s="42"/>
      <c r="CZ665" s="42"/>
      <c r="DA665" s="42"/>
      <c r="DB665" s="42"/>
      <c r="DC665" s="42"/>
      <c r="DD665" s="42"/>
      <c r="DE665" s="42"/>
      <c r="DF665" s="42"/>
      <c r="DG665" s="42"/>
      <c r="DH665" s="42"/>
      <c r="DI665" s="42"/>
      <c r="DJ665" s="42"/>
      <c r="DK665" s="42"/>
      <c r="DL665" s="42"/>
      <c r="DM665" s="42"/>
      <c r="DN665" s="42"/>
      <c r="DO665" s="42"/>
      <c r="DP665" s="42"/>
      <c r="DQ665" s="42"/>
      <c r="DR665" s="42"/>
      <c r="DS665" s="42"/>
      <c r="DT665" s="42"/>
      <c r="DU665" s="42"/>
      <c r="DV665" s="42"/>
      <c r="DW665" s="42"/>
      <c r="DX665" s="42"/>
      <c r="DY665" s="42"/>
      <c r="DZ665" s="42"/>
      <c r="EA665" s="42"/>
      <c r="EB665" s="42"/>
      <c r="EC665" s="42"/>
      <c r="ED665" s="42"/>
      <c r="EE665" s="42"/>
      <c r="EF665" s="42"/>
      <c r="EG665" s="42"/>
      <c r="EH665" s="42"/>
      <c r="EI665" s="42"/>
      <c r="EJ665" s="42"/>
      <c r="EK665" s="42"/>
      <c r="EL665" s="42"/>
      <c r="EM665" s="42"/>
      <c r="EN665" s="42"/>
      <c r="EO665" s="42"/>
      <c r="EP665" s="42"/>
      <c r="EQ665" s="42"/>
      <c r="ER665" s="42"/>
      <c r="ES665" s="42"/>
      <c r="ET665" s="42"/>
      <c r="EU665" s="42"/>
      <c r="EV665" s="42"/>
      <c r="EW665" s="42"/>
      <c r="EX665" s="42"/>
      <c r="EY665" s="42"/>
      <c r="EZ665" s="42"/>
      <c r="FA665" s="42"/>
      <c r="FB665" s="42"/>
      <c r="FC665" s="42"/>
      <c r="FD665" s="42"/>
      <c r="FE665" s="42"/>
      <c r="FF665" s="42"/>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row>
    <row r="666" spans="1:256" ht="13.8" x14ac:dyDescent="0.3">
      <c r="A666" s="42"/>
      <c r="B666" s="42"/>
      <c r="C666" s="42"/>
      <c r="D666" s="42"/>
      <c r="E666" s="42"/>
      <c r="F666" s="42"/>
      <c r="G666" s="42"/>
      <c r="H666" s="42"/>
      <c r="I666" s="42"/>
      <c r="J666" s="42"/>
      <c r="K666" s="42"/>
      <c r="L666" s="42"/>
      <c r="M666" s="42"/>
      <c r="N666" s="42"/>
      <c r="O666" s="42"/>
      <c r="P666" s="42"/>
      <c r="Q666" s="42"/>
      <c r="R666" s="42"/>
      <c r="S666" s="42"/>
      <c r="T666" s="42"/>
      <c r="U666" s="194"/>
      <c r="V666" s="42"/>
      <c r="W666" s="42"/>
      <c r="X666" s="42"/>
      <c r="Y666" s="42"/>
      <c r="Z666" s="42"/>
      <c r="AA666" s="42"/>
      <c r="AB666" s="195"/>
      <c r="AC666" s="42"/>
      <c r="AD666" s="42"/>
      <c r="AE666" s="195"/>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c r="BM666" s="42"/>
      <c r="BN666" s="42"/>
      <c r="BO666" s="42"/>
      <c r="BP666" s="42"/>
      <c r="BQ666" s="42"/>
      <c r="BR666" s="42"/>
      <c r="BS666" s="42"/>
      <c r="BT666" s="42"/>
      <c r="BU666" s="42"/>
      <c r="BV666" s="42"/>
      <c r="BW666" s="42"/>
      <c r="BX666" s="42"/>
      <c r="BY666" s="42"/>
      <c r="BZ666" s="42"/>
      <c r="CA666" s="42"/>
      <c r="CB666" s="42"/>
      <c r="CC666" s="42"/>
      <c r="CD666" s="42"/>
      <c r="CE666" s="42"/>
      <c r="CF666" s="42"/>
      <c r="CG666" s="42"/>
      <c r="CH666" s="42"/>
      <c r="CI666" s="42"/>
      <c r="CJ666" s="42"/>
      <c r="CK666" s="42"/>
      <c r="CL666" s="42"/>
      <c r="CM666" s="42"/>
      <c r="CN666" s="42"/>
      <c r="CO666" s="42"/>
      <c r="CP666" s="42"/>
      <c r="CQ666" s="42"/>
      <c r="CR666" s="42"/>
      <c r="CS666" s="42"/>
      <c r="CT666" s="42"/>
      <c r="CU666" s="42"/>
      <c r="CV666" s="42"/>
      <c r="CW666" s="42"/>
      <c r="CX666" s="42"/>
      <c r="CY666" s="42"/>
      <c r="CZ666" s="42"/>
      <c r="DA666" s="42"/>
      <c r="DB666" s="42"/>
      <c r="DC666" s="42"/>
      <c r="DD666" s="42"/>
      <c r="DE666" s="42"/>
      <c r="DF666" s="42"/>
      <c r="DG666" s="42"/>
      <c r="DH666" s="42"/>
      <c r="DI666" s="42"/>
      <c r="DJ666" s="42"/>
      <c r="DK666" s="42"/>
      <c r="DL666" s="42"/>
      <c r="DM666" s="42"/>
      <c r="DN666" s="42"/>
      <c r="DO666" s="42"/>
      <c r="DP666" s="42"/>
      <c r="DQ666" s="42"/>
      <c r="DR666" s="42"/>
      <c r="DS666" s="42"/>
      <c r="DT666" s="42"/>
      <c r="DU666" s="42"/>
      <c r="DV666" s="42"/>
      <c r="DW666" s="42"/>
      <c r="DX666" s="42"/>
      <c r="DY666" s="42"/>
      <c r="DZ666" s="42"/>
      <c r="EA666" s="42"/>
      <c r="EB666" s="42"/>
      <c r="EC666" s="42"/>
      <c r="ED666" s="42"/>
      <c r="EE666" s="42"/>
      <c r="EF666" s="42"/>
      <c r="EG666" s="42"/>
      <c r="EH666" s="42"/>
      <c r="EI666" s="42"/>
      <c r="EJ666" s="42"/>
      <c r="EK666" s="42"/>
      <c r="EL666" s="42"/>
      <c r="EM666" s="42"/>
      <c r="EN666" s="42"/>
      <c r="EO666" s="42"/>
      <c r="EP666" s="42"/>
      <c r="EQ666" s="42"/>
      <c r="ER666" s="42"/>
      <c r="ES666" s="42"/>
      <c r="ET666" s="42"/>
      <c r="EU666" s="42"/>
      <c r="EV666" s="42"/>
      <c r="EW666" s="42"/>
      <c r="EX666" s="42"/>
      <c r="EY666" s="42"/>
      <c r="EZ666" s="42"/>
      <c r="FA666" s="42"/>
      <c r="FB666" s="42"/>
      <c r="FC666" s="42"/>
      <c r="FD666" s="42"/>
      <c r="FE666" s="42"/>
      <c r="FF666" s="42"/>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row>
    <row r="667" spans="1:256" ht="13.8" x14ac:dyDescent="0.3">
      <c r="A667" s="42"/>
      <c r="B667" s="42"/>
      <c r="C667" s="42"/>
      <c r="D667" s="42"/>
      <c r="E667" s="42"/>
      <c r="F667" s="42"/>
      <c r="G667" s="42"/>
      <c r="H667" s="42"/>
      <c r="I667" s="42"/>
      <c r="J667" s="42"/>
      <c r="K667" s="42"/>
      <c r="L667" s="42"/>
      <c r="M667" s="42"/>
      <c r="N667" s="42"/>
      <c r="O667" s="42"/>
      <c r="P667" s="42"/>
      <c r="Q667" s="42"/>
      <c r="R667" s="42"/>
      <c r="S667" s="42"/>
      <c r="T667" s="42"/>
      <c r="U667" s="194"/>
      <c r="V667" s="42"/>
      <c r="W667" s="42"/>
      <c r="X667" s="42"/>
      <c r="Y667" s="42"/>
      <c r="Z667" s="42"/>
      <c r="AA667" s="42"/>
      <c r="AB667" s="195"/>
      <c r="AC667" s="42"/>
      <c r="AD667" s="42"/>
      <c r="AE667" s="195"/>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c r="BM667" s="42"/>
      <c r="BN667" s="42"/>
      <c r="BO667" s="42"/>
      <c r="BP667" s="42"/>
      <c r="BQ667" s="42"/>
      <c r="BR667" s="42"/>
      <c r="BS667" s="42"/>
      <c r="BT667" s="42"/>
      <c r="BU667" s="42"/>
      <c r="BV667" s="42"/>
      <c r="BW667" s="42"/>
      <c r="BX667" s="42"/>
      <c r="BY667" s="42"/>
      <c r="BZ667" s="42"/>
      <c r="CA667" s="42"/>
      <c r="CB667" s="42"/>
      <c r="CC667" s="42"/>
      <c r="CD667" s="42"/>
      <c r="CE667" s="42"/>
      <c r="CF667" s="42"/>
      <c r="CG667" s="42"/>
      <c r="CH667" s="42"/>
      <c r="CI667" s="42"/>
      <c r="CJ667" s="42"/>
      <c r="CK667" s="42"/>
      <c r="CL667" s="42"/>
      <c r="CM667" s="42"/>
      <c r="CN667" s="42"/>
      <c r="CO667" s="42"/>
      <c r="CP667" s="42"/>
      <c r="CQ667" s="42"/>
      <c r="CR667" s="42"/>
      <c r="CS667" s="42"/>
      <c r="CT667" s="42"/>
      <c r="CU667" s="42"/>
      <c r="CV667" s="42"/>
      <c r="CW667" s="42"/>
      <c r="CX667" s="42"/>
      <c r="CY667" s="42"/>
      <c r="CZ667" s="42"/>
      <c r="DA667" s="42"/>
      <c r="DB667" s="42"/>
      <c r="DC667" s="42"/>
      <c r="DD667" s="42"/>
      <c r="DE667" s="42"/>
      <c r="DF667" s="42"/>
      <c r="DG667" s="42"/>
      <c r="DH667" s="42"/>
      <c r="DI667" s="42"/>
      <c r="DJ667" s="42"/>
      <c r="DK667" s="42"/>
      <c r="DL667" s="42"/>
      <c r="DM667" s="42"/>
      <c r="DN667" s="42"/>
      <c r="DO667" s="42"/>
      <c r="DP667" s="42"/>
      <c r="DQ667" s="42"/>
      <c r="DR667" s="42"/>
      <c r="DS667" s="42"/>
      <c r="DT667" s="42"/>
      <c r="DU667" s="42"/>
      <c r="DV667" s="42"/>
      <c r="DW667" s="42"/>
      <c r="DX667" s="42"/>
      <c r="DY667" s="42"/>
      <c r="DZ667" s="42"/>
      <c r="EA667" s="42"/>
      <c r="EB667" s="42"/>
      <c r="EC667" s="42"/>
      <c r="ED667" s="42"/>
      <c r="EE667" s="42"/>
      <c r="EF667" s="42"/>
      <c r="EG667" s="42"/>
      <c r="EH667" s="42"/>
      <c r="EI667" s="42"/>
      <c r="EJ667" s="42"/>
      <c r="EK667" s="42"/>
      <c r="EL667" s="42"/>
      <c r="EM667" s="42"/>
      <c r="EN667" s="42"/>
      <c r="EO667" s="42"/>
      <c r="EP667" s="42"/>
      <c r="EQ667" s="42"/>
      <c r="ER667" s="42"/>
      <c r="ES667" s="42"/>
      <c r="ET667" s="42"/>
      <c r="EU667" s="42"/>
      <c r="EV667" s="42"/>
      <c r="EW667" s="42"/>
      <c r="EX667" s="42"/>
      <c r="EY667" s="42"/>
      <c r="EZ667" s="42"/>
      <c r="FA667" s="42"/>
      <c r="FB667" s="42"/>
      <c r="FC667" s="42"/>
      <c r="FD667" s="42"/>
      <c r="FE667" s="42"/>
      <c r="FF667" s="42"/>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row>
    <row r="668" spans="1:256" ht="13.8" x14ac:dyDescent="0.3">
      <c r="A668" s="42"/>
      <c r="B668" s="42"/>
      <c r="C668" s="42"/>
      <c r="D668" s="42"/>
      <c r="E668" s="42"/>
      <c r="F668" s="42"/>
      <c r="G668" s="42"/>
      <c r="H668" s="42"/>
      <c r="I668" s="42"/>
      <c r="J668" s="42"/>
      <c r="K668" s="42"/>
      <c r="L668" s="42"/>
      <c r="M668" s="42"/>
      <c r="N668" s="42"/>
      <c r="O668" s="42"/>
      <c r="P668" s="42"/>
      <c r="Q668" s="42"/>
      <c r="R668" s="42"/>
      <c r="S668" s="42"/>
      <c r="T668" s="42"/>
      <c r="U668" s="194"/>
      <c r="V668" s="42"/>
      <c r="W668" s="42"/>
      <c r="X668" s="42"/>
      <c r="Y668" s="42"/>
      <c r="Z668" s="42"/>
      <c r="AA668" s="42"/>
      <c r="AB668" s="195"/>
      <c r="AC668" s="42"/>
      <c r="AD668" s="42"/>
      <c r="AE668" s="195"/>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c r="BM668" s="42"/>
      <c r="BN668" s="42"/>
      <c r="BO668" s="42"/>
      <c r="BP668" s="42"/>
      <c r="BQ668" s="42"/>
      <c r="BR668" s="42"/>
      <c r="BS668" s="42"/>
      <c r="BT668" s="42"/>
      <c r="BU668" s="42"/>
      <c r="BV668" s="42"/>
      <c r="BW668" s="42"/>
      <c r="BX668" s="42"/>
      <c r="BY668" s="42"/>
      <c r="BZ668" s="42"/>
      <c r="CA668" s="42"/>
      <c r="CB668" s="42"/>
      <c r="CC668" s="42"/>
      <c r="CD668" s="42"/>
      <c r="CE668" s="42"/>
      <c r="CF668" s="42"/>
      <c r="CG668" s="42"/>
      <c r="CH668" s="42"/>
      <c r="CI668" s="42"/>
      <c r="CJ668" s="42"/>
      <c r="CK668" s="42"/>
      <c r="CL668" s="42"/>
      <c r="CM668" s="42"/>
      <c r="CN668" s="42"/>
      <c r="CO668" s="42"/>
      <c r="CP668" s="42"/>
      <c r="CQ668" s="42"/>
      <c r="CR668" s="42"/>
      <c r="CS668" s="42"/>
      <c r="CT668" s="42"/>
      <c r="CU668" s="42"/>
      <c r="CV668" s="42"/>
      <c r="CW668" s="42"/>
      <c r="CX668" s="42"/>
      <c r="CY668" s="42"/>
      <c r="CZ668" s="42"/>
      <c r="DA668" s="42"/>
      <c r="DB668" s="42"/>
      <c r="DC668" s="42"/>
      <c r="DD668" s="42"/>
      <c r="DE668" s="42"/>
      <c r="DF668" s="42"/>
      <c r="DG668" s="42"/>
      <c r="DH668" s="42"/>
      <c r="DI668" s="42"/>
      <c r="DJ668" s="42"/>
      <c r="DK668" s="42"/>
      <c r="DL668" s="42"/>
      <c r="DM668" s="42"/>
      <c r="DN668" s="42"/>
      <c r="DO668" s="42"/>
      <c r="DP668" s="42"/>
      <c r="DQ668" s="42"/>
      <c r="DR668" s="42"/>
      <c r="DS668" s="42"/>
      <c r="DT668" s="42"/>
      <c r="DU668" s="42"/>
      <c r="DV668" s="42"/>
      <c r="DW668" s="42"/>
      <c r="DX668" s="42"/>
      <c r="DY668" s="42"/>
      <c r="DZ668" s="42"/>
      <c r="EA668" s="42"/>
      <c r="EB668" s="42"/>
      <c r="EC668" s="42"/>
      <c r="ED668" s="42"/>
      <c r="EE668" s="42"/>
      <c r="EF668" s="42"/>
      <c r="EG668" s="42"/>
      <c r="EH668" s="42"/>
      <c r="EI668" s="42"/>
      <c r="EJ668" s="42"/>
      <c r="EK668" s="42"/>
      <c r="EL668" s="42"/>
      <c r="EM668" s="42"/>
      <c r="EN668" s="42"/>
      <c r="EO668" s="42"/>
      <c r="EP668" s="42"/>
      <c r="EQ668" s="42"/>
      <c r="ER668" s="42"/>
      <c r="ES668" s="42"/>
      <c r="ET668" s="42"/>
      <c r="EU668" s="42"/>
      <c r="EV668" s="42"/>
      <c r="EW668" s="42"/>
      <c r="EX668" s="42"/>
      <c r="EY668" s="42"/>
      <c r="EZ668" s="42"/>
      <c r="FA668" s="42"/>
      <c r="FB668" s="42"/>
      <c r="FC668" s="42"/>
      <c r="FD668" s="42"/>
      <c r="FE668" s="42"/>
      <c r="FF668" s="42"/>
      <c r="FG668" s="42"/>
      <c r="FH668" s="42"/>
      <c r="FI668" s="42"/>
      <c r="FJ668" s="42"/>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row>
    <row r="669" spans="1:256" ht="13.8" x14ac:dyDescent="0.3">
      <c r="A669" s="42"/>
      <c r="B669" s="42"/>
      <c r="C669" s="42"/>
      <c r="D669" s="42"/>
      <c r="E669" s="42"/>
      <c r="F669" s="42"/>
      <c r="G669" s="42"/>
      <c r="H669" s="42"/>
      <c r="I669" s="42"/>
      <c r="J669" s="42"/>
      <c r="K669" s="42"/>
      <c r="L669" s="42"/>
      <c r="M669" s="42"/>
      <c r="N669" s="42"/>
      <c r="O669" s="42"/>
      <c r="P669" s="42"/>
      <c r="Q669" s="42"/>
      <c r="R669" s="42"/>
      <c r="S669" s="42"/>
      <c r="T669" s="42"/>
      <c r="U669" s="194"/>
      <c r="V669" s="42"/>
      <c r="W669" s="42"/>
      <c r="X669" s="42"/>
      <c r="Y669" s="42"/>
      <c r="Z669" s="42"/>
      <c r="AA669" s="42"/>
      <c r="AB669" s="195"/>
      <c r="AC669" s="42"/>
      <c r="AD669" s="42"/>
      <c r="AE669" s="195"/>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c r="BM669" s="42"/>
      <c r="BN669" s="42"/>
      <c r="BO669" s="42"/>
      <c r="BP669" s="42"/>
      <c r="BQ669" s="42"/>
      <c r="BR669" s="42"/>
      <c r="BS669" s="42"/>
      <c r="BT669" s="42"/>
      <c r="BU669" s="42"/>
      <c r="BV669" s="42"/>
      <c r="BW669" s="42"/>
      <c r="BX669" s="42"/>
      <c r="BY669" s="42"/>
      <c r="BZ669" s="42"/>
      <c r="CA669" s="42"/>
      <c r="CB669" s="42"/>
      <c r="CC669" s="42"/>
      <c r="CD669" s="42"/>
      <c r="CE669" s="42"/>
      <c r="CF669" s="42"/>
      <c r="CG669" s="42"/>
      <c r="CH669" s="42"/>
      <c r="CI669" s="42"/>
      <c r="CJ669" s="42"/>
      <c r="CK669" s="42"/>
      <c r="CL669" s="42"/>
      <c r="CM669" s="42"/>
      <c r="CN669" s="42"/>
      <c r="CO669" s="42"/>
      <c r="CP669" s="42"/>
      <c r="CQ669" s="42"/>
      <c r="CR669" s="42"/>
      <c r="CS669" s="42"/>
      <c r="CT669" s="42"/>
      <c r="CU669" s="42"/>
      <c r="CV669" s="42"/>
      <c r="CW669" s="42"/>
      <c r="CX669" s="42"/>
      <c r="CY669" s="42"/>
      <c r="CZ669" s="42"/>
      <c r="DA669" s="42"/>
      <c r="DB669" s="42"/>
      <c r="DC669" s="42"/>
      <c r="DD669" s="42"/>
      <c r="DE669" s="42"/>
      <c r="DF669" s="42"/>
      <c r="DG669" s="42"/>
      <c r="DH669" s="42"/>
      <c r="DI669" s="42"/>
      <c r="DJ669" s="42"/>
      <c r="DK669" s="42"/>
      <c r="DL669" s="42"/>
      <c r="DM669" s="42"/>
      <c r="DN669" s="42"/>
      <c r="DO669" s="42"/>
      <c r="DP669" s="42"/>
      <c r="DQ669" s="42"/>
      <c r="DR669" s="42"/>
      <c r="DS669" s="42"/>
      <c r="DT669" s="42"/>
      <c r="DU669" s="42"/>
      <c r="DV669" s="42"/>
      <c r="DW669" s="42"/>
      <c r="DX669" s="42"/>
      <c r="DY669" s="42"/>
      <c r="DZ669" s="42"/>
      <c r="EA669" s="42"/>
      <c r="EB669" s="42"/>
      <c r="EC669" s="42"/>
      <c r="ED669" s="42"/>
      <c r="EE669" s="42"/>
      <c r="EF669" s="42"/>
      <c r="EG669" s="42"/>
      <c r="EH669" s="42"/>
      <c r="EI669" s="42"/>
      <c r="EJ669" s="42"/>
      <c r="EK669" s="42"/>
      <c r="EL669" s="42"/>
      <c r="EM669" s="42"/>
      <c r="EN669" s="42"/>
      <c r="EO669" s="42"/>
      <c r="EP669" s="42"/>
      <c r="EQ669" s="42"/>
      <c r="ER669" s="42"/>
      <c r="ES669" s="42"/>
      <c r="ET669" s="42"/>
      <c r="EU669" s="42"/>
      <c r="EV669" s="42"/>
      <c r="EW669" s="42"/>
      <c r="EX669" s="42"/>
      <c r="EY669" s="42"/>
      <c r="EZ669" s="42"/>
      <c r="FA669" s="42"/>
      <c r="FB669" s="42"/>
      <c r="FC669" s="42"/>
      <c r="FD669" s="42"/>
      <c r="FE669" s="42"/>
      <c r="FF669" s="42"/>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row>
    <row r="670" spans="1:256" ht="13.8" x14ac:dyDescent="0.3">
      <c r="A670" s="42"/>
      <c r="B670" s="42"/>
      <c r="C670" s="42"/>
      <c r="D670" s="42"/>
      <c r="E670" s="42"/>
      <c r="F670" s="42"/>
      <c r="G670" s="42"/>
      <c r="H670" s="42"/>
      <c r="I670" s="42"/>
      <c r="J670" s="42"/>
      <c r="K670" s="42"/>
      <c r="L670" s="42"/>
      <c r="M670" s="42"/>
      <c r="N670" s="42"/>
      <c r="O670" s="42"/>
      <c r="P670" s="42"/>
      <c r="Q670" s="42"/>
      <c r="R670" s="42"/>
      <c r="S670" s="42"/>
      <c r="T670" s="42"/>
      <c r="U670" s="194"/>
      <c r="V670" s="42"/>
      <c r="W670" s="42"/>
      <c r="X670" s="42"/>
      <c r="Y670" s="42"/>
      <c r="Z670" s="42"/>
      <c r="AA670" s="42"/>
      <c r="AB670" s="195"/>
      <c r="AC670" s="42"/>
      <c r="AD670" s="42"/>
      <c r="AE670" s="195"/>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c r="BM670" s="42"/>
      <c r="BN670" s="42"/>
      <c r="BO670" s="42"/>
      <c r="BP670" s="42"/>
      <c r="BQ670" s="42"/>
      <c r="BR670" s="42"/>
      <c r="BS670" s="42"/>
      <c r="BT670" s="42"/>
      <c r="BU670" s="42"/>
      <c r="BV670" s="42"/>
      <c r="BW670" s="42"/>
      <c r="BX670" s="42"/>
      <c r="BY670" s="42"/>
      <c r="BZ670" s="42"/>
      <c r="CA670" s="42"/>
      <c r="CB670" s="42"/>
      <c r="CC670" s="42"/>
      <c r="CD670" s="42"/>
      <c r="CE670" s="42"/>
      <c r="CF670" s="42"/>
      <c r="CG670" s="42"/>
      <c r="CH670" s="42"/>
      <c r="CI670" s="42"/>
      <c r="CJ670" s="42"/>
      <c r="CK670" s="42"/>
      <c r="CL670" s="42"/>
      <c r="CM670" s="42"/>
      <c r="CN670" s="42"/>
      <c r="CO670" s="42"/>
      <c r="CP670" s="42"/>
      <c r="CQ670" s="42"/>
      <c r="CR670" s="42"/>
      <c r="CS670" s="42"/>
      <c r="CT670" s="42"/>
      <c r="CU670" s="42"/>
      <c r="CV670" s="42"/>
      <c r="CW670" s="42"/>
      <c r="CX670" s="42"/>
      <c r="CY670" s="42"/>
      <c r="CZ670" s="42"/>
      <c r="DA670" s="42"/>
      <c r="DB670" s="42"/>
      <c r="DC670" s="42"/>
      <c r="DD670" s="42"/>
      <c r="DE670" s="42"/>
      <c r="DF670" s="42"/>
      <c r="DG670" s="42"/>
      <c r="DH670" s="42"/>
      <c r="DI670" s="42"/>
      <c r="DJ670" s="42"/>
      <c r="DK670" s="42"/>
      <c r="DL670" s="42"/>
      <c r="DM670" s="42"/>
      <c r="DN670" s="42"/>
      <c r="DO670" s="42"/>
      <c r="DP670" s="42"/>
      <c r="DQ670" s="42"/>
      <c r="DR670" s="42"/>
      <c r="DS670" s="42"/>
      <c r="DT670" s="42"/>
      <c r="DU670" s="42"/>
      <c r="DV670" s="42"/>
      <c r="DW670" s="42"/>
      <c r="DX670" s="42"/>
      <c r="DY670" s="42"/>
      <c r="DZ670" s="42"/>
      <c r="EA670" s="42"/>
      <c r="EB670" s="42"/>
      <c r="EC670" s="42"/>
      <c r="ED670" s="42"/>
      <c r="EE670" s="42"/>
      <c r="EF670" s="42"/>
      <c r="EG670" s="42"/>
      <c r="EH670" s="42"/>
      <c r="EI670" s="42"/>
      <c r="EJ670" s="42"/>
      <c r="EK670" s="42"/>
      <c r="EL670" s="42"/>
      <c r="EM670" s="42"/>
      <c r="EN670" s="42"/>
      <c r="EO670" s="42"/>
      <c r="EP670" s="42"/>
      <c r="EQ670" s="42"/>
      <c r="ER670" s="42"/>
      <c r="ES670" s="42"/>
      <c r="ET670" s="42"/>
      <c r="EU670" s="42"/>
      <c r="EV670" s="42"/>
      <c r="EW670" s="42"/>
      <c r="EX670" s="42"/>
      <c r="EY670" s="42"/>
      <c r="EZ670" s="42"/>
      <c r="FA670" s="42"/>
      <c r="FB670" s="42"/>
      <c r="FC670" s="42"/>
      <c r="FD670" s="42"/>
      <c r="FE670" s="42"/>
      <c r="FF670" s="42"/>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row>
    <row r="671" spans="1:256" ht="13.8" x14ac:dyDescent="0.3">
      <c r="A671" s="42"/>
      <c r="B671" s="42"/>
      <c r="C671" s="42"/>
      <c r="D671" s="42"/>
      <c r="E671" s="42"/>
      <c r="F671" s="42"/>
      <c r="G671" s="42"/>
      <c r="H671" s="42"/>
      <c r="I671" s="42"/>
      <c r="J671" s="42"/>
      <c r="K671" s="42"/>
      <c r="L671" s="42"/>
      <c r="M671" s="42"/>
      <c r="N671" s="42"/>
      <c r="O671" s="42"/>
      <c r="P671" s="42"/>
      <c r="Q671" s="42"/>
      <c r="R671" s="42"/>
      <c r="S671" s="42"/>
      <c r="T671" s="42"/>
      <c r="U671" s="194"/>
      <c r="V671" s="42"/>
      <c r="W671" s="42"/>
      <c r="X671" s="42"/>
      <c r="Y671" s="42"/>
      <c r="Z671" s="42"/>
      <c r="AA671" s="42"/>
      <c r="AB671" s="195"/>
      <c r="AC671" s="42"/>
      <c r="AD671" s="42"/>
      <c r="AE671" s="195"/>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c r="BM671" s="42"/>
      <c r="BN671" s="42"/>
      <c r="BO671" s="42"/>
      <c r="BP671" s="42"/>
      <c r="BQ671" s="42"/>
      <c r="BR671" s="42"/>
      <c r="BS671" s="42"/>
      <c r="BT671" s="42"/>
      <c r="BU671" s="42"/>
      <c r="BV671" s="42"/>
      <c r="BW671" s="42"/>
      <c r="BX671" s="42"/>
      <c r="BY671" s="42"/>
      <c r="BZ671" s="42"/>
      <c r="CA671" s="42"/>
      <c r="CB671" s="42"/>
      <c r="CC671" s="42"/>
      <c r="CD671" s="42"/>
      <c r="CE671" s="42"/>
      <c r="CF671" s="42"/>
      <c r="CG671" s="42"/>
      <c r="CH671" s="42"/>
      <c r="CI671" s="42"/>
      <c r="CJ671" s="42"/>
      <c r="CK671" s="42"/>
      <c r="CL671" s="42"/>
      <c r="CM671" s="42"/>
      <c r="CN671" s="42"/>
      <c r="CO671" s="42"/>
      <c r="CP671" s="42"/>
      <c r="CQ671" s="42"/>
      <c r="CR671" s="42"/>
      <c r="CS671" s="42"/>
      <c r="CT671" s="42"/>
      <c r="CU671" s="42"/>
      <c r="CV671" s="42"/>
      <c r="CW671" s="42"/>
      <c r="CX671" s="42"/>
      <c r="CY671" s="42"/>
      <c r="CZ671" s="42"/>
      <c r="DA671" s="42"/>
      <c r="DB671" s="42"/>
      <c r="DC671" s="42"/>
      <c r="DD671" s="42"/>
      <c r="DE671" s="42"/>
      <c r="DF671" s="42"/>
      <c r="DG671" s="42"/>
      <c r="DH671" s="42"/>
      <c r="DI671" s="42"/>
      <c r="DJ671" s="42"/>
      <c r="DK671" s="42"/>
      <c r="DL671" s="42"/>
      <c r="DM671" s="42"/>
      <c r="DN671" s="42"/>
      <c r="DO671" s="42"/>
      <c r="DP671" s="42"/>
      <c r="DQ671" s="42"/>
      <c r="DR671" s="42"/>
      <c r="DS671" s="42"/>
      <c r="DT671" s="42"/>
      <c r="DU671" s="42"/>
      <c r="DV671" s="42"/>
      <c r="DW671" s="42"/>
      <c r="DX671" s="42"/>
      <c r="DY671" s="42"/>
      <c r="DZ671" s="42"/>
      <c r="EA671" s="42"/>
      <c r="EB671" s="42"/>
      <c r="EC671" s="42"/>
      <c r="ED671" s="42"/>
      <c r="EE671" s="42"/>
      <c r="EF671" s="42"/>
      <c r="EG671" s="42"/>
      <c r="EH671" s="42"/>
      <c r="EI671" s="42"/>
      <c r="EJ671" s="42"/>
      <c r="EK671" s="42"/>
      <c r="EL671" s="42"/>
      <c r="EM671" s="42"/>
      <c r="EN671" s="42"/>
      <c r="EO671" s="42"/>
      <c r="EP671" s="42"/>
      <c r="EQ671" s="42"/>
      <c r="ER671" s="42"/>
      <c r="ES671" s="42"/>
      <c r="ET671" s="42"/>
      <c r="EU671" s="42"/>
      <c r="EV671" s="42"/>
      <c r="EW671" s="42"/>
      <c r="EX671" s="42"/>
      <c r="EY671" s="42"/>
      <c r="EZ671" s="42"/>
      <c r="FA671" s="42"/>
      <c r="FB671" s="42"/>
      <c r="FC671" s="42"/>
      <c r="FD671" s="42"/>
      <c r="FE671" s="42"/>
      <c r="FF671" s="42"/>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row>
    <row r="672" spans="1:256" ht="13.8" x14ac:dyDescent="0.3">
      <c r="A672" s="42"/>
      <c r="B672" s="42"/>
      <c r="C672" s="42"/>
      <c r="D672" s="42"/>
      <c r="E672" s="42"/>
      <c r="F672" s="42"/>
      <c r="G672" s="42"/>
      <c r="H672" s="42"/>
      <c r="I672" s="42"/>
      <c r="J672" s="42"/>
      <c r="K672" s="42"/>
      <c r="L672" s="42"/>
      <c r="M672" s="42"/>
      <c r="N672" s="42"/>
      <c r="O672" s="42"/>
      <c r="P672" s="42"/>
      <c r="Q672" s="42"/>
      <c r="R672" s="42"/>
      <c r="S672" s="42"/>
      <c r="T672" s="42"/>
      <c r="U672" s="194"/>
      <c r="V672" s="42"/>
      <c r="W672" s="42"/>
      <c r="X672" s="42"/>
      <c r="Y672" s="42"/>
      <c r="Z672" s="42"/>
      <c r="AA672" s="42"/>
      <c r="AB672" s="195"/>
      <c r="AC672" s="42"/>
      <c r="AD672" s="42"/>
      <c r="AE672" s="195"/>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c r="CG672" s="42"/>
      <c r="CH672" s="42"/>
      <c r="CI672" s="42"/>
      <c r="CJ672" s="42"/>
      <c r="CK672" s="42"/>
      <c r="CL672" s="42"/>
      <c r="CM672" s="42"/>
      <c r="CN672" s="42"/>
      <c r="CO672" s="42"/>
      <c r="CP672" s="42"/>
      <c r="CQ672" s="42"/>
      <c r="CR672" s="42"/>
      <c r="CS672" s="42"/>
      <c r="CT672" s="42"/>
      <c r="CU672" s="42"/>
      <c r="CV672" s="42"/>
      <c r="CW672" s="42"/>
      <c r="CX672" s="42"/>
      <c r="CY672" s="42"/>
      <c r="CZ672" s="42"/>
      <c r="DA672" s="42"/>
      <c r="DB672" s="42"/>
      <c r="DC672" s="42"/>
      <c r="DD672" s="42"/>
      <c r="DE672" s="42"/>
      <c r="DF672" s="42"/>
      <c r="DG672" s="42"/>
      <c r="DH672" s="42"/>
      <c r="DI672" s="42"/>
      <c r="DJ672" s="42"/>
      <c r="DK672" s="42"/>
      <c r="DL672" s="42"/>
      <c r="DM672" s="42"/>
      <c r="DN672" s="42"/>
      <c r="DO672" s="42"/>
      <c r="DP672" s="42"/>
      <c r="DQ672" s="42"/>
      <c r="DR672" s="42"/>
      <c r="DS672" s="42"/>
      <c r="DT672" s="42"/>
      <c r="DU672" s="42"/>
      <c r="DV672" s="42"/>
      <c r="DW672" s="42"/>
      <c r="DX672" s="42"/>
      <c r="DY672" s="42"/>
      <c r="DZ672" s="42"/>
      <c r="EA672" s="42"/>
      <c r="EB672" s="42"/>
      <c r="EC672" s="42"/>
      <c r="ED672" s="42"/>
      <c r="EE672" s="42"/>
      <c r="EF672" s="42"/>
      <c r="EG672" s="42"/>
      <c r="EH672" s="42"/>
      <c r="EI672" s="42"/>
      <c r="EJ672" s="42"/>
      <c r="EK672" s="42"/>
      <c r="EL672" s="42"/>
      <c r="EM672" s="42"/>
      <c r="EN672" s="42"/>
      <c r="EO672" s="42"/>
      <c r="EP672" s="42"/>
      <c r="EQ672" s="42"/>
      <c r="ER672" s="42"/>
      <c r="ES672" s="42"/>
      <c r="ET672" s="42"/>
      <c r="EU672" s="42"/>
      <c r="EV672" s="42"/>
      <c r="EW672" s="42"/>
      <c r="EX672" s="42"/>
      <c r="EY672" s="42"/>
      <c r="EZ672" s="42"/>
      <c r="FA672" s="42"/>
      <c r="FB672" s="42"/>
      <c r="FC672" s="42"/>
      <c r="FD672" s="42"/>
      <c r="FE672" s="42"/>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row>
    <row r="673" spans="1:256" ht="13.8" x14ac:dyDescent="0.3">
      <c r="A673" s="42"/>
      <c r="B673" s="42"/>
      <c r="C673" s="42"/>
      <c r="D673" s="42"/>
      <c r="E673" s="42"/>
      <c r="F673" s="42"/>
      <c r="G673" s="42"/>
      <c r="H673" s="42"/>
      <c r="I673" s="42"/>
      <c r="J673" s="42"/>
      <c r="K673" s="42"/>
      <c r="L673" s="42"/>
      <c r="M673" s="42"/>
      <c r="N673" s="42"/>
      <c r="O673" s="42"/>
      <c r="P673" s="42"/>
      <c r="Q673" s="42"/>
      <c r="R673" s="42"/>
      <c r="S673" s="42"/>
      <c r="T673" s="42"/>
      <c r="U673" s="194"/>
      <c r="V673" s="42"/>
      <c r="W673" s="42"/>
      <c r="X673" s="42"/>
      <c r="Y673" s="42"/>
      <c r="Z673" s="42"/>
      <c r="AA673" s="42"/>
      <c r="AB673" s="195"/>
      <c r="AC673" s="42"/>
      <c r="AD673" s="42"/>
      <c r="AE673" s="195"/>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c r="BM673" s="42"/>
      <c r="BN673" s="42"/>
      <c r="BO673" s="42"/>
      <c r="BP673" s="42"/>
      <c r="BQ673" s="42"/>
      <c r="BR673" s="42"/>
      <c r="BS673" s="42"/>
      <c r="BT673" s="42"/>
      <c r="BU673" s="42"/>
      <c r="BV673" s="42"/>
      <c r="BW673" s="42"/>
      <c r="BX673" s="42"/>
      <c r="BY673" s="42"/>
      <c r="BZ673" s="42"/>
      <c r="CA673" s="42"/>
      <c r="CB673" s="42"/>
      <c r="CC673" s="42"/>
      <c r="CD673" s="42"/>
      <c r="CE673" s="42"/>
      <c r="CF673" s="42"/>
      <c r="CG673" s="42"/>
      <c r="CH673" s="42"/>
      <c r="CI673" s="42"/>
      <c r="CJ673" s="42"/>
      <c r="CK673" s="42"/>
      <c r="CL673" s="42"/>
      <c r="CM673" s="42"/>
      <c r="CN673" s="42"/>
      <c r="CO673" s="42"/>
      <c r="CP673" s="42"/>
      <c r="CQ673" s="42"/>
      <c r="CR673" s="42"/>
      <c r="CS673" s="42"/>
      <c r="CT673" s="42"/>
      <c r="CU673" s="42"/>
      <c r="CV673" s="42"/>
      <c r="CW673" s="42"/>
      <c r="CX673" s="42"/>
      <c r="CY673" s="42"/>
      <c r="CZ673" s="42"/>
      <c r="DA673" s="42"/>
      <c r="DB673" s="42"/>
      <c r="DC673" s="42"/>
      <c r="DD673" s="42"/>
      <c r="DE673" s="42"/>
      <c r="DF673" s="42"/>
      <c r="DG673" s="42"/>
      <c r="DH673" s="42"/>
      <c r="DI673" s="42"/>
      <c r="DJ673" s="42"/>
      <c r="DK673" s="42"/>
      <c r="DL673" s="42"/>
      <c r="DM673" s="42"/>
      <c r="DN673" s="42"/>
      <c r="DO673" s="42"/>
      <c r="DP673" s="42"/>
      <c r="DQ673" s="42"/>
      <c r="DR673" s="42"/>
      <c r="DS673" s="42"/>
      <c r="DT673" s="42"/>
      <c r="DU673" s="42"/>
      <c r="DV673" s="42"/>
      <c r="DW673" s="42"/>
      <c r="DX673" s="42"/>
      <c r="DY673" s="42"/>
      <c r="DZ673" s="42"/>
      <c r="EA673" s="42"/>
      <c r="EB673" s="42"/>
      <c r="EC673" s="42"/>
      <c r="ED673" s="42"/>
      <c r="EE673" s="42"/>
      <c r="EF673" s="42"/>
      <c r="EG673" s="42"/>
      <c r="EH673" s="42"/>
      <c r="EI673" s="42"/>
      <c r="EJ673" s="42"/>
      <c r="EK673" s="42"/>
      <c r="EL673" s="42"/>
      <c r="EM673" s="42"/>
      <c r="EN673" s="42"/>
      <c r="EO673" s="42"/>
      <c r="EP673" s="42"/>
      <c r="EQ673" s="42"/>
      <c r="ER673" s="42"/>
      <c r="ES673" s="42"/>
      <c r="ET673" s="42"/>
      <c r="EU673" s="42"/>
      <c r="EV673" s="42"/>
      <c r="EW673" s="42"/>
      <c r="EX673" s="42"/>
      <c r="EY673" s="42"/>
      <c r="EZ673" s="42"/>
      <c r="FA673" s="42"/>
      <c r="FB673" s="42"/>
      <c r="FC673" s="42"/>
      <c r="FD673" s="42"/>
      <c r="FE673" s="42"/>
      <c r="FF673" s="42"/>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row>
    <row r="674" spans="1:256" ht="13.8" x14ac:dyDescent="0.3">
      <c r="A674" s="42"/>
      <c r="B674" s="42"/>
      <c r="C674" s="42"/>
      <c r="D674" s="42"/>
      <c r="E674" s="42"/>
      <c r="F674" s="42"/>
      <c r="G674" s="42"/>
      <c r="H674" s="42"/>
      <c r="I674" s="42"/>
      <c r="J674" s="42"/>
      <c r="K674" s="42"/>
      <c r="L674" s="42"/>
      <c r="M674" s="42"/>
      <c r="N674" s="42"/>
      <c r="O674" s="42"/>
      <c r="P674" s="42"/>
      <c r="Q674" s="42"/>
      <c r="R674" s="42"/>
      <c r="S674" s="42"/>
      <c r="T674" s="42"/>
      <c r="U674" s="194"/>
      <c r="V674" s="42"/>
      <c r="W674" s="42"/>
      <c r="X674" s="42"/>
      <c r="Y674" s="42"/>
      <c r="Z674" s="42"/>
      <c r="AA674" s="42"/>
      <c r="AB674" s="195"/>
      <c r="AC674" s="42"/>
      <c r="AD674" s="42"/>
      <c r="AE674" s="195"/>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c r="BM674" s="42"/>
      <c r="BN674" s="42"/>
      <c r="BO674" s="42"/>
      <c r="BP674" s="42"/>
      <c r="BQ674" s="42"/>
      <c r="BR674" s="42"/>
      <c r="BS674" s="42"/>
      <c r="BT674" s="42"/>
      <c r="BU674" s="42"/>
      <c r="BV674" s="42"/>
      <c r="BW674" s="42"/>
      <c r="BX674" s="42"/>
      <c r="BY674" s="42"/>
      <c r="BZ674" s="42"/>
      <c r="CA674" s="42"/>
      <c r="CB674" s="42"/>
      <c r="CC674" s="42"/>
      <c r="CD674" s="42"/>
      <c r="CE674" s="42"/>
      <c r="CF674" s="42"/>
      <c r="CG674" s="42"/>
      <c r="CH674" s="42"/>
      <c r="CI674" s="42"/>
      <c r="CJ674" s="42"/>
      <c r="CK674" s="42"/>
      <c r="CL674" s="42"/>
      <c r="CM674" s="42"/>
      <c r="CN674" s="42"/>
      <c r="CO674" s="42"/>
      <c r="CP674" s="42"/>
      <c r="CQ674" s="42"/>
      <c r="CR674" s="42"/>
      <c r="CS674" s="42"/>
      <c r="CT674" s="42"/>
      <c r="CU674" s="42"/>
      <c r="CV674" s="42"/>
      <c r="CW674" s="42"/>
      <c r="CX674" s="42"/>
      <c r="CY674" s="42"/>
      <c r="CZ674" s="42"/>
      <c r="DA674" s="42"/>
      <c r="DB674" s="42"/>
      <c r="DC674" s="42"/>
      <c r="DD674" s="42"/>
      <c r="DE674" s="42"/>
      <c r="DF674" s="42"/>
      <c r="DG674" s="42"/>
      <c r="DH674" s="42"/>
      <c r="DI674" s="42"/>
      <c r="DJ674" s="42"/>
      <c r="DK674" s="42"/>
      <c r="DL674" s="42"/>
      <c r="DM674" s="42"/>
      <c r="DN674" s="42"/>
      <c r="DO674" s="42"/>
      <c r="DP674" s="42"/>
      <c r="DQ674" s="42"/>
      <c r="DR674" s="42"/>
      <c r="DS674" s="42"/>
      <c r="DT674" s="42"/>
      <c r="DU674" s="42"/>
      <c r="DV674" s="42"/>
      <c r="DW674" s="42"/>
      <c r="DX674" s="42"/>
      <c r="DY674" s="42"/>
      <c r="DZ674" s="42"/>
      <c r="EA674" s="42"/>
      <c r="EB674" s="42"/>
      <c r="EC674" s="42"/>
      <c r="ED674" s="42"/>
      <c r="EE674" s="42"/>
      <c r="EF674" s="42"/>
      <c r="EG674" s="42"/>
      <c r="EH674" s="42"/>
      <c r="EI674" s="42"/>
      <c r="EJ674" s="42"/>
      <c r="EK674" s="42"/>
      <c r="EL674" s="42"/>
      <c r="EM674" s="42"/>
      <c r="EN674" s="42"/>
      <c r="EO674" s="42"/>
      <c r="EP674" s="42"/>
      <c r="EQ674" s="42"/>
      <c r="ER674" s="42"/>
      <c r="ES674" s="42"/>
      <c r="ET674" s="42"/>
      <c r="EU674" s="42"/>
      <c r="EV674" s="42"/>
      <c r="EW674" s="42"/>
      <c r="EX674" s="42"/>
      <c r="EY674" s="42"/>
      <c r="EZ674" s="42"/>
      <c r="FA674" s="42"/>
      <c r="FB674" s="42"/>
      <c r="FC674" s="42"/>
      <c r="FD674" s="42"/>
      <c r="FE674" s="42"/>
      <c r="FF674" s="42"/>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row>
    <row r="675" spans="1:256" ht="13.8" x14ac:dyDescent="0.3">
      <c r="A675" s="42"/>
      <c r="B675" s="42"/>
      <c r="C675" s="42"/>
      <c r="D675" s="42"/>
      <c r="E675" s="42"/>
      <c r="F675" s="42"/>
      <c r="G675" s="42"/>
      <c r="H675" s="42"/>
      <c r="I675" s="42"/>
      <c r="J675" s="42"/>
      <c r="K675" s="42"/>
      <c r="L675" s="42"/>
      <c r="M675" s="42"/>
      <c r="N675" s="42"/>
      <c r="O675" s="42"/>
      <c r="P675" s="42"/>
      <c r="Q675" s="42"/>
      <c r="R675" s="42"/>
      <c r="S675" s="42"/>
      <c r="T675" s="42"/>
      <c r="U675" s="194"/>
      <c r="V675" s="42"/>
      <c r="W675" s="42"/>
      <c r="X675" s="42"/>
      <c r="Y675" s="42"/>
      <c r="Z675" s="42"/>
      <c r="AA675" s="42"/>
      <c r="AB675" s="195"/>
      <c r="AC675" s="42"/>
      <c r="AD675" s="42"/>
      <c r="AE675" s="195"/>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c r="BM675" s="42"/>
      <c r="BN675" s="42"/>
      <c r="BO675" s="42"/>
      <c r="BP675" s="42"/>
      <c r="BQ675" s="42"/>
      <c r="BR675" s="42"/>
      <c r="BS675" s="42"/>
      <c r="BT675" s="42"/>
      <c r="BU675" s="42"/>
      <c r="BV675" s="42"/>
      <c r="BW675" s="42"/>
      <c r="BX675" s="42"/>
      <c r="BY675" s="42"/>
      <c r="BZ675" s="42"/>
      <c r="CA675" s="42"/>
      <c r="CB675" s="42"/>
      <c r="CC675" s="42"/>
      <c r="CD675" s="42"/>
      <c r="CE675" s="42"/>
      <c r="CF675" s="42"/>
      <c r="CG675" s="42"/>
      <c r="CH675" s="42"/>
      <c r="CI675" s="42"/>
      <c r="CJ675" s="42"/>
      <c r="CK675" s="42"/>
      <c r="CL675" s="42"/>
      <c r="CM675" s="42"/>
      <c r="CN675" s="42"/>
      <c r="CO675" s="42"/>
      <c r="CP675" s="42"/>
      <c r="CQ675" s="42"/>
      <c r="CR675" s="42"/>
      <c r="CS675" s="42"/>
      <c r="CT675" s="42"/>
      <c r="CU675" s="42"/>
      <c r="CV675" s="42"/>
      <c r="CW675" s="42"/>
      <c r="CX675" s="42"/>
      <c r="CY675" s="42"/>
      <c r="CZ675" s="42"/>
      <c r="DA675" s="42"/>
      <c r="DB675" s="42"/>
      <c r="DC675" s="42"/>
      <c r="DD675" s="42"/>
      <c r="DE675" s="42"/>
      <c r="DF675" s="42"/>
      <c r="DG675" s="42"/>
      <c r="DH675" s="42"/>
      <c r="DI675" s="42"/>
      <c r="DJ675" s="42"/>
      <c r="DK675" s="42"/>
      <c r="DL675" s="42"/>
      <c r="DM675" s="42"/>
      <c r="DN675" s="42"/>
      <c r="DO675" s="42"/>
      <c r="DP675" s="42"/>
      <c r="DQ675" s="42"/>
      <c r="DR675" s="42"/>
      <c r="DS675" s="42"/>
      <c r="DT675" s="42"/>
      <c r="DU675" s="42"/>
      <c r="DV675" s="42"/>
      <c r="DW675" s="42"/>
      <c r="DX675" s="42"/>
      <c r="DY675" s="42"/>
      <c r="DZ675" s="42"/>
      <c r="EA675" s="42"/>
      <c r="EB675" s="42"/>
      <c r="EC675" s="42"/>
      <c r="ED675" s="42"/>
      <c r="EE675" s="42"/>
      <c r="EF675" s="42"/>
      <c r="EG675" s="42"/>
      <c r="EH675" s="42"/>
      <c r="EI675" s="42"/>
      <c r="EJ675" s="42"/>
      <c r="EK675" s="42"/>
      <c r="EL675" s="42"/>
      <c r="EM675" s="42"/>
      <c r="EN675" s="42"/>
      <c r="EO675" s="42"/>
      <c r="EP675" s="42"/>
      <c r="EQ675" s="42"/>
      <c r="ER675" s="42"/>
      <c r="ES675" s="42"/>
      <c r="ET675" s="42"/>
      <c r="EU675" s="42"/>
      <c r="EV675" s="42"/>
      <c r="EW675" s="42"/>
      <c r="EX675" s="42"/>
      <c r="EY675" s="42"/>
      <c r="EZ675" s="42"/>
      <c r="FA675" s="42"/>
      <c r="FB675" s="42"/>
      <c r="FC675" s="42"/>
      <c r="FD675" s="42"/>
      <c r="FE675" s="42"/>
      <c r="FF675" s="42"/>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row>
    <row r="676" spans="1:256" ht="13.8" x14ac:dyDescent="0.3">
      <c r="A676" s="42"/>
      <c r="B676" s="42"/>
      <c r="C676" s="42"/>
      <c r="D676" s="42"/>
      <c r="E676" s="42"/>
      <c r="F676" s="42"/>
      <c r="G676" s="42"/>
      <c r="H676" s="42"/>
      <c r="I676" s="42"/>
      <c r="J676" s="42"/>
      <c r="K676" s="42"/>
      <c r="L676" s="42"/>
      <c r="M676" s="42"/>
      <c r="N676" s="42"/>
      <c r="O676" s="42"/>
      <c r="P676" s="42"/>
      <c r="Q676" s="42"/>
      <c r="R676" s="42"/>
      <c r="S676" s="42"/>
      <c r="T676" s="42"/>
      <c r="U676" s="194"/>
      <c r="V676" s="42"/>
      <c r="W676" s="42"/>
      <c r="X676" s="42"/>
      <c r="Y676" s="42"/>
      <c r="Z676" s="42"/>
      <c r="AA676" s="42"/>
      <c r="AB676" s="195"/>
      <c r="AC676" s="42"/>
      <c r="AD676" s="42"/>
      <c r="AE676" s="195"/>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c r="BM676" s="42"/>
      <c r="BN676" s="42"/>
      <c r="BO676" s="42"/>
      <c r="BP676" s="42"/>
      <c r="BQ676" s="42"/>
      <c r="BR676" s="42"/>
      <c r="BS676" s="42"/>
      <c r="BT676" s="42"/>
      <c r="BU676" s="42"/>
      <c r="BV676" s="42"/>
      <c r="BW676" s="42"/>
      <c r="BX676" s="42"/>
      <c r="BY676" s="42"/>
      <c r="BZ676" s="42"/>
      <c r="CA676" s="42"/>
      <c r="CB676" s="42"/>
      <c r="CC676" s="42"/>
      <c r="CD676" s="42"/>
      <c r="CE676" s="42"/>
      <c r="CF676" s="42"/>
      <c r="CG676" s="42"/>
      <c r="CH676" s="42"/>
      <c r="CI676" s="42"/>
      <c r="CJ676" s="42"/>
      <c r="CK676" s="42"/>
      <c r="CL676" s="42"/>
      <c r="CM676" s="42"/>
      <c r="CN676" s="42"/>
      <c r="CO676" s="42"/>
      <c r="CP676" s="42"/>
      <c r="CQ676" s="42"/>
      <c r="CR676" s="42"/>
      <c r="CS676" s="42"/>
      <c r="CT676" s="42"/>
      <c r="CU676" s="42"/>
      <c r="CV676" s="42"/>
      <c r="CW676" s="42"/>
      <c r="CX676" s="42"/>
      <c r="CY676" s="42"/>
      <c r="CZ676" s="42"/>
      <c r="DA676" s="42"/>
      <c r="DB676" s="42"/>
      <c r="DC676" s="42"/>
      <c r="DD676" s="42"/>
      <c r="DE676" s="42"/>
      <c r="DF676" s="42"/>
      <c r="DG676" s="42"/>
      <c r="DH676" s="42"/>
      <c r="DI676" s="42"/>
      <c r="DJ676" s="42"/>
      <c r="DK676" s="42"/>
      <c r="DL676" s="42"/>
      <c r="DM676" s="42"/>
      <c r="DN676" s="42"/>
      <c r="DO676" s="42"/>
      <c r="DP676" s="42"/>
      <c r="DQ676" s="42"/>
      <c r="DR676" s="42"/>
      <c r="DS676" s="42"/>
      <c r="DT676" s="42"/>
      <c r="DU676" s="42"/>
      <c r="DV676" s="42"/>
      <c r="DW676" s="42"/>
      <c r="DX676" s="42"/>
      <c r="DY676" s="42"/>
      <c r="DZ676" s="42"/>
      <c r="EA676" s="42"/>
      <c r="EB676" s="42"/>
      <c r="EC676" s="42"/>
      <c r="ED676" s="42"/>
      <c r="EE676" s="42"/>
      <c r="EF676" s="42"/>
      <c r="EG676" s="42"/>
      <c r="EH676" s="42"/>
      <c r="EI676" s="42"/>
      <c r="EJ676" s="42"/>
      <c r="EK676" s="42"/>
      <c r="EL676" s="42"/>
      <c r="EM676" s="42"/>
      <c r="EN676" s="42"/>
      <c r="EO676" s="42"/>
      <c r="EP676" s="42"/>
      <c r="EQ676" s="42"/>
      <c r="ER676" s="42"/>
      <c r="ES676" s="42"/>
      <c r="ET676" s="42"/>
      <c r="EU676" s="42"/>
      <c r="EV676" s="42"/>
      <c r="EW676" s="42"/>
      <c r="EX676" s="42"/>
      <c r="EY676" s="42"/>
      <c r="EZ676" s="42"/>
      <c r="FA676" s="42"/>
      <c r="FB676" s="42"/>
      <c r="FC676" s="42"/>
      <c r="FD676" s="42"/>
      <c r="FE676" s="42"/>
      <c r="FF676" s="42"/>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row>
    <row r="677" spans="1:256" ht="13.8" x14ac:dyDescent="0.3">
      <c r="A677" s="42"/>
      <c r="B677" s="42"/>
      <c r="C677" s="42"/>
      <c r="D677" s="42"/>
      <c r="E677" s="42"/>
      <c r="F677" s="42"/>
      <c r="G677" s="42"/>
      <c r="H677" s="42"/>
      <c r="I677" s="42"/>
      <c r="J677" s="42"/>
      <c r="K677" s="42"/>
      <c r="L677" s="42"/>
      <c r="M677" s="42"/>
      <c r="N677" s="42"/>
      <c r="O677" s="42"/>
      <c r="P677" s="42"/>
      <c r="Q677" s="42"/>
      <c r="R677" s="42"/>
      <c r="S677" s="42"/>
      <c r="T677" s="42"/>
      <c r="U677" s="194"/>
      <c r="V677" s="42"/>
      <c r="W677" s="42"/>
      <c r="X677" s="42"/>
      <c r="Y677" s="42"/>
      <c r="Z677" s="42"/>
      <c r="AA677" s="42"/>
      <c r="AB677" s="195"/>
      <c r="AC677" s="42"/>
      <c r="AD677" s="42"/>
      <c r="AE677" s="195"/>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c r="BM677" s="42"/>
      <c r="BN677" s="42"/>
      <c r="BO677" s="42"/>
      <c r="BP677" s="42"/>
      <c r="BQ677" s="42"/>
      <c r="BR677" s="42"/>
      <c r="BS677" s="42"/>
      <c r="BT677" s="42"/>
      <c r="BU677" s="42"/>
      <c r="BV677" s="42"/>
      <c r="BW677" s="42"/>
      <c r="BX677" s="42"/>
      <c r="BY677" s="42"/>
      <c r="BZ677" s="42"/>
      <c r="CA677" s="42"/>
      <c r="CB677" s="42"/>
      <c r="CC677" s="42"/>
      <c r="CD677" s="42"/>
      <c r="CE677" s="42"/>
      <c r="CF677" s="42"/>
      <c r="CG677" s="42"/>
      <c r="CH677" s="42"/>
      <c r="CI677" s="42"/>
      <c r="CJ677" s="42"/>
      <c r="CK677" s="42"/>
      <c r="CL677" s="42"/>
      <c r="CM677" s="42"/>
      <c r="CN677" s="42"/>
      <c r="CO677" s="42"/>
      <c r="CP677" s="42"/>
      <c r="CQ677" s="42"/>
      <c r="CR677" s="42"/>
      <c r="CS677" s="42"/>
      <c r="CT677" s="42"/>
      <c r="CU677" s="42"/>
      <c r="CV677" s="42"/>
      <c r="CW677" s="42"/>
      <c r="CX677" s="42"/>
      <c r="CY677" s="42"/>
      <c r="CZ677" s="42"/>
      <c r="DA677" s="42"/>
      <c r="DB677" s="42"/>
      <c r="DC677" s="42"/>
      <c r="DD677" s="42"/>
      <c r="DE677" s="42"/>
      <c r="DF677" s="42"/>
      <c r="DG677" s="42"/>
      <c r="DH677" s="42"/>
      <c r="DI677" s="42"/>
      <c r="DJ677" s="42"/>
      <c r="DK677" s="42"/>
      <c r="DL677" s="42"/>
      <c r="DM677" s="42"/>
      <c r="DN677" s="42"/>
      <c r="DO677" s="42"/>
      <c r="DP677" s="42"/>
      <c r="DQ677" s="42"/>
      <c r="DR677" s="42"/>
      <c r="DS677" s="42"/>
      <c r="DT677" s="42"/>
      <c r="DU677" s="42"/>
      <c r="DV677" s="42"/>
      <c r="DW677" s="42"/>
      <c r="DX677" s="42"/>
      <c r="DY677" s="42"/>
      <c r="DZ677" s="42"/>
      <c r="EA677" s="42"/>
      <c r="EB677" s="42"/>
      <c r="EC677" s="42"/>
      <c r="ED677" s="42"/>
      <c r="EE677" s="42"/>
      <c r="EF677" s="42"/>
      <c r="EG677" s="42"/>
      <c r="EH677" s="42"/>
      <c r="EI677" s="42"/>
      <c r="EJ677" s="42"/>
      <c r="EK677" s="42"/>
      <c r="EL677" s="42"/>
      <c r="EM677" s="42"/>
      <c r="EN677" s="42"/>
      <c r="EO677" s="42"/>
      <c r="EP677" s="42"/>
      <c r="EQ677" s="42"/>
      <c r="ER677" s="42"/>
      <c r="ES677" s="42"/>
      <c r="ET677" s="42"/>
      <c r="EU677" s="42"/>
      <c r="EV677" s="42"/>
      <c r="EW677" s="42"/>
      <c r="EX677" s="42"/>
      <c r="EY677" s="42"/>
      <c r="EZ677" s="42"/>
      <c r="FA677" s="42"/>
      <c r="FB677" s="42"/>
      <c r="FC677" s="42"/>
      <c r="FD677" s="42"/>
      <c r="FE677" s="42"/>
      <c r="FF677" s="42"/>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row>
    <row r="678" spans="1:256" ht="13.8" x14ac:dyDescent="0.3">
      <c r="A678" s="42"/>
      <c r="B678" s="42"/>
      <c r="C678" s="42"/>
      <c r="D678" s="42"/>
      <c r="E678" s="42"/>
      <c r="F678" s="42"/>
      <c r="G678" s="42"/>
      <c r="H678" s="42"/>
      <c r="I678" s="42"/>
      <c r="J678" s="42"/>
      <c r="K678" s="42"/>
      <c r="L678" s="42"/>
      <c r="M678" s="42"/>
      <c r="N678" s="42"/>
      <c r="O678" s="42"/>
      <c r="P678" s="42"/>
      <c r="Q678" s="42"/>
      <c r="R678" s="42"/>
      <c r="S678" s="42"/>
      <c r="T678" s="42"/>
      <c r="U678" s="194"/>
      <c r="V678" s="42"/>
      <c r="W678" s="42"/>
      <c r="X678" s="42"/>
      <c r="Y678" s="42"/>
      <c r="Z678" s="42"/>
      <c r="AA678" s="42"/>
      <c r="AB678" s="195"/>
      <c r="AC678" s="42"/>
      <c r="AD678" s="42"/>
      <c r="AE678" s="195"/>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c r="BM678" s="42"/>
      <c r="BN678" s="42"/>
      <c r="BO678" s="42"/>
      <c r="BP678" s="42"/>
      <c r="BQ678" s="42"/>
      <c r="BR678" s="42"/>
      <c r="BS678" s="42"/>
      <c r="BT678" s="42"/>
      <c r="BU678" s="42"/>
      <c r="BV678" s="42"/>
      <c r="BW678" s="42"/>
      <c r="BX678" s="42"/>
      <c r="BY678" s="42"/>
      <c r="BZ678" s="42"/>
      <c r="CA678" s="42"/>
      <c r="CB678" s="42"/>
      <c r="CC678" s="42"/>
      <c r="CD678" s="42"/>
      <c r="CE678" s="42"/>
      <c r="CF678" s="42"/>
      <c r="CG678" s="42"/>
      <c r="CH678" s="42"/>
      <c r="CI678" s="42"/>
      <c r="CJ678" s="42"/>
      <c r="CK678" s="42"/>
      <c r="CL678" s="42"/>
      <c r="CM678" s="42"/>
      <c r="CN678" s="42"/>
      <c r="CO678" s="42"/>
      <c r="CP678" s="42"/>
      <c r="CQ678" s="42"/>
      <c r="CR678" s="42"/>
      <c r="CS678" s="42"/>
      <c r="CT678" s="42"/>
      <c r="CU678" s="42"/>
      <c r="CV678" s="42"/>
      <c r="CW678" s="42"/>
      <c r="CX678" s="42"/>
      <c r="CY678" s="42"/>
      <c r="CZ678" s="42"/>
      <c r="DA678" s="42"/>
      <c r="DB678" s="42"/>
      <c r="DC678" s="42"/>
      <c r="DD678" s="42"/>
      <c r="DE678" s="42"/>
      <c r="DF678" s="42"/>
      <c r="DG678" s="42"/>
      <c r="DH678" s="42"/>
      <c r="DI678" s="42"/>
      <c r="DJ678" s="42"/>
      <c r="DK678" s="42"/>
      <c r="DL678" s="42"/>
      <c r="DM678" s="42"/>
      <c r="DN678" s="42"/>
      <c r="DO678" s="42"/>
      <c r="DP678" s="42"/>
      <c r="DQ678" s="42"/>
      <c r="DR678" s="42"/>
      <c r="DS678" s="42"/>
      <c r="DT678" s="42"/>
      <c r="DU678" s="42"/>
      <c r="DV678" s="42"/>
      <c r="DW678" s="42"/>
      <c r="DX678" s="42"/>
      <c r="DY678" s="42"/>
      <c r="DZ678" s="42"/>
      <c r="EA678" s="42"/>
      <c r="EB678" s="42"/>
      <c r="EC678" s="42"/>
      <c r="ED678" s="42"/>
      <c r="EE678" s="42"/>
      <c r="EF678" s="42"/>
      <c r="EG678" s="42"/>
      <c r="EH678" s="42"/>
      <c r="EI678" s="42"/>
      <c r="EJ678" s="42"/>
      <c r="EK678" s="42"/>
      <c r="EL678" s="42"/>
      <c r="EM678" s="42"/>
      <c r="EN678" s="42"/>
      <c r="EO678" s="42"/>
      <c r="EP678" s="42"/>
      <c r="EQ678" s="42"/>
      <c r="ER678" s="42"/>
      <c r="ES678" s="42"/>
      <c r="ET678" s="42"/>
      <c r="EU678" s="42"/>
      <c r="EV678" s="42"/>
      <c r="EW678" s="42"/>
      <c r="EX678" s="42"/>
      <c r="EY678" s="42"/>
      <c r="EZ678" s="42"/>
      <c r="FA678" s="42"/>
      <c r="FB678" s="42"/>
      <c r="FC678" s="42"/>
      <c r="FD678" s="42"/>
      <c r="FE678" s="42"/>
      <c r="FF678" s="42"/>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row>
    <row r="679" spans="1:256" ht="13.8" x14ac:dyDescent="0.3">
      <c r="A679" s="42"/>
      <c r="B679" s="42"/>
      <c r="C679" s="42"/>
      <c r="D679" s="42"/>
      <c r="E679" s="42"/>
      <c r="F679" s="42"/>
      <c r="G679" s="42"/>
      <c r="H679" s="42"/>
      <c r="I679" s="42"/>
      <c r="J679" s="42"/>
      <c r="K679" s="42"/>
      <c r="L679" s="42"/>
      <c r="M679" s="42"/>
      <c r="N679" s="42"/>
      <c r="O679" s="42"/>
      <c r="P679" s="42"/>
      <c r="Q679" s="42"/>
      <c r="R679" s="42"/>
      <c r="S679" s="42"/>
      <c r="T679" s="42"/>
      <c r="U679" s="194"/>
      <c r="V679" s="42"/>
      <c r="W679" s="42"/>
      <c r="X679" s="42"/>
      <c r="Y679" s="42"/>
      <c r="Z679" s="42"/>
      <c r="AA679" s="42"/>
      <c r="AB679" s="195"/>
      <c r="AC679" s="42"/>
      <c r="AD679" s="42"/>
      <c r="AE679" s="195"/>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c r="BM679" s="42"/>
      <c r="BN679" s="42"/>
      <c r="BO679" s="42"/>
      <c r="BP679" s="42"/>
      <c r="BQ679" s="42"/>
      <c r="BR679" s="42"/>
      <c r="BS679" s="42"/>
      <c r="BT679" s="42"/>
      <c r="BU679" s="42"/>
      <c r="BV679" s="42"/>
      <c r="BW679" s="42"/>
      <c r="BX679" s="42"/>
      <c r="BY679" s="42"/>
      <c r="BZ679" s="42"/>
      <c r="CA679" s="42"/>
      <c r="CB679" s="42"/>
      <c r="CC679" s="42"/>
      <c r="CD679" s="42"/>
      <c r="CE679" s="42"/>
      <c r="CF679" s="42"/>
      <c r="CG679" s="42"/>
      <c r="CH679" s="42"/>
      <c r="CI679" s="42"/>
      <c r="CJ679" s="42"/>
      <c r="CK679" s="42"/>
      <c r="CL679" s="42"/>
      <c r="CM679" s="42"/>
      <c r="CN679" s="42"/>
      <c r="CO679" s="42"/>
      <c r="CP679" s="42"/>
      <c r="CQ679" s="42"/>
      <c r="CR679" s="42"/>
      <c r="CS679" s="42"/>
      <c r="CT679" s="42"/>
      <c r="CU679" s="42"/>
      <c r="CV679" s="42"/>
      <c r="CW679" s="42"/>
      <c r="CX679" s="42"/>
      <c r="CY679" s="42"/>
      <c r="CZ679" s="42"/>
      <c r="DA679" s="42"/>
      <c r="DB679" s="42"/>
      <c r="DC679" s="42"/>
      <c r="DD679" s="42"/>
      <c r="DE679" s="42"/>
      <c r="DF679" s="42"/>
      <c r="DG679" s="42"/>
      <c r="DH679" s="42"/>
      <c r="DI679" s="42"/>
      <c r="DJ679" s="42"/>
      <c r="DK679" s="42"/>
      <c r="DL679" s="42"/>
      <c r="DM679" s="42"/>
      <c r="DN679" s="42"/>
      <c r="DO679" s="42"/>
      <c r="DP679" s="42"/>
      <c r="DQ679" s="42"/>
      <c r="DR679" s="42"/>
      <c r="DS679" s="42"/>
      <c r="DT679" s="42"/>
      <c r="DU679" s="42"/>
      <c r="DV679" s="42"/>
      <c r="DW679" s="42"/>
      <c r="DX679" s="42"/>
      <c r="DY679" s="42"/>
      <c r="DZ679" s="42"/>
      <c r="EA679" s="42"/>
      <c r="EB679" s="42"/>
      <c r="EC679" s="42"/>
      <c r="ED679" s="42"/>
      <c r="EE679" s="42"/>
      <c r="EF679" s="42"/>
      <c r="EG679" s="42"/>
      <c r="EH679" s="42"/>
      <c r="EI679" s="42"/>
      <c r="EJ679" s="42"/>
      <c r="EK679" s="42"/>
      <c r="EL679" s="42"/>
      <c r="EM679" s="42"/>
      <c r="EN679" s="42"/>
      <c r="EO679" s="42"/>
      <c r="EP679" s="42"/>
      <c r="EQ679" s="42"/>
      <c r="ER679" s="42"/>
      <c r="ES679" s="42"/>
      <c r="ET679" s="42"/>
      <c r="EU679" s="42"/>
      <c r="EV679" s="42"/>
      <c r="EW679" s="42"/>
      <c r="EX679" s="42"/>
      <c r="EY679" s="42"/>
      <c r="EZ679" s="42"/>
      <c r="FA679" s="42"/>
      <c r="FB679" s="42"/>
      <c r="FC679" s="42"/>
      <c r="FD679" s="42"/>
      <c r="FE679" s="42"/>
      <c r="FF679" s="42"/>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row>
    <row r="680" spans="1:256" ht="13.8" x14ac:dyDescent="0.3">
      <c r="A680" s="42"/>
      <c r="B680" s="42"/>
      <c r="C680" s="42"/>
      <c r="D680" s="42"/>
      <c r="E680" s="42"/>
      <c r="F680" s="42"/>
      <c r="G680" s="42"/>
      <c r="H680" s="42"/>
      <c r="I680" s="42"/>
      <c r="J680" s="42"/>
      <c r="K680" s="42"/>
      <c r="L680" s="42"/>
      <c r="M680" s="42"/>
      <c r="N680" s="42"/>
      <c r="O680" s="42"/>
      <c r="P680" s="42"/>
      <c r="Q680" s="42"/>
      <c r="R680" s="42"/>
      <c r="S680" s="42"/>
      <c r="T680" s="42"/>
      <c r="U680" s="194"/>
      <c r="V680" s="42"/>
      <c r="W680" s="42"/>
      <c r="X680" s="42"/>
      <c r="Y680" s="42"/>
      <c r="Z680" s="42"/>
      <c r="AA680" s="42"/>
      <c r="AB680" s="195"/>
      <c r="AC680" s="42"/>
      <c r="AD680" s="42"/>
      <c r="AE680" s="195"/>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c r="BM680" s="42"/>
      <c r="BN680" s="42"/>
      <c r="BO680" s="42"/>
      <c r="BP680" s="42"/>
      <c r="BQ680" s="42"/>
      <c r="BR680" s="42"/>
      <c r="BS680" s="42"/>
      <c r="BT680" s="42"/>
      <c r="BU680" s="42"/>
      <c r="BV680" s="42"/>
      <c r="BW680" s="42"/>
      <c r="BX680" s="42"/>
      <c r="BY680" s="42"/>
      <c r="BZ680" s="42"/>
      <c r="CA680" s="42"/>
      <c r="CB680" s="42"/>
      <c r="CC680" s="42"/>
      <c r="CD680" s="42"/>
      <c r="CE680" s="42"/>
      <c r="CF680" s="42"/>
      <c r="CG680" s="42"/>
      <c r="CH680" s="42"/>
      <c r="CI680" s="42"/>
      <c r="CJ680" s="42"/>
      <c r="CK680" s="42"/>
      <c r="CL680" s="42"/>
      <c r="CM680" s="42"/>
      <c r="CN680" s="42"/>
      <c r="CO680" s="42"/>
      <c r="CP680" s="42"/>
      <c r="CQ680" s="42"/>
      <c r="CR680" s="42"/>
      <c r="CS680" s="42"/>
      <c r="CT680" s="42"/>
      <c r="CU680" s="42"/>
      <c r="CV680" s="42"/>
      <c r="CW680" s="42"/>
      <c r="CX680" s="42"/>
      <c r="CY680" s="42"/>
      <c r="CZ680" s="42"/>
      <c r="DA680" s="42"/>
      <c r="DB680" s="42"/>
      <c r="DC680" s="42"/>
      <c r="DD680" s="42"/>
      <c r="DE680" s="42"/>
      <c r="DF680" s="42"/>
      <c r="DG680" s="42"/>
      <c r="DH680" s="42"/>
      <c r="DI680" s="42"/>
      <c r="DJ680" s="42"/>
      <c r="DK680" s="42"/>
      <c r="DL680" s="42"/>
      <c r="DM680" s="42"/>
      <c r="DN680" s="42"/>
      <c r="DO680" s="42"/>
      <c r="DP680" s="42"/>
      <c r="DQ680" s="42"/>
      <c r="DR680" s="42"/>
      <c r="DS680" s="42"/>
      <c r="DT680" s="42"/>
      <c r="DU680" s="42"/>
      <c r="DV680" s="42"/>
      <c r="DW680" s="42"/>
      <c r="DX680" s="42"/>
      <c r="DY680" s="42"/>
      <c r="DZ680" s="42"/>
      <c r="EA680" s="42"/>
      <c r="EB680" s="42"/>
      <c r="EC680" s="42"/>
      <c r="ED680" s="42"/>
      <c r="EE680" s="42"/>
      <c r="EF680" s="42"/>
      <c r="EG680" s="42"/>
      <c r="EH680" s="42"/>
      <c r="EI680" s="42"/>
      <c r="EJ680" s="42"/>
      <c r="EK680" s="42"/>
      <c r="EL680" s="42"/>
      <c r="EM680" s="42"/>
      <c r="EN680" s="42"/>
      <c r="EO680" s="42"/>
      <c r="EP680" s="42"/>
      <c r="EQ680" s="42"/>
      <c r="ER680" s="42"/>
      <c r="ES680" s="42"/>
      <c r="ET680" s="42"/>
      <c r="EU680" s="42"/>
      <c r="EV680" s="42"/>
      <c r="EW680" s="42"/>
      <c r="EX680" s="42"/>
      <c r="EY680" s="42"/>
      <c r="EZ680" s="42"/>
      <c r="FA680" s="42"/>
      <c r="FB680" s="42"/>
      <c r="FC680" s="42"/>
      <c r="FD680" s="42"/>
      <c r="FE680" s="42"/>
      <c r="FF680" s="42"/>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row>
    <row r="681" spans="1:256" ht="13.8" x14ac:dyDescent="0.3">
      <c r="A681" s="42"/>
      <c r="B681" s="42"/>
      <c r="C681" s="42"/>
      <c r="D681" s="42"/>
      <c r="E681" s="42"/>
      <c r="F681" s="42"/>
      <c r="G681" s="42"/>
      <c r="H681" s="42"/>
      <c r="I681" s="42"/>
      <c r="J681" s="42"/>
      <c r="K681" s="42"/>
      <c r="L681" s="42"/>
      <c r="M681" s="42"/>
      <c r="N681" s="42"/>
      <c r="O681" s="42"/>
      <c r="P681" s="42"/>
      <c r="Q681" s="42"/>
      <c r="R681" s="42"/>
      <c r="S681" s="42"/>
      <c r="T681" s="42"/>
      <c r="U681" s="194"/>
      <c r="V681" s="42"/>
      <c r="W681" s="42"/>
      <c r="X681" s="42"/>
      <c r="Y681" s="42"/>
      <c r="Z681" s="42"/>
      <c r="AA681" s="42"/>
      <c r="AB681" s="195"/>
      <c r="AC681" s="42"/>
      <c r="AD681" s="42"/>
      <c r="AE681" s="195"/>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c r="BM681" s="42"/>
      <c r="BN681" s="42"/>
      <c r="BO681" s="42"/>
      <c r="BP681" s="42"/>
      <c r="BQ681" s="42"/>
      <c r="BR681" s="42"/>
      <c r="BS681" s="42"/>
      <c r="BT681" s="42"/>
      <c r="BU681" s="42"/>
      <c r="BV681" s="42"/>
      <c r="BW681" s="42"/>
      <c r="BX681" s="42"/>
      <c r="BY681" s="42"/>
      <c r="BZ681" s="42"/>
      <c r="CA681" s="42"/>
      <c r="CB681" s="42"/>
      <c r="CC681" s="42"/>
      <c r="CD681" s="42"/>
      <c r="CE681" s="42"/>
      <c r="CF681" s="42"/>
      <c r="CG681" s="42"/>
      <c r="CH681" s="42"/>
      <c r="CI681" s="42"/>
      <c r="CJ681" s="42"/>
      <c r="CK681" s="42"/>
      <c r="CL681" s="42"/>
      <c r="CM681" s="42"/>
      <c r="CN681" s="42"/>
      <c r="CO681" s="42"/>
      <c r="CP681" s="42"/>
      <c r="CQ681" s="42"/>
      <c r="CR681" s="42"/>
      <c r="CS681" s="42"/>
      <c r="CT681" s="42"/>
      <c r="CU681" s="42"/>
      <c r="CV681" s="42"/>
      <c r="CW681" s="42"/>
      <c r="CX681" s="42"/>
      <c r="CY681" s="42"/>
      <c r="CZ681" s="42"/>
      <c r="DA681" s="42"/>
      <c r="DB681" s="42"/>
      <c r="DC681" s="42"/>
      <c r="DD681" s="42"/>
      <c r="DE681" s="42"/>
      <c r="DF681" s="42"/>
      <c r="DG681" s="42"/>
      <c r="DH681" s="42"/>
      <c r="DI681" s="42"/>
      <c r="DJ681" s="42"/>
      <c r="DK681" s="42"/>
      <c r="DL681" s="42"/>
      <c r="DM681" s="42"/>
      <c r="DN681" s="42"/>
      <c r="DO681" s="42"/>
      <c r="DP681" s="42"/>
      <c r="DQ681" s="42"/>
      <c r="DR681" s="42"/>
      <c r="DS681" s="42"/>
      <c r="DT681" s="42"/>
      <c r="DU681" s="42"/>
      <c r="DV681" s="42"/>
      <c r="DW681" s="42"/>
      <c r="DX681" s="42"/>
      <c r="DY681" s="42"/>
      <c r="DZ681" s="42"/>
      <c r="EA681" s="42"/>
      <c r="EB681" s="42"/>
      <c r="EC681" s="42"/>
      <c r="ED681" s="42"/>
      <c r="EE681" s="42"/>
      <c r="EF681" s="42"/>
      <c r="EG681" s="42"/>
      <c r="EH681" s="42"/>
      <c r="EI681" s="42"/>
      <c r="EJ681" s="42"/>
      <c r="EK681" s="42"/>
      <c r="EL681" s="42"/>
      <c r="EM681" s="42"/>
      <c r="EN681" s="42"/>
      <c r="EO681" s="42"/>
      <c r="EP681" s="42"/>
      <c r="EQ681" s="42"/>
      <c r="ER681" s="42"/>
      <c r="ES681" s="42"/>
      <c r="ET681" s="42"/>
      <c r="EU681" s="42"/>
      <c r="EV681" s="42"/>
      <c r="EW681" s="42"/>
      <c r="EX681" s="42"/>
      <c r="EY681" s="42"/>
      <c r="EZ681" s="42"/>
      <c r="FA681" s="42"/>
      <c r="FB681" s="42"/>
      <c r="FC681" s="42"/>
      <c r="FD681" s="42"/>
      <c r="FE681" s="42"/>
      <c r="FF681" s="42"/>
      <c r="FG681" s="42"/>
      <c r="FH681" s="42"/>
      <c r="FI681" s="42"/>
      <c r="FJ681" s="42"/>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row>
    <row r="682" spans="1:256" ht="13.8" x14ac:dyDescent="0.3">
      <c r="A682" s="42"/>
      <c r="B682" s="42"/>
      <c r="C682" s="42"/>
      <c r="D682" s="42"/>
      <c r="E682" s="42"/>
      <c r="F682" s="42"/>
      <c r="G682" s="42"/>
      <c r="H682" s="42"/>
      <c r="I682" s="42"/>
      <c r="J682" s="42"/>
      <c r="K682" s="42"/>
      <c r="L682" s="42"/>
      <c r="M682" s="42"/>
      <c r="N682" s="42"/>
      <c r="O682" s="42"/>
      <c r="P682" s="42"/>
      <c r="Q682" s="42"/>
      <c r="R682" s="42"/>
      <c r="S682" s="42"/>
      <c r="T682" s="42"/>
      <c r="U682" s="194"/>
      <c r="V682" s="42"/>
      <c r="W682" s="42"/>
      <c r="X682" s="42"/>
      <c r="Y682" s="42"/>
      <c r="Z682" s="42"/>
      <c r="AA682" s="42"/>
      <c r="AB682" s="195"/>
      <c r="AC682" s="42"/>
      <c r="AD682" s="42"/>
      <c r="AE682" s="195"/>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c r="BM682" s="42"/>
      <c r="BN682" s="42"/>
      <c r="BO682" s="42"/>
      <c r="BP682" s="42"/>
      <c r="BQ682" s="42"/>
      <c r="BR682" s="42"/>
      <c r="BS682" s="42"/>
      <c r="BT682" s="42"/>
      <c r="BU682" s="42"/>
      <c r="BV682" s="42"/>
      <c r="BW682" s="42"/>
      <c r="BX682" s="42"/>
      <c r="BY682" s="42"/>
      <c r="BZ682" s="42"/>
      <c r="CA682" s="42"/>
      <c r="CB682" s="42"/>
      <c r="CC682" s="42"/>
      <c r="CD682" s="42"/>
      <c r="CE682" s="42"/>
      <c r="CF682" s="42"/>
      <c r="CG682" s="42"/>
      <c r="CH682" s="42"/>
      <c r="CI682" s="42"/>
      <c r="CJ682" s="42"/>
      <c r="CK682" s="42"/>
      <c r="CL682" s="42"/>
      <c r="CM682" s="42"/>
      <c r="CN682" s="42"/>
      <c r="CO682" s="42"/>
      <c r="CP682" s="42"/>
      <c r="CQ682" s="42"/>
      <c r="CR682" s="42"/>
      <c r="CS682" s="42"/>
      <c r="CT682" s="42"/>
      <c r="CU682" s="42"/>
      <c r="CV682" s="42"/>
      <c r="CW682" s="42"/>
      <c r="CX682" s="42"/>
      <c r="CY682" s="42"/>
      <c r="CZ682" s="42"/>
      <c r="DA682" s="42"/>
      <c r="DB682" s="42"/>
      <c r="DC682" s="42"/>
      <c r="DD682" s="42"/>
      <c r="DE682" s="42"/>
      <c r="DF682" s="42"/>
      <c r="DG682" s="42"/>
      <c r="DH682" s="42"/>
      <c r="DI682" s="42"/>
      <c r="DJ682" s="42"/>
      <c r="DK682" s="42"/>
      <c r="DL682" s="42"/>
      <c r="DM682" s="42"/>
      <c r="DN682" s="42"/>
      <c r="DO682" s="42"/>
      <c r="DP682" s="42"/>
      <c r="DQ682" s="42"/>
      <c r="DR682" s="42"/>
      <c r="DS682" s="42"/>
      <c r="DT682" s="42"/>
      <c r="DU682" s="42"/>
      <c r="DV682" s="42"/>
      <c r="DW682" s="42"/>
      <c r="DX682" s="42"/>
      <c r="DY682" s="42"/>
      <c r="DZ682" s="42"/>
      <c r="EA682" s="42"/>
      <c r="EB682" s="42"/>
      <c r="EC682" s="42"/>
      <c r="ED682" s="42"/>
      <c r="EE682" s="42"/>
      <c r="EF682" s="42"/>
      <c r="EG682" s="42"/>
      <c r="EH682" s="42"/>
      <c r="EI682" s="42"/>
      <c r="EJ682" s="42"/>
      <c r="EK682" s="42"/>
      <c r="EL682" s="42"/>
      <c r="EM682" s="42"/>
      <c r="EN682" s="42"/>
      <c r="EO682" s="42"/>
      <c r="EP682" s="42"/>
      <c r="EQ682" s="42"/>
      <c r="ER682" s="42"/>
      <c r="ES682" s="42"/>
      <c r="ET682" s="42"/>
      <c r="EU682" s="42"/>
      <c r="EV682" s="42"/>
      <c r="EW682" s="42"/>
      <c r="EX682" s="42"/>
      <c r="EY682" s="42"/>
      <c r="EZ682" s="42"/>
      <c r="FA682" s="42"/>
      <c r="FB682" s="42"/>
      <c r="FC682" s="42"/>
      <c r="FD682" s="42"/>
      <c r="FE682" s="42"/>
      <c r="FF682" s="42"/>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row>
    <row r="683" spans="1:256" ht="13.8" x14ac:dyDescent="0.3">
      <c r="A683" s="42"/>
      <c r="B683" s="42"/>
      <c r="C683" s="42"/>
      <c r="D683" s="42"/>
      <c r="E683" s="42"/>
      <c r="F683" s="42"/>
      <c r="G683" s="42"/>
      <c r="H683" s="42"/>
      <c r="I683" s="42"/>
      <c r="J683" s="42"/>
      <c r="K683" s="42"/>
      <c r="L683" s="42"/>
      <c r="M683" s="42"/>
      <c r="N683" s="42"/>
      <c r="O683" s="42"/>
      <c r="P683" s="42"/>
      <c r="Q683" s="42"/>
      <c r="R683" s="42"/>
      <c r="S683" s="42"/>
      <c r="T683" s="42"/>
      <c r="U683" s="194"/>
      <c r="V683" s="42"/>
      <c r="W683" s="42"/>
      <c r="X683" s="42"/>
      <c r="Y683" s="42"/>
      <c r="Z683" s="42"/>
      <c r="AA683" s="42"/>
      <c r="AB683" s="195"/>
      <c r="AC683" s="42"/>
      <c r="AD683" s="42"/>
      <c r="AE683" s="195"/>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c r="BM683" s="42"/>
      <c r="BN683" s="42"/>
      <c r="BO683" s="42"/>
      <c r="BP683" s="42"/>
      <c r="BQ683" s="42"/>
      <c r="BR683" s="42"/>
      <c r="BS683" s="42"/>
      <c r="BT683" s="42"/>
      <c r="BU683" s="42"/>
      <c r="BV683" s="42"/>
      <c r="BW683" s="42"/>
      <c r="BX683" s="42"/>
      <c r="BY683" s="42"/>
      <c r="BZ683" s="42"/>
      <c r="CA683" s="42"/>
      <c r="CB683" s="42"/>
      <c r="CC683" s="42"/>
      <c r="CD683" s="42"/>
      <c r="CE683" s="42"/>
      <c r="CF683" s="42"/>
      <c r="CG683" s="42"/>
      <c r="CH683" s="42"/>
      <c r="CI683" s="42"/>
      <c r="CJ683" s="42"/>
      <c r="CK683" s="42"/>
      <c r="CL683" s="42"/>
      <c r="CM683" s="42"/>
      <c r="CN683" s="42"/>
      <c r="CO683" s="42"/>
      <c r="CP683" s="42"/>
      <c r="CQ683" s="42"/>
      <c r="CR683" s="42"/>
      <c r="CS683" s="42"/>
      <c r="CT683" s="42"/>
      <c r="CU683" s="42"/>
      <c r="CV683" s="42"/>
      <c r="CW683" s="42"/>
      <c r="CX683" s="42"/>
      <c r="CY683" s="42"/>
      <c r="CZ683" s="42"/>
      <c r="DA683" s="42"/>
      <c r="DB683" s="42"/>
      <c r="DC683" s="42"/>
      <c r="DD683" s="42"/>
      <c r="DE683" s="42"/>
      <c r="DF683" s="42"/>
      <c r="DG683" s="42"/>
      <c r="DH683" s="42"/>
      <c r="DI683" s="42"/>
      <c r="DJ683" s="42"/>
      <c r="DK683" s="42"/>
      <c r="DL683" s="42"/>
      <c r="DM683" s="42"/>
      <c r="DN683" s="42"/>
      <c r="DO683" s="42"/>
      <c r="DP683" s="42"/>
      <c r="DQ683" s="42"/>
      <c r="DR683" s="42"/>
      <c r="DS683" s="42"/>
      <c r="DT683" s="42"/>
      <c r="DU683" s="42"/>
      <c r="DV683" s="42"/>
      <c r="DW683" s="42"/>
      <c r="DX683" s="42"/>
      <c r="DY683" s="42"/>
      <c r="DZ683" s="42"/>
      <c r="EA683" s="42"/>
      <c r="EB683" s="42"/>
      <c r="EC683" s="42"/>
      <c r="ED683" s="42"/>
      <c r="EE683" s="42"/>
      <c r="EF683" s="42"/>
      <c r="EG683" s="42"/>
      <c r="EH683" s="42"/>
      <c r="EI683" s="42"/>
      <c r="EJ683" s="42"/>
      <c r="EK683" s="42"/>
      <c r="EL683" s="42"/>
      <c r="EM683" s="42"/>
      <c r="EN683" s="42"/>
      <c r="EO683" s="42"/>
      <c r="EP683" s="42"/>
      <c r="EQ683" s="42"/>
      <c r="ER683" s="42"/>
      <c r="ES683" s="42"/>
      <c r="ET683" s="42"/>
      <c r="EU683" s="42"/>
      <c r="EV683" s="42"/>
      <c r="EW683" s="42"/>
      <c r="EX683" s="42"/>
      <c r="EY683" s="42"/>
      <c r="EZ683" s="42"/>
      <c r="FA683" s="42"/>
      <c r="FB683" s="42"/>
      <c r="FC683" s="42"/>
      <c r="FD683" s="42"/>
      <c r="FE683" s="42"/>
      <c r="FF683" s="42"/>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row>
    <row r="684" spans="1:256" ht="13.8" x14ac:dyDescent="0.3">
      <c r="A684" s="42"/>
      <c r="B684" s="42"/>
      <c r="C684" s="42"/>
      <c r="D684" s="42"/>
      <c r="E684" s="42"/>
      <c r="F684" s="42"/>
      <c r="G684" s="42"/>
      <c r="H684" s="42"/>
      <c r="I684" s="42"/>
      <c r="J684" s="42"/>
      <c r="K684" s="42"/>
      <c r="L684" s="42"/>
      <c r="M684" s="42"/>
      <c r="N684" s="42"/>
      <c r="O684" s="42"/>
      <c r="P684" s="42"/>
      <c r="Q684" s="42"/>
      <c r="R684" s="42"/>
      <c r="S684" s="42"/>
      <c r="T684" s="42"/>
      <c r="U684" s="194"/>
      <c r="V684" s="42"/>
      <c r="W684" s="42"/>
      <c r="X684" s="42"/>
      <c r="Y684" s="42"/>
      <c r="Z684" s="42"/>
      <c r="AA684" s="42"/>
      <c r="AB684" s="195"/>
      <c r="AC684" s="42"/>
      <c r="AD684" s="42"/>
      <c r="AE684" s="195"/>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c r="BM684" s="42"/>
      <c r="BN684" s="42"/>
      <c r="BO684" s="42"/>
      <c r="BP684" s="42"/>
      <c r="BQ684" s="42"/>
      <c r="BR684" s="42"/>
      <c r="BS684" s="42"/>
      <c r="BT684" s="42"/>
      <c r="BU684" s="42"/>
      <c r="BV684" s="42"/>
      <c r="BW684" s="42"/>
      <c r="BX684" s="42"/>
      <c r="BY684" s="42"/>
      <c r="BZ684" s="42"/>
      <c r="CA684" s="42"/>
      <c r="CB684" s="42"/>
      <c r="CC684" s="42"/>
      <c r="CD684" s="42"/>
      <c r="CE684" s="42"/>
      <c r="CF684" s="42"/>
      <c r="CG684" s="42"/>
      <c r="CH684" s="42"/>
      <c r="CI684" s="42"/>
      <c r="CJ684" s="42"/>
      <c r="CK684" s="42"/>
      <c r="CL684" s="42"/>
      <c r="CM684" s="42"/>
      <c r="CN684" s="42"/>
      <c r="CO684" s="42"/>
      <c r="CP684" s="42"/>
      <c r="CQ684" s="42"/>
      <c r="CR684" s="42"/>
      <c r="CS684" s="42"/>
      <c r="CT684" s="42"/>
      <c r="CU684" s="42"/>
      <c r="CV684" s="42"/>
      <c r="CW684" s="42"/>
      <c r="CX684" s="42"/>
      <c r="CY684" s="42"/>
      <c r="CZ684" s="42"/>
      <c r="DA684" s="42"/>
      <c r="DB684" s="42"/>
      <c r="DC684" s="42"/>
      <c r="DD684" s="42"/>
      <c r="DE684" s="42"/>
      <c r="DF684" s="42"/>
      <c r="DG684" s="42"/>
      <c r="DH684" s="42"/>
      <c r="DI684" s="42"/>
      <c r="DJ684" s="42"/>
      <c r="DK684" s="42"/>
      <c r="DL684" s="42"/>
      <c r="DM684" s="42"/>
      <c r="DN684" s="42"/>
      <c r="DO684" s="42"/>
      <c r="DP684" s="42"/>
      <c r="DQ684" s="42"/>
      <c r="DR684" s="42"/>
      <c r="DS684" s="42"/>
      <c r="DT684" s="42"/>
      <c r="DU684" s="42"/>
      <c r="DV684" s="42"/>
      <c r="DW684" s="42"/>
      <c r="DX684" s="42"/>
      <c r="DY684" s="42"/>
      <c r="DZ684" s="42"/>
      <c r="EA684" s="42"/>
      <c r="EB684" s="42"/>
      <c r="EC684" s="42"/>
      <c r="ED684" s="42"/>
      <c r="EE684" s="42"/>
      <c r="EF684" s="42"/>
      <c r="EG684" s="42"/>
      <c r="EH684" s="42"/>
      <c r="EI684" s="42"/>
      <c r="EJ684" s="42"/>
      <c r="EK684" s="42"/>
      <c r="EL684" s="42"/>
      <c r="EM684" s="42"/>
      <c r="EN684" s="42"/>
      <c r="EO684" s="42"/>
      <c r="EP684" s="42"/>
      <c r="EQ684" s="42"/>
      <c r="ER684" s="42"/>
      <c r="ES684" s="42"/>
      <c r="ET684" s="42"/>
      <c r="EU684" s="42"/>
      <c r="EV684" s="42"/>
      <c r="EW684" s="42"/>
      <c r="EX684" s="42"/>
      <c r="EY684" s="42"/>
      <c r="EZ684" s="42"/>
      <c r="FA684" s="42"/>
      <c r="FB684" s="42"/>
      <c r="FC684" s="42"/>
      <c r="FD684" s="42"/>
      <c r="FE684" s="42"/>
      <c r="FF684" s="42"/>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row>
    <row r="685" spans="1:256" ht="13.8" x14ac:dyDescent="0.3">
      <c r="A685" s="42"/>
      <c r="B685" s="42"/>
      <c r="C685" s="42"/>
      <c r="D685" s="42"/>
      <c r="E685" s="42"/>
      <c r="F685" s="42"/>
      <c r="G685" s="42"/>
      <c r="H685" s="42"/>
      <c r="I685" s="42"/>
      <c r="J685" s="42"/>
      <c r="K685" s="42"/>
      <c r="L685" s="42"/>
      <c r="M685" s="42"/>
      <c r="N685" s="42"/>
      <c r="O685" s="42"/>
      <c r="P685" s="42"/>
      <c r="Q685" s="42"/>
      <c r="R685" s="42"/>
      <c r="S685" s="42"/>
      <c r="T685" s="42"/>
      <c r="U685" s="194"/>
      <c r="V685" s="42"/>
      <c r="W685" s="42"/>
      <c r="X685" s="42"/>
      <c r="Y685" s="42"/>
      <c r="Z685" s="42"/>
      <c r="AA685" s="42"/>
      <c r="AB685" s="195"/>
      <c r="AC685" s="42"/>
      <c r="AD685" s="42"/>
      <c r="AE685" s="195"/>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c r="BM685" s="42"/>
      <c r="BN685" s="42"/>
      <c r="BO685" s="42"/>
      <c r="BP685" s="42"/>
      <c r="BQ685" s="42"/>
      <c r="BR685" s="42"/>
      <c r="BS685" s="42"/>
      <c r="BT685" s="42"/>
      <c r="BU685" s="42"/>
      <c r="BV685" s="42"/>
      <c r="BW685" s="42"/>
      <c r="BX685" s="42"/>
      <c r="BY685" s="42"/>
      <c r="BZ685" s="42"/>
      <c r="CA685" s="42"/>
      <c r="CB685" s="42"/>
      <c r="CC685" s="42"/>
      <c r="CD685" s="42"/>
      <c r="CE685" s="42"/>
      <c r="CF685" s="42"/>
      <c r="CG685" s="42"/>
      <c r="CH685" s="42"/>
      <c r="CI685" s="42"/>
      <c r="CJ685" s="42"/>
      <c r="CK685" s="42"/>
      <c r="CL685" s="42"/>
      <c r="CM685" s="42"/>
      <c r="CN685" s="42"/>
      <c r="CO685" s="42"/>
      <c r="CP685" s="42"/>
      <c r="CQ685" s="42"/>
      <c r="CR685" s="42"/>
      <c r="CS685" s="42"/>
      <c r="CT685" s="42"/>
      <c r="CU685" s="42"/>
      <c r="CV685" s="42"/>
      <c r="CW685" s="42"/>
      <c r="CX685" s="42"/>
      <c r="CY685" s="42"/>
      <c r="CZ685" s="42"/>
      <c r="DA685" s="42"/>
      <c r="DB685" s="42"/>
      <c r="DC685" s="42"/>
      <c r="DD685" s="42"/>
      <c r="DE685" s="42"/>
      <c r="DF685" s="42"/>
      <c r="DG685" s="42"/>
      <c r="DH685" s="42"/>
      <c r="DI685" s="42"/>
      <c r="DJ685" s="42"/>
      <c r="DK685" s="42"/>
      <c r="DL685" s="42"/>
      <c r="DM685" s="42"/>
      <c r="DN685" s="42"/>
      <c r="DO685" s="42"/>
      <c r="DP685" s="42"/>
      <c r="DQ685" s="42"/>
      <c r="DR685" s="42"/>
      <c r="DS685" s="42"/>
      <c r="DT685" s="42"/>
      <c r="DU685" s="42"/>
      <c r="DV685" s="42"/>
      <c r="DW685" s="42"/>
      <c r="DX685" s="42"/>
      <c r="DY685" s="42"/>
      <c r="DZ685" s="42"/>
      <c r="EA685" s="42"/>
      <c r="EB685" s="42"/>
      <c r="EC685" s="42"/>
      <c r="ED685" s="42"/>
      <c r="EE685" s="42"/>
      <c r="EF685" s="42"/>
      <c r="EG685" s="42"/>
      <c r="EH685" s="42"/>
      <c r="EI685" s="42"/>
      <c r="EJ685" s="42"/>
      <c r="EK685" s="42"/>
      <c r="EL685" s="42"/>
      <c r="EM685" s="42"/>
      <c r="EN685" s="42"/>
      <c r="EO685" s="42"/>
      <c r="EP685" s="42"/>
      <c r="EQ685" s="42"/>
      <c r="ER685" s="42"/>
      <c r="ES685" s="42"/>
      <c r="ET685" s="42"/>
      <c r="EU685" s="42"/>
      <c r="EV685" s="42"/>
      <c r="EW685" s="42"/>
      <c r="EX685" s="42"/>
      <c r="EY685" s="42"/>
      <c r="EZ685" s="42"/>
      <c r="FA685" s="42"/>
      <c r="FB685" s="42"/>
      <c r="FC685" s="42"/>
      <c r="FD685" s="42"/>
      <c r="FE685" s="42"/>
      <c r="FF685" s="42"/>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row>
    <row r="686" spans="1:256" ht="13.8" x14ac:dyDescent="0.3">
      <c r="A686" s="42"/>
      <c r="B686" s="42"/>
      <c r="C686" s="42"/>
      <c r="D686" s="42"/>
      <c r="E686" s="42"/>
      <c r="F686" s="42"/>
      <c r="G686" s="42"/>
      <c r="H686" s="42"/>
      <c r="I686" s="42"/>
      <c r="J686" s="42"/>
      <c r="K686" s="42"/>
      <c r="L686" s="42"/>
      <c r="M686" s="42"/>
      <c r="N686" s="42"/>
      <c r="O686" s="42"/>
      <c r="P686" s="42"/>
      <c r="Q686" s="42"/>
      <c r="R686" s="42"/>
      <c r="S686" s="42"/>
      <c r="T686" s="42"/>
      <c r="U686" s="194"/>
      <c r="V686" s="42"/>
      <c r="W686" s="42"/>
      <c r="X686" s="42"/>
      <c r="Y686" s="42"/>
      <c r="Z686" s="42"/>
      <c r="AA686" s="42"/>
      <c r="AB686" s="195"/>
      <c r="AC686" s="42"/>
      <c r="AD686" s="42"/>
      <c r="AE686" s="195"/>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c r="BM686" s="42"/>
      <c r="BN686" s="42"/>
      <c r="BO686" s="42"/>
      <c r="BP686" s="42"/>
      <c r="BQ686" s="42"/>
      <c r="BR686" s="42"/>
      <c r="BS686" s="42"/>
      <c r="BT686" s="42"/>
      <c r="BU686" s="42"/>
      <c r="BV686" s="42"/>
      <c r="BW686" s="42"/>
      <c r="BX686" s="42"/>
      <c r="BY686" s="42"/>
      <c r="BZ686" s="42"/>
      <c r="CA686" s="42"/>
      <c r="CB686" s="42"/>
      <c r="CC686" s="42"/>
      <c r="CD686" s="42"/>
      <c r="CE686" s="42"/>
      <c r="CF686" s="42"/>
      <c r="CG686" s="42"/>
      <c r="CH686" s="42"/>
      <c r="CI686" s="42"/>
      <c r="CJ686" s="42"/>
      <c r="CK686" s="42"/>
      <c r="CL686" s="42"/>
      <c r="CM686" s="42"/>
      <c r="CN686" s="42"/>
      <c r="CO686" s="42"/>
      <c r="CP686" s="42"/>
      <c r="CQ686" s="42"/>
      <c r="CR686" s="42"/>
      <c r="CS686" s="42"/>
      <c r="CT686" s="42"/>
      <c r="CU686" s="42"/>
      <c r="CV686" s="42"/>
      <c r="CW686" s="42"/>
      <c r="CX686" s="42"/>
      <c r="CY686" s="42"/>
      <c r="CZ686" s="42"/>
      <c r="DA686" s="42"/>
      <c r="DB686" s="42"/>
      <c r="DC686" s="42"/>
      <c r="DD686" s="42"/>
      <c r="DE686" s="42"/>
      <c r="DF686" s="42"/>
      <c r="DG686" s="42"/>
      <c r="DH686" s="42"/>
      <c r="DI686" s="42"/>
      <c r="DJ686" s="42"/>
      <c r="DK686" s="42"/>
      <c r="DL686" s="42"/>
      <c r="DM686" s="42"/>
      <c r="DN686" s="42"/>
      <c r="DO686" s="42"/>
      <c r="DP686" s="42"/>
      <c r="DQ686" s="42"/>
      <c r="DR686" s="42"/>
      <c r="DS686" s="42"/>
      <c r="DT686" s="42"/>
      <c r="DU686" s="42"/>
      <c r="DV686" s="42"/>
      <c r="DW686" s="42"/>
      <c r="DX686" s="42"/>
      <c r="DY686" s="42"/>
      <c r="DZ686" s="42"/>
      <c r="EA686" s="42"/>
      <c r="EB686" s="42"/>
      <c r="EC686" s="42"/>
      <c r="ED686" s="42"/>
      <c r="EE686" s="42"/>
      <c r="EF686" s="42"/>
      <c r="EG686" s="42"/>
      <c r="EH686" s="42"/>
      <c r="EI686" s="42"/>
      <c r="EJ686" s="42"/>
      <c r="EK686" s="42"/>
      <c r="EL686" s="42"/>
      <c r="EM686" s="42"/>
      <c r="EN686" s="42"/>
      <c r="EO686" s="42"/>
      <c r="EP686" s="42"/>
      <c r="EQ686" s="42"/>
      <c r="ER686" s="42"/>
      <c r="ES686" s="42"/>
      <c r="ET686" s="42"/>
      <c r="EU686" s="42"/>
      <c r="EV686" s="42"/>
      <c r="EW686" s="42"/>
      <c r="EX686" s="42"/>
      <c r="EY686" s="42"/>
      <c r="EZ686" s="42"/>
      <c r="FA686" s="42"/>
      <c r="FB686" s="42"/>
      <c r="FC686" s="42"/>
      <c r="FD686" s="42"/>
      <c r="FE686" s="42"/>
      <c r="FF686" s="42"/>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row>
    <row r="687" spans="1:256" ht="13.8" x14ac:dyDescent="0.3">
      <c r="A687" s="42"/>
      <c r="B687" s="42"/>
      <c r="C687" s="42"/>
      <c r="D687" s="42"/>
      <c r="E687" s="42"/>
      <c r="F687" s="42"/>
      <c r="G687" s="42"/>
      <c r="H687" s="42"/>
      <c r="I687" s="42"/>
      <c r="J687" s="42"/>
      <c r="K687" s="42"/>
      <c r="L687" s="42"/>
      <c r="M687" s="42"/>
      <c r="N687" s="42"/>
      <c r="O687" s="42"/>
      <c r="P687" s="42"/>
      <c r="Q687" s="42"/>
      <c r="R687" s="42"/>
      <c r="S687" s="42"/>
      <c r="T687" s="42"/>
      <c r="U687" s="194"/>
      <c r="V687" s="42"/>
      <c r="W687" s="42"/>
      <c r="X687" s="42"/>
      <c r="Y687" s="42"/>
      <c r="Z687" s="42"/>
      <c r="AA687" s="42"/>
      <c r="AB687" s="195"/>
      <c r="AC687" s="42"/>
      <c r="AD687" s="42"/>
      <c r="AE687" s="195"/>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c r="BM687" s="42"/>
      <c r="BN687" s="42"/>
      <c r="BO687" s="42"/>
      <c r="BP687" s="42"/>
      <c r="BQ687" s="42"/>
      <c r="BR687" s="42"/>
      <c r="BS687" s="42"/>
      <c r="BT687" s="42"/>
      <c r="BU687" s="42"/>
      <c r="BV687" s="42"/>
      <c r="BW687" s="42"/>
      <c r="BX687" s="42"/>
      <c r="BY687" s="42"/>
      <c r="BZ687" s="42"/>
      <c r="CA687" s="42"/>
      <c r="CB687" s="42"/>
      <c r="CC687" s="42"/>
      <c r="CD687" s="42"/>
      <c r="CE687" s="42"/>
      <c r="CF687" s="42"/>
      <c r="CG687" s="42"/>
      <c r="CH687" s="42"/>
      <c r="CI687" s="42"/>
      <c r="CJ687" s="42"/>
      <c r="CK687" s="42"/>
      <c r="CL687" s="42"/>
      <c r="CM687" s="42"/>
      <c r="CN687" s="42"/>
      <c r="CO687" s="42"/>
      <c r="CP687" s="42"/>
      <c r="CQ687" s="42"/>
      <c r="CR687" s="42"/>
      <c r="CS687" s="42"/>
      <c r="CT687" s="42"/>
      <c r="CU687" s="42"/>
      <c r="CV687" s="42"/>
      <c r="CW687" s="42"/>
      <c r="CX687" s="42"/>
      <c r="CY687" s="42"/>
      <c r="CZ687" s="42"/>
      <c r="DA687" s="42"/>
      <c r="DB687" s="42"/>
      <c r="DC687" s="42"/>
      <c r="DD687" s="42"/>
      <c r="DE687" s="42"/>
      <c r="DF687" s="42"/>
      <c r="DG687" s="42"/>
      <c r="DH687" s="42"/>
      <c r="DI687" s="42"/>
      <c r="DJ687" s="42"/>
      <c r="DK687" s="42"/>
      <c r="DL687" s="42"/>
      <c r="DM687" s="42"/>
      <c r="DN687" s="42"/>
      <c r="DO687" s="42"/>
      <c r="DP687" s="42"/>
      <c r="DQ687" s="42"/>
      <c r="DR687" s="42"/>
      <c r="DS687" s="42"/>
      <c r="DT687" s="42"/>
      <c r="DU687" s="42"/>
      <c r="DV687" s="42"/>
      <c r="DW687" s="42"/>
      <c r="DX687" s="42"/>
      <c r="DY687" s="42"/>
      <c r="DZ687" s="42"/>
      <c r="EA687" s="42"/>
      <c r="EB687" s="42"/>
      <c r="EC687" s="42"/>
      <c r="ED687" s="42"/>
      <c r="EE687" s="42"/>
      <c r="EF687" s="42"/>
      <c r="EG687" s="42"/>
      <c r="EH687" s="42"/>
      <c r="EI687" s="42"/>
      <c r="EJ687" s="42"/>
      <c r="EK687" s="42"/>
      <c r="EL687" s="42"/>
      <c r="EM687" s="42"/>
      <c r="EN687" s="42"/>
      <c r="EO687" s="42"/>
      <c r="EP687" s="42"/>
      <c r="EQ687" s="42"/>
      <c r="ER687" s="42"/>
      <c r="ES687" s="42"/>
      <c r="ET687" s="42"/>
      <c r="EU687" s="42"/>
      <c r="EV687" s="42"/>
      <c r="EW687" s="42"/>
      <c r="EX687" s="42"/>
      <c r="EY687" s="42"/>
      <c r="EZ687" s="42"/>
      <c r="FA687" s="42"/>
      <c r="FB687" s="42"/>
      <c r="FC687" s="42"/>
      <c r="FD687" s="42"/>
      <c r="FE687" s="42"/>
      <c r="FF687" s="42"/>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row>
    <row r="688" spans="1:256" ht="13.8" x14ac:dyDescent="0.3">
      <c r="A688" s="42"/>
      <c r="B688" s="42"/>
      <c r="C688" s="42"/>
      <c r="D688" s="42"/>
      <c r="E688" s="42"/>
      <c r="F688" s="42"/>
      <c r="G688" s="42"/>
      <c r="H688" s="42"/>
      <c r="I688" s="42"/>
      <c r="J688" s="42"/>
      <c r="K688" s="42"/>
      <c r="L688" s="42"/>
      <c r="M688" s="42"/>
      <c r="N688" s="42"/>
      <c r="O688" s="42"/>
      <c r="P688" s="42"/>
      <c r="Q688" s="42"/>
      <c r="R688" s="42"/>
      <c r="S688" s="42"/>
      <c r="T688" s="42"/>
      <c r="U688" s="194"/>
      <c r="V688" s="42"/>
      <c r="W688" s="42"/>
      <c r="X688" s="42"/>
      <c r="Y688" s="42"/>
      <c r="Z688" s="42"/>
      <c r="AA688" s="42"/>
      <c r="AB688" s="195"/>
      <c r="AC688" s="42"/>
      <c r="AD688" s="42"/>
      <c r="AE688" s="195"/>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c r="BM688" s="42"/>
      <c r="BN688" s="42"/>
      <c r="BO688" s="42"/>
      <c r="BP688" s="42"/>
      <c r="BQ688" s="42"/>
      <c r="BR688" s="42"/>
      <c r="BS688" s="42"/>
      <c r="BT688" s="42"/>
      <c r="BU688" s="42"/>
      <c r="BV688" s="42"/>
      <c r="BW688" s="42"/>
      <c r="BX688" s="42"/>
      <c r="BY688" s="42"/>
      <c r="BZ688" s="42"/>
      <c r="CA688" s="42"/>
      <c r="CB688" s="42"/>
      <c r="CC688" s="42"/>
      <c r="CD688" s="42"/>
      <c r="CE688" s="42"/>
      <c r="CF688" s="42"/>
      <c r="CG688" s="42"/>
      <c r="CH688" s="42"/>
      <c r="CI688" s="42"/>
      <c r="CJ688" s="42"/>
      <c r="CK688" s="42"/>
      <c r="CL688" s="42"/>
      <c r="CM688" s="42"/>
      <c r="CN688" s="42"/>
      <c r="CO688" s="42"/>
      <c r="CP688" s="42"/>
      <c r="CQ688" s="42"/>
      <c r="CR688" s="42"/>
      <c r="CS688" s="42"/>
      <c r="CT688" s="42"/>
      <c r="CU688" s="42"/>
      <c r="CV688" s="42"/>
      <c r="CW688" s="42"/>
      <c r="CX688" s="42"/>
      <c r="CY688" s="42"/>
      <c r="CZ688" s="42"/>
      <c r="DA688" s="42"/>
      <c r="DB688" s="42"/>
      <c r="DC688" s="42"/>
      <c r="DD688" s="42"/>
      <c r="DE688" s="42"/>
      <c r="DF688" s="42"/>
      <c r="DG688" s="42"/>
      <c r="DH688" s="42"/>
      <c r="DI688" s="42"/>
      <c r="DJ688" s="42"/>
      <c r="DK688" s="42"/>
      <c r="DL688" s="42"/>
      <c r="DM688" s="42"/>
      <c r="DN688" s="42"/>
      <c r="DO688" s="42"/>
      <c r="DP688" s="42"/>
      <c r="DQ688" s="42"/>
      <c r="DR688" s="42"/>
      <c r="DS688" s="42"/>
      <c r="DT688" s="42"/>
      <c r="DU688" s="42"/>
      <c r="DV688" s="42"/>
      <c r="DW688" s="42"/>
      <c r="DX688" s="42"/>
      <c r="DY688" s="42"/>
      <c r="DZ688" s="42"/>
      <c r="EA688" s="42"/>
      <c r="EB688" s="42"/>
      <c r="EC688" s="42"/>
      <c r="ED688" s="42"/>
      <c r="EE688" s="42"/>
      <c r="EF688" s="42"/>
      <c r="EG688" s="42"/>
      <c r="EH688" s="42"/>
      <c r="EI688" s="42"/>
      <c r="EJ688" s="42"/>
      <c r="EK688" s="42"/>
      <c r="EL688" s="42"/>
      <c r="EM688" s="42"/>
      <c r="EN688" s="42"/>
      <c r="EO688" s="42"/>
      <c r="EP688" s="42"/>
      <c r="EQ688" s="42"/>
      <c r="ER688" s="42"/>
      <c r="ES688" s="42"/>
      <c r="ET688" s="42"/>
      <c r="EU688" s="42"/>
      <c r="EV688" s="42"/>
      <c r="EW688" s="42"/>
      <c r="EX688" s="42"/>
      <c r="EY688" s="42"/>
      <c r="EZ688" s="42"/>
      <c r="FA688" s="42"/>
      <c r="FB688" s="42"/>
      <c r="FC688" s="42"/>
      <c r="FD688" s="42"/>
      <c r="FE688" s="42"/>
      <c r="FF688" s="42"/>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row>
    <row r="689" spans="1:256" ht="13.8" x14ac:dyDescent="0.3">
      <c r="A689" s="42"/>
      <c r="B689" s="42"/>
      <c r="C689" s="42"/>
      <c r="D689" s="42"/>
      <c r="E689" s="42"/>
      <c r="F689" s="42"/>
      <c r="G689" s="42"/>
      <c r="H689" s="42"/>
      <c r="I689" s="42"/>
      <c r="J689" s="42"/>
      <c r="K689" s="42"/>
      <c r="L689" s="42"/>
      <c r="M689" s="42"/>
      <c r="N689" s="42"/>
      <c r="O689" s="42"/>
      <c r="P689" s="42"/>
      <c r="Q689" s="42"/>
      <c r="R689" s="42"/>
      <c r="S689" s="42"/>
      <c r="T689" s="42"/>
      <c r="U689" s="194"/>
      <c r="V689" s="42"/>
      <c r="W689" s="42"/>
      <c r="X689" s="42"/>
      <c r="Y689" s="42"/>
      <c r="Z689" s="42"/>
      <c r="AA689" s="42"/>
      <c r="AB689" s="195"/>
      <c r="AC689" s="42"/>
      <c r="AD689" s="42"/>
      <c r="AE689" s="195"/>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c r="BM689" s="42"/>
      <c r="BN689" s="42"/>
      <c r="BO689" s="42"/>
      <c r="BP689" s="42"/>
      <c r="BQ689" s="42"/>
      <c r="BR689" s="42"/>
      <c r="BS689" s="42"/>
      <c r="BT689" s="42"/>
      <c r="BU689" s="42"/>
      <c r="BV689" s="42"/>
      <c r="BW689" s="42"/>
      <c r="BX689" s="42"/>
      <c r="BY689" s="42"/>
      <c r="BZ689" s="42"/>
      <c r="CA689" s="42"/>
      <c r="CB689" s="42"/>
      <c r="CC689" s="42"/>
      <c r="CD689" s="42"/>
      <c r="CE689" s="42"/>
      <c r="CF689" s="42"/>
      <c r="CG689" s="42"/>
      <c r="CH689" s="42"/>
      <c r="CI689" s="42"/>
      <c r="CJ689" s="42"/>
      <c r="CK689" s="42"/>
      <c r="CL689" s="42"/>
      <c r="CM689" s="42"/>
      <c r="CN689" s="42"/>
      <c r="CO689" s="42"/>
      <c r="CP689" s="42"/>
      <c r="CQ689" s="42"/>
      <c r="CR689" s="42"/>
      <c r="CS689" s="42"/>
      <c r="CT689" s="42"/>
      <c r="CU689" s="42"/>
      <c r="CV689" s="42"/>
      <c r="CW689" s="42"/>
      <c r="CX689" s="42"/>
      <c r="CY689" s="42"/>
      <c r="CZ689" s="42"/>
      <c r="DA689" s="42"/>
      <c r="DB689" s="42"/>
      <c r="DC689" s="42"/>
      <c r="DD689" s="42"/>
      <c r="DE689" s="42"/>
      <c r="DF689" s="42"/>
      <c r="DG689" s="42"/>
      <c r="DH689" s="42"/>
      <c r="DI689" s="42"/>
      <c r="DJ689" s="42"/>
      <c r="DK689" s="42"/>
      <c r="DL689" s="42"/>
      <c r="DM689" s="42"/>
      <c r="DN689" s="42"/>
      <c r="DO689" s="42"/>
      <c r="DP689" s="42"/>
      <c r="DQ689" s="42"/>
      <c r="DR689" s="42"/>
      <c r="DS689" s="42"/>
      <c r="DT689" s="42"/>
      <c r="DU689" s="42"/>
      <c r="DV689" s="42"/>
      <c r="DW689" s="42"/>
      <c r="DX689" s="42"/>
      <c r="DY689" s="42"/>
      <c r="DZ689" s="42"/>
      <c r="EA689" s="42"/>
      <c r="EB689" s="42"/>
      <c r="EC689" s="42"/>
      <c r="ED689" s="42"/>
      <c r="EE689" s="42"/>
      <c r="EF689" s="42"/>
      <c r="EG689" s="42"/>
      <c r="EH689" s="42"/>
      <c r="EI689" s="42"/>
      <c r="EJ689" s="42"/>
      <c r="EK689" s="42"/>
      <c r="EL689" s="42"/>
      <c r="EM689" s="42"/>
      <c r="EN689" s="42"/>
      <c r="EO689" s="42"/>
      <c r="EP689" s="42"/>
      <c r="EQ689" s="42"/>
      <c r="ER689" s="42"/>
      <c r="ES689" s="42"/>
      <c r="ET689" s="42"/>
      <c r="EU689" s="42"/>
      <c r="EV689" s="42"/>
      <c r="EW689" s="42"/>
      <c r="EX689" s="42"/>
      <c r="EY689" s="42"/>
      <c r="EZ689" s="42"/>
      <c r="FA689" s="42"/>
      <c r="FB689" s="42"/>
      <c r="FC689" s="42"/>
      <c r="FD689" s="42"/>
      <c r="FE689" s="42"/>
      <c r="FF689" s="42"/>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row>
    <row r="690" spans="1:256" ht="13.8" x14ac:dyDescent="0.3">
      <c r="A690" s="42"/>
      <c r="B690" s="42"/>
      <c r="C690" s="42"/>
      <c r="D690" s="42"/>
      <c r="E690" s="42"/>
      <c r="F690" s="42"/>
      <c r="G690" s="42"/>
      <c r="H690" s="42"/>
      <c r="I690" s="42"/>
      <c r="J690" s="42"/>
      <c r="K690" s="42"/>
      <c r="L690" s="42"/>
      <c r="M690" s="42"/>
      <c r="N690" s="42"/>
      <c r="O690" s="42"/>
      <c r="P690" s="42"/>
      <c r="Q690" s="42"/>
      <c r="R690" s="42"/>
      <c r="S690" s="42"/>
      <c r="T690" s="42"/>
      <c r="U690" s="194"/>
      <c r="V690" s="42"/>
      <c r="W690" s="42"/>
      <c r="X690" s="42"/>
      <c r="Y690" s="42"/>
      <c r="Z690" s="42"/>
      <c r="AA690" s="42"/>
      <c r="AB690" s="195"/>
      <c r="AC690" s="42"/>
      <c r="AD690" s="42"/>
      <c r="AE690" s="195"/>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c r="BM690" s="42"/>
      <c r="BN690" s="42"/>
      <c r="BO690" s="42"/>
      <c r="BP690" s="42"/>
      <c r="BQ690" s="42"/>
      <c r="BR690" s="42"/>
      <c r="BS690" s="42"/>
      <c r="BT690" s="42"/>
      <c r="BU690" s="42"/>
      <c r="BV690" s="42"/>
      <c r="BW690" s="42"/>
      <c r="BX690" s="42"/>
      <c r="BY690" s="42"/>
      <c r="BZ690" s="42"/>
      <c r="CA690" s="42"/>
      <c r="CB690" s="42"/>
      <c r="CC690" s="42"/>
      <c r="CD690" s="42"/>
      <c r="CE690" s="42"/>
      <c r="CF690" s="42"/>
      <c r="CG690" s="42"/>
      <c r="CH690" s="42"/>
      <c r="CI690" s="42"/>
      <c r="CJ690" s="42"/>
      <c r="CK690" s="42"/>
      <c r="CL690" s="42"/>
      <c r="CM690" s="42"/>
      <c r="CN690" s="42"/>
      <c r="CO690" s="42"/>
      <c r="CP690" s="42"/>
      <c r="CQ690" s="42"/>
      <c r="CR690" s="42"/>
      <c r="CS690" s="42"/>
      <c r="CT690" s="42"/>
      <c r="CU690" s="42"/>
      <c r="CV690" s="42"/>
      <c r="CW690" s="42"/>
      <c r="CX690" s="42"/>
      <c r="CY690" s="42"/>
      <c r="CZ690" s="42"/>
      <c r="DA690" s="42"/>
      <c r="DB690" s="42"/>
      <c r="DC690" s="42"/>
      <c r="DD690" s="42"/>
      <c r="DE690" s="42"/>
      <c r="DF690" s="42"/>
      <c r="DG690" s="42"/>
      <c r="DH690" s="42"/>
      <c r="DI690" s="42"/>
      <c r="DJ690" s="42"/>
      <c r="DK690" s="42"/>
      <c r="DL690" s="42"/>
      <c r="DM690" s="42"/>
      <c r="DN690" s="42"/>
      <c r="DO690" s="42"/>
      <c r="DP690" s="42"/>
      <c r="DQ690" s="42"/>
      <c r="DR690" s="42"/>
      <c r="DS690" s="42"/>
      <c r="DT690" s="42"/>
      <c r="DU690" s="42"/>
      <c r="DV690" s="42"/>
      <c r="DW690" s="42"/>
      <c r="DX690" s="42"/>
      <c r="DY690" s="42"/>
      <c r="DZ690" s="42"/>
      <c r="EA690" s="42"/>
      <c r="EB690" s="42"/>
      <c r="EC690" s="42"/>
      <c r="ED690" s="42"/>
      <c r="EE690" s="42"/>
      <c r="EF690" s="42"/>
      <c r="EG690" s="42"/>
      <c r="EH690" s="42"/>
      <c r="EI690" s="42"/>
      <c r="EJ690" s="42"/>
      <c r="EK690" s="42"/>
      <c r="EL690" s="42"/>
      <c r="EM690" s="42"/>
      <c r="EN690" s="42"/>
      <c r="EO690" s="42"/>
      <c r="EP690" s="42"/>
      <c r="EQ690" s="42"/>
      <c r="ER690" s="42"/>
      <c r="ES690" s="42"/>
      <c r="ET690" s="42"/>
      <c r="EU690" s="42"/>
      <c r="EV690" s="42"/>
      <c r="EW690" s="42"/>
      <c r="EX690" s="42"/>
      <c r="EY690" s="42"/>
      <c r="EZ690" s="42"/>
      <c r="FA690" s="42"/>
      <c r="FB690" s="42"/>
      <c r="FC690" s="42"/>
      <c r="FD690" s="42"/>
      <c r="FE690" s="42"/>
      <c r="FF690" s="42"/>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row>
    <row r="691" spans="1:256" ht="13.8" x14ac:dyDescent="0.3">
      <c r="A691" s="42"/>
      <c r="B691" s="42"/>
      <c r="C691" s="42"/>
      <c r="D691" s="42"/>
      <c r="E691" s="42"/>
      <c r="F691" s="42"/>
      <c r="G691" s="42"/>
      <c r="H691" s="42"/>
      <c r="I691" s="42"/>
      <c r="J691" s="42"/>
      <c r="K691" s="42"/>
      <c r="L691" s="42"/>
      <c r="M691" s="42"/>
      <c r="N691" s="42"/>
      <c r="O691" s="42"/>
      <c r="P691" s="42"/>
      <c r="Q691" s="42"/>
      <c r="R691" s="42"/>
      <c r="S691" s="42"/>
      <c r="T691" s="42"/>
      <c r="U691" s="194"/>
      <c r="V691" s="42"/>
      <c r="W691" s="42"/>
      <c r="X691" s="42"/>
      <c r="Y691" s="42"/>
      <c r="Z691" s="42"/>
      <c r="AA691" s="42"/>
      <c r="AB691" s="195"/>
      <c r="AC691" s="42"/>
      <c r="AD691" s="42"/>
      <c r="AE691" s="195"/>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c r="BM691" s="42"/>
      <c r="BN691" s="42"/>
      <c r="BO691" s="42"/>
      <c r="BP691" s="42"/>
      <c r="BQ691" s="42"/>
      <c r="BR691" s="42"/>
      <c r="BS691" s="42"/>
      <c r="BT691" s="42"/>
      <c r="BU691" s="42"/>
      <c r="BV691" s="42"/>
      <c r="BW691" s="42"/>
      <c r="BX691" s="42"/>
      <c r="BY691" s="42"/>
      <c r="BZ691" s="42"/>
      <c r="CA691" s="42"/>
      <c r="CB691" s="42"/>
      <c r="CC691" s="42"/>
      <c r="CD691" s="42"/>
      <c r="CE691" s="42"/>
      <c r="CF691" s="42"/>
      <c r="CG691" s="42"/>
      <c r="CH691" s="42"/>
      <c r="CI691" s="42"/>
      <c r="CJ691" s="42"/>
      <c r="CK691" s="42"/>
      <c r="CL691" s="42"/>
      <c r="CM691" s="42"/>
      <c r="CN691" s="42"/>
      <c r="CO691" s="42"/>
      <c r="CP691" s="42"/>
      <c r="CQ691" s="42"/>
      <c r="CR691" s="42"/>
      <c r="CS691" s="42"/>
      <c r="CT691" s="42"/>
      <c r="CU691" s="42"/>
      <c r="CV691" s="42"/>
      <c r="CW691" s="42"/>
      <c r="CX691" s="42"/>
      <c r="CY691" s="42"/>
      <c r="CZ691" s="42"/>
      <c r="DA691" s="42"/>
      <c r="DB691" s="42"/>
      <c r="DC691" s="42"/>
      <c r="DD691" s="42"/>
      <c r="DE691" s="42"/>
      <c r="DF691" s="42"/>
      <c r="DG691" s="42"/>
      <c r="DH691" s="42"/>
      <c r="DI691" s="42"/>
      <c r="DJ691" s="42"/>
      <c r="DK691" s="42"/>
      <c r="DL691" s="42"/>
      <c r="DM691" s="42"/>
      <c r="DN691" s="42"/>
      <c r="DO691" s="42"/>
      <c r="DP691" s="42"/>
      <c r="DQ691" s="42"/>
      <c r="DR691" s="42"/>
      <c r="DS691" s="42"/>
      <c r="DT691" s="42"/>
      <c r="DU691" s="42"/>
      <c r="DV691" s="42"/>
      <c r="DW691" s="42"/>
      <c r="DX691" s="42"/>
      <c r="DY691" s="42"/>
      <c r="DZ691" s="42"/>
      <c r="EA691" s="42"/>
      <c r="EB691" s="42"/>
      <c r="EC691" s="42"/>
      <c r="ED691" s="42"/>
      <c r="EE691" s="42"/>
      <c r="EF691" s="42"/>
      <c r="EG691" s="42"/>
      <c r="EH691" s="42"/>
      <c r="EI691" s="42"/>
      <c r="EJ691" s="42"/>
      <c r="EK691" s="42"/>
      <c r="EL691" s="42"/>
      <c r="EM691" s="42"/>
      <c r="EN691" s="42"/>
      <c r="EO691" s="42"/>
      <c r="EP691" s="42"/>
      <c r="EQ691" s="42"/>
      <c r="ER691" s="42"/>
      <c r="ES691" s="42"/>
      <c r="ET691" s="42"/>
      <c r="EU691" s="42"/>
      <c r="EV691" s="42"/>
      <c r="EW691" s="42"/>
      <c r="EX691" s="42"/>
      <c r="EY691" s="42"/>
      <c r="EZ691" s="42"/>
      <c r="FA691" s="42"/>
      <c r="FB691" s="42"/>
      <c r="FC691" s="42"/>
      <c r="FD691" s="42"/>
      <c r="FE691" s="42"/>
      <c r="FF691" s="42"/>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row>
    <row r="692" spans="1:256" ht="13.8" x14ac:dyDescent="0.3">
      <c r="A692" s="42"/>
      <c r="B692" s="42"/>
      <c r="C692" s="42"/>
      <c r="D692" s="42"/>
      <c r="E692" s="42"/>
      <c r="F692" s="42"/>
      <c r="G692" s="42"/>
      <c r="H692" s="42"/>
      <c r="I692" s="42"/>
      <c r="J692" s="42"/>
      <c r="K692" s="42"/>
      <c r="L692" s="42"/>
      <c r="M692" s="42"/>
      <c r="N692" s="42"/>
      <c r="O692" s="42"/>
      <c r="P692" s="42"/>
      <c r="Q692" s="42"/>
      <c r="R692" s="42"/>
      <c r="S692" s="42"/>
      <c r="T692" s="42"/>
      <c r="U692" s="194"/>
      <c r="V692" s="42"/>
      <c r="W692" s="42"/>
      <c r="X692" s="42"/>
      <c r="Y692" s="42"/>
      <c r="Z692" s="42"/>
      <c r="AA692" s="42"/>
      <c r="AB692" s="195"/>
      <c r="AC692" s="42"/>
      <c r="AD692" s="42"/>
      <c r="AE692" s="195"/>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c r="BM692" s="42"/>
      <c r="BN692" s="42"/>
      <c r="BO692" s="42"/>
      <c r="BP692" s="42"/>
      <c r="BQ692" s="42"/>
      <c r="BR692" s="42"/>
      <c r="BS692" s="42"/>
      <c r="BT692" s="42"/>
      <c r="BU692" s="42"/>
      <c r="BV692" s="42"/>
      <c r="BW692" s="42"/>
      <c r="BX692" s="42"/>
      <c r="BY692" s="42"/>
      <c r="BZ692" s="42"/>
      <c r="CA692" s="42"/>
      <c r="CB692" s="42"/>
      <c r="CC692" s="42"/>
      <c r="CD692" s="42"/>
      <c r="CE692" s="42"/>
      <c r="CF692" s="42"/>
      <c r="CG692" s="42"/>
      <c r="CH692" s="42"/>
      <c r="CI692" s="42"/>
      <c r="CJ692" s="42"/>
      <c r="CK692" s="42"/>
      <c r="CL692" s="42"/>
      <c r="CM692" s="42"/>
      <c r="CN692" s="42"/>
      <c r="CO692" s="42"/>
      <c r="CP692" s="42"/>
      <c r="CQ692" s="42"/>
      <c r="CR692" s="42"/>
      <c r="CS692" s="42"/>
      <c r="CT692" s="42"/>
      <c r="CU692" s="42"/>
      <c r="CV692" s="42"/>
      <c r="CW692" s="42"/>
      <c r="CX692" s="42"/>
      <c r="CY692" s="42"/>
      <c r="CZ692" s="42"/>
      <c r="DA692" s="42"/>
      <c r="DB692" s="42"/>
      <c r="DC692" s="42"/>
      <c r="DD692" s="42"/>
      <c r="DE692" s="42"/>
      <c r="DF692" s="42"/>
      <c r="DG692" s="42"/>
      <c r="DH692" s="42"/>
      <c r="DI692" s="42"/>
      <c r="DJ692" s="42"/>
      <c r="DK692" s="42"/>
      <c r="DL692" s="42"/>
      <c r="DM692" s="42"/>
      <c r="DN692" s="42"/>
      <c r="DO692" s="42"/>
      <c r="DP692" s="42"/>
      <c r="DQ692" s="42"/>
      <c r="DR692" s="42"/>
      <c r="DS692" s="42"/>
      <c r="DT692" s="42"/>
      <c r="DU692" s="42"/>
      <c r="DV692" s="42"/>
      <c r="DW692" s="42"/>
      <c r="DX692" s="42"/>
      <c r="DY692" s="42"/>
      <c r="DZ692" s="42"/>
      <c r="EA692" s="42"/>
      <c r="EB692" s="42"/>
      <c r="EC692" s="42"/>
      <c r="ED692" s="42"/>
      <c r="EE692" s="42"/>
      <c r="EF692" s="42"/>
      <c r="EG692" s="42"/>
      <c r="EH692" s="42"/>
      <c r="EI692" s="42"/>
      <c r="EJ692" s="42"/>
      <c r="EK692" s="42"/>
      <c r="EL692" s="42"/>
      <c r="EM692" s="42"/>
      <c r="EN692" s="42"/>
      <c r="EO692" s="42"/>
      <c r="EP692" s="42"/>
      <c r="EQ692" s="42"/>
      <c r="ER692" s="42"/>
      <c r="ES692" s="42"/>
      <c r="ET692" s="42"/>
      <c r="EU692" s="42"/>
      <c r="EV692" s="42"/>
      <c r="EW692" s="42"/>
      <c r="EX692" s="42"/>
      <c r="EY692" s="42"/>
      <c r="EZ692" s="42"/>
      <c r="FA692" s="42"/>
      <c r="FB692" s="42"/>
      <c r="FC692" s="42"/>
      <c r="FD692" s="42"/>
      <c r="FE692" s="42"/>
      <c r="FF692" s="42"/>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row>
    <row r="693" spans="1:256" ht="13.8" x14ac:dyDescent="0.3">
      <c r="A693" s="42"/>
      <c r="B693" s="42"/>
      <c r="C693" s="42"/>
      <c r="D693" s="42"/>
      <c r="E693" s="42"/>
      <c r="F693" s="42"/>
      <c r="G693" s="42"/>
      <c r="H693" s="42"/>
      <c r="I693" s="42"/>
      <c r="J693" s="42"/>
      <c r="K693" s="42"/>
      <c r="L693" s="42"/>
      <c r="M693" s="42"/>
      <c r="N693" s="42"/>
      <c r="O693" s="42"/>
      <c r="P693" s="42"/>
      <c r="Q693" s="42"/>
      <c r="R693" s="42"/>
      <c r="S693" s="42"/>
      <c r="T693" s="42"/>
      <c r="U693" s="194"/>
      <c r="V693" s="42"/>
      <c r="W693" s="42"/>
      <c r="X693" s="42"/>
      <c r="Y693" s="42"/>
      <c r="Z693" s="42"/>
      <c r="AA693" s="42"/>
      <c r="AB693" s="195"/>
      <c r="AC693" s="42"/>
      <c r="AD693" s="42"/>
      <c r="AE693" s="195"/>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c r="BM693" s="42"/>
      <c r="BN693" s="42"/>
      <c r="BO693" s="42"/>
      <c r="BP693" s="42"/>
      <c r="BQ693" s="42"/>
      <c r="BR693" s="42"/>
      <c r="BS693" s="42"/>
      <c r="BT693" s="42"/>
      <c r="BU693" s="42"/>
      <c r="BV693" s="42"/>
      <c r="BW693" s="42"/>
      <c r="BX693" s="42"/>
      <c r="BY693" s="42"/>
      <c r="BZ693" s="42"/>
      <c r="CA693" s="42"/>
      <c r="CB693" s="42"/>
      <c r="CC693" s="42"/>
      <c r="CD693" s="42"/>
      <c r="CE693" s="42"/>
      <c r="CF693" s="42"/>
      <c r="CG693" s="42"/>
      <c r="CH693" s="42"/>
      <c r="CI693" s="42"/>
      <c r="CJ693" s="42"/>
      <c r="CK693" s="42"/>
      <c r="CL693" s="42"/>
      <c r="CM693" s="42"/>
      <c r="CN693" s="42"/>
      <c r="CO693" s="42"/>
      <c r="CP693" s="42"/>
      <c r="CQ693" s="42"/>
      <c r="CR693" s="42"/>
      <c r="CS693" s="42"/>
      <c r="CT693" s="42"/>
      <c r="CU693" s="42"/>
      <c r="CV693" s="42"/>
      <c r="CW693" s="42"/>
      <c r="CX693" s="42"/>
      <c r="CY693" s="42"/>
      <c r="CZ693" s="42"/>
      <c r="DA693" s="42"/>
      <c r="DB693" s="42"/>
      <c r="DC693" s="42"/>
      <c r="DD693" s="42"/>
      <c r="DE693" s="42"/>
      <c r="DF693" s="42"/>
      <c r="DG693" s="42"/>
      <c r="DH693" s="42"/>
      <c r="DI693" s="42"/>
      <c r="DJ693" s="42"/>
      <c r="DK693" s="42"/>
      <c r="DL693" s="42"/>
      <c r="DM693" s="42"/>
      <c r="DN693" s="42"/>
      <c r="DO693" s="42"/>
      <c r="DP693" s="42"/>
      <c r="DQ693" s="42"/>
      <c r="DR693" s="42"/>
      <c r="DS693" s="42"/>
      <c r="DT693" s="42"/>
      <c r="DU693" s="42"/>
      <c r="DV693" s="42"/>
      <c r="DW693" s="42"/>
      <c r="DX693" s="42"/>
      <c r="DY693" s="42"/>
      <c r="DZ693" s="42"/>
      <c r="EA693" s="42"/>
      <c r="EB693" s="42"/>
      <c r="EC693" s="42"/>
      <c r="ED693" s="42"/>
      <c r="EE693" s="42"/>
      <c r="EF693" s="42"/>
      <c r="EG693" s="42"/>
      <c r="EH693" s="42"/>
      <c r="EI693" s="42"/>
      <c r="EJ693" s="42"/>
      <c r="EK693" s="42"/>
      <c r="EL693" s="42"/>
      <c r="EM693" s="42"/>
      <c r="EN693" s="42"/>
      <c r="EO693" s="42"/>
      <c r="EP693" s="42"/>
      <c r="EQ693" s="42"/>
      <c r="ER693" s="42"/>
      <c r="ES693" s="42"/>
      <c r="ET693" s="42"/>
      <c r="EU693" s="42"/>
      <c r="EV693" s="42"/>
      <c r="EW693" s="42"/>
      <c r="EX693" s="42"/>
      <c r="EY693" s="42"/>
      <c r="EZ693" s="42"/>
      <c r="FA693" s="42"/>
      <c r="FB693" s="42"/>
      <c r="FC693" s="42"/>
      <c r="FD693" s="42"/>
      <c r="FE693" s="42"/>
      <c r="FF693" s="42"/>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row>
    <row r="694" spans="1:256" ht="13.8" x14ac:dyDescent="0.3">
      <c r="A694" s="42"/>
      <c r="B694" s="42"/>
      <c r="C694" s="42"/>
      <c r="D694" s="42"/>
      <c r="E694" s="42"/>
      <c r="F694" s="42"/>
      <c r="G694" s="42"/>
      <c r="H694" s="42"/>
      <c r="I694" s="42"/>
      <c r="J694" s="42"/>
      <c r="K694" s="42"/>
      <c r="L694" s="42"/>
      <c r="M694" s="42"/>
      <c r="N694" s="42"/>
      <c r="O694" s="42"/>
      <c r="P694" s="42"/>
      <c r="Q694" s="42"/>
      <c r="R694" s="42"/>
      <c r="S694" s="42"/>
      <c r="T694" s="42"/>
      <c r="U694" s="194"/>
      <c r="V694" s="42"/>
      <c r="W694" s="42"/>
      <c r="X694" s="42"/>
      <c r="Y694" s="42"/>
      <c r="Z694" s="42"/>
      <c r="AA694" s="42"/>
      <c r="AB694" s="195"/>
      <c r="AC694" s="42"/>
      <c r="AD694" s="42"/>
      <c r="AE694" s="195"/>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c r="BM694" s="42"/>
      <c r="BN694" s="42"/>
      <c r="BO694" s="42"/>
      <c r="BP694" s="42"/>
      <c r="BQ694" s="42"/>
      <c r="BR694" s="42"/>
      <c r="BS694" s="42"/>
      <c r="BT694" s="42"/>
      <c r="BU694" s="42"/>
      <c r="BV694" s="42"/>
      <c r="BW694" s="42"/>
      <c r="BX694" s="42"/>
      <c r="BY694" s="42"/>
      <c r="BZ694" s="42"/>
      <c r="CA694" s="42"/>
      <c r="CB694" s="42"/>
      <c r="CC694" s="42"/>
      <c r="CD694" s="42"/>
      <c r="CE694" s="42"/>
      <c r="CF694" s="42"/>
      <c r="CG694" s="42"/>
      <c r="CH694" s="42"/>
      <c r="CI694" s="42"/>
      <c r="CJ694" s="42"/>
      <c r="CK694" s="42"/>
      <c r="CL694" s="42"/>
      <c r="CM694" s="42"/>
      <c r="CN694" s="42"/>
      <c r="CO694" s="42"/>
      <c r="CP694" s="42"/>
      <c r="CQ694" s="42"/>
      <c r="CR694" s="42"/>
      <c r="CS694" s="42"/>
      <c r="CT694" s="42"/>
      <c r="CU694" s="42"/>
      <c r="CV694" s="42"/>
      <c r="CW694" s="42"/>
      <c r="CX694" s="42"/>
      <c r="CY694" s="42"/>
      <c r="CZ694" s="42"/>
      <c r="DA694" s="42"/>
      <c r="DB694" s="42"/>
      <c r="DC694" s="42"/>
      <c r="DD694" s="42"/>
      <c r="DE694" s="42"/>
      <c r="DF694" s="42"/>
      <c r="DG694" s="42"/>
      <c r="DH694" s="42"/>
      <c r="DI694" s="42"/>
      <c r="DJ694" s="42"/>
      <c r="DK694" s="42"/>
      <c r="DL694" s="42"/>
      <c r="DM694" s="42"/>
      <c r="DN694" s="42"/>
      <c r="DO694" s="42"/>
      <c r="DP694" s="42"/>
      <c r="DQ694" s="42"/>
      <c r="DR694" s="42"/>
      <c r="DS694" s="42"/>
      <c r="DT694" s="42"/>
      <c r="DU694" s="42"/>
      <c r="DV694" s="42"/>
      <c r="DW694" s="42"/>
      <c r="DX694" s="42"/>
      <c r="DY694" s="42"/>
      <c r="DZ694" s="42"/>
      <c r="EA694" s="42"/>
      <c r="EB694" s="42"/>
      <c r="EC694" s="42"/>
      <c r="ED694" s="42"/>
      <c r="EE694" s="42"/>
      <c r="EF694" s="42"/>
      <c r="EG694" s="42"/>
      <c r="EH694" s="42"/>
      <c r="EI694" s="42"/>
      <c r="EJ694" s="42"/>
      <c r="EK694" s="42"/>
      <c r="EL694" s="42"/>
      <c r="EM694" s="42"/>
      <c r="EN694" s="42"/>
      <c r="EO694" s="42"/>
      <c r="EP694" s="42"/>
      <c r="EQ694" s="42"/>
      <c r="ER694" s="42"/>
      <c r="ES694" s="42"/>
      <c r="ET694" s="42"/>
      <c r="EU694" s="42"/>
      <c r="EV694" s="42"/>
      <c r="EW694" s="42"/>
      <c r="EX694" s="42"/>
      <c r="EY694" s="42"/>
      <c r="EZ694" s="42"/>
      <c r="FA694" s="42"/>
      <c r="FB694" s="42"/>
      <c r="FC694" s="42"/>
      <c r="FD694" s="42"/>
      <c r="FE694" s="42"/>
      <c r="FF694" s="42"/>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row>
    <row r="695" spans="1:256" ht="13.8" x14ac:dyDescent="0.3">
      <c r="A695" s="42"/>
      <c r="B695" s="42"/>
      <c r="C695" s="42"/>
      <c r="D695" s="42"/>
      <c r="E695" s="42"/>
      <c r="F695" s="42"/>
      <c r="G695" s="42"/>
      <c r="H695" s="42"/>
      <c r="I695" s="42"/>
      <c r="J695" s="42"/>
      <c r="K695" s="42"/>
      <c r="L695" s="42"/>
      <c r="M695" s="42"/>
      <c r="N695" s="42"/>
      <c r="O695" s="42"/>
      <c r="P695" s="42"/>
      <c r="Q695" s="42"/>
      <c r="R695" s="42"/>
      <c r="S695" s="42"/>
      <c r="T695" s="42"/>
      <c r="U695" s="194"/>
      <c r="V695" s="42"/>
      <c r="W695" s="42"/>
      <c r="X695" s="42"/>
      <c r="Y695" s="42"/>
      <c r="Z695" s="42"/>
      <c r="AA695" s="42"/>
      <c r="AB695" s="195"/>
      <c r="AC695" s="42"/>
      <c r="AD695" s="42"/>
      <c r="AE695" s="195"/>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c r="BM695" s="42"/>
      <c r="BN695" s="42"/>
      <c r="BO695" s="42"/>
      <c r="BP695" s="42"/>
      <c r="BQ695" s="42"/>
      <c r="BR695" s="42"/>
      <c r="BS695" s="42"/>
      <c r="BT695" s="42"/>
      <c r="BU695" s="42"/>
      <c r="BV695" s="42"/>
      <c r="BW695" s="42"/>
      <c r="BX695" s="42"/>
      <c r="BY695" s="42"/>
      <c r="BZ695" s="42"/>
      <c r="CA695" s="42"/>
      <c r="CB695" s="42"/>
      <c r="CC695" s="42"/>
      <c r="CD695" s="42"/>
      <c r="CE695" s="42"/>
      <c r="CF695" s="42"/>
      <c r="CG695" s="42"/>
      <c r="CH695" s="42"/>
      <c r="CI695" s="42"/>
      <c r="CJ695" s="42"/>
      <c r="CK695" s="42"/>
      <c r="CL695" s="42"/>
      <c r="CM695" s="42"/>
      <c r="CN695" s="42"/>
      <c r="CO695" s="42"/>
      <c r="CP695" s="42"/>
      <c r="CQ695" s="42"/>
      <c r="CR695" s="42"/>
      <c r="CS695" s="42"/>
      <c r="CT695" s="42"/>
      <c r="CU695" s="42"/>
      <c r="CV695" s="42"/>
      <c r="CW695" s="42"/>
      <c r="CX695" s="42"/>
      <c r="CY695" s="42"/>
      <c r="CZ695" s="42"/>
      <c r="DA695" s="42"/>
      <c r="DB695" s="42"/>
      <c r="DC695" s="42"/>
      <c r="DD695" s="42"/>
      <c r="DE695" s="42"/>
      <c r="DF695" s="42"/>
      <c r="DG695" s="42"/>
      <c r="DH695" s="42"/>
      <c r="DI695" s="42"/>
      <c r="DJ695" s="42"/>
      <c r="DK695" s="42"/>
      <c r="DL695" s="42"/>
      <c r="DM695" s="42"/>
      <c r="DN695" s="42"/>
      <c r="DO695" s="42"/>
      <c r="DP695" s="42"/>
      <c r="DQ695" s="42"/>
      <c r="DR695" s="42"/>
      <c r="DS695" s="42"/>
      <c r="DT695" s="42"/>
      <c r="DU695" s="42"/>
      <c r="DV695" s="42"/>
      <c r="DW695" s="42"/>
      <c r="DX695" s="42"/>
      <c r="DY695" s="42"/>
      <c r="DZ695" s="42"/>
      <c r="EA695" s="42"/>
      <c r="EB695" s="42"/>
      <c r="EC695" s="42"/>
      <c r="ED695" s="42"/>
      <c r="EE695" s="42"/>
      <c r="EF695" s="42"/>
      <c r="EG695" s="42"/>
      <c r="EH695" s="42"/>
      <c r="EI695" s="42"/>
      <c r="EJ695" s="42"/>
      <c r="EK695" s="42"/>
      <c r="EL695" s="42"/>
      <c r="EM695" s="42"/>
      <c r="EN695" s="42"/>
      <c r="EO695" s="42"/>
      <c r="EP695" s="42"/>
      <c r="EQ695" s="42"/>
      <c r="ER695" s="42"/>
      <c r="ES695" s="42"/>
      <c r="ET695" s="42"/>
      <c r="EU695" s="42"/>
      <c r="EV695" s="42"/>
      <c r="EW695" s="42"/>
      <c r="EX695" s="42"/>
      <c r="EY695" s="42"/>
      <c r="EZ695" s="42"/>
      <c r="FA695" s="42"/>
      <c r="FB695" s="42"/>
      <c r="FC695" s="42"/>
      <c r="FD695" s="42"/>
      <c r="FE695" s="42"/>
      <c r="FF695" s="42"/>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row>
    <row r="696" spans="1:256" ht="13.8" x14ac:dyDescent="0.3">
      <c r="A696" s="42"/>
      <c r="B696" s="42"/>
      <c r="C696" s="42"/>
      <c r="D696" s="42"/>
      <c r="E696" s="42"/>
      <c r="F696" s="42"/>
      <c r="G696" s="42"/>
      <c r="H696" s="42"/>
      <c r="I696" s="42"/>
      <c r="J696" s="42"/>
      <c r="K696" s="42"/>
      <c r="L696" s="42"/>
      <c r="M696" s="42"/>
      <c r="N696" s="42"/>
      <c r="O696" s="42"/>
      <c r="P696" s="42"/>
      <c r="Q696" s="42"/>
      <c r="R696" s="42"/>
      <c r="S696" s="42"/>
      <c r="T696" s="42"/>
      <c r="U696" s="194"/>
      <c r="V696" s="42"/>
      <c r="W696" s="42"/>
      <c r="X696" s="42"/>
      <c r="Y696" s="42"/>
      <c r="Z696" s="42"/>
      <c r="AA696" s="42"/>
      <c r="AB696" s="195"/>
      <c r="AC696" s="42"/>
      <c r="AD696" s="42"/>
      <c r="AE696" s="195"/>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c r="BM696" s="42"/>
      <c r="BN696" s="42"/>
      <c r="BO696" s="42"/>
      <c r="BP696" s="42"/>
      <c r="BQ696" s="42"/>
      <c r="BR696" s="42"/>
      <c r="BS696" s="42"/>
      <c r="BT696" s="42"/>
      <c r="BU696" s="42"/>
      <c r="BV696" s="42"/>
      <c r="BW696" s="42"/>
      <c r="BX696" s="42"/>
      <c r="BY696" s="42"/>
      <c r="BZ696" s="42"/>
      <c r="CA696" s="42"/>
      <c r="CB696" s="42"/>
      <c r="CC696" s="42"/>
      <c r="CD696" s="42"/>
      <c r="CE696" s="42"/>
      <c r="CF696" s="42"/>
      <c r="CG696" s="42"/>
      <c r="CH696" s="42"/>
      <c r="CI696" s="42"/>
      <c r="CJ696" s="42"/>
      <c r="CK696" s="42"/>
      <c r="CL696" s="42"/>
      <c r="CM696" s="42"/>
      <c r="CN696" s="42"/>
      <c r="CO696" s="42"/>
      <c r="CP696" s="42"/>
      <c r="CQ696" s="42"/>
      <c r="CR696" s="42"/>
      <c r="CS696" s="42"/>
      <c r="CT696" s="42"/>
      <c r="CU696" s="42"/>
      <c r="CV696" s="42"/>
      <c r="CW696" s="42"/>
      <c r="CX696" s="42"/>
      <c r="CY696" s="42"/>
      <c r="CZ696" s="42"/>
      <c r="DA696" s="42"/>
      <c r="DB696" s="42"/>
      <c r="DC696" s="42"/>
      <c r="DD696" s="42"/>
      <c r="DE696" s="42"/>
      <c r="DF696" s="42"/>
      <c r="DG696" s="42"/>
      <c r="DH696" s="42"/>
      <c r="DI696" s="42"/>
      <c r="DJ696" s="42"/>
      <c r="DK696" s="42"/>
      <c r="DL696" s="42"/>
      <c r="DM696" s="42"/>
      <c r="DN696" s="42"/>
      <c r="DO696" s="42"/>
      <c r="DP696" s="42"/>
      <c r="DQ696" s="42"/>
      <c r="DR696" s="42"/>
      <c r="DS696" s="42"/>
      <c r="DT696" s="42"/>
      <c r="DU696" s="42"/>
      <c r="DV696" s="42"/>
      <c r="DW696" s="42"/>
      <c r="DX696" s="42"/>
      <c r="DY696" s="42"/>
      <c r="DZ696" s="42"/>
      <c r="EA696" s="42"/>
      <c r="EB696" s="42"/>
      <c r="EC696" s="42"/>
      <c r="ED696" s="42"/>
      <c r="EE696" s="42"/>
      <c r="EF696" s="42"/>
      <c r="EG696" s="42"/>
      <c r="EH696" s="42"/>
      <c r="EI696" s="42"/>
      <c r="EJ696" s="42"/>
      <c r="EK696" s="42"/>
      <c r="EL696" s="42"/>
      <c r="EM696" s="42"/>
      <c r="EN696" s="42"/>
      <c r="EO696" s="42"/>
      <c r="EP696" s="42"/>
      <c r="EQ696" s="42"/>
      <c r="ER696" s="42"/>
      <c r="ES696" s="42"/>
      <c r="ET696" s="42"/>
      <c r="EU696" s="42"/>
      <c r="EV696" s="42"/>
      <c r="EW696" s="42"/>
      <c r="EX696" s="42"/>
      <c r="EY696" s="42"/>
      <c r="EZ696" s="42"/>
      <c r="FA696" s="42"/>
      <c r="FB696" s="42"/>
      <c r="FC696" s="42"/>
      <c r="FD696" s="42"/>
      <c r="FE696" s="42"/>
      <c r="FF696" s="42"/>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row>
    <row r="697" spans="1:256" ht="13.8" x14ac:dyDescent="0.3">
      <c r="A697" s="42"/>
      <c r="B697" s="42"/>
      <c r="C697" s="42"/>
      <c r="D697" s="42"/>
      <c r="E697" s="42"/>
      <c r="F697" s="42"/>
      <c r="G697" s="42"/>
      <c r="H697" s="42"/>
      <c r="I697" s="42"/>
      <c r="J697" s="42"/>
      <c r="K697" s="42"/>
      <c r="L697" s="42"/>
      <c r="M697" s="42"/>
      <c r="N697" s="42"/>
      <c r="O697" s="42"/>
      <c r="P697" s="42"/>
      <c r="Q697" s="42"/>
      <c r="R697" s="42"/>
      <c r="S697" s="42"/>
      <c r="T697" s="42"/>
      <c r="U697" s="194"/>
      <c r="V697" s="42"/>
      <c r="W697" s="42"/>
      <c r="X697" s="42"/>
      <c r="Y697" s="42"/>
      <c r="Z697" s="42"/>
      <c r="AA697" s="42"/>
      <c r="AB697" s="195"/>
      <c r="AC697" s="42"/>
      <c r="AD697" s="42"/>
      <c r="AE697" s="195"/>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c r="BM697" s="42"/>
      <c r="BN697" s="42"/>
      <c r="BO697" s="42"/>
      <c r="BP697" s="42"/>
      <c r="BQ697" s="42"/>
      <c r="BR697" s="42"/>
      <c r="BS697" s="42"/>
      <c r="BT697" s="42"/>
      <c r="BU697" s="42"/>
      <c r="BV697" s="42"/>
      <c r="BW697" s="42"/>
      <c r="BX697" s="42"/>
      <c r="BY697" s="42"/>
      <c r="BZ697" s="42"/>
      <c r="CA697" s="42"/>
      <c r="CB697" s="42"/>
      <c r="CC697" s="42"/>
      <c r="CD697" s="42"/>
      <c r="CE697" s="42"/>
      <c r="CF697" s="42"/>
      <c r="CG697" s="42"/>
      <c r="CH697" s="42"/>
      <c r="CI697" s="42"/>
      <c r="CJ697" s="42"/>
      <c r="CK697" s="42"/>
      <c r="CL697" s="42"/>
      <c r="CM697" s="42"/>
      <c r="CN697" s="42"/>
      <c r="CO697" s="42"/>
      <c r="CP697" s="42"/>
      <c r="CQ697" s="42"/>
      <c r="CR697" s="42"/>
      <c r="CS697" s="42"/>
      <c r="CT697" s="42"/>
      <c r="CU697" s="42"/>
      <c r="CV697" s="42"/>
      <c r="CW697" s="42"/>
      <c r="CX697" s="42"/>
      <c r="CY697" s="42"/>
      <c r="CZ697" s="42"/>
      <c r="DA697" s="42"/>
      <c r="DB697" s="42"/>
      <c r="DC697" s="42"/>
      <c r="DD697" s="42"/>
      <c r="DE697" s="42"/>
      <c r="DF697" s="42"/>
      <c r="DG697" s="42"/>
      <c r="DH697" s="42"/>
      <c r="DI697" s="42"/>
      <c r="DJ697" s="42"/>
      <c r="DK697" s="42"/>
      <c r="DL697" s="42"/>
      <c r="DM697" s="42"/>
      <c r="DN697" s="42"/>
      <c r="DO697" s="42"/>
      <c r="DP697" s="42"/>
      <c r="DQ697" s="42"/>
      <c r="DR697" s="42"/>
      <c r="DS697" s="42"/>
      <c r="DT697" s="42"/>
      <c r="DU697" s="42"/>
      <c r="DV697" s="42"/>
      <c r="DW697" s="42"/>
      <c r="DX697" s="42"/>
      <c r="DY697" s="42"/>
      <c r="DZ697" s="42"/>
      <c r="EA697" s="42"/>
      <c r="EB697" s="42"/>
      <c r="EC697" s="42"/>
      <c r="ED697" s="42"/>
      <c r="EE697" s="42"/>
      <c r="EF697" s="42"/>
      <c r="EG697" s="42"/>
      <c r="EH697" s="42"/>
      <c r="EI697" s="42"/>
      <c r="EJ697" s="42"/>
      <c r="EK697" s="42"/>
      <c r="EL697" s="42"/>
      <c r="EM697" s="42"/>
      <c r="EN697" s="42"/>
      <c r="EO697" s="42"/>
      <c r="EP697" s="42"/>
      <c r="EQ697" s="42"/>
      <c r="ER697" s="42"/>
      <c r="ES697" s="42"/>
      <c r="ET697" s="42"/>
      <c r="EU697" s="42"/>
      <c r="EV697" s="42"/>
      <c r="EW697" s="42"/>
      <c r="EX697" s="42"/>
      <c r="EY697" s="42"/>
      <c r="EZ697" s="42"/>
      <c r="FA697" s="42"/>
      <c r="FB697" s="42"/>
      <c r="FC697" s="42"/>
      <c r="FD697" s="42"/>
      <c r="FE697" s="42"/>
      <c r="FF697" s="42"/>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row>
    <row r="698" spans="1:256" ht="13.8" x14ac:dyDescent="0.3">
      <c r="A698" s="42"/>
      <c r="B698" s="42"/>
      <c r="C698" s="42"/>
      <c r="D698" s="42"/>
      <c r="E698" s="42"/>
      <c r="F698" s="42"/>
      <c r="G698" s="42"/>
      <c r="H698" s="42"/>
      <c r="I698" s="42"/>
      <c r="J698" s="42"/>
      <c r="K698" s="42"/>
      <c r="L698" s="42"/>
      <c r="M698" s="42"/>
      <c r="N698" s="42"/>
      <c r="O698" s="42"/>
      <c r="P698" s="42"/>
      <c r="Q698" s="42"/>
      <c r="R698" s="42"/>
      <c r="S698" s="42"/>
      <c r="T698" s="42"/>
      <c r="U698" s="194"/>
      <c r="V698" s="42"/>
      <c r="W698" s="42"/>
      <c r="X698" s="42"/>
      <c r="Y698" s="42"/>
      <c r="Z698" s="42"/>
      <c r="AA698" s="42"/>
      <c r="AB698" s="195"/>
      <c r="AC698" s="42"/>
      <c r="AD698" s="42"/>
      <c r="AE698" s="195"/>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c r="BM698" s="42"/>
      <c r="BN698" s="42"/>
      <c r="BO698" s="42"/>
      <c r="BP698" s="42"/>
      <c r="BQ698" s="42"/>
      <c r="BR698" s="42"/>
      <c r="BS698" s="42"/>
      <c r="BT698" s="42"/>
      <c r="BU698" s="42"/>
      <c r="BV698" s="42"/>
      <c r="BW698" s="42"/>
      <c r="BX698" s="42"/>
      <c r="BY698" s="42"/>
      <c r="BZ698" s="42"/>
      <c r="CA698" s="42"/>
      <c r="CB698" s="42"/>
      <c r="CC698" s="42"/>
      <c r="CD698" s="42"/>
      <c r="CE698" s="42"/>
      <c r="CF698" s="42"/>
      <c r="CG698" s="42"/>
      <c r="CH698" s="42"/>
      <c r="CI698" s="42"/>
      <c r="CJ698" s="42"/>
      <c r="CK698" s="42"/>
      <c r="CL698" s="42"/>
      <c r="CM698" s="42"/>
      <c r="CN698" s="42"/>
      <c r="CO698" s="42"/>
      <c r="CP698" s="42"/>
      <c r="CQ698" s="42"/>
      <c r="CR698" s="42"/>
      <c r="CS698" s="42"/>
      <c r="CT698" s="42"/>
      <c r="CU698" s="42"/>
      <c r="CV698" s="42"/>
      <c r="CW698" s="42"/>
      <c r="CX698" s="42"/>
      <c r="CY698" s="42"/>
      <c r="CZ698" s="42"/>
      <c r="DA698" s="42"/>
      <c r="DB698" s="42"/>
      <c r="DC698" s="42"/>
      <c r="DD698" s="42"/>
      <c r="DE698" s="42"/>
      <c r="DF698" s="42"/>
      <c r="DG698" s="42"/>
      <c r="DH698" s="42"/>
      <c r="DI698" s="42"/>
      <c r="DJ698" s="42"/>
      <c r="DK698" s="42"/>
      <c r="DL698" s="42"/>
      <c r="DM698" s="42"/>
      <c r="DN698" s="42"/>
      <c r="DO698" s="42"/>
      <c r="DP698" s="42"/>
      <c r="DQ698" s="42"/>
      <c r="DR698" s="42"/>
      <c r="DS698" s="42"/>
      <c r="DT698" s="42"/>
      <c r="DU698" s="42"/>
      <c r="DV698" s="42"/>
      <c r="DW698" s="42"/>
      <c r="DX698" s="42"/>
      <c r="DY698" s="42"/>
      <c r="DZ698" s="42"/>
      <c r="EA698" s="42"/>
      <c r="EB698" s="42"/>
      <c r="EC698" s="42"/>
      <c r="ED698" s="42"/>
      <c r="EE698" s="42"/>
      <c r="EF698" s="42"/>
      <c r="EG698" s="42"/>
      <c r="EH698" s="42"/>
      <c r="EI698" s="42"/>
      <c r="EJ698" s="42"/>
      <c r="EK698" s="42"/>
      <c r="EL698" s="42"/>
      <c r="EM698" s="42"/>
      <c r="EN698" s="42"/>
      <c r="EO698" s="42"/>
      <c r="EP698" s="42"/>
      <c r="EQ698" s="42"/>
      <c r="ER698" s="42"/>
      <c r="ES698" s="42"/>
      <c r="ET698" s="42"/>
      <c r="EU698" s="42"/>
      <c r="EV698" s="42"/>
      <c r="EW698" s="42"/>
      <c r="EX698" s="42"/>
      <c r="EY698" s="42"/>
      <c r="EZ698" s="42"/>
      <c r="FA698" s="42"/>
      <c r="FB698" s="42"/>
      <c r="FC698" s="42"/>
      <c r="FD698" s="42"/>
      <c r="FE698" s="42"/>
      <c r="FF698" s="42"/>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row>
    <row r="699" spans="1:256" ht="13.8" x14ac:dyDescent="0.3">
      <c r="A699" s="42"/>
      <c r="B699" s="42"/>
      <c r="C699" s="42"/>
      <c r="D699" s="42"/>
      <c r="E699" s="42"/>
      <c r="F699" s="42"/>
      <c r="G699" s="42"/>
      <c r="H699" s="42"/>
      <c r="I699" s="42"/>
      <c r="J699" s="42"/>
      <c r="K699" s="42"/>
      <c r="L699" s="42"/>
      <c r="M699" s="42"/>
      <c r="N699" s="42"/>
      <c r="O699" s="42"/>
      <c r="P699" s="42"/>
      <c r="Q699" s="42"/>
      <c r="R699" s="42"/>
      <c r="S699" s="42"/>
      <c r="T699" s="42"/>
      <c r="U699" s="194"/>
      <c r="V699" s="42"/>
      <c r="W699" s="42"/>
      <c r="X699" s="42"/>
      <c r="Y699" s="42"/>
      <c r="Z699" s="42"/>
      <c r="AA699" s="42"/>
      <c r="AB699" s="195"/>
      <c r="AC699" s="42"/>
      <c r="AD699" s="42"/>
      <c r="AE699" s="195"/>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c r="BM699" s="42"/>
      <c r="BN699" s="42"/>
      <c r="BO699" s="42"/>
      <c r="BP699" s="42"/>
      <c r="BQ699" s="42"/>
      <c r="BR699" s="42"/>
      <c r="BS699" s="42"/>
      <c r="BT699" s="42"/>
      <c r="BU699" s="42"/>
      <c r="BV699" s="42"/>
      <c r="BW699" s="42"/>
      <c r="BX699" s="42"/>
      <c r="BY699" s="42"/>
      <c r="BZ699" s="42"/>
      <c r="CA699" s="42"/>
      <c r="CB699" s="42"/>
      <c r="CC699" s="42"/>
      <c r="CD699" s="42"/>
      <c r="CE699" s="42"/>
      <c r="CF699" s="42"/>
      <c r="CG699" s="42"/>
      <c r="CH699" s="42"/>
      <c r="CI699" s="42"/>
      <c r="CJ699" s="42"/>
      <c r="CK699" s="42"/>
      <c r="CL699" s="42"/>
      <c r="CM699" s="42"/>
      <c r="CN699" s="42"/>
      <c r="CO699" s="42"/>
      <c r="CP699" s="42"/>
      <c r="CQ699" s="42"/>
      <c r="CR699" s="42"/>
      <c r="CS699" s="42"/>
      <c r="CT699" s="42"/>
      <c r="CU699" s="42"/>
      <c r="CV699" s="42"/>
      <c r="CW699" s="42"/>
      <c r="CX699" s="42"/>
      <c r="CY699" s="42"/>
      <c r="CZ699" s="42"/>
      <c r="DA699" s="42"/>
      <c r="DB699" s="42"/>
      <c r="DC699" s="42"/>
      <c r="DD699" s="42"/>
      <c r="DE699" s="42"/>
      <c r="DF699" s="42"/>
      <c r="DG699" s="42"/>
      <c r="DH699" s="42"/>
      <c r="DI699" s="42"/>
      <c r="DJ699" s="42"/>
      <c r="DK699" s="42"/>
      <c r="DL699" s="42"/>
      <c r="DM699" s="42"/>
      <c r="DN699" s="42"/>
      <c r="DO699" s="42"/>
      <c r="DP699" s="42"/>
      <c r="DQ699" s="42"/>
      <c r="DR699" s="42"/>
      <c r="DS699" s="42"/>
      <c r="DT699" s="42"/>
      <c r="DU699" s="42"/>
      <c r="DV699" s="42"/>
      <c r="DW699" s="42"/>
      <c r="DX699" s="42"/>
      <c r="DY699" s="42"/>
      <c r="DZ699" s="42"/>
      <c r="EA699" s="42"/>
      <c r="EB699" s="42"/>
      <c r="EC699" s="42"/>
      <c r="ED699" s="42"/>
      <c r="EE699" s="42"/>
      <c r="EF699" s="42"/>
      <c r="EG699" s="42"/>
      <c r="EH699" s="42"/>
      <c r="EI699" s="42"/>
      <c r="EJ699" s="42"/>
      <c r="EK699" s="42"/>
      <c r="EL699" s="42"/>
      <c r="EM699" s="42"/>
      <c r="EN699" s="42"/>
      <c r="EO699" s="42"/>
      <c r="EP699" s="42"/>
      <c r="EQ699" s="42"/>
      <c r="ER699" s="42"/>
      <c r="ES699" s="42"/>
      <c r="ET699" s="42"/>
      <c r="EU699" s="42"/>
      <c r="EV699" s="42"/>
      <c r="EW699" s="42"/>
      <c r="EX699" s="42"/>
      <c r="EY699" s="42"/>
      <c r="EZ699" s="42"/>
      <c r="FA699" s="42"/>
      <c r="FB699" s="42"/>
      <c r="FC699" s="42"/>
      <c r="FD699" s="42"/>
      <c r="FE699" s="42"/>
      <c r="FF699" s="42"/>
      <c r="FG699" s="42"/>
      <c r="FH699" s="42"/>
      <c r="FI699" s="42"/>
      <c r="FJ699" s="42"/>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row>
    <row r="700" spans="1:256" ht="13.8" x14ac:dyDescent="0.3">
      <c r="A700" s="42"/>
      <c r="B700" s="42"/>
      <c r="C700" s="42"/>
      <c r="D700" s="42"/>
      <c r="E700" s="42"/>
      <c r="F700" s="42"/>
      <c r="G700" s="42"/>
      <c r="H700" s="42"/>
      <c r="I700" s="42"/>
      <c r="J700" s="42"/>
      <c r="K700" s="42"/>
      <c r="L700" s="42"/>
      <c r="M700" s="42"/>
      <c r="N700" s="42"/>
      <c r="O700" s="42"/>
      <c r="P700" s="42"/>
      <c r="Q700" s="42"/>
      <c r="R700" s="42"/>
      <c r="S700" s="42"/>
      <c r="T700" s="42"/>
      <c r="U700" s="194"/>
      <c r="V700" s="42"/>
      <c r="W700" s="42"/>
      <c r="X700" s="42"/>
      <c r="Y700" s="42"/>
      <c r="Z700" s="42"/>
      <c r="AA700" s="42"/>
      <c r="AB700" s="195"/>
      <c r="AC700" s="42"/>
      <c r="AD700" s="42"/>
      <c r="AE700" s="195"/>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c r="BM700" s="42"/>
      <c r="BN700" s="42"/>
      <c r="BO700" s="42"/>
      <c r="BP700" s="42"/>
      <c r="BQ700" s="42"/>
      <c r="BR700" s="42"/>
      <c r="BS700" s="42"/>
      <c r="BT700" s="42"/>
      <c r="BU700" s="42"/>
      <c r="BV700" s="42"/>
      <c r="BW700" s="42"/>
      <c r="BX700" s="42"/>
      <c r="BY700" s="42"/>
      <c r="BZ700" s="42"/>
      <c r="CA700" s="42"/>
      <c r="CB700" s="42"/>
      <c r="CC700" s="42"/>
      <c r="CD700" s="42"/>
      <c r="CE700" s="42"/>
      <c r="CF700" s="42"/>
      <c r="CG700" s="42"/>
      <c r="CH700" s="42"/>
      <c r="CI700" s="42"/>
      <c r="CJ700" s="42"/>
      <c r="CK700" s="42"/>
      <c r="CL700" s="42"/>
      <c r="CM700" s="42"/>
      <c r="CN700" s="42"/>
      <c r="CO700" s="42"/>
      <c r="CP700" s="42"/>
      <c r="CQ700" s="42"/>
      <c r="CR700" s="42"/>
      <c r="CS700" s="42"/>
      <c r="CT700" s="42"/>
      <c r="CU700" s="42"/>
      <c r="CV700" s="42"/>
      <c r="CW700" s="42"/>
      <c r="CX700" s="42"/>
      <c r="CY700" s="42"/>
      <c r="CZ700" s="42"/>
      <c r="DA700" s="42"/>
      <c r="DB700" s="42"/>
      <c r="DC700" s="42"/>
      <c r="DD700" s="42"/>
      <c r="DE700" s="42"/>
      <c r="DF700" s="42"/>
      <c r="DG700" s="42"/>
      <c r="DH700" s="42"/>
      <c r="DI700" s="42"/>
      <c r="DJ700" s="42"/>
      <c r="DK700" s="42"/>
      <c r="DL700" s="42"/>
      <c r="DM700" s="42"/>
      <c r="DN700" s="42"/>
      <c r="DO700" s="42"/>
      <c r="DP700" s="42"/>
      <c r="DQ700" s="42"/>
      <c r="DR700" s="42"/>
      <c r="DS700" s="42"/>
      <c r="DT700" s="42"/>
      <c r="DU700" s="42"/>
      <c r="DV700" s="42"/>
      <c r="DW700" s="42"/>
      <c r="DX700" s="42"/>
      <c r="DY700" s="42"/>
      <c r="DZ700" s="42"/>
      <c r="EA700" s="42"/>
      <c r="EB700" s="42"/>
      <c r="EC700" s="42"/>
      <c r="ED700" s="42"/>
      <c r="EE700" s="42"/>
      <c r="EF700" s="42"/>
      <c r="EG700" s="42"/>
      <c r="EH700" s="42"/>
      <c r="EI700" s="42"/>
      <c r="EJ700" s="42"/>
      <c r="EK700" s="42"/>
      <c r="EL700" s="42"/>
      <c r="EM700" s="42"/>
      <c r="EN700" s="42"/>
      <c r="EO700" s="42"/>
      <c r="EP700" s="42"/>
      <c r="EQ700" s="42"/>
      <c r="ER700" s="42"/>
      <c r="ES700" s="42"/>
      <c r="ET700" s="42"/>
      <c r="EU700" s="42"/>
      <c r="EV700" s="42"/>
      <c r="EW700" s="42"/>
      <c r="EX700" s="42"/>
      <c r="EY700" s="42"/>
      <c r="EZ700" s="42"/>
      <c r="FA700" s="42"/>
      <c r="FB700" s="42"/>
      <c r="FC700" s="42"/>
      <c r="FD700" s="42"/>
      <c r="FE700" s="42"/>
      <c r="FF700" s="42"/>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row>
    <row r="701" spans="1:256" ht="13.8" x14ac:dyDescent="0.3">
      <c r="A701" s="42"/>
      <c r="B701" s="42"/>
      <c r="C701" s="42"/>
      <c r="D701" s="42"/>
      <c r="E701" s="42"/>
      <c r="F701" s="42"/>
      <c r="G701" s="42"/>
      <c r="H701" s="42"/>
      <c r="I701" s="42"/>
      <c r="J701" s="42"/>
      <c r="K701" s="42"/>
      <c r="L701" s="42"/>
      <c r="M701" s="42"/>
      <c r="N701" s="42"/>
      <c r="O701" s="42"/>
      <c r="P701" s="42"/>
      <c r="Q701" s="42"/>
      <c r="R701" s="42"/>
      <c r="S701" s="42"/>
      <c r="T701" s="42"/>
      <c r="U701" s="194"/>
      <c r="V701" s="42"/>
      <c r="W701" s="42"/>
      <c r="X701" s="42"/>
      <c r="Y701" s="42"/>
      <c r="Z701" s="42"/>
      <c r="AA701" s="42"/>
      <c r="AB701" s="195"/>
      <c r="AC701" s="42"/>
      <c r="AD701" s="42"/>
      <c r="AE701" s="195"/>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c r="BM701" s="42"/>
      <c r="BN701" s="42"/>
      <c r="BO701" s="42"/>
      <c r="BP701" s="42"/>
      <c r="BQ701" s="42"/>
      <c r="BR701" s="42"/>
      <c r="BS701" s="42"/>
      <c r="BT701" s="42"/>
      <c r="BU701" s="42"/>
      <c r="BV701" s="42"/>
      <c r="BW701" s="42"/>
      <c r="BX701" s="42"/>
      <c r="BY701" s="42"/>
      <c r="BZ701" s="42"/>
      <c r="CA701" s="42"/>
      <c r="CB701" s="42"/>
      <c r="CC701" s="42"/>
      <c r="CD701" s="42"/>
      <c r="CE701" s="42"/>
      <c r="CF701" s="42"/>
      <c r="CG701" s="42"/>
      <c r="CH701" s="42"/>
      <c r="CI701" s="42"/>
      <c r="CJ701" s="42"/>
      <c r="CK701" s="42"/>
      <c r="CL701" s="42"/>
      <c r="CM701" s="42"/>
      <c r="CN701" s="42"/>
      <c r="CO701" s="42"/>
      <c r="CP701" s="42"/>
      <c r="CQ701" s="42"/>
      <c r="CR701" s="42"/>
      <c r="CS701" s="42"/>
      <c r="CT701" s="42"/>
      <c r="CU701" s="42"/>
      <c r="CV701" s="42"/>
      <c r="CW701" s="42"/>
      <c r="CX701" s="42"/>
      <c r="CY701" s="42"/>
      <c r="CZ701" s="42"/>
      <c r="DA701" s="42"/>
      <c r="DB701" s="42"/>
      <c r="DC701" s="42"/>
      <c r="DD701" s="42"/>
      <c r="DE701" s="42"/>
      <c r="DF701" s="42"/>
      <c r="DG701" s="42"/>
      <c r="DH701" s="42"/>
      <c r="DI701" s="42"/>
      <c r="DJ701" s="42"/>
      <c r="DK701" s="42"/>
      <c r="DL701" s="42"/>
      <c r="DM701" s="42"/>
      <c r="DN701" s="42"/>
      <c r="DO701" s="42"/>
      <c r="DP701" s="42"/>
      <c r="DQ701" s="42"/>
      <c r="DR701" s="42"/>
      <c r="DS701" s="42"/>
      <c r="DT701" s="42"/>
      <c r="DU701" s="42"/>
      <c r="DV701" s="42"/>
      <c r="DW701" s="42"/>
      <c r="DX701" s="42"/>
      <c r="DY701" s="42"/>
      <c r="DZ701" s="42"/>
      <c r="EA701" s="42"/>
      <c r="EB701" s="42"/>
      <c r="EC701" s="42"/>
      <c r="ED701" s="42"/>
      <c r="EE701" s="42"/>
      <c r="EF701" s="42"/>
      <c r="EG701" s="42"/>
      <c r="EH701" s="42"/>
      <c r="EI701" s="42"/>
      <c r="EJ701" s="42"/>
      <c r="EK701" s="42"/>
      <c r="EL701" s="42"/>
      <c r="EM701" s="42"/>
      <c r="EN701" s="42"/>
      <c r="EO701" s="42"/>
      <c r="EP701" s="42"/>
      <c r="EQ701" s="42"/>
      <c r="ER701" s="42"/>
      <c r="ES701" s="42"/>
      <c r="ET701" s="42"/>
      <c r="EU701" s="42"/>
      <c r="EV701" s="42"/>
      <c r="EW701" s="42"/>
      <c r="EX701" s="42"/>
      <c r="EY701" s="42"/>
      <c r="EZ701" s="42"/>
      <c r="FA701" s="42"/>
      <c r="FB701" s="42"/>
      <c r="FC701" s="42"/>
      <c r="FD701" s="42"/>
      <c r="FE701" s="42"/>
      <c r="FF701" s="42"/>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row>
    <row r="702" spans="1:256" ht="13.8" x14ac:dyDescent="0.3">
      <c r="A702" s="42"/>
      <c r="B702" s="42"/>
      <c r="C702" s="42"/>
      <c r="D702" s="42"/>
      <c r="E702" s="42"/>
      <c r="F702" s="42"/>
      <c r="G702" s="42"/>
      <c r="H702" s="42"/>
      <c r="I702" s="42"/>
      <c r="J702" s="42"/>
      <c r="K702" s="42"/>
      <c r="L702" s="42"/>
      <c r="M702" s="42"/>
      <c r="N702" s="42"/>
      <c r="O702" s="42"/>
      <c r="P702" s="42"/>
      <c r="Q702" s="42"/>
      <c r="R702" s="42"/>
      <c r="S702" s="42"/>
      <c r="T702" s="42"/>
      <c r="U702" s="194"/>
      <c r="V702" s="42"/>
      <c r="W702" s="42"/>
      <c r="X702" s="42"/>
      <c r="Y702" s="42"/>
      <c r="Z702" s="42"/>
      <c r="AA702" s="42"/>
      <c r="AB702" s="195"/>
      <c r="AC702" s="42"/>
      <c r="AD702" s="42"/>
      <c r="AE702" s="195"/>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c r="BM702" s="42"/>
      <c r="BN702" s="42"/>
      <c r="BO702" s="42"/>
      <c r="BP702" s="42"/>
      <c r="BQ702" s="42"/>
      <c r="BR702" s="42"/>
      <c r="BS702" s="42"/>
      <c r="BT702" s="42"/>
      <c r="BU702" s="42"/>
      <c r="BV702" s="42"/>
      <c r="BW702" s="42"/>
      <c r="BX702" s="42"/>
      <c r="BY702" s="42"/>
      <c r="BZ702" s="42"/>
      <c r="CA702" s="42"/>
      <c r="CB702" s="42"/>
      <c r="CC702" s="42"/>
      <c r="CD702" s="42"/>
      <c r="CE702" s="42"/>
      <c r="CF702" s="42"/>
      <c r="CG702" s="42"/>
      <c r="CH702" s="42"/>
      <c r="CI702" s="42"/>
      <c r="CJ702" s="42"/>
      <c r="CK702" s="42"/>
      <c r="CL702" s="42"/>
      <c r="CM702" s="42"/>
      <c r="CN702" s="42"/>
      <c r="CO702" s="42"/>
      <c r="CP702" s="42"/>
      <c r="CQ702" s="42"/>
      <c r="CR702" s="42"/>
      <c r="CS702" s="42"/>
      <c r="CT702" s="42"/>
      <c r="CU702" s="42"/>
      <c r="CV702" s="42"/>
      <c r="CW702" s="42"/>
      <c r="CX702" s="42"/>
      <c r="CY702" s="42"/>
      <c r="CZ702" s="42"/>
      <c r="DA702" s="42"/>
      <c r="DB702" s="42"/>
      <c r="DC702" s="42"/>
      <c r="DD702" s="42"/>
      <c r="DE702" s="42"/>
      <c r="DF702" s="42"/>
      <c r="DG702" s="42"/>
      <c r="DH702" s="42"/>
      <c r="DI702" s="42"/>
      <c r="DJ702" s="42"/>
      <c r="DK702" s="42"/>
      <c r="DL702" s="42"/>
      <c r="DM702" s="42"/>
      <c r="DN702" s="42"/>
      <c r="DO702" s="42"/>
      <c r="DP702" s="42"/>
      <c r="DQ702" s="42"/>
      <c r="DR702" s="42"/>
      <c r="DS702" s="42"/>
      <c r="DT702" s="42"/>
      <c r="DU702" s="42"/>
      <c r="DV702" s="42"/>
      <c r="DW702" s="42"/>
      <c r="DX702" s="42"/>
      <c r="DY702" s="42"/>
      <c r="DZ702" s="42"/>
      <c r="EA702" s="42"/>
      <c r="EB702" s="42"/>
      <c r="EC702" s="42"/>
      <c r="ED702" s="42"/>
      <c r="EE702" s="42"/>
      <c r="EF702" s="42"/>
      <c r="EG702" s="42"/>
      <c r="EH702" s="42"/>
      <c r="EI702" s="42"/>
      <c r="EJ702" s="42"/>
      <c r="EK702" s="42"/>
      <c r="EL702" s="42"/>
      <c r="EM702" s="42"/>
      <c r="EN702" s="42"/>
      <c r="EO702" s="42"/>
      <c r="EP702" s="42"/>
      <c r="EQ702" s="42"/>
      <c r="ER702" s="42"/>
      <c r="ES702" s="42"/>
      <c r="ET702" s="42"/>
      <c r="EU702" s="42"/>
      <c r="EV702" s="42"/>
      <c r="EW702" s="42"/>
      <c r="EX702" s="42"/>
      <c r="EY702" s="42"/>
      <c r="EZ702" s="42"/>
      <c r="FA702" s="42"/>
      <c r="FB702" s="42"/>
      <c r="FC702" s="42"/>
      <c r="FD702" s="42"/>
      <c r="FE702" s="42"/>
      <c r="FF702" s="42"/>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row>
    <row r="703" spans="1:256" ht="13.8" x14ac:dyDescent="0.3">
      <c r="A703" s="42"/>
      <c r="B703" s="42"/>
      <c r="C703" s="42"/>
      <c r="D703" s="42"/>
      <c r="E703" s="42"/>
      <c r="F703" s="42"/>
      <c r="G703" s="42"/>
      <c r="H703" s="42"/>
      <c r="I703" s="42"/>
      <c r="J703" s="42"/>
      <c r="K703" s="42"/>
      <c r="L703" s="42"/>
      <c r="M703" s="42"/>
      <c r="N703" s="42"/>
      <c r="O703" s="42"/>
      <c r="P703" s="42"/>
      <c r="Q703" s="42"/>
      <c r="R703" s="42"/>
      <c r="S703" s="42"/>
      <c r="T703" s="42"/>
      <c r="U703" s="194"/>
      <c r="V703" s="42"/>
      <c r="W703" s="42"/>
      <c r="X703" s="42"/>
      <c r="Y703" s="42"/>
      <c r="Z703" s="42"/>
      <c r="AA703" s="42"/>
      <c r="AB703" s="195"/>
      <c r="AC703" s="42"/>
      <c r="AD703" s="42"/>
      <c r="AE703" s="195"/>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c r="BM703" s="42"/>
      <c r="BN703" s="42"/>
      <c r="BO703" s="42"/>
      <c r="BP703" s="42"/>
      <c r="BQ703" s="42"/>
      <c r="BR703" s="42"/>
      <c r="BS703" s="42"/>
      <c r="BT703" s="42"/>
      <c r="BU703" s="42"/>
      <c r="BV703" s="42"/>
      <c r="BW703" s="42"/>
      <c r="BX703" s="42"/>
      <c r="BY703" s="42"/>
      <c r="BZ703" s="42"/>
      <c r="CA703" s="42"/>
      <c r="CB703" s="42"/>
      <c r="CC703" s="42"/>
      <c r="CD703" s="42"/>
      <c r="CE703" s="42"/>
      <c r="CF703" s="42"/>
      <c r="CG703" s="42"/>
      <c r="CH703" s="42"/>
      <c r="CI703" s="42"/>
      <c r="CJ703" s="42"/>
      <c r="CK703" s="42"/>
      <c r="CL703" s="42"/>
      <c r="CM703" s="42"/>
      <c r="CN703" s="42"/>
      <c r="CO703" s="42"/>
      <c r="CP703" s="42"/>
      <c r="CQ703" s="42"/>
      <c r="CR703" s="42"/>
      <c r="CS703" s="42"/>
      <c r="CT703" s="42"/>
      <c r="CU703" s="42"/>
      <c r="CV703" s="42"/>
      <c r="CW703" s="42"/>
      <c r="CX703" s="42"/>
      <c r="CY703" s="42"/>
      <c r="CZ703" s="42"/>
      <c r="DA703" s="42"/>
      <c r="DB703" s="42"/>
      <c r="DC703" s="42"/>
      <c r="DD703" s="42"/>
      <c r="DE703" s="42"/>
      <c r="DF703" s="42"/>
      <c r="DG703" s="42"/>
      <c r="DH703" s="42"/>
      <c r="DI703" s="42"/>
      <c r="DJ703" s="42"/>
      <c r="DK703" s="42"/>
      <c r="DL703" s="42"/>
      <c r="DM703" s="42"/>
      <c r="DN703" s="42"/>
      <c r="DO703" s="42"/>
      <c r="DP703" s="42"/>
      <c r="DQ703" s="42"/>
      <c r="DR703" s="42"/>
      <c r="DS703" s="42"/>
      <c r="DT703" s="42"/>
      <c r="DU703" s="42"/>
      <c r="DV703" s="42"/>
      <c r="DW703" s="42"/>
      <c r="DX703" s="42"/>
      <c r="DY703" s="42"/>
      <c r="DZ703" s="42"/>
      <c r="EA703" s="42"/>
      <c r="EB703" s="42"/>
      <c r="EC703" s="42"/>
      <c r="ED703" s="42"/>
      <c r="EE703" s="42"/>
      <c r="EF703" s="42"/>
      <c r="EG703" s="42"/>
      <c r="EH703" s="42"/>
      <c r="EI703" s="42"/>
      <c r="EJ703" s="42"/>
      <c r="EK703" s="42"/>
      <c r="EL703" s="42"/>
      <c r="EM703" s="42"/>
      <c r="EN703" s="42"/>
      <c r="EO703" s="42"/>
      <c r="EP703" s="42"/>
      <c r="EQ703" s="42"/>
      <c r="ER703" s="42"/>
      <c r="ES703" s="42"/>
      <c r="ET703" s="42"/>
      <c r="EU703" s="42"/>
      <c r="EV703" s="42"/>
      <c r="EW703" s="42"/>
      <c r="EX703" s="42"/>
      <c r="EY703" s="42"/>
      <c r="EZ703" s="42"/>
      <c r="FA703" s="42"/>
      <c r="FB703" s="42"/>
      <c r="FC703" s="42"/>
      <c r="FD703" s="42"/>
      <c r="FE703" s="42"/>
      <c r="FF703" s="42"/>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row>
    <row r="704" spans="1:256" ht="13.8" x14ac:dyDescent="0.3">
      <c r="A704" s="42"/>
      <c r="B704" s="42"/>
      <c r="C704" s="42"/>
      <c r="D704" s="42"/>
      <c r="E704" s="42"/>
      <c r="F704" s="42"/>
      <c r="G704" s="42"/>
      <c r="H704" s="42"/>
      <c r="I704" s="42"/>
      <c r="J704" s="42"/>
      <c r="K704" s="42"/>
      <c r="L704" s="42"/>
      <c r="M704" s="42"/>
      <c r="N704" s="42"/>
      <c r="O704" s="42"/>
      <c r="P704" s="42"/>
      <c r="Q704" s="42"/>
      <c r="R704" s="42"/>
      <c r="S704" s="42"/>
      <c r="T704" s="42"/>
      <c r="U704" s="194"/>
      <c r="V704" s="42"/>
      <c r="W704" s="42"/>
      <c r="X704" s="42"/>
      <c r="Y704" s="42"/>
      <c r="Z704" s="42"/>
      <c r="AA704" s="42"/>
      <c r="AB704" s="195"/>
      <c r="AC704" s="42"/>
      <c r="AD704" s="42"/>
      <c r="AE704" s="195"/>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c r="BM704" s="42"/>
      <c r="BN704" s="42"/>
      <c r="BO704" s="42"/>
      <c r="BP704" s="42"/>
      <c r="BQ704" s="42"/>
      <c r="BR704" s="42"/>
      <c r="BS704" s="42"/>
      <c r="BT704" s="42"/>
      <c r="BU704" s="42"/>
      <c r="BV704" s="42"/>
      <c r="BW704" s="42"/>
      <c r="BX704" s="42"/>
      <c r="BY704" s="42"/>
      <c r="BZ704" s="42"/>
      <c r="CA704" s="42"/>
      <c r="CB704" s="42"/>
      <c r="CC704" s="42"/>
      <c r="CD704" s="42"/>
      <c r="CE704" s="42"/>
      <c r="CF704" s="42"/>
      <c r="CG704" s="42"/>
      <c r="CH704" s="42"/>
      <c r="CI704" s="42"/>
      <c r="CJ704" s="42"/>
      <c r="CK704" s="42"/>
      <c r="CL704" s="42"/>
      <c r="CM704" s="42"/>
      <c r="CN704" s="42"/>
      <c r="CO704" s="42"/>
      <c r="CP704" s="42"/>
      <c r="CQ704" s="42"/>
      <c r="CR704" s="42"/>
      <c r="CS704" s="42"/>
      <c r="CT704" s="42"/>
      <c r="CU704" s="42"/>
      <c r="CV704" s="42"/>
      <c r="CW704" s="42"/>
      <c r="CX704" s="42"/>
      <c r="CY704" s="42"/>
      <c r="CZ704" s="42"/>
      <c r="DA704" s="42"/>
      <c r="DB704" s="42"/>
      <c r="DC704" s="42"/>
      <c r="DD704" s="42"/>
      <c r="DE704" s="42"/>
      <c r="DF704" s="42"/>
      <c r="DG704" s="42"/>
      <c r="DH704" s="42"/>
      <c r="DI704" s="42"/>
      <c r="DJ704" s="42"/>
      <c r="DK704" s="42"/>
      <c r="DL704" s="42"/>
      <c r="DM704" s="42"/>
      <c r="DN704" s="42"/>
      <c r="DO704" s="42"/>
      <c r="DP704" s="42"/>
      <c r="DQ704" s="42"/>
      <c r="DR704" s="42"/>
      <c r="DS704" s="42"/>
      <c r="DT704" s="42"/>
      <c r="DU704" s="42"/>
      <c r="DV704" s="42"/>
      <c r="DW704" s="42"/>
      <c r="DX704" s="42"/>
      <c r="DY704" s="42"/>
      <c r="DZ704" s="42"/>
      <c r="EA704" s="42"/>
      <c r="EB704" s="42"/>
      <c r="EC704" s="42"/>
      <c r="ED704" s="42"/>
      <c r="EE704" s="42"/>
      <c r="EF704" s="42"/>
      <c r="EG704" s="42"/>
      <c r="EH704" s="42"/>
      <c r="EI704" s="42"/>
      <c r="EJ704" s="42"/>
      <c r="EK704" s="42"/>
      <c r="EL704" s="42"/>
      <c r="EM704" s="42"/>
      <c r="EN704" s="42"/>
      <c r="EO704" s="42"/>
      <c r="EP704" s="42"/>
      <c r="EQ704" s="42"/>
      <c r="ER704" s="42"/>
      <c r="ES704" s="42"/>
      <c r="ET704" s="42"/>
      <c r="EU704" s="42"/>
      <c r="EV704" s="42"/>
      <c r="EW704" s="42"/>
      <c r="EX704" s="42"/>
      <c r="EY704" s="42"/>
      <c r="EZ704" s="42"/>
      <c r="FA704" s="42"/>
      <c r="FB704" s="42"/>
      <c r="FC704" s="42"/>
      <c r="FD704" s="42"/>
      <c r="FE704" s="42"/>
      <c r="FF704" s="42"/>
      <c r="FG704" s="42"/>
      <c r="FH704" s="42"/>
      <c r="FI704" s="42"/>
      <c r="FJ704" s="42"/>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row>
    <row r="705" spans="1:256" ht="13.8" x14ac:dyDescent="0.3">
      <c r="A705" s="42"/>
      <c r="B705" s="42"/>
      <c r="C705" s="42"/>
      <c r="D705" s="42"/>
      <c r="E705" s="42"/>
      <c r="F705" s="42"/>
      <c r="G705" s="42"/>
      <c r="H705" s="42"/>
      <c r="I705" s="42"/>
      <c r="J705" s="42"/>
      <c r="K705" s="42"/>
      <c r="L705" s="42"/>
      <c r="M705" s="42"/>
      <c r="N705" s="42"/>
      <c r="O705" s="42"/>
      <c r="P705" s="42"/>
      <c r="Q705" s="42"/>
      <c r="R705" s="42"/>
      <c r="S705" s="42"/>
      <c r="T705" s="42"/>
      <c r="U705" s="194"/>
      <c r="V705" s="42"/>
      <c r="W705" s="42"/>
      <c r="X705" s="42"/>
      <c r="Y705" s="42"/>
      <c r="Z705" s="42"/>
      <c r="AA705" s="42"/>
      <c r="AB705" s="195"/>
      <c r="AC705" s="42"/>
      <c r="AD705" s="42"/>
      <c r="AE705" s="195"/>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c r="BM705" s="42"/>
      <c r="BN705" s="42"/>
      <c r="BO705" s="42"/>
      <c r="BP705" s="42"/>
      <c r="BQ705" s="42"/>
      <c r="BR705" s="42"/>
      <c r="BS705" s="42"/>
      <c r="BT705" s="42"/>
      <c r="BU705" s="42"/>
      <c r="BV705" s="42"/>
      <c r="BW705" s="42"/>
      <c r="BX705" s="42"/>
      <c r="BY705" s="42"/>
      <c r="BZ705" s="42"/>
      <c r="CA705" s="42"/>
      <c r="CB705" s="42"/>
      <c r="CC705" s="42"/>
      <c r="CD705" s="42"/>
      <c r="CE705" s="42"/>
      <c r="CF705" s="42"/>
      <c r="CG705" s="42"/>
      <c r="CH705" s="42"/>
      <c r="CI705" s="42"/>
      <c r="CJ705" s="42"/>
      <c r="CK705" s="42"/>
      <c r="CL705" s="42"/>
      <c r="CM705" s="42"/>
      <c r="CN705" s="42"/>
      <c r="CO705" s="42"/>
      <c r="CP705" s="42"/>
      <c r="CQ705" s="42"/>
      <c r="CR705" s="42"/>
      <c r="CS705" s="42"/>
      <c r="CT705" s="42"/>
      <c r="CU705" s="42"/>
      <c r="CV705" s="42"/>
      <c r="CW705" s="42"/>
      <c r="CX705" s="42"/>
      <c r="CY705" s="42"/>
      <c r="CZ705" s="42"/>
      <c r="DA705" s="42"/>
      <c r="DB705" s="42"/>
      <c r="DC705" s="42"/>
      <c r="DD705" s="42"/>
      <c r="DE705" s="42"/>
      <c r="DF705" s="42"/>
      <c r="DG705" s="42"/>
      <c r="DH705" s="42"/>
      <c r="DI705" s="42"/>
      <c r="DJ705" s="42"/>
      <c r="DK705" s="42"/>
      <c r="DL705" s="42"/>
      <c r="DM705" s="42"/>
      <c r="DN705" s="42"/>
      <c r="DO705" s="42"/>
      <c r="DP705" s="42"/>
      <c r="DQ705" s="42"/>
      <c r="DR705" s="42"/>
      <c r="DS705" s="42"/>
      <c r="DT705" s="42"/>
      <c r="DU705" s="42"/>
      <c r="DV705" s="42"/>
      <c r="DW705" s="42"/>
      <c r="DX705" s="42"/>
      <c r="DY705" s="42"/>
      <c r="DZ705" s="42"/>
      <c r="EA705" s="42"/>
      <c r="EB705" s="42"/>
      <c r="EC705" s="42"/>
      <c r="ED705" s="42"/>
      <c r="EE705" s="42"/>
      <c r="EF705" s="42"/>
      <c r="EG705" s="42"/>
      <c r="EH705" s="42"/>
      <c r="EI705" s="42"/>
      <c r="EJ705" s="42"/>
      <c r="EK705" s="42"/>
      <c r="EL705" s="42"/>
      <c r="EM705" s="42"/>
      <c r="EN705" s="42"/>
      <c r="EO705" s="42"/>
      <c r="EP705" s="42"/>
      <c r="EQ705" s="42"/>
      <c r="ER705" s="42"/>
      <c r="ES705" s="42"/>
      <c r="ET705" s="42"/>
      <c r="EU705" s="42"/>
      <c r="EV705" s="42"/>
      <c r="EW705" s="42"/>
      <c r="EX705" s="42"/>
      <c r="EY705" s="42"/>
      <c r="EZ705" s="42"/>
      <c r="FA705" s="42"/>
      <c r="FB705" s="42"/>
      <c r="FC705" s="42"/>
      <c r="FD705" s="42"/>
      <c r="FE705" s="42"/>
      <c r="FF705" s="42"/>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row>
    <row r="706" spans="1:256" ht="13.8" x14ac:dyDescent="0.3">
      <c r="A706" s="42"/>
      <c r="B706" s="42"/>
      <c r="C706" s="42"/>
      <c r="D706" s="42"/>
      <c r="E706" s="42"/>
      <c r="F706" s="42"/>
      <c r="G706" s="42"/>
      <c r="H706" s="42"/>
      <c r="I706" s="42"/>
      <c r="J706" s="42"/>
      <c r="K706" s="42"/>
      <c r="L706" s="42"/>
      <c r="M706" s="42"/>
      <c r="N706" s="42"/>
      <c r="O706" s="42"/>
      <c r="P706" s="42"/>
      <c r="Q706" s="42"/>
      <c r="R706" s="42"/>
      <c r="S706" s="42"/>
      <c r="T706" s="42"/>
      <c r="U706" s="194"/>
      <c r="V706" s="42"/>
      <c r="W706" s="42"/>
      <c r="X706" s="42"/>
      <c r="Y706" s="42"/>
      <c r="Z706" s="42"/>
      <c r="AA706" s="42"/>
      <c r="AB706" s="195"/>
      <c r="AC706" s="42"/>
      <c r="AD706" s="42"/>
      <c r="AE706" s="195"/>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c r="BM706" s="42"/>
      <c r="BN706" s="42"/>
      <c r="BO706" s="42"/>
      <c r="BP706" s="42"/>
      <c r="BQ706" s="42"/>
      <c r="BR706" s="42"/>
      <c r="BS706" s="42"/>
      <c r="BT706" s="42"/>
      <c r="BU706" s="42"/>
      <c r="BV706" s="42"/>
      <c r="BW706" s="42"/>
      <c r="BX706" s="42"/>
      <c r="BY706" s="42"/>
      <c r="BZ706" s="42"/>
      <c r="CA706" s="42"/>
      <c r="CB706" s="42"/>
      <c r="CC706" s="42"/>
      <c r="CD706" s="42"/>
      <c r="CE706" s="42"/>
      <c r="CF706" s="42"/>
      <c r="CG706" s="42"/>
      <c r="CH706" s="42"/>
      <c r="CI706" s="42"/>
      <c r="CJ706" s="42"/>
      <c r="CK706" s="42"/>
      <c r="CL706" s="42"/>
      <c r="CM706" s="42"/>
      <c r="CN706" s="42"/>
      <c r="CO706" s="42"/>
      <c r="CP706" s="42"/>
      <c r="CQ706" s="42"/>
      <c r="CR706" s="42"/>
      <c r="CS706" s="42"/>
      <c r="CT706" s="42"/>
      <c r="CU706" s="42"/>
      <c r="CV706" s="42"/>
      <c r="CW706" s="42"/>
      <c r="CX706" s="42"/>
      <c r="CY706" s="42"/>
      <c r="CZ706" s="42"/>
      <c r="DA706" s="42"/>
      <c r="DB706" s="42"/>
      <c r="DC706" s="42"/>
      <c r="DD706" s="42"/>
      <c r="DE706" s="42"/>
      <c r="DF706" s="42"/>
      <c r="DG706" s="42"/>
      <c r="DH706" s="42"/>
      <c r="DI706" s="42"/>
      <c r="DJ706" s="42"/>
      <c r="DK706" s="42"/>
      <c r="DL706" s="42"/>
      <c r="DM706" s="42"/>
      <c r="DN706" s="42"/>
      <c r="DO706" s="42"/>
      <c r="DP706" s="42"/>
      <c r="DQ706" s="42"/>
      <c r="DR706" s="42"/>
      <c r="DS706" s="42"/>
      <c r="DT706" s="42"/>
      <c r="DU706" s="42"/>
      <c r="DV706" s="42"/>
      <c r="DW706" s="42"/>
      <c r="DX706" s="42"/>
      <c r="DY706" s="42"/>
      <c r="DZ706" s="42"/>
      <c r="EA706" s="42"/>
      <c r="EB706" s="42"/>
      <c r="EC706" s="42"/>
      <c r="ED706" s="42"/>
      <c r="EE706" s="42"/>
      <c r="EF706" s="42"/>
      <c r="EG706" s="42"/>
      <c r="EH706" s="42"/>
      <c r="EI706" s="42"/>
      <c r="EJ706" s="42"/>
      <c r="EK706" s="42"/>
      <c r="EL706" s="42"/>
      <c r="EM706" s="42"/>
      <c r="EN706" s="42"/>
      <c r="EO706" s="42"/>
      <c r="EP706" s="42"/>
      <c r="EQ706" s="42"/>
      <c r="ER706" s="42"/>
      <c r="ES706" s="42"/>
      <c r="ET706" s="42"/>
      <c r="EU706" s="42"/>
      <c r="EV706" s="42"/>
      <c r="EW706" s="42"/>
      <c r="EX706" s="42"/>
      <c r="EY706" s="42"/>
      <c r="EZ706" s="42"/>
      <c r="FA706" s="42"/>
      <c r="FB706" s="42"/>
      <c r="FC706" s="42"/>
      <c r="FD706" s="42"/>
      <c r="FE706" s="42"/>
      <c r="FF706" s="42"/>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row>
    <row r="707" spans="1:256" ht="13.8" x14ac:dyDescent="0.3">
      <c r="A707" s="42"/>
      <c r="B707" s="42"/>
      <c r="C707" s="42"/>
      <c r="D707" s="42"/>
      <c r="E707" s="42"/>
      <c r="F707" s="42"/>
      <c r="G707" s="42"/>
      <c r="H707" s="42"/>
      <c r="I707" s="42"/>
      <c r="J707" s="42"/>
      <c r="K707" s="42"/>
      <c r="L707" s="42"/>
      <c r="M707" s="42"/>
      <c r="N707" s="42"/>
      <c r="O707" s="42"/>
      <c r="P707" s="42"/>
      <c r="Q707" s="42"/>
      <c r="R707" s="42"/>
      <c r="S707" s="42"/>
      <c r="T707" s="42"/>
      <c r="U707" s="194"/>
      <c r="V707" s="42"/>
      <c r="W707" s="42"/>
      <c r="X707" s="42"/>
      <c r="Y707" s="42"/>
      <c r="Z707" s="42"/>
      <c r="AA707" s="42"/>
      <c r="AB707" s="195"/>
      <c r="AC707" s="42"/>
      <c r="AD707" s="42"/>
      <c r="AE707" s="195"/>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c r="BM707" s="42"/>
      <c r="BN707" s="42"/>
      <c r="BO707" s="42"/>
      <c r="BP707" s="42"/>
      <c r="BQ707" s="42"/>
      <c r="BR707" s="42"/>
      <c r="BS707" s="42"/>
      <c r="BT707" s="42"/>
      <c r="BU707" s="42"/>
      <c r="BV707" s="42"/>
      <c r="BW707" s="42"/>
      <c r="BX707" s="42"/>
      <c r="BY707" s="42"/>
      <c r="BZ707" s="42"/>
      <c r="CA707" s="42"/>
      <c r="CB707" s="42"/>
      <c r="CC707" s="42"/>
      <c r="CD707" s="42"/>
      <c r="CE707" s="42"/>
      <c r="CF707" s="42"/>
      <c r="CG707" s="42"/>
      <c r="CH707" s="42"/>
      <c r="CI707" s="42"/>
      <c r="CJ707" s="42"/>
      <c r="CK707" s="42"/>
      <c r="CL707" s="42"/>
      <c r="CM707" s="42"/>
      <c r="CN707" s="42"/>
      <c r="CO707" s="42"/>
      <c r="CP707" s="42"/>
      <c r="CQ707" s="42"/>
      <c r="CR707" s="42"/>
      <c r="CS707" s="42"/>
      <c r="CT707" s="42"/>
      <c r="CU707" s="42"/>
      <c r="CV707" s="42"/>
      <c r="CW707" s="42"/>
      <c r="CX707" s="42"/>
      <c r="CY707" s="42"/>
      <c r="CZ707" s="42"/>
      <c r="DA707" s="42"/>
      <c r="DB707" s="42"/>
      <c r="DC707" s="42"/>
      <c r="DD707" s="42"/>
      <c r="DE707" s="42"/>
      <c r="DF707" s="42"/>
      <c r="DG707" s="42"/>
      <c r="DH707" s="42"/>
      <c r="DI707" s="42"/>
      <c r="DJ707" s="42"/>
      <c r="DK707" s="42"/>
      <c r="DL707" s="42"/>
      <c r="DM707" s="42"/>
      <c r="DN707" s="42"/>
      <c r="DO707" s="42"/>
      <c r="DP707" s="42"/>
      <c r="DQ707" s="42"/>
      <c r="DR707" s="42"/>
      <c r="DS707" s="42"/>
      <c r="DT707" s="42"/>
      <c r="DU707" s="42"/>
      <c r="DV707" s="42"/>
      <c r="DW707" s="42"/>
      <c r="DX707" s="42"/>
      <c r="DY707" s="42"/>
      <c r="DZ707" s="42"/>
      <c r="EA707" s="42"/>
      <c r="EB707" s="42"/>
      <c r="EC707" s="42"/>
      <c r="ED707" s="42"/>
      <c r="EE707" s="42"/>
      <c r="EF707" s="42"/>
      <c r="EG707" s="42"/>
      <c r="EH707" s="42"/>
      <c r="EI707" s="42"/>
      <c r="EJ707" s="42"/>
      <c r="EK707" s="42"/>
      <c r="EL707" s="42"/>
      <c r="EM707" s="42"/>
      <c r="EN707" s="42"/>
      <c r="EO707" s="42"/>
      <c r="EP707" s="42"/>
      <c r="EQ707" s="42"/>
      <c r="ER707" s="42"/>
      <c r="ES707" s="42"/>
      <c r="ET707" s="42"/>
      <c r="EU707" s="42"/>
      <c r="EV707" s="42"/>
      <c r="EW707" s="42"/>
      <c r="EX707" s="42"/>
      <c r="EY707" s="42"/>
      <c r="EZ707" s="42"/>
      <c r="FA707" s="42"/>
      <c r="FB707" s="42"/>
      <c r="FC707" s="42"/>
      <c r="FD707" s="42"/>
      <c r="FE707" s="42"/>
      <c r="FF707" s="42"/>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row>
    <row r="708" spans="1:256" ht="13.8" x14ac:dyDescent="0.3">
      <c r="A708" s="42"/>
      <c r="B708" s="42"/>
      <c r="C708" s="42"/>
      <c r="D708" s="42"/>
      <c r="E708" s="42"/>
      <c r="F708" s="42"/>
      <c r="G708" s="42"/>
      <c r="H708" s="42"/>
      <c r="I708" s="42"/>
      <c r="J708" s="42"/>
      <c r="K708" s="42"/>
      <c r="L708" s="42"/>
      <c r="M708" s="42"/>
      <c r="N708" s="42"/>
      <c r="O708" s="42"/>
      <c r="P708" s="42"/>
      <c r="Q708" s="42"/>
      <c r="R708" s="42"/>
      <c r="S708" s="42"/>
      <c r="T708" s="42"/>
      <c r="U708" s="194"/>
      <c r="V708" s="42"/>
      <c r="W708" s="42"/>
      <c r="X708" s="42"/>
      <c r="Y708" s="42"/>
      <c r="Z708" s="42"/>
      <c r="AA708" s="42"/>
      <c r="AB708" s="195"/>
      <c r="AC708" s="42"/>
      <c r="AD708" s="42"/>
      <c r="AE708" s="195"/>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c r="BM708" s="42"/>
      <c r="BN708" s="42"/>
      <c r="BO708" s="42"/>
      <c r="BP708" s="42"/>
      <c r="BQ708" s="42"/>
      <c r="BR708" s="42"/>
      <c r="BS708" s="42"/>
      <c r="BT708" s="42"/>
      <c r="BU708" s="42"/>
      <c r="BV708" s="42"/>
      <c r="BW708" s="42"/>
      <c r="BX708" s="42"/>
      <c r="BY708" s="42"/>
      <c r="BZ708" s="42"/>
      <c r="CA708" s="42"/>
      <c r="CB708" s="42"/>
      <c r="CC708" s="42"/>
      <c r="CD708" s="42"/>
      <c r="CE708" s="42"/>
      <c r="CF708" s="42"/>
      <c r="CG708" s="42"/>
      <c r="CH708" s="42"/>
      <c r="CI708" s="42"/>
      <c r="CJ708" s="42"/>
      <c r="CK708" s="42"/>
      <c r="CL708" s="42"/>
      <c r="CM708" s="42"/>
      <c r="CN708" s="42"/>
      <c r="CO708" s="42"/>
      <c r="CP708" s="42"/>
      <c r="CQ708" s="42"/>
      <c r="CR708" s="42"/>
      <c r="CS708" s="42"/>
      <c r="CT708" s="42"/>
      <c r="CU708" s="42"/>
      <c r="CV708" s="42"/>
      <c r="CW708" s="42"/>
      <c r="CX708" s="42"/>
      <c r="CY708" s="42"/>
      <c r="CZ708" s="42"/>
      <c r="DA708" s="42"/>
      <c r="DB708" s="42"/>
      <c r="DC708" s="42"/>
      <c r="DD708" s="42"/>
      <c r="DE708" s="42"/>
      <c r="DF708" s="42"/>
      <c r="DG708" s="42"/>
      <c r="DH708" s="42"/>
      <c r="DI708" s="42"/>
      <c r="DJ708" s="42"/>
      <c r="DK708" s="42"/>
      <c r="DL708" s="42"/>
      <c r="DM708" s="42"/>
      <c r="DN708" s="42"/>
      <c r="DO708" s="42"/>
      <c r="DP708" s="42"/>
      <c r="DQ708" s="42"/>
      <c r="DR708" s="42"/>
      <c r="DS708" s="42"/>
      <c r="DT708" s="42"/>
      <c r="DU708" s="42"/>
      <c r="DV708" s="42"/>
      <c r="DW708" s="42"/>
      <c r="DX708" s="42"/>
      <c r="DY708" s="42"/>
      <c r="DZ708" s="42"/>
      <c r="EA708" s="42"/>
      <c r="EB708" s="42"/>
      <c r="EC708" s="42"/>
      <c r="ED708" s="42"/>
      <c r="EE708" s="42"/>
      <c r="EF708" s="42"/>
      <c r="EG708" s="42"/>
      <c r="EH708" s="42"/>
      <c r="EI708" s="42"/>
      <c r="EJ708" s="42"/>
      <c r="EK708" s="42"/>
      <c r="EL708" s="42"/>
      <c r="EM708" s="42"/>
      <c r="EN708" s="42"/>
      <c r="EO708" s="42"/>
      <c r="EP708" s="42"/>
      <c r="EQ708" s="42"/>
      <c r="ER708" s="42"/>
      <c r="ES708" s="42"/>
      <c r="ET708" s="42"/>
      <c r="EU708" s="42"/>
      <c r="EV708" s="42"/>
      <c r="EW708" s="42"/>
      <c r="EX708" s="42"/>
      <c r="EY708" s="42"/>
      <c r="EZ708" s="42"/>
      <c r="FA708" s="42"/>
      <c r="FB708" s="42"/>
      <c r="FC708" s="42"/>
      <c r="FD708" s="42"/>
      <c r="FE708" s="42"/>
      <c r="FF708" s="42"/>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row>
    <row r="709" spans="1:256" ht="13.8" x14ac:dyDescent="0.3">
      <c r="A709" s="42"/>
      <c r="B709" s="42"/>
      <c r="C709" s="42"/>
      <c r="D709" s="42"/>
      <c r="E709" s="42"/>
      <c r="F709" s="42"/>
      <c r="G709" s="42"/>
      <c r="H709" s="42"/>
      <c r="I709" s="42"/>
      <c r="J709" s="42"/>
      <c r="K709" s="42"/>
      <c r="L709" s="42"/>
      <c r="M709" s="42"/>
      <c r="N709" s="42"/>
      <c r="O709" s="42"/>
      <c r="P709" s="42"/>
      <c r="Q709" s="42"/>
      <c r="R709" s="42"/>
      <c r="S709" s="42"/>
      <c r="T709" s="42"/>
      <c r="U709" s="194"/>
      <c r="V709" s="42"/>
      <c r="W709" s="42"/>
      <c r="X709" s="42"/>
      <c r="Y709" s="42"/>
      <c r="Z709" s="42"/>
      <c r="AA709" s="42"/>
      <c r="AB709" s="195"/>
      <c r="AC709" s="42"/>
      <c r="AD709" s="42"/>
      <c r="AE709" s="195"/>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c r="BM709" s="42"/>
      <c r="BN709" s="42"/>
      <c r="BO709" s="42"/>
      <c r="BP709" s="42"/>
      <c r="BQ709" s="42"/>
      <c r="BR709" s="42"/>
      <c r="BS709" s="42"/>
      <c r="BT709" s="42"/>
      <c r="BU709" s="42"/>
      <c r="BV709" s="42"/>
      <c r="BW709" s="42"/>
      <c r="BX709" s="42"/>
      <c r="BY709" s="42"/>
      <c r="BZ709" s="42"/>
      <c r="CA709" s="42"/>
      <c r="CB709" s="42"/>
      <c r="CC709" s="42"/>
      <c r="CD709" s="42"/>
      <c r="CE709" s="42"/>
      <c r="CF709" s="42"/>
      <c r="CG709" s="42"/>
      <c r="CH709" s="42"/>
      <c r="CI709" s="42"/>
      <c r="CJ709" s="42"/>
      <c r="CK709" s="42"/>
      <c r="CL709" s="42"/>
      <c r="CM709" s="42"/>
      <c r="CN709" s="42"/>
      <c r="CO709" s="42"/>
      <c r="CP709" s="42"/>
      <c r="CQ709" s="42"/>
      <c r="CR709" s="42"/>
      <c r="CS709" s="42"/>
      <c r="CT709" s="42"/>
      <c r="CU709" s="42"/>
      <c r="CV709" s="42"/>
      <c r="CW709" s="42"/>
      <c r="CX709" s="42"/>
      <c r="CY709" s="42"/>
      <c r="CZ709" s="42"/>
      <c r="DA709" s="42"/>
      <c r="DB709" s="42"/>
      <c r="DC709" s="42"/>
      <c r="DD709" s="42"/>
      <c r="DE709" s="42"/>
      <c r="DF709" s="42"/>
      <c r="DG709" s="42"/>
      <c r="DH709" s="42"/>
      <c r="DI709" s="42"/>
      <c r="DJ709" s="42"/>
      <c r="DK709" s="42"/>
      <c r="DL709" s="42"/>
      <c r="DM709" s="42"/>
      <c r="DN709" s="42"/>
      <c r="DO709" s="42"/>
      <c r="DP709" s="42"/>
      <c r="DQ709" s="42"/>
      <c r="DR709" s="42"/>
      <c r="DS709" s="42"/>
      <c r="DT709" s="42"/>
      <c r="DU709" s="42"/>
      <c r="DV709" s="42"/>
      <c r="DW709" s="42"/>
      <c r="DX709" s="42"/>
      <c r="DY709" s="42"/>
      <c r="DZ709" s="42"/>
      <c r="EA709" s="42"/>
      <c r="EB709" s="42"/>
      <c r="EC709" s="42"/>
      <c r="ED709" s="42"/>
      <c r="EE709" s="42"/>
      <c r="EF709" s="42"/>
      <c r="EG709" s="42"/>
      <c r="EH709" s="42"/>
      <c r="EI709" s="42"/>
      <c r="EJ709" s="42"/>
      <c r="EK709" s="42"/>
      <c r="EL709" s="42"/>
      <c r="EM709" s="42"/>
      <c r="EN709" s="42"/>
      <c r="EO709" s="42"/>
      <c r="EP709" s="42"/>
      <c r="EQ709" s="42"/>
      <c r="ER709" s="42"/>
      <c r="ES709" s="42"/>
      <c r="ET709" s="42"/>
      <c r="EU709" s="42"/>
      <c r="EV709" s="42"/>
      <c r="EW709" s="42"/>
      <c r="EX709" s="42"/>
      <c r="EY709" s="42"/>
      <c r="EZ709" s="42"/>
      <c r="FA709" s="42"/>
      <c r="FB709" s="42"/>
      <c r="FC709" s="42"/>
      <c r="FD709" s="42"/>
      <c r="FE709" s="42"/>
      <c r="FF709" s="42"/>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row>
    <row r="710" spans="1:256" ht="13.8" x14ac:dyDescent="0.3">
      <c r="A710" s="42"/>
      <c r="B710" s="42"/>
      <c r="C710" s="42"/>
      <c r="D710" s="42"/>
      <c r="E710" s="42"/>
      <c r="F710" s="42"/>
      <c r="G710" s="42"/>
      <c r="H710" s="42"/>
      <c r="I710" s="42"/>
      <c r="J710" s="42"/>
      <c r="K710" s="42"/>
      <c r="L710" s="42"/>
      <c r="M710" s="42"/>
      <c r="N710" s="42"/>
      <c r="O710" s="42"/>
      <c r="P710" s="42"/>
      <c r="Q710" s="42"/>
      <c r="R710" s="42"/>
      <c r="S710" s="42"/>
      <c r="T710" s="42"/>
      <c r="U710" s="194"/>
      <c r="V710" s="42"/>
      <c r="W710" s="42"/>
      <c r="X710" s="42"/>
      <c r="Y710" s="42"/>
      <c r="Z710" s="42"/>
      <c r="AA710" s="42"/>
      <c r="AB710" s="195"/>
      <c r="AC710" s="42"/>
      <c r="AD710" s="42"/>
      <c r="AE710" s="195"/>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c r="BM710" s="42"/>
      <c r="BN710" s="42"/>
      <c r="BO710" s="42"/>
      <c r="BP710" s="42"/>
      <c r="BQ710" s="42"/>
      <c r="BR710" s="42"/>
      <c r="BS710" s="42"/>
      <c r="BT710" s="42"/>
      <c r="BU710" s="42"/>
      <c r="BV710" s="42"/>
      <c r="BW710" s="42"/>
      <c r="BX710" s="42"/>
      <c r="BY710" s="42"/>
      <c r="BZ710" s="42"/>
      <c r="CA710" s="42"/>
      <c r="CB710" s="42"/>
      <c r="CC710" s="42"/>
      <c r="CD710" s="42"/>
      <c r="CE710" s="42"/>
      <c r="CF710" s="42"/>
      <c r="CG710" s="42"/>
      <c r="CH710" s="42"/>
      <c r="CI710" s="42"/>
      <c r="CJ710" s="42"/>
      <c r="CK710" s="42"/>
      <c r="CL710" s="42"/>
      <c r="CM710" s="42"/>
      <c r="CN710" s="42"/>
      <c r="CO710" s="42"/>
      <c r="CP710" s="42"/>
      <c r="CQ710" s="42"/>
      <c r="CR710" s="42"/>
      <c r="CS710" s="42"/>
      <c r="CT710" s="42"/>
      <c r="CU710" s="42"/>
      <c r="CV710" s="42"/>
      <c r="CW710" s="42"/>
      <c r="CX710" s="42"/>
      <c r="CY710" s="42"/>
      <c r="CZ710" s="42"/>
      <c r="DA710" s="42"/>
      <c r="DB710" s="42"/>
      <c r="DC710" s="42"/>
      <c r="DD710" s="42"/>
      <c r="DE710" s="42"/>
      <c r="DF710" s="42"/>
      <c r="DG710" s="42"/>
      <c r="DH710" s="42"/>
      <c r="DI710" s="42"/>
      <c r="DJ710" s="42"/>
      <c r="DK710" s="42"/>
      <c r="DL710" s="42"/>
      <c r="DM710" s="42"/>
      <c r="DN710" s="42"/>
      <c r="DO710" s="42"/>
      <c r="DP710" s="42"/>
      <c r="DQ710" s="42"/>
      <c r="DR710" s="42"/>
      <c r="DS710" s="42"/>
      <c r="DT710" s="42"/>
      <c r="DU710" s="42"/>
      <c r="DV710" s="42"/>
      <c r="DW710" s="42"/>
      <c r="DX710" s="42"/>
      <c r="DY710" s="42"/>
      <c r="DZ710" s="42"/>
      <c r="EA710" s="42"/>
      <c r="EB710" s="42"/>
      <c r="EC710" s="42"/>
      <c r="ED710" s="42"/>
      <c r="EE710" s="42"/>
      <c r="EF710" s="42"/>
      <c r="EG710" s="42"/>
      <c r="EH710" s="42"/>
      <c r="EI710" s="42"/>
      <c r="EJ710" s="42"/>
      <c r="EK710" s="42"/>
      <c r="EL710" s="42"/>
      <c r="EM710" s="42"/>
      <c r="EN710" s="42"/>
      <c r="EO710" s="42"/>
      <c r="EP710" s="42"/>
      <c r="EQ710" s="42"/>
      <c r="ER710" s="42"/>
      <c r="ES710" s="42"/>
      <c r="ET710" s="42"/>
      <c r="EU710" s="42"/>
      <c r="EV710" s="42"/>
      <c r="EW710" s="42"/>
      <c r="EX710" s="42"/>
      <c r="EY710" s="42"/>
      <c r="EZ710" s="42"/>
      <c r="FA710" s="42"/>
      <c r="FB710" s="42"/>
      <c r="FC710" s="42"/>
      <c r="FD710" s="42"/>
      <c r="FE710" s="42"/>
      <c r="FF710" s="42"/>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row>
    <row r="711" spans="1:256" ht="13.8" x14ac:dyDescent="0.3">
      <c r="A711" s="42"/>
      <c r="B711" s="42"/>
      <c r="C711" s="42"/>
      <c r="D711" s="42"/>
      <c r="E711" s="42"/>
      <c r="F711" s="42"/>
      <c r="G711" s="42"/>
      <c r="H711" s="42"/>
      <c r="I711" s="42"/>
      <c r="J711" s="42"/>
      <c r="K711" s="42"/>
      <c r="L711" s="42"/>
      <c r="M711" s="42"/>
      <c r="N711" s="42"/>
      <c r="O711" s="42"/>
      <c r="P711" s="42"/>
      <c r="Q711" s="42"/>
      <c r="R711" s="42"/>
      <c r="S711" s="42"/>
      <c r="T711" s="42"/>
      <c r="U711" s="194"/>
      <c r="V711" s="42"/>
      <c r="W711" s="42"/>
      <c r="X711" s="42"/>
      <c r="Y711" s="42"/>
      <c r="Z711" s="42"/>
      <c r="AA711" s="42"/>
      <c r="AB711" s="195"/>
      <c r="AC711" s="42"/>
      <c r="AD711" s="42"/>
      <c r="AE711" s="195"/>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c r="BM711" s="42"/>
      <c r="BN711" s="42"/>
      <c r="BO711" s="42"/>
      <c r="BP711" s="42"/>
      <c r="BQ711" s="42"/>
      <c r="BR711" s="42"/>
      <c r="BS711" s="42"/>
      <c r="BT711" s="42"/>
      <c r="BU711" s="42"/>
      <c r="BV711" s="42"/>
      <c r="BW711" s="42"/>
      <c r="BX711" s="42"/>
      <c r="BY711" s="42"/>
      <c r="BZ711" s="42"/>
      <c r="CA711" s="42"/>
      <c r="CB711" s="42"/>
      <c r="CC711" s="42"/>
      <c r="CD711" s="42"/>
      <c r="CE711" s="42"/>
      <c r="CF711" s="42"/>
      <c r="CG711" s="42"/>
      <c r="CH711" s="42"/>
      <c r="CI711" s="42"/>
      <c r="CJ711" s="42"/>
      <c r="CK711" s="42"/>
      <c r="CL711" s="42"/>
      <c r="CM711" s="42"/>
      <c r="CN711" s="42"/>
      <c r="CO711" s="42"/>
      <c r="CP711" s="42"/>
      <c r="CQ711" s="42"/>
      <c r="CR711" s="42"/>
      <c r="CS711" s="42"/>
      <c r="CT711" s="42"/>
      <c r="CU711" s="42"/>
      <c r="CV711" s="42"/>
      <c r="CW711" s="42"/>
      <c r="CX711" s="42"/>
      <c r="CY711" s="42"/>
      <c r="CZ711" s="42"/>
      <c r="DA711" s="42"/>
      <c r="DB711" s="42"/>
      <c r="DC711" s="42"/>
      <c r="DD711" s="42"/>
      <c r="DE711" s="42"/>
      <c r="DF711" s="42"/>
      <c r="DG711" s="42"/>
      <c r="DH711" s="42"/>
      <c r="DI711" s="42"/>
      <c r="DJ711" s="42"/>
      <c r="DK711" s="42"/>
      <c r="DL711" s="42"/>
      <c r="DM711" s="42"/>
      <c r="DN711" s="42"/>
      <c r="DO711" s="42"/>
      <c r="DP711" s="42"/>
      <c r="DQ711" s="42"/>
      <c r="DR711" s="42"/>
      <c r="DS711" s="42"/>
      <c r="DT711" s="42"/>
      <c r="DU711" s="42"/>
      <c r="DV711" s="42"/>
      <c r="DW711" s="42"/>
      <c r="DX711" s="42"/>
      <c r="DY711" s="42"/>
      <c r="DZ711" s="42"/>
      <c r="EA711" s="42"/>
      <c r="EB711" s="42"/>
      <c r="EC711" s="42"/>
      <c r="ED711" s="42"/>
      <c r="EE711" s="42"/>
      <c r="EF711" s="42"/>
      <c r="EG711" s="42"/>
      <c r="EH711" s="42"/>
      <c r="EI711" s="42"/>
      <c r="EJ711" s="42"/>
      <c r="EK711" s="42"/>
      <c r="EL711" s="42"/>
      <c r="EM711" s="42"/>
      <c r="EN711" s="42"/>
      <c r="EO711" s="42"/>
      <c r="EP711" s="42"/>
      <c r="EQ711" s="42"/>
      <c r="ER711" s="42"/>
      <c r="ES711" s="42"/>
      <c r="ET711" s="42"/>
      <c r="EU711" s="42"/>
      <c r="EV711" s="42"/>
      <c r="EW711" s="42"/>
      <c r="EX711" s="42"/>
      <c r="EY711" s="42"/>
      <c r="EZ711" s="42"/>
      <c r="FA711" s="42"/>
      <c r="FB711" s="42"/>
      <c r="FC711" s="42"/>
      <c r="FD711" s="42"/>
      <c r="FE711" s="42"/>
      <c r="FF711" s="42"/>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row>
    <row r="712" spans="1:256" ht="13.8" x14ac:dyDescent="0.3">
      <c r="A712" s="42"/>
      <c r="B712" s="42"/>
      <c r="C712" s="42"/>
      <c r="D712" s="42"/>
      <c r="E712" s="42"/>
      <c r="F712" s="42"/>
      <c r="G712" s="42"/>
      <c r="H712" s="42"/>
      <c r="I712" s="42"/>
      <c r="J712" s="42"/>
      <c r="K712" s="42"/>
      <c r="L712" s="42"/>
      <c r="M712" s="42"/>
      <c r="N712" s="42"/>
      <c r="O712" s="42"/>
      <c r="P712" s="42"/>
      <c r="Q712" s="42"/>
      <c r="R712" s="42"/>
      <c r="S712" s="42"/>
      <c r="T712" s="42"/>
      <c r="U712" s="194"/>
      <c r="V712" s="42"/>
      <c r="W712" s="42"/>
      <c r="X712" s="42"/>
      <c r="Y712" s="42"/>
      <c r="Z712" s="42"/>
      <c r="AA712" s="42"/>
      <c r="AB712" s="195"/>
      <c r="AC712" s="42"/>
      <c r="AD712" s="42"/>
      <c r="AE712" s="195"/>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c r="BM712" s="42"/>
      <c r="BN712" s="42"/>
      <c r="BO712" s="42"/>
      <c r="BP712" s="42"/>
      <c r="BQ712" s="42"/>
      <c r="BR712" s="42"/>
      <c r="BS712" s="42"/>
      <c r="BT712" s="42"/>
      <c r="BU712" s="42"/>
      <c r="BV712" s="42"/>
      <c r="BW712" s="42"/>
      <c r="BX712" s="42"/>
      <c r="BY712" s="42"/>
      <c r="BZ712" s="42"/>
      <c r="CA712" s="42"/>
      <c r="CB712" s="42"/>
      <c r="CC712" s="42"/>
      <c r="CD712" s="42"/>
      <c r="CE712" s="42"/>
      <c r="CF712" s="42"/>
      <c r="CG712" s="42"/>
      <c r="CH712" s="42"/>
      <c r="CI712" s="42"/>
      <c r="CJ712" s="42"/>
      <c r="CK712" s="42"/>
      <c r="CL712" s="42"/>
      <c r="CM712" s="42"/>
      <c r="CN712" s="42"/>
      <c r="CO712" s="42"/>
      <c r="CP712" s="42"/>
      <c r="CQ712" s="42"/>
      <c r="CR712" s="42"/>
      <c r="CS712" s="42"/>
      <c r="CT712" s="42"/>
      <c r="CU712" s="42"/>
      <c r="CV712" s="42"/>
      <c r="CW712" s="42"/>
      <c r="CX712" s="42"/>
      <c r="CY712" s="42"/>
      <c r="CZ712" s="42"/>
      <c r="DA712" s="42"/>
      <c r="DB712" s="42"/>
      <c r="DC712" s="42"/>
      <c r="DD712" s="42"/>
      <c r="DE712" s="42"/>
      <c r="DF712" s="42"/>
      <c r="DG712" s="42"/>
      <c r="DH712" s="42"/>
      <c r="DI712" s="42"/>
      <c r="DJ712" s="42"/>
      <c r="DK712" s="42"/>
      <c r="DL712" s="42"/>
      <c r="DM712" s="42"/>
      <c r="DN712" s="42"/>
      <c r="DO712" s="42"/>
      <c r="DP712" s="42"/>
      <c r="DQ712" s="42"/>
      <c r="DR712" s="42"/>
      <c r="DS712" s="42"/>
      <c r="DT712" s="42"/>
      <c r="DU712" s="42"/>
      <c r="DV712" s="42"/>
      <c r="DW712" s="42"/>
      <c r="DX712" s="42"/>
      <c r="DY712" s="42"/>
      <c r="DZ712" s="42"/>
      <c r="EA712" s="42"/>
      <c r="EB712" s="42"/>
      <c r="EC712" s="42"/>
      <c r="ED712" s="42"/>
      <c r="EE712" s="42"/>
      <c r="EF712" s="42"/>
      <c r="EG712" s="42"/>
      <c r="EH712" s="42"/>
      <c r="EI712" s="42"/>
      <c r="EJ712" s="42"/>
      <c r="EK712" s="42"/>
      <c r="EL712" s="42"/>
      <c r="EM712" s="42"/>
      <c r="EN712" s="42"/>
      <c r="EO712" s="42"/>
      <c r="EP712" s="42"/>
      <c r="EQ712" s="42"/>
      <c r="ER712" s="42"/>
      <c r="ES712" s="42"/>
      <c r="ET712" s="42"/>
      <c r="EU712" s="42"/>
      <c r="EV712" s="42"/>
      <c r="EW712" s="42"/>
      <c r="EX712" s="42"/>
      <c r="EY712" s="42"/>
      <c r="EZ712" s="42"/>
      <c r="FA712" s="42"/>
      <c r="FB712" s="42"/>
      <c r="FC712" s="42"/>
      <c r="FD712" s="42"/>
      <c r="FE712" s="42"/>
      <c r="FF712" s="42"/>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row>
    <row r="713" spans="1:256" ht="13.8" x14ac:dyDescent="0.3">
      <c r="A713" s="42"/>
      <c r="B713" s="42"/>
      <c r="C713" s="42"/>
      <c r="D713" s="42"/>
      <c r="E713" s="42"/>
      <c r="F713" s="42"/>
      <c r="G713" s="42"/>
      <c r="H713" s="42"/>
      <c r="I713" s="42"/>
      <c r="J713" s="42"/>
      <c r="K713" s="42"/>
      <c r="L713" s="42"/>
      <c r="M713" s="42"/>
      <c r="N713" s="42"/>
      <c r="O713" s="42"/>
      <c r="P713" s="42"/>
      <c r="Q713" s="42"/>
      <c r="R713" s="42"/>
      <c r="S713" s="42"/>
      <c r="T713" s="42"/>
      <c r="U713" s="194"/>
      <c r="V713" s="42"/>
      <c r="W713" s="42"/>
      <c r="X713" s="42"/>
      <c r="Y713" s="42"/>
      <c r="Z713" s="42"/>
      <c r="AA713" s="42"/>
      <c r="AB713" s="195"/>
      <c r="AC713" s="42"/>
      <c r="AD713" s="42"/>
      <c r="AE713" s="195"/>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c r="BM713" s="42"/>
      <c r="BN713" s="42"/>
      <c r="BO713" s="42"/>
      <c r="BP713" s="42"/>
      <c r="BQ713" s="42"/>
      <c r="BR713" s="42"/>
      <c r="BS713" s="42"/>
      <c r="BT713" s="42"/>
      <c r="BU713" s="42"/>
      <c r="BV713" s="42"/>
      <c r="BW713" s="42"/>
      <c r="BX713" s="42"/>
      <c r="BY713" s="42"/>
      <c r="BZ713" s="42"/>
      <c r="CA713" s="42"/>
      <c r="CB713" s="42"/>
      <c r="CC713" s="42"/>
      <c r="CD713" s="42"/>
      <c r="CE713" s="42"/>
      <c r="CF713" s="42"/>
      <c r="CG713" s="42"/>
      <c r="CH713" s="42"/>
      <c r="CI713" s="42"/>
      <c r="CJ713" s="42"/>
      <c r="CK713" s="42"/>
      <c r="CL713" s="42"/>
      <c r="CM713" s="42"/>
      <c r="CN713" s="42"/>
      <c r="CO713" s="42"/>
      <c r="CP713" s="42"/>
      <c r="CQ713" s="42"/>
      <c r="CR713" s="42"/>
      <c r="CS713" s="42"/>
      <c r="CT713" s="42"/>
      <c r="CU713" s="42"/>
      <c r="CV713" s="42"/>
      <c r="CW713" s="42"/>
      <c r="CX713" s="42"/>
      <c r="CY713" s="42"/>
      <c r="CZ713" s="42"/>
      <c r="DA713" s="42"/>
      <c r="DB713" s="42"/>
      <c r="DC713" s="42"/>
      <c r="DD713" s="42"/>
      <c r="DE713" s="42"/>
      <c r="DF713" s="42"/>
      <c r="DG713" s="42"/>
      <c r="DH713" s="42"/>
      <c r="DI713" s="42"/>
      <c r="DJ713" s="42"/>
      <c r="DK713" s="42"/>
      <c r="DL713" s="42"/>
      <c r="DM713" s="42"/>
      <c r="DN713" s="42"/>
      <c r="DO713" s="42"/>
      <c r="DP713" s="42"/>
      <c r="DQ713" s="42"/>
      <c r="DR713" s="42"/>
      <c r="DS713" s="42"/>
      <c r="DT713" s="42"/>
      <c r="DU713" s="42"/>
      <c r="DV713" s="42"/>
      <c r="DW713" s="42"/>
      <c r="DX713" s="42"/>
      <c r="DY713" s="42"/>
      <c r="DZ713" s="42"/>
      <c r="EA713" s="42"/>
      <c r="EB713" s="42"/>
      <c r="EC713" s="42"/>
      <c r="ED713" s="42"/>
      <c r="EE713" s="42"/>
      <c r="EF713" s="42"/>
      <c r="EG713" s="42"/>
      <c r="EH713" s="42"/>
      <c r="EI713" s="42"/>
      <c r="EJ713" s="42"/>
      <c r="EK713" s="42"/>
      <c r="EL713" s="42"/>
      <c r="EM713" s="42"/>
      <c r="EN713" s="42"/>
      <c r="EO713" s="42"/>
      <c r="EP713" s="42"/>
      <c r="EQ713" s="42"/>
      <c r="ER713" s="42"/>
      <c r="ES713" s="42"/>
      <c r="ET713" s="42"/>
      <c r="EU713" s="42"/>
      <c r="EV713" s="42"/>
      <c r="EW713" s="42"/>
      <c r="EX713" s="42"/>
      <c r="EY713" s="42"/>
      <c r="EZ713" s="42"/>
      <c r="FA713" s="42"/>
      <c r="FB713" s="42"/>
      <c r="FC713" s="42"/>
      <c r="FD713" s="42"/>
      <c r="FE713" s="42"/>
      <c r="FF713" s="42"/>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row>
    <row r="714" spans="1:256" ht="13.8" x14ac:dyDescent="0.3">
      <c r="A714" s="42"/>
      <c r="B714" s="42"/>
      <c r="C714" s="42"/>
      <c r="D714" s="42"/>
      <c r="E714" s="42"/>
      <c r="F714" s="42"/>
      <c r="G714" s="42"/>
      <c r="H714" s="42"/>
      <c r="I714" s="42"/>
      <c r="J714" s="42"/>
      <c r="K714" s="42"/>
      <c r="L714" s="42"/>
      <c r="M714" s="42"/>
      <c r="N714" s="42"/>
      <c r="O714" s="42"/>
      <c r="P714" s="42"/>
      <c r="Q714" s="42"/>
      <c r="R714" s="42"/>
      <c r="S714" s="42"/>
      <c r="T714" s="42"/>
      <c r="U714" s="194"/>
      <c r="V714" s="42"/>
      <c r="W714" s="42"/>
      <c r="X714" s="42"/>
      <c r="Y714" s="42"/>
      <c r="Z714" s="42"/>
      <c r="AA714" s="42"/>
      <c r="AB714" s="195"/>
      <c r="AC714" s="42"/>
      <c r="AD714" s="42"/>
      <c r="AE714" s="195"/>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c r="BM714" s="42"/>
      <c r="BN714" s="42"/>
      <c r="BO714" s="42"/>
      <c r="BP714" s="42"/>
      <c r="BQ714" s="42"/>
      <c r="BR714" s="42"/>
      <c r="BS714" s="42"/>
      <c r="BT714" s="42"/>
      <c r="BU714" s="42"/>
      <c r="BV714" s="42"/>
      <c r="BW714" s="42"/>
      <c r="BX714" s="42"/>
      <c r="BY714" s="42"/>
      <c r="BZ714" s="42"/>
      <c r="CA714" s="42"/>
      <c r="CB714" s="42"/>
      <c r="CC714" s="42"/>
      <c r="CD714" s="42"/>
      <c r="CE714" s="42"/>
      <c r="CF714" s="42"/>
      <c r="CG714" s="42"/>
      <c r="CH714" s="42"/>
      <c r="CI714" s="42"/>
      <c r="CJ714" s="42"/>
      <c r="CK714" s="42"/>
      <c r="CL714" s="42"/>
      <c r="CM714" s="42"/>
      <c r="CN714" s="42"/>
      <c r="CO714" s="42"/>
      <c r="CP714" s="42"/>
      <c r="CQ714" s="42"/>
      <c r="CR714" s="42"/>
      <c r="CS714" s="42"/>
      <c r="CT714" s="42"/>
      <c r="CU714" s="42"/>
      <c r="CV714" s="42"/>
      <c r="CW714" s="42"/>
      <c r="CX714" s="42"/>
      <c r="CY714" s="42"/>
      <c r="CZ714" s="42"/>
      <c r="DA714" s="42"/>
      <c r="DB714" s="42"/>
      <c r="DC714" s="42"/>
      <c r="DD714" s="42"/>
      <c r="DE714" s="42"/>
      <c r="DF714" s="42"/>
      <c r="DG714" s="42"/>
      <c r="DH714" s="42"/>
      <c r="DI714" s="42"/>
      <c r="DJ714" s="42"/>
      <c r="DK714" s="42"/>
      <c r="DL714" s="42"/>
      <c r="DM714" s="42"/>
      <c r="DN714" s="42"/>
      <c r="DO714" s="42"/>
      <c r="DP714" s="42"/>
      <c r="DQ714" s="42"/>
      <c r="DR714" s="42"/>
      <c r="DS714" s="42"/>
      <c r="DT714" s="42"/>
      <c r="DU714" s="42"/>
      <c r="DV714" s="42"/>
      <c r="DW714" s="42"/>
      <c r="DX714" s="42"/>
      <c r="DY714" s="42"/>
      <c r="DZ714" s="42"/>
      <c r="EA714" s="42"/>
      <c r="EB714" s="42"/>
      <c r="EC714" s="42"/>
      <c r="ED714" s="42"/>
      <c r="EE714" s="42"/>
      <c r="EF714" s="42"/>
      <c r="EG714" s="42"/>
      <c r="EH714" s="42"/>
      <c r="EI714" s="42"/>
      <c r="EJ714" s="42"/>
      <c r="EK714" s="42"/>
      <c r="EL714" s="42"/>
      <c r="EM714" s="42"/>
      <c r="EN714" s="42"/>
      <c r="EO714" s="42"/>
      <c r="EP714" s="42"/>
      <c r="EQ714" s="42"/>
      <c r="ER714" s="42"/>
      <c r="ES714" s="42"/>
      <c r="ET714" s="42"/>
      <c r="EU714" s="42"/>
      <c r="EV714" s="42"/>
      <c r="EW714" s="42"/>
      <c r="EX714" s="42"/>
      <c r="EY714" s="42"/>
      <c r="EZ714" s="42"/>
      <c r="FA714" s="42"/>
      <c r="FB714" s="42"/>
      <c r="FC714" s="42"/>
      <c r="FD714" s="42"/>
      <c r="FE714" s="42"/>
      <c r="FF714" s="42"/>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row>
    <row r="715" spans="1:256" ht="13.8" x14ac:dyDescent="0.3">
      <c r="A715" s="42"/>
      <c r="B715" s="42"/>
      <c r="C715" s="42"/>
      <c r="D715" s="42"/>
      <c r="E715" s="42"/>
      <c r="F715" s="42"/>
      <c r="G715" s="42"/>
      <c r="H715" s="42"/>
      <c r="I715" s="42"/>
      <c r="J715" s="42"/>
      <c r="K715" s="42"/>
      <c r="L715" s="42"/>
      <c r="M715" s="42"/>
      <c r="N715" s="42"/>
      <c r="O715" s="42"/>
      <c r="P715" s="42"/>
      <c r="Q715" s="42"/>
      <c r="R715" s="42"/>
      <c r="S715" s="42"/>
      <c r="T715" s="42"/>
      <c r="U715" s="194"/>
      <c r="V715" s="42"/>
      <c r="W715" s="42"/>
      <c r="X715" s="42"/>
      <c r="Y715" s="42"/>
      <c r="Z715" s="42"/>
      <c r="AA715" s="42"/>
      <c r="AB715" s="195"/>
      <c r="AC715" s="42"/>
      <c r="AD715" s="42"/>
      <c r="AE715" s="195"/>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c r="BM715" s="42"/>
      <c r="BN715" s="42"/>
      <c r="BO715" s="42"/>
      <c r="BP715" s="42"/>
      <c r="BQ715" s="42"/>
      <c r="BR715" s="42"/>
      <c r="BS715" s="42"/>
      <c r="BT715" s="42"/>
      <c r="BU715" s="42"/>
      <c r="BV715" s="42"/>
      <c r="BW715" s="42"/>
      <c r="BX715" s="42"/>
      <c r="BY715" s="42"/>
      <c r="BZ715" s="42"/>
      <c r="CA715" s="42"/>
      <c r="CB715" s="42"/>
      <c r="CC715" s="42"/>
      <c r="CD715" s="42"/>
      <c r="CE715" s="42"/>
      <c r="CF715" s="42"/>
      <c r="CG715" s="42"/>
      <c r="CH715" s="42"/>
      <c r="CI715" s="42"/>
      <c r="CJ715" s="42"/>
      <c r="CK715" s="42"/>
      <c r="CL715" s="42"/>
      <c r="CM715" s="42"/>
      <c r="CN715" s="42"/>
      <c r="CO715" s="42"/>
      <c r="CP715" s="42"/>
      <c r="CQ715" s="42"/>
      <c r="CR715" s="42"/>
      <c r="CS715" s="42"/>
      <c r="CT715" s="42"/>
      <c r="CU715" s="42"/>
      <c r="CV715" s="42"/>
      <c r="CW715" s="42"/>
      <c r="CX715" s="42"/>
      <c r="CY715" s="42"/>
      <c r="CZ715" s="42"/>
      <c r="DA715" s="42"/>
      <c r="DB715" s="42"/>
      <c r="DC715" s="42"/>
      <c r="DD715" s="42"/>
      <c r="DE715" s="42"/>
      <c r="DF715" s="42"/>
      <c r="DG715" s="42"/>
      <c r="DH715" s="42"/>
      <c r="DI715" s="42"/>
      <c r="DJ715" s="42"/>
      <c r="DK715" s="42"/>
      <c r="DL715" s="42"/>
      <c r="DM715" s="42"/>
      <c r="DN715" s="42"/>
      <c r="DO715" s="42"/>
      <c r="DP715" s="42"/>
      <c r="DQ715" s="42"/>
      <c r="DR715" s="42"/>
      <c r="DS715" s="42"/>
      <c r="DT715" s="42"/>
      <c r="DU715" s="42"/>
      <c r="DV715" s="42"/>
      <c r="DW715" s="42"/>
      <c r="DX715" s="42"/>
      <c r="DY715" s="42"/>
      <c r="DZ715" s="42"/>
      <c r="EA715" s="42"/>
      <c r="EB715" s="42"/>
      <c r="EC715" s="42"/>
      <c r="ED715" s="42"/>
      <c r="EE715" s="42"/>
      <c r="EF715" s="42"/>
      <c r="EG715" s="42"/>
      <c r="EH715" s="42"/>
      <c r="EI715" s="42"/>
      <c r="EJ715" s="42"/>
      <c r="EK715" s="42"/>
      <c r="EL715" s="42"/>
      <c r="EM715" s="42"/>
      <c r="EN715" s="42"/>
      <c r="EO715" s="42"/>
      <c r="EP715" s="42"/>
      <c r="EQ715" s="42"/>
      <c r="ER715" s="42"/>
      <c r="ES715" s="42"/>
      <c r="ET715" s="42"/>
      <c r="EU715" s="42"/>
      <c r="EV715" s="42"/>
      <c r="EW715" s="42"/>
      <c r="EX715" s="42"/>
      <c r="EY715" s="42"/>
      <c r="EZ715" s="42"/>
      <c r="FA715" s="42"/>
      <c r="FB715" s="42"/>
      <c r="FC715" s="42"/>
      <c r="FD715" s="42"/>
      <c r="FE715" s="42"/>
      <c r="FF715" s="42"/>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row>
    <row r="716" spans="1:256" ht="13.8" x14ac:dyDescent="0.3">
      <c r="A716" s="42"/>
      <c r="B716" s="42"/>
      <c r="C716" s="42"/>
      <c r="D716" s="42"/>
      <c r="E716" s="42"/>
      <c r="F716" s="42"/>
      <c r="G716" s="42"/>
      <c r="H716" s="42"/>
      <c r="I716" s="42"/>
      <c r="J716" s="42"/>
      <c r="K716" s="42"/>
      <c r="L716" s="42"/>
      <c r="M716" s="42"/>
      <c r="N716" s="42"/>
      <c r="O716" s="42"/>
      <c r="P716" s="42"/>
      <c r="Q716" s="42"/>
      <c r="R716" s="42"/>
      <c r="S716" s="42"/>
      <c r="T716" s="42"/>
      <c r="U716" s="194"/>
      <c r="V716" s="42"/>
      <c r="W716" s="42"/>
      <c r="X716" s="42"/>
      <c r="Y716" s="42"/>
      <c r="Z716" s="42"/>
      <c r="AA716" s="42"/>
      <c r="AB716" s="195"/>
      <c r="AC716" s="42"/>
      <c r="AD716" s="42"/>
      <c r="AE716" s="195"/>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c r="BM716" s="42"/>
      <c r="BN716" s="42"/>
      <c r="BO716" s="42"/>
      <c r="BP716" s="42"/>
      <c r="BQ716" s="42"/>
      <c r="BR716" s="42"/>
      <c r="BS716" s="42"/>
      <c r="BT716" s="42"/>
      <c r="BU716" s="42"/>
      <c r="BV716" s="42"/>
      <c r="BW716" s="42"/>
      <c r="BX716" s="42"/>
      <c r="BY716" s="42"/>
      <c r="BZ716" s="42"/>
      <c r="CA716" s="42"/>
      <c r="CB716" s="42"/>
      <c r="CC716" s="42"/>
      <c r="CD716" s="42"/>
      <c r="CE716" s="42"/>
      <c r="CF716" s="42"/>
      <c r="CG716" s="42"/>
      <c r="CH716" s="42"/>
      <c r="CI716" s="42"/>
      <c r="CJ716" s="42"/>
      <c r="CK716" s="42"/>
      <c r="CL716" s="42"/>
      <c r="CM716" s="42"/>
      <c r="CN716" s="42"/>
      <c r="CO716" s="42"/>
      <c r="CP716" s="42"/>
      <c r="CQ716" s="42"/>
      <c r="CR716" s="42"/>
      <c r="CS716" s="42"/>
      <c r="CT716" s="42"/>
      <c r="CU716" s="42"/>
      <c r="CV716" s="42"/>
      <c r="CW716" s="42"/>
      <c r="CX716" s="42"/>
      <c r="CY716" s="42"/>
      <c r="CZ716" s="42"/>
      <c r="DA716" s="42"/>
      <c r="DB716" s="42"/>
      <c r="DC716" s="42"/>
      <c r="DD716" s="42"/>
      <c r="DE716" s="42"/>
      <c r="DF716" s="42"/>
      <c r="DG716" s="42"/>
      <c r="DH716" s="42"/>
      <c r="DI716" s="42"/>
      <c r="DJ716" s="42"/>
      <c r="DK716" s="42"/>
      <c r="DL716" s="42"/>
      <c r="DM716" s="42"/>
      <c r="DN716" s="42"/>
      <c r="DO716" s="42"/>
      <c r="DP716" s="42"/>
      <c r="DQ716" s="42"/>
      <c r="DR716" s="42"/>
      <c r="DS716" s="42"/>
      <c r="DT716" s="42"/>
      <c r="DU716" s="42"/>
      <c r="DV716" s="42"/>
      <c r="DW716" s="42"/>
      <c r="DX716" s="42"/>
      <c r="DY716" s="42"/>
      <c r="DZ716" s="42"/>
      <c r="EA716" s="42"/>
      <c r="EB716" s="42"/>
      <c r="EC716" s="42"/>
      <c r="ED716" s="42"/>
      <c r="EE716" s="42"/>
      <c r="EF716" s="42"/>
      <c r="EG716" s="42"/>
      <c r="EH716" s="42"/>
      <c r="EI716" s="42"/>
      <c r="EJ716" s="42"/>
      <c r="EK716" s="42"/>
      <c r="EL716" s="42"/>
      <c r="EM716" s="42"/>
      <c r="EN716" s="42"/>
      <c r="EO716" s="42"/>
      <c r="EP716" s="42"/>
      <c r="EQ716" s="42"/>
      <c r="ER716" s="42"/>
      <c r="ES716" s="42"/>
      <c r="ET716" s="42"/>
      <c r="EU716" s="42"/>
      <c r="EV716" s="42"/>
      <c r="EW716" s="42"/>
      <c r="EX716" s="42"/>
      <c r="EY716" s="42"/>
      <c r="EZ716" s="42"/>
      <c r="FA716" s="42"/>
      <c r="FB716" s="42"/>
      <c r="FC716" s="42"/>
      <c r="FD716" s="42"/>
      <c r="FE716" s="42"/>
      <c r="FF716" s="42"/>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row>
    <row r="717" spans="1:256" ht="13.8" x14ac:dyDescent="0.3">
      <c r="A717" s="42"/>
      <c r="B717" s="42"/>
      <c r="C717" s="42"/>
      <c r="D717" s="42"/>
      <c r="E717" s="42"/>
      <c r="F717" s="42"/>
      <c r="G717" s="42"/>
      <c r="H717" s="42"/>
      <c r="I717" s="42"/>
      <c r="J717" s="42"/>
      <c r="K717" s="42"/>
      <c r="L717" s="42"/>
      <c r="M717" s="42"/>
      <c r="N717" s="42"/>
      <c r="O717" s="42"/>
      <c r="P717" s="42"/>
      <c r="Q717" s="42"/>
      <c r="R717" s="42"/>
      <c r="S717" s="42"/>
      <c r="T717" s="42"/>
      <c r="U717" s="194"/>
      <c r="V717" s="42"/>
      <c r="W717" s="42"/>
      <c r="X717" s="42"/>
      <c r="Y717" s="42"/>
      <c r="Z717" s="42"/>
      <c r="AA717" s="42"/>
      <c r="AB717" s="195"/>
      <c r="AC717" s="42"/>
      <c r="AD717" s="42"/>
      <c r="AE717" s="195"/>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c r="BM717" s="42"/>
      <c r="BN717" s="42"/>
      <c r="BO717" s="42"/>
      <c r="BP717" s="42"/>
      <c r="BQ717" s="42"/>
      <c r="BR717" s="42"/>
      <c r="BS717" s="42"/>
      <c r="BT717" s="42"/>
      <c r="BU717" s="42"/>
      <c r="BV717" s="42"/>
      <c r="BW717" s="42"/>
      <c r="BX717" s="42"/>
      <c r="BY717" s="42"/>
      <c r="BZ717" s="42"/>
      <c r="CA717" s="42"/>
      <c r="CB717" s="42"/>
      <c r="CC717" s="42"/>
      <c r="CD717" s="42"/>
      <c r="CE717" s="42"/>
      <c r="CF717" s="42"/>
      <c r="CG717" s="42"/>
      <c r="CH717" s="42"/>
      <c r="CI717" s="42"/>
      <c r="CJ717" s="42"/>
      <c r="CK717" s="42"/>
      <c r="CL717" s="42"/>
      <c r="CM717" s="42"/>
      <c r="CN717" s="42"/>
      <c r="CO717" s="42"/>
      <c r="CP717" s="42"/>
      <c r="CQ717" s="42"/>
      <c r="CR717" s="42"/>
      <c r="CS717" s="42"/>
      <c r="CT717" s="42"/>
      <c r="CU717" s="42"/>
      <c r="CV717" s="42"/>
      <c r="CW717" s="42"/>
      <c r="CX717" s="42"/>
      <c r="CY717" s="42"/>
      <c r="CZ717" s="42"/>
      <c r="DA717" s="42"/>
      <c r="DB717" s="42"/>
      <c r="DC717" s="42"/>
      <c r="DD717" s="42"/>
      <c r="DE717" s="42"/>
      <c r="DF717" s="42"/>
      <c r="DG717" s="42"/>
      <c r="DH717" s="42"/>
      <c r="DI717" s="42"/>
      <c r="DJ717" s="42"/>
      <c r="DK717" s="42"/>
      <c r="DL717" s="42"/>
      <c r="DM717" s="42"/>
      <c r="DN717" s="42"/>
      <c r="DO717" s="42"/>
      <c r="DP717" s="42"/>
      <c r="DQ717" s="42"/>
      <c r="DR717" s="42"/>
      <c r="DS717" s="42"/>
      <c r="DT717" s="42"/>
      <c r="DU717" s="42"/>
      <c r="DV717" s="42"/>
      <c r="DW717" s="42"/>
      <c r="DX717" s="42"/>
      <c r="DY717" s="42"/>
      <c r="DZ717" s="42"/>
      <c r="EA717" s="42"/>
      <c r="EB717" s="42"/>
      <c r="EC717" s="42"/>
      <c r="ED717" s="42"/>
      <c r="EE717" s="42"/>
      <c r="EF717" s="42"/>
      <c r="EG717" s="42"/>
      <c r="EH717" s="42"/>
      <c r="EI717" s="42"/>
      <c r="EJ717" s="42"/>
      <c r="EK717" s="42"/>
      <c r="EL717" s="42"/>
      <c r="EM717" s="42"/>
      <c r="EN717" s="42"/>
      <c r="EO717" s="42"/>
      <c r="EP717" s="42"/>
      <c r="EQ717" s="42"/>
      <c r="ER717" s="42"/>
      <c r="ES717" s="42"/>
      <c r="ET717" s="42"/>
      <c r="EU717" s="42"/>
      <c r="EV717" s="42"/>
      <c r="EW717" s="42"/>
      <c r="EX717" s="42"/>
      <c r="EY717" s="42"/>
      <c r="EZ717" s="42"/>
      <c r="FA717" s="42"/>
      <c r="FB717" s="42"/>
      <c r="FC717" s="42"/>
      <c r="FD717" s="42"/>
      <c r="FE717" s="42"/>
      <c r="FF717" s="42"/>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row>
    <row r="718" spans="1:256" ht="13.8" x14ac:dyDescent="0.3">
      <c r="A718" s="42"/>
      <c r="B718" s="42"/>
      <c r="C718" s="42"/>
      <c r="D718" s="42"/>
      <c r="E718" s="42"/>
      <c r="F718" s="42"/>
      <c r="G718" s="42"/>
      <c r="H718" s="42"/>
      <c r="I718" s="42"/>
      <c r="J718" s="42"/>
      <c r="K718" s="42"/>
      <c r="L718" s="42"/>
      <c r="M718" s="42"/>
      <c r="N718" s="42"/>
      <c r="O718" s="42"/>
      <c r="P718" s="42"/>
      <c r="Q718" s="42"/>
      <c r="R718" s="42"/>
      <c r="S718" s="42"/>
      <c r="T718" s="42"/>
      <c r="U718" s="194"/>
      <c r="V718" s="42"/>
      <c r="W718" s="42"/>
      <c r="X718" s="42"/>
      <c r="Y718" s="42"/>
      <c r="Z718" s="42"/>
      <c r="AA718" s="42"/>
      <c r="AB718" s="195"/>
      <c r="AC718" s="42"/>
      <c r="AD718" s="42"/>
      <c r="AE718" s="195"/>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c r="BM718" s="42"/>
      <c r="BN718" s="42"/>
      <c r="BO718" s="42"/>
      <c r="BP718" s="42"/>
      <c r="BQ718" s="42"/>
      <c r="BR718" s="42"/>
      <c r="BS718" s="42"/>
      <c r="BT718" s="42"/>
      <c r="BU718" s="42"/>
      <c r="BV718" s="42"/>
      <c r="BW718" s="42"/>
      <c r="BX718" s="42"/>
      <c r="BY718" s="42"/>
      <c r="BZ718" s="42"/>
      <c r="CA718" s="42"/>
      <c r="CB718" s="42"/>
      <c r="CC718" s="42"/>
      <c r="CD718" s="42"/>
      <c r="CE718" s="42"/>
      <c r="CF718" s="42"/>
      <c r="CG718" s="42"/>
      <c r="CH718" s="42"/>
      <c r="CI718" s="42"/>
      <c r="CJ718" s="42"/>
      <c r="CK718" s="42"/>
      <c r="CL718" s="42"/>
      <c r="CM718" s="42"/>
      <c r="CN718" s="42"/>
      <c r="CO718" s="42"/>
      <c r="CP718" s="42"/>
      <c r="CQ718" s="42"/>
      <c r="CR718" s="42"/>
      <c r="CS718" s="42"/>
      <c r="CT718" s="42"/>
      <c r="CU718" s="42"/>
      <c r="CV718" s="42"/>
      <c r="CW718" s="42"/>
      <c r="CX718" s="42"/>
      <c r="CY718" s="42"/>
      <c r="CZ718" s="42"/>
      <c r="DA718" s="42"/>
      <c r="DB718" s="42"/>
      <c r="DC718" s="42"/>
      <c r="DD718" s="42"/>
      <c r="DE718" s="42"/>
      <c r="DF718" s="42"/>
      <c r="DG718" s="42"/>
      <c r="DH718" s="42"/>
      <c r="DI718" s="42"/>
      <c r="DJ718" s="42"/>
      <c r="DK718" s="42"/>
      <c r="DL718" s="42"/>
      <c r="DM718" s="42"/>
      <c r="DN718" s="42"/>
      <c r="DO718" s="42"/>
      <c r="DP718" s="42"/>
      <c r="DQ718" s="42"/>
      <c r="DR718" s="42"/>
      <c r="DS718" s="42"/>
      <c r="DT718" s="42"/>
      <c r="DU718" s="42"/>
      <c r="DV718" s="42"/>
      <c r="DW718" s="42"/>
      <c r="DX718" s="42"/>
      <c r="DY718" s="42"/>
      <c r="DZ718" s="42"/>
      <c r="EA718" s="42"/>
      <c r="EB718" s="42"/>
      <c r="EC718" s="42"/>
      <c r="ED718" s="42"/>
      <c r="EE718" s="42"/>
      <c r="EF718" s="42"/>
      <c r="EG718" s="42"/>
      <c r="EH718" s="42"/>
      <c r="EI718" s="42"/>
      <c r="EJ718" s="42"/>
      <c r="EK718" s="42"/>
      <c r="EL718" s="42"/>
      <c r="EM718" s="42"/>
      <c r="EN718" s="42"/>
      <c r="EO718" s="42"/>
      <c r="EP718" s="42"/>
      <c r="EQ718" s="42"/>
      <c r="ER718" s="42"/>
      <c r="ES718" s="42"/>
      <c r="ET718" s="42"/>
      <c r="EU718" s="42"/>
      <c r="EV718" s="42"/>
      <c r="EW718" s="42"/>
      <c r="EX718" s="42"/>
      <c r="EY718" s="42"/>
      <c r="EZ718" s="42"/>
      <c r="FA718" s="42"/>
      <c r="FB718" s="42"/>
      <c r="FC718" s="42"/>
      <c r="FD718" s="42"/>
      <c r="FE718" s="42"/>
      <c r="FF718" s="42"/>
      <c r="FG718" s="42"/>
      <c r="FH718" s="42"/>
      <c r="FI718" s="42"/>
      <c r="FJ718" s="42"/>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row>
    <row r="719" spans="1:256" ht="13.8" x14ac:dyDescent="0.3">
      <c r="A719" s="42"/>
      <c r="B719" s="42"/>
      <c r="C719" s="42"/>
      <c r="D719" s="42"/>
      <c r="E719" s="42"/>
      <c r="F719" s="42"/>
      <c r="G719" s="42"/>
      <c r="H719" s="42"/>
      <c r="I719" s="42"/>
      <c r="J719" s="42"/>
      <c r="K719" s="42"/>
      <c r="L719" s="42"/>
      <c r="M719" s="42"/>
      <c r="N719" s="42"/>
      <c r="O719" s="42"/>
      <c r="P719" s="42"/>
      <c r="Q719" s="42"/>
      <c r="R719" s="42"/>
      <c r="S719" s="42"/>
      <c r="T719" s="42"/>
      <c r="U719" s="194"/>
      <c r="V719" s="42"/>
      <c r="W719" s="42"/>
      <c r="X719" s="42"/>
      <c r="Y719" s="42"/>
      <c r="Z719" s="42"/>
      <c r="AA719" s="42"/>
      <c r="AB719" s="195"/>
      <c r="AC719" s="42"/>
      <c r="AD719" s="42"/>
      <c r="AE719" s="195"/>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c r="BM719" s="42"/>
      <c r="BN719" s="42"/>
      <c r="BO719" s="42"/>
      <c r="BP719" s="42"/>
      <c r="BQ719" s="42"/>
      <c r="BR719" s="42"/>
      <c r="BS719" s="42"/>
      <c r="BT719" s="42"/>
      <c r="BU719" s="42"/>
      <c r="BV719" s="42"/>
      <c r="BW719" s="42"/>
      <c r="BX719" s="42"/>
      <c r="BY719" s="42"/>
      <c r="BZ719" s="42"/>
      <c r="CA719" s="42"/>
      <c r="CB719" s="42"/>
      <c r="CC719" s="42"/>
      <c r="CD719" s="42"/>
      <c r="CE719" s="42"/>
      <c r="CF719" s="42"/>
      <c r="CG719" s="42"/>
      <c r="CH719" s="42"/>
      <c r="CI719" s="42"/>
      <c r="CJ719" s="42"/>
      <c r="CK719" s="42"/>
      <c r="CL719" s="42"/>
      <c r="CM719" s="42"/>
      <c r="CN719" s="42"/>
      <c r="CO719" s="42"/>
      <c r="CP719" s="42"/>
      <c r="CQ719" s="42"/>
      <c r="CR719" s="42"/>
      <c r="CS719" s="42"/>
      <c r="CT719" s="42"/>
      <c r="CU719" s="42"/>
      <c r="CV719" s="42"/>
      <c r="CW719" s="42"/>
      <c r="CX719" s="42"/>
      <c r="CY719" s="42"/>
      <c r="CZ719" s="42"/>
      <c r="DA719" s="42"/>
      <c r="DB719" s="42"/>
      <c r="DC719" s="42"/>
      <c r="DD719" s="42"/>
      <c r="DE719" s="42"/>
      <c r="DF719" s="42"/>
      <c r="DG719" s="42"/>
      <c r="DH719" s="42"/>
      <c r="DI719" s="42"/>
      <c r="DJ719" s="42"/>
      <c r="DK719" s="42"/>
      <c r="DL719" s="42"/>
      <c r="DM719" s="42"/>
      <c r="DN719" s="42"/>
      <c r="DO719" s="42"/>
      <c r="DP719" s="42"/>
      <c r="DQ719" s="42"/>
      <c r="DR719" s="42"/>
      <c r="DS719" s="42"/>
      <c r="DT719" s="42"/>
      <c r="DU719" s="42"/>
      <c r="DV719" s="42"/>
      <c r="DW719" s="42"/>
      <c r="DX719" s="42"/>
      <c r="DY719" s="42"/>
      <c r="DZ719" s="42"/>
      <c r="EA719" s="42"/>
      <c r="EB719" s="42"/>
      <c r="EC719" s="42"/>
      <c r="ED719" s="42"/>
      <c r="EE719" s="42"/>
      <c r="EF719" s="42"/>
      <c r="EG719" s="42"/>
      <c r="EH719" s="42"/>
      <c r="EI719" s="42"/>
      <c r="EJ719" s="42"/>
      <c r="EK719" s="42"/>
      <c r="EL719" s="42"/>
      <c r="EM719" s="42"/>
      <c r="EN719" s="42"/>
      <c r="EO719" s="42"/>
      <c r="EP719" s="42"/>
      <c r="EQ719" s="42"/>
      <c r="ER719" s="42"/>
      <c r="ES719" s="42"/>
      <c r="ET719" s="42"/>
      <c r="EU719" s="42"/>
      <c r="EV719" s="42"/>
      <c r="EW719" s="42"/>
      <c r="EX719" s="42"/>
      <c r="EY719" s="42"/>
      <c r="EZ719" s="42"/>
      <c r="FA719" s="42"/>
      <c r="FB719" s="42"/>
      <c r="FC719" s="42"/>
      <c r="FD719" s="42"/>
      <c r="FE719" s="42"/>
      <c r="FF719" s="42"/>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row>
    <row r="720" spans="1:256" ht="13.8" x14ac:dyDescent="0.3">
      <c r="A720" s="42"/>
      <c r="B720" s="42"/>
      <c r="C720" s="42"/>
      <c r="D720" s="42"/>
      <c r="E720" s="42"/>
      <c r="F720" s="42"/>
      <c r="G720" s="42"/>
      <c r="H720" s="42"/>
      <c r="I720" s="42"/>
      <c r="J720" s="42"/>
      <c r="K720" s="42"/>
      <c r="L720" s="42"/>
      <c r="M720" s="42"/>
      <c r="N720" s="42"/>
      <c r="O720" s="42"/>
      <c r="P720" s="42"/>
      <c r="Q720" s="42"/>
      <c r="R720" s="42"/>
      <c r="S720" s="42"/>
      <c r="T720" s="42"/>
      <c r="U720" s="194"/>
      <c r="V720" s="42"/>
      <c r="W720" s="42"/>
      <c r="X720" s="42"/>
      <c r="Y720" s="42"/>
      <c r="Z720" s="42"/>
      <c r="AA720" s="42"/>
      <c r="AB720" s="195"/>
      <c r="AC720" s="42"/>
      <c r="AD720" s="42"/>
      <c r="AE720" s="195"/>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c r="BM720" s="42"/>
      <c r="BN720" s="42"/>
      <c r="BO720" s="42"/>
      <c r="BP720" s="42"/>
      <c r="BQ720" s="42"/>
      <c r="BR720" s="42"/>
      <c r="BS720" s="42"/>
      <c r="BT720" s="42"/>
      <c r="BU720" s="42"/>
      <c r="BV720" s="42"/>
      <c r="BW720" s="42"/>
      <c r="BX720" s="42"/>
      <c r="BY720" s="42"/>
      <c r="BZ720" s="42"/>
      <c r="CA720" s="42"/>
      <c r="CB720" s="42"/>
      <c r="CC720" s="42"/>
      <c r="CD720" s="42"/>
      <c r="CE720" s="42"/>
      <c r="CF720" s="42"/>
      <c r="CG720" s="42"/>
      <c r="CH720" s="42"/>
      <c r="CI720" s="42"/>
      <c r="CJ720" s="42"/>
      <c r="CK720" s="42"/>
      <c r="CL720" s="42"/>
      <c r="CM720" s="42"/>
      <c r="CN720" s="42"/>
      <c r="CO720" s="42"/>
      <c r="CP720" s="42"/>
      <c r="CQ720" s="42"/>
      <c r="CR720" s="42"/>
      <c r="CS720" s="42"/>
      <c r="CT720" s="42"/>
      <c r="CU720" s="42"/>
      <c r="CV720" s="42"/>
      <c r="CW720" s="42"/>
      <c r="CX720" s="42"/>
      <c r="CY720" s="42"/>
      <c r="CZ720" s="42"/>
      <c r="DA720" s="42"/>
      <c r="DB720" s="42"/>
      <c r="DC720" s="42"/>
      <c r="DD720" s="42"/>
      <c r="DE720" s="42"/>
      <c r="DF720" s="42"/>
      <c r="DG720" s="42"/>
      <c r="DH720" s="42"/>
      <c r="DI720" s="42"/>
      <c r="DJ720" s="42"/>
      <c r="DK720" s="42"/>
      <c r="DL720" s="42"/>
      <c r="DM720" s="42"/>
      <c r="DN720" s="42"/>
      <c r="DO720" s="42"/>
      <c r="DP720" s="42"/>
      <c r="DQ720" s="42"/>
      <c r="DR720" s="42"/>
      <c r="DS720" s="42"/>
      <c r="DT720" s="42"/>
      <c r="DU720" s="42"/>
      <c r="DV720" s="42"/>
      <c r="DW720" s="42"/>
      <c r="DX720" s="42"/>
      <c r="DY720" s="42"/>
      <c r="DZ720" s="42"/>
      <c r="EA720" s="42"/>
      <c r="EB720" s="42"/>
      <c r="EC720" s="42"/>
      <c r="ED720" s="42"/>
      <c r="EE720" s="42"/>
      <c r="EF720" s="42"/>
      <c r="EG720" s="42"/>
      <c r="EH720" s="42"/>
      <c r="EI720" s="42"/>
      <c r="EJ720" s="42"/>
      <c r="EK720" s="42"/>
      <c r="EL720" s="42"/>
      <c r="EM720" s="42"/>
      <c r="EN720" s="42"/>
      <c r="EO720" s="42"/>
      <c r="EP720" s="42"/>
      <c r="EQ720" s="42"/>
      <c r="ER720" s="42"/>
      <c r="ES720" s="42"/>
      <c r="ET720" s="42"/>
      <c r="EU720" s="42"/>
      <c r="EV720" s="42"/>
      <c r="EW720" s="42"/>
      <c r="EX720" s="42"/>
      <c r="EY720" s="42"/>
      <c r="EZ720" s="42"/>
      <c r="FA720" s="42"/>
      <c r="FB720" s="42"/>
      <c r="FC720" s="42"/>
      <c r="FD720" s="42"/>
      <c r="FE720" s="42"/>
      <c r="FF720" s="42"/>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row>
    <row r="721" spans="1:256" ht="13.8" x14ac:dyDescent="0.3">
      <c r="A721" s="42"/>
      <c r="B721" s="42"/>
      <c r="C721" s="42"/>
      <c r="D721" s="42"/>
      <c r="E721" s="42"/>
      <c r="F721" s="42"/>
      <c r="G721" s="42"/>
      <c r="H721" s="42"/>
      <c r="I721" s="42"/>
      <c r="J721" s="42"/>
      <c r="K721" s="42"/>
      <c r="L721" s="42"/>
      <c r="M721" s="42"/>
      <c r="N721" s="42"/>
      <c r="O721" s="42"/>
      <c r="P721" s="42"/>
      <c r="Q721" s="42"/>
      <c r="R721" s="42"/>
      <c r="S721" s="42"/>
      <c r="T721" s="42"/>
      <c r="U721" s="194"/>
      <c r="V721" s="42"/>
      <c r="W721" s="42"/>
      <c r="X721" s="42"/>
      <c r="Y721" s="42"/>
      <c r="Z721" s="42"/>
      <c r="AA721" s="42"/>
      <c r="AB721" s="195"/>
      <c r="AC721" s="42"/>
      <c r="AD721" s="42"/>
      <c r="AE721" s="195"/>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c r="BM721" s="42"/>
      <c r="BN721" s="42"/>
      <c r="BO721" s="42"/>
      <c r="BP721" s="42"/>
      <c r="BQ721" s="42"/>
      <c r="BR721" s="42"/>
      <c r="BS721" s="42"/>
      <c r="BT721" s="42"/>
      <c r="BU721" s="42"/>
      <c r="BV721" s="42"/>
      <c r="BW721" s="42"/>
      <c r="BX721" s="42"/>
      <c r="BY721" s="42"/>
      <c r="BZ721" s="42"/>
      <c r="CA721" s="42"/>
      <c r="CB721" s="42"/>
      <c r="CC721" s="42"/>
      <c r="CD721" s="42"/>
      <c r="CE721" s="42"/>
      <c r="CF721" s="42"/>
      <c r="CG721" s="42"/>
      <c r="CH721" s="42"/>
      <c r="CI721" s="42"/>
      <c r="CJ721" s="42"/>
      <c r="CK721" s="42"/>
      <c r="CL721" s="42"/>
      <c r="CM721" s="42"/>
      <c r="CN721" s="42"/>
      <c r="CO721" s="42"/>
      <c r="CP721" s="42"/>
      <c r="CQ721" s="42"/>
      <c r="CR721" s="42"/>
      <c r="CS721" s="42"/>
      <c r="CT721" s="42"/>
      <c r="CU721" s="42"/>
      <c r="CV721" s="42"/>
      <c r="CW721" s="42"/>
      <c r="CX721" s="42"/>
      <c r="CY721" s="42"/>
      <c r="CZ721" s="42"/>
      <c r="DA721" s="42"/>
      <c r="DB721" s="42"/>
      <c r="DC721" s="42"/>
      <c r="DD721" s="42"/>
      <c r="DE721" s="42"/>
      <c r="DF721" s="42"/>
      <c r="DG721" s="42"/>
      <c r="DH721" s="42"/>
      <c r="DI721" s="42"/>
      <c r="DJ721" s="42"/>
      <c r="DK721" s="42"/>
      <c r="DL721" s="42"/>
      <c r="DM721" s="42"/>
      <c r="DN721" s="42"/>
      <c r="DO721" s="42"/>
      <c r="DP721" s="42"/>
      <c r="DQ721" s="42"/>
      <c r="DR721" s="42"/>
      <c r="DS721" s="42"/>
      <c r="DT721" s="42"/>
      <c r="DU721" s="42"/>
      <c r="DV721" s="42"/>
      <c r="DW721" s="42"/>
      <c r="DX721" s="42"/>
      <c r="DY721" s="42"/>
      <c r="DZ721" s="42"/>
      <c r="EA721" s="42"/>
      <c r="EB721" s="42"/>
      <c r="EC721" s="42"/>
      <c r="ED721" s="42"/>
      <c r="EE721" s="42"/>
      <c r="EF721" s="42"/>
      <c r="EG721" s="42"/>
      <c r="EH721" s="42"/>
      <c r="EI721" s="42"/>
      <c r="EJ721" s="42"/>
      <c r="EK721" s="42"/>
      <c r="EL721" s="42"/>
      <c r="EM721" s="42"/>
      <c r="EN721" s="42"/>
      <c r="EO721" s="42"/>
      <c r="EP721" s="42"/>
      <c r="EQ721" s="42"/>
      <c r="ER721" s="42"/>
      <c r="ES721" s="42"/>
      <c r="ET721" s="42"/>
      <c r="EU721" s="42"/>
      <c r="EV721" s="42"/>
      <c r="EW721" s="42"/>
      <c r="EX721" s="42"/>
      <c r="EY721" s="42"/>
      <c r="EZ721" s="42"/>
      <c r="FA721" s="42"/>
      <c r="FB721" s="42"/>
      <c r="FC721" s="42"/>
      <c r="FD721" s="42"/>
      <c r="FE721" s="42"/>
      <c r="FF721" s="42"/>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row>
    <row r="722" spans="1:256" ht="13.8" x14ac:dyDescent="0.3">
      <c r="A722" s="42"/>
      <c r="B722" s="42"/>
      <c r="C722" s="42"/>
      <c r="D722" s="42"/>
      <c r="E722" s="42"/>
      <c r="F722" s="42"/>
      <c r="G722" s="42"/>
      <c r="H722" s="42"/>
      <c r="I722" s="42"/>
      <c r="J722" s="42"/>
      <c r="K722" s="42"/>
      <c r="L722" s="42"/>
      <c r="M722" s="42"/>
      <c r="N722" s="42"/>
      <c r="O722" s="42"/>
      <c r="P722" s="42"/>
      <c r="Q722" s="42"/>
      <c r="R722" s="42"/>
      <c r="S722" s="42"/>
      <c r="T722" s="42"/>
      <c r="U722" s="194"/>
      <c r="V722" s="42"/>
      <c r="W722" s="42"/>
      <c r="X722" s="42"/>
      <c r="Y722" s="42"/>
      <c r="Z722" s="42"/>
      <c r="AA722" s="42"/>
      <c r="AB722" s="195"/>
      <c r="AC722" s="42"/>
      <c r="AD722" s="42"/>
      <c r="AE722" s="195"/>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c r="BM722" s="42"/>
      <c r="BN722" s="42"/>
      <c r="BO722" s="42"/>
      <c r="BP722" s="42"/>
      <c r="BQ722" s="42"/>
      <c r="BR722" s="42"/>
      <c r="BS722" s="42"/>
      <c r="BT722" s="42"/>
      <c r="BU722" s="42"/>
      <c r="BV722" s="42"/>
      <c r="BW722" s="42"/>
      <c r="BX722" s="42"/>
      <c r="BY722" s="42"/>
      <c r="BZ722" s="42"/>
      <c r="CA722" s="42"/>
      <c r="CB722" s="42"/>
      <c r="CC722" s="42"/>
      <c r="CD722" s="42"/>
      <c r="CE722" s="42"/>
      <c r="CF722" s="42"/>
      <c r="CG722" s="42"/>
      <c r="CH722" s="42"/>
      <c r="CI722" s="42"/>
      <c r="CJ722" s="42"/>
      <c r="CK722" s="42"/>
      <c r="CL722" s="42"/>
      <c r="CM722" s="42"/>
      <c r="CN722" s="42"/>
      <c r="CO722" s="42"/>
      <c r="CP722" s="42"/>
      <c r="CQ722" s="42"/>
      <c r="CR722" s="42"/>
      <c r="CS722" s="42"/>
      <c r="CT722" s="42"/>
      <c r="CU722" s="42"/>
      <c r="CV722" s="42"/>
      <c r="CW722" s="42"/>
      <c r="CX722" s="42"/>
      <c r="CY722" s="42"/>
      <c r="CZ722" s="42"/>
      <c r="DA722" s="42"/>
      <c r="DB722" s="42"/>
      <c r="DC722" s="42"/>
      <c r="DD722" s="42"/>
      <c r="DE722" s="42"/>
      <c r="DF722" s="42"/>
      <c r="DG722" s="42"/>
      <c r="DH722" s="42"/>
      <c r="DI722" s="42"/>
      <c r="DJ722" s="42"/>
      <c r="DK722" s="42"/>
      <c r="DL722" s="42"/>
      <c r="DM722" s="42"/>
      <c r="DN722" s="42"/>
      <c r="DO722" s="42"/>
      <c r="DP722" s="42"/>
      <c r="DQ722" s="42"/>
      <c r="DR722" s="42"/>
      <c r="DS722" s="42"/>
      <c r="DT722" s="42"/>
      <c r="DU722" s="42"/>
      <c r="DV722" s="42"/>
      <c r="DW722" s="42"/>
      <c r="DX722" s="42"/>
      <c r="DY722" s="42"/>
      <c r="DZ722" s="42"/>
      <c r="EA722" s="42"/>
      <c r="EB722" s="42"/>
      <c r="EC722" s="42"/>
      <c r="ED722" s="42"/>
      <c r="EE722" s="42"/>
      <c r="EF722" s="42"/>
      <c r="EG722" s="42"/>
      <c r="EH722" s="42"/>
      <c r="EI722" s="42"/>
      <c r="EJ722" s="42"/>
      <c r="EK722" s="42"/>
      <c r="EL722" s="42"/>
      <c r="EM722" s="42"/>
      <c r="EN722" s="42"/>
      <c r="EO722" s="42"/>
      <c r="EP722" s="42"/>
      <c r="EQ722" s="42"/>
      <c r="ER722" s="42"/>
      <c r="ES722" s="42"/>
      <c r="ET722" s="42"/>
      <c r="EU722" s="42"/>
      <c r="EV722" s="42"/>
      <c r="EW722" s="42"/>
      <c r="EX722" s="42"/>
      <c r="EY722" s="42"/>
      <c r="EZ722" s="42"/>
      <c r="FA722" s="42"/>
      <c r="FB722" s="42"/>
      <c r="FC722" s="42"/>
      <c r="FD722" s="42"/>
      <c r="FE722" s="42"/>
      <c r="FF722" s="42"/>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row>
    <row r="723" spans="1:256" ht="13.8" x14ac:dyDescent="0.3">
      <c r="A723" s="42"/>
      <c r="B723" s="42"/>
      <c r="C723" s="42"/>
      <c r="D723" s="42"/>
      <c r="E723" s="42"/>
      <c r="F723" s="42"/>
      <c r="G723" s="42"/>
      <c r="H723" s="42"/>
      <c r="I723" s="42"/>
      <c r="J723" s="42"/>
      <c r="K723" s="42"/>
      <c r="L723" s="42"/>
      <c r="M723" s="42"/>
      <c r="N723" s="42"/>
      <c r="O723" s="42"/>
      <c r="P723" s="42"/>
      <c r="Q723" s="42"/>
      <c r="R723" s="42"/>
      <c r="S723" s="42"/>
      <c r="T723" s="42"/>
      <c r="U723" s="194"/>
      <c r="V723" s="42"/>
      <c r="W723" s="42"/>
      <c r="X723" s="42"/>
      <c r="Y723" s="42"/>
      <c r="Z723" s="42"/>
      <c r="AA723" s="42"/>
      <c r="AB723" s="195"/>
      <c r="AC723" s="42"/>
      <c r="AD723" s="42"/>
      <c r="AE723" s="195"/>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c r="BM723" s="42"/>
      <c r="BN723" s="42"/>
      <c r="BO723" s="42"/>
      <c r="BP723" s="42"/>
      <c r="BQ723" s="42"/>
      <c r="BR723" s="42"/>
      <c r="BS723" s="42"/>
      <c r="BT723" s="42"/>
      <c r="BU723" s="42"/>
      <c r="BV723" s="42"/>
      <c r="BW723" s="42"/>
      <c r="BX723" s="42"/>
      <c r="BY723" s="42"/>
      <c r="BZ723" s="42"/>
      <c r="CA723" s="42"/>
      <c r="CB723" s="42"/>
      <c r="CC723" s="42"/>
      <c r="CD723" s="42"/>
      <c r="CE723" s="42"/>
      <c r="CF723" s="42"/>
      <c r="CG723" s="42"/>
      <c r="CH723" s="42"/>
      <c r="CI723" s="42"/>
      <c r="CJ723" s="42"/>
      <c r="CK723" s="42"/>
      <c r="CL723" s="42"/>
      <c r="CM723" s="42"/>
      <c r="CN723" s="42"/>
      <c r="CO723" s="42"/>
      <c r="CP723" s="42"/>
      <c r="CQ723" s="42"/>
      <c r="CR723" s="42"/>
      <c r="CS723" s="42"/>
      <c r="CT723" s="42"/>
      <c r="CU723" s="42"/>
      <c r="CV723" s="42"/>
      <c r="CW723" s="42"/>
      <c r="CX723" s="42"/>
      <c r="CY723" s="42"/>
      <c r="CZ723" s="42"/>
      <c r="DA723" s="42"/>
      <c r="DB723" s="42"/>
      <c r="DC723" s="42"/>
      <c r="DD723" s="42"/>
      <c r="DE723" s="42"/>
      <c r="DF723" s="42"/>
      <c r="DG723" s="42"/>
      <c r="DH723" s="42"/>
      <c r="DI723" s="42"/>
      <c r="DJ723" s="42"/>
      <c r="DK723" s="42"/>
      <c r="DL723" s="42"/>
      <c r="DM723" s="42"/>
      <c r="DN723" s="42"/>
      <c r="DO723" s="42"/>
      <c r="DP723" s="42"/>
      <c r="DQ723" s="42"/>
      <c r="DR723" s="42"/>
      <c r="DS723" s="42"/>
      <c r="DT723" s="42"/>
      <c r="DU723" s="42"/>
      <c r="DV723" s="42"/>
      <c r="DW723" s="42"/>
      <c r="DX723" s="42"/>
      <c r="DY723" s="42"/>
      <c r="DZ723" s="42"/>
      <c r="EA723" s="42"/>
      <c r="EB723" s="42"/>
      <c r="EC723" s="42"/>
      <c r="ED723" s="42"/>
      <c r="EE723" s="42"/>
      <c r="EF723" s="42"/>
      <c r="EG723" s="42"/>
      <c r="EH723" s="42"/>
      <c r="EI723" s="42"/>
      <c r="EJ723" s="42"/>
      <c r="EK723" s="42"/>
      <c r="EL723" s="42"/>
      <c r="EM723" s="42"/>
      <c r="EN723" s="42"/>
      <c r="EO723" s="42"/>
      <c r="EP723" s="42"/>
      <c r="EQ723" s="42"/>
      <c r="ER723" s="42"/>
      <c r="ES723" s="42"/>
      <c r="ET723" s="42"/>
      <c r="EU723" s="42"/>
      <c r="EV723" s="42"/>
      <c r="EW723" s="42"/>
      <c r="EX723" s="42"/>
      <c r="EY723" s="42"/>
      <c r="EZ723" s="42"/>
      <c r="FA723" s="42"/>
      <c r="FB723" s="42"/>
      <c r="FC723" s="42"/>
      <c r="FD723" s="42"/>
      <c r="FE723" s="42"/>
      <c r="FF723" s="42"/>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row>
    <row r="724" spans="1:256" ht="13.8" x14ac:dyDescent="0.3">
      <c r="A724" s="42"/>
      <c r="B724" s="42"/>
      <c r="C724" s="42"/>
      <c r="D724" s="42"/>
      <c r="E724" s="42"/>
      <c r="F724" s="42"/>
      <c r="G724" s="42"/>
      <c r="H724" s="42"/>
      <c r="I724" s="42"/>
      <c r="J724" s="42"/>
      <c r="K724" s="42"/>
      <c r="L724" s="42"/>
      <c r="M724" s="42"/>
      <c r="N724" s="42"/>
      <c r="O724" s="42"/>
      <c r="P724" s="42"/>
      <c r="Q724" s="42"/>
      <c r="R724" s="42"/>
      <c r="S724" s="42"/>
      <c r="T724" s="42"/>
      <c r="U724" s="194"/>
      <c r="V724" s="42"/>
      <c r="W724" s="42"/>
      <c r="X724" s="42"/>
      <c r="Y724" s="42"/>
      <c r="Z724" s="42"/>
      <c r="AA724" s="42"/>
      <c r="AB724" s="195"/>
      <c r="AC724" s="42"/>
      <c r="AD724" s="42"/>
      <c r="AE724" s="195"/>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c r="BM724" s="42"/>
      <c r="BN724" s="42"/>
      <c r="BO724" s="42"/>
      <c r="BP724" s="42"/>
      <c r="BQ724" s="42"/>
      <c r="BR724" s="42"/>
      <c r="BS724" s="42"/>
      <c r="BT724" s="42"/>
      <c r="BU724" s="42"/>
      <c r="BV724" s="42"/>
      <c r="BW724" s="42"/>
      <c r="BX724" s="42"/>
      <c r="BY724" s="42"/>
      <c r="BZ724" s="42"/>
      <c r="CA724" s="42"/>
      <c r="CB724" s="42"/>
      <c r="CC724" s="42"/>
      <c r="CD724" s="42"/>
      <c r="CE724" s="42"/>
      <c r="CF724" s="42"/>
      <c r="CG724" s="42"/>
      <c r="CH724" s="42"/>
      <c r="CI724" s="42"/>
      <c r="CJ724" s="42"/>
      <c r="CK724" s="42"/>
      <c r="CL724" s="42"/>
      <c r="CM724" s="42"/>
      <c r="CN724" s="42"/>
      <c r="CO724" s="42"/>
      <c r="CP724" s="42"/>
      <c r="CQ724" s="42"/>
      <c r="CR724" s="42"/>
      <c r="CS724" s="42"/>
      <c r="CT724" s="42"/>
      <c r="CU724" s="42"/>
      <c r="CV724" s="42"/>
      <c r="CW724" s="42"/>
      <c r="CX724" s="42"/>
      <c r="CY724" s="42"/>
      <c r="CZ724" s="42"/>
      <c r="DA724" s="42"/>
      <c r="DB724" s="42"/>
      <c r="DC724" s="42"/>
      <c r="DD724" s="42"/>
      <c r="DE724" s="42"/>
      <c r="DF724" s="42"/>
      <c r="DG724" s="42"/>
      <c r="DH724" s="42"/>
      <c r="DI724" s="42"/>
      <c r="DJ724" s="42"/>
      <c r="DK724" s="42"/>
      <c r="DL724" s="42"/>
      <c r="DM724" s="42"/>
      <c r="DN724" s="42"/>
      <c r="DO724" s="42"/>
      <c r="DP724" s="42"/>
      <c r="DQ724" s="42"/>
      <c r="DR724" s="42"/>
      <c r="DS724" s="42"/>
      <c r="DT724" s="42"/>
      <c r="DU724" s="42"/>
      <c r="DV724" s="42"/>
      <c r="DW724" s="42"/>
      <c r="DX724" s="42"/>
      <c r="DY724" s="42"/>
      <c r="DZ724" s="42"/>
      <c r="EA724" s="42"/>
      <c r="EB724" s="42"/>
      <c r="EC724" s="42"/>
      <c r="ED724" s="42"/>
      <c r="EE724" s="42"/>
      <c r="EF724" s="42"/>
      <c r="EG724" s="42"/>
      <c r="EH724" s="42"/>
      <c r="EI724" s="42"/>
      <c r="EJ724" s="42"/>
      <c r="EK724" s="42"/>
      <c r="EL724" s="42"/>
      <c r="EM724" s="42"/>
      <c r="EN724" s="42"/>
      <c r="EO724" s="42"/>
      <c r="EP724" s="42"/>
      <c r="EQ724" s="42"/>
      <c r="ER724" s="42"/>
      <c r="ES724" s="42"/>
      <c r="ET724" s="42"/>
      <c r="EU724" s="42"/>
      <c r="EV724" s="42"/>
      <c r="EW724" s="42"/>
      <c r="EX724" s="42"/>
      <c r="EY724" s="42"/>
      <c r="EZ724" s="42"/>
      <c r="FA724" s="42"/>
      <c r="FB724" s="42"/>
      <c r="FC724" s="42"/>
      <c r="FD724" s="42"/>
      <c r="FE724" s="42"/>
      <c r="FF724" s="42"/>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row>
    <row r="725" spans="1:256" ht="13.8" x14ac:dyDescent="0.3">
      <c r="A725" s="42"/>
      <c r="B725" s="42"/>
      <c r="C725" s="42"/>
      <c r="D725" s="42"/>
      <c r="E725" s="42"/>
      <c r="F725" s="42"/>
      <c r="G725" s="42"/>
      <c r="H725" s="42"/>
      <c r="I725" s="42"/>
      <c r="J725" s="42"/>
      <c r="K725" s="42"/>
      <c r="L725" s="42"/>
      <c r="M725" s="42"/>
      <c r="N725" s="42"/>
      <c r="O725" s="42"/>
      <c r="P725" s="42"/>
      <c r="Q725" s="42"/>
      <c r="R725" s="42"/>
      <c r="S725" s="42"/>
      <c r="T725" s="42"/>
      <c r="U725" s="194"/>
      <c r="V725" s="42"/>
      <c r="W725" s="42"/>
      <c r="X725" s="42"/>
      <c r="Y725" s="42"/>
      <c r="Z725" s="42"/>
      <c r="AA725" s="42"/>
      <c r="AB725" s="195"/>
      <c r="AC725" s="42"/>
      <c r="AD725" s="42"/>
      <c r="AE725" s="195"/>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c r="BM725" s="42"/>
      <c r="BN725" s="42"/>
      <c r="BO725" s="42"/>
      <c r="BP725" s="42"/>
      <c r="BQ725" s="42"/>
      <c r="BR725" s="42"/>
      <c r="BS725" s="42"/>
      <c r="BT725" s="42"/>
      <c r="BU725" s="42"/>
      <c r="BV725" s="42"/>
      <c r="BW725" s="42"/>
      <c r="BX725" s="42"/>
      <c r="BY725" s="42"/>
      <c r="BZ725" s="42"/>
      <c r="CA725" s="42"/>
      <c r="CB725" s="42"/>
      <c r="CC725" s="42"/>
      <c r="CD725" s="42"/>
      <c r="CE725" s="42"/>
      <c r="CF725" s="42"/>
      <c r="CG725" s="42"/>
      <c r="CH725" s="42"/>
      <c r="CI725" s="42"/>
      <c r="CJ725" s="42"/>
      <c r="CK725" s="42"/>
      <c r="CL725" s="42"/>
      <c r="CM725" s="42"/>
      <c r="CN725" s="42"/>
      <c r="CO725" s="42"/>
      <c r="CP725" s="42"/>
      <c r="CQ725" s="42"/>
      <c r="CR725" s="42"/>
      <c r="CS725" s="42"/>
      <c r="CT725" s="42"/>
      <c r="CU725" s="42"/>
      <c r="CV725" s="42"/>
      <c r="CW725" s="42"/>
      <c r="CX725" s="42"/>
      <c r="CY725" s="42"/>
      <c r="CZ725" s="42"/>
      <c r="DA725" s="42"/>
      <c r="DB725" s="42"/>
      <c r="DC725" s="42"/>
      <c r="DD725" s="42"/>
      <c r="DE725" s="42"/>
      <c r="DF725" s="42"/>
      <c r="DG725" s="42"/>
      <c r="DH725" s="42"/>
      <c r="DI725" s="42"/>
      <c r="DJ725" s="42"/>
      <c r="DK725" s="42"/>
      <c r="DL725" s="42"/>
      <c r="DM725" s="42"/>
      <c r="DN725" s="42"/>
      <c r="DO725" s="42"/>
      <c r="DP725" s="42"/>
      <c r="DQ725" s="42"/>
      <c r="DR725" s="42"/>
      <c r="DS725" s="42"/>
      <c r="DT725" s="42"/>
      <c r="DU725" s="42"/>
      <c r="DV725" s="42"/>
      <c r="DW725" s="42"/>
      <c r="DX725" s="42"/>
      <c r="DY725" s="42"/>
      <c r="DZ725" s="42"/>
      <c r="EA725" s="42"/>
      <c r="EB725" s="42"/>
      <c r="EC725" s="42"/>
      <c r="ED725" s="42"/>
      <c r="EE725" s="42"/>
      <c r="EF725" s="42"/>
      <c r="EG725" s="42"/>
      <c r="EH725" s="42"/>
      <c r="EI725" s="42"/>
      <c r="EJ725" s="42"/>
      <c r="EK725" s="42"/>
      <c r="EL725" s="42"/>
      <c r="EM725" s="42"/>
      <c r="EN725" s="42"/>
      <c r="EO725" s="42"/>
      <c r="EP725" s="42"/>
      <c r="EQ725" s="42"/>
      <c r="ER725" s="42"/>
      <c r="ES725" s="42"/>
      <c r="ET725" s="42"/>
      <c r="EU725" s="42"/>
      <c r="EV725" s="42"/>
      <c r="EW725" s="42"/>
      <c r="EX725" s="42"/>
      <c r="EY725" s="42"/>
      <c r="EZ725" s="42"/>
      <c r="FA725" s="42"/>
      <c r="FB725" s="42"/>
      <c r="FC725" s="42"/>
      <c r="FD725" s="42"/>
      <c r="FE725" s="42"/>
      <c r="FF725" s="42"/>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row>
    <row r="726" spans="1:256" ht="13.8" x14ac:dyDescent="0.3">
      <c r="A726" s="42"/>
      <c r="B726" s="42"/>
      <c r="C726" s="42"/>
      <c r="D726" s="42"/>
      <c r="E726" s="42"/>
      <c r="F726" s="42"/>
      <c r="G726" s="42"/>
      <c r="H726" s="42"/>
      <c r="I726" s="42"/>
      <c r="J726" s="42"/>
      <c r="K726" s="42"/>
      <c r="L726" s="42"/>
      <c r="M726" s="42"/>
      <c r="N726" s="42"/>
      <c r="O726" s="42"/>
      <c r="P726" s="42"/>
      <c r="Q726" s="42"/>
      <c r="R726" s="42"/>
      <c r="S726" s="42"/>
      <c r="T726" s="42"/>
      <c r="U726" s="194"/>
      <c r="V726" s="42"/>
      <c r="W726" s="42"/>
      <c r="X726" s="42"/>
      <c r="Y726" s="42"/>
      <c r="Z726" s="42"/>
      <c r="AA726" s="42"/>
      <c r="AB726" s="195"/>
      <c r="AC726" s="42"/>
      <c r="AD726" s="42"/>
      <c r="AE726" s="195"/>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c r="BM726" s="42"/>
      <c r="BN726" s="42"/>
      <c r="BO726" s="42"/>
      <c r="BP726" s="42"/>
      <c r="BQ726" s="42"/>
      <c r="BR726" s="42"/>
      <c r="BS726" s="42"/>
      <c r="BT726" s="42"/>
      <c r="BU726" s="42"/>
      <c r="BV726" s="42"/>
      <c r="BW726" s="42"/>
      <c r="BX726" s="42"/>
      <c r="BY726" s="42"/>
      <c r="BZ726" s="42"/>
      <c r="CA726" s="42"/>
      <c r="CB726" s="42"/>
      <c r="CC726" s="42"/>
      <c r="CD726" s="42"/>
      <c r="CE726" s="42"/>
      <c r="CF726" s="42"/>
      <c r="CG726" s="42"/>
      <c r="CH726" s="42"/>
      <c r="CI726" s="42"/>
      <c r="CJ726" s="42"/>
      <c r="CK726" s="42"/>
      <c r="CL726" s="42"/>
      <c r="CM726" s="42"/>
      <c r="CN726" s="42"/>
      <c r="CO726" s="42"/>
      <c r="CP726" s="42"/>
      <c r="CQ726" s="42"/>
      <c r="CR726" s="42"/>
      <c r="CS726" s="42"/>
      <c r="CT726" s="42"/>
      <c r="CU726" s="42"/>
      <c r="CV726" s="42"/>
      <c r="CW726" s="42"/>
      <c r="CX726" s="42"/>
      <c r="CY726" s="42"/>
      <c r="CZ726" s="42"/>
      <c r="DA726" s="42"/>
      <c r="DB726" s="42"/>
      <c r="DC726" s="42"/>
      <c r="DD726" s="42"/>
      <c r="DE726" s="42"/>
      <c r="DF726" s="42"/>
      <c r="DG726" s="42"/>
      <c r="DH726" s="42"/>
      <c r="DI726" s="42"/>
      <c r="DJ726" s="42"/>
      <c r="DK726" s="42"/>
      <c r="DL726" s="42"/>
      <c r="DM726" s="42"/>
      <c r="DN726" s="42"/>
      <c r="DO726" s="42"/>
      <c r="DP726" s="42"/>
      <c r="DQ726" s="42"/>
      <c r="DR726" s="42"/>
      <c r="DS726" s="42"/>
      <c r="DT726" s="42"/>
      <c r="DU726" s="42"/>
      <c r="DV726" s="42"/>
      <c r="DW726" s="42"/>
      <c r="DX726" s="42"/>
      <c r="DY726" s="42"/>
      <c r="DZ726" s="42"/>
      <c r="EA726" s="42"/>
      <c r="EB726" s="42"/>
      <c r="EC726" s="42"/>
      <c r="ED726" s="42"/>
      <c r="EE726" s="42"/>
      <c r="EF726" s="42"/>
      <c r="EG726" s="42"/>
      <c r="EH726" s="42"/>
      <c r="EI726" s="42"/>
      <c r="EJ726" s="42"/>
      <c r="EK726" s="42"/>
      <c r="EL726" s="42"/>
      <c r="EM726" s="42"/>
      <c r="EN726" s="42"/>
      <c r="EO726" s="42"/>
      <c r="EP726" s="42"/>
      <c r="EQ726" s="42"/>
      <c r="ER726" s="42"/>
      <c r="ES726" s="42"/>
      <c r="ET726" s="42"/>
      <c r="EU726" s="42"/>
      <c r="EV726" s="42"/>
      <c r="EW726" s="42"/>
      <c r="EX726" s="42"/>
      <c r="EY726" s="42"/>
      <c r="EZ726" s="42"/>
      <c r="FA726" s="42"/>
      <c r="FB726" s="42"/>
      <c r="FC726" s="42"/>
      <c r="FD726" s="42"/>
      <c r="FE726" s="42"/>
      <c r="FF726" s="42"/>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row>
    <row r="727" spans="1:256" ht="13.8" x14ac:dyDescent="0.3">
      <c r="A727" s="42"/>
      <c r="B727" s="42"/>
      <c r="C727" s="42"/>
      <c r="D727" s="42"/>
      <c r="E727" s="42"/>
      <c r="F727" s="42"/>
      <c r="G727" s="42"/>
      <c r="H727" s="42"/>
      <c r="I727" s="42"/>
      <c r="J727" s="42"/>
      <c r="K727" s="42"/>
      <c r="L727" s="42"/>
      <c r="M727" s="42"/>
      <c r="N727" s="42"/>
      <c r="O727" s="42"/>
      <c r="P727" s="42"/>
      <c r="Q727" s="42"/>
      <c r="R727" s="42"/>
      <c r="S727" s="42"/>
      <c r="T727" s="42"/>
      <c r="U727" s="194"/>
      <c r="V727" s="42"/>
      <c r="W727" s="42"/>
      <c r="X727" s="42"/>
      <c r="Y727" s="42"/>
      <c r="Z727" s="42"/>
      <c r="AA727" s="42"/>
      <c r="AB727" s="195"/>
      <c r="AC727" s="42"/>
      <c r="AD727" s="42"/>
      <c r="AE727" s="195"/>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c r="BM727" s="42"/>
      <c r="BN727" s="42"/>
      <c r="BO727" s="42"/>
      <c r="BP727" s="42"/>
      <c r="BQ727" s="42"/>
      <c r="BR727" s="42"/>
      <c r="BS727" s="42"/>
      <c r="BT727" s="42"/>
      <c r="BU727" s="42"/>
      <c r="BV727" s="42"/>
      <c r="BW727" s="42"/>
      <c r="BX727" s="42"/>
      <c r="BY727" s="42"/>
      <c r="BZ727" s="42"/>
      <c r="CA727" s="42"/>
      <c r="CB727" s="42"/>
      <c r="CC727" s="42"/>
      <c r="CD727" s="42"/>
      <c r="CE727" s="42"/>
      <c r="CF727" s="42"/>
      <c r="CG727" s="42"/>
      <c r="CH727" s="42"/>
      <c r="CI727" s="42"/>
      <c r="CJ727" s="42"/>
      <c r="CK727" s="42"/>
      <c r="CL727" s="42"/>
      <c r="CM727" s="42"/>
      <c r="CN727" s="42"/>
      <c r="CO727" s="42"/>
      <c r="CP727" s="42"/>
      <c r="CQ727" s="42"/>
      <c r="CR727" s="42"/>
      <c r="CS727" s="42"/>
      <c r="CT727" s="42"/>
      <c r="CU727" s="42"/>
      <c r="CV727" s="42"/>
      <c r="CW727" s="42"/>
      <c r="CX727" s="42"/>
      <c r="CY727" s="42"/>
      <c r="CZ727" s="42"/>
      <c r="DA727" s="42"/>
      <c r="DB727" s="42"/>
      <c r="DC727" s="42"/>
      <c r="DD727" s="42"/>
      <c r="DE727" s="42"/>
      <c r="DF727" s="42"/>
      <c r="DG727" s="42"/>
      <c r="DH727" s="42"/>
      <c r="DI727" s="42"/>
      <c r="DJ727" s="42"/>
      <c r="DK727" s="42"/>
      <c r="DL727" s="42"/>
      <c r="DM727" s="42"/>
      <c r="DN727" s="42"/>
      <c r="DO727" s="42"/>
      <c r="DP727" s="42"/>
      <c r="DQ727" s="42"/>
      <c r="DR727" s="42"/>
      <c r="DS727" s="42"/>
      <c r="DT727" s="42"/>
      <c r="DU727" s="42"/>
      <c r="DV727" s="42"/>
      <c r="DW727" s="42"/>
      <c r="DX727" s="42"/>
      <c r="DY727" s="42"/>
      <c r="DZ727" s="42"/>
      <c r="EA727" s="42"/>
      <c r="EB727" s="42"/>
      <c r="EC727" s="42"/>
      <c r="ED727" s="42"/>
      <c r="EE727" s="42"/>
      <c r="EF727" s="42"/>
      <c r="EG727" s="42"/>
      <c r="EH727" s="42"/>
      <c r="EI727" s="42"/>
      <c r="EJ727" s="42"/>
      <c r="EK727" s="42"/>
      <c r="EL727" s="42"/>
      <c r="EM727" s="42"/>
      <c r="EN727" s="42"/>
      <c r="EO727" s="42"/>
      <c r="EP727" s="42"/>
      <c r="EQ727" s="42"/>
      <c r="ER727" s="42"/>
      <c r="ES727" s="42"/>
      <c r="ET727" s="42"/>
      <c r="EU727" s="42"/>
      <c r="EV727" s="42"/>
      <c r="EW727" s="42"/>
      <c r="EX727" s="42"/>
      <c r="EY727" s="42"/>
      <c r="EZ727" s="42"/>
      <c r="FA727" s="42"/>
      <c r="FB727" s="42"/>
      <c r="FC727" s="42"/>
      <c r="FD727" s="42"/>
      <c r="FE727" s="42"/>
      <c r="FF727" s="42"/>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row>
    <row r="728" spans="1:256" ht="13.8" x14ac:dyDescent="0.3">
      <c r="A728" s="42"/>
      <c r="B728" s="42"/>
      <c r="C728" s="42"/>
      <c r="D728" s="42"/>
      <c r="E728" s="42"/>
      <c r="F728" s="42"/>
      <c r="G728" s="42"/>
      <c r="H728" s="42"/>
      <c r="I728" s="42"/>
      <c r="J728" s="42"/>
      <c r="K728" s="42"/>
      <c r="L728" s="42"/>
      <c r="M728" s="42"/>
      <c r="N728" s="42"/>
      <c r="O728" s="42"/>
      <c r="P728" s="42"/>
      <c r="Q728" s="42"/>
      <c r="R728" s="42"/>
      <c r="S728" s="42"/>
      <c r="T728" s="42"/>
      <c r="U728" s="194"/>
      <c r="V728" s="42"/>
      <c r="W728" s="42"/>
      <c r="X728" s="42"/>
      <c r="Y728" s="42"/>
      <c r="Z728" s="42"/>
      <c r="AA728" s="42"/>
      <c r="AB728" s="195"/>
      <c r="AC728" s="42"/>
      <c r="AD728" s="42"/>
      <c r="AE728" s="195"/>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c r="BM728" s="42"/>
      <c r="BN728" s="42"/>
      <c r="BO728" s="42"/>
      <c r="BP728" s="42"/>
      <c r="BQ728" s="42"/>
      <c r="BR728" s="42"/>
      <c r="BS728" s="42"/>
      <c r="BT728" s="42"/>
      <c r="BU728" s="42"/>
      <c r="BV728" s="42"/>
      <c r="BW728" s="42"/>
      <c r="BX728" s="42"/>
      <c r="BY728" s="42"/>
      <c r="BZ728" s="42"/>
      <c r="CA728" s="42"/>
      <c r="CB728" s="42"/>
      <c r="CC728" s="42"/>
      <c r="CD728" s="42"/>
      <c r="CE728" s="42"/>
      <c r="CF728" s="42"/>
      <c r="CG728" s="42"/>
      <c r="CH728" s="42"/>
      <c r="CI728" s="42"/>
      <c r="CJ728" s="42"/>
      <c r="CK728" s="42"/>
      <c r="CL728" s="42"/>
      <c r="CM728" s="42"/>
      <c r="CN728" s="42"/>
      <c r="CO728" s="42"/>
      <c r="CP728" s="42"/>
      <c r="CQ728" s="42"/>
      <c r="CR728" s="42"/>
      <c r="CS728" s="42"/>
      <c r="CT728" s="42"/>
      <c r="CU728" s="42"/>
      <c r="CV728" s="42"/>
      <c r="CW728" s="42"/>
      <c r="CX728" s="42"/>
      <c r="CY728" s="42"/>
      <c r="CZ728" s="42"/>
      <c r="DA728" s="42"/>
      <c r="DB728" s="42"/>
      <c r="DC728" s="42"/>
      <c r="DD728" s="42"/>
      <c r="DE728" s="42"/>
      <c r="DF728" s="42"/>
      <c r="DG728" s="42"/>
      <c r="DH728" s="42"/>
      <c r="DI728" s="42"/>
      <c r="DJ728" s="42"/>
      <c r="DK728" s="42"/>
      <c r="DL728" s="42"/>
      <c r="DM728" s="42"/>
      <c r="DN728" s="42"/>
      <c r="DO728" s="42"/>
      <c r="DP728" s="42"/>
      <c r="DQ728" s="42"/>
      <c r="DR728" s="42"/>
      <c r="DS728" s="42"/>
      <c r="DT728" s="42"/>
      <c r="DU728" s="42"/>
      <c r="DV728" s="42"/>
      <c r="DW728" s="42"/>
      <c r="DX728" s="42"/>
      <c r="DY728" s="42"/>
      <c r="DZ728" s="42"/>
      <c r="EA728" s="42"/>
      <c r="EB728" s="42"/>
      <c r="EC728" s="42"/>
      <c r="ED728" s="42"/>
      <c r="EE728" s="42"/>
      <c r="EF728" s="42"/>
      <c r="EG728" s="42"/>
      <c r="EH728" s="42"/>
      <c r="EI728" s="42"/>
      <c r="EJ728" s="42"/>
      <c r="EK728" s="42"/>
      <c r="EL728" s="42"/>
      <c r="EM728" s="42"/>
      <c r="EN728" s="42"/>
      <c r="EO728" s="42"/>
      <c r="EP728" s="42"/>
      <c r="EQ728" s="42"/>
      <c r="ER728" s="42"/>
      <c r="ES728" s="42"/>
      <c r="ET728" s="42"/>
      <c r="EU728" s="42"/>
      <c r="EV728" s="42"/>
      <c r="EW728" s="42"/>
      <c r="EX728" s="42"/>
      <c r="EY728" s="42"/>
      <c r="EZ728" s="42"/>
      <c r="FA728" s="42"/>
      <c r="FB728" s="42"/>
      <c r="FC728" s="42"/>
      <c r="FD728" s="42"/>
      <c r="FE728" s="42"/>
      <c r="FF728" s="42"/>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row>
    <row r="729" spans="1:256" ht="13.8" x14ac:dyDescent="0.3">
      <c r="A729" s="42"/>
      <c r="B729" s="42"/>
      <c r="C729" s="42"/>
      <c r="D729" s="42"/>
      <c r="E729" s="42"/>
      <c r="F729" s="42"/>
      <c r="G729" s="42"/>
      <c r="H729" s="42"/>
      <c r="I729" s="42"/>
      <c r="J729" s="42"/>
      <c r="K729" s="42"/>
      <c r="L729" s="42"/>
      <c r="M729" s="42"/>
      <c r="N729" s="42"/>
      <c r="O729" s="42"/>
      <c r="P729" s="42"/>
      <c r="Q729" s="42"/>
      <c r="R729" s="42"/>
      <c r="S729" s="42"/>
      <c r="T729" s="42"/>
      <c r="U729" s="194"/>
      <c r="V729" s="42"/>
      <c r="W729" s="42"/>
      <c r="X729" s="42"/>
      <c r="Y729" s="42"/>
      <c r="Z729" s="42"/>
      <c r="AA729" s="42"/>
      <c r="AB729" s="195"/>
      <c r="AC729" s="42"/>
      <c r="AD729" s="42"/>
      <c r="AE729" s="195"/>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c r="BM729" s="42"/>
      <c r="BN729" s="42"/>
      <c r="BO729" s="42"/>
      <c r="BP729" s="42"/>
      <c r="BQ729" s="42"/>
      <c r="BR729" s="42"/>
      <c r="BS729" s="42"/>
      <c r="BT729" s="42"/>
      <c r="BU729" s="42"/>
      <c r="BV729" s="42"/>
      <c r="BW729" s="42"/>
      <c r="BX729" s="42"/>
      <c r="BY729" s="42"/>
      <c r="BZ729" s="42"/>
      <c r="CA729" s="42"/>
      <c r="CB729" s="42"/>
      <c r="CC729" s="42"/>
      <c r="CD729" s="42"/>
      <c r="CE729" s="42"/>
      <c r="CF729" s="42"/>
      <c r="CG729" s="42"/>
      <c r="CH729" s="42"/>
      <c r="CI729" s="42"/>
      <c r="CJ729" s="42"/>
      <c r="CK729" s="42"/>
      <c r="CL729" s="42"/>
      <c r="CM729" s="42"/>
      <c r="CN729" s="42"/>
      <c r="CO729" s="42"/>
      <c r="CP729" s="42"/>
      <c r="CQ729" s="42"/>
      <c r="CR729" s="42"/>
      <c r="CS729" s="42"/>
      <c r="CT729" s="42"/>
      <c r="CU729" s="42"/>
      <c r="CV729" s="42"/>
      <c r="CW729" s="42"/>
      <c r="CX729" s="42"/>
      <c r="CY729" s="42"/>
      <c r="CZ729" s="42"/>
      <c r="DA729" s="42"/>
      <c r="DB729" s="42"/>
      <c r="DC729" s="42"/>
      <c r="DD729" s="42"/>
      <c r="DE729" s="42"/>
      <c r="DF729" s="42"/>
      <c r="DG729" s="42"/>
      <c r="DH729" s="42"/>
      <c r="DI729" s="42"/>
      <c r="DJ729" s="42"/>
      <c r="DK729" s="42"/>
      <c r="DL729" s="42"/>
      <c r="DM729" s="42"/>
      <c r="DN729" s="42"/>
      <c r="DO729" s="42"/>
      <c r="DP729" s="42"/>
      <c r="DQ729" s="42"/>
      <c r="DR729" s="42"/>
      <c r="DS729" s="42"/>
      <c r="DT729" s="42"/>
      <c r="DU729" s="42"/>
      <c r="DV729" s="42"/>
      <c r="DW729" s="42"/>
      <c r="DX729" s="42"/>
      <c r="DY729" s="42"/>
      <c r="DZ729" s="42"/>
      <c r="EA729" s="42"/>
      <c r="EB729" s="42"/>
      <c r="EC729" s="42"/>
      <c r="ED729" s="42"/>
      <c r="EE729" s="42"/>
      <c r="EF729" s="42"/>
      <c r="EG729" s="42"/>
      <c r="EH729" s="42"/>
      <c r="EI729" s="42"/>
      <c r="EJ729" s="42"/>
      <c r="EK729" s="42"/>
      <c r="EL729" s="42"/>
      <c r="EM729" s="42"/>
      <c r="EN729" s="42"/>
      <c r="EO729" s="42"/>
      <c r="EP729" s="42"/>
      <c r="EQ729" s="42"/>
      <c r="ER729" s="42"/>
      <c r="ES729" s="42"/>
      <c r="ET729" s="42"/>
      <c r="EU729" s="42"/>
      <c r="EV729" s="42"/>
      <c r="EW729" s="42"/>
      <c r="EX729" s="42"/>
      <c r="EY729" s="42"/>
      <c r="EZ729" s="42"/>
      <c r="FA729" s="42"/>
      <c r="FB729" s="42"/>
      <c r="FC729" s="42"/>
      <c r="FD729" s="42"/>
      <c r="FE729" s="42"/>
      <c r="FF729" s="42"/>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row>
    <row r="730" spans="1:256" ht="13.8" x14ac:dyDescent="0.3">
      <c r="A730" s="42"/>
      <c r="B730" s="42"/>
      <c r="C730" s="42"/>
      <c r="D730" s="42"/>
      <c r="E730" s="42"/>
      <c r="F730" s="42"/>
      <c r="G730" s="42"/>
      <c r="H730" s="42"/>
      <c r="I730" s="42"/>
      <c r="J730" s="42"/>
      <c r="K730" s="42"/>
      <c r="L730" s="42"/>
      <c r="M730" s="42"/>
      <c r="N730" s="42"/>
      <c r="O730" s="42"/>
      <c r="P730" s="42"/>
      <c r="Q730" s="42"/>
      <c r="R730" s="42"/>
      <c r="S730" s="42"/>
      <c r="T730" s="42"/>
      <c r="U730" s="194"/>
      <c r="V730" s="42"/>
      <c r="W730" s="42"/>
      <c r="X730" s="42"/>
      <c r="Y730" s="42"/>
      <c r="Z730" s="42"/>
      <c r="AA730" s="42"/>
      <c r="AB730" s="195"/>
      <c r="AC730" s="42"/>
      <c r="AD730" s="42"/>
      <c r="AE730" s="195"/>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c r="BM730" s="42"/>
      <c r="BN730" s="42"/>
      <c r="BO730" s="42"/>
      <c r="BP730" s="42"/>
      <c r="BQ730" s="42"/>
      <c r="BR730" s="42"/>
      <c r="BS730" s="42"/>
      <c r="BT730" s="42"/>
      <c r="BU730" s="42"/>
      <c r="BV730" s="42"/>
      <c r="BW730" s="42"/>
      <c r="BX730" s="42"/>
      <c r="BY730" s="42"/>
      <c r="BZ730" s="42"/>
      <c r="CA730" s="42"/>
      <c r="CB730" s="42"/>
      <c r="CC730" s="42"/>
      <c r="CD730" s="42"/>
      <c r="CE730" s="42"/>
      <c r="CF730" s="42"/>
      <c r="CG730" s="42"/>
      <c r="CH730" s="42"/>
      <c r="CI730" s="42"/>
      <c r="CJ730" s="42"/>
      <c r="CK730" s="42"/>
      <c r="CL730" s="42"/>
      <c r="CM730" s="42"/>
      <c r="CN730" s="42"/>
      <c r="CO730" s="42"/>
      <c r="CP730" s="42"/>
      <c r="CQ730" s="42"/>
      <c r="CR730" s="42"/>
      <c r="CS730" s="42"/>
      <c r="CT730" s="42"/>
      <c r="CU730" s="42"/>
      <c r="CV730" s="42"/>
      <c r="CW730" s="42"/>
      <c r="CX730" s="42"/>
      <c r="CY730" s="42"/>
      <c r="CZ730" s="42"/>
      <c r="DA730" s="42"/>
      <c r="DB730" s="42"/>
      <c r="DC730" s="42"/>
      <c r="DD730" s="42"/>
      <c r="DE730" s="42"/>
      <c r="DF730" s="42"/>
      <c r="DG730" s="42"/>
      <c r="DH730" s="42"/>
      <c r="DI730" s="42"/>
      <c r="DJ730" s="42"/>
      <c r="DK730" s="42"/>
      <c r="DL730" s="42"/>
      <c r="DM730" s="42"/>
      <c r="DN730" s="42"/>
      <c r="DO730" s="42"/>
      <c r="DP730" s="42"/>
      <c r="DQ730" s="42"/>
      <c r="DR730" s="42"/>
      <c r="DS730" s="42"/>
      <c r="DT730" s="42"/>
      <c r="DU730" s="42"/>
      <c r="DV730" s="42"/>
      <c r="DW730" s="42"/>
      <c r="DX730" s="42"/>
      <c r="DY730" s="42"/>
      <c r="DZ730" s="42"/>
      <c r="EA730" s="42"/>
      <c r="EB730" s="42"/>
      <c r="EC730" s="42"/>
      <c r="ED730" s="42"/>
      <c r="EE730" s="42"/>
      <c r="EF730" s="42"/>
      <c r="EG730" s="42"/>
      <c r="EH730" s="42"/>
      <c r="EI730" s="42"/>
      <c r="EJ730" s="42"/>
      <c r="EK730" s="42"/>
      <c r="EL730" s="42"/>
      <c r="EM730" s="42"/>
      <c r="EN730" s="42"/>
      <c r="EO730" s="42"/>
      <c r="EP730" s="42"/>
      <c r="EQ730" s="42"/>
      <c r="ER730" s="42"/>
      <c r="ES730" s="42"/>
      <c r="ET730" s="42"/>
      <c r="EU730" s="42"/>
      <c r="EV730" s="42"/>
      <c r="EW730" s="42"/>
      <c r="EX730" s="42"/>
      <c r="EY730" s="42"/>
      <c r="EZ730" s="42"/>
      <c r="FA730" s="42"/>
      <c r="FB730" s="42"/>
      <c r="FC730" s="42"/>
      <c r="FD730" s="42"/>
      <c r="FE730" s="42"/>
      <c r="FF730" s="42"/>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row>
    <row r="731" spans="1:256" ht="13.8" x14ac:dyDescent="0.3">
      <c r="A731" s="42"/>
      <c r="B731" s="42"/>
      <c r="C731" s="42"/>
      <c r="D731" s="42"/>
      <c r="E731" s="42"/>
      <c r="F731" s="42"/>
      <c r="G731" s="42"/>
      <c r="H731" s="42"/>
      <c r="I731" s="42"/>
      <c r="J731" s="42"/>
      <c r="K731" s="42"/>
      <c r="L731" s="42"/>
      <c r="M731" s="42"/>
      <c r="N731" s="42"/>
      <c r="O731" s="42"/>
      <c r="P731" s="42"/>
      <c r="Q731" s="42"/>
      <c r="R731" s="42"/>
      <c r="S731" s="42"/>
      <c r="T731" s="42"/>
      <c r="U731" s="194"/>
      <c r="V731" s="42"/>
      <c r="W731" s="42"/>
      <c r="X731" s="42"/>
      <c r="Y731" s="42"/>
      <c r="Z731" s="42"/>
      <c r="AA731" s="42"/>
      <c r="AB731" s="195"/>
      <c r="AC731" s="42"/>
      <c r="AD731" s="42"/>
      <c r="AE731" s="195"/>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c r="BM731" s="42"/>
      <c r="BN731" s="42"/>
      <c r="BO731" s="42"/>
      <c r="BP731" s="42"/>
      <c r="BQ731" s="42"/>
      <c r="BR731" s="42"/>
      <c r="BS731" s="42"/>
      <c r="BT731" s="42"/>
      <c r="BU731" s="42"/>
      <c r="BV731" s="42"/>
      <c r="BW731" s="42"/>
      <c r="BX731" s="42"/>
      <c r="BY731" s="42"/>
      <c r="BZ731" s="42"/>
      <c r="CA731" s="42"/>
      <c r="CB731" s="42"/>
      <c r="CC731" s="42"/>
      <c r="CD731" s="42"/>
      <c r="CE731" s="42"/>
      <c r="CF731" s="42"/>
      <c r="CG731" s="42"/>
      <c r="CH731" s="42"/>
      <c r="CI731" s="42"/>
      <c r="CJ731" s="42"/>
      <c r="CK731" s="42"/>
      <c r="CL731" s="42"/>
      <c r="CM731" s="42"/>
      <c r="CN731" s="42"/>
      <c r="CO731" s="42"/>
      <c r="CP731" s="42"/>
      <c r="CQ731" s="42"/>
      <c r="CR731" s="42"/>
      <c r="CS731" s="42"/>
      <c r="CT731" s="42"/>
      <c r="CU731" s="42"/>
      <c r="CV731" s="42"/>
      <c r="CW731" s="42"/>
      <c r="CX731" s="42"/>
      <c r="CY731" s="42"/>
      <c r="CZ731" s="42"/>
      <c r="DA731" s="42"/>
      <c r="DB731" s="42"/>
      <c r="DC731" s="42"/>
      <c r="DD731" s="42"/>
      <c r="DE731" s="42"/>
      <c r="DF731" s="42"/>
      <c r="DG731" s="42"/>
      <c r="DH731" s="42"/>
      <c r="DI731" s="42"/>
      <c r="DJ731" s="42"/>
      <c r="DK731" s="42"/>
      <c r="DL731" s="42"/>
      <c r="DM731" s="42"/>
      <c r="DN731" s="42"/>
      <c r="DO731" s="42"/>
      <c r="DP731" s="42"/>
      <c r="DQ731" s="42"/>
      <c r="DR731" s="42"/>
      <c r="DS731" s="42"/>
      <c r="DT731" s="42"/>
      <c r="DU731" s="42"/>
      <c r="DV731" s="42"/>
      <c r="DW731" s="42"/>
      <c r="DX731" s="42"/>
      <c r="DY731" s="42"/>
      <c r="DZ731" s="42"/>
      <c r="EA731" s="42"/>
      <c r="EB731" s="42"/>
      <c r="EC731" s="42"/>
      <c r="ED731" s="42"/>
      <c r="EE731" s="42"/>
      <c r="EF731" s="42"/>
      <c r="EG731" s="42"/>
      <c r="EH731" s="42"/>
      <c r="EI731" s="42"/>
      <c r="EJ731" s="42"/>
      <c r="EK731" s="42"/>
      <c r="EL731" s="42"/>
      <c r="EM731" s="42"/>
      <c r="EN731" s="42"/>
      <c r="EO731" s="42"/>
      <c r="EP731" s="42"/>
      <c r="EQ731" s="42"/>
      <c r="ER731" s="42"/>
      <c r="ES731" s="42"/>
      <c r="ET731" s="42"/>
      <c r="EU731" s="42"/>
      <c r="EV731" s="42"/>
      <c r="EW731" s="42"/>
      <c r="EX731" s="42"/>
      <c r="EY731" s="42"/>
      <c r="EZ731" s="42"/>
      <c r="FA731" s="42"/>
      <c r="FB731" s="42"/>
      <c r="FC731" s="42"/>
      <c r="FD731" s="42"/>
      <c r="FE731" s="42"/>
      <c r="FF731" s="42"/>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row>
    <row r="732" spans="1:256" ht="13.8" x14ac:dyDescent="0.3">
      <c r="A732" s="42"/>
      <c r="B732" s="42"/>
      <c r="C732" s="42"/>
      <c r="D732" s="42"/>
      <c r="E732" s="42"/>
      <c r="F732" s="42"/>
      <c r="G732" s="42"/>
      <c r="H732" s="42"/>
      <c r="I732" s="42"/>
      <c r="J732" s="42"/>
      <c r="K732" s="42"/>
      <c r="L732" s="42"/>
      <c r="M732" s="42"/>
      <c r="N732" s="42"/>
      <c r="O732" s="42"/>
      <c r="P732" s="42"/>
      <c r="Q732" s="42"/>
      <c r="R732" s="42"/>
      <c r="S732" s="42"/>
      <c r="T732" s="42"/>
      <c r="U732" s="194"/>
      <c r="V732" s="42"/>
      <c r="W732" s="42"/>
      <c r="X732" s="42"/>
      <c r="Y732" s="42"/>
      <c r="Z732" s="42"/>
      <c r="AA732" s="42"/>
      <c r="AB732" s="195"/>
      <c r="AC732" s="42"/>
      <c r="AD732" s="42"/>
      <c r="AE732" s="195"/>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c r="BM732" s="42"/>
      <c r="BN732" s="42"/>
      <c r="BO732" s="42"/>
      <c r="BP732" s="42"/>
      <c r="BQ732" s="42"/>
      <c r="BR732" s="42"/>
      <c r="BS732" s="42"/>
      <c r="BT732" s="42"/>
      <c r="BU732" s="42"/>
      <c r="BV732" s="42"/>
      <c r="BW732" s="42"/>
      <c r="BX732" s="42"/>
      <c r="BY732" s="42"/>
      <c r="BZ732" s="42"/>
      <c r="CA732" s="42"/>
      <c r="CB732" s="42"/>
      <c r="CC732" s="42"/>
      <c r="CD732" s="42"/>
      <c r="CE732" s="42"/>
      <c r="CF732" s="42"/>
      <c r="CG732" s="42"/>
      <c r="CH732" s="42"/>
      <c r="CI732" s="42"/>
      <c r="CJ732" s="42"/>
      <c r="CK732" s="42"/>
      <c r="CL732" s="42"/>
      <c r="CM732" s="42"/>
      <c r="CN732" s="42"/>
      <c r="CO732" s="42"/>
      <c r="CP732" s="42"/>
      <c r="CQ732" s="42"/>
      <c r="CR732" s="42"/>
      <c r="CS732" s="42"/>
      <c r="CT732" s="42"/>
      <c r="CU732" s="42"/>
      <c r="CV732" s="42"/>
      <c r="CW732" s="42"/>
      <c r="CX732" s="42"/>
      <c r="CY732" s="42"/>
      <c r="CZ732" s="42"/>
      <c r="DA732" s="42"/>
      <c r="DB732" s="42"/>
      <c r="DC732" s="42"/>
      <c r="DD732" s="42"/>
      <c r="DE732" s="42"/>
      <c r="DF732" s="42"/>
      <c r="DG732" s="42"/>
      <c r="DH732" s="42"/>
      <c r="DI732" s="42"/>
      <c r="DJ732" s="42"/>
      <c r="DK732" s="42"/>
      <c r="DL732" s="42"/>
      <c r="DM732" s="42"/>
      <c r="DN732" s="42"/>
      <c r="DO732" s="42"/>
      <c r="DP732" s="42"/>
      <c r="DQ732" s="42"/>
      <c r="DR732" s="42"/>
      <c r="DS732" s="42"/>
      <c r="DT732" s="42"/>
      <c r="DU732" s="42"/>
      <c r="DV732" s="42"/>
      <c r="DW732" s="42"/>
      <c r="DX732" s="42"/>
      <c r="DY732" s="42"/>
      <c r="DZ732" s="42"/>
      <c r="EA732" s="42"/>
      <c r="EB732" s="42"/>
      <c r="EC732" s="42"/>
      <c r="ED732" s="42"/>
      <c r="EE732" s="42"/>
      <c r="EF732" s="42"/>
      <c r="EG732" s="42"/>
      <c r="EH732" s="42"/>
      <c r="EI732" s="42"/>
      <c r="EJ732" s="42"/>
      <c r="EK732" s="42"/>
      <c r="EL732" s="42"/>
      <c r="EM732" s="42"/>
      <c r="EN732" s="42"/>
      <c r="EO732" s="42"/>
      <c r="EP732" s="42"/>
      <c r="EQ732" s="42"/>
      <c r="ER732" s="42"/>
      <c r="ES732" s="42"/>
      <c r="ET732" s="42"/>
      <c r="EU732" s="42"/>
      <c r="EV732" s="42"/>
      <c r="EW732" s="42"/>
      <c r="EX732" s="42"/>
      <c r="EY732" s="42"/>
      <c r="EZ732" s="42"/>
      <c r="FA732" s="42"/>
      <c r="FB732" s="42"/>
      <c r="FC732" s="42"/>
      <c r="FD732" s="42"/>
      <c r="FE732" s="42"/>
      <c r="FF732" s="42"/>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row>
    <row r="733" spans="1:256" ht="13.8" x14ac:dyDescent="0.3">
      <c r="A733" s="42"/>
      <c r="B733" s="42"/>
      <c r="C733" s="42"/>
      <c r="D733" s="42"/>
      <c r="E733" s="42"/>
      <c r="F733" s="42"/>
      <c r="G733" s="42"/>
      <c r="H733" s="42"/>
      <c r="I733" s="42"/>
      <c r="J733" s="42"/>
      <c r="K733" s="42"/>
      <c r="L733" s="42"/>
      <c r="M733" s="42"/>
      <c r="N733" s="42"/>
      <c r="O733" s="42"/>
      <c r="P733" s="42"/>
      <c r="Q733" s="42"/>
      <c r="R733" s="42"/>
      <c r="S733" s="42"/>
      <c r="T733" s="42"/>
      <c r="U733" s="194"/>
      <c r="V733" s="42"/>
      <c r="W733" s="42"/>
      <c r="X733" s="42"/>
      <c r="Y733" s="42"/>
      <c r="Z733" s="42"/>
      <c r="AA733" s="42"/>
      <c r="AB733" s="195"/>
      <c r="AC733" s="42"/>
      <c r="AD733" s="42"/>
      <c r="AE733" s="195"/>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c r="BM733" s="42"/>
      <c r="BN733" s="42"/>
      <c r="BO733" s="42"/>
      <c r="BP733" s="42"/>
      <c r="BQ733" s="42"/>
      <c r="BR733" s="42"/>
      <c r="BS733" s="42"/>
      <c r="BT733" s="42"/>
      <c r="BU733" s="42"/>
      <c r="BV733" s="42"/>
      <c r="BW733" s="42"/>
      <c r="BX733" s="42"/>
      <c r="BY733" s="42"/>
      <c r="BZ733" s="42"/>
      <c r="CA733" s="42"/>
      <c r="CB733" s="42"/>
      <c r="CC733" s="42"/>
      <c r="CD733" s="42"/>
      <c r="CE733" s="42"/>
      <c r="CF733" s="42"/>
      <c r="CG733" s="42"/>
      <c r="CH733" s="42"/>
      <c r="CI733" s="42"/>
      <c r="CJ733" s="42"/>
      <c r="CK733" s="42"/>
      <c r="CL733" s="42"/>
      <c r="CM733" s="42"/>
      <c r="CN733" s="42"/>
      <c r="CO733" s="42"/>
      <c r="CP733" s="42"/>
      <c r="CQ733" s="42"/>
      <c r="CR733" s="42"/>
      <c r="CS733" s="42"/>
      <c r="CT733" s="42"/>
      <c r="CU733" s="42"/>
      <c r="CV733" s="42"/>
      <c r="CW733" s="42"/>
      <c r="CX733" s="42"/>
      <c r="CY733" s="42"/>
      <c r="CZ733" s="42"/>
      <c r="DA733" s="42"/>
      <c r="DB733" s="42"/>
      <c r="DC733" s="42"/>
      <c r="DD733" s="42"/>
      <c r="DE733" s="42"/>
      <c r="DF733" s="42"/>
      <c r="DG733" s="42"/>
      <c r="DH733" s="42"/>
      <c r="DI733" s="42"/>
      <c r="DJ733" s="42"/>
      <c r="DK733" s="42"/>
      <c r="DL733" s="42"/>
      <c r="DM733" s="42"/>
      <c r="DN733" s="42"/>
      <c r="DO733" s="42"/>
      <c r="DP733" s="42"/>
      <c r="DQ733" s="42"/>
      <c r="DR733" s="42"/>
      <c r="DS733" s="42"/>
      <c r="DT733" s="42"/>
      <c r="DU733" s="42"/>
      <c r="DV733" s="42"/>
      <c r="DW733" s="42"/>
      <c r="DX733" s="42"/>
      <c r="DY733" s="42"/>
      <c r="DZ733" s="42"/>
      <c r="EA733" s="42"/>
      <c r="EB733" s="42"/>
      <c r="EC733" s="42"/>
      <c r="ED733" s="42"/>
      <c r="EE733" s="42"/>
      <c r="EF733" s="42"/>
      <c r="EG733" s="42"/>
      <c r="EH733" s="42"/>
      <c r="EI733" s="42"/>
      <c r="EJ733" s="42"/>
      <c r="EK733" s="42"/>
      <c r="EL733" s="42"/>
      <c r="EM733" s="42"/>
      <c r="EN733" s="42"/>
      <c r="EO733" s="42"/>
      <c r="EP733" s="42"/>
      <c r="EQ733" s="42"/>
      <c r="ER733" s="42"/>
      <c r="ES733" s="42"/>
      <c r="ET733" s="42"/>
      <c r="EU733" s="42"/>
      <c r="EV733" s="42"/>
      <c r="EW733" s="42"/>
      <c r="EX733" s="42"/>
      <c r="EY733" s="42"/>
      <c r="EZ733" s="42"/>
      <c r="FA733" s="42"/>
      <c r="FB733" s="42"/>
      <c r="FC733" s="42"/>
      <c r="FD733" s="42"/>
      <c r="FE733" s="42"/>
      <c r="FF733" s="42"/>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row>
    <row r="734" spans="1:256" ht="13.8" x14ac:dyDescent="0.3">
      <c r="A734" s="42"/>
      <c r="B734" s="42"/>
      <c r="C734" s="42"/>
      <c r="D734" s="42"/>
      <c r="E734" s="42"/>
      <c r="F734" s="42"/>
      <c r="G734" s="42"/>
      <c r="H734" s="42"/>
      <c r="I734" s="42"/>
      <c r="J734" s="42"/>
      <c r="K734" s="42"/>
      <c r="L734" s="42"/>
      <c r="M734" s="42"/>
      <c r="N734" s="42"/>
      <c r="O734" s="42"/>
      <c r="P734" s="42"/>
      <c r="Q734" s="42"/>
      <c r="R734" s="42"/>
      <c r="S734" s="42"/>
      <c r="T734" s="42"/>
      <c r="U734" s="194"/>
      <c r="V734" s="42"/>
      <c r="W734" s="42"/>
      <c r="X734" s="42"/>
      <c r="Y734" s="42"/>
      <c r="Z734" s="42"/>
      <c r="AA734" s="42"/>
      <c r="AB734" s="195"/>
      <c r="AC734" s="42"/>
      <c r="AD734" s="42"/>
      <c r="AE734" s="195"/>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c r="BM734" s="42"/>
      <c r="BN734" s="42"/>
      <c r="BO734" s="42"/>
      <c r="BP734" s="42"/>
      <c r="BQ734" s="42"/>
      <c r="BR734" s="42"/>
      <c r="BS734" s="42"/>
      <c r="BT734" s="42"/>
      <c r="BU734" s="42"/>
      <c r="BV734" s="42"/>
      <c r="BW734" s="42"/>
      <c r="BX734" s="42"/>
      <c r="BY734" s="42"/>
      <c r="BZ734" s="42"/>
      <c r="CA734" s="42"/>
      <c r="CB734" s="42"/>
      <c r="CC734" s="42"/>
      <c r="CD734" s="42"/>
      <c r="CE734" s="42"/>
      <c r="CF734" s="42"/>
      <c r="CG734" s="42"/>
      <c r="CH734" s="42"/>
      <c r="CI734" s="42"/>
      <c r="CJ734" s="42"/>
      <c r="CK734" s="42"/>
      <c r="CL734" s="42"/>
      <c r="CM734" s="42"/>
      <c r="CN734" s="42"/>
      <c r="CO734" s="42"/>
      <c r="CP734" s="42"/>
      <c r="CQ734" s="42"/>
      <c r="CR734" s="42"/>
      <c r="CS734" s="42"/>
      <c r="CT734" s="42"/>
      <c r="CU734" s="42"/>
      <c r="CV734" s="42"/>
      <c r="CW734" s="42"/>
      <c r="CX734" s="42"/>
      <c r="CY734" s="42"/>
      <c r="CZ734" s="42"/>
      <c r="DA734" s="42"/>
      <c r="DB734" s="42"/>
      <c r="DC734" s="42"/>
      <c r="DD734" s="42"/>
      <c r="DE734" s="42"/>
      <c r="DF734" s="42"/>
      <c r="DG734" s="42"/>
      <c r="DH734" s="42"/>
      <c r="DI734" s="42"/>
      <c r="DJ734" s="42"/>
      <c r="DK734" s="42"/>
      <c r="DL734" s="42"/>
      <c r="DM734" s="42"/>
      <c r="DN734" s="42"/>
      <c r="DO734" s="42"/>
      <c r="DP734" s="42"/>
      <c r="DQ734" s="42"/>
      <c r="DR734" s="42"/>
      <c r="DS734" s="42"/>
      <c r="DT734" s="42"/>
      <c r="DU734" s="42"/>
      <c r="DV734" s="42"/>
      <c r="DW734" s="42"/>
      <c r="DX734" s="42"/>
      <c r="DY734" s="42"/>
      <c r="DZ734" s="42"/>
      <c r="EA734" s="42"/>
      <c r="EB734" s="42"/>
      <c r="EC734" s="42"/>
      <c r="ED734" s="42"/>
      <c r="EE734" s="42"/>
      <c r="EF734" s="42"/>
      <c r="EG734" s="42"/>
      <c r="EH734" s="42"/>
      <c r="EI734" s="42"/>
      <c r="EJ734" s="42"/>
      <c r="EK734" s="42"/>
      <c r="EL734" s="42"/>
      <c r="EM734" s="42"/>
      <c r="EN734" s="42"/>
      <c r="EO734" s="42"/>
      <c r="EP734" s="42"/>
      <c r="EQ734" s="42"/>
      <c r="ER734" s="42"/>
      <c r="ES734" s="42"/>
      <c r="ET734" s="42"/>
      <c r="EU734" s="42"/>
      <c r="EV734" s="42"/>
      <c r="EW734" s="42"/>
      <c r="EX734" s="42"/>
      <c r="EY734" s="42"/>
      <c r="EZ734" s="42"/>
      <c r="FA734" s="42"/>
      <c r="FB734" s="42"/>
      <c r="FC734" s="42"/>
      <c r="FD734" s="42"/>
      <c r="FE734" s="42"/>
      <c r="FF734" s="42"/>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row>
    <row r="735" spans="1:256" ht="13.8" x14ac:dyDescent="0.3">
      <c r="A735" s="42"/>
      <c r="B735" s="42"/>
      <c r="C735" s="42"/>
      <c r="D735" s="42"/>
      <c r="E735" s="42"/>
      <c r="F735" s="42"/>
      <c r="G735" s="42"/>
      <c r="H735" s="42"/>
      <c r="I735" s="42"/>
      <c r="J735" s="42"/>
      <c r="K735" s="42"/>
      <c r="L735" s="42"/>
      <c r="M735" s="42"/>
      <c r="N735" s="42"/>
      <c r="O735" s="42"/>
      <c r="P735" s="42"/>
      <c r="Q735" s="42"/>
      <c r="R735" s="42"/>
      <c r="S735" s="42"/>
      <c r="T735" s="42"/>
      <c r="U735" s="194"/>
      <c r="V735" s="42"/>
      <c r="W735" s="42"/>
      <c r="X735" s="42"/>
      <c r="Y735" s="42"/>
      <c r="Z735" s="42"/>
      <c r="AA735" s="42"/>
      <c r="AB735" s="195"/>
      <c r="AC735" s="42"/>
      <c r="AD735" s="42"/>
      <c r="AE735" s="195"/>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c r="BM735" s="42"/>
      <c r="BN735" s="42"/>
      <c r="BO735" s="42"/>
      <c r="BP735" s="42"/>
      <c r="BQ735" s="42"/>
      <c r="BR735" s="42"/>
      <c r="BS735" s="42"/>
      <c r="BT735" s="42"/>
      <c r="BU735" s="42"/>
      <c r="BV735" s="42"/>
      <c r="BW735" s="42"/>
      <c r="BX735" s="42"/>
      <c r="BY735" s="42"/>
      <c r="BZ735" s="42"/>
      <c r="CA735" s="42"/>
      <c r="CB735" s="42"/>
      <c r="CC735" s="42"/>
      <c r="CD735" s="42"/>
      <c r="CE735" s="42"/>
      <c r="CF735" s="42"/>
      <c r="CG735" s="42"/>
      <c r="CH735" s="42"/>
      <c r="CI735" s="42"/>
      <c r="CJ735" s="42"/>
      <c r="CK735" s="42"/>
      <c r="CL735" s="42"/>
      <c r="CM735" s="42"/>
      <c r="CN735" s="42"/>
      <c r="CO735" s="42"/>
      <c r="CP735" s="42"/>
      <c r="CQ735" s="42"/>
      <c r="CR735" s="42"/>
      <c r="CS735" s="42"/>
      <c r="CT735" s="42"/>
      <c r="CU735" s="42"/>
      <c r="CV735" s="42"/>
      <c r="CW735" s="42"/>
      <c r="CX735" s="42"/>
      <c r="CY735" s="42"/>
      <c r="CZ735" s="42"/>
      <c r="DA735" s="42"/>
      <c r="DB735" s="42"/>
      <c r="DC735" s="42"/>
      <c r="DD735" s="42"/>
      <c r="DE735" s="42"/>
      <c r="DF735" s="42"/>
      <c r="DG735" s="42"/>
      <c r="DH735" s="42"/>
      <c r="DI735" s="42"/>
      <c r="DJ735" s="42"/>
      <c r="DK735" s="42"/>
      <c r="DL735" s="42"/>
      <c r="DM735" s="42"/>
      <c r="DN735" s="42"/>
      <c r="DO735" s="42"/>
      <c r="DP735" s="42"/>
      <c r="DQ735" s="42"/>
      <c r="DR735" s="42"/>
      <c r="DS735" s="42"/>
      <c r="DT735" s="42"/>
      <c r="DU735" s="42"/>
      <c r="DV735" s="42"/>
      <c r="DW735" s="42"/>
      <c r="DX735" s="42"/>
      <c r="DY735" s="42"/>
      <c r="DZ735" s="42"/>
      <c r="EA735" s="42"/>
      <c r="EB735" s="42"/>
      <c r="EC735" s="42"/>
      <c r="ED735" s="42"/>
      <c r="EE735" s="42"/>
      <c r="EF735" s="42"/>
      <c r="EG735" s="42"/>
      <c r="EH735" s="42"/>
      <c r="EI735" s="42"/>
      <c r="EJ735" s="42"/>
      <c r="EK735" s="42"/>
      <c r="EL735" s="42"/>
      <c r="EM735" s="42"/>
      <c r="EN735" s="42"/>
      <c r="EO735" s="42"/>
      <c r="EP735" s="42"/>
      <c r="EQ735" s="42"/>
      <c r="ER735" s="42"/>
      <c r="ES735" s="42"/>
      <c r="ET735" s="42"/>
      <c r="EU735" s="42"/>
      <c r="EV735" s="42"/>
      <c r="EW735" s="42"/>
      <c r="EX735" s="42"/>
      <c r="EY735" s="42"/>
      <c r="EZ735" s="42"/>
      <c r="FA735" s="42"/>
      <c r="FB735" s="42"/>
      <c r="FC735" s="42"/>
      <c r="FD735" s="42"/>
      <c r="FE735" s="42"/>
      <c r="FF735" s="42"/>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row>
    <row r="736" spans="1:256" ht="13.8" x14ac:dyDescent="0.3">
      <c r="A736" s="42"/>
      <c r="B736" s="42"/>
      <c r="C736" s="42"/>
      <c r="D736" s="42"/>
      <c r="E736" s="42"/>
      <c r="F736" s="42"/>
      <c r="G736" s="42"/>
      <c r="H736" s="42"/>
      <c r="I736" s="42"/>
      <c r="J736" s="42"/>
      <c r="K736" s="42"/>
      <c r="L736" s="42"/>
      <c r="M736" s="42"/>
      <c r="N736" s="42"/>
      <c r="O736" s="42"/>
      <c r="P736" s="42"/>
      <c r="Q736" s="42"/>
      <c r="R736" s="42"/>
      <c r="S736" s="42"/>
      <c r="T736" s="42"/>
      <c r="U736" s="194"/>
      <c r="V736" s="42"/>
      <c r="W736" s="42"/>
      <c r="X736" s="42"/>
      <c r="Y736" s="42"/>
      <c r="Z736" s="42"/>
      <c r="AA736" s="42"/>
      <c r="AB736" s="195"/>
      <c r="AC736" s="42"/>
      <c r="AD736" s="42"/>
      <c r="AE736" s="195"/>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c r="BM736" s="42"/>
      <c r="BN736" s="42"/>
      <c r="BO736" s="42"/>
      <c r="BP736" s="42"/>
      <c r="BQ736" s="42"/>
      <c r="BR736" s="42"/>
      <c r="BS736" s="42"/>
      <c r="BT736" s="42"/>
      <c r="BU736" s="42"/>
      <c r="BV736" s="42"/>
      <c r="BW736" s="42"/>
      <c r="BX736" s="42"/>
      <c r="BY736" s="42"/>
      <c r="BZ736" s="42"/>
      <c r="CA736" s="42"/>
      <c r="CB736" s="42"/>
      <c r="CC736" s="42"/>
      <c r="CD736" s="42"/>
      <c r="CE736" s="42"/>
      <c r="CF736" s="42"/>
      <c r="CG736" s="42"/>
      <c r="CH736" s="42"/>
      <c r="CI736" s="42"/>
      <c r="CJ736" s="42"/>
      <c r="CK736" s="42"/>
      <c r="CL736" s="42"/>
      <c r="CM736" s="42"/>
      <c r="CN736" s="42"/>
      <c r="CO736" s="42"/>
      <c r="CP736" s="42"/>
      <c r="CQ736" s="42"/>
      <c r="CR736" s="42"/>
      <c r="CS736" s="42"/>
      <c r="CT736" s="42"/>
      <c r="CU736" s="42"/>
      <c r="CV736" s="42"/>
      <c r="CW736" s="42"/>
      <c r="CX736" s="42"/>
      <c r="CY736" s="42"/>
      <c r="CZ736" s="42"/>
      <c r="DA736" s="42"/>
      <c r="DB736" s="42"/>
      <c r="DC736" s="42"/>
      <c r="DD736" s="42"/>
      <c r="DE736" s="42"/>
      <c r="DF736" s="42"/>
      <c r="DG736" s="42"/>
      <c r="DH736" s="42"/>
      <c r="DI736" s="42"/>
      <c r="DJ736" s="42"/>
      <c r="DK736" s="42"/>
      <c r="DL736" s="42"/>
      <c r="DM736" s="42"/>
      <c r="DN736" s="42"/>
      <c r="DO736" s="42"/>
      <c r="DP736" s="42"/>
      <c r="DQ736" s="42"/>
      <c r="DR736" s="42"/>
      <c r="DS736" s="42"/>
      <c r="DT736" s="42"/>
      <c r="DU736" s="42"/>
      <c r="DV736" s="42"/>
      <c r="DW736" s="42"/>
      <c r="DX736" s="42"/>
      <c r="DY736" s="42"/>
      <c r="DZ736" s="42"/>
      <c r="EA736" s="42"/>
      <c r="EB736" s="42"/>
      <c r="EC736" s="42"/>
      <c r="ED736" s="42"/>
      <c r="EE736" s="42"/>
      <c r="EF736" s="42"/>
      <c r="EG736" s="42"/>
      <c r="EH736" s="42"/>
      <c r="EI736" s="42"/>
      <c r="EJ736" s="42"/>
      <c r="EK736" s="42"/>
      <c r="EL736" s="42"/>
      <c r="EM736" s="42"/>
      <c r="EN736" s="42"/>
      <c r="EO736" s="42"/>
      <c r="EP736" s="42"/>
      <c r="EQ736" s="42"/>
      <c r="ER736" s="42"/>
      <c r="ES736" s="42"/>
      <c r="ET736" s="42"/>
      <c r="EU736" s="42"/>
      <c r="EV736" s="42"/>
      <c r="EW736" s="42"/>
      <c r="EX736" s="42"/>
      <c r="EY736" s="42"/>
      <c r="EZ736" s="42"/>
      <c r="FA736" s="42"/>
      <c r="FB736" s="42"/>
      <c r="FC736" s="42"/>
      <c r="FD736" s="42"/>
      <c r="FE736" s="42"/>
      <c r="FF736" s="42"/>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row>
    <row r="737" spans="1:256" ht="13.8" x14ac:dyDescent="0.3">
      <c r="A737" s="42"/>
      <c r="B737" s="42"/>
      <c r="C737" s="42"/>
      <c r="D737" s="42"/>
      <c r="E737" s="42"/>
      <c r="F737" s="42"/>
      <c r="G737" s="42"/>
      <c r="H737" s="42"/>
      <c r="I737" s="42"/>
      <c r="J737" s="42"/>
      <c r="K737" s="42"/>
      <c r="L737" s="42"/>
      <c r="M737" s="42"/>
      <c r="N737" s="42"/>
      <c r="O737" s="42"/>
      <c r="P737" s="42"/>
      <c r="Q737" s="42"/>
      <c r="R737" s="42"/>
      <c r="S737" s="42"/>
      <c r="T737" s="42"/>
      <c r="U737" s="194"/>
      <c r="V737" s="42"/>
      <c r="W737" s="42"/>
      <c r="X737" s="42"/>
      <c r="Y737" s="42"/>
      <c r="Z737" s="42"/>
      <c r="AA737" s="42"/>
      <c r="AB737" s="195"/>
      <c r="AC737" s="42"/>
      <c r="AD737" s="42"/>
      <c r="AE737" s="195"/>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c r="BM737" s="42"/>
      <c r="BN737" s="42"/>
      <c r="BO737" s="42"/>
      <c r="BP737" s="42"/>
      <c r="BQ737" s="42"/>
      <c r="BR737" s="42"/>
      <c r="BS737" s="42"/>
      <c r="BT737" s="42"/>
      <c r="BU737" s="42"/>
      <c r="BV737" s="42"/>
      <c r="BW737" s="42"/>
      <c r="BX737" s="42"/>
      <c r="BY737" s="42"/>
      <c r="BZ737" s="42"/>
      <c r="CA737" s="42"/>
      <c r="CB737" s="42"/>
      <c r="CC737" s="42"/>
      <c r="CD737" s="42"/>
      <c r="CE737" s="42"/>
      <c r="CF737" s="42"/>
      <c r="CG737" s="42"/>
      <c r="CH737" s="42"/>
      <c r="CI737" s="42"/>
      <c r="CJ737" s="42"/>
      <c r="CK737" s="42"/>
      <c r="CL737" s="42"/>
      <c r="CM737" s="42"/>
      <c r="CN737" s="42"/>
      <c r="CO737" s="42"/>
      <c r="CP737" s="42"/>
      <c r="CQ737" s="42"/>
      <c r="CR737" s="42"/>
      <c r="CS737" s="42"/>
      <c r="CT737" s="42"/>
      <c r="CU737" s="42"/>
      <c r="CV737" s="42"/>
      <c r="CW737" s="42"/>
      <c r="CX737" s="42"/>
      <c r="CY737" s="42"/>
      <c r="CZ737" s="42"/>
      <c r="DA737" s="42"/>
      <c r="DB737" s="42"/>
      <c r="DC737" s="42"/>
      <c r="DD737" s="42"/>
      <c r="DE737" s="42"/>
      <c r="DF737" s="42"/>
      <c r="DG737" s="42"/>
      <c r="DH737" s="42"/>
      <c r="DI737" s="42"/>
      <c r="DJ737" s="42"/>
      <c r="DK737" s="42"/>
      <c r="DL737" s="42"/>
      <c r="DM737" s="42"/>
      <c r="DN737" s="42"/>
      <c r="DO737" s="42"/>
      <c r="DP737" s="42"/>
      <c r="DQ737" s="42"/>
      <c r="DR737" s="42"/>
      <c r="DS737" s="42"/>
      <c r="DT737" s="42"/>
      <c r="DU737" s="42"/>
      <c r="DV737" s="42"/>
      <c r="DW737" s="42"/>
      <c r="DX737" s="42"/>
      <c r="DY737" s="42"/>
      <c r="DZ737" s="42"/>
      <c r="EA737" s="42"/>
      <c r="EB737" s="42"/>
      <c r="EC737" s="42"/>
      <c r="ED737" s="42"/>
      <c r="EE737" s="42"/>
      <c r="EF737" s="42"/>
      <c r="EG737" s="42"/>
      <c r="EH737" s="42"/>
      <c r="EI737" s="42"/>
      <c r="EJ737" s="42"/>
      <c r="EK737" s="42"/>
      <c r="EL737" s="42"/>
      <c r="EM737" s="42"/>
      <c r="EN737" s="42"/>
      <c r="EO737" s="42"/>
      <c r="EP737" s="42"/>
      <c r="EQ737" s="42"/>
      <c r="ER737" s="42"/>
      <c r="ES737" s="42"/>
      <c r="ET737" s="42"/>
      <c r="EU737" s="42"/>
      <c r="EV737" s="42"/>
      <c r="EW737" s="42"/>
      <c r="EX737" s="42"/>
      <c r="EY737" s="42"/>
      <c r="EZ737" s="42"/>
      <c r="FA737" s="42"/>
      <c r="FB737" s="42"/>
      <c r="FC737" s="42"/>
      <c r="FD737" s="42"/>
      <c r="FE737" s="42"/>
      <c r="FF737" s="42"/>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row>
    <row r="738" spans="1:256" ht="13.8" x14ac:dyDescent="0.3">
      <c r="A738" s="42"/>
      <c r="B738" s="42"/>
      <c r="C738" s="42"/>
      <c r="D738" s="42"/>
      <c r="E738" s="42"/>
      <c r="F738" s="42"/>
      <c r="G738" s="42"/>
      <c r="H738" s="42"/>
      <c r="I738" s="42"/>
      <c r="J738" s="42"/>
      <c r="K738" s="42"/>
      <c r="L738" s="42"/>
      <c r="M738" s="42"/>
      <c r="N738" s="42"/>
      <c r="O738" s="42"/>
      <c r="P738" s="42"/>
      <c r="Q738" s="42"/>
      <c r="R738" s="42"/>
      <c r="S738" s="42"/>
      <c r="T738" s="42"/>
      <c r="U738" s="194"/>
      <c r="V738" s="42"/>
      <c r="W738" s="42"/>
      <c r="X738" s="42"/>
      <c r="Y738" s="42"/>
      <c r="Z738" s="42"/>
      <c r="AA738" s="42"/>
      <c r="AB738" s="195"/>
      <c r="AC738" s="42"/>
      <c r="AD738" s="42"/>
      <c r="AE738" s="195"/>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c r="BM738" s="42"/>
      <c r="BN738" s="42"/>
      <c r="BO738" s="42"/>
      <c r="BP738" s="42"/>
      <c r="BQ738" s="42"/>
      <c r="BR738" s="42"/>
      <c r="BS738" s="42"/>
      <c r="BT738" s="42"/>
      <c r="BU738" s="42"/>
      <c r="BV738" s="42"/>
      <c r="BW738" s="42"/>
      <c r="BX738" s="42"/>
      <c r="BY738" s="42"/>
      <c r="BZ738" s="42"/>
      <c r="CA738" s="42"/>
      <c r="CB738" s="42"/>
      <c r="CC738" s="42"/>
      <c r="CD738" s="42"/>
      <c r="CE738" s="42"/>
      <c r="CF738" s="42"/>
      <c r="CG738" s="42"/>
      <c r="CH738" s="42"/>
      <c r="CI738" s="42"/>
      <c r="CJ738" s="42"/>
      <c r="CK738" s="42"/>
      <c r="CL738" s="42"/>
      <c r="CM738" s="42"/>
      <c r="CN738" s="42"/>
      <c r="CO738" s="42"/>
      <c r="CP738" s="42"/>
      <c r="CQ738" s="42"/>
      <c r="CR738" s="42"/>
      <c r="CS738" s="42"/>
      <c r="CT738" s="42"/>
      <c r="CU738" s="42"/>
      <c r="CV738" s="42"/>
      <c r="CW738" s="42"/>
      <c r="CX738" s="42"/>
      <c r="CY738" s="42"/>
      <c r="CZ738" s="42"/>
      <c r="DA738" s="42"/>
      <c r="DB738" s="42"/>
      <c r="DC738" s="42"/>
      <c r="DD738" s="42"/>
      <c r="DE738" s="42"/>
      <c r="DF738" s="42"/>
      <c r="DG738" s="42"/>
      <c r="DH738" s="42"/>
      <c r="DI738" s="42"/>
      <c r="DJ738" s="42"/>
      <c r="DK738" s="42"/>
      <c r="DL738" s="42"/>
      <c r="DM738" s="42"/>
      <c r="DN738" s="42"/>
      <c r="DO738" s="42"/>
      <c r="DP738" s="42"/>
      <c r="DQ738" s="42"/>
      <c r="DR738" s="42"/>
      <c r="DS738" s="42"/>
      <c r="DT738" s="42"/>
      <c r="DU738" s="42"/>
      <c r="DV738" s="42"/>
      <c r="DW738" s="42"/>
      <c r="DX738" s="42"/>
      <c r="DY738" s="42"/>
      <c r="DZ738" s="42"/>
      <c r="EA738" s="42"/>
      <c r="EB738" s="42"/>
      <c r="EC738" s="42"/>
      <c r="ED738" s="42"/>
      <c r="EE738" s="42"/>
      <c r="EF738" s="42"/>
      <c r="EG738" s="42"/>
      <c r="EH738" s="42"/>
      <c r="EI738" s="42"/>
      <c r="EJ738" s="42"/>
      <c r="EK738" s="42"/>
      <c r="EL738" s="42"/>
      <c r="EM738" s="42"/>
      <c r="EN738" s="42"/>
      <c r="EO738" s="42"/>
      <c r="EP738" s="42"/>
      <c r="EQ738" s="42"/>
      <c r="ER738" s="42"/>
      <c r="ES738" s="42"/>
      <c r="ET738" s="42"/>
      <c r="EU738" s="42"/>
      <c r="EV738" s="42"/>
      <c r="EW738" s="42"/>
      <c r="EX738" s="42"/>
      <c r="EY738" s="42"/>
      <c r="EZ738" s="42"/>
      <c r="FA738" s="42"/>
      <c r="FB738" s="42"/>
      <c r="FC738" s="42"/>
      <c r="FD738" s="42"/>
      <c r="FE738" s="42"/>
      <c r="FF738" s="42"/>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row>
    <row r="739" spans="1:256" ht="13.8" x14ac:dyDescent="0.3">
      <c r="A739" s="42"/>
      <c r="B739" s="42"/>
      <c r="C739" s="42"/>
      <c r="D739" s="42"/>
      <c r="E739" s="42"/>
      <c r="F739" s="42"/>
      <c r="G739" s="42"/>
      <c r="H739" s="42"/>
      <c r="I739" s="42"/>
      <c r="J739" s="42"/>
      <c r="K739" s="42"/>
      <c r="L739" s="42"/>
      <c r="M739" s="42"/>
      <c r="N739" s="42"/>
      <c r="O739" s="42"/>
      <c r="P739" s="42"/>
      <c r="Q739" s="42"/>
      <c r="R739" s="42"/>
      <c r="S739" s="42"/>
      <c r="T739" s="42"/>
      <c r="U739" s="194"/>
      <c r="V739" s="42"/>
      <c r="W739" s="42"/>
      <c r="X739" s="42"/>
      <c r="Y739" s="42"/>
      <c r="Z739" s="42"/>
      <c r="AA739" s="42"/>
      <c r="AB739" s="195"/>
      <c r="AC739" s="42"/>
      <c r="AD739" s="42"/>
      <c r="AE739" s="195"/>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c r="BM739" s="42"/>
      <c r="BN739" s="42"/>
      <c r="BO739" s="42"/>
      <c r="BP739" s="42"/>
      <c r="BQ739" s="42"/>
      <c r="BR739" s="42"/>
      <c r="BS739" s="42"/>
      <c r="BT739" s="42"/>
      <c r="BU739" s="42"/>
      <c r="BV739" s="42"/>
      <c r="BW739" s="42"/>
      <c r="BX739" s="42"/>
      <c r="BY739" s="42"/>
      <c r="BZ739" s="42"/>
      <c r="CA739" s="42"/>
      <c r="CB739" s="42"/>
      <c r="CC739" s="42"/>
      <c r="CD739" s="42"/>
      <c r="CE739" s="42"/>
      <c r="CF739" s="42"/>
      <c r="CG739" s="42"/>
      <c r="CH739" s="42"/>
      <c r="CI739" s="42"/>
      <c r="CJ739" s="42"/>
      <c r="CK739" s="42"/>
      <c r="CL739" s="42"/>
      <c r="CM739" s="42"/>
      <c r="CN739" s="42"/>
      <c r="CO739" s="42"/>
      <c r="CP739" s="42"/>
      <c r="CQ739" s="42"/>
      <c r="CR739" s="42"/>
      <c r="CS739" s="42"/>
      <c r="CT739" s="42"/>
      <c r="CU739" s="42"/>
      <c r="CV739" s="42"/>
      <c r="CW739" s="42"/>
      <c r="CX739" s="42"/>
      <c r="CY739" s="42"/>
      <c r="CZ739" s="42"/>
      <c r="DA739" s="42"/>
      <c r="DB739" s="42"/>
      <c r="DC739" s="42"/>
      <c r="DD739" s="42"/>
      <c r="DE739" s="42"/>
      <c r="DF739" s="42"/>
      <c r="DG739" s="42"/>
      <c r="DH739" s="42"/>
      <c r="DI739" s="42"/>
      <c r="DJ739" s="42"/>
      <c r="DK739" s="42"/>
      <c r="DL739" s="42"/>
      <c r="DM739" s="42"/>
      <c r="DN739" s="42"/>
      <c r="DO739" s="42"/>
      <c r="DP739" s="42"/>
      <c r="DQ739" s="42"/>
      <c r="DR739" s="42"/>
      <c r="DS739" s="42"/>
      <c r="DT739" s="42"/>
      <c r="DU739" s="42"/>
      <c r="DV739" s="42"/>
      <c r="DW739" s="42"/>
      <c r="DX739" s="42"/>
      <c r="DY739" s="42"/>
      <c r="DZ739" s="42"/>
      <c r="EA739" s="42"/>
      <c r="EB739" s="42"/>
      <c r="EC739" s="42"/>
      <c r="ED739" s="42"/>
      <c r="EE739" s="42"/>
      <c r="EF739" s="42"/>
      <c r="EG739" s="42"/>
      <c r="EH739" s="42"/>
      <c r="EI739" s="42"/>
      <c r="EJ739" s="42"/>
      <c r="EK739" s="42"/>
      <c r="EL739" s="42"/>
      <c r="EM739" s="42"/>
      <c r="EN739" s="42"/>
      <c r="EO739" s="42"/>
      <c r="EP739" s="42"/>
      <c r="EQ739" s="42"/>
      <c r="ER739" s="42"/>
      <c r="ES739" s="42"/>
      <c r="ET739" s="42"/>
      <c r="EU739" s="42"/>
      <c r="EV739" s="42"/>
      <c r="EW739" s="42"/>
      <c r="EX739" s="42"/>
      <c r="EY739" s="42"/>
      <c r="EZ739" s="42"/>
      <c r="FA739" s="42"/>
      <c r="FB739" s="42"/>
      <c r="FC739" s="42"/>
      <c r="FD739" s="42"/>
      <c r="FE739" s="42"/>
      <c r="FF739" s="42"/>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row>
    <row r="740" spans="1:256" ht="13.8" x14ac:dyDescent="0.3">
      <c r="A740" s="42"/>
      <c r="B740" s="42"/>
      <c r="C740" s="42"/>
      <c r="D740" s="42"/>
      <c r="E740" s="42"/>
      <c r="F740" s="42"/>
      <c r="G740" s="42"/>
      <c r="H740" s="42"/>
      <c r="I740" s="42"/>
      <c r="J740" s="42"/>
      <c r="K740" s="42"/>
      <c r="L740" s="42"/>
      <c r="M740" s="42"/>
      <c r="N740" s="42"/>
      <c r="O740" s="42"/>
      <c r="P740" s="42"/>
      <c r="Q740" s="42"/>
      <c r="R740" s="42"/>
      <c r="S740" s="42"/>
      <c r="T740" s="42"/>
      <c r="U740" s="194"/>
      <c r="V740" s="42"/>
      <c r="W740" s="42"/>
      <c r="X740" s="42"/>
      <c r="Y740" s="42"/>
      <c r="Z740" s="42"/>
      <c r="AA740" s="42"/>
      <c r="AB740" s="195"/>
      <c r="AC740" s="42"/>
      <c r="AD740" s="42"/>
      <c r="AE740" s="195"/>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c r="BM740" s="42"/>
      <c r="BN740" s="42"/>
      <c r="BO740" s="42"/>
      <c r="BP740" s="42"/>
      <c r="BQ740" s="42"/>
      <c r="BR740" s="42"/>
      <c r="BS740" s="42"/>
      <c r="BT740" s="42"/>
      <c r="BU740" s="42"/>
      <c r="BV740" s="42"/>
      <c r="BW740" s="42"/>
      <c r="BX740" s="42"/>
      <c r="BY740" s="42"/>
      <c r="BZ740" s="42"/>
      <c r="CA740" s="42"/>
      <c r="CB740" s="42"/>
      <c r="CC740" s="42"/>
      <c r="CD740" s="42"/>
      <c r="CE740" s="42"/>
      <c r="CF740" s="42"/>
      <c r="CG740" s="42"/>
      <c r="CH740" s="42"/>
      <c r="CI740" s="42"/>
      <c r="CJ740" s="42"/>
      <c r="CK740" s="42"/>
      <c r="CL740" s="42"/>
      <c r="CM740" s="42"/>
      <c r="CN740" s="42"/>
      <c r="CO740" s="42"/>
      <c r="CP740" s="42"/>
      <c r="CQ740" s="42"/>
      <c r="CR740" s="42"/>
      <c r="CS740" s="42"/>
      <c r="CT740" s="42"/>
      <c r="CU740" s="42"/>
      <c r="CV740" s="42"/>
      <c r="CW740" s="42"/>
      <c r="CX740" s="42"/>
      <c r="CY740" s="42"/>
      <c r="CZ740" s="42"/>
      <c r="DA740" s="42"/>
      <c r="DB740" s="42"/>
      <c r="DC740" s="42"/>
      <c r="DD740" s="42"/>
      <c r="DE740" s="42"/>
      <c r="DF740" s="42"/>
      <c r="DG740" s="42"/>
      <c r="DH740" s="42"/>
      <c r="DI740" s="42"/>
      <c r="DJ740" s="42"/>
      <c r="DK740" s="42"/>
      <c r="DL740" s="42"/>
      <c r="DM740" s="42"/>
      <c r="DN740" s="42"/>
      <c r="DO740" s="42"/>
      <c r="DP740" s="42"/>
      <c r="DQ740" s="42"/>
      <c r="DR740" s="42"/>
      <c r="DS740" s="42"/>
      <c r="DT740" s="42"/>
      <c r="DU740" s="42"/>
      <c r="DV740" s="42"/>
      <c r="DW740" s="42"/>
      <c r="DX740" s="42"/>
      <c r="DY740" s="42"/>
      <c r="DZ740" s="42"/>
      <c r="EA740" s="42"/>
      <c r="EB740" s="42"/>
      <c r="EC740" s="42"/>
      <c r="ED740" s="42"/>
      <c r="EE740" s="42"/>
      <c r="EF740" s="42"/>
      <c r="EG740" s="42"/>
      <c r="EH740" s="42"/>
      <c r="EI740" s="42"/>
      <c r="EJ740" s="42"/>
      <c r="EK740" s="42"/>
      <c r="EL740" s="42"/>
      <c r="EM740" s="42"/>
      <c r="EN740" s="42"/>
      <c r="EO740" s="42"/>
      <c r="EP740" s="42"/>
      <c r="EQ740" s="42"/>
      <c r="ER740" s="42"/>
      <c r="ES740" s="42"/>
      <c r="ET740" s="42"/>
      <c r="EU740" s="42"/>
      <c r="EV740" s="42"/>
      <c r="EW740" s="42"/>
      <c r="EX740" s="42"/>
      <c r="EY740" s="42"/>
      <c r="EZ740" s="42"/>
      <c r="FA740" s="42"/>
      <c r="FB740" s="42"/>
      <c r="FC740" s="42"/>
      <c r="FD740" s="42"/>
      <c r="FE740" s="42"/>
      <c r="FF740" s="42"/>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row>
    <row r="741" spans="1:256" ht="13.8" x14ac:dyDescent="0.3">
      <c r="A741" s="42"/>
      <c r="B741" s="42"/>
      <c r="C741" s="42"/>
      <c r="D741" s="42"/>
      <c r="E741" s="42"/>
      <c r="F741" s="42"/>
      <c r="G741" s="42"/>
      <c r="H741" s="42"/>
      <c r="I741" s="42"/>
      <c r="J741" s="42"/>
      <c r="K741" s="42"/>
      <c r="L741" s="42"/>
      <c r="M741" s="42"/>
      <c r="N741" s="42"/>
      <c r="O741" s="42"/>
      <c r="P741" s="42"/>
      <c r="Q741" s="42"/>
      <c r="R741" s="42"/>
      <c r="S741" s="42"/>
      <c r="T741" s="42"/>
      <c r="U741" s="194"/>
      <c r="V741" s="42"/>
      <c r="W741" s="42"/>
      <c r="X741" s="42"/>
      <c r="Y741" s="42"/>
      <c r="Z741" s="42"/>
      <c r="AA741" s="42"/>
      <c r="AB741" s="195"/>
      <c r="AC741" s="42"/>
      <c r="AD741" s="42"/>
      <c r="AE741" s="195"/>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c r="BM741" s="42"/>
      <c r="BN741" s="42"/>
      <c r="BO741" s="42"/>
      <c r="BP741" s="42"/>
      <c r="BQ741" s="42"/>
      <c r="BR741" s="42"/>
      <c r="BS741" s="42"/>
      <c r="BT741" s="42"/>
      <c r="BU741" s="42"/>
      <c r="BV741" s="42"/>
      <c r="BW741" s="42"/>
      <c r="BX741" s="42"/>
      <c r="BY741" s="42"/>
      <c r="BZ741" s="42"/>
      <c r="CA741" s="42"/>
      <c r="CB741" s="42"/>
      <c r="CC741" s="42"/>
      <c r="CD741" s="42"/>
      <c r="CE741" s="42"/>
      <c r="CF741" s="42"/>
      <c r="CG741" s="42"/>
      <c r="CH741" s="42"/>
      <c r="CI741" s="42"/>
      <c r="CJ741" s="42"/>
      <c r="CK741" s="42"/>
      <c r="CL741" s="42"/>
      <c r="CM741" s="42"/>
      <c r="CN741" s="42"/>
      <c r="CO741" s="42"/>
      <c r="CP741" s="42"/>
      <c r="CQ741" s="42"/>
      <c r="CR741" s="42"/>
      <c r="CS741" s="42"/>
      <c r="CT741" s="42"/>
      <c r="CU741" s="42"/>
      <c r="CV741" s="42"/>
      <c r="CW741" s="42"/>
      <c r="CX741" s="42"/>
      <c r="CY741" s="42"/>
      <c r="CZ741" s="42"/>
      <c r="DA741" s="42"/>
      <c r="DB741" s="42"/>
      <c r="DC741" s="42"/>
      <c r="DD741" s="42"/>
      <c r="DE741" s="42"/>
      <c r="DF741" s="42"/>
      <c r="DG741" s="42"/>
      <c r="DH741" s="42"/>
      <c r="DI741" s="42"/>
      <c r="DJ741" s="42"/>
      <c r="DK741" s="42"/>
      <c r="DL741" s="42"/>
      <c r="DM741" s="42"/>
      <c r="DN741" s="42"/>
      <c r="DO741" s="42"/>
      <c r="DP741" s="42"/>
      <c r="DQ741" s="42"/>
      <c r="DR741" s="42"/>
      <c r="DS741" s="42"/>
      <c r="DT741" s="42"/>
      <c r="DU741" s="42"/>
      <c r="DV741" s="42"/>
      <c r="DW741" s="42"/>
      <c r="DX741" s="42"/>
      <c r="DY741" s="42"/>
      <c r="DZ741" s="42"/>
      <c r="EA741" s="42"/>
      <c r="EB741" s="42"/>
      <c r="EC741" s="42"/>
      <c r="ED741" s="42"/>
      <c r="EE741" s="42"/>
      <c r="EF741" s="42"/>
      <c r="EG741" s="42"/>
      <c r="EH741" s="42"/>
      <c r="EI741" s="42"/>
      <c r="EJ741" s="42"/>
      <c r="EK741" s="42"/>
      <c r="EL741" s="42"/>
      <c r="EM741" s="42"/>
      <c r="EN741" s="42"/>
      <c r="EO741" s="42"/>
      <c r="EP741" s="42"/>
      <c r="EQ741" s="42"/>
      <c r="ER741" s="42"/>
      <c r="ES741" s="42"/>
      <c r="ET741" s="42"/>
      <c r="EU741" s="42"/>
      <c r="EV741" s="42"/>
      <c r="EW741" s="42"/>
      <c r="EX741" s="42"/>
      <c r="EY741" s="42"/>
      <c r="EZ741" s="42"/>
      <c r="FA741" s="42"/>
      <c r="FB741" s="42"/>
      <c r="FC741" s="42"/>
      <c r="FD741" s="42"/>
      <c r="FE741" s="42"/>
      <c r="FF741" s="42"/>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row>
    <row r="742" spans="1:256" ht="13.8" x14ac:dyDescent="0.3">
      <c r="A742" s="42"/>
      <c r="B742" s="42"/>
      <c r="C742" s="42"/>
      <c r="D742" s="42"/>
      <c r="E742" s="42"/>
      <c r="F742" s="42"/>
      <c r="G742" s="42"/>
      <c r="H742" s="42"/>
      <c r="I742" s="42"/>
      <c r="J742" s="42"/>
      <c r="K742" s="42"/>
      <c r="L742" s="42"/>
      <c r="M742" s="42"/>
      <c r="N742" s="42"/>
      <c r="O742" s="42"/>
      <c r="P742" s="42"/>
      <c r="Q742" s="42"/>
      <c r="R742" s="42"/>
      <c r="S742" s="42"/>
      <c r="T742" s="42"/>
      <c r="U742" s="194"/>
      <c r="V742" s="42"/>
      <c r="W742" s="42"/>
      <c r="X742" s="42"/>
      <c r="Y742" s="42"/>
      <c r="Z742" s="42"/>
      <c r="AA742" s="42"/>
      <c r="AB742" s="195"/>
      <c r="AC742" s="42"/>
      <c r="AD742" s="42"/>
      <c r="AE742" s="195"/>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c r="BM742" s="42"/>
      <c r="BN742" s="42"/>
      <c r="BO742" s="42"/>
      <c r="BP742" s="42"/>
      <c r="BQ742" s="42"/>
      <c r="BR742" s="42"/>
      <c r="BS742" s="42"/>
      <c r="BT742" s="42"/>
      <c r="BU742" s="42"/>
      <c r="BV742" s="42"/>
      <c r="BW742" s="42"/>
      <c r="BX742" s="42"/>
      <c r="BY742" s="42"/>
      <c r="BZ742" s="42"/>
      <c r="CA742" s="42"/>
      <c r="CB742" s="42"/>
      <c r="CC742" s="42"/>
      <c r="CD742" s="42"/>
      <c r="CE742" s="42"/>
      <c r="CF742" s="42"/>
      <c r="CG742" s="42"/>
      <c r="CH742" s="42"/>
      <c r="CI742" s="42"/>
      <c r="CJ742" s="42"/>
      <c r="CK742" s="42"/>
      <c r="CL742" s="42"/>
      <c r="CM742" s="42"/>
      <c r="CN742" s="42"/>
      <c r="CO742" s="42"/>
      <c r="CP742" s="42"/>
      <c r="CQ742" s="42"/>
      <c r="CR742" s="42"/>
      <c r="CS742" s="42"/>
      <c r="CT742" s="42"/>
      <c r="CU742" s="42"/>
      <c r="CV742" s="42"/>
      <c r="CW742" s="42"/>
      <c r="CX742" s="42"/>
      <c r="CY742" s="42"/>
      <c r="CZ742" s="42"/>
      <c r="DA742" s="42"/>
      <c r="DB742" s="42"/>
      <c r="DC742" s="42"/>
      <c r="DD742" s="42"/>
      <c r="DE742" s="42"/>
      <c r="DF742" s="42"/>
      <c r="DG742" s="42"/>
      <c r="DH742" s="42"/>
      <c r="DI742" s="42"/>
      <c r="DJ742" s="42"/>
      <c r="DK742" s="42"/>
      <c r="DL742" s="42"/>
      <c r="DM742" s="42"/>
      <c r="DN742" s="42"/>
      <c r="DO742" s="42"/>
      <c r="DP742" s="42"/>
      <c r="DQ742" s="42"/>
      <c r="DR742" s="42"/>
      <c r="DS742" s="42"/>
      <c r="DT742" s="42"/>
      <c r="DU742" s="42"/>
      <c r="DV742" s="42"/>
      <c r="DW742" s="42"/>
      <c r="DX742" s="42"/>
      <c r="DY742" s="42"/>
      <c r="DZ742" s="42"/>
      <c r="EA742" s="42"/>
      <c r="EB742" s="42"/>
      <c r="EC742" s="42"/>
      <c r="ED742" s="42"/>
      <c r="EE742" s="42"/>
      <c r="EF742" s="42"/>
      <c r="EG742" s="42"/>
      <c r="EH742" s="42"/>
      <c r="EI742" s="42"/>
      <c r="EJ742" s="42"/>
      <c r="EK742" s="42"/>
      <c r="EL742" s="42"/>
      <c r="EM742" s="42"/>
      <c r="EN742" s="42"/>
      <c r="EO742" s="42"/>
      <c r="EP742" s="42"/>
      <c r="EQ742" s="42"/>
      <c r="ER742" s="42"/>
      <c r="ES742" s="42"/>
      <c r="ET742" s="42"/>
      <c r="EU742" s="42"/>
      <c r="EV742" s="42"/>
      <c r="EW742" s="42"/>
      <c r="EX742" s="42"/>
      <c r="EY742" s="42"/>
      <c r="EZ742" s="42"/>
      <c r="FA742" s="42"/>
      <c r="FB742" s="42"/>
      <c r="FC742" s="42"/>
      <c r="FD742" s="42"/>
      <c r="FE742" s="42"/>
      <c r="FF742" s="42"/>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row>
    <row r="743" spans="1:256" ht="13.8" x14ac:dyDescent="0.3">
      <c r="A743" s="42"/>
      <c r="B743" s="42"/>
      <c r="C743" s="42"/>
      <c r="D743" s="42"/>
      <c r="E743" s="42"/>
      <c r="F743" s="42"/>
      <c r="G743" s="42"/>
      <c r="H743" s="42"/>
      <c r="I743" s="42"/>
      <c r="J743" s="42"/>
      <c r="K743" s="42"/>
      <c r="L743" s="42"/>
      <c r="M743" s="42"/>
      <c r="N743" s="42"/>
      <c r="O743" s="42"/>
      <c r="P743" s="42"/>
      <c r="Q743" s="42"/>
      <c r="R743" s="42"/>
      <c r="S743" s="42"/>
      <c r="T743" s="42"/>
      <c r="U743" s="194"/>
      <c r="V743" s="42"/>
      <c r="W743" s="42"/>
      <c r="X743" s="42"/>
      <c r="Y743" s="42"/>
      <c r="Z743" s="42"/>
      <c r="AA743" s="42"/>
      <c r="AB743" s="195"/>
      <c r="AC743" s="42"/>
      <c r="AD743" s="42"/>
      <c r="AE743" s="195"/>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c r="BM743" s="42"/>
      <c r="BN743" s="42"/>
      <c r="BO743" s="42"/>
      <c r="BP743" s="42"/>
      <c r="BQ743" s="42"/>
      <c r="BR743" s="42"/>
      <c r="BS743" s="42"/>
      <c r="BT743" s="42"/>
      <c r="BU743" s="42"/>
      <c r="BV743" s="42"/>
      <c r="BW743" s="42"/>
      <c r="BX743" s="42"/>
      <c r="BY743" s="42"/>
      <c r="BZ743" s="42"/>
      <c r="CA743" s="42"/>
      <c r="CB743" s="42"/>
      <c r="CC743" s="42"/>
      <c r="CD743" s="42"/>
      <c r="CE743" s="42"/>
      <c r="CF743" s="42"/>
      <c r="CG743" s="42"/>
      <c r="CH743" s="42"/>
      <c r="CI743" s="42"/>
      <c r="CJ743" s="42"/>
      <c r="CK743" s="42"/>
      <c r="CL743" s="42"/>
      <c r="CM743" s="42"/>
      <c r="CN743" s="42"/>
      <c r="CO743" s="42"/>
      <c r="CP743" s="42"/>
      <c r="CQ743" s="42"/>
      <c r="CR743" s="42"/>
      <c r="CS743" s="42"/>
      <c r="CT743" s="42"/>
      <c r="CU743" s="42"/>
      <c r="CV743" s="42"/>
      <c r="CW743" s="42"/>
      <c r="CX743" s="42"/>
      <c r="CY743" s="42"/>
      <c r="CZ743" s="42"/>
      <c r="DA743" s="42"/>
      <c r="DB743" s="42"/>
      <c r="DC743" s="42"/>
      <c r="DD743" s="42"/>
      <c r="DE743" s="42"/>
      <c r="DF743" s="42"/>
      <c r="DG743" s="42"/>
      <c r="DH743" s="42"/>
      <c r="DI743" s="42"/>
      <c r="DJ743" s="42"/>
      <c r="DK743" s="42"/>
      <c r="DL743" s="42"/>
      <c r="DM743" s="42"/>
      <c r="DN743" s="42"/>
      <c r="DO743" s="42"/>
      <c r="DP743" s="42"/>
      <c r="DQ743" s="42"/>
      <c r="DR743" s="42"/>
      <c r="DS743" s="42"/>
      <c r="DT743" s="42"/>
      <c r="DU743" s="42"/>
      <c r="DV743" s="42"/>
      <c r="DW743" s="42"/>
      <c r="DX743" s="42"/>
      <c r="DY743" s="42"/>
      <c r="DZ743" s="42"/>
      <c r="EA743" s="42"/>
      <c r="EB743" s="42"/>
      <c r="EC743" s="42"/>
      <c r="ED743" s="42"/>
      <c r="EE743" s="42"/>
      <c r="EF743" s="42"/>
      <c r="EG743" s="42"/>
      <c r="EH743" s="42"/>
      <c r="EI743" s="42"/>
      <c r="EJ743" s="42"/>
      <c r="EK743" s="42"/>
      <c r="EL743" s="42"/>
      <c r="EM743" s="42"/>
      <c r="EN743" s="42"/>
      <c r="EO743" s="42"/>
      <c r="EP743" s="42"/>
      <c r="EQ743" s="42"/>
      <c r="ER743" s="42"/>
      <c r="ES743" s="42"/>
      <c r="ET743" s="42"/>
      <c r="EU743" s="42"/>
      <c r="EV743" s="42"/>
      <c r="EW743" s="42"/>
      <c r="EX743" s="42"/>
      <c r="EY743" s="42"/>
      <c r="EZ743" s="42"/>
      <c r="FA743" s="42"/>
      <c r="FB743" s="42"/>
      <c r="FC743" s="42"/>
      <c r="FD743" s="42"/>
      <c r="FE743" s="42"/>
      <c r="FF743" s="42"/>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row>
    <row r="744" spans="1:256" ht="13.8" x14ac:dyDescent="0.3">
      <c r="A744" s="42"/>
      <c r="B744" s="42"/>
      <c r="C744" s="42"/>
      <c r="D744" s="42"/>
      <c r="E744" s="42"/>
      <c r="F744" s="42"/>
      <c r="G744" s="42"/>
      <c r="H744" s="42"/>
      <c r="I744" s="42"/>
      <c r="J744" s="42"/>
      <c r="K744" s="42"/>
      <c r="L744" s="42"/>
      <c r="M744" s="42"/>
      <c r="N744" s="42"/>
      <c r="O744" s="42"/>
      <c r="P744" s="42"/>
      <c r="Q744" s="42"/>
      <c r="R744" s="42"/>
      <c r="S744" s="42"/>
      <c r="T744" s="42"/>
      <c r="U744" s="194"/>
      <c r="V744" s="42"/>
      <c r="W744" s="42"/>
      <c r="X744" s="42"/>
      <c r="Y744" s="42"/>
      <c r="Z744" s="42"/>
      <c r="AA744" s="42"/>
      <c r="AB744" s="195"/>
      <c r="AC744" s="42"/>
      <c r="AD744" s="42"/>
      <c r="AE744" s="195"/>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c r="BM744" s="42"/>
      <c r="BN744" s="42"/>
      <c r="BO744" s="42"/>
      <c r="BP744" s="42"/>
      <c r="BQ744" s="42"/>
      <c r="BR744" s="42"/>
      <c r="BS744" s="42"/>
      <c r="BT744" s="42"/>
      <c r="BU744" s="42"/>
      <c r="BV744" s="42"/>
      <c r="BW744" s="42"/>
      <c r="BX744" s="42"/>
      <c r="BY744" s="42"/>
      <c r="BZ744" s="42"/>
      <c r="CA744" s="42"/>
      <c r="CB744" s="42"/>
      <c r="CC744" s="42"/>
      <c r="CD744" s="42"/>
      <c r="CE744" s="42"/>
      <c r="CF744" s="42"/>
      <c r="CG744" s="42"/>
      <c r="CH744" s="42"/>
      <c r="CI744" s="42"/>
      <c r="CJ744" s="42"/>
      <c r="CK744" s="42"/>
      <c r="CL744" s="42"/>
      <c r="CM744" s="42"/>
      <c r="CN744" s="42"/>
      <c r="CO744" s="42"/>
      <c r="CP744" s="42"/>
      <c r="CQ744" s="42"/>
      <c r="CR744" s="42"/>
      <c r="CS744" s="42"/>
      <c r="CT744" s="42"/>
      <c r="CU744" s="42"/>
      <c r="CV744" s="42"/>
      <c r="CW744" s="42"/>
      <c r="CX744" s="42"/>
      <c r="CY744" s="42"/>
      <c r="CZ744" s="42"/>
      <c r="DA744" s="42"/>
      <c r="DB744" s="42"/>
      <c r="DC744" s="42"/>
      <c r="DD744" s="42"/>
      <c r="DE744" s="42"/>
      <c r="DF744" s="42"/>
      <c r="DG744" s="42"/>
      <c r="DH744" s="42"/>
      <c r="DI744" s="42"/>
      <c r="DJ744" s="42"/>
      <c r="DK744" s="42"/>
      <c r="DL744" s="42"/>
      <c r="DM744" s="42"/>
      <c r="DN744" s="42"/>
      <c r="DO744" s="42"/>
      <c r="DP744" s="42"/>
      <c r="DQ744" s="42"/>
      <c r="DR744" s="42"/>
      <c r="DS744" s="42"/>
      <c r="DT744" s="42"/>
      <c r="DU744" s="42"/>
      <c r="DV744" s="42"/>
      <c r="DW744" s="42"/>
      <c r="DX744" s="42"/>
      <c r="DY744" s="42"/>
      <c r="DZ744" s="42"/>
      <c r="EA744" s="42"/>
      <c r="EB744" s="42"/>
      <c r="EC744" s="42"/>
      <c r="ED744" s="42"/>
      <c r="EE744" s="42"/>
      <c r="EF744" s="42"/>
      <c r="EG744" s="42"/>
      <c r="EH744" s="42"/>
      <c r="EI744" s="42"/>
      <c r="EJ744" s="42"/>
      <c r="EK744" s="42"/>
      <c r="EL744" s="42"/>
      <c r="EM744" s="42"/>
      <c r="EN744" s="42"/>
      <c r="EO744" s="42"/>
      <c r="EP744" s="42"/>
      <c r="EQ744" s="42"/>
      <c r="ER744" s="42"/>
      <c r="ES744" s="42"/>
      <c r="ET744" s="42"/>
      <c r="EU744" s="42"/>
      <c r="EV744" s="42"/>
      <c r="EW744" s="42"/>
      <c r="EX744" s="42"/>
      <c r="EY744" s="42"/>
      <c r="EZ744" s="42"/>
      <c r="FA744" s="42"/>
      <c r="FB744" s="42"/>
      <c r="FC744" s="42"/>
      <c r="FD744" s="42"/>
      <c r="FE744" s="42"/>
      <c r="FF744" s="42"/>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row>
    <row r="745" spans="1:256" ht="13.8" x14ac:dyDescent="0.3">
      <c r="A745" s="42"/>
      <c r="B745" s="42"/>
      <c r="C745" s="42"/>
      <c r="D745" s="42"/>
      <c r="E745" s="42"/>
      <c r="F745" s="42"/>
      <c r="G745" s="42"/>
      <c r="H745" s="42"/>
      <c r="I745" s="42"/>
      <c r="J745" s="42"/>
      <c r="K745" s="42"/>
      <c r="L745" s="42"/>
      <c r="M745" s="42"/>
      <c r="N745" s="42"/>
      <c r="O745" s="42"/>
      <c r="P745" s="42"/>
      <c r="Q745" s="42"/>
      <c r="R745" s="42"/>
      <c r="S745" s="42"/>
      <c r="T745" s="42"/>
      <c r="U745" s="194"/>
      <c r="V745" s="42"/>
      <c r="W745" s="42"/>
      <c r="X745" s="42"/>
      <c r="Y745" s="42"/>
      <c r="Z745" s="42"/>
      <c r="AA745" s="42"/>
      <c r="AB745" s="195"/>
      <c r="AC745" s="42"/>
      <c r="AD745" s="42"/>
      <c r="AE745" s="195"/>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c r="BM745" s="42"/>
      <c r="BN745" s="42"/>
      <c r="BO745" s="42"/>
      <c r="BP745" s="42"/>
      <c r="BQ745" s="42"/>
      <c r="BR745" s="42"/>
      <c r="BS745" s="42"/>
      <c r="BT745" s="42"/>
      <c r="BU745" s="42"/>
      <c r="BV745" s="42"/>
      <c r="BW745" s="42"/>
      <c r="BX745" s="42"/>
      <c r="BY745" s="42"/>
      <c r="BZ745" s="42"/>
      <c r="CA745" s="42"/>
      <c r="CB745" s="42"/>
      <c r="CC745" s="42"/>
      <c r="CD745" s="42"/>
      <c r="CE745" s="42"/>
      <c r="CF745" s="42"/>
      <c r="CG745" s="42"/>
      <c r="CH745" s="42"/>
      <c r="CI745" s="42"/>
      <c r="CJ745" s="42"/>
      <c r="CK745" s="42"/>
      <c r="CL745" s="42"/>
      <c r="CM745" s="42"/>
      <c r="CN745" s="42"/>
      <c r="CO745" s="42"/>
      <c r="CP745" s="42"/>
      <c r="CQ745" s="42"/>
      <c r="CR745" s="42"/>
      <c r="CS745" s="42"/>
      <c r="CT745" s="42"/>
      <c r="CU745" s="42"/>
      <c r="CV745" s="42"/>
      <c r="CW745" s="42"/>
      <c r="CX745" s="42"/>
      <c r="CY745" s="42"/>
      <c r="CZ745" s="42"/>
      <c r="DA745" s="42"/>
      <c r="DB745" s="42"/>
      <c r="DC745" s="42"/>
      <c r="DD745" s="42"/>
      <c r="DE745" s="42"/>
      <c r="DF745" s="42"/>
      <c r="DG745" s="42"/>
      <c r="DH745" s="42"/>
      <c r="DI745" s="42"/>
      <c r="DJ745" s="42"/>
      <c r="DK745" s="42"/>
      <c r="DL745" s="42"/>
      <c r="DM745" s="42"/>
      <c r="DN745" s="42"/>
      <c r="DO745" s="42"/>
      <c r="DP745" s="42"/>
      <c r="DQ745" s="42"/>
      <c r="DR745" s="42"/>
      <c r="DS745" s="42"/>
      <c r="DT745" s="42"/>
      <c r="DU745" s="42"/>
      <c r="DV745" s="42"/>
      <c r="DW745" s="42"/>
      <c r="DX745" s="42"/>
      <c r="DY745" s="42"/>
      <c r="DZ745" s="42"/>
      <c r="EA745" s="42"/>
      <c r="EB745" s="42"/>
      <c r="EC745" s="42"/>
      <c r="ED745" s="42"/>
      <c r="EE745" s="42"/>
      <c r="EF745" s="42"/>
      <c r="EG745" s="42"/>
      <c r="EH745" s="42"/>
      <c r="EI745" s="42"/>
      <c r="EJ745" s="42"/>
      <c r="EK745" s="42"/>
      <c r="EL745" s="42"/>
      <c r="EM745" s="42"/>
      <c r="EN745" s="42"/>
      <c r="EO745" s="42"/>
      <c r="EP745" s="42"/>
      <c r="EQ745" s="42"/>
      <c r="ER745" s="42"/>
      <c r="ES745" s="42"/>
      <c r="ET745" s="42"/>
      <c r="EU745" s="42"/>
      <c r="EV745" s="42"/>
      <c r="EW745" s="42"/>
      <c r="EX745" s="42"/>
      <c r="EY745" s="42"/>
      <c r="EZ745" s="42"/>
      <c r="FA745" s="42"/>
      <c r="FB745" s="42"/>
      <c r="FC745" s="42"/>
      <c r="FD745" s="42"/>
      <c r="FE745" s="42"/>
      <c r="FF745" s="42"/>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row>
    <row r="746" spans="1:256" ht="13.8" x14ac:dyDescent="0.3">
      <c r="A746" s="42"/>
      <c r="B746" s="42"/>
      <c r="C746" s="42"/>
      <c r="D746" s="42"/>
      <c r="E746" s="42"/>
      <c r="F746" s="42"/>
      <c r="G746" s="42"/>
      <c r="H746" s="42"/>
      <c r="I746" s="42"/>
      <c r="J746" s="42"/>
      <c r="K746" s="42"/>
      <c r="L746" s="42"/>
      <c r="M746" s="42"/>
      <c r="N746" s="42"/>
      <c r="O746" s="42"/>
      <c r="P746" s="42"/>
      <c r="Q746" s="42"/>
      <c r="R746" s="42"/>
      <c r="S746" s="42"/>
      <c r="T746" s="42"/>
      <c r="U746" s="194"/>
      <c r="V746" s="42"/>
      <c r="W746" s="42"/>
      <c r="X746" s="42"/>
      <c r="Y746" s="42"/>
      <c r="Z746" s="42"/>
      <c r="AA746" s="42"/>
      <c r="AB746" s="195"/>
      <c r="AC746" s="42"/>
      <c r="AD746" s="42"/>
      <c r="AE746" s="195"/>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c r="BM746" s="42"/>
      <c r="BN746" s="42"/>
      <c r="BO746" s="42"/>
      <c r="BP746" s="42"/>
      <c r="BQ746" s="42"/>
      <c r="BR746" s="42"/>
      <c r="BS746" s="42"/>
      <c r="BT746" s="42"/>
      <c r="BU746" s="42"/>
      <c r="BV746" s="42"/>
      <c r="BW746" s="42"/>
      <c r="BX746" s="42"/>
      <c r="BY746" s="42"/>
      <c r="BZ746" s="42"/>
      <c r="CA746" s="42"/>
      <c r="CB746" s="42"/>
      <c r="CC746" s="42"/>
      <c r="CD746" s="42"/>
      <c r="CE746" s="42"/>
      <c r="CF746" s="42"/>
      <c r="CG746" s="42"/>
      <c r="CH746" s="42"/>
      <c r="CI746" s="42"/>
      <c r="CJ746" s="42"/>
      <c r="CK746" s="42"/>
      <c r="CL746" s="42"/>
      <c r="CM746" s="42"/>
      <c r="CN746" s="42"/>
      <c r="CO746" s="42"/>
      <c r="CP746" s="42"/>
      <c r="CQ746" s="42"/>
      <c r="CR746" s="42"/>
      <c r="CS746" s="42"/>
      <c r="CT746" s="42"/>
      <c r="CU746" s="42"/>
      <c r="CV746" s="42"/>
      <c r="CW746" s="42"/>
      <c r="CX746" s="42"/>
      <c r="CY746" s="42"/>
      <c r="CZ746" s="42"/>
      <c r="DA746" s="42"/>
      <c r="DB746" s="42"/>
      <c r="DC746" s="42"/>
      <c r="DD746" s="42"/>
      <c r="DE746" s="42"/>
      <c r="DF746" s="42"/>
      <c r="DG746" s="42"/>
      <c r="DH746" s="42"/>
      <c r="DI746" s="42"/>
      <c r="DJ746" s="42"/>
      <c r="DK746" s="42"/>
      <c r="DL746" s="42"/>
      <c r="DM746" s="42"/>
      <c r="DN746" s="42"/>
      <c r="DO746" s="42"/>
      <c r="DP746" s="42"/>
      <c r="DQ746" s="42"/>
      <c r="DR746" s="42"/>
      <c r="DS746" s="42"/>
      <c r="DT746" s="42"/>
      <c r="DU746" s="42"/>
      <c r="DV746" s="42"/>
      <c r="DW746" s="42"/>
      <c r="DX746" s="42"/>
      <c r="DY746" s="42"/>
      <c r="DZ746" s="42"/>
      <c r="EA746" s="42"/>
      <c r="EB746" s="42"/>
      <c r="EC746" s="42"/>
      <c r="ED746" s="42"/>
      <c r="EE746" s="42"/>
      <c r="EF746" s="42"/>
      <c r="EG746" s="42"/>
      <c r="EH746" s="42"/>
      <c r="EI746" s="42"/>
      <c r="EJ746" s="42"/>
      <c r="EK746" s="42"/>
      <c r="EL746" s="42"/>
      <c r="EM746" s="42"/>
      <c r="EN746" s="42"/>
      <c r="EO746" s="42"/>
      <c r="EP746" s="42"/>
      <c r="EQ746" s="42"/>
      <c r="ER746" s="42"/>
      <c r="ES746" s="42"/>
      <c r="ET746" s="42"/>
      <c r="EU746" s="42"/>
      <c r="EV746" s="42"/>
      <c r="EW746" s="42"/>
      <c r="EX746" s="42"/>
      <c r="EY746" s="42"/>
      <c r="EZ746" s="42"/>
      <c r="FA746" s="42"/>
      <c r="FB746" s="42"/>
      <c r="FC746" s="42"/>
      <c r="FD746" s="42"/>
      <c r="FE746" s="42"/>
      <c r="FF746" s="42"/>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row>
    <row r="747" spans="1:256" ht="13.8" x14ac:dyDescent="0.3">
      <c r="A747" s="42"/>
      <c r="B747" s="42"/>
      <c r="C747" s="42"/>
      <c r="D747" s="42"/>
      <c r="E747" s="42"/>
      <c r="F747" s="42"/>
      <c r="G747" s="42"/>
      <c r="H747" s="42"/>
      <c r="I747" s="42"/>
      <c r="J747" s="42"/>
      <c r="K747" s="42"/>
      <c r="L747" s="42"/>
      <c r="M747" s="42"/>
      <c r="N747" s="42"/>
      <c r="O747" s="42"/>
      <c r="P747" s="42"/>
      <c r="Q747" s="42"/>
      <c r="R747" s="42"/>
      <c r="S747" s="42"/>
      <c r="T747" s="42"/>
      <c r="U747" s="194"/>
      <c r="V747" s="42"/>
      <c r="W747" s="42"/>
      <c r="X747" s="42"/>
      <c r="Y747" s="42"/>
      <c r="Z747" s="42"/>
      <c r="AA747" s="42"/>
      <c r="AB747" s="195"/>
      <c r="AC747" s="42"/>
      <c r="AD747" s="42"/>
      <c r="AE747" s="195"/>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c r="BM747" s="42"/>
      <c r="BN747" s="42"/>
      <c r="BO747" s="42"/>
      <c r="BP747" s="42"/>
      <c r="BQ747" s="42"/>
      <c r="BR747" s="42"/>
      <c r="BS747" s="42"/>
      <c r="BT747" s="42"/>
      <c r="BU747" s="42"/>
      <c r="BV747" s="42"/>
      <c r="BW747" s="42"/>
      <c r="BX747" s="42"/>
      <c r="BY747" s="42"/>
      <c r="BZ747" s="42"/>
      <c r="CA747" s="42"/>
      <c r="CB747" s="42"/>
      <c r="CC747" s="42"/>
      <c r="CD747" s="42"/>
      <c r="CE747" s="42"/>
      <c r="CF747" s="42"/>
      <c r="CG747" s="42"/>
      <c r="CH747" s="42"/>
      <c r="CI747" s="42"/>
      <c r="CJ747" s="42"/>
      <c r="CK747" s="42"/>
      <c r="CL747" s="42"/>
      <c r="CM747" s="42"/>
      <c r="CN747" s="42"/>
      <c r="CO747" s="42"/>
      <c r="CP747" s="42"/>
      <c r="CQ747" s="42"/>
      <c r="CR747" s="42"/>
      <c r="CS747" s="42"/>
      <c r="CT747" s="42"/>
      <c r="CU747" s="42"/>
      <c r="CV747" s="42"/>
      <c r="CW747" s="42"/>
      <c r="CX747" s="42"/>
      <c r="CY747" s="42"/>
      <c r="CZ747" s="42"/>
      <c r="DA747" s="42"/>
      <c r="DB747" s="42"/>
      <c r="DC747" s="42"/>
      <c r="DD747" s="42"/>
      <c r="DE747" s="42"/>
      <c r="DF747" s="42"/>
      <c r="DG747" s="42"/>
      <c r="DH747" s="42"/>
      <c r="DI747" s="42"/>
      <c r="DJ747" s="42"/>
      <c r="DK747" s="42"/>
      <c r="DL747" s="42"/>
      <c r="DM747" s="42"/>
      <c r="DN747" s="42"/>
      <c r="DO747" s="42"/>
      <c r="DP747" s="42"/>
      <c r="DQ747" s="42"/>
      <c r="DR747" s="42"/>
      <c r="DS747" s="42"/>
      <c r="DT747" s="42"/>
      <c r="DU747" s="42"/>
      <c r="DV747" s="42"/>
      <c r="DW747" s="42"/>
      <c r="DX747" s="42"/>
      <c r="DY747" s="42"/>
      <c r="DZ747" s="42"/>
      <c r="EA747" s="42"/>
      <c r="EB747" s="42"/>
      <c r="EC747" s="42"/>
      <c r="ED747" s="42"/>
      <c r="EE747" s="42"/>
      <c r="EF747" s="42"/>
      <c r="EG747" s="42"/>
      <c r="EH747" s="42"/>
      <c r="EI747" s="42"/>
      <c r="EJ747" s="42"/>
      <c r="EK747" s="42"/>
      <c r="EL747" s="42"/>
      <c r="EM747" s="42"/>
      <c r="EN747" s="42"/>
      <c r="EO747" s="42"/>
      <c r="EP747" s="42"/>
      <c r="EQ747" s="42"/>
      <c r="ER747" s="42"/>
      <c r="ES747" s="42"/>
      <c r="ET747" s="42"/>
      <c r="EU747" s="42"/>
      <c r="EV747" s="42"/>
      <c r="EW747" s="42"/>
      <c r="EX747" s="42"/>
      <c r="EY747" s="42"/>
      <c r="EZ747" s="42"/>
      <c r="FA747" s="42"/>
      <c r="FB747" s="42"/>
      <c r="FC747" s="42"/>
      <c r="FD747" s="42"/>
      <c r="FE747" s="42"/>
      <c r="FF747" s="42"/>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row>
    <row r="748" spans="1:256" ht="13.8" x14ac:dyDescent="0.3">
      <c r="A748" s="42"/>
      <c r="B748" s="42"/>
      <c r="C748" s="42"/>
      <c r="D748" s="42"/>
      <c r="E748" s="42"/>
      <c r="F748" s="42"/>
      <c r="G748" s="42"/>
      <c r="H748" s="42"/>
      <c r="I748" s="42"/>
      <c r="J748" s="42"/>
      <c r="K748" s="42"/>
      <c r="L748" s="42"/>
      <c r="M748" s="42"/>
      <c r="N748" s="42"/>
      <c r="O748" s="42"/>
      <c r="P748" s="42"/>
      <c r="Q748" s="42"/>
      <c r="R748" s="42"/>
      <c r="S748" s="42"/>
      <c r="T748" s="42"/>
      <c r="U748" s="194"/>
      <c r="V748" s="42"/>
      <c r="W748" s="42"/>
      <c r="X748" s="42"/>
      <c r="Y748" s="42"/>
      <c r="Z748" s="42"/>
      <c r="AA748" s="42"/>
      <c r="AB748" s="195"/>
      <c r="AC748" s="42"/>
      <c r="AD748" s="42"/>
      <c r="AE748" s="195"/>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c r="BM748" s="42"/>
      <c r="BN748" s="42"/>
      <c r="BO748" s="42"/>
      <c r="BP748" s="42"/>
      <c r="BQ748" s="42"/>
      <c r="BR748" s="42"/>
      <c r="BS748" s="42"/>
      <c r="BT748" s="42"/>
      <c r="BU748" s="42"/>
      <c r="BV748" s="42"/>
      <c r="BW748" s="42"/>
      <c r="BX748" s="42"/>
      <c r="BY748" s="42"/>
      <c r="BZ748" s="42"/>
      <c r="CA748" s="42"/>
      <c r="CB748" s="42"/>
      <c r="CC748" s="42"/>
      <c r="CD748" s="42"/>
      <c r="CE748" s="42"/>
      <c r="CF748" s="42"/>
      <c r="CG748" s="42"/>
      <c r="CH748" s="42"/>
      <c r="CI748" s="42"/>
      <c r="CJ748" s="42"/>
      <c r="CK748" s="42"/>
      <c r="CL748" s="42"/>
      <c r="CM748" s="42"/>
      <c r="CN748" s="42"/>
      <c r="CO748" s="42"/>
      <c r="CP748" s="42"/>
      <c r="CQ748" s="42"/>
      <c r="CR748" s="42"/>
      <c r="CS748" s="42"/>
      <c r="CT748" s="42"/>
      <c r="CU748" s="42"/>
      <c r="CV748" s="42"/>
      <c r="CW748" s="42"/>
      <c r="CX748" s="42"/>
      <c r="CY748" s="42"/>
      <c r="CZ748" s="42"/>
      <c r="DA748" s="42"/>
      <c r="DB748" s="42"/>
      <c r="DC748" s="42"/>
      <c r="DD748" s="42"/>
      <c r="DE748" s="42"/>
      <c r="DF748" s="42"/>
      <c r="DG748" s="42"/>
      <c r="DH748" s="42"/>
      <c r="DI748" s="42"/>
      <c r="DJ748" s="42"/>
      <c r="DK748" s="42"/>
      <c r="DL748" s="42"/>
      <c r="DM748" s="42"/>
      <c r="DN748" s="42"/>
      <c r="DO748" s="42"/>
      <c r="DP748" s="42"/>
      <c r="DQ748" s="42"/>
      <c r="DR748" s="42"/>
      <c r="DS748" s="42"/>
      <c r="DT748" s="42"/>
      <c r="DU748" s="42"/>
      <c r="DV748" s="42"/>
      <c r="DW748" s="42"/>
      <c r="DX748" s="42"/>
      <c r="DY748" s="42"/>
      <c r="DZ748" s="42"/>
      <c r="EA748" s="42"/>
      <c r="EB748" s="42"/>
      <c r="EC748" s="42"/>
      <c r="ED748" s="42"/>
      <c r="EE748" s="42"/>
      <c r="EF748" s="42"/>
      <c r="EG748" s="42"/>
      <c r="EH748" s="42"/>
      <c r="EI748" s="42"/>
      <c r="EJ748" s="42"/>
      <c r="EK748" s="42"/>
      <c r="EL748" s="42"/>
      <c r="EM748" s="42"/>
      <c r="EN748" s="42"/>
      <c r="EO748" s="42"/>
      <c r="EP748" s="42"/>
      <c r="EQ748" s="42"/>
      <c r="ER748" s="42"/>
      <c r="ES748" s="42"/>
      <c r="ET748" s="42"/>
      <c r="EU748" s="42"/>
      <c r="EV748" s="42"/>
      <c r="EW748" s="42"/>
      <c r="EX748" s="42"/>
      <c r="EY748" s="42"/>
      <c r="EZ748" s="42"/>
      <c r="FA748" s="42"/>
      <c r="FB748" s="42"/>
      <c r="FC748" s="42"/>
      <c r="FD748" s="42"/>
      <c r="FE748" s="42"/>
      <c r="FF748" s="42"/>
      <c r="FG748" s="42"/>
      <c r="FH748" s="42"/>
      <c r="FI748" s="42"/>
      <c r="FJ748" s="42"/>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row>
    <row r="749" spans="1:256" ht="13.8" x14ac:dyDescent="0.3">
      <c r="A749" s="42"/>
      <c r="B749" s="42"/>
      <c r="C749" s="42"/>
      <c r="D749" s="42"/>
      <c r="E749" s="42"/>
      <c r="F749" s="42"/>
      <c r="G749" s="42"/>
      <c r="H749" s="42"/>
      <c r="I749" s="42"/>
      <c r="J749" s="42"/>
      <c r="K749" s="42"/>
      <c r="L749" s="42"/>
      <c r="M749" s="42"/>
      <c r="N749" s="42"/>
      <c r="O749" s="42"/>
      <c r="P749" s="42"/>
      <c r="Q749" s="42"/>
      <c r="R749" s="42"/>
      <c r="S749" s="42"/>
      <c r="T749" s="42"/>
      <c r="U749" s="194"/>
      <c r="V749" s="42"/>
      <c r="W749" s="42"/>
      <c r="X749" s="42"/>
      <c r="Y749" s="42"/>
      <c r="Z749" s="42"/>
      <c r="AA749" s="42"/>
      <c r="AB749" s="195"/>
      <c r="AC749" s="42"/>
      <c r="AD749" s="42"/>
      <c r="AE749" s="195"/>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c r="BM749" s="42"/>
      <c r="BN749" s="42"/>
      <c r="BO749" s="42"/>
      <c r="BP749" s="42"/>
      <c r="BQ749" s="42"/>
      <c r="BR749" s="42"/>
      <c r="BS749" s="42"/>
      <c r="BT749" s="42"/>
      <c r="BU749" s="42"/>
      <c r="BV749" s="42"/>
      <c r="BW749" s="42"/>
      <c r="BX749" s="42"/>
      <c r="BY749" s="42"/>
      <c r="BZ749" s="42"/>
      <c r="CA749" s="42"/>
      <c r="CB749" s="42"/>
      <c r="CC749" s="42"/>
      <c r="CD749" s="42"/>
      <c r="CE749" s="42"/>
      <c r="CF749" s="42"/>
      <c r="CG749" s="42"/>
      <c r="CH749" s="42"/>
      <c r="CI749" s="42"/>
      <c r="CJ749" s="42"/>
      <c r="CK749" s="42"/>
      <c r="CL749" s="42"/>
      <c r="CM749" s="42"/>
      <c r="CN749" s="42"/>
      <c r="CO749" s="42"/>
      <c r="CP749" s="42"/>
      <c r="CQ749" s="42"/>
      <c r="CR749" s="42"/>
      <c r="CS749" s="42"/>
      <c r="CT749" s="42"/>
      <c r="CU749" s="42"/>
      <c r="CV749" s="42"/>
      <c r="CW749" s="42"/>
      <c r="CX749" s="42"/>
      <c r="CY749" s="42"/>
      <c r="CZ749" s="42"/>
      <c r="DA749" s="42"/>
      <c r="DB749" s="42"/>
      <c r="DC749" s="42"/>
      <c r="DD749" s="42"/>
      <c r="DE749" s="42"/>
      <c r="DF749" s="42"/>
      <c r="DG749" s="42"/>
      <c r="DH749" s="42"/>
      <c r="DI749" s="42"/>
      <c r="DJ749" s="42"/>
      <c r="DK749" s="42"/>
      <c r="DL749" s="42"/>
      <c r="DM749" s="42"/>
      <c r="DN749" s="42"/>
      <c r="DO749" s="42"/>
      <c r="DP749" s="42"/>
      <c r="DQ749" s="42"/>
      <c r="DR749" s="42"/>
      <c r="DS749" s="42"/>
      <c r="DT749" s="42"/>
      <c r="DU749" s="42"/>
      <c r="DV749" s="42"/>
      <c r="DW749" s="42"/>
      <c r="DX749" s="42"/>
      <c r="DY749" s="42"/>
      <c r="DZ749" s="42"/>
      <c r="EA749" s="42"/>
      <c r="EB749" s="42"/>
      <c r="EC749" s="42"/>
      <c r="ED749" s="42"/>
      <c r="EE749" s="42"/>
      <c r="EF749" s="42"/>
      <c r="EG749" s="42"/>
      <c r="EH749" s="42"/>
      <c r="EI749" s="42"/>
      <c r="EJ749" s="42"/>
      <c r="EK749" s="42"/>
      <c r="EL749" s="42"/>
      <c r="EM749" s="42"/>
      <c r="EN749" s="42"/>
      <c r="EO749" s="42"/>
      <c r="EP749" s="42"/>
      <c r="EQ749" s="42"/>
      <c r="ER749" s="42"/>
      <c r="ES749" s="42"/>
      <c r="ET749" s="42"/>
      <c r="EU749" s="42"/>
      <c r="EV749" s="42"/>
      <c r="EW749" s="42"/>
      <c r="EX749" s="42"/>
      <c r="EY749" s="42"/>
      <c r="EZ749" s="42"/>
      <c r="FA749" s="42"/>
      <c r="FB749" s="42"/>
      <c r="FC749" s="42"/>
      <c r="FD749" s="42"/>
      <c r="FE749" s="42"/>
      <c r="FF749" s="42"/>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row>
    <row r="750" spans="1:256" ht="13.8" x14ac:dyDescent="0.3">
      <c r="A750" s="42"/>
      <c r="B750" s="42"/>
      <c r="C750" s="42"/>
      <c r="D750" s="42"/>
      <c r="E750" s="42"/>
      <c r="F750" s="42"/>
      <c r="G750" s="42"/>
      <c r="H750" s="42"/>
      <c r="I750" s="42"/>
      <c r="J750" s="42"/>
      <c r="K750" s="42"/>
      <c r="L750" s="42"/>
      <c r="M750" s="42"/>
      <c r="N750" s="42"/>
      <c r="O750" s="42"/>
      <c r="P750" s="42"/>
      <c r="Q750" s="42"/>
      <c r="R750" s="42"/>
      <c r="S750" s="42"/>
      <c r="T750" s="42"/>
      <c r="U750" s="194"/>
      <c r="V750" s="42"/>
      <c r="W750" s="42"/>
      <c r="X750" s="42"/>
      <c r="Y750" s="42"/>
      <c r="Z750" s="42"/>
      <c r="AA750" s="42"/>
      <c r="AB750" s="195"/>
      <c r="AC750" s="42"/>
      <c r="AD750" s="42"/>
      <c r="AE750" s="195"/>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c r="BM750" s="42"/>
      <c r="BN750" s="42"/>
      <c r="BO750" s="42"/>
      <c r="BP750" s="42"/>
      <c r="BQ750" s="42"/>
      <c r="BR750" s="42"/>
      <c r="BS750" s="42"/>
      <c r="BT750" s="42"/>
      <c r="BU750" s="42"/>
      <c r="BV750" s="42"/>
      <c r="BW750" s="42"/>
      <c r="BX750" s="42"/>
      <c r="BY750" s="42"/>
      <c r="BZ750" s="42"/>
      <c r="CA750" s="42"/>
      <c r="CB750" s="42"/>
      <c r="CC750" s="42"/>
      <c r="CD750" s="42"/>
      <c r="CE750" s="42"/>
      <c r="CF750" s="42"/>
      <c r="CG750" s="42"/>
      <c r="CH750" s="42"/>
      <c r="CI750" s="42"/>
      <c r="CJ750" s="42"/>
      <c r="CK750" s="42"/>
      <c r="CL750" s="42"/>
      <c r="CM750" s="42"/>
      <c r="CN750" s="42"/>
      <c r="CO750" s="42"/>
      <c r="CP750" s="42"/>
      <c r="CQ750" s="42"/>
      <c r="CR750" s="42"/>
      <c r="CS750" s="42"/>
      <c r="CT750" s="42"/>
      <c r="CU750" s="42"/>
      <c r="CV750" s="42"/>
      <c r="CW750" s="42"/>
      <c r="CX750" s="42"/>
      <c r="CY750" s="42"/>
      <c r="CZ750" s="42"/>
      <c r="DA750" s="42"/>
      <c r="DB750" s="42"/>
      <c r="DC750" s="42"/>
      <c r="DD750" s="42"/>
      <c r="DE750" s="42"/>
      <c r="DF750" s="42"/>
      <c r="DG750" s="42"/>
      <c r="DH750" s="42"/>
      <c r="DI750" s="42"/>
      <c r="DJ750" s="42"/>
      <c r="DK750" s="42"/>
      <c r="DL750" s="42"/>
      <c r="DM750" s="42"/>
      <c r="DN750" s="42"/>
      <c r="DO750" s="42"/>
      <c r="DP750" s="42"/>
      <c r="DQ750" s="42"/>
      <c r="DR750" s="42"/>
      <c r="DS750" s="42"/>
      <c r="DT750" s="42"/>
      <c r="DU750" s="42"/>
      <c r="DV750" s="42"/>
      <c r="DW750" s="42"/>
      <c r="DX750" s="42"/>
      <c r="DY750" s="42"/>
      <c r="DZ750" s="42"/>
      <c r="EA750" s="42"/>
      <c r="EB750" s="42"/>
      <c r="EC750" s="42"/>
      <c r="ED750" s="42"/>
      <c r="EE750" s="42"/>
      <c r="EF750" s="42"/>
      <c r="EG750" s="42"/>
      <c r="EH750" s="42"/>
      <c r="EI750" s="42"/>
      <c r="EJ750" s="42"/>
      <c r="EK750" s="42"/>
      <c r="EL750" s="42"/>
      <c r="EM750" s="42"/>
      <c r="EN750" s="42"/>
      <c r="EO750" s="42"/>
      <c r="EP750" s="42"/>
      <c r="EQ750" s="42"/>
      <c r="ER750" s="42"/>
      <c r="ES750" s="42"/>
      <c r="ET750" s="42"/>
      <c r="EU750" s="42"/>
      <c r="EV750" s="42"/>
      <c r="EW750" s="42"/>
      <c r="EX750" s="42"/>
      <c r="EY750" s="42"/>
      <c r="EZ750" s="42"/>
      <c r="FA750" s="42"/>
      <c r="FB750" s="42"/>
      <c r="FC750" s="42"/>
      <c r="FD750" s="42"/>
      <c r="FE750" s="42"/>
      <c r="FF750" s="42"/>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row>
    <row r="751" spans="1:256" ht="13.8" x14ac:dyDescent="0.3">
      <c r="A751" s="42"/>
      <c r="B751" s="42"/>
      <c r="C751" s="42"/>
      <c r="D751" s="42"/>
      <c r="E751" s="42"/>
      <c r="F751" s="42"/>
      <c r="G751" s="42"/>
      <c r="H751" s="42"/>
      <c r="I751" s="42"/>
      <c r="J751" s="42"/>
      <c r="K751" s="42"/>
      <c r="L751" s="42"/>
      <c r="M751" s="42"/>
      <c r="N751" s="42"/>
      <c r="O751" s="42"/>
      <c r="P751" s="42"/>
      <c r="Q751" s="42"/>
      <c r="R751" s="42"/>
      <c r="S751" s="42"/>
      <c r="T751" s="42"/>
      <c r="U751" s="194"/>
      <c r="V751" s="42"/>
      <c r="W751" s="42"/>
      <c r="X751" s="42"/>
      <c r="Y751" s="42"/>
      <c r="Z751" s="42"/>
      <c r="AA751" s="42"/>
      <c r="AB751" s="195"/>
      <c r="AC751" s="42"/>
      <c r="AD751" s="42"/>
      <c r="AE751" s="195"/>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c r="BM751" s="42"/>
      <c r="BN751" s="42"/>
      <c r="BO751" s="42"/>
      <c r="BP751" s="42"/>
      <c r="BQ751" s="42"/>
      <c r="BR751" s="42"/>
      <c r="BS751" s="42"/>
      <c r="BT751" s="42"/>
      <c r="BU751" s="42"/>
      <c r="BV751" s="42"/>
      <c r="BW751" s="42"/>
      <c r="BX751" s="42"/>
      <c r="BY751" s="42"/>
      <c r="BZ751" s="42"/>
      <c r="CA751" s="42"/>
      <c r="CB751" s="42"/>
      <c r="CC751" s="42"/>
      <c r="CD751" s="42"/>
      <c r="CE751" s="42"/>
      <c r="CF751" s="42"/>
      <c r="CG751" s="42"/>
      <c r="CH751" s="42"/>
      <c r="CI751" s="42"/>
      <c r="CJ751" s="42"/>
      <c r="CK751" s="42"/>
      <c r="CL751" s="42"/>
      <c r="CM751" s="42"/>
      <c r="CN751" s="42"/>
      <c r="CO751" s="42"/>
      <c r="CP751" s="42"/>
      <c r="CQ751" s="42"/>
      <c r="CR751" s="42"/>
      <c r="CS751" s="42"/>
      <c r="CT751" s="42"/>
      <c r="CU751" s="42"/>
      <c r="CV751" s="42"/>
      <c r="CW751" s="42"/>
      <c r="CX751" s="42"/>
      <c r="CY751" s="42"/>
      <c r="CZ751" s="42"/>
      <c r="DA751" s="42"/>
      <c r="DB751" s="42"/>
      <c r="DC751" s="42"/>
      <c r="DD751" s="42"/>
      <c r="DE751" s="42"/>
      <c r="DF751" s="42"/>
      <c r="DG751" s="42"/>
      <c r="DH751" s="42"/>
      <c r="DI751" s="42"/>
      <c r="DJ751" s="42"/>
      <c r="DK751" s="42"/>
      <c r="DL751" s="42"/>
      <c r="DM751" s="42"/>
      <c r="DN751" s="42"/>
      <c r="DO751" s="42"/>
      <c r="DP751" s="42"/>
      <c r="DQ751" s="42"/>
      <c r="DR751" s="42"/>
      <c r="DS751" s="42"/>
      <c r="DT751" s="42"/>
      <c r="DU751" s="42"/>
      <c r="DV751" s="42"/>
      <c r="DW751" s="42"/>
      <c r="DX751" s="42"/>
      <c r="DY751" s="42"/>
      <c r="DZ751" s="42"/>
      <c r="EA751" s="42"/>
      <c r="EB751" s="42"/>
      <c r="EC751" s="42"/>
      <c r="ED751" s="42"/>
      <c r="EE751" s="42"/>
      <c r="EF751" s="42"/>
      <c r="EG751" s="42"/>
      <c r="EH751" s="42"/>
      <c r="EI751" s="42"/>
      <c r="EJ751" s="42"/>
      <c r="EK751" s="42"/>
      <c r="EL751" s="42"/>
      <c r="EM751" s="42"/>
      <c r="EN751" s="42"/>
      <c r="EO751" s="42"/>
      <c r="EP751" s="42"/>
      <c r="EQ751" s="42"/>
      <c r="ER751" s="42"/>
      <c r="ES751" s="42"/>
      <c r="ET751" s="42"/>
      <c r="EU751" s="42"/>
      <c r="EV751" s="42"/>
      <c r="EW751" s="42"/>
      <c r="EX751" s="42"/>
      <c r="EY751" s="42"/>
      <c r="EZ751" s="42"/>
      <c r="FA751" s="42"/>
      <c r="FB751" s="42"/>
      <c r="FC751" s="42"/>
      <c r="FD751" s="42"/>
      <c r="FE751" s="42"/>
      <c r="FF751" s="42"/>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row>
    <row r="752" spans="1:256" ht="13.8" x14ac:dyDescent="0.3">
      <c r="A752" s="42"/>
      <c r="B752" s="42"/>
      <c r="C752" s="42"/>
      <c r="D752" s="42"/>
      <c r="E752" s="42"/>
      <c r="F752" s="42"/>
      <c r="G752" s="42"/>
      <c r="H752" s="42"/>
      <c r="I752" s="42"/>
      <c r="J752" s="42"/>
      <c r="K752" s="42"/>
      <c r="L752" s="42"/>
      <c r="M752" s="42"/>
      <c r="N752" s="42"/>
      <c r="O752" s="42"/>
      <c r="P752" s="42"/>
      <c r="Q752" s="42"/>
      <c r="R752" s="42"/>
      <c r="S752" s="42"/>
      <c r="T752" s="42"/>
      <c r="U752" s="194"/>
      <c r="V752" s="42"/>
      <c r="W752" s="42"/>
      <c r="X752" s="42"/>
      <c r="Y752" s="42"/>
      <c r="Z752" s="42"/>
      <c r="AA752" s="42"/>
      <c r="AB752" s="195"/>
      <c r="AC752" s="42"/>
      <c r="AD752" s="42"/>
      <c r="AE752" s="195"/>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c r="BM752" s="42"/>
      <c r="BN752" s="42"/>
      <c r="BO752" s="42"/>
      <c r="BP752" s="42"/>
      <c r="BQ752" s="42"/>
      <c r="BR752" s="42"/>
      <c r="BS752" s="42"/>
      <c r="BT752" s="42"/>
      <c r="BU752" s="42"/>
      <c r="BV752" s="42"/>
      <c r="BW752" s="42"/>
      <c r="BX752" s="42"/>
      <c r="BY752" s="42"/>
      <c r="BZ752" s="42"/>
      <c r="CA752" s="42"/>
      <c r="CB752" s="42"/>
      <c r="CC752" s="42"/>
      <c r="CD752" s="42"/>
      <c r="CE752" s="42"/>
      <c r="CF752" s="42"/>
      <c r="CG752" s="42"/>
      <c r="CH752" s="42"/>
      <c r="CI752" s="42"/>
      <c r="CJ752" s="42"/>
      <c r="CK752" s="42"/>
      <c r="CL752" s="42"/>
      <c r="CM752" s="42"/>
      <c r="CN752" s="42"/>
      <c r="CO752" s="42"/>
      <c r="CP752" s="42"/>
      <c r="CQ752" s="42"/>
      <c r="CR752" s="42"/>
      <c r="CS752" s="42"/>
      <c r="CT752" s="42"/>
      <c r="CU752" s="42"/>
      <c r="CV752" s="42"/>
      <c r="CW752" s="42"/>
      <c r="CX752" s="42"/>
      <c r="CY752" s="42"/>
      <c r="CZ752" s="42"/>
      <c r="DA752" s="42"/>
      <c r="DB752" s="42"/>
      <c r="DC752" s="42"/>
      <c r="DD752" s="42"/>
      <c r="DE752" s="42"/>
      <c r="DF752" s="42"/>
      <c r="DG752" s="42"/>
      <c r="DH752" s="42"/>
      <c r="DI752" s="42"/>
      <c r="DJ752" s="42"/>
      <c r="DK752" s="42"/>
      <c r="DL752" s="42"/>
      <c r="DM752" s="42"/>
      <c r="DN752" s="42"/>
      <c r="DO752" s="42"/>
      <c r="DP752" s="42"/>
      <c r="DQ752" s="42"/>
      <c r="DR752" s="42"/>
      <c r="DS752" s="42"/>
      <c r="DT752" s="42"/>
      <c r="DU752" s="42"/>
      <c r="DV752" s="42"/>
      <c r="DW752" s="42"/>
      <c r="DX752" s="42"/>
      <c r="DY752" s="42"/>
      <c r="DZ752" s="42"/>
      <c r="EA752" s="42"/>
      <c r="EB752" s="42"/>
      <c r="EC752" s="42"/>
      <c r="ED752" s="42"/>
      <c r="EE752" s="42"/>
      <c r="EF752" s="42"/>
      <c r="EG752" s="42"/>
      <c r="EH752" s="42"/>
      <c r="EI752" s="42"/>
      <c r="EJ752" s="42"/>
      <c r="EK752" s="42"/>
      <c r="EL752" s="42"/>
      <c r="EM752" s="42"/>
      <c r="EN752" s="42"/>
      <c r="EO752" s="42"/>
      <c r="EP752" s="42"/>
      <c r="EQ752" s="42"/>
      <c r="ER752" s="42"/>
      <c r="ES752" s="42"/>
      <c r="ET752" s="42"/>
      <c r="EU752" s="42"/>
      <c r="EV752" s="42"/>
      <c r="EW752" s="42"/>
      <c r="EX752" s="42"/>
      <c r="EY752" s="42"/>
      <c r="EZ752" s="42"/>
      <c r="FA752" s="42"/>
      <c r="FB752" s="42"/>
      <c r="FC752" s="42"/>
      <c r="FD752" s="42"/>
      <c r="FE752" s="42"/>
      <c r="FF752" s="42"/>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row>
    <row r="753" spans="1:256" ht="13.8" x14ac:dyDescent="0.3">
      <c r="A753" s="42"/>
      <c r="B753" s="42"/>
      <c r="C753" s="42"/>
      <c r="D753" s="42"/>
      <c r="E753" s="42"/>
      <c r="F753" s="42"/>
      <c r="G753" s="42"/>
      <c r="H753" s="42"/>
      <c r="I753" s="42"/>
      <c r="J753" s="42"/>
      <c r="K753" s="42"/>
      <c r="L753" s="42"/>
      <c r="M753" s="42"/>
      <c r="N753" s="42"/>
      <c r="O753" s="42"/>
      <c r="P753" s="42"/>
      <c r="Q753" s="42"/>
      <c r="R753" s="42"/>
      <c r="S753" s="42"/>
      <c r="T753" s="42"/>
      <c r="U753" s="194"/>
      <c r="V753" s="42"/>
      <c r="W753" s="42"/>
      <c r="X753" s="42"/>
      <c r="Y753" s="42"/>
      <c r="Z753" s="42"/>
      <c r="AA753" s="42"/>
      <c r="AB753" s="195"/>
      <c r="AC753" s="42"/>
      <c r="AD753" s="42"/>
      <c r="AE753" s="195"/>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c r="BM753" s="42"/>
      <c r="BN753" s="42"/>
      <c r="BO753" s="42"/>
      <c r="BP753" s="42"/>
      <c r="BQ753" s="42"/>
      <c r="BR753" s="42"/>
      <c r="BS753" s="42"/>
      <c r="BT753" s="42"/>
      <c r="BU753" s="42"/>
      <c r="BV753" s="42"/>
      <c r="BW753" s="42"/>
      <c r="BX753" s="42"/>
      <c r="BY753" s="42"/>
      <c r="BZ753" s="42"/>
      <c r="CA753" s="42"/>
      <c r="CB753" s="42"/>
      <c r="CC753" s="42"/>
      <c r="CD753" s="42"/>
      <c r="CE753" s="42"/>
      <c r="CF753" s="42"/>
      <c r="CG753" s="42"/>
      <c r="CH753" s="42"/>
      <c r="CI753" s="42"/>
      <c r="CJ753" s="42"/>
      <c r="CK753" s="42"/>
      <c r="CL753" s="42"/>
      <c r="CM753" s="42"/>
      <c r="CN753" s="42"/>
      <c r="CO753" s="42"/>
      <c r="CP753" s="42"/>
      <c r="CQ753" s="42"/>
      <c r="CR753" s="42"/>
      <c r="CS753" s="42"/>
      <c r="CT753" s="42"/>
      <c r="CU753" s="42"/>
      <c r="CV753" s="42"/>
      <c r="CW753" s="42"/>
      <c r="CX753" s="42"/>
      <c r="CY753" s="42"/>
      <c r="CZ753" s="42"/>
      <c r="DA753" s="42"/>
      <c r="DB753" s="42"/>
      <c r="DC753" s="42"/>
      <c r="DD753" s="42"/>
      <c r="DE753" s="42"/>
      <c r="DF753" s="42"/>
      <c r="DG753" s="42"/>
      <c r="DH753" s="42"/>
      <c r="DI753" s="42"/>
      <c r="DJ753" s="42"/>
      <c r="DK753" s="42"/>
      <c r="DL753" s="42"/>
      <c r="DM753" s="42"/>
      <c r="DN753" s="42"/>
      <c r="DO753" s="42"/>
      <c r="DP753" s="42"/>
      <c r="DQ753" s="42"/>
      <c r="DR753" s="42"/>
      <c r="DS753" s="42"/>
      <c r="DT753" s="42"/>
      <c r="DU753" s="42"/>
      <c r="DV753" s="42"/>
      <c r="DW753" s="42"/>
      <c r="DX753" s="42"/>
      <c r="DY753" s="42"/>
      <c r="DZ753" s="42"/>
      <c r="EA753" s="42"/>
      <c r="EB753" s="42"/>
      <c r="EC753" s="42"/>
      <c r="ED753" s="42"/>
      <c r="EE753" s="42"/>
      <c r="EF753" s="42"/>
      <c r="EG753" s="42"/>
      <c r="EH753" s="42"/>
      <c r="EI753" s="42"/>
      <c r="EJ753" s="42"/>
      <c r="EK753" s="42"/>
      <c r="EL753" s="42"/>
      <c r="EM753" s="42"/>
      <c r="EN753" s="42"/>
      <c r="EO753" s="42"/>
      <c r="EP753" s="42"/>
      <c r="EQ753" s="42"/>
      <c r="ER753" s="42"/>
      <c r="ES753" s="42"/>
      <c r="ET753" s="42"/>
      <c r="EU753" s="42"/>
      <c r="EV753" s="42"/>
      <c r="EW753" s="42"/>
      <c r="EX753" s="42"/>
      <c r="EY753" s="42"/>
      <c r="EZ753" s="42"/>
      <c r="FA753" s="42"/>
      <c r="FB753" s="42"/>
      <c r="FC753" s="42"/>
      <c r="FD753" s="42"/>
      <c r="FE753" s="42"/>
      <c r="FF753" s="42"/>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row>
    <row r="754" spans="1:256" ht="13.8" x14ac:dyDescent="0.3">
      <c r="A754" s="42"/>
      <c r="B754" s="42"/>
      <c r="C754" s="42"/>
      <c r="D754" s="42"/>
      <c r="E754" s="42"/>
      <c r="F754" s="42"/>
      <c r="G754" s="42"/>
      <c r="H754" s="42"/>
      <c r="I754" s="42"/>
      <c r="J754" s="42"/>
      <c r="K754" s="42"/>
      <c r="L754" s="42"/>
      <c r="M754" s="42"/>
      <c r="N754" s="42"/>
      <c r="O754" s="42"/>
      <c r="P754" s="42"/>
      <c r="Q754" s="42"/>
      <c r="R754" s="42"/>
      <c r="S754" s="42"/>
      <c r="T754" s="42"/>
      <c r="U754" s="194"/>
      <c r="V754" s="42"/>
      <c r="W754" s="42"/>
      <c r="X754" s="42"/>
      <c r="Y754" s="42"/>
      <c r="Z754" s="42"/>
      <c r="AA754" s="42"/>
      <c r="AB754" s="195"/>
      <c r="AC754" s="42"/>
      <c r="AD754" s="42"/>
      <c r="AE754" s="195"/>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c r="BM754" s="42"/>
      <c r="BN754" s="42"/>
      <c r="BO754" s="42"/>
      <c r="BP754" s="42"/>
      <c r="BQ754" s="42"/>
      <c r="BR754" s="42"/>
      <c r="BS754" s="42"/>
      <c r="BT754" s="42"/>
      <c r="BU754" s="42"/>
      <c r="BV754" s="42"/>
      <c r="BW754" s="42"/>
      <c r="BX754" s="42"/>
      <c r="BY754" s="42"/>
      <c r="BZ754" s="42"/>
      <c r="CA754" s="42"/>
      <c r="CB754" s="42"/>
      <c r="CC754" s="42"/>
      <c r="CD754" s="42"/>
      <c r="CE754" s="42"/>
      <c r="CF754" s="42"/>
      <c r="CG754" s="42"/>
      <c r="CH754" s="42"/>
      <c r="CI754" s="42"/>
      <c r="CJ754" s="42"/>
      <c r="CK754" s="42"/>
      <c r="CL754" s="42"/>
      <c r="CM754" s="42"/>
      <c r="CN754" s="42"/>
      <c r="CO754" s="42"/>
      <c r="CP754" s="42"/>
      <c r="CQ754" s="42"/>
      <c r="CR754" s="42"/>
      <c r="CS754" s="42"/>
      <c r="CT754" s="42"/>
      <c r="CU754" s="42"/>
      <c r="CV754" s="42"/>
      <c r="CW754" s="42"/>
      <c r="CX754" s="42"/>
      <c r="CY754" s="42"/>
      <c r="CZ754" s="42"/>
      <c r="DA754" s="42"/>
      <c r="DB754" s="42"/>
      <c r="DC754" s="42"/>
      <c r="DD754" s="42"/>
      <c r="DE754" s="42"/>
      <c r="DF754" s="42"/>
      <c r="DG754" s="42"/>
      <c r="DH754" s="42"/>
      <c r="DI754" s="42"/>
      <c r="DJ754" s="42"/>
      <c r="DK754" s="42"/>
      <c r="DL754" s="42"/>
      <c r="DM754" s="42"/>
      <c r="DN754" s="42"/>
      <c r="DO754" s="42"/>
      <c r="DP754" s="42"/>
      <c r="DQ754" s="42"/>
      <c r="DR754" s="42"/>
      <c r="DS754" s="42"/>
      <c r="DT754" s="42"/>
      <c r="DU754" s="42"/>
      <c r="DV754" s="42"/>
      <c r="DW754" s="42"/>
      <c r="DX754" s="42"/>
      <c r="DY754" s="42"/>
      <c r="DZ754" s="42"/>
      <c r="EA754" s="42"/>
      <c r="EB754" s="42"/>
      <c r="EC754" s="42"/>
      <c r="ED754" s="42"/>
      <c r="EE754" s="42"/>
      <c r="EF754" s="42"/>
      <c r="EG754" s="42"/>
      <c r="EH754" s="42"/>
      <c r="EI754" s="42"/>
      <c r="EJ754" s="42"/>
      <c r="EK754" s="42"/>
      <c r="EL754" s="42"/>
      <c r="EM754" s="42"/>
      <c r="EN754" s="42"/>
      <c r="EO754" s="42"/>
      <c r="EP754" s="42"/>
      <c r="EQ754" s="42"/>
      <c r="ER754" s="42"/>
      <c r="ES754" s="42"/>
      <c r="ET754" s="42"/>
      <c r="EU754" s="42"/>
      <c r="EV754" s="42"/>
      <c r="EW754" s="42"/>
      <c r="EX754" s="42"/>
      <c r="EY754" s="42"/>
      <c r="EZ754" s="42"/>
      <c r="FA754" s="42"/>
      <c r="FB754" s="42"/>
      <c r="FC754" s="42"/>
      <c r="FD754" s="42"/>
      <c r="FE754" s="42"/>
      <c r="FF754" s="42"/>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row>
    <row r="755" spans="1:256" ht="13.8" x14ac:dyDescent="0.3">
      <c r="A755" s="42"/>
      <c r="B755" s="42"/>
      <c r="C755" s="42"/>
      <c r="D755" s="42"/>
      <c r="E755" s="42"/>
      <c r="F755" s="42"/>
      <c r="G755" s="42"/>
      <c r="H755" s="42"/>
      <c r="I755" s="42"/>
      <c r="J755" s="42"/>
      <c r="K755" s="42"/>
      <c r="L755" s="42"/>
      <c r="M755" s="42"/>
      <c r="N755" s="42"/>
      <c r="O755" s="42"/>
      <c r="P755" s="42"/>
      <c r="Q755" s="42"/>
      <c r="R755" s="42"/>
      <c r="S755" s="42"/>
      <c r="T755" s="42"/>
      <c r="U755" s="194"/>
      <c r="V755" s="42"/>
      <c r="W755" s="42"/>
      <c r="X755" s="42"/>
      <c r="Y755" s="42"/>
      <c r="Z755" s="42"/>
      <c r="AA755" s="42"/>
      <c r="AB755" s="195"/>
      <c r="AC755" s="42"/>
      <c r="AD755" s="42"/>
      <c r="AE755" s="195"/>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c r="BM755" s="42"/>
      <c r="BN755" s="42"/>
      <c r="BO755" s="42"/>
      <c r="BP755" s="42"/>
      <c r="BQ755" s="42"/>
      <c r="BR755" s="42"/>
      <c r="BS755" s="42"/>
      <c r="BT755" s="42"/>
      <c r="BU755" s="42"/>
      <c r="BV755" s="42"/>
      <c r="BW755" s="42"/>
      <c r="BX755" s="42"/>
      <c r="BY755" s="42"/>
      <c r="BZ755" s="42"/>
      <c r="CA755" s="42"/>
      <c r="CB755" s="42"/>
      <c r="CC755" s="42"/>
      <c r="CD755" s="42"/>
      <c r="CE755" s="42"/>
      <c r="CF755" s="42"/>
      <c r="CG755" s="42"/>
      <c r="CH755" s="42"/>
      <c r="CI755" s="42"/>
      <c r="CJ755" s="42"/>
      <c r="CK755" s="42"/>
      <c r="CL755" s="42"/>
      <c r="CM755" s="42"/>
      <c r="CN755" s="42"/>
      <c r="CO755" s="42"/>
      <c r="CP755" s="42"/>
      <c r="CQ755" s="42"/>
      <c r="CR755" s="42"/>
      <c r="CS755" s="42"/>
      <c r="CT755" s="42"/>
      <c r="CU755" s="42"/>
      <c r="CV755" s="42"/>
      <c r="CW755" s="42"/>
      <c r="CX755" s="42"/>
      <c r="CY755" s="42"/>
      <c r="CZ755" s="42"/>
      <c r="DA755" s="42"/>
      <c r="DB755" s="42"/>
      <c r="DC755" s="42"/>
      <c r="DD755" s="42"/>
      <c r="DE755" s="42"/>
      <c r="DF755" s="42"/>
      <c r="DG755" s="42"/>
      <c r="DH755" s="42"/>
      <c r="DI755" s="42"/>
      <c r="DJ755" s="42"/>
      <c r="DK755" s="42"/>
      <c r="DL755" s="42"/>
      <c r="DM755" s="42"/>
      <c r="DN755" s="42"/>
      <c r="DO755" s="42"/>
      <c r="DP755" s="42"/>
      <c r="DQ755" s="42"/>
      <c r="DR755" s="42"/>
      <c r="DS755" s="42"/>
      <c r="DT755" s="42"/>
      <c r="DU755" s="42"/>
      <c r="DV755" s="42"/>
      <c r="DW755" s="42"/>
      <c r="DX755" s="42"/>
      <c r="DY755" s="42"/>
      <c r="DZ755" s="42"/>
      <c r="EA755" s="42"/>
      <c r="EB755" s="42"/>
      <c r="EC755" s="42"/>
      <c r="ED755" s="42"/>
      <c r="EE755" s="42"/>
      <c r="EF755" s="42"/>
      <c r="EG755" s="42"/>
      <c r="EH755" s="42"/>
      <c r="EI755" s="42"/>
      <c r="EJ755" s="42"/>
      <c r="EK755" s="42"/>
      <c r="EL755" s="42"/>
      <c r="EM755" s="42"/>
      <c r="EN755" s="42"/>
      <c r="EO755" s="42"/>
      <c r="EP755" s="42"/>
      <c r="EQ755" s="42"/>
      <c r="ER755" s="42"/>
      <c r="ES755" s="42"/>
      <c r="ET755" s="42"/>
      <c r="EU755" s="42"/>
      <c r="EV755" s="42"/>
      <c r="EW755" s="42"/>
      <c r="EX755" s="42"/>
      <c r="EY755" s="42"/>
      <c r="EZ755" s="42"/>
      <c r="FA755" s="42"/>
      <c r="FB755" s="42"/>
      <c r="FC755" s="42"/>
      <c r="FD755" s="42"/>
      <c r="FE755" s="42"/>
      <c r="FF755" s="42"/>
      <c r="FG755" s="42"/>
      <c r="FH755" s="42"/>
      <c r="FI755" s="42"/>
      <c r="FJ755" s="42"/>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row>
    <row r="756" spans="1:256" ht="13.8" x14ac:dyDescent="0.3">
      <c r="A756" s="42"/>
      <c r="B756" s="42"/>
      <c r="C756" s="42"/>
      <c r="D756" s="42"/>
      <c r="E756" s="42"/>
      <c r="F756" s="42"/>
      <c r="G756" s="42"/>
      <c r="H756" s="42"/>
      <c r="I756" s="42"/>
      <c r="J756" s="42"/>
      <c r="K756" s="42"/>
      <c r="L756" s="42"/>
      <c r="M756" s="42"/>
      <c r="N756" s="42"/>
      <c r="O756" s="42"/>
      <c r="P756" s="42"/>
      <c r="Q756" s="42"/>
      <c r="R756" s="42"/>
      <c r="S756" s="42"/>
      <c r="T756" s="42"/>
      <c r="U756" s="194"/>
      <c r="V756" s="42"/>
      <c r="W756" s="42"/>
      <c r="X756" s="42"/>
      <c r="Y756" s="42"/>
      <c r="Z756" s="42"/>
      <c r="AA756" s="42"/>
      <c r="AB756" s="195"/>
      <c r="AC756" s="42"/>
      <c r="AD756" s="42"/>
      <c r="AE756" s="195"/>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c r="BM756" s="42"/>
      <c r="BN756" s="42"/>
      <c r="BO756" s="42"/>
      <c r="BP756" s="42"/>
      <c r="BQ756" s="42"/>
      <c r="BR756" s="42"/>
      <c r="BS756" s="42"/>
      <c r="BT756" s="42"/>
      <c r="BU756" s="42"/>
      <c r="BV756" s="42"/>
      <c r="BW756" s="42"/>
      <c r="BX756" s="42"/>
      <c r="BY756" s="42"/>
      <c r="BZ756" s="42"/>
      <c r="CA756" s="42"/>
      <c r="CB756" s="42"/>
      <c r="CC756" s="42"/>
      <c r="CD756" s="42"/>
      <c r="CE756" s="42"/>
      <c r="CF756" s="42"/>
      <c r="CG756" s="42"/>
      <c r="CH756" s="42"/>
      <c r="CI756" s="42"/>
      <c r="CJ756" s="42"/>
      <c r="CK756" s="42"/>
      <c r="CL756" s="42"/>
      <c r="CM756" s="42"/>
      <c r="CN756" s="42"/>
      <c r="CO756" s="42"/>
      <c r="CP756" s="42"/>
      <c r="CQ756" s="42"/>
      <c r="CR756" s="42"/>
      <c r="CS756" s="42"/>
      <c r="CT756" s="42"/>
      <c r="CU756" s="42"/>
      <c r="CV756" s="42"/>
      <c r="CW756" s="42"/>
      <c r="CX756" s="42"/>
      <c r="CY756" s="42"/>
      <c r="CZ756" s="42"/>
      <c r="DA756" s="42"/>
      <c r="DB756" s="42"/>
      <c r="DC756" s="42"/>
      <c r="DD756" s="42"/>
      <c r="DE756" s="42"/>
      <c r="DF756" s="42"/>
      <c r="DG756" s="42"/>
      <c r="DH756" s="42"/>
      <c r="DI756" s="42"/>
      <c r="DJ756" s="42"/>
      <c r="DK756" s="42"/>
      <c r="DL756" s="42"/>
      <c r="DM756" s="42"/>
      <c r="DN756" s="42"/>
      <c r="DO756" s="42"/>
      <c r="DP756" s="42"/>
      <c r="DQ756" s="42"/>
      <c r="DR756" s="42"/>
      <c r="DS756" s="42"/>
      <c r="DT756" s="42"/>
      <c r="DU756" s="42"/>
      <c r="DV756" s="42"/>
      <c r="DW756" s="42"/>
      <c r="DX756" s="42"/>
      <c r="DY756" s="42"/>
      <c r="DZ756" s="42"/>
      <c r="EA756" s="42"/>
      <c r="EB756" s="42"/>
      <c r="EC756" s="42"/>
      <c r="ED756" s="42"/>
      <c r="EE756" s="42"/>
      <c r="EF756" s="42"/>
      <c r="EG756" s="42"/>
      <c r="EH756" s="42"/>
      <c r="EI756" s="42"/>
      <c r="EJ756" s="42"/>
      <c r="EK756" s="42"/>
      <c r="EL756" s="42"/>
      <c r="EM756" s="42"/>
      <c r="EN756" s="42"/>
      <c r="EO756" s="42"/>
      <c r="EP756" s="42"/>
      <c r="EQ756" s="42"/>
      <c r="ER756" s="42"/>
      <c r="ES756" s="42"/>
      <c r="ET756" s="42"/>
      <c r="EU756" s="42"/>
      <c r="EV756" s="42"/>
      <c r="EW756" s="42"/>
      <c r="EX756" s="42"/>
      <c r="EY756" s="42"/>
      <c r="EZ756" s="42"/>
      <c r="FA756" s="42"/>
      <c r="FB756" s="42"/>
      <c r="FC756" s="42"/>
      <c r="FD756" s="42"/>
      <c r="FE756" s="42"/>
      <c r="FF756" s="42"/>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row>
    <row r="757" spans="1:256" ht="13.8" x14ac:dyDescent="0.3">
      <c r="A757" s="42"/>
      <c r="B757" s="42"/>
      <c r="C757" s="42"/>
      <c r="D757" s="42"/>
      <c r="E757" s="42"/>
      <c r="F757" s="42"/>
      <c r="G757" s="42"/>
      <c r="H757" s="42"/>
      <c r="I757" s="42"/>
      <c r="J757" s="42"/>
      <c r="K757" s="42"/>
      <c r="L757" s="42"/>
      <c r="M757" s="42"/>
      <c r="N757" s="42"/>
      <c r="O757" s="42"/>
      <c r="P757" s="42"/>
      <c r="Q757" s="42"/>
      <c r="R757" s="42"/>
      <c r="S757" s="42"/>
      <c r="T757" s="42"/>
      <c r="U757" s="194"/>
      <c r="V757" s="42"/>
      <c r="W757" s="42"/>
      <c r="X757" s="42"/>
      <c r="Y757" s="42"/>
      <c r="Z757" s="42"/>
      <c r="AA757" s="42"/>
      <c r="AB757" s="195"/>
      <c r="AC757" s="42"/>
      <c r="AD757" s="42"/>
      <c r="AE757" s="195"/>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c r="BM757" s="42"/>
      <c r="BN757" s="42"/>
      <c r="BO757" s="42"/>
      <c r="BP757" s="42"/>
      <c r="BQ757" s="42"/>
      <c r="BR757" s="42"/>
      <c r="BS757" s="42"/>
      <c r="BT757" s="42"/>
      <c r="BU757" s="42"/>
      <c r="BV757" s="42"/>
      <c r="BW757" s="42"/>
      <c r="BX757" s="42"/>
      <c r="BY757" s="42"/>
      <c r="BZ757" s="42"/>
      <c r="CA757" s="42"/>
      <c r="CB757" s="42"/>
      <c r="CC757" s="42"/>
      <c r="CD757" s="42"/>
      <c r="CE757" s="42"/>
      <c r="CF757" s="42"/>
      <c r="CG757" s="42"/>
      <c r="CH757" s="42"/>
      <c r="CI757" s="42"/>
      <c r="CJ757" s="42"/>
      <c r="CK757" s="42"/>
      <c r="CL757" s="42"/>
      <c r="CM757" s="42"/>
      <c r="CN757" s="42"/>
      <c r="CO757" s="42"/>
      <c r="CP757" s="42"/>
      <c r="CQ757" s="42"/>
      <c r="CR757" s="42"/>
      <c r="CS757" s="42"/>
      <c r="CT757" s="42"/>
      <c r="CU757" s="42"/>
      <c r="CV757" s="42"/>
      <c r="CW757" s="42"/>
      <c r="CX757" s="42"/>
      <c r="CY757" s="42"/>
      <c r="CZ757" s="42"/>
      <c r="DA757" s="42"/>
      <c r="DB757" s="42"/>
      <c r="DC757" s="42"/>
      <c r="DD757" s="42"/>
      <c r="DE757" s="42"/>
      <c r="DF757" s="42"/>
      <c r="DG757" s="42"/>
      <c r="DH757" s="42"/>
      <c r="DI757" s="42"/>
      <c r="DJ757" s="42"/>
      <c r="DK757" s="42"/>
      <c r="DL757" s="42"/>
      <c r="DM757" s="42"/>
      <c r="DN757" s="42"/>
      <c r="DO757" s="42"/>
      <c r="DP757" s="42"/>
      <c r="DQ757" s="42"/>
      <c r="DR757" s="42"/>
      <c r="DS757" s="42"/>
      <c r="DT757" s="42"/>
      <c r="DU757" s="42"/>
      <c r="DV757" s="42"/>
      <c r="DW757" s="42"/>
      <c r="DX757" s="42"/>
      <c r="DY757" s="42"/>
      <c r="DZ757" s="42"/>
      <c r="EA757" s="42"/>
      <c r="EB757" s="42"/>
      <c r="EC757" s="42"/>
      <c r="ED757" s="42"/>
      <c r="EE757" s="42"/>
      <c r="EF757" s="42"/>
      <c r="EG757" s="42"/>
      <c r="EH757" s="42"/>
      <c r="EI757" s="42"/>
      <c r="EJ757" s="42"/>
      <c r="EK757" s="42"/>
      <c r="EL757" s="42"/>
      <c r="EM757" s="42"/>
      <c r="EN757" s="42"/>
      <c r="EO757" s="42"/>
      <c r="EP757" s="42"/>
      <c r="EQ757" s="42"/>
      <c r="ER757" s="42"/>
      <c r="ES757" s="42"/>
      <c r="ET757" s="42"/>
      <c r="EU757" s="42"/>
      <c r="EV757" s="42"/>
      <c r="EW757" s="42"/>
      <c r="EX757" s="42"/>
      <c r="EY757" s="42"/>
      <c r="EZ757" s="42"/>
      <c r="FA757" s="42"/>
      <c r="FB757" s="42"/>
      <c r="FC757" s="42"/>
      <c r="FD757" s="42"/>
      <c r="FE757" s="42"/>
      <c r="FF757" s="42"/>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row>
    <row r="758" spans="1:256" ht="13.8" x14ac:dyDescent="0.3">
      <c r="A758" s="42"/>
      <c r="B758" s="42"/>
      <c r="C758" s="42"/>
      <c r="D758" s="42"/>
      <c r="E758" s="42"/>
      <c r="F758" s="42"/>
      <c r="G758" s="42"/>
      <c r="H758" s="42"/>
      <c r="I758" s="42"/>
      <c r="J758" s="42"/>
      <c r="K758" s="42"/>
      <c r="L758" s="42"/>
      <c r="M758" s="42"/>
      <c r="N758" s="42"/>
      <c r="O758" s="42"/>
      <c r="P758" s="42"/>
      <c r="Q758" s="42"/>
      <c r="R758" s="42"/>
      <c r="S758" s="42"/>
      <c r="T758" s="42"/>
      <c r="U758" s="194"/>
      <c r="V758" s="42"/>
      <c r="W758" s="42"/>
      <c r="X758" s="42"/>
      <c r="Y758" s="42"/>
      <c r="Z758" s="42"/>
      <c r="AA758" s="42"/>
      <c r="AB758" s="195"/>
      <c r="AC758" s="42"/>
      <c r="AD758" s="42"/>
      <c r="AE758" s="195"/>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c r="BM758" s="42"/>
      <c r="BN758" s="42"/>
      <c r="BO758" s="42"/>
      <c r="BP758" s="42"/>
      <c r="BQ758" s="42"/>
      <c r="BR758" s="42"/>
      <c r="BS758" s="42"/>
      <c r="BT758" s="42"/>
      <c r="BU758" s="42"/>
      <c r="BV758" s="42"/>
      <c r="BW758" s="42"/>
      <c r="BX758" s="42"/>
      <c r="BY758" s="42"/>
      <c r="BZ758" s="42"/>
      <c r="CA758" s="42"/>
      <c r="CB758" s="42"/>
      <c r="CC758" s="42"/>
      <c r="CD758" s="42"/>
      <c r="CE758" s="42"/>
      <c r="CF758" s="42"/>
      <c r="CG758" s="42"/>
      <c r="CH758" s="42"/>
      <c r="CI758" s="42"/>
      <c r="CJ758" s="42"/>
      <c r="CK758" s="42"/>
      <c r="CL758" s="42"/>
      <c r="CM758" s="42"/>
      <c r="CN758" s="42"/>
      <c r="CO758" s="42"/>
      <c r="CP758" s="42"/>
      <c r="CQ758" s="42"/>
      <c r="CR758" s="42"/>
      <c r="CS758" s="42"/>
      <c r="CT758" s="42"/>
      <c r="CU758" s="42"/>
      <c r="CV758" s="42"/>
      <c r="CW758" s="42"/>
      <c r="CX758" s="42"/>
      <c r="CY758" s="42"/>
      <c r="CZ758" s="42"/>
      <c r="DA758" s="42"/>
      <c r="DB758" s="42"/>
      <c r="DC758" s="42"/>
      <c r="DD758" s="42"/>
      <c r="DE758" s="42"/>
      <c r="DF758" s="42"/>
      <c r="DG758" s="42"/>
      <c r="DH758" s="42"/>
      <c r="DI758" s="42"/>
      <c r="DJ758" s="42"/>
      <c r="DK758" s="42"/>
      <c r="DL758" s="42"/>
      <c r="DM758" s="42"/>
      <c r="DN758" s="42"/>
      <c r="DO758" s="42"/>
      <c r="DP758" s="42"/>
      <c r="DQ758" s="42"/>
      <c r="DR758" s="42"/>
      <c r="DS758" s="42"/>
      <c r="DT758" s="42"/>
      <c r="DU758" s="42"/>
      <c r="DV758" s="42"/>
      <c r="DW758" s="42"/>
      <c r="DX758" s="42"/>
      <c r="DY758" s="42"/>
      <c r="DZ758" s="42"/>
      <c r="EA758" s="42"/>
      <c r="EB758" s="42"/>
      <c r="EC758" s="42"/>
      <c r="ED758" s="42"/>
      <c r="EE758" s="42"/>
      <c r="EF758" s="42"/>
      <c r="EG758" s="42"/>
      <c r="EH758" s="42"/>
      <c r="EI758" s="42"/>
      <c r="EJ758" s="42"/>
      <c r="EK758" s="42"/>
      <c r="EL758" s="42"/>
      <c r="EM758" s="42"/>
      <c r="EN758" s="42"/>
      <c r="EO758" s="42"/>
      <c r="EP758" s="42"/>
      <c r="EQ758" s="42"/>
      <c r="ER758" s="42"/>
      <c r="ES758" s="42"/>
      <c r="ET758" s="42"/>
      <c r="EU758" s="42"/>
      <c r="EV758" s="42"/>
      <c r="EW758" s="42"/>
      <c r="EX758" s="42"/>
      <c r="EY758" s="42"/>
      <c r="EZ758" s="42"/>
      <c r="FA758" s="42"/>
      <c r="FB758" s="42"/>
      <c r="FC758" s="42"/>
      <c r="FD758" s="42"/>
      <c r="FE758" s="42"/>
      <c r="FF758" s="42"/>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row>
    <row r="759" spans="1:256" ht="13.8" x14ac:dyDescent="0.3">
      <c r="A759" s="42"/>
      <c r="B759" s="42"/>
      <c r="C759" s="42"/>
      <c r="D759" s="42"/>
      <c r="E759" s="42"/>
      <c r="F759" s="42"/>
      <c r="G759" s="42"/>
      <c r="H759" s="42"/>
      <c r="I759" s="42"/>
      <c r="J759" s="42"/>
      <c r="K759" s="42"/>
      <c r="L759" s="42"/>
      <c r="M759" s="42"/>
      <c r="N759" s="42"/>
      <c r="O759" s="42"/>
      <c r="P759" s="42"/>
      <c r="Q759" s="42"/>
      <c r="R759" s="42"/>
      <c r="S759" s="42"/>
      <c r="T759" s="42"/>
      <c r="U759" s="194"/>
      <c r="V759" s="42"/>
      <c r="W759" s="42"/>
      <c r="X759" s="42"/>
      <c r="Y759" s="42"/>
      <c r="Z759" s="42"/>
      <c r="AA759" s="42"/>
      <c r="AB759" s="195"/>
      <c r="AC759" s="42"/>
      <c r="AD759" s="42"/>
      <c r="AE759" s="195"/>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c r="BM759" s="42"/>
      <c r="BN759" s="42"/>
      <c r="BO759" s="42"/>
      <c r="BP759" s="42"/>
      <c r="BQ759" s="42"/>
      <c r="BR759" s="42"/>
      <c r="BS759" s="42"/>
      <c r="BT759" s="42"/>
      <c r="BU759" s="42"/>
      <c r="BV759" s="42"/>
      <c r="BW759" s="42"/>
      <c r="BX759" s="42"/>
      <c r="BY759" s="42"/>
      <c r="BZ759" s="42"/>
      <c r="CA759" s="42"/>
      <c r="CB759" s="42"/>
      <c r="CC759" s="42"/>
      <c r="CD759" s="42"/>
      <c r="CE759" s="42"/>
      <c r="CF759" s="42"/>
      <c r="CG759" s="42"/>
      <c r="CH759" s="42"/>
      <c r="CI759" s="42"/>
      <c r="CJ759" s="42"/>
      <c r="CK759" s="42"/>
      <c r="CL759" s="42"/>
      <c r="CM759" s="42"/>
      <c r="CN759" s="42"/>
      <c r="CO759" s="42"/>
      <c r="CP759" s="42"/>
      <c r="CQ759" s="42"/>
      <c r="CR759" s="42"/>
      <c r="CS759" s="42"/>
      <c r="CT759" s="42"/>
      <c r="CU759" s="42"/>
      <c r="CV759" s="42"/>
      <c r="CW759" s="42"/>
      <c r="CX759" s="42"/>
      <c r="CY759" s="42"/>
      <c r="CZ759" s="42"/>
      <c r="DA759" s="42"/>
      <c r="DB759" s="42"/>
      <c r="DC759" s="42"/>
      <c r="DD759" s="42"/>
      <c r="DE759" s="42"/>
      <c r="DF759" s="42"/>
      <c r="DG759" s="42"/>
      <c r="DH759" s="42"/>
      <c r="DI759" s="42"/>
      <c r="DJ759" s="42"/>
      <c r="DK759" s="42"/>
      <c r="DL759" s="42"/>
      <c r="DM759" s="42"/>
      <c r="DN759" s="42"/>
      <c r="DO759" s="42"/>
      <c r="DP759" s="42"/>
      <c r="DQ759" s="42"/>
      <c r="DR759" s="42"/>
      <c r="DS759" s="42"/>
      <c r="DT759" s="42"/>
      <c r="DU759" s="42"/>
      <c r="DV759" s="42"/>
      <c r="DW759" s="42"/>
      <c r="DX759" s="42"/>
      <c r="DY759" s="42"/>
      <c r="DZ759" s="42"/>
      <c r="EA759" s="42"/>
      <c r="EB759" s="42"/>
      <c r="EC759" s="42"/>
      <c r="ED759" s="42"/>
      <c r="EE759" s="42"/>
      <c r="EF759" s="42"/>
      <c r="EG759" s="42"/>
      <c r="EH759" s="42"/>
      <c r="EI759" s="42"/>
      <c r="EJ759" s="42"/>
      <c r="EK759" s="42"/>
      <c r="EL759" s="42"/>
      <c r="EM759" s="42"/>
      <c r="EN759" s="42"/>
      <c r="EO759" s="42"/>
      <c r="EP759" s="42"/>
      <c r="EQ759" s="42"/>
      <c r="ER759" s="42"/>
      <c r="ES759" s="42"/>
      <c r="ET759" s="42"/>
      <c r="EU759" s="42"/>
      <c r="EV759" s="42"/>
      <c r="EW759" s="42"/>
      <c r="EX759" s="42"/>
      <c r="EY759" s="42"/>
      <c r="EZ759" s="42"/>
      <c r="FA759" s="42"/>
      <c r="FB759" s="42"/>
      <c r="FC759" s="42"/>
      <c r="FD759" s="42"/>
      <c r="FE759" s="42"/>
      <c r="FF759" s="42"/>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row>
    <row r="760" spans="1:256" ht="13.8" x14ac:dyDescent="0.3">
      <c r="A760" s="42"/>
      <c r="B760" s="42"/>
      <c r="C760" s="42"/>
      <c r="D760" s="42"/>
      <c r="E760" s="42"/>
      <c r="F760" s="42"/>
      <c r="G760" s="42"/>
      <c r="H760" s="42"/>
      <c r="I760" s="42"/>
      <c r="J760" s="42"/>
      <c r="K760" s="42"/>
      <c r="L760" s="42"/>
      <c r="M760" s="42"/>
      <c r="N760" s="42"/>
      <c r="O760" s="42"/>
      <c r="P760" s="42"/>
      <c r="Q760" s="42"/>
      <c r="R760" s="42"/>
      <c r="S760" s="42"/>
      <c r="T760" s="42"/>
      <c r="U760" s="194"/>
      <c r="V760" s="42"/>
      <c r="W760" s="42"/>
      <c r="X760" s="42"/>
      <c r="Y760" s="42"/>
      <c r="Z760" s="42"/>
      <c r="AA760" s="42"/>
      <c r="AB760" s="195"/>
      <c r="AC760" s="42"/>
      <c r="AD760" s="42"/>
      <c r="AE760" s="195"/>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c r="BM760" s="42"/>
      <c r="BN760" s="42"/>
      <c r="BO760" s="42"/>
      <c r="BP760" s="42"/>
      <c r="BQ760" s="42"/>
      <c r="BR760" s="42"/>
      <c r="BS760" s="42"/>
      <c r="BT760" s="42"/>
      <c r="BU760" s="42"/>
      <c r="BV760" s="42"/>
      <c r="BW760" s="42"/>
      <c r="BX760" s="42"/>
      <c r="BY760" s="42"/>
      <c r="BZ760" s="42"/>
      <c r="CA760" s="42"/>
      <c r="CB760" s="42"/>
      <c r="CC760" s="42"/>
      <c r="CD760" s="42"/>
      <c r="CE760" s="42"/>
      <c r="CF760" s="42"/>
      <c r="CG760" s="42"/>
      <c r="CH760" s="42"/>
      <c r="CI760" s="42"/>
      <c r="CJ760" s="42"/>
      <c r="CK760" s="42"/>
      <c r="CL760" s="42"/>
      <c r="CM760" s="42"/>
      <c r="CN760" s="42"/>
      <c r="CO760" s="42"/>
      <c r="CP760" s="42"/>
      <c r="CQ760" s="42"/>
      <c r="CR760" s="42"/>
      <c r="CS760" s="42"/>
      <c r="CT760" s="42"/>
      <c r="CU760" s="42"/>
      <c r="CV760" s="42"/>
      <c r="CW760" s="42"/>
      <c r="CX760" s="42"/>
      <c r="CY760" s="42"/>
      <c r="CZ760" s="42"/>
      <c r="DA760" s="42"/>
      <c r="DB760" s="42"/>
      <c r="DC760" s="42"/>
      <c r="DD760" s="42"/>
      <c r="DE760" s="42"/>
      <c r="DF760" s="42"/>
      <c r="DG760" s="42"/>
      <c r="DH760" s="42"/>
      <c r="DI760" s="42"/>
      <c r="DJ760" s="42"/>
      <c r="DK760" s="42"/>
      <c r="DL760" s="42"/>
      <c r="DM760" s="42"/>
      <c r="DN760" s="42"/>
      <c r="DO760" s="42"/>
      <c r="DP760" s="42"/>
      <c r="DQ760" s="42"/>
      <c r="DR760" s="42"/>
      <c r="DS760" s="42"/>
      <c r="DT760" s="42"/>
      <c r="DU760" s="42"/>
      <c r="DV760" s="42"/>
      <c r="DW760" s="42"/>
      <c r="DX760" s="42"/>
      <c r="DY760" s="42"/>
      <c r="DZ760" s="42"/>
      <c r="EA760" s="42"/>
      <c r="EB760" s="42"/>
      <c r="EC760" s="42"/>
      <c r="ED760" s="42"/>
      <c r="EE760" s="42"/>
      <c r="EF760" s="42"/>
      <c r="EG760" s="42"/>
      <c r="EH760" s="42"/>
      <c r="EI760" s="42"/>
      <c r="EJ760" s="42"/>
      <c r="EK760" s="42"/>
      <c r="EL760" s="42"/>
      <c r="EM760" s="42"/>
      <c r="EN760" s="42"/>
      <c r="EO760" s="42"/>
      <c r="EP760" s="42"/>
      <c r="EQ760" s="42"/>
      <c r="ER760" s="42"/>
      <c r="ES760" s="42"/>
      <c r="ET760" s="42"/>
      <c r="EU760" s="42"/>
      <c r="EV760" s="42"/>
      <c r="EW760" s="42"/>
      <c r="EX760" s="42"/>
      <c r="EY760" s="42"/>
      <c r="EZ760" s="42"/>
      <c r="FA760" s="42"/>
      <c r="FB760" s="42"/>
      <c r="FC760" s="42"/>
      <c r="FD760" s="42"/>
      <c r="FE760" s="42"/>
      <c r="FF760" s="42"/>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row>
    <row r="761" spans="1:256" ht="13.8" x14ac:dyDescent="0.3">
      <c r="A761" s="42"/>
      <c r="B761" s="42"/>
      <c r="C761" s="42"/>
      <c r="D761" s="42"/>
      <c r="E761" s="42"/>
      <c r="F761" s="42"/>
      <c r="G761" s="42"/>
      <c r="H761" s="42"/>
      <c r="I761" s="42"/>
      <c r="J761" s="42"/>
      <c r="K761" s="42"/>
      <c r="L761" s="42"/>
      <c r="M761" s="42"/>
      <c r="N761" s="42"/>
      <c r="O761" s="42"/>
      <c r="P761" s="42"/>
      <c r="Q761" s="42"/>
      <c r="R761" s="42"/>
      <c r="S761" s="42"/>
      <c r="T761" s="42"/>
      <c r="U761" s="194"/>
      <c r="V761" s="42"/>
      <c r="W761" s="42"/>
      <c r="X761" s="42"/>
      <c r="Y761" s="42"/>
      <c r="Z761" s="42"/>
      <c r="AA761" s="42"/>
      <c r="AB761" s="195"/>
      <c r="AC761" s="42"/>
      <c r="AD761" s="42"/>
      <c r="AE761" s="195"/>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c r="BM761" s="42"/>
      <c r="BN761" s="42"/>
      <c r="BO761" s="42"/>
      <c r="BP761" s="42"/>
      <c r="BQ761" s="42"/>
      <c r="BR761" s="42"/>
      <c r="BS761" s="42"/>
      <c r="BT761" s="42"/>
      <c r="BU761" s="42"/>
      <c r="BV761" s="42"/>
      <c r="BW761" s="42"/>
      <c r="BX761" s="42"/>
      <c r="BY761" s="42"/>
      <c r="BZ761" s="42"/>
      <c r="CA761" s="42"/>
      <c r="CB761" s="42"/>
      <c r="CC761" s="42"/>
      <c r="CD761" s="42"/>
      <c r="CE761" s="42"/>
      <c r="CF761" s="42"/>
      <c r="CG761" s="42"/>
      <c r="CH761" s="42"/>
      <c r="CI761" s="42"/>
      <c r="CJ761" s="42"/>
      <c r="CK761" s="42"/>
      <c r="CL761" s="42"/>
      <c r="CM761" s="42"/>
      <c r="CN761" s="42"/>
      <c r="CO761" s="42"/>
      <c r="CP761" s="42"/>
      <c r="CQ761" s="42"/>
      <c r="CR761" s="42"/>
      <c r="CS761" s="42"/>
      <c r="CT761" s="42"/>
      <c r="CU761" s="42"/>
      <c r="CV761" s="42"/>
      <c r="CW761" s="42"/>
      <c r="CX761" s="42"/>
      <c r="CY761" s="42"/>
      <c r="CZ761" s="42"/>
      <c r="DA761" s="42"/>
      <c r="DB761" s="42"/>
      <c r="DC761" s="42"/>
      <c r="DD761" s="42"/>
      <c r="DE761" s="42"/>
      <c r="DF761" s="42"/>
      <c r="DG761" s="42"/>
      <c r="DH761" s="42"/>
      <c r="DI761" s="42"/>
      <c r="DJ761" s="42"/>
      <c r="DK761" s="42"/>
      <c r="DL761" s="42"/>
      <c r="DM761" s="42"/>
      <c r="DN761" s="42"/>
      <c r="DO761" s="42"/>
      <c r="DP761" s="42"/>
      <c r="DQ761" s="42"/>
      <c r="DR761" s="42"/>
      <c r="DS761" s="42"/>
      <c r="DT761" s="42"/>
      <c r="DU761" s="42"/>
      <c r="DV761" s="42"/>
      <c r="DW761" s="42"/>
      <c r="DX761" s="42"/>
      <c r="DY761" s="42"/>
      <c r="DZ761" s="42"/>
      <c r="EA761" s="42"/>
      <c r="EB761" s="42"/>
      <c r="EC761" s="42"/>
      <c r="ED761" s="42"/>
      <c r="EE761" s="42"/>
      <c r="EF761" s="42"/>
      <c r="EG761" s="42"/>
      <c r="EH761" s="42"/>
      <c r="EI761" s="42"/>
      <c r="EJ761" s="42"/>
      <c r="EK761" s="42"/>
      <c r="EL761" s="42"/>
      <c r="EM761" s="42"/>
      <c r="EN761" s="42"/>
      <c r="EO761" s="42"/>
      <c r="EP761" s="42"/>
      <c r="EQ761" s="42"/>
      <c r="ER761" s="42"/>
      <c r="ES761" s="42"/>
      <c r="ET761" s="42"/>
      <c r="EU761" s="42"/>
      <c r="EV761" s="42"/>
      <c r="EW761" s="42"/>
      <c r="EX761" s="42"/>
      <c r="EY761" s="42"/>
      <c r="EZ761" s="42"/>
      <c r="FA761" s="42"/>
      <c r="FB761" s="42"/>
      <c r="FC761" s="42"/>
      <c r="FD761" s="42"/>
      <c r="FE761" s="42"/>
      <c r="FF761" s="42"/>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row>
    <row r="762" spans="1:256" ht="13.8" x14ac:dyDescent="0.3">
      <c r="A762" s="42"/>
      <c r="B762" s="42"/>
      <c r="C762" s="42"/>
      <c r="D762" s="42"/>
      <c r="E762" s="42"/>
      <c r="F762" s="42"/>
      <c r="G762" s="42"/>
      <c r="H762" s="42"/>
      <c r="I762" s="42"/>
      <c r="J762" s="42"/>
      <c r="K762" s="42"/>
      <c r="L762" s="42"/>
      <c r="M762" s="42"/>
      <c r="N762" s="42"/>
      <c r="O762" s="42"/>
      <c r="P762" s="42"/>
      <c r="Q762" s="42"/>
      <c r="R762" s="42"/>
      <c r="S762" s="42"/>
      <c r="T762" s="42"/>
      <c r="U762" s="194"/>
      <c r="V762" s="42"/>
      <c r="W762" s="42"/>
      <c r="X762" s="42"/>
      <c r="Y762" s="42"/>
      <c r="Z762" s="42"/>
      <c r="AA762" s="42"/>
      <c r="AB762" s="195"/>
      <c r="AC762" s="42"/>
      <c r="AD762" s="42"/>
      <c r="AE762" s="195"/>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c r="BM762" s="42"/>
      <c r="BN762" s="42"/>
      <c r="BO762" s="42"/>
      <c r="BP762" s="42"/>
      <c r="BQ762" s="42"/>
      <c r="BR762" s="42"/>
      <c r="BS762" s="42"/>
      <c r="BT762" s="42"/>
      <c r="BU762" s="42"/>
      <c r="BV762" s="42"/>
      <c r="BW762" s="42"/>
      <c r="BX762" s="42"/>
      <c r="BY762" s="42"/>
      <c r="BZ762" s="42"/>
      <c r="CA762" s="42"/>
      <c r="CB762" s="42"/>
      <c r="CC762" s="42"/>
      <c r="CD762" s="42"/>
      <c r="CE762" s="42"/>
      <c r="CF762" s="42"/>
      <c r="CG762" s="42"/>
      <c r="CH762" s="42"/>
      <c r="CI762" s="42"/>
      <c r="CJ762" s="42"/>
      <c r="CK762" s="42"/>
      <c r="CL762" s="42"/>
      <c r="CM762" s="42"/>
      <c r="CN762" s="42"/>
      <c r="CO762" s="42"/>
      <c r="CP762" s="42"/>
      <c r="CQ762" s="42"/>
      <c r="CR762" s="42"/>
      <c r="CS762" s="42"/>
      <c r="CT762" s="42"/>
      <c r="CU762" s="42"/>
      <c r="CV762" s="42"/>
      <c r="CW762" s="42"/>
      <c r="CX762" s="42"/>
      <c r="CY762" s="42"/>
      <c r="CZ762" s="42"/>
      <c r="DA762" s="42"/>
      <c r="DB762" s="42"/>
      <c r="DC762" s="42"/>
      <c r="DD762" s="42"/>
      <c r="DE762" s="42"/>
      <c r="DF762" s="42"/>
      <c r="DG762" s="42"/>
      <c r="DH762" s="42"/>
      <c r="DI762" s="42"/>
      <c r="DJ762" s="42"/>
      <c r="DK762" s="42"/>
      <c r="DL762" s="42"/>
      <c r="DM762" s="42"/>
      <c r="DN762" s="42"/>
      <c r="DO762" s="42"/>
      <c r="DP762" s="42"/>
      <c r="DQ762" s="42"/>
      <c r="DR762" s="42"/>
      <c r="DS762" s="42"/>
      <c r="DT762" s="42"/>
      <c r="DU762" s="42"/>
      <c r="DV762" s="42"/>
      <c r="DW762" s="42"/>
      <c r="DX762" s="42"/>
      <c r="DY762" s="42"/>
      <c r="DZ762" s="42"/>
      <c r="EA762" s="42"/>
      <c r="EB762" s="42"/>
      <c r="EC762" s="42"/>
      <c r="ED762" s="42"/>
      <c r="EE762" s="42"/>
      <c r="EF762" s="42"/>
      <c r="EG762" s="42"/>
      <c r="EH762" s="42"/>
      <c r="EI762" s="42"/>
      <c r="EJ762" s="42"/>
      <c r="EK762" s="42"/>
      <c r="EL762" s="42"/>
      <c r="EM762" s="42"/>
      <c r="EN762" s="42"/>
      <c r="EO762" s="42"/>
      <c r="EP762" s="42"/>
      <c r="EQ762" s="42"/>
      <c r="ER762" s="42"/>
      <c r="ES762" s="42"/>
      <c r="ET762" s="42"/>
      <c r="EU762" s="42"/>
      <c r="EV762" s="42"/>
      <c r="EW762" s="42"/>
      <c r="EX762" s="42"/>
      <c r="EY762" s="42"/>
      <c r="EZ762" s="42"/>
      <c r="FA762" s="42"/>
      <c r="FB762" s="42"/>
      <c r="FC762" s="42"/>
      <c r="FD762" s="42"/>
      <c r="FE762" s="42"/>
      <c r="FF762" s="42"/>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row>
    <row r="763" spans="1:256" ht="13.8" x14ac:dyDescent="0.3">
      <c r="A763" s="42"/>
      <c r="B763" s="42"/>
      <c r="C763" s="42"/>
      <c r="D763" s="42"/>
      <c r="E763" s="42"/>
      <c r="F763" s="42"/>
      <c r="G763" s="42"/>
      <c r="H763" s="42"/>
      <c r="I763" s="42"/>
      <c r="J763" s="42"/>
      <c r="K763" s="42"/>
      <c r="L763" s="42"/>
      <c r="M763" s="42"/>
      <c r="N763" s="42"/>
      <c r="O763" s="42"/>
      <c r="P763" s="42"/>
      <c r="Q763" s="42"/>
      <c r="R763" s="42"/>
      <c r="S763" s="42"/>
      <c r="T763" s="42"/>
      <c r="U763" s="194"/>
      <c r="V763" s="42"/>
      <c r="W763" s="42"/>
      <c r="X763" s="42"/>
      <c r="Y763" s="42"/>
      <c r="Z763" s="42"/>
      <c r="AA763" s="42"/>
      <c r="AB763" s="195"/>
      <c r="AC763" s="42"/>
      <c r="AD763" s="42"/>
      <c r="AE763" s="195"/>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c r="BM763" s="42"/>
      <c r="BN763" s="42"/>
      <c r="BO763" s="42"/>
      <c r="BP763" s="42"/>
      <c r="BQ763" s="42"/>
      <c r="BR763" s="42"/>
      <c r="BS763" s="42"/>
      <c r="BT763" s="42"/>
      <c r="BU763" s="42"/>
      <c r="BV763" s="42"/>
      <c r="BW763" s="42"/>
      <c r="BX763" s="42"/>
      <c r="BY763" s="42"/>
      <c r="BZ763" s="42"/>
      <c r="CA763" s="42"/>
      <c r="CB763" s="42"/>
      <c r="CC763" s="42"/>
      <c r="CD763" s="42"/>
      <c r="CE763" s="42"/>
      <c r="CF763" s="42"/>
      <c r="CG763" s="42"/>
      <c r="CH763" s="42"/>
      <c r="CI763" s="42"/>
      <c r="CJ763" s="42"/>
      <c r="CK763" s="42"/>
      <c r="CL763" s="42"/>
      <c r="CM763" s="42"/>
      <c r="CN763" s="42"/>
      <c r="CO763" s="42"/>
      <c r="CP763" s="42"/>
      <c r="CQ763" s="42"/>
      <c r="CR763" s="42"/>
      <c r="CS763" s="42"/>
      <c r="CT763" s="42"/>
      <c r="CU763" s="42"/>
      <c r="CV763" s="42"/>
      <c r="CW763" s="42"/>
      <c r="CX763" s="42"/>
      <c r="CY763" s="42"/>
      <c r="CZ763" s="42"/>
      <c r="DA763" s="42"/>
      <c r="DB763" s="42"/>
      <c r="DC763" s="42"/>
      <c r="DD763" s="42"/>
      <c r="DE763" s="42"/>
      <c r="DF763" s="42"/>
      <c r="DG763" s="42"/>
      <c r="DH763" s="42"/>
      <c r="DI763" s="42"/>
      <c r="DJ763" s="42"/>
      <c r="DK763" s="42"/>
      <c r="DL763" s="42"/>
      <c r="DM763" s="42"/>
      <c r="DN763" s="42"/>
      <c r="DO763" s="42"/>
      <c r="DP763" s="42"/>
      <c r="DQ763" s="42"/>
      <c r="DR763" s="42"/>
      <c r="DS763" s="42"/>
      <c r="DT763" s="42"/>
      <c r="DU763" s="42"/>
      <c r="DV763" s="42"/>
      <c r="DW763" s="42"/>
      <c r="DX763" s="42"/>
      <c r="DY763" s="42"/>
      <c r="DZ763" s="42"/>
      <c r="EA763" s="42"/>
      <c r="EB763" s="42"/>
      <c r="EC763" s="42"/>
      <c r="ED763" s="42"/>
      <c r="EE763" s="42"/>
      <c r="EF763" s="42"/>
      <c r="EG763" s="42"/>
      <c r="EH763" s="42"/>
      <c r="EI763" s="42"/>
      <c r="EJ763" s="42"/>
      <c r="EK763" s="42"/>
      <c r="EL763" s="42"/>
      <c r="EM763" s="42"/>
      <c r="EN763" s="42"/>
      <c r="EO763" s="42"/>
      <c r="EP763" s="42"/>
      <c r="EQ763" s="42"/>
      <c r="ER763" s="42"/>
      <c r="ES763" s="42"/>
      <c r="ET763" s="42"/>
      <c r="EU763" s="42"/>
      <c r="EV763" s="42"/>
      <c r="EW763" s="42"/>
      <c r="EX763" s="42"/>
      <c r="EY763" s="42"/>
      <c r="EZ763" s="42"/>
      <c r="FA763" s="42"/>
      <c r="FB763" s="42"/>
      <c r="FC763" s="42"/>
      <c r="FD763" s="42"/>
      <c r="FE763" s="42"/>
      <c r="FF763" s="42"/>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row>
    <row r="764" spans="1:256" ht="13.8" x14ac:dyDescent="0.3">
      <c r="A764" s="42"/>
      <c r="B764" s="42"/>
      <c r="C764" s="42"/>
      <c r="D764" s="42"/>
      <c r="E764" s="42"/>
      <c r="F764" s="42"/>
      <c r="G764" s="42"/>
      <c r="H764" s="42"/>
      <c r="I764" s="42"/>
      <c r="J764" s="42"/>
      <c r="K764" s="42"/>
      <c r="L764" s="42"/>
      <c r="M764" s="42"/>
      <c r="N764" s="42"/>
      <c r="O764" s="42"/>
      <c r="P764" s="42"/>
      <c r="Q764" s="42"/>
      <c r="R764" s="42"/>
      <c r="S764" s="42"/>
      <c r="T764" s="42"/>
      <c r="U764" s="194"/>
      <c r="V764" s="42"/>
      <c r="W764" s="42"/>
      <c r="X764" s="42"/>
      <c r="Y764" s="42"/>
      <c r="Z764" s="42"/>
      <c r="AA764" s="42"/>
      <c r="AB764" s="195"/>
      <c r="AC764" s="42"/>
      <c r="AD764" s="42"/>
      <c r="AE764" s="195"/>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c r="BM764" s="42"/>
      <c r="BN764" s="42"/>
      <c r="BO764" s="42"/>
      <c r="BP764" s="42"/>
      <c r="BQ764" s="42"/>
      <c r="BR764" s="42"/>
      <c r="BS764" s="42"/>
      <c r="BT764" s="42"/>
      <c r="BU764" s="42"/>
      <c r="BV764" s="42"/>
      <c r="BW764" s="42"/>
      <c r="BX764" s="42"/>
      <c r="BY764" s="42"/>
      <c r="BZ764" s="42"/>
      <c r="CA764" s="42"/>
      <c r="CB764" s="42"/>
      <c r="CC764" s="42"/>
      <c r="CD764" s="42"/>
      <c r="CE764" s="42"/>
      <c r="CF764" s="42"/>
      <c r="CG764" s="42"/>
      <c r="CH764" s="42"/>
      <c r="CI764" s="42"/>
      <c r="CJ764" s="42"/>
      <c r="CK764" s="42"/>
      <c r="CL764" s="42"/>
      <c r="CM764" s="42"/>
      <c r="CN764" s="42"/>
      <c r="CO764" s="42"/>
      <c r="CP764" s="42"/>
      <c r="CQ764" s="42"/>
      <c r="CR764" s="42"/>
      <c r="CS764" s="42"/>
      <c r="CT764" s="42"/>
      <c r="CU764" s="42"/>
      <c r="CV764" s="42"/>
      <c r="CW764" s="42"/>
      <c r="CX764" s="42"/>
      <c r="CY764" s="42"/>
      <c r="CZ764" s="42"/>
      <c r="DA764" s="42"/>
      <c r="DB764" s="42"/>
      <c r="DC764" s="42"/>
      <c r="DD764" s="42"/>
      <c r="DE764" s="42"/>
      <c r="DF764" s="42"/>
      <c r="DG764" s="42"/>
      <c r="DH764" s="42"/>
      <c r="DI764" s="42"/>
      <c r="DJ764" s="42"/>
      <c r="DK764" s="42"/>
      <c r="DL764" s="42"/>
      <c r="DM764" s="42"/>
      <c r="DN764" s="42"/>
      <c r="DO764" s="42"/>
      <c r="DP764" s="42"/>
      <c r="DQ764" s="42"/>
      <c r="DR764" s="42"/>
      <c r="DS764" s="42"/>
      <c r="DT764" s="42"/>
      <c r="DU764" s="42"/>
      <c r="DV764" s="42"/>
      <c r="DW764" s="42"/>
      <c r="DX764" s="42"/>
      <c r="DY764" s="42"/>
      <c r="DZ764" s="42"/>
      <c r="EA764" s="42"/>
      <c r="EB764" s="42"/>
      <c r="EC764" s="42"/>
      <c r="ED764" s="42"/>
      <c r="EE764" s="42"/>
      <c r="EF764" s="42"/>
      <c r="EG764" s="42"/>
      <c r="EH764" s="42"/>
      <c r="EI764" s="42"/>
      <c r="EJ764" s="42"/>
      <c r="EK764" s="42"/>
      <c r="EL764" s="42"/>
      <c r="EM764" s="42"/>
      <c r="EN764" s="42"/>
      <c r="EO764" s="42"/>
      <c r="EP764" s="42"/>
      <c r="EQ764" s="42"/>
      <c r="ER764" s="42"/>
      <c r="ES764" s="42"/>
      <c r="ET764" s="42"/>
      <c r="EU764" s="42"/>
      <c r="EV764" s="42"/>
      <c r="EW764" s="42"/>
      <c r="EX764" s="42"/>
      <c r="EY764" s="42"/>
      <c r="EZ764" s="42"/>
      <c r="FA764" s="42"/>
      <c r="FB764" s="42"/>
      <c r="FC764" s="42"/>
      <c r="FD764" s="42"/>
      <c r="FE764" s="42"/>
      <c r="FF764" s="42"/>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row>
    <row r="765" spans="1:256" ht="13.8" x14ac:dyDescent="0.3">
      <c r="A765" s="42"/>
      <c r="B765" s="42"/>
      <c r="C765" s="42"/>
      <c r="D765" s="42"/>
      <c r="E765" s="42"/>
      <c r="F765" s="42"/>
      <c r="G765" s="42"/>
      <c r="H765" s="42"/>
      <c r="I765" s="42"/>
      <c r="J765" s="42"/>
      <c r="K765" s="42"/>
      <c r="L765" s="42"/>
      <c r="M765" s="42"/>
      <c r="N765" s="42"/>
      <c r="O765" s="42"/>
      <c r="P765" s="42"/>
      <c r="Q765" s="42"/>
      <c r="R765" s="42"/>
      <c r="S765" s="42"/>
      <c r="T765" s="42"/>
      <c r="U765" s="194"/>
      <c r="V765" s="42"/>
      <c r="W765" s="42"/>
      <c r="X765" s="42"/>
      <c r="Y765" s="42"/>
      <c r="Z765" s="42"/>
      <c r="AA765" s="42"/>
      <c r="AB765" s="195"/>
      <c r="AC765" s="42"/>
      <c r="AD765" s="42"/>
      <c r="AE765" s="195"/>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c r="BM765" s="42"/>
      <c r="BN765" s="42"/>
      <c r="BO765" s="42"/>
      <c r="BP765" s="42"/>
      <c r="BQ765" s="42"/>
      <c r="BR765" s="42"/>
      <c r="BS765" s="42"/>
      <c r="BT765" s="42"/>
      <c r="BU765" s="42"/>
      <c r="BV765" s="42"/>
      <c r="BW765" s="42"/>
      <c r="BX765" s="42"/>
      <c r="BY765" s="42"/>
      <c r="BZ765" s="42"/>
      <c r="CA765" s="42"/>
      <c r="CB765" s="42"/>
      <c r="CC765" s="42"/>
      <c r="CD765" s="42"/>
      <c r="CE765" s="42"/>
      <c r="CF765" s="42"/>
      <c r="CG765" s="42"/>
      <c r="CH765" s="42"/>
      <c r="CI765" s="42"/>
      <c r="CJ765" s="42"/>
      <c r="CK765" s="42"/>
      <c r="CL765" s="42"/>
      <c r="CM765" s="42"/>
      <c r="CN765" s="42"/>
      <c r="CO765" s="42"/>
      <c r="CP765" s="42"/>
      <c r="CQ765" s="42"/>
      <c r="CR765" s="42"/>
      <c r="CS765" s="42"/>
      <c r="CT765" s="42"/>
      <c r="CU765" s="42"/>
      <c r="CV765" s="42"/>
      <c r="CW765" s="42"/>
      <c r="CX765" s="42"/>
      <c r="CY765" s="42"/>
      <c r="CZ765" s="42"/>
      <c r="DA765" s="42"/>
      <c r="DB765" s="42"/>
      <c r="DC765" s="42"/>
      <c r="DD765" s="42"/>
      <c r="DE765" s="42"/>
      <c r="DF765" s="42"/>
      <c r="DG765" s="42"/>
      <c r="DH765" s="42"/>
      <c r="DI765" s="42"/>
      <c r="DJ765" s="42"/>
      <c r="DK765" s="42"/>
      <c r="DL765" s="42"/>
      <c r="DM765" s="42"/>
      <c r="DN765" s="42"/>
      <c r="DO765" s="42"/>
      <c r="DP765" s="42"/>
      <c r="DQ765" s="42"/>
      <c r="DR765" s="42"/>
      <c r="DS765" s="42"/>
      <c r="DT765" s="42"/>
      <c r="DU765" s="42"/>
      <c r="DV765" s="42"/>
      <c r="DW765" s="42"/>
      <c r="DX765" s="42"/>
      <c r="DY765" s="42"/>
      <c r="DZ765" s="42"/>
      <c r="EA765" s="42"/>
      <c r="EB765" s="42"/>
      <c r="EC765" s="42"/>
      <c r="ED765" s="42"/>
      <c r="EE765" s="42"/>
      <c r="EF765" s="42"/>
      <c r="EG765" s="42"/>
      <c r="EH765" s="42"/>
      <c r="EI765" s="42"/>
      <c r="EJ765" s="42"/>
      <c r="EK765" s="42"/>
      <c r="EL765" s="42"/>
      <c r="EM765" s="42"/>
      <c r="EN765" s="42"/>
      <c r="EO765" s="42"/>
      <c r="EP765" s="42"/>
      <c r="EQ765" s="42"/>
      <c r="ER765" s="42"/>
      <c r="ES765" s="42"/>
      <c r="ET765" s="42"/>
      <c r="EU765" s="42"/>
      <c r="EV765" s="42"/>
      <c r="EW765" s="42"/>
      <c r="EX765" s="42"/>
      <c r="EY765" s="42"/>
      <c r="EZ765" s="42"/>
      <c r="FA765" s="42"/>
      <c r="FB765" s="42"/>
      <c r="FC765" s="42"/>
      <c r="FD765" s="42"/>
      <c r="FE765" s="42"/>
      <c r="FF765" s="42"/>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row>
    <row r="766" spans="1:256" ht="13.8" x14ac:dyDescent="0.3">
      <c r="A766" s="42"/>
      <c r="B766" s="42"/>
      <c r="C766" s="42"/>
      <c r="D766" s="42"/>
      <c r="E766" s="42"/>
      <c r="F766" s="42"/>
      <c r="G766" s="42"/>
      <c r="H766" s="42"/>
      <c r="I766" s="42"/>
      <c r="J766" s="42"/>
      <c r="K766" s="42"/>
      <c r="L766" s="42"/>
      <c r="M766" s="42"/>
      <c r="N766" s="42"/>
      <c r="O766" s="42"/>
      <c r="P766" s="42"/>
      <c r="Q766" s="42"/>
      <c r="R766" s="42"/>
      <c r="S766" s="42"/>
      <c r="T766" s="42"/>
      <c r="U766" s="194"/>
      <c r="V766" s="42"/>
      <c r="W766" s="42"/>
      <c r="X766" s="42"/>
      <c r="Y766" s="42"/>
      <c r="Z766" s="42"/>
      <c r="AA766" s="42"/>
      <c r="AB766" s="195"/>
      <c r="AC766" s="42"/>
      <c r="AD766" s="42"/>
      <c r="AE766" s="195"/>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2"/>
      <c r="EC766" s="42"/>
      <c r="ED766" s="42"/>
      <c r="EE766" s="42"/>
      <c r="EF766" s="42"/>
      <c r="EG766" s="42"/>
      <c r="EH766" s="42"/>
      <c r="EI766" s="42"/>
      <c r="EJ766" s="42"/>
      <c r="EK766" s="42"/>
      <c r="EL766" s="42"/>
      <c r="EM766" s="42"/>
      <c r="EN766" s="42"/>
      <c r="EO766" s="42"/>
      <c r="EP766" s="42"/>
      <c r="EQ766" s="42"/>
      <c r="ER766" s="42"/>
      <c r="ES766" s="42"/>
      <c r="ET766" s="42"/>
      <c r="EU766" s="42"/>
      <c r="EV766" s="42"/>
      <c r="EW766" s="42"/>
      <c r="EX766" s="42"/>
      <c r="EY766" s="42"/>
      <c r="EZ766" s="42"/>
      <c r="FA766" s="42"/>
      <c r="FB766" s="42"/>
      <c r="FC766" s="42"/>
      <c r="FD766" s="42"/>
      <c r="FE766" s="42"/>
      <c r="FF766" s="42"/>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row>
    <row r="767" spans="1:256" ht="13.8" x14ac:dyDescent="0.3">
      <c r="A767" s="42"/>
      <c r="B767" s="42"/>
      <c r="C767" s="42"/>
      <c r="D767" s="42"/>
      <c r="E767" s="42"/>
      <c r="F767" s="42"/>
      <c r="G767" s="42"/>
      <c r="H767" s="42"/>
      <c r="I767" s="42"/>
      <c r="J767" s="42"/>
      <c r="K767" s="42"/>
      <c r="L767" s="42"/>
      <c r="M767" s="42"/>
      <c r="N767" s="42"/>
      <c r="O767" s="42"/>
      <c r="P767" s="42"/>
      <c r="Q767" s="42"/>
      <c r="R767" s="42"/>
      <c r="S767" s="42"/>
      <c r="T767" s="42"/>
      <c r="U767" s="194"/>
      <c r="V767" s="42"/>
      <c r="W767" s="42"/>
      <c r="X767" s="42"/>
      <c r="Y767" s="42"/>
      <c r="Z767" s="42"/>
      <c r="AA767" s="42"/>
      <c r="AB767" s="195"/>
      <c r="AC767" s="42"/>
      <c r="AD767" s="42"/>
      <c r="AE767" s="195"/>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c r="BM767" s="42"/>
      <c r="BN767" s="42"/>
      <c r="BO767" s="42"/>
      <c r="BP767" s="42"/>
      <c r="BQ767" s="42"/>
      <c r="BR767" s="42"/>
      <c r="BS767" s="42"/>
      <c r="BT767" s="42"/>
      <c r="BU767" s="42"/>
      <c r="BV767" s="42"/>
      <c r="BW767" s="42"/>
      <c r="BX767" s="42"/>
      <c r="BY767" s="42"/>
      <c r="BZ767" s="42"/>
      <c r="CA767" s="42"/>
      <c r="CB767" s="42"/>
      <c r="CC767" s="42"/>
      <c r="CD767" s="42"/>
      <c r="CE767" s="42"/>
      <c r="CF767" s="42"/>
      <c r="CG767" s="42"/>
      <c r="CH767" s="42"/>
      <c r="CI767" s="42"/>
      <c r="CJ767" s="42"/>
      <c r="CK767" s="42"/>
      <c r="CL767" s="42"/>
      <c r="CM767" s="42"/>
      <c r="CN767" s="42"/>
      <c r="CO767" s="42"/>
      <c r="CP767" s="42"/>
      <c r="CQ767" s="42"/>
      <c r="CR767" s="42"/>
      <c r="CS767" s="42"/>
      <c r="CT767" s="42"/>
      <c r="CU767" s="42"/>
      <c r="CV767" s="42"/>
      <c r="CW767" s="42"/>
      <c r="CX767" s="42"/>
      <c r="CY767" s="42"/>
      <c r="CZ767" s="42"/>
      <c r="DA767" s="42"/>
      <c r="DB767" s="42"/>
      <c r="DC767" s="42"/>
      <c r="DD767" s="42"/>
      <c r="DE767" s="42"/>
      <c r="DF767" s="42"/>
      <c r="DG767" s="42"/>
      <c r="DH767" s="42"/>
      <c r="DI767" s="42"/>
      <c r="DJ767" s="42"/>
      <c r="DK767" s="42"/>
      <c r="DL767" s="42"/>
      <c r="DM767" s="42"/>
      <c r="DN767" s="42"/>
      <c r="DO767" s="42"/>
      <c r="DP767" s="42"/>
      <c r="DQ767" s="42"/>
      <c r="DR767" s="42"/>
      <c r="DS767" s="42"/>
      <c r="DT767" s="42"/>
      <c r="DU767" s="42"/>
      <c r="DV767" s="42"/>
      <c r="DW767" s="42"/>
      <c r="DX767" s="42"/>
      <c r="DY767" s="42"/>
      <c r="DZ767" s="42"/>
      <c r="EA767" s="42"/>
      <c r="EB767" s="42"/>
      <c r="EC767" s="42"/>
      <c r="ED767" s="42"/>
      <c r="EE767" s="42"/>
      <c r="EF767" s="42"/>
      <c r="EG767" s="42"/>
      <c r="EH767" s="42"/>
      <c r="EI767" s="42"/>
      <c r="EJ767" s="42"/>
      <c r="EK767" s="42"/>
      <c r="EL767" s="42"/>
      <c r="EM767" s="42"/>
      <c r="EN767" s="42"/>
      <c r="EO767" s="42"/>
      <c r="EP767" s="42"/>
      <c r="EQ767" s="42"/>
      <c r="ER767" s="42"/>
      <c r="ES767" s="42"/>
      <c r="ET767" s="42"/>
      <c r="EU767" s="42"/>
      <c r="EV767" s="42"/>
      <c r="EW767" s="42"/>
      <c r="EX767" s="42"/>
      <c r="EY767" s="42"/>
      <c r="EZ767" s="42"/>
      <c r="FA767" s="42"/>
      <c r="FB767" s="42"/>
      <c r="FC767" s="42"/>
      <c r="FD767" s="42"/>
      <c r="FE767" s="42"/>
      <c r="FF767" s="42"/>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row>
    <row r="768" spans="1:256" ht="13.8" x14ac:dyDescent="0.3">
      <c r="A768" s="42"/>
      <c r="B768" s="42"/>
      <c r="C768" s="42"/>
      <c r="D768" s="42"/>
      <c r="E768" s="42"/>
      <c r="F768" s="42"/>
      <c r="G768" s="42"/>
      <c r="H768" s="42"/>
      <c r="I768" s="42"/>
      <c r="J768" s="42"/>
      <c r="K768" s="42"/>
      <c r="L768" s="42"/>
      <c r="M768" s="42"/>
      <c r="N768" s="42"/>
      <c r="O768" s="42"/>
      <c r="P768" s="42"/>
      <c r="Q768" s="42"/>
      <c r="R768" s="42"/>
      <c r="S768" s="42"/>
      <c r="T768" s="42"/>
      <c r="U768" s="194"/>
      <c r="V768" s="42"/>
      <c r="W768" s="42"/>
      <c r="X768" s="42"/>
      <c r="Y768" s="42"/>
      <c r="Z768" s="42"/>
      <c r="AA768" s="42"/>
      <c r="AB768" s="195"/>
      <c r="AC768" s="42"/>
      <c r="AD768" s="42"/>
      <c r="AE768" s="195"/>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c r="BM768" s="42"/>
      <c r="BN768" s="42"/>
      <c r="BO768" s="42"/>
      <c r="BP768" s="42"/>
      <c r="BQ768" s="42"/>
      <c r="BR768" s="42"/>
      <c r="BS768" s="42"/>
      <c r="BT768" s="42"/>
      <c r="BU768" s="42"/>
      <c r="BV768" s="42"/>
      <c r="BW768" s="42"/>
      <c r="BX768" s="42"/>
      <c r="BY768" s="42"/>
      <c r="BZ768" s="42"/>
      <c r="CA768" s="42"/>
      <c r="CB768" s="42"/>
      <c r="CC768" s="42"/>
      <c r="CD768" s="42"/>
      <c r="CE768" s="42"/>
      <c r="CF768" s="42"/>
      <c r="CG768" s="42"/>
      <c r="CH768" s="42"/>
      <c r="CI768" s="42"/>
      <c r="CJ768" s="42"/>
      <c r="CK768" s="42"/>
      <c r="CL768" s="42"/>
      <c r="CM768" s="42"/>
      <c r="CN768" s="42"/>
      <c r="CO768" s="42"/>
      <c r="CP768" s="42"/>
      <c r="CQ768" s="42"/>
      <c r="CR768" s="42"/>
      <c r="CS768" s="42"/>
      <c r="CT768" s="42"/>
      <c r="CU768" s="42"/>
      <c r="CV768" s="42"/>
      <c r="CW768" s="42"/>
      <c r="CX768" s="42"/>
      <c r="CY768" s="42"/>
      <c r="CZ768" s="42"/>
      <c r="DA768" s="42"/>
      <c r="DB768" s="42"/>
      <c r="DC768" s="42"/>
      <c r="DD768" s="42"/>
      <c r="DE768" s="42"/>
      <c r="DF768" s="42"/>
      <c r="DG768" s="42"/>
      <c r="DH768" s="42"/>
      <c r="DI768" s="42"/>
      <c r="DJ768" s="42"/>
      <c r="DK768" s="42"/>
      <c r="DL768" s="42"/>
      <c r="DM768" s="42"/>
      <c r="DN768" s="42"/>
      <c r="DO768" s="42"/>
      <c r="DP768" s="42"/>
      <c r="DQ768" s="42"/>
      <c r="DR768" s="42"/>
      <c r="DS768" s="42"/>
      <c r="DT768" s="42"/>
      <c r="DU768" s="42"/>
      <c r="DV768" s="42"/>
      <c r="DW768" s="42"/>
      <c r="DX768" s="42"/>
      <c r="DY768" s="42"/>
      <c r="DZ768" s="42"/>
      <c r="EA768" s="42"/>
      <c r="EB768" s="42"/>
      <c r="EC768" s="42"/>
      <c r="ED768" s="42"/>
      <c r="EE768" s="42"/>
      <c r="EF768" s="42"/>
      <c r="EG768" s="42"/>
      <c r="EH768" s="42"/>
      <c r="EI768" s="42"/>
      <c r="EJ768" s="42"/>
      <c r="EK768" s="42"/>
      <c r="EL768" s="42"/>
      <c r="EM768" s="42"/>
      <c r="EN768" s="42"/>
      <c r="EO768" s="42"/>
      <c r="EP768" s="42"/>
      <c r="EQ768" s="42"/>
      <c r="ER768" s="42"/>
      <c r="ES768" s="42"/>
      <c r="ET768" s="42"/>
      <c r="EU768" s="42"/>
      <c r="EV768" s="42"/>
      <c r="EW768" s="42"/>
      <c r="EX768" s="42"/>
      <c r="EY768" s="42"/>
      <c r="EZ768" s="42"/>
      <c r="FA768" s="42"/>
      <c r="FB768" s="42"/>
      <c r="FC768" s="42"/>
      <c r="FD768" s="42"/>
      <c r="FE768" s="42"/>
      <c r="FF768" s="42"/>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row>
    <row r="769" spans="1:256" ht="13.8" x14ac:dyDescent="0.3">
      <c r="A769" s="42"/>
      <c r="B769" s="42"/>
      <c r="C769" s="42"/>
      <c r="D769" s="42"/>
      <c r="E769" s="42"/>
      <c r="F769" s="42"/>
      <c r="G769" s="42"/>
      <c r="H769" s="42"/>
      <c r="I769" s="42"/>
      <c r="J769" s="42"/>
      <c r="K769" s="42"/>
      <c r="L769" s="42"/>
      <c r="M769" s="42"/>
      <c r="N769" s="42"/>
      <c r="O769" s="42"/>
      <c r="P769" s="42"/>
      <c r="Q769" s="42"/>
      <c r="R769" s="42"/>
      <c r="S769" s="42"/>
      <c r="T769" s="42"/>
      <c r="U769" s="194"/>
      <c r="V769" s="42"/>
      <c r="W769" s="42"/>
      <c r="X769" s="42"/>
      <c r="Y769" s="42"/>
      <c r="Z769" s="42"/>
      <c r="AA769" s="42"/>
      <c r="AB769" s="195"/>
      <c r="AC769" s="42"/>
      <c r="AD769" s="42"/>
      <c r="AE769" s="195"/>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c r="BM769" s="42"/>
      <c r="BN769" s="42"/>
      <c r="BO769" s="42"/>
      <c r="BP769" s="42"/>
      <c r="BQ769" s="42"/>
      <c r="BR769" s="42"/>
      <c r="BS769" s="42"/>
      <c r="BT769" s="42"/>
      <c r="BU769" s="42"/>
      <c r="BV769" s="42"/>
      <c r="BW769" s="42"/>
      <c r="BX769" s="42"/>
      <c r="BY769" s="42"/>
      <c r="BZ769" s="42"/>
      <c r="CA769" s="42"/>
      <c r="CB769" s="42"/>
      <c r="CC769" s="42"/>
      <c r="CD769" s="42"/>
      <c r="CE769" s="42"/>
      <c r="CF769" s="42"/>
      <c r="CG769" s="42"/>
      <c r="CH769" s="42"/>
      <c r="CI769" s="42"/>
      <c r="CJ769" s="42"/>
      <c r="CK769" s="42"/>
      <c r="CL769" s="42"/>
      <c r="CM769" s="42"/>
      <c r="CN769" s="42"/>
      <c r="CO769" s="42"/>
      <c r="CP769" s="42"/>
      <c r="CQ769" s="42"/>
      <c r="CR769" s="42"/>
      <c r="CS769" s="42"/>
      <c r="CT769" s="42"/>
      <c r="CU769" s="42"/>
      <c r="CV769" s="42"/>
      <c r="CW769" s="42"/>
      <c r="CX769" s="42"/>
      <c r="CY769" s="42"/>
      <c r="CZ769" s="42"/>
      <c r="DA769" s="42"/>
      <c r="DB769" s="42"/>
      <c r="DC769" s="42"/>
      <c r="DD769" s="42"/>
      <c r="DE769" s="42"/>
      <c r="DF769" s="42"/>
      <c r="DG769" s="42"/>
      <c r="DH769" s="42"/>
      <c r="DI769" s="42"/>
      <c r="DJ769" s="42"/>
      <c r="DK769" s="42"/>
      <c r="DL769" s="42"/>
      <c r="DM769" s="42"/>
      <c r="DN769" s="42"/>
      <c r="DO769" s="42"/>
      <c r="DP769" s="42"/>
      <c r="DQ769" s="42"/>
      <c r="DR769" s="42"/>
      <c r="DS769" s="42"/>
      <c r="DT769" s="42"/>
      <c r="DU769" s="42"/>
      <c r="DV769" s="42"/>
      <c r="DW769" s="42"/>
      <c r="DX769" s="42"/>
      <c r="DY769" s="42"/>
      <c r="DZ769" s="42"/>
      <c r="EA769" s="42"/>
      <c r="EB769" s="42"/>
      <c r="EC769" s="42"/>
      <c r="ED769" s="42"/>
      <c r="EE769" s="42"/>
      <c r="EF769" s="42"/>
      <c r="EG769" s="42"/>
      <c r="EH769" s="42"/>
      <c r="EI769" s="42"/>
      <c r="EJ769" s="42"/>
      <c r="EK769" s="42"/>
      <c r="EL769" s="42"/>
      <c r="EM769" s="42"/>
      <c r="EN769" s="42"/>
      <c r="EO769" s="42"/>
      <c r="EP769" s="42"/>
      <c r="EQ769" s="42"/>
      <c r="ER769" s="42"/>
      <c r="ES769" s="42"/>
      <c r="ET769" s="42"/>
      <c r="EU769" s="42"/>
      <c r="EV769" s="42"/>
      <c r="EW769" s="42"/>
      <c r="EX769" s="42"/>
      <c r="EY769" s="42"/>
      <c r="EZ769" s="42"/>
      <c r="FA769" s="42"/>
      <c r="FB769" s="42"/>
      <c r="FC769" s="42"/>
      <c r="FD769" s="42"/>
      <c r="FE769" s="42"/>
      <c r="FF769" s="42"/>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row>
    <row r="770" spans="1:256" ht="13.8" x14ac:dyDescent="0.3">
      <c r="A770" s="42"/>
      <c r="B770" s="42"/>
      <c r="C770" s="42"/>
      <c r="D770" s="42"/>
      <c r="E770" s="42"/>
      <c r="F770" s="42"/>
      <c r="G770" s="42"/>
      <c r="H770" s="42"/>
      <c r="I770" s="42"/>
      <c r="J770" s="42"/>
      <c r="K770" s="42"/>
      <c r="L770" s="42"/>
      <c r="M770" s="42"/>
      <c r="N770" s="42"/>
      <c r="O770" s="42"/>
      <c r="P770" s="42"/>
      <c r="Q770" s="42"/>
      <c r="R770" s="42"/>
      <c r="S770" s="42"/>
      <c r="T770" s="42"/>
      <c r="U770" s="194"/>
      <c r="V770" s="42"/>
      <c r="W770" s="42"/>
      <c r="X770" s="42"/>
      <c r="Y770" s="42"/>
      <c r="Z770" s="42"/>
      <c r="AA770" s="42"/>
      <c r="AB770" s="195"/>
      <c r="AC770" s="42"/>
      <c r="AD770" s="42"/>
      <c r="AE770" s="195"/>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c r="BM770" s="42"/>
      <c r="BN770" s="42"/>
      <c r="BO770" s="42"/>
      <c r="BP770" s="42"/>
      <c r="BQ770" s="42"/>
      <c r="BR770" s="42"/>
      <c r="BS770" s="42"/>
      <c r="BT770" s="42"/>
      <c r="BU770" s="42"/>
      <c r="BV770" s="42"/>
      <c r="BW770" s="42"/>
      <c r="BX770" s="42"/>
      <c r="BY770" s="42"/>
      <c r="BZ770" s="42"/>
      <c r="CA770" s="42"/>
      <c r="CB770" s="42"/>
      <c r="CC770" s="42"/>
      <c r="CD770" s="42"/>
      <c r="CE770" s="42"/>
      <c r="CF770" s="42"/>
      <c r="CG770" s="42"/>
      <c r="CH770" s="42"/>
      <c r="CI770" s="42"/>
      <c r="CJ770" s="42"/>
      <c r="CK770" s="42"/>
      <c r="CL770" s="42"/>
      <c r="CM770" s="42"/>
      <c r="CN770" s="42"/>
      <c r="CO770" s="42"/>
      <c r="CP770" s="42"/>
      <c r="CQ770" s="42"/>
      <c r="CR770" s="42"/>
      <c r="CS770" s="42"/>
      <c r="CT770" s="42"/>
      <c r="CU770" s="42"/>
      <c r="CV770" s="42"/>
      <c r="CW770" s="42"/>
      <c r="CX770" s="42"/>
      <c r="CY770" s="42"/>
      <c r="CZ770" s="42"/>
      <c r="DA770" s="42"/>
      <c r="DB770" s="42"/>
      <c r="DC770" s="42"/>
      <c r="DD770" s="42"/>
      <c r="DE770" s="42"/>
      <c r="DF770" s="42"/>
      <c r="DG770" s="42"/>
      <c r="DH770" s="42"/>
      <c r="DI770" s="42"/>
      <c r="DJ770" s="42"/>
      <c r="DK770" s="42"/>
      <c r="DL770" s="42"/>
      <c r="DM770" s="42"/>
      <c r="DN770" s="42"/>
      <c r="DO770" s="42"/>
      <c r="DP770" s="42"/>
      <c r="DQ770" s="42"/>
      <c r="DR770" s="42"/>
      <c r="DS770" s="42"/>
      <c r="DT770" s="42"/>
      <c r="DU770" s="42"/>
      <c r="DV770" s="42"/>
      <c r="DW770" s="42"/>
      <c r="DX770" s="42"/>
      <c r="DY770" s="42"/>
      <c r="DZ770" s="42"/>
      <c r="EA770" s="42"/>
      <c r="EB770" s="42"/>
      <c r="EC770" s="42"/>
      <c r="ED770" s="42"/>
      <c r="EE770" s="42"/>
      <c r="EF770" s="42"/>
      <c r="EG770" s="42"/>
      <c r="EH770" s="42"/>
      <c r="EI770" s="42"/>
      <c r="EJ770" s="42"/>
      <c r="EK770" s="42"/>
      <c r="EL770" s="42"/>
      <c r="EM770" s="42"/>
      <c r="EN770" s="42"/>
      <c r="EO770" s="42"/>
      <c r="EP770" s="42"/>
      <c r="EQ770" s="42"/>
      <c r="ER770" s="42"/>
      <c r="ES770" s="42"/>
      <c r="ET770" s="42"/>
      <c r="EU770" s="42"/>
      <c r="EV770" s="42"/>
      <c r="EW770" s="42"/>
      <c r="EX770" s="42"/>
      <c r="EY770" s="42"/>
      <c r="EZ770" s="42"/>
      <c r="FA770" s="42"/>
      <c r="FB770" s="42"/>
      <c r="FC770" s="42"/>
      <c r="FD770" s="42"/>
      <c r="FE770" s="42"/>
      <c r="FF770" s="42"/>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row>
    <row r="771" spans="1:256" ht="13.8" x14ac:dyDescent="0.3">
      <c r="A771" s="42"/>
      <c r="B771" s="42"/>
      <c r="C771" s="42"/>
      <c r="D771" s="42"/>
      <c r="E771" s="42"/>
      <c r="F771" s="42"/>
      <c r="G771" s="42"/>
      <c r="H771" s="42"/>
      <c r="I771" s="42"/>
      <c r="J771" s="42"/>
      <c r="K771" s="42"/>
      <c r="L771" s="42"/>
      <c r="M771" s="42"/>
      <c r="N771" s="42"/>
      <c r="O771" s="42"/>
      <c r="P771" s="42"/>
      <c r="Q771" s="42"/>
      <c r="R771" s="42"/>
      <c r="S771" s="42"/>
      <c r="T771" s="42"/>
      <c r="U771" s="194"/>
      <c r="V771" s="42"/>
      <c r="W771" s="42"/>
      <c r="X771" s="42"/>
      <c r="Y771" s="42"/>
      <c r="Z771" s="42"/>
      <c r="AA771" s="42"/>
      <c r="AB771" s="195"/>
      <c r="AC771" s="42"/>
      <c r="AD771" s="42"/>
      <c r="AE771" s="195"/>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c r="BM771" s="42"/>
      <c r="BN771" s="42"/>
      <c r="BO771" s="42"/>
      <c r="BP771" s="42"/>
      <c r="BQ771" s="42"/>
      <c r="BR771" s="42"/>
      <c r="BS771" s="42"/>
      <c r="BT771" s="42"/>
      <c r="BU771" s="42"/>
      <c r="BV771" s="42"/>
      <c r="BW771" s="42"/>
      <c r="BX771" s="42"/>
      <c r="BY771" s="42"/>
      <c r="BZ771" s="42"/>
      <c r="CA771" s="42"/>
      <c r="CB771" s="42"/>
      <c r="CC771" s="42"/>
      <c r="CD771" s="42"/>
      <c r="CE771" s="42"/>
      <c r="CF771" s="42"/>
      <c r="CG771" s="42"/>
      <c r="CH771" s="42"/>
      <c r="CI771" s="42"/>
      <c r="CJ771" s="42"/>
      <c r="CK771" s="42"/>
      <c r="CL771" s="42"/>
      <c r="CM771" s="42"/>
      <c r="CN771" s="42"/>
      <c r="CO771" s="42"/>
      <c r="CP771" s="42"/>
      <c r="CQ771" s="42"/>
      <c r="CR771" s="42"/>
      <c r="CS771" s="42"/>
      <c r="CT771" s="42"/>
      <c r="CU771" s="42"/>
      <c r="CV771" s="42"/>
      <c r="CW771" s="42"/>
      <c r="CX771" s="42"/>
      <c r="CY771" s="42"/>
      <c r="CZ771" s="42"/>
      <c r="DA771" s="42"/>
      <c r="DB771" s="42"/>
      <c r="DC771" s="42"/>
      <c r="DD771" s="42"/>
      <c r="DE771" s="42"/>
      <c r="DF771" s="42"/>
      <c r="DG771" s="42"/>
      <c r="DH771" s="42"/>
      <c r="DI771" s="42"/>
      <c r="DJ771" s="42"/>
      <c r="DK771" s="42"/>
      <c r="DL771" s="42"/>
      <c r="DM771" s="42"/>
      <c r="DN771" s="42"/>
      <c r="DO771" s="42"/>
      <c r="DP771" s="42"/>
      <c r="DQ771" s="42"/>
      <c r="DR771" s="42"/>
      <c r="DS771" s="42"/>
      <c r="DT771" s="42"/>
      <c r="DU771" s="42"/>
      <c r="DV771" s="42"/>
      <c r="DW771" s="42"/>
      <c r="DX771" s="42"/>
      <c r="DY771" s="42"/>
      <c r="DZ771" s="42"/>
      <c r="EA771" s="42"/>
      <c r="EB771" s="42"/>
      <c r="EC771" s="42"/>
      <c r="ED771" s="42"/>
      <c r="EE771" s="42"/>
      <c r="EF771" s="42"/>
      <c r="EG771" s="42"/>
      <c r="EH771" s="42"/>
      <c r="EI771" s="42"/>
      <c r="EJ771" s="42"/>
      <c r="EK771" s="42"/>
      <c r="EL771" s="42"/>
      <c r="EM771" s="42"/>
      <c r="EN771" s="42"/>
      <c r="EO771" s="42"/>
      <c r="EP771" s="42"/>
      <c r="EQ771" s="42"/>
      <c r="ER771" s="42"/>
      <c r="ES771" s="42"/>
      <c r="ET771" s="42"/>
      <c r="EU771" s="42"/>
      <c r="EV771" s="42"/>
      <c r="EW771" s="42"/>
      <c r="EX771" s="42"/>
      <c r="EY771" s="42"/>
      <c r="EZ771" s="42"/>
      <c r="FA771" s="42"/>
      <c r="FB771" s="42"/>
      <c r="FC771" s="42"/>
      <c r="FD771" s="42"/>
      <c r="FE771" s="42"/>
      <c r="FF771" s="42"/>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row>
    <row r="772" spans="1:256" ht="13.8" x14ac:dyDescent="0.3">
      <c r="A772" s="42"/>
      <c r="B772" s="42"/>
      <c r="C772" s="42"/>
      <c r="D772" s="42"/>
      <c r="E772" s="42"/>
      <c r="F772" s="42"/>
      <c r="G772" s="42"/>
      <c r="H772" s="42"/>
      <c r="I772" s="42"/>
      <c r="J772" s="42"/>
      <c r="K772" s="42"/>
      <c r="L772" s="42"/>
      <c r="M772" s="42"/>
      <c r="N772" s="42"/>
      <c r="O772" s="42"/>
      <c r="P772" s="42"/>
      <c r="Q772" s="42"/>
      <c r="R772" s="42"/>
      <c r="S772" s="42"/>
      <c r="T772" s="42"/>
      <c r="U772" s="194"/>
      <c r="V772" s="42"/>
      <c r="W772" s="42"/>
      <c r="X772" s="42"/>
      <c r="Y772" s="42"/>
      <c r="Z772" s="42"/>
      <c r="AA772" s="42"/>
      <c r="AB772" s="195"/>
      <c r="AC772" s="42"/>
      <c r="AD772" s="42"/>
      <c r="AE772" s="195"/>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c r="BM772" s="42"/>
      <c r="BN772" s="42"/>
      <c r="BO772" s="42"/>
      <c r="BP772" s="42"/>
      <c r="BQ772" s="42"/>
      <c r="BR772" s="42"/>
      <c r="BS772" s="42"/>
      <c r="BT772" s="42"/>
      <c r="BU772" s="42"/>
      <c r="BV772" s="42"/>
      <c r="BW772" s="42"/>
      <c r="BX772" s="42"/>
      <c r="BY772" s="42"/>
      <c r="BZ772" s="42"/>
      <c r="CA772" s="42"/>
      <c r="CB772" s="42"/>
      <c r="CC772" s="42"/>
      <c r="CD772" s="42"/>
      <c r="CE772" s="42"/>
      <c r="CF772" s="42"/>
      <c r="CG772" s="42"/>
      <c r="CH772" s="42"/>
      <c r="CI772" s="42"/>
      <c r="CJ772" s="42"/>
      <c r="CK772" s="42"/>
      <c r="CL772" s="42"/>
      <c r="CM772" s="42"/>
      <c r="CN772" s="42"/>
      <c r="CO772" s="42"/>
      <c r="CP772" s="42"/>
      <c r="CQ772" s="42"/>
      <c r="CR772" s="42"/>
      <c r="CS772" s="42"/>
      <c r="CT772" s="42"/>
      <c r="CU772" s="42"/>
      <c r="CV772" s="42"/>
      <c r="CW772" s="42"/>
      <c r="CX772" s="42"/>
      <c r="CY772" s="42"/>
      <c r="CZ772" s="42"/>
      <c r="DA772" s="42"/>
      <c r="DB772" s="42"/>
      <c r="DC772" s="42"/>
      <c r="DD772" s="42"/>
      <c r="DE772" s="42"/>
      <c r="DF772" s="42"/>
      <c r="DG772" s="42"/>
      <c r="DH772" s="42"/>
      <c r="DI772" s="42"/>
      <c r="DJ772" s="42"/>
      <c r="DK772" s="42"/>
      <c r="DL772" s="42"/>
      <c r="DM772" s="42"/>
      <c r="DN772" s="42"/>
      <c r="DO772" s="42"/>
      <c r="DP772" s="42"/>
      <c r="DQ772" s="42"/>
      <c r="DR772" s="42"/>
      <c r="DS772" s="42"/>
      <c r="DT772" s="42"/>
      <c r="DU772" s="42"/>
      <c r="DV772" s="42"/>
      <c r="DW772" s="42"/>
      <c r="DX772" s="42"/>
      <c r="DY772" s="42"/>
      <c r="DZ772" s="42"/>
      <c r="EA772" s="42"/>
      <c r="EB772" s="42"/>
      <c r="EC772" s="42"/>
      <c r="ED772" s="42"/>
      <c r="EE772" s="42"/>
      <c r="EF772" s="42"/>
      <c r="EG772" s="42"/>
      <c r="EH772" s="42"/>
      <c r="EI772" s="42"/>
      <c r="EJ772" s="42"/>
      <c r="EK772" s="42"/>
      <c r="EL772" s="42"/>
      <c r="EM772" s="42"/>
      <c r="EN772" s="42"/>
      <c r="EO772" s="42"/>
      <c r="EP772" s="42"/>
      <c r="EQ772" s="42"/>
      <c r="ER772" s="42"/>
      <c r="ES772" s="42"/>
      <c r="ET772" s="42"/>
      <c r="EU772" s="42"/>
      <c r="EV772" s="42"/>
      <c r="EW772" s="42"/>
      <c r="EX772" s="42"/>
      <c r="EY772" s="42"/>
      <c r="EZ772" s="42"/>
      <c r="FA772" s="42"/>
      <c r="FB772" s="42"/>
      <c r="FC772" s="42"/>
      <c r="FD772" s="42"/>
      <c r="FE772" s="42"/>
      <c r="FF772" s="42"/>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row>
    <row r="773" spans="1:256" ht="13.8" x14ac:dyDescent="0.3">
      <c r="A773" s="42"/>
      <c r="B773" s="42"/>
      <c r="C773" s="42"/>
      <c r="D773" s="42"/>
      <c r="E773" s="42"/>
      <c r="F773" s="42"/>
      <c r="G773" s="42"/>
      <c r="H773" s="42"/>
      <c r="I773" s="42"/>
      <c r="J773" s="42"/>
      <c r="K773" s="42"/>
      <c r="L773" s="42"/>
      <c r="M773" s="42"/>
      <c r="N773" s="42"/>
      <c r="O773" s="42"/>
      <c r="P773" s="42"/>
      <c r="Q773" s="42"/>
      <c r="R773" s="42"/>
      <c r="S773" s="42"/>
      <c r="T773" s="42"/>
      <c r="U773" s="194"/>
      <c r="V773" s="42"/>
      <c r="W773" s="42"/>
      <c r="X773" s="42"/>
      <c r="Y773" s="42"/>
      <c r="Z773" s="42"/>
      <c r="AA773" s="42"/>
      <c r="AB773" s="195"/>
      <c r="AC773" s="42"/>
      <c r="AD773" s="42"/>
      <c r="AE773" s="195"/>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c r="BM773" s="42"/>
      <c r="BN773" s="42"/>
      <c r="BO773" s="42"/>
      <c r="BP773" s="42"/>
      <c r="BQ773" s="42"/>
      <c r="BR773" s="42"/>
      <c r="BS773" s="42"/>
      <c r="BT773" s="42"/>
      <c r="BU773" s="42"/>
      <c r="BV773" s="42"/>
      <c r="BW773" s="42"/>
      <c r="BX773" s="42"/>
      <c r="BY773" s="42"/>
      <c r="BZ773" s="42"/>
      <c r="CA773" s="42"/>
      <c r="CB773" s="42"/>
      <c r="CC773" s="42"/>
      <c r="CD773" s="42"/>
      <c r="CE773" s="42"/>
      <c r="CF773" s="42"/>
      <c r="CG773" s="42"/>
      <c r="CH773" s="42"/>
      <c r="CI773" s="42"/>
      <c r="CJ773" s="42"/>
      <c r="CK773" s="42"/>
      <c r="CL773" s="42"/>
      <c r="CM773" s="42"/>
      <c r="CN773" s="42"/>
      <c r="CO773" s="42"/>
      <c r="CP773" s="42"/>
      <c r="CQ773" s="42"/>
      <c r="CR773" s="42"/>
      <c r="CS773" s="42"/>
      <c r="CT773" s="42"/>
      <c r="CU773" s="42"/>
      <c r="CV773" s="42"/>
      <c r="CW773" s="42"/>
      <c r="CX773" s="42"/>
      <c r="CY773" s="42"/>
      <c r="CZ773" s="42"/>
      <c r="DA773" s="42"/>
      <c r="DB773" s="42"/>
      <c r="DC773" s="42"/>
      <c r="DD773" s="42"/>
      <c r="DE773" s="42"/>
      <c r="DF773" s="42"/>
      <c r="DG773" s="42"/>
      <c r="DH773" s="42"/>
      <c r="DI773" s="42"/>
      <c r="DJ773" s="42"/>
      <c r="DK773" s="42"/>
      <c r="DL773" s="42"/>
      <c r="DM773" s="42"/>
      <c r="DN773" s="42"/>
      <c r="DO773" s="42"/>
      <c r="DP773" s="42"/>
      <c r="DQ773" s="42"/>
      <c r="DR773" s="42"/>
      <c r="DS773" s="42"/>
      <c r="DT773" s="42"/>
      <c r="DU773" s="42"/>
      <c r="DV773" s="42"/>
      <c r="DW773" s="42"/>
      <c r="DX773" s="42"/>
      <c r="DY773" s="42"/>
      <c r="DZ773" s="42"/>
      <c r="EA773" s="42"/>
      <c r="EB773" s="42"/>
      <c r="EC773" s="42"/>
      <c r="ED773" s="42"/>
      <c r="EE773" s="42"/>
      <c r="EF773" s="42"/>
      <c r="EG773" s="42"/>
      <c r="EH773" s="42"/>
      <c r="EI773" s="42"/>
      <c r="EJ773" s="42"/>
      <c r="EK773" s="42"/>
      <c r="EL773" s="42"/>
      <c r="EM773" s="42"/>
      <c r="EN773" s="42"/>
      <c r="EO773" s="42"/>
      <c r="EP773" s="42"/>
      <c r="EQ773" s="42"/>
      <c r="ER773" s="42"/>
      <c r="ES773" s="42"/>
      <c r="ET773" s="42"/>
      <c r="EU773" s="42"/>
      <c r="EV773" s="42"/>
      <c r="EW773" s="42"/>
      <c r="EX773" s="42"/>
      <c r="EY773" s="42"/>
      <c r="EZ773" s="42"/>
      <c r="FA773" s="42"/>
      <c r="FB773" s="42"/>
      <c r="FC773" s="42"/>
      <c r="FD773" s="42"/>
      <c r="FE773" s="42"/>
      <c r="FF773" s="42"/>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row>
    <row r="774" spans="1:256" ht="13.8" x14ac:dyDescent="0.3">
      <c r="A774" s="42"/>
      <c r="B774" s="42"/>
      <c r="C774" s="42"/>
      <c r="D774" s="42"/>
      <c r="E774" s="42"/>
      <c r="F774" s="42"/>
      <c r="G774" s="42"/>
      <c r="H774" s="42"/>
      <c r="I774" s="42"/>
      <c r="J774" s="42"/>
      <c r="K774" s="42"/>
      <c r="L774" s="42"/>
      <c r="M774" s="42"/>
      <c r="N774" s="42"/>
      <c r="O774" s="42"/>
      <c r="P774" s="42"/>
      <c r="Q774" s="42"/>
      <c r="R774" s="42"/>
      <c r="S774" s="42"/>
      <c r="T774" s="42"/>
      <c r="U774" s="194"/>
      <c r="V774" s="42"/>
      <c r="W774" s="42"/>
      <c r="X774" s="42"/>
      <c r="Y774" s="42"/>
      <c r="Z774" s="42"/>
      <c r="AA774" s="42"/>
      <c r="AB774" s="195"/>
      <c r="AC774" s="42"/>
      <c r="AD774" s="42"/>
      <c r="AE774" s="195"/>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c r="BM774" s="42"/>
      <c r="BN774" s="42"/>
      <c r="BO774" s="42"/>
      <c r="BP774" s="42"/>
      <c r="BQ774" s="42"/>
      <c r="BR774" s="42"/>
      <c r="BS774" s="42"/>
      <c r="BT774" s="42"/>
      <c r="BU774" s="42"/>
      <c r="BV774" s="42"/>
      <c r="BW774" s="42"/>
      <c r="BX774" s="42"/>
      <c r="BY774" s="42"/>
      <c r="BZ774" s="42"/>
      <c r="CA774" s="42"/>
      <c r="CB774" s="42"/>
      <c r="CC774" s="42"/>
      <c r="CD774" s="42"/>
      <c r="CE774" s="42"/>
      <c r="CF774" s="42"/>
      <c r="CG774" s="42"/>
      <c r="CH774" s="42"/>
      <c r="CI774" s="42"/>
      <c r="CJ774" s="42"/>
      <c r="CK774" s="42"/>
      <c r="CL774" s="42"/>
      <c r="CM774" s="42"/>
      <c r="CN774" s="42"/>
      <c r="CO774" s="42"/>
      <c r="CP774" s="42"/>
      <c r="CQ774" s="42"/>
      <c r="CR774" s="42"/>
      <c r="CS774" s="42"/>
      <c r="CT774" s="42"/>
      <c r="CU774" s="42"/>
      <c r="CV774" s="42"/>
      <c r="CW774" s="42"/>
      <c r="CX774" s="42"/>
      <c r="CY774" s="42"/>
      <c r="CZ774" s="42"/>
      <c r="DA774" s="42"/>
      <c r="DB774" s="42"/>
      <c r="DC774" s="42"/>
      <c r="DD774" s="42"/>
      <c r="DE774" s="42"/>
      <c r="DF774" s="42"/>
      <c r="DG774" s="42"/>
      <c r="DH774" s="42"/>
      <c r="DI774" s="42"/>
      <c r="DJ774" s="42"/>
      <c r="DK774" s="42"/>
      <c r="DL774" s="42"/>
      <c r="DM774" s="42"/>
      <c r="DN774" s="42"/>
      <c r="DO774" s="42"/>
      <c r="DP774" s="42"/>
      <c r="DQ774" s="42"/>
      <c r="DR774" s="42"/>
      <c r="DS774" s="42"/>
      <c r="DT774" s="42"/>
      <c r="DU774" s="42"/>
      <c r="DV774" s="42"/>
      <c r="DW774" s="42"/>
      <c r="DX774" s="42"/>
      <c r="DY774" s="42"/>
      <c r="DZ774" s="42"/>
      <c r="EA774" s="42"/>
      <c r="EB774" s="42"/>
      <c r="EC774" s="42"/>
      <c r="ED774" s="42"/>
      <c r="EE774" s="42"/>
      <c r="EF774" s="42"/>
      <c r="EG774" s="42"/>
      <c r="EH774" s="42"/>
      <c r="EI774" s="42"/>
      <c r="EJ774" s="42"/>
      <c r="EK774" s="42"/>
      <c r="EL774" s="42"/>
      <c r="EM774" s="42"/>
      <c r="EN774" s="42"/>
      <c r="EO774" s="42"/>
      <c r="EP774" s="42"/>
      <c r="EQ774" s="42"/>
      <c r="ER774" s="42"/>
      <c r="ES774" s="42"/>
      <c r="ET774" s="42"/>
      <c r="EU774" s="42"/>
      <c r="EV774" s="42"/>
      <c r="EW774" s="42"/>
      <c r="EX774" s="42"/>
      <c r="EY774" s="42"/>
      <c r="EZ774" s="42"/>
      <c r="FA774" s="42"/>
      <c r="FB774" s="42"/>
      <c r="FC774" s="42"/>
      <c r="FD774" s="42"/>
      <c r="FE774" s="42"/>
      <c r="FF774" s="42"/>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row>
    <row r="775" spans="1:256" ht="13.8" x14ac:dyDescent="0.3">
      <c r="A775" s="42"/>
      <c r="B775" s="42"/>
      <c r="C775" s="42"/>
      <c r="D775" s="42"/>
      <c r="E775" s="42"/>
      <c r="F775" s="42"/>
      <c r="G775" s="42"/>
      <c r="H775" s="42"/>
      <c r="I775" s="42"/>
      <c r="J775" s="42"/>
      <c r="K775" s="42"/>
      <c r="L775" s="42"/>
      <c r="M775" s="42"/>
      <c r="N775" s="42"/>
      <c r="O775" s="42"/>
      <c r="P775" s="42"/>
      <c r="Q775" s="42"/>
      <c r="R775" s="42"/>
      <c r="S775" s="42"/>
      <c r="T775" s="42"/>
      <c r="U775" s="194"/>
      <c r="V775" s="42"/>
      <c r="W775" s="42"/>
      <c r="X775" s="42"/>
      <c r="Y775" s="42"/>
      <c r="Z775" s="42"/>
      <c r="AA775" s="42"/>
      <c r="AB775" s="195"/>
      <c r="AC775" s="42"/>
      <c r="AD775" s="42"/>
      <c r="AE775" s="195"/>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c r="BM775" s="42"/>
      <c r="BN775" s="42"/>
      <c r="BO775" s="42"/>
      <c r="BP775" s="42"/>
      <c r="BQ775" s="42"/>
      <c r="BR775" s="42"/>
      <c r="BS775" s="42"/>
      <c r="BT775" s="42"/>
      <c r="BU775" s="42"/>
      <c r="BV775" s="42"/>
      <c r="BW775" s="42"/>
      <c r="BX775" s="42"/>
      <c r="BY775" s="42"/>
      <c r="BZ775" s="42"/>
      <c r="CA775" s="42"/>
      <c r="CB775" s="42"/>
      <c r="CC775" s="42"/>
      <c r="CD775" s="42"/>
      <c r="CE775" s="42"/>
      <c r="CF775" s="42"/>
      <c r="CG775" s="42"/>
      <c r="CH775" s="42"/>
      <c r="CI775" s="42"/>
      <c r="CJ775" s="42"/>
      <c r="CK775" s="42"/>
      <c r="CL775" s="42"/>
      <c r="CM775" s="42"/>
      <c r="CN775" s="42"/>
      <c r="CO775" s="42"/>
      <c r="CP775" s="42"/>
      <c r="CQ775" s="42"/>
      <c r="CR775" s="42"/>
      <c r="CS775" s="42"/>
      <c r="CT775" s="42"/>
      <c r="CU775" s="42"/>
      <c r="CV775" s="42"/>
      <c r="CW775" s="42"/>
      <c r="CX775" s="42"/>
      <c r="CY775" s="42"/>
      <c r="CZ775" s="42"/>
      <c r="DA775" s="42"/>
      <c r="DB775" s="42"/>
      <c r="DC775" s="42"/>
      <c r="DD775" s="42"/>
      <c r="DE775" s="42"/>
      <c r="DF775" s="42"/>
      <c r="DG775" s="42"/>
      <c r="DH775" s="42"/>
      <c r="DI775" s="42"/>
      <c r="DJ775" s="42"/>
      <c r="DK775" s="42"/>
      <c r="DL775" s="42"/>
      <c r="DM775" s="42"/>
      <c r="DN775" s="42"/>
      <c r="DO775" s="42"/>
      <c r="DP775" s="42"/>
      <c r="DQ775" s="42"/>
      <c r="DR775" s="42"/>
      <c r="DS775" s="42"/>
      <c r="DT775" s="42"/>
      <c r="DU775" s="42"/>
      <c r="DV775" s="42"/>
      <c r="DW775" s="42"/>
      <c r="DX775" s="42"/>
      <c r="DY775" s="42"/>
      <c r="DZ775" s="42"/>
      <c r="EA775" s="42"/>
      <c r="EB775" s="42"/>
      <c r="EC775" s="42"/>
      <c r="ED775" s="42"/>
      <c r="EE775" s="42"/>
      <c r="EF775" s="42"/>
      <c r="EG775" s="42"/>
      <c r="EH775" s="42"/>
      <c r="EI775" s="42"/>
      <c r="EJ775" s="42"/>
      <c r="EK775" s="42"/>
      <c r="EL775" s="42"/>
      <c r="EM775" s="42"/>
      <c r="EN775" s="42"/>
      <c r="EO775" s="42"/>
      <c r="EP775" s="42"/>
      <c r="EQ775" s="42"/>
      <c r="ER775" s="42"/>
      <c r="ES775" s="42"/>
      <c r="ET775" s="42"/>
      <c r="EU775" s="42"/>
      <c r="EV775" s="42"/>
      <c r="EW775" s="42"/>
      <c r="EX775" s="42"/>
      <c r="EY775" s="42"/>
      <c r="EZ775" s="42"/>
      <c r="FA775" s="42"/>
      <c r="FB775" s="42"/>
      <c r="FC775" s="42"/>
      <c r="FD775" s="42"/>
      <c r="FE775" s="42"/>
      <c r="FF775" s="42"/>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row>
    <row r="776" spans="1:256" ht="13.8" x14ac:dyDescent="0.3">
      <c r="A776" s="42"/>
      <c r="B776" s="42"/>
      <c r="C776" s="42"/>
      <c r="D776" s="42"/>
      <c r="E776" s="42"/>
      <c r="F776" s="42"/>
      <c r="G776" s="42"/>
      <c r="H776" s="42"/>
      <c r="I776" s="42"/>
      <c r="J776" s="42"/>
      <c r="K776" s="42"/>
      <c r="L776" s="42"/>
      <c r="M776" s="42"/>
      <c r="N776" s="42"/>
      <c r="O776" s="42"/>
      <c r="P776" s="42"/>
      <c r="Q776" s="42"/>
      <c r="R776" s="42"/>
      <c r="S776" s="42"/>
      <c r="T776" s="42"/>
      <c r="U776" s="194"/>
      <c r="V776" s="42"/>
      <c r="W776" s="42"/>
      <c r="X776" s="42"/>
      <c r="Y776" s="42"/>
      <c r="Z776" s="42"/>
      <c r="AA776" s="42"/>
      <c r="AB776" s="195"/>
      <c r="AC776" s="42"/>
      <c r="AD776" s="42"/>
      <c r="AE776" s="195"/>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c r="BM776" s="42"/>
      <c r="BN776" s="42"/>
      <c r="BO776" s="42"/>
      <c r="BP776" s="42"/>
      <c r="BQ776" s="42"/>
      <c r="BR776" s="42"/>
      <c r="BS776" s="42"/>
      <c r="BT776" s="42"/>
      <c r="BU776" s="42"/>
      <c r="BV776" s="42"/>
      <c r="BW776" s="42"/>
      <c r="BX776" s="42"/>
      <c r="BY776" s="42"/>
      <c r="BZ776" s="42"/>
      <c r="CA776" s="42"/>
      <c r="CB776" s="42"/>
      <c r="CC776" s="42"/>
      <c r="CD776" s="42"/>
      <c r="CE776" s="42"/>
      <c r="CF776" s="42"/>
      <c r="CG776" s="42"/>
      <c r="CH776" s="42"/>
      <c r="CI776" s="42"/>
      <c r="CJ776" s="42"/>
      <c r="CK776" s="42"/>
      <c r="CL776" s="42"/>
      <c r="CM776" s="42"/>
      <c r="CN776" s="42"/>
      <c r="CO776" s="42"/>
      <c r="CP776" s="42"/>
      <c r="CQ776" s="42"/>
      <c r="CR776" s="42"/>
      <c r="CS776" s="42"/>
      <c r="CT776" s="42"/>
      <c r="CU776" s="42"/>
      <c r="CV776" s="42"/>
      <c r="CW776" s="42"/>
      <c r="CX776" s="42"/>
      <c r="CY776" s="42"/>
      <c r="CZ776" s="42"/>
      <c r="DA776" s="42"/>
      <c r="DB776" s="42"/>
      <c r="DC776" s="42"/>
      <c r="DD776" s="42"/>
      <c r="DE776" s="42"/>
      <c r="DF776" s="42"/>
      <c r="DG776" s="42"/>
      <c r="DH776" s="42"/>
      <c r="DI776" s="42"/>
      <c r="DJ776" s="42"/>
      <c r="DK776" s="42"/>
      <c r="DL776" s="42"/>
      <c r="DM776" s="42"/>
      <c r="DN776" s="42"/>
      <c r="DO776" s="42"/>
      <c r="DP776" s="42"/>
      <c r="DQ776" s="42"/>
      <c r="DR776" s="42"/>
      <c r="DS776" s="42"/>
      <c r="DT776" s="42"/>
      <c r="DU776" s="42"/>
      <c r="DV776" s="42"/>
      <c r="DW776" s="42"/>
      <c r="DX776" s="42"/>
      <c r="DY776" s="42"/>
      <c r="DZ776" s="42"/>
      <c r="EA776" s="42"/>
      <c r="EB776" s="42"/>
      <c r="EC776" s="42"/>
      <c r="ED776" s="42"/>
      <c r="EE776" s="42"/>
      <c r="EF776" s="42"/>
      <c r="EG776" s="42"/>
      <c r="EH776" s="42"/>
      <c r="EI776" s="42"/>
      <c r="EJ776" s="42"/>
      <c r="EK776" s="42"/>
      <c r="EL776" s="42"/>
      <c r="EM776" s="42"/>
      <c r="EN776" s="42"/>
      <c r="EO776" s="42"/>
      <c r="EP776" s="42"/>
      <c r="EQ776" s="42"/>
      <c r="ER776" s="42"/>
      <c r="ES776" s="42"/>
      <c r="ET776" s="42"/>
      <c r="EU776" s="42"/>
      <c r="EV776" s="42"/>
      <c r="EW776" s="42"/>
      <c r="EX776" s="42"/>
      <c r="EY776" s="42"/>
      <c r="EZ776" s="42"/>
      <c r="FA776" s="42"/>
      <c r="FB776" s="42"/>
      <c r="FC776" s="42"/>
      <c r="FD776" s="42"/>
      <c r="FE776" s="42"/>
      <c r="FF776" s="42"/>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row>
    <row r="777" spans="1:256" ht="13.8" x14ac:dyDescent="0.3">
      <c r="A777" s="42"/>
      <c r="B777" s="42"/>
      <c r="C777" s="42"/>
      <c r="D777" s="42"/>
      <c r="E777" s="42"/>
      <c r="F777" s="42"/>
      <c r="G777" s="42"/>
      <c r="H777" s="42"/>
      <c r="I777" s="42"/>
      <c r="J777" s="42"/>
      <c r="K777" s="42"/>
      <c r="L777" s="42"/>
      <c r="M777" s="42"/>
      <c r="N777" s="42"/>
      <c r="O777" s="42"/>
      <c r="P777" s="42"/>
      <c r="Q777" s="42"/>
      <c r="R777" s="42"/>
      <c r="S777" s="42"/>
      <c r="T777" s="42"/>
      <c r="U777" s="194"/>
      <c r="V777" s="42"/>
      <c r="W777" s="42"/>
      <c r="X777" s="42"/>
      <c r="Y777" s="42"/>
      <c r="Z777" s="42"/>
      <c r="AA777" s="42"/>
      <c r="AB777" s="195"/>
      <c r="AC777" s="42"/>
      <c r="AD777" s="42"/>
      <c r="AE777" s="195"/>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c r="BM777" s="42"/>
      <c r="BN777" s="42"/>
      <c r="BO777" s="42"/>
      <c r="BP777" s="42"/>
      <c r="BQ777" s="42"/>
      <c r="BR777" s="42"/>
      <c r="BS777" s="42"/>
      <c r="BT777" s="42"/>
      <c r="BU777" s="42"/>
      <c r="BV777" s="42"/>
      <c r="BW777" s="42"/>
      <c r="BX777" s="42"/>
      <c r="BY777" s="42"/>
      <c r="BZ777" s="42"/>
      <c r="CA777" s="42"/>
      <c r="CB777" s="42"/>
      <c r="CC777" s="42"/>
      <c r="CD777" s="42"/>
      <c r="CE777" s="42"/>
      <c r="CF777" s="42"/>
      <c r="CG777" s="42"/>
      <c r="CH777" s="42"/>
      <c r="CI777" s="42"/>
      <c r="CJ777" s="42"/>
      <c r="CK777" s="42"/>
      <c r="CL777" s="42"/>
      <c r="CM777" s="42"/>
      <c r="CN777" s="42"/>
      <c r="CO777" s="42"/>
      <c r="CP777" s="42"/>
      <c r="CQ777" s="42"/>
      <c r="CR777" s="42"/>
      <c r="CS777" s="42"/>
      <c r="CT777" s="42"/>
      <c r="CU777" s="42"/>
      <c r="CV777" s="42"/>
      <c r="CW777" s="42"/>
      <c r="CX777" s="42"/>
      <c r="CY777" s="42"/>
      <c r="CZ777" s="42"/>
      <c r="DA777" s="42"/>
      <c r="DB777" s="42"/>
      <c r="DC777" s="42"/>
      <c r="DD777" s="42"/>
      <c r="DE777" s="42"/>
      <c r="DF777" s="42"/>
      <c r="DG777" s="42"/>
      <c r="DH777" s="42"/>
      <c r="DI777" s="42"/>
      <c r="DJ777" s="42"/>
      <c r="DK777" s="42"/>
      <c r="DL777" s="42"/>
      <c r="DM777" s="42"/>
      <c r="DN777" s="42"/>
      <c r="DO777" s="42"/>
      <c r="DP777" s="42"/>
      <c r="DQ777" s="42"/>
      <c r="DR777" s="42"/>
      <c r="DS777" s="42"/>
      <c r="DT777" s="42"/>
      <c r="DU777" s="42"/>
      <c r="DV777" s="42"/>
      <c r="DW777" s="42"/>
      <c r="DX777" s="42"/>
      <c r="DY777" s="42"/>
      <c r="DZ777" s="42"/>
      <c r="EA777" s="42"/>
      <c r="EB777" s="42"/>
      <c r="EC777" s="42"/>
      <c r="ED777" s="42"/>
      <c r="EE777" s="42"/>
      <c r="EF777" s="42"/>
      <c r="EG777" s="42"/>
      <c r="EH777" s="42"/>
      <c r="EI777" s="42"/>
      <c r="EJ777" s="42"/>
      <c r="EK777" s="42"/>
      <c r="EL777" s="42"/>
      <c r="EM777" s="42"/>
      <c r="EN777" s="42"/>
      <c r="EO777" s="42"/>
      <c r="EP777" s="42"/>
      <c r="EQ777" s="42"/>
      <c r="ER777" s="42"/>
      <c r="ES777" s="42"/>
      <c r="ET777" s="42"/>
      <c r="EU777" s="42"/>
      <c r="EV777" s="42"/>
      <c r="EW777" s="42"/>
      <c r="EX777" s="42"/>
      <c r="EY777" s="42"/>
      <c r="EZ777" s="42"/>
      <c r="FA777" s="42"/>
      <c r="FB777" s="42"/>
      <c r="FC777" s="42"/>
      <c r="FD777" s="42"/>
      <c r="FE777" s="42"/>
      <c r="FF777" s="42"/>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row>
    <row r="778" spans="1:256" ht="13.8" x14ac:dyDescent="0.3">
      <c r="A778" s="42"/>
      <c r="B778" s="42"/>
      <c r="C778" s="42"/>
      <c r="D778" s="42"/>
      <c r="E778" s="42"/>
      <c r="F778" s="42"/>
      <c r="G778" s="42"/>
      <c r="H778" s="42"/>
      <c r="I778" s="42"/>
      <c r="J778" s="42"/>
      <c r="K778" s="42"/>
      <c r="L778" s="42"/>
      <c r="M778" s="42"/>
      <c r="N778" s="42"/>
      <c r="O778" s="42"/>
      <c r="P778" s="42"/>
      <c r="Q778" s="42"/>
      <c r="R778" s="42"/>
      <c r="S778" s="42"/>
      <c r="T778" s="42"/>
      <c r="U778" s="194"/>
      <c r="V778" s="42"/>
      <c r="W778" s="42"/>
      <c r="X778" s="42"/>
      <c r="Y778" s="42"/>
      <c r="Z778" s="42"/>
      <c r="AA778" s="42"/>
      <c r="AB778" s="195"/>
      <c r="AC778" s="42"/>
      <c r="AD778" s="42"/>
      <c r="AE778" s="195"/>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c r="BM778" s="42"/>
      <c r="BN778" s="42"/>
      <c r="BO778" s="42"/>
      <c r="BP778" s="42"/>
      <c r="BQ778" s="42"/>
      <c r="BR778" s="42"/>
      <c r="BS778" s="42"/>
      <c r="BT778" s="42"/>
      <c r="BU778" s="42"/>
      <c r="BV778" s="42"/>
      <c r="BW778" s="42"/>
      <c r="BX778" s="42"/>
      <c r="BY778" s="42"/>
      <c r="BZ778" s="42"/>
      <c r="CA778" s="42"/>
      <c r="CB778" s="42"/>
      <c r="CC778" s="42"/>
      <c r="CD778" s="42"/>
      <c r="CE778" s="42"/>
      <c r="CF778" s="42"/>
      <c r="CG778" s="42"/>
      <c r="CH778" s="42"/>
      <c r="CI778" s="42"/>
      <c r="CJ778" s="42"/>
      <c r="CK778" s="42"/>
      <c r="CL778" s="42"/>
      <c r="CM778" s="42"/>
      <c r="CN778" s="42"/>
      <c r="CO778" s="42"/>
      <c r="CP778" s="42"/>
      <c r="CQ778" s="42"/>
      <c r="CR778" s="42"/>
      <c r="CS778" s="42"/>
      <c r="CT778" s="42"/>
      <c r="CU778" s="42"/>
      <c r="CV778" s="42"/>
      <c r="CW778" s="42"/>
      <c r="CX778" s="42"/>
      <c r="CY778" s="42"/>
      <c r="CZ778" s="42"/>
      <c r="DA778" s="42"/>
      <c r="DB778" s="42"/>
      <c r="DC778" s="42"/>
      <c r="DD778" s="42"/>
      <c r="DE778" s="42"/>
      <c r="DF778" s="42"/>
      <c r="DG778" s="42"/>
      <c r="DH778" s="42"/>
      <c r="DI778" s="42"/>
      <c r="DJ778" s="42"/>
      <c r="DK778" s="42"/>
      <c r="DL778" s="42"/>
      <c r="DM778" s="42"/>
      <c r="DN778" s="42"/>
      <c r="DO778" s="42"/>
      <c r="DP778" s="42"/>
      <c r="DQ778" s="42"/>
      <c r="DR778" s="42"/>
      <c r="DS778" s="42"/>
      <c r="DT778" s="42"/>
      <c r="DU778" s="42"/>
      <c r="DV778" s="42"/>
      <c r="DW778" s="42"/>
      <c r="DX778" s="42"/>
      <c r="DY778" s="42"/>
      <c r="DZ778" s="42"/>
      <c r="EA778" s="42"/>
      <c r="EB778" s="42"/>
      <c r="EC778" s="42"/>
      <c r="ED778" s="42"/>
      <c r="EE778" s="42"/>
      <c r="EF778" s="42"/>
      <c r="EG778" s="42"/>
      <c r="EH778" s="42"/>
      <c r="EI778" s="42"/>
      <c r="EJ778" s="42"/>
      <c r="EK778" s="42"/>
      <c r="EL778" s="42"/>
      <c r="EM778" s="42"/>
      <c r="EN778" s="42"/>
      <c r="EO778" s="42"/>
      <c r="EP778" s="42"/>
      <c r="EQ778" s="42"/>
      <c r="ER778" s="42"/>
      <c r="ES778" s="42"/>
      <c r="ET778" s="42"/>
      <c r="EU778" s="42"/>
      <c r="EV778" s="42"/>
      <c r="EW778" s="42"/>
      <c r="EX778" s="42"/>
      <c r="EY778" s="42"/>
      <c r="EZ778" s="42"/>
      <c r="FA778" s="42"/>
      <c r="FB778" s="42"/>
      <c r="FC778" s="42"/>
      <c r="FD778" s="42"/>
      <c r="FE778" s="42"/>
      <c r="FF778" s="42"/>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row>
    <row r="779" spans="1:256" ht="13.8" x14ac:dyDescent="0.3">
      <c r="A779" s="42"/>
      <c r="B779" s="42"/>
      <c r="C779" s="42"/>
      <c r="D779" s="42"/>
      <c r="E779" s="42"/>
      <c r="F779" s="42"/>
      <c r="G779" s="42"/>
      <c r="H779" s="42"/>
      <c r="I779" s="42"/>
      <c r="J779" s="42"/>
      <c r="K779" s="42"/>
      <c r="L779" s="42"/>
      <c r="M779" s="42"/>
      <c r="N779" s="42"/>
      <c r="O779" s="42"/>
      <c r="P779" s="42"/>
      <c r="Q779" s="42"/>
      <c r="R779" s="42"/>
      <c r="S779" s="42"/>
      <c r="T779" s="42"/>
      <c r="U779" s="194"/>
      <c r="V779" s="42"/>
      <c r="W779" s="42"/>
      <c r="X779" s="42"/>
      <c r="Y779" s="42"/>
      <c r="Z779" s="42"/>
      <c r="AA779" s="42"/>
      <c r="AB779" s="195"/>
      <c r="AC779" s="42"/>
      <c r="AD779" s="42"/>
      <c r="AE779" s="195"/>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c r="BM779" s="42"/>
      <c r="BN779" s="42"/>
      <c r="BO779" s="42"/>
      <c r="BP779" s="42"/>
      <c r="BQ779" s="42"/>
      <c r="BR779" s="42"/>
      <c r="BS779" s="42"/>
      <c r="BT779" s="42"/>
      <c r="BU779" s="42"/>
      <c r="BV779" s="42"/>
      <c r="BW779" s="42"/>
      <c r="BX779" s="42"/>
      <c r="BY779" s="42"/>
      <c r="BZ779" s="42"/>
      <c r="CA779" s="42"/>
      <c r="CB779" s="42"/>
      <c r="CC779" s="42"/>
      <c r="CD779" s="42"/>
      <c r="CE779" s="42"/>
      <c r="CF779" s="42"/>
      <c r="CG779" s="42"/>
      <c r="CH779" s="42"/>
      <c r="CI779" s="42"/>
      <c r="CJ779" s="42"/>
      <c r="CK779" s="42"/>
      <c r="CL779" s="42"/>
      <c r="CM779" s="42"/>
      <c r="CN779" s="42"/>
      <c r="CO779" s="42"/>
      <c r="CP779" s="42"/>
      <c r="CQ779" s="42"/>
      <c r="CR779" s="42"/>
      <c r="CS779" s="42"/>
      <c r="CT779" s="42"/>
      <c r="CU779" s="42"/>
      <c r="CV779" s="42"/>
      <c r="CW779" s="42"/>
      <c r="CX779" s="42"/>
      <c r="CY779" s="42"/>
      <c r="CZ779" s="42"/>
      <c r="DA779" s="42"/>
      <c r="DB779" s="42"/>
      <c r="DC779" s="42"/>
      <c r="DD779" s="42"/>
      <c r="DE779" s="42"/>
      <c r="DF779" s="42"/>
      <c r="DG779" s="42"/>
      <c r="DH779" s="42"/>
      <c r="DI779" s="42"/>
      <c r="DJ779" s="42"/>
      <c r="DK779" s="42"/>
      <c r="DL779" s="42"/>
      <c r="DM779" s="42"/>
      <c r="DN779" s="42"/>
      <c r="DO779" s="42"/>
      <c r="DP779" s="42"/>
      <c r="DQ779" s="42"/>
      <c r="DR779" s="42"/>
      <c r="DS779" s="42"/>
      <c r="DT779" s="42"/>
      <c r="DU779" s="42"/>
      <c r="DV779" s="42"/>
      <c r="DW779" s="42"/>
      <c r="DX779" s="42"/>
      <c r="DY779" s="42"/>
      <c r="DZ779" s="42"/>
      <c r="EA779" s="42"/>
      <c r="EB779" s="42"/>
      <c r="EC779" s="42"/>
      <c r="ED779" s="42"/>
      <c r="EE779" s="42"/>
      <c r="EF779" s="42"/>
      <c r="EG779" s="42"/>
      <c r="EH779" s="42"/>
      <c r="EI779" s="42"/>
      <c r="EJ779" s="42"/>
      <c r="EK779" s="42"/>
      <c r="EL779" s="42"/>
      <c r="EM779" s="42"/>
      <c r="EN779" s="42"/>
      <c r="EO779" s="42"/>
      <c r="EP779" s="42"/>
      <c r="EQ779" s="42"/>
      <c r="ER779" s="42"/>
      <c r="ES779" s="42"/>
      <c r="ET779" s="42"/>
      <c r="EU779" s="42"/>
      <c r="EV779" s="42"/>
      <c r="EW779" s="42"/>
      <c r="EX779" s="42"/>
      <c r="EY779" s="42"/>
      <c r="EZ779" s="42"/>
      <c r="FA779" s="42"/>
      <c r="FB779" s="42"/>
      <c r="FC779" s="42"/>
      <c r="FD779" s="42"/>
      <c r="FE779" s="42"/>
      <c r="FF779" s="42"/>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row>
    <row r="780" spans="1:256" ht="13.8" x14ac:dyDescent="0.3">
      <c r="A780" s="42"/>
      <c r="B780" s="42"/>
      <c r="C780" s="42"/>
      <c r="D780" s="42"/>
      <c r="E780" s="42"/>
      <c r="F780" s="42"/>
      <c r="G780" s="42"/>
      <c r="H780" s="42"/>
      <c r="I780" s="42"/>
      <c r="J780" s="42"/>
      <c r="K780" s="42"/>
      <c r="L780" s="42"/>
      <c r="M780" s="42"/>
      <c r="N780" s="42"/>
      <c r="O780" s="42"/>
      <c r="P780" s="42"/>
      <c r="Q780" s="42"/>
      <c r="R780" s="42"/>
      <c r="S780" s="42"/>
      <c r="T780" s="42"/>
      <c r="U780" s="194"/>
      <c r="V780" s="42"/>
      <c r="W780" s="42"/>
      <c r="X780" s="42"/>
      <c r="Y780" s="42"/>
      <c r="Z780" s="42"/>
      <c r="AA780" s="42"/>
      <c r="AB780" s="195"/>
      <c r="AC780" s="42"/>
      <c r="AD780" s="42"/>
      <c r="AE780" s="195"/>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c r="BM780" s="42"/>
      <c r="BN780" s="42"/>
      <c r="BO780" s="42"/>
      <c r="BP780" s="42"/>
      <c r="BQ780" s="42"/>
      <c r="BR780" s="42"/>
      <c r="BS780" s="42"/>
      <c r="BT780" s="42"/>
      <c r="BU780" s="42"/>
      <c r="BV780" s="42"/>
      <c r="BW780" s="42"/>
      <c r="BX780" s="42"/>
      <c r="BY780" s="42"/>
      <c r="BZ780" s="42"/>
      <c r="CA780" s="42"/>
      <c r="CB780" s="42"/>
      <c r="CC780" s="42"/>
      <c r="CD780" s="42"/>
      <c r="CE780" s="42"/>
      <c r="CF780" s="42"/>
      <c r="CG780" s="42"/>
      <c r="CH780" s="42"/>
      <c r="CI780" s="42"/>
      <c r="CJ780" s="42"/>
      <c r="CK780" s="42"/>
      <c r="CL780" s="42"/>
      <c r="CM780" s="42"/>
      <c r="CN780" s="42"/>
      <c r="CO780" s="42"/>
      <c r="CP780" s="42"/>
      <c r="CQ780" s="42"/>
      <c r="CR780" s="42"/>
      <c r="CS780" s="42"/>
      <c r="CT780" s="42"/>
      <c r="CU780" s="42"/>
      <c r="CV780" s="42"/>
      <c r="CW780" s="42"/>
      <c r="CX780" s="42"/>
      <c r="CY780" s="42"/>
      <c r="CZ780" s="42"/>
      <c r="DA780" s="42"/>
      <c r="DB780" s="42"/>
      <c r="DC780" s="42"/>
      <c r="DD780" s="42"/>
      <c r="DE780" s="42"/>
      <c r="DF780" s="42"/>
      <c r="DG780" s="42"/>
      <c r="DH780" s="42"/>
      <c r="DI780" s="42"/>
      <c r="DJ780" s="42"/>
      <c r="DK780" s="42"/>
      <c r="DL780" s="42"/>
      <c r="DM780" s="42"/>
      <c r="DN780" s="42"/>
      <c r="DO780" s="42"/>
      <c r="DP780" s="42"/>
      <c r="DQ780" s="42"/>
      <c r="DR780" s="42"/>
      <c r="DS780" s="42"/>
      <c r="DT780" s="42"/>
      <c r="DU780" s="42"/>
      <c r="DV780" s="42"/>
      <c r="DW780" s="42"/>
      <c r="DX780" s="42"/>
      <c r="DY780" s="42"/>
      <c r="DZ780" s="42"/>
      <c r="EA780" s="42"/>
      <c r="EB780" s="42"/>
      <c r="EC780" s="42"/>
      <c r="ED780" s="42"/>
      <c r="EE780" s="42"/>
      <c r="EF780" s="42"/>
      <c r="EG780" s="42"/>
      <c r="EH780" s="42"/>
      <c r="EI780" s="42"/>
      <c r="EJ780" s="42"/>
      <c r="EK780" s="42"/>
      <c r="EL780" s="42"/>
      <c r="EM780" s="42"/>
      <c r="EN780" s="42"/>
      <c r="EO780" s="42"/>
      <c r="EP780" s="42"/>
      <c r="EQ780" s="42"/>
      <c r="ER780" s="42"/>
      <c r="ES780" s="42"/>
      <c r="ET780" s="42"/>
      <c r="EU780" s="42"/>
      <c r="EV780" s="42"/>
      <c r="EW780" s="42"/>
      <c r="EX780" s="42"/>
      <c r="EY780" s="42"/>
      <c r="EZ780" s="42"/>
      <c r="FA780" s="42"/>
      <c r="FB780" s="42"/>
      <c r="FC780" s="42"/>
      <c r="FD780" s="42"/>
      <c r="FE780" s="42"/>
      <c r="FF780" s="42"/>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row>
    <row r="781" spans="1:256" ht="13.8" x14ac:dyDescent="0.3">
      <c r="A781" s="42"/>
      <c r="B781" s="42"/>
      <c r="C781" s="42"/>
      <c r="D781" s="42"/>
      <c r="E781" s="42"/>
      <c r="F781" s="42"/>
      <c r="G781" s="42"/>
      <c r="H781" s="42"/>
      <c r="I781" s="42"/>
      <c r="J781" s="42"/>
      <c r="K781" s="42"/>
      <c r="L781" s="42"/>
      <c r="M781" s="42"/>
      <c r="N781" s="42"/>
      <c r="O781" s="42"/>
      <c r="P781" s="42"/>
      <c r="Q781" s="42"/>
      <c r="R781" s="42"/>
      <c r="S781" s="42"/>
      <c r="T781" s="42"/>
      <c r="U781" s="194"/>
      <c r="V781" s="42"/>
      <c r="W781" s="42"/>
      <c r="X781" s="42"/>
      <c r="Y781" s="42"/>
      <c r="Z781" s="42"/>
      <c r="AA781" s="42"/>
      <c r="AB781" s="195"/>
      <c r="AC781" s="42"/>
      <c r="AD781" s="42"/>
      <c r="AE781" s="195"/>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c r="BM781" s="42"/>
      <c r="BN781" s="42"/>
      <c r="BO781" s="42"/>
      <c r="BP781" s="42"/>
      <c r="BQ781" s="42"/>
      <c r="BR781" s="42"/>
      <c r="BS781" s="42"/>
      <c r="BT781" s="42"/>
      <c r="BU781" s="42"/>
      <c r="BV781" s="42"/>
      <c r="BW781" s="42"/>
      <c r="BX781" s="42"/>
      <c r="BY781" s="42"/>
      <c r="BZ781" s="42"/>
      <c r="CA781" s="42"/>
      <c r="CB781" s="42"/>
      <c r="CC781" s="42"/>
      <c r="CD781" s="42"/>
      <c r="CE781" s="42"/>
      <c r="CF781" s="42"/>
      <c r="CG781" s="42"/>
      <c r="CH781" s="42"/>
      <c r="CI781" s="42"/>
      <c r="CJ781" s="42"/>
      <c r="CK781" s="42"/>
      <c r="CL781" s="42"/>
      <c r="CM781" s="42"/>
      <c r="CN781" s="42"/>
      <c r="CO781" s="42"/>
      <c r="CP781" s="42"/>
      <c r="CQ781" s="42"/>
      <c r="CR781" s="42"/>
      <c r="CS781" s="42"/>
      <c r="CT781" s="42"/>
      <c r="CU781" s="42"/>
      <c r="CV781" s="42"/>
      <c r="CW781" s="42"/>
      <c r="CX781" s="42"/>
      <c r="CY781" s="42"/>
      <c r="CZ781" s="42"/>
      <c r="DA781" s="42"/>
      <c r="DB781" s="42"/>
      <c r="DC781" s="42"/>
      <c r="DD781" s="42"/>
      <c r="DE781" s="42"/>
      <c r="DF781" s="42"/>
      <c r="DG781" s="42"/>
      <c r="DH781" s="42"/>
      <c r="DI781" s="42"/>
      <c r="DJ781" s="42"/>
      <c r="DK781" s="42"/>
      <c r="DL781" s="42"/>
      <c r="DM781" s="42"/>
      <c r="DN781" s="42"/>
      <c r="DO781" s="42"/>
      <c r="DP781" s="42"/>
      <c r="DQ781" s="42"/>
      <c r="DR781" s="42"/>
      <c r="DS781" s="42"/>
      <c r="DT781" s="42"/>
      <c r="DU781" s="42"/>
      <c r="DV781" s="42"/>
      <c r="DW781" s="42"/>
      <c r="DX781" s="42"/>
      <c r="DY781" s="42"/>
      <c r="DZ781" s="42"/>
      <c r="EA781" s="42"/>
      <c r="EB781" s="42"/>
      <c r="EC781" s="42"/>
      <c r="ED781" s="42"/>
      <c r="EE781" s="42"/>
      <c r="EF781" s="42"/>
      <c r="EG781" s="42"/>
      <c r="EH781" s="42"/>
      <c r="EI781" s="42"/>
      <c r="EJ781" s="42"/>
      <c r="EK781" s="42"/>
      <c r="EL781" s="42"/>
      <c r="EM781" s="42"/>
      <c r="EN781" s="42"/>
      <c r="EO781" s="42"/>
      <c r="EP781" s="42"/>
      <c r="EQ781" s="42"/>
      <c r="ER781" s="42"/>
      <c r="ES781" s="42"/>
      <c r="ET781" s="42"/>
      <c r="EU781" s="42"/>
      <c r="EV781" s="42"/>
      <c r="EW781" s="42"/>
      <c r="EX781" s="42"/>
      <c r="EY781" s="42"/>
      <c r="EZ781" s="42"/>
      <c r="FA781" s="42"/>
      <c r="FB781" s="42"/>
      <c r="FC781" s="42"/>
      <c r="FD781" s="42"/>
      <c r="FE781" s="42"/>
      <c r="FF781" s="42"/>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row>
    <row r="782" spans="1:256" ht="13.8" x14ac:dyDescent="0.3">
      <c r="A782" s="42"/>
      <c r="B782" s="42"/>
      <c r="C782" s="42"/>
      <c r="D782" s="42"/>
      <c r="E782" s="42"/>
      <c r="F782" s="42"/>
      <c r="G782" s="42"/>
      <c r="H782" s="42"/>
      <c r="I782" s="42"/>
      <c r="J782" s="42"/>
      <c r="K782" s="42"/>
      <c r="L782" s="42"/>
      <c r="M782" s="42"/>
      <c r="N782" s="42"/>
      <c r="O782" s="42"/>
      <c r="P782" s="42"/>
      <c r="Q782" s="42"/>
      <c r="R782" s="42"/>
      <c r="S782" s="42"/>
      <c r="T782" s="42"/>
      <c r="U782" s="194"/>
      <c r="V782" s="42"/>
      <c r="W782" s="42"/>
      <c r="X782" s="42"/>
      <c r="Y782" s="42"/>
      <c r="Z782" s="42"/>
      <c r="AA782" s="42"/>
      <c r="AB782" s="195"/>
      <c r="AC782" s="42"/>
      <c r="AD782" s="42"/>
      <c r="AE782" s="195"/>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c r="BM782" s="42"/>
      <c r="BN782" s="42"/>
      <c r="BO782" s="42"/>
      <c r="BP782" s="42"/>
      <c r="BQ782" s="42"/>
      <c r="BR782" s="42"/>
      <c r="BS782" s="42"/>
      <c r="BT782" s="42"/>
      <c r="BU782" s="42"/>
      <c r="BV782" s="42"/>
      <c r="BW782" s="42"/>
      <c r="BX782" s="42"/>
      <c r="BY782" s="42"/>
      <c r="BZ782" s="42"/>
      <c r="CA782" s="42"/>
      <c r="CB782" s="42"/>
      <c r="CC782" s="42"/>
      <c r="CD782" s="42"/>
      <c r="CE782" s="42"/>
      <c r="CF782" s="42"/>
      <c r="CG782" s="42"/>
      <c r="CH782" s="42"/>
      <c r="CI782" s="42"/>
      <c r="CJ782" s="42"/>
      <c r="CK782" s="42"/>
      <c r="CL782" s="42"/>
      <c r="CM782" s="42"/>
      <c r="CN782" s="42"/>
      <c r="CO782" s="42"/>
      <c r="CP782" s="42"/>
      <c r="CQ782" s="42"/>
      <c r="CR782" s="42"/>
      <c r="CS782" s="42"/>
      <c r="CT782" s="42"/>
      <c r="CU782" s="42"/>
      <c r="CV782" s="42"/>
      <c r="CW782" s="42"/>
      <c r="CX782" s="42"/>
      <c r="CY782" s="42"/>
      <c r="CZ782" s="42"/>
      <c r="DA782" s="42"/>
      <c r="DB782" s="42"/>
      <c r="DC782" s="42"/>
      <c r="DD782" s="42"/>
      <c r="DE782" s="42"/>
      <c r="DF782" s="42"/>
      <c r="DG782" s="42"/>
      <c r="DH782" s="42"/>
      <c r="DI782" s="42"/>
      <c r="DJ782" s="42"/>
      <c r="DK782" s="42"/>
      <c r="DL782" s="42"/>
      <c r="DM782" s="42"/>
      <c r="DN782" s="42"/>
      <c r="DO782" s="42"/>
      <c r="DP782" s="42"/>
      <c r="DQ782" s="42"/>
      <c r="DR782" s="42"/>
      <c r="DS782" s="42"/>
      <c r="DT782" s="42"/>
      <c r="DU782" s="42"/>
      <c r="DV782" s="42"/>
      <c r="DW782" s="42"/>
      <c r="DX782" s="42"/>
      <c r="DY782" s="42"/>
      <c r="DZ782" s="42"/>
      <c r="EA782" s="42"/>
      <c r="EB782" s="42"/>
      <c r="EC782" s="42"/>
      <c r="ED782" s="42"/>
      <c r="EE782" s="42"/>
      <c r="EF782" s="42"/>
      <c r="EG782" s="42"/>
      <c r="EH782" s="42"/>
      <c r="EI782" s="42"/>
      <c r="EJ782" s="42"/>
      <c r="EK782" s="42"/>
      <c r="EL782" s="42"/>
      <c r="EM782" s="42"/>
      <c r="EN782" s="42"/>
      <c r="EO782" s="42"/>
      <c r="EP782" s="42"/>
      <c r="EQ782" s="42"/>
      <c r="ER782" s="42"/>
      <c r="ES782" s="42"/>
      <c r="ET782" s="42"/>
      <c r="EU782" s="42"/>
      <c r="EV782" s="42"/>
      <c r="EW782" s="42"/>
      <c r="EX782" s="42"/>
      <c r="EY782" s="42"/>
      <c r="EZ782" s="42"/>
      <c r="FA782" s="42"/>
      <c r="FB782" s="42"/>
      <c r="FC782" s="42"/>
      <c r="FD782" s="42"/>
      <c r="FE782" s="42"/>
      <c r="FF782" s="42"/>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row>
    <row r="783" spans="1:256" ht="13.8" x14ac:dyDescent="0.3">
      <c r="A783" s="42"/>
      <c r="B783" s="42"/>
      <c r="C783" s="42"/>
      <c r="D783" s="42"/>
      <c r="E783" s="42"/>
      <c r="F783" s="42"/>
      <c r="G783" s="42"/>
      <c r="H783" s="42"/>
      <c r="I783" s="42"/>
      <c r="J783" s="42"/>
      <c r="K783" s="42"/>
      <c r="L783" s="42"/>
      <c r="M783" s="42"/>
      <c r="N783" s="42"/>
      <c r="O783" s="42"/>
      <c r="P783" s="42"/>
      <c r="Q783" s="42"/>
      <c r="R783" s="42"/>
      <c r="S783" s="42"/>
      <c r="T783" s="42"/>
      <c r="U783" s="194"/>
      <c r="V783" s="42"/>
      <c r="W783" s="42"/>
      <c r="X783" s="42"/>
      <c r="Y783" s="42"/>
      <c r="Z783" s="42"/>
      <c r="AA783" s="42"/>
      <c r="AB783" s="195"/>
      <c r="AC783" s="42"/>
      <c r="AD783" s="42"/>
      <c r="AE783" s="195"/>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c r="BM783" s="42"/>
      <c r="BN783" s="42"/>
      <c r="BO783" s="42"/>
      <c r="BP783" s="42"/>
      <c r="BQ783" s="42"/>
      <c r="BR783" s="42"/>
      <c r="BS783" s="42"/>
      <c r="BT783" s="42"/>
      <c r="BU783" s="42"/>
      <c r="BV783" s="42"/>
      <c r="BW783" s="42"/>
      <c r="BX783" s="42"/>
      <c r="BY783" s="42"/>
      <c r="BZ783" s="42"/>
      <c r="CA783" s="42"/>
      <c r="CB783" s="42"/>
      <c r="CC783" s="42"/>
      <c r="CD783" s="42"/>
      <c r="CE783" s="42"/>
      <c r="CF783" s="42"/>
      <c r="CG783" s="42"/>
      <c r="CH783" s="42"/>
      <c r="CI783" s="42"/>
      <c r="CJ783" s="42"/>
      <c r="CK783" s="42"/>
      <c r="CL783" s="42"/>
      <c r="CM783" s="42"/>
      <c r="CN783" s="42"/>
      <c r="CO783" s="42"/>
      <c r="CP783" s="42"/>
      <c r="CQ783" s="42"/>
      <c r="CR783" s="42"/>
      <c r="CS783" s="42"/>
      <c r="CT783" s="42"/>
      <c r="CU783" s="42"/>
      <c r="CV783" s="42"/>
      <c r="CW783" s="42"/>
      <c r="CX783" s="42"/>
      <c r="CY783" s="42"/>
      <c r="CZ783" s="42"/>
      <c r="DA783" s="42"/>
      <c r="DB783" s="42"/>
      <c r="DC783" s="42"/>
      <c r="DD783" s="42"/>
      <c r="DE783" s="42"/>
      <c r="DF783" s="42"/>
      <c r="DG783" s="42"/>
      <c r="DH783" s="42"/>
      <c r="DI783" s="42"/>
      <c r="DJ783" s="42"/>
      <c r="DK783" s="42"/>
      <c r="DL783" s="42"/>
      <c r="DM783" s="42"/>
      <c r="DN783" s="42"/>
      <c r="DO783" s="42"/>
      <c r="DP783" s="42"/>
      <c r="DQ783" s="42"/>
      <c r="DR783" s="42"/>
      <c r="DS783" s="42"/>
      <c r="DT783" s="42"/>
      <c r="DU783" s="42"/>
      <c r="DV783" s="42"/>
      <c r="DW783" s="42"/>
      <c r="DX783" s="42"/>
      <c r="DY783" s="42"/>
      <c r="DZ783" s="42"/>
      <c r="EA783" s="42"/>
      <c r="EB783" s="42"/>
      <c r="EC783" s="42"/>
      <c r="ED783" s="42"/>
      <c r="EE783" s="42"/>
      <c r="EF783" s="42"/>
      <c r="EG783" s="42"/>
      <c r="EH783" s="42"/>
      <c r="EI783" s="42"/>
      <c r="EJ783" s="42"/>
      <c r="EK783" s="42"/>
      <c r="EL783" s="42"/>
      <c r="EM783" s="42"/>
      <c r="EN783" s="42"/>
      <c r="EO783" s="42"/>
      <c r="EP783" s="42"/>
      <c r="EQ783" s="42"/>
      <c r="ER783" s="42"/>
      <c r="ES783" s="42"/>
      <c r="ET783" s="42"/>
      <c r="EU783" s="42"/>
      <c r="EV783" s="42"/>
      <c r="EW783" s="42"/>
      <c r="EX783" s="42"/>
      <c r="EY783" s="42"/>
      <c r="EZ783" s="42"/>
      <c r="FA783" s="42"/>
      <c r="FB783" s="42"/>
      <c r="FC783" s="42"/>
      <c r="FD783" s="42"/>
      <c r="FE783" s="42"/>
      <c r="FF783" s="42"/>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row>
    <row r="784" spans="1:256" ht="13.8" x14ac:dyDescent="0.3">
      <c r="A784" s="42"/>
      <c r="B784" s="42"/>
      <c r="C784" s="42"/>
      <c r="D784" s="42"/>
      <c r="E784" s="42"/>
      <c r="F784" s="42"/>
      <c r="G784" s="42"/>
      <c r="H784" s="42"/>
      <c r="I784" s="42"/>
      <c r="J784" s="42"/>
      <c r="K784" s="42"/>
      <c r="L784" s="42"/>
      <c r="M784" s="42"/>
      <c r="N784" s="42"/>
      <c r="O784" s="42"/>
      <c r="P784" s="42"/>
      <c r="Q784" s="42"/>
      <c r="R784" s="42"/>
      <c r="S784" s="42"/>
      <c r="T784" s="42"/>
      <c r="U784" s="194"/>
      <c r="V784" s="42"/>
      <c r="W784" s="42"/>
      <c r="X784" s="42"/>
      <c r="Y784" s="42"/>
      <c r="Z784" s="42"/>
      <c r="AA784" s="42"/>
      <c r="AB784" s="195"/>
      <c r="AC784" s="42"/>
      <c r="AD784" s="42"/>
      <c r="AE784" s="195"/>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c r="BM784" s="42"/>
      <c r="BN784" s="42"/>
      <c r="BO784" s="42"/>
      <c r="BP784" s="42"/>
      <c r="BQ784" s="42"/>
      <c r="BR784" s="42"/>
      <c r="BS784" s="42"/>
      <c r="BT784" s="42"/>
      <c r="BU784" s="42"/>
      <c r="BV784" s="42"/>
      <c r="BW784" s="42"/>
      <c r="BX784" s="42"/>
      <c r="BY784" s="42"/>
      <c r="BZ784" s="42"/>
      <c r="CA784" s="42"/>
      <c r="CB784" s="42"/>
      <c r="CC784" s="42"/>
      <c r="CD784" s="42"/>
      <c r="CE784" s="42"/>
      <c r="CF784" s="42"/>
      <c r="CG784" s="42"/>
      <c r="CH784" s="42"/>
      <c r="CI784" s="42"/>
      <c r="CJ784" s="42"/>
      <c r="CK784" s="42"/>
      <c r="CL784" s="42"/>
      <c r="CM784" s="42"/>
      <c r="CN784" s="42"/>
      <c r="CO784" s="42"/>
      <c r="CP784" s="42"/>
      <c r="CQ784" s="42"/>
      <c r="CR784" s="42"/>
      <c r="CS784" s="42"/>
      <c r="CT784" s="42"/>
      <c r="CU784" s="42"/>
      <c r="CV784" s="42"/>
      <c r="CW784" s="42"/>
      <c r="CX784" s="42"/>
      <c r="CY784" s="42"/>
      <c r="CZ784" s="42"/>
      <c r="DA784" s="42"/>
      <c r="DB784" s="42"/>
      <c r="DC784" s="42"/>
      <c r="DD784" s="42"/>
      <c r="DE784" s="42"/>
      <c r="DF784" s="42"/>
      <c r="DG784" s="42"/>
      <c r="DH784" s="42"/>
      <c r="DI784" s="42"/>
      <c r="DJ784" s="42"/>
      <c r="DK784" s="42"/>
      <c r="DL784" s="42"/>
      <c r="DM784" s="42"/>
      <c r="DN784" s="42"/>
      <c r="DO784" s="42"/>
      <c r="DP784" s="42"/>
      <c r="DQ784" s="42"/>
      <c r="DR784" s="42"/>
      <c r="DS784" s="42"/>
      <c r="DT784" s="42"/>
      <c r="DU784" s="42"/>
      <c r="DV784" s="42"/>
      <c r="DW784" s="42"/>
      <c r="DX784" s="42"/>
      <c r="DY784" s="42"/>
      <c r="DZ784" s="42"/>
      <c r="EA784" s="42"/>
      <c r="EB784" s="42"/>
      <c r="EC784" s="42"/>
      <c r="ED784" s="42"/>
      <c r="EE784" s="42"/>
      <c r="EF784" s="42"/>
      <c r="EG784" s="42"/>
      <c r="EH784" s="42"/>
      <c r="EI784" s="42"/>
      <c r="EJ784" s="42"/>
      <c r="EK784" s="42"/>
      <c r="EL784" s="42"/>
      <c r="EM784" s="42"/>
      <c r="EN784" s="42"/>
      <c r="EO784" s="42"/>
      <c r="EP784" s="42"/>
      <c r="EQ784" s="42"/>
      <c r="ER784" s="42"/>
      <c r="ES784" s="42"/>
      <c r="ET784" s="42"/>
      <c r="EU784" s="42"/>
      <c r="EV784" s="42"/>
      <c r="EW784" s="42"/>
      <c r="EX784" s="42"/>
      <c r="EY784" s="42"/>
      <c r="EZ784" s="42"/>
      <c r="FA784" s="42"/>
      <c r="FB784" s="42"/>
      <c r="FC784" s="42"/>
      <c r="FD784" s="42"/>
      <c r="FE784" s="42"/>
      <c r="FF784" s="42"/>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row>
    <row r="785" spans="1:256" ht="13.8" x14ac:dyDescent="0.3">
      <c r="A785" s="42"/>
      <c r="B785" s="42"/>
      <c r="C785" s="42"/>
      <c r="D785" s="42"/>
      <c r="E785" s="42"/>
      <c r="F785" s="42"/>
      <c r="G785" s="42"/>
      <c r="H785" s="42"/>
      <c r="I785" s="42"/>
      <c r="J785" s="42"/>
      <c r="K785" s="42"/>
      <c r="L785" s="42"/>
      <c r="M785" s="42"/>
      <c r="N785" s="42"/>
      <c r="O785" s="42"/>
      <c r="P785" s="42"/>
      <c r="Q785" s="42"/>
      <c r="R785" s="42"/>
      <c r="S785" s="42"/>
      <c r="T785" s="42"/>
      <c r="U785" s="194"/>
      <c r="V785" s="42"/>
      <c r="W785" s="42"/>
      <c r="X785" s="42"/>
      <c r="Y785" s="42"/>
      <c r="Z785" s="42"/>
      <c r="AA785" s="42"/>
      <c r="AB785" s="195"/>
      <c r="AC785" s="42"/>
      <c r="AD785" s="42"/>
      <c r="AE785" s="195"/>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c r="BM785" s="42"/>
      <c r="BN785" s="42"/>
      <c r="BO785" s="42"/>
      <c r="BP785" s="42"/>
      <c r="BQ785" s="42"/>
      <c r="BR785" s="42"/>
      <c r="BS785" s="42"/>
      <c r="BT785" s="42"/>
      <c r="BU785" s="42"/>
      <c r="BV785" s="42"/>
      <c r="BW785" s="42"/>
      <c r="BX785" s="42"/>
      <c r="BY785" s="42"/>
      <c r="BZ785" s="42"/>
      <c r="CA785" s="42"/>
      <c r="CB785" s="42"/>
      <c r="CC785" s="42"/>
      <c r="CD785" s="42"/>
      <c r="CE785" s="42"/>
      <c r="CF785" s="42"/>
      <c r="CG785" s="42"/>
      <c r="CH785" s="42"/>
      <c r="CI785" s="42"/>
      <c r="CJ785" s="42"/>
      <c r="CK785" s="42"/>
      <c r="CL785" s="42"/>
      <c r="CM785" s="42"/>
      <c r="CN785" s="42"/>
      <c r="CO785" s="42"/>
      <c r="CP785" s="42"/>
      <c r="CQ785" s="42"/>
      <c r="CR785" s="42"/>
      <c r="CS785" s="42"/>
      <c r="CT785" s="42"/>
      <c r="CU785" s="42"/>
      <c r="CV785" s="42"/>
      <c r="CW785" s="42"/>
      <c r="CX785" s="42"/>
      <c r="CY785" s="42"/>
      <c r="CZ785" s="42"/>
      <c r="DA785" s="42"/>
      <c r="DB785" s="42"/>
      <c r="DC785" s="42"/>
      <c r="DD785" s="42"/>
      <c r="DE785" s="42"/>
      <c r="DF785" s="42"/>
      <c r="DG785" s="42"/>
      <c r="DH785" s="42"/>
      <c r="DI785" s="42"/>
      <c r="DJ785" s="42"/>
      <c r="DK785" s="42"/>
      <c r="DL785" s="42"/>
      <c r="DM785" s="42"/>
      <c r="DN785" s="42"/>
      <c r="DO785" s="42"/>
      <c r="DP785" s="42"/>
      <c r="DQ785" s="42"/>
      <c r="DR785" s="42"/>
      <c r="DS785" s="42"/>
      <c r="DT785" s="42"/>
      <c r="DU785" s="42"/>
      <c r="DV785" s="42"/>
      <c r="DW785" s="42"/>
      <c r="DX785" s="42"/>
      <c r="DY785" s="42"/>
      <c r="DZ785" s="42"/>
      <c r="EA785" s="42"/>
      <c r="EB785" s="42"/>
      <c r="EC785" s="42"/>
      <c r="ED785" s="42"/>
      <c r="EE785" s="42"/>
      <c r="EF785" s="42"/>
      <c r="EG785" s="42"/>
      <c r="EH785" s="42"/>
      <c r="EI785" s="42"/>
      <c r="EJ785" s="42"/>
      <c r="EK785" s="42"/>
      <c r="EL785" s="42"/>
      <c r="EM785" s="42"/>
      <c r="EN785" s="42"/>
      <c r="EO785" s="42"/>
      <c r="EP785" s="42"/>
      <c r="EQ785" s="42"/>
      <c r="ER785" s="42"/>
      <c r="ES785" s="42"/>
      <c r="ET785" s="42"/>
      <c r="EU785" s="42"/>
      <c r="EV785" s="42"/>
      <c r="EW785" s="42"/>
      <c r="EX785" s="42"/>
      <c r="EY785" s="42"/>
      <c r="EZ785" s="42"/>
      <c r="FA785" s="42"/>
      <c r="FB785" s="42"/>
      <c r="FC785" s="42"/>
      <c r="FD785" s="42"/>
      <c r="FE785" s="42"/>
      <c r="FF785" s="42"/>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row>
    <row r="786" spans="1:256" ht="13.8" x14ac:dyDescent="0.3">
      <c r="A786" s="42"/>
      <c r="B786" s="42"/>
      <c r="C786" s="42"/>
      <c r="D786" s="42"/>
      <c r="E786" s="42"/>
      <c r="F786" s="42"/>
      <c r="G786" s="42"/>
      <c r="H786" s="42"/>
      <c r="I786" s="42"/>
      <c r="J786" s="42"/>
      <c r="K786" s="42"/>
      <c r="L786" s="42"/>
      <c r="M786" s="42"/>
      <c r="N786" s="42"/>
      <c r="O786" s="42"/>
      <c r="P786" s="42"/>
      <c r="Q786" s="42"/>
      <c r="R786" s="42"/>
      <c r="S786" s="42"/>
      <c r="T786" s="42"/>
      <c r="U786" s="194"/>
      <c r="V786" s="42"/>
      <c r="W786" s="42"/>
      <c r="X786" s="42"/>
      <c r="Y786" s="42"/>
      <c r="Z786" s="42"/>
      <c r="AA786" s="42"/>
      <c r="AB786" s="195"/>
      <c r="AC786" s="42"/>
      <c r="AD786" s="42"/>
      <c r="AE786" s="195"/>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c r="BM786" s="42"/>
      <c r="BN786" s="42"/>
      <c r="BO786" s="42"/>
      <c r="BP786" s="42"/>
      <c r="BQ786" s="42"/>
      <c r="BR786" s="42"/>
      <c r="BS786" s="42"/>
      <c r="BT786" s="42"/>
      <c r="BU786" s="42"/>
      <c r="BV786" s="42"/>
      <c r="BW786" s="42"/>
      <c r="BX786" s="42"/>
      <c r="BY786" s="42"/>
      <c r="BZ786" s="42"/>
      <c r="CA786" s="42"/>
      <c r="CB786" s="42"/>
      <c r="CC786" s="42"/>
      <c r="CD786" s="42"/>
      <c r="CE786" s="42"/>
      <c r="CF786" s="42"/>
      <c r="CG786" s="42"/>
      <c r="CH786" s="42"/>
      <c r="CI786" s="42"/>
      <c r="CJ786" s="42"/>
      <c r="CK786" s="42"/>
      <c r="CL786" s="42"/>
      <c r="CM786" s="42"/>
      <c r="CN786" s="42"/>
      <c r="CO786" s="42"/>
      <c r="CP786" s="42"/>
      <c r="CQ786" s="42"/>
      <c r="CR786" s="42"/>
      <c r="CS786" s="42"/>
      <c r="CT786" s="42"/>
      <c r="CU786" s="42"/>
      <c r="CV786" s="42"/>
      <c r="CW786" s="42"/>
      <c r="CX786" s="42"/>
      <c r="CY786" s="42"/>
      <c r="CZ786" s="42"/>
      <c r="DA786" s="42"/>
      <c r="DB786" s="42"/>
      <c r="DC786" s="42"/>
      <c r="DD786" s="42"/>
      <c r="DE786" s="42"/>
      <c r="DF786" s="42"/>
      <c r="DG786" s="42"/>
      <c r="DH786" s="42"/>
      <c r="DI786" s="42"/>
      <c r="DJ786" s="42"/>
      <c r="DK786" s="42"/>
      <c r="DL786" s="42"/>
      <c r="DM786" s="42"/>
      <c r="DN786" s="42"/>
      <c r="DO786" s="42"/>
      <c r="DP786" s="42"/>
      <c r="DQ786" s="42"/>
      <c r="DR786" s="42"/>
      <c r="DS786" s="42"/>
      <c r="DT786" s="42"/>
      <c r="DU786" s="42"/>
      <c r="DV786" s="42"/>
      <c r="DW786" s="42"/>
      <c r="DX786" s="42"/>
      <c r="DY786" s="42"/>
      <c r="DZ786" s="42"/>
      <c r="EA786" s="42"/>
      <c r="EB786" s="42"/>
      <c r="EC786" s="42"/>
      <c r="ED786" s="42"/>
      <c r="EE786" s="42"/>
      <c r="EF786" s="42"/>
      <c r="EG786" s="42"/>
      <c r="EH786" s="42"/>
      <c r="EI786" s="42"/>
      <c r="EJ786" s="42"/>
      <c r="EK786" s="42"/>
      <c r="EL786" s="42"/>
      <c r="EM786" s="42"/>
      <c r="EN786" s="42"/>
      <c r="EO786" s="42"/>
      <c r="EP786" s="42"/>
      <c r="EQ786" s="42"/>
      <c r="ER786" s="42"/>
      <c r="ES786" s="42"/>
      <c r="ET786" s="42"/>
      <c r="EU786" s="42"/>
      <c r="EV786" s="42"/>
      <c r="EW786" s="42"/>
      <c r="EX786" s="42"/>
      <c r="EY786" s="42"/>
      <c r="EZ786" s="42"/>
      <c r="FA786" s="42"/>
      <c r="FB786" s="42"/>
      <c r="FC786" s="42"/>
      <c r="FD786" s="42"/>
      <c r="FE786" s="42"/>
      <c r="FF786" s="42"/>
      <c r="FG786" s="42"/>
      <c r="FH786" s="42"/>
      <c r="FI786" s="42"/>
      <c r="FJ786" s="42"/>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row>
    <row r="787" spans="1:256" ht="13.8" x14ac:dyDescent="0.3">
      <c r="A787" s="42"/>
      <c r="B787" s="42"/>
      <c r="C787" s="42"/>
      <c r="D787" s="42"/>
      <c r="E787" s="42"/>
      <c r="F787" s="42"/>
      <c r="G787" s="42"/>
      <c r="H787" s="42"/>
      <c r="I787" s="42"/>
      <c r="J787" s="42"/>
      <c r="K787" s="42"/>
      <c r="L787" s="42"/>
      <c r="M787" s="42"/>
      <c r="N787" s="42"/>
      <c r="O787" s="42"/>
      <c r="P787" s="42"/>
      <c r="Q787" s="42"/>
      <c r="R787" s="42"/>
      <c r="S787" s="42"/>
      <c r="T787" s="42"/>
      <c r="U787" s="194"/>
      <c r="V787" s="42"/>
      <c r="W787" s="42"/>
      <c r="X787" s="42"/>
      <c r="Y787" s="42"/>
      <c r="Z787" s="42"/>
      <c r="AA787" s="42"/>
      <c r="AB787" s="195"/>
      <c r="AC787" s="42"/>
      <c r="AD787" s="42"/>
      <c r="AE787" s="195"/>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c r="BM787" s="42"/>
      <c r="BN787" s="42"/>
      <c r="BO787" s="42"/>
      <c r="BP787" s="42"/>
      <c r="BQ787" s="42"/>
      <c r="BR787" s="42"/>
      <c r="BS787" s="42"/>
      <c r="BT787" s="42"/>
      <c r="BU787" s="42"/>
      <c r="BV787" s="42"/>
      <c r="BW787" s="42"/>
      <c r="BX787" s="42"/>
      <c r="BY787" s="42"/>
      <c r="BZ787" s="42"/>
      <c r="CA787" s="42"/>
      <c r="CB787" s="42"/>
      <c r="CC787" s="42"/>
      <c r="CD787" s="42"/>
      <c r="CE787" s="42"/>
      <c r="CF787" s="42"/>
      <c r="CG787" s="42"/>
      <c r="CH787" s="42"/>
      <c r="CI787" s="42"/>
      <c r="CJ787" s="42"/>
      <c r="CK787" s="42"/>
      <c r="CL787" s="42"/>
      <c r="CM787" s="42"/>
      <c r="CN787" s="42"/>
      <c r="CO787" s="42"/>
      <c r="CP787" s="42"/>
      <c r="CQ787" s="42"/>
      <c r="CR787" s="42"/>
      <c r="CS787" s="42"/>
      <c r="CT787" s="42"/>
      <c r="CU787" s="42"/>
      <c r="CV787" s="42"/>
      <c r="CW787" s="42"/>
      <c r="CX787" s="42"/>
      <c r="CY787" s="42"/>
      <c r="CZ787" s="42"/>
      <c r="DA787" s="42"/>
      <c r="DB787" s="42"/>
      <c r="DC787" s="42"/>
      <c r="DD787" s="42"/>
      <c r="DE787" s="42"/>
      <c r="DF787" s="42"/>
      <c r="DG787" s="42"/>
      <c r="DH787" s="42"/>
      <c r="DI787" s="42"/>
      <c r="DJ787" s="42"/>
      <c r="DK787" s="42"/>
      <c r="DL787" s="42"/>
      <c r="DM787" s="42"/>
      <c r="DN787" s="42"/>
      <c r="DO787" s="42"/>
      <c r="DP787" s="42"/>
      <c r="DQ787" s="42"/>
      <c r="DR787" s="42"/>
      <c r="DS787" s="42"/>
      <c r="DT787" s="42"/>
      <c r="DU787" s="42"/>
      <c r="DV787" s="42"/>
      <c r="DW787" s="42"/>
      <c r="DX787" s="42"/>
      <c r="DY787" s="42"/>
      <c r="DZ787" s="42"/>
      <c r="EA787" s="42"/>
      <c r="EB787" s="42"/>
      <c r="EC787" s="42"/>
      <c r="ED787" s="42"/>
      <c r="EE787" s="42"/>
      <c r="EF787" s="42"/>
      <c r="EG787" s="42"/>
      <c r="EH787" s="42"/>
      <c r="EI787" s="42"/>
      <c r="EJ787" s="42"/>
      <c r="EK787" s="42"/>
      <c r="EL787" s="42"/>
      <c r="EM787" s="42"/>
      <c r="EN787" s="42"/>
      <c r="EO787" s="42"/>
      <c r="EP787" s="42"/>
      <c r="EQ787" s="42"/>
      <c r="ER787" s="42"/>
      <c r="ES787" s="42"/>
      <c r="ET787" s="42"/>
      <c r="EU787" s="42"/>
      <c r="EV787" s="42"/>
      <c r="EW787" s="42"/>
      <c r="EX787" s="42"/>
      <c r="EY787" s="42"/>
      <c r="EZ787" s="42"/>
      <c r="FA787" s="42"/>
      <c r="FB787" s="42"/>
      <c r="FC787" s="42"/>
      <c r="FD787" s="42"/>
      <c r="FE787" s="42"/>
      <c r="FF787" s="42"/>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row>
    <row r="788" spans="1:256" ht="13.8" x14ac:dyDescent="0.3">
      <c r="A788" s="42"/>
      <c r="B788" s="42"/>
      <c r="C788" s="42"/>
      <c r="D788" s="42"/>
      <c r="E788" s="42"/>
      <c r="F788" s="42"/>
      <c r="G788" s="42"/>
      <c r="H788" s="42"/>
      <c r="I788" s="42"/>
      <c r="J788" s="42"/>
      <c r="K788" s="42"/>
      <c r="L788" s="42"/>
      <c r="M788" s="42"/>
      <c r="N788" s="42"/>
      <c r="O788" s="42"/>
      <c r="P788" s="42"/>
      <c r="Q788" s="42"/>
      <c r="R788" s="42"/>
      <c r="S788" s="42"/>
      <c r="T788" s="42"/>
      <c r="U788" s="194"/>
      <c r="V788" s="42"/>
      <c r="W788" s="42"/>
      <c r="X788" s="42"/>
      <c r="Y788" s="42"/>
      <c r="Z788" s="42"/>
      <c r="AA788" s="42"/>
      <c r="AB788" s="195"/>
      <c r="AC788" s="42"/>
      <c r="AD788" s="42"/>
      <c r="AE788" s="195"/>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c r="BM788" s="42"/>
      <c r="BN788" s="42"/>
      <c r="BO788" s="42"/>
      <c r="BP788" s="42"/>
      <c r="BQ788" s="42"/>
      <c r="BR788" s="42"/>
      <c r="BS788" s="42"/>
      <c r="BT788" s="42"/>
      <c r="BU788" s="42"/>
      <c r="BV788" s="42"/>
      <c r="BW788" s="42"/>
      <c r="BX788" s="42"/>
      <c r="BY788" s="42"/>
      <c r="BZ788" s="42"/>
      <c r="CA788" s="42"/>
      <c r="CB788" s="42"/>
      <c r="CC788" s="42"/>
      <c r="CD788" s="42"/>
      <c r="CE788" s="42"/>
      <c r="CF788" s="42"/>
      <c r="CG788" s="42"/>
      <c r="CH788" s="42"/>
      <c r="CI788" s="42"/>
      <c r="CJ788" s="42"/>
      <c r="CK788" s="42"/>
      <c r="CL788" s="42"/>
      <c r="CM788" s="42"/>
      <c r="CN788" s="42"/>
      <c r="CO788" s="42"/>
      <c r="CP788" s="42"/>
      <c r="CQ788" s="42"/>
      <c r="CR788" s="42"/>
      <c r="CS788" s="42"/>
      <c r="CT788" s="42"/>
      <c r="CU788" s="42"/>
      <c r="CV788" s="42"/>
      <c r="CW788" s="42"/>
      <c r="CX788" s="42"/>
      <c r="CY788" s="42"/>
      <c r="CZ788" s="42"/>
      <c r="DA788" s="42"/>
      <c r="DB788" s="42"/>
      <c r="DC788" s="42"/>
      <c r="DD788" s="42"/>
      <c r="DE788" s="42"/>
      <c r="DF788" s="42"/>
      <c r="DG788" s="42"/>
      <c r="DH788" s="42"/>
      <c r="DI788" s="42"/>
      <c r="DJ788" s="42"/>
      <c r="DK788" s="42"/>
      <c r="DL788" s="42"/>
      <c r="DM788" s="42"/>
      <c r="DN788" s="42"/>
      <c r="DO788" s="42"/>
      <c r="DP788" s="42"/>
      <c r="DQ788" s="42"/>
      <c r="DR788" s="42"/>
      <c r="DS788" s="42"/>
      <c r="DT788" s="42"/>
      <c r="DU788" s="42"/>
      <c r="DV788" s="42"/>
      <c r="DW788" s="42"/>
      <c r="DX788" s="42"/>
      <c r="DY788" s="42"/>
      <c r="DZ788" s="42"/>
      <c r="EA788" s="42"/>
      <c r="EB788" s="42"/>
      <c r="EC788" s="42"/>
      <c r="ED788" s="42"/>
      <c r="EE788" s="42"/>
      <c r="EF788" s="42"/>
      <c r="EG788" s="42"/>
      <c r="EH788" s="42"/>
      <c r="EI788" s="42"/>
      <c r="EJ788" s="42"/>
      <c r="EK788" s="42"/>
      <c r="EL788" s="42"/>
      <c r="EM788" s="42"/>
      <c r="EN788" s="42"/>
      <c r="EO788" s="42"/>
      <c r="EP788" s="42"/>
      <c r="EQ788" s="42"/>
      <c r="ER788" s="42"/>
      <c r="ES788" s="42"/>
      <c r="ET788" s="42"/>
      <c r="EU788" s="42"/>
      <c r="EV788" s="42"/>
      <c r="EW788" s="42"/>
      <c r="EX788" s="42"/>
      <c r="EY788" s="42"/>
      <c r="EZ788" s="42"/>
      <c r="FA788" s="42"/>
      <c r="FB788" s="42"/>
      <c r="FC788" s="42"/>
      <c r="FD788" s="42"/>
      <c r="FE788" s="42"/>
      <c r="FF788" s="42"/>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row>
    <row r="789" spans="1:256" ht="13.8" x14ac:dyDescent="0.3">
      <c r="A789" s="42"/>
      <c r="B789" s="42"/>
      <c r="C789" s="42"/>
      <c r="D789" s="42"/>
      <c r="E789" s="42"/>
      <c r="F789" s="42"/>
      <c r="G789" s="42"/>
      <c r="H789" s="42"/>
      <c r="I789" s="42"/>
      <c r="J789" s="42"/>
      <c r="K789" s="42"/>
      <c r="L789" s="42"/>
      <c r="M789" s="42"/>
      <c r="N789" s="42"/>
      <c r="O789" s="42"/>
      <c r="P789" s="42"/>
      <c r="Q789" s="42"/>
      <c r="R789" s="42"/>
      <c r="S789" s="42"/>
      <c r="T789" s="42"/>
      <c r="U789" s="194"/>
      <c r="V789" s="42"/>
      <c r="W789" s="42"/>
      <c r="X789" s="42"/>
      <c r="Y789" s="42"/>
      <c r="Z789" s="42"/>
      <c r="AA789" s="42"/>
      <c r="AB789" s="195"/>
      <c r="AC789" s="42"/>
      <c r="AD789" s="42"/>
      <c r="AE789" s="195"/>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c r="BM789" s="42"/>
      <c r="BN789" s="42"/>
      <c r="BO789" s="42"/>
      <c r="BP789" s="42"/>
      <c r="BQ789" s="42"/>
      <c r="BR789" s="42"/>
      <c r="BS789" s="42"/>
      <c r="BT789" s="42"/>
      <c r="BU789" s="42"/>
      <c r="BV789" s="42"/>
      <c r="BW789" s="42"/>
      <c r="BX789" s="42"/>
      <c r="BY789" s="42"/>
      <c r="BZ789" s="42"/>
      <c r="CA789" s="42"/>
      <c r="CB789" s="42"/>
      <c r="CC789" s="42"/>
      <c r="CD789" s="42"/>
      <c r="CE789" s="42"/>
      <c r="CF789" s="42"/>
      <c r="CG789" s="42"/>
      <c r="CH789" s="42"/>
      <c r="CI789" s="42"/>
      <c r="CJ789" s="42"/>
      <c r="CK789" s="42"/>
      <c r="CL789" s="42"/>
      <c r="CM789" s="42"/>
      <c r="CN789" s="42"/>
      <c r="CO789" s="42"/>
      <c r="CP789" s="42"/>
      <c r="CQ789" s="42"/>
      <c r="CR789" s="42"/>
      <c r="CS789" s="42"/>
      <c r="CT789" s="42"/>
      <c r="CU789" s="42"/>
      <c r="CV789" s="42"/>
      <c r="CW789" s="42"/>
      <c r="CX789" s="42"/>
      <c r="CY789" s="42"/>
      <c r="CZ789" s="42"/>
      <c r="DA789" s="42"/>
      <c r="DB789" s="42"/>
      <c r="DC789" s="42"/>
      <c r="DD789" s="42"/>
      <c r="DE789" s="42"/>
      <c r="DF789" s="42"/>
      <c r="DG789" s="42"/>
      <c r="DH789" s="42"/>
      <c r="DI789" s="42"/>
      <c r="DJ789" s="42"/>
      <c r="DK789" s="42"/>
      <c r="DL789" s="42"/>
      <c r="DM789" s="42"/>
      <c r="DN789" s="42"/>
      <c r="DO789" s="42"/>
      <c r="DP789" s="42"/>
      <c r="DQ789" s="42"/>
      <c r="DR789" s="42"/>
      <c r="DS789" s="42"/>
      <c r="DT789" s="42"/>
      <c r="DU789" s="42"/>
      <c r="DV789" s="42"/>
      <c r="DW789" s="42"/>
      <c r="DX789" s="42"/>
      <c r="DY789" s="42"/>
      <c r="DZ789" s="42"/>
      <c r="EA789" s="42"/>
      <c r="EB789" s="42"/>
      <c r="EC789" s="42"/>
      <c r="ED789" s="42"/>
      <c r="EE789" s="42"/>
      <c r="EF789" s="42"/>
      <c r="EG789" s="42"/>
      <c r="EH789" s="42"/>
      <c r="EI789" s="42"/>
      <c r="EJ789" s="42"/>
      <c r="EK789" s="42"/>
      <c r="EL789" s="42"/>
      <c r="EM789" s="42"/>
      <c r="EN789" s="42"/>
      <c r="EO789" s="42"/>
      <c r="EP789" s="42"/>
      <c r="EQ789" s="42"/>
      <c r="ER789" s="42"/>
      <c r="ES789" s="42"/>
      <c r="ET789" s="42"/>
      <c r="EU789" s="42"/>
      <c r="EV789" s="42"/>
      <c r="EW789" s="42"/>
      <c r="EX789" s="42"/>
      <c r="EY789" s="42"/>
      <c r="EZ789" s="42"/>
      <c r="FA789" s="42"/>
      <c r="FB789" s="42"/>
      <c r="FC789" s="42"/>
      <c r="FD789" s="42"/>
      <c r="FE789" s="42"/>
      <c r="FF789" s="42"/>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row>
    <row r="790" spans="1:256" ht="13.8" x14ac:dyDescent="0.3">
      <c r="A790" s="42"/>
      <c r="B790" s="42"/>
      <c r="C790" s="42"/>
      <c r="D790" s="42"/>
      <c r="E790" s="42"/>
      <c r="F790" s="42"/>
      <c r="G790" s="42"/>
      <c r="H790" s="42"/>
      <c r="I790" s="42"/>
      <c r="J790" s="42"/>
      <c r="K790" s="42"/>
      <c r="L790" s="42"/>
      <c r="M790" s="42"/>
      <c r="N790" s="42"/>
      <c r="O790" s="42"/>
      <c r="P790" s="42"/>
      <c r="Q790" s="42"/>
      <c r="R790" s="42"/>
      <c r="S790" s="42"/>
      <c r="T790" s="42"/>
      <c r="U790" s="194"/>
      <c r="V790" s="42"/>
      <c r="W790" s="42"/>
      <c r="X790" s="42"/>
      <c r="Y790" s="42"/>
      <c r="Z790" s="42"/>
      <c r="AA790" s="42"/>
      <c r="AB790" s="195"/>
      <c r="AC790" s="42"/>
      <c r="AD790" s="42"/>
      <c r="AE790" s="195"/>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c r="BM790" s="42"/>
      <c r="BN790" s="42"/>
      <c r="BO790" s="42"/>
      <c r="BP790" s="42"/>
      <c r="BQ790" s="42"/>
      <c r="BR790" s="42"/>
      <c r="BS790" s="42"/>
      <c r="BT790" s="42"/>
      <c r="BU790" s="42"/>
      <c r="BV790" s="42"/>
      <c r="BW790" s="42"/>
      <c r="BX790" s="42"/>
      <c r="BY790" s="42"/>
      <c r="BZ790" s="42"/>
      <c r="CA790" s="42"/>
      <c r="CB790" s="42"/>
      <c r="CC790" s="42"/>
      <c r="CD790" s="42"/>
      <c r="CE790" s="42"/>
      <c r="CF790" s="42"/>
      <c r="CG790" s="42"/>
      <c r="CH790" s="42"/>
      <c r="CI790" s="42"/>
      <c r="CJ790" s="42"/>
      <c r="CK790" s="42"/>
      <c r="CL790" s="42"/>
      <c r="CM790" s="42"/>
      <c r="CN790" s="42"/>
      <c r="CO790" s="42"/>
      <c r="CP790" s="42"/>
      <c r="CQ790" s="42"/>
      <c r="CR790" s="42"/>
      <c r="CS790" s="42"/>
      <c r="CT790" s="42"/>
      <c r="CU790" s="42"/>
      <c r="CV790" s="42"/>
      <c r="CW790" s="42"/>
      <c r="CX790" s="42"/>
      <c r="CY790" s="42"/>
      <c r="CZ790" s="42"/>
      <c r="DA790" s="42"/>
      <c r="DB790" s="42"/>
      <c r="DC790" s="42"/>
      <c r="DD790" s="42"/>
      <c r="DE790" s="42"/>
      <c r="DF790" s="42"/>
      <c r="DG790" s="42"/>
      <c r="DH790" s="42"/>
      <c r="DI790" s="42"/>
      <c r="DJ790" s="42"/>
      <c r="DK790" s="42"/>
      <c r="DL790" s="42"/>
      <c r="DM790" s="42"/>
      <c r="DN790" s="42"/>
      <c r="DO790" s="42"/>
      <c r="DP790" s="42"/>
      <c r="DQ790" s="42"/>
      <c r="DR790" s="42"/>
      <c r="DS790" s="42"/>
      <c r="DT790" s="42"/>
      <c r="DU790" s="42"/>
      <c r="DV790" s="42"/>
      <c r="DW790" s="42"/>
      <c r="DX790" s="42"/>
      <c r="DY790" s="42"/>
      <c r="DZ790" s="42"/>
      <c r="EA790" s="42"/>
      <c r="EB790" s="42"/>
      <c r="EC790" s="42"/>
      <c r="ED790" s="42"/>
      <c r="EE790" s="42"/>
      <c r="EF790" s="42"/>
      <c r="EG790" s="42"/>
      <c r="EH790" s="42"/>
      <c r="EI790" s="42"/>
      <c r="EJ790" s="42"/>
      <c r="EK790" s="42"/>
      <c r="EL790" s="42"/>
      <c r="EM790" s="42"/>
      <c r="EN790" s="42"/>
      <c r="EO790" s="42"/>
      <c r="EP790" s="42"/>
      <c r="EQ790" s="42"/>
      <c r="ER790" s="42"/>
      <c r="ES790" s="42"/>
      <c r="ET790" s="42"/>
      <c r="EU790" s="42"/>
      <c r="EV790" s="42"/>
      <c r="EW790" s="42"/>
      <c r="EX790" s="42"/>
      <c r="EY790" s="42"/>
      <c r="EZ790" s="42"/>
      <c r="FA790" s="42"/>
      <c r="FB790" s="42"/>
      <c r="FC790" s="42"/>
      <c r="FD790" s="42"/>
      <c r="FE790" s="42"/>
      <c r="FF790" s="42"/>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row>
    <row r="791" spans="1:256" ht="13.8" x14ac:dyDescent="0.3">
      <c r="A791" s="42"/>
      <c r="B791" s="42"/>
      <c r="C791" s="42"/>
      <c r="D791" s="42"/>
      <c r="E791" s="42"/>
      <c r="F791" s="42"/>
      <c r="G791" s="42"/>
      <c r="H791" s="42"/>
      <c r="I791" s="42"/>
      <c r="J791" s="42"/>
      <c r="K791" s="42"/>
      <c r="L791" s="42"/>
      <c r="M791" s="42"/>
      <c r="N791" s="42"/>
      <c r="O791" s="42"/>
      <c r="P791" s="42"/>
      <c r="Q791" s="42"/>
      <c r="R791" s="42"/>
      <c r="S791" s="42"/>
      <c r="T791" s="42"/>
      <c r="U791" s="194"/>
      <c r="V791" s="42"/>
      <c r="W791" s="42"/>
      <c r="X791" s="42"/>
      <c r="Y791" s="42"/>
      <c r="Z791" s="42"/>
      <c r="AA791" s="42"/>
      <c r="AB791" s="195"/>
      <c r="AC791" s="42"/>
      <c r="AD791" s="42"/>
      <c r="AE791" s="195"/>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c r="BM791" s="42"/>
      <c r="BN791" s="42"/>
      <c r="BO791" s="42"/>
      <c r="BP791" s="42"/>
      <c r="BQ791" s="42"/>
      <c r="BR791" s="42"/>
      <c r="BS791" s="42"/>
      <c r="BT791" s="42"/>
      <c r="BU791" s="42"/>
      <c r="BV791" s="42"/>
      <c r="BW791" s="42"/>
      <c r="BX791" s="42"/>
      <c r="BY791" s="42"/>
      <c r="BZ791" s="42"/>
      <c r="CA791" s="42"/>
      <c r="CB791" s="42"/>
      <c r="CC791" s="42"/>
      <c r="CD791" s="42"/>
      <c r="CE791" s="42"/>
      <c r="CF791" s="42"/>
      <c r="CG791" s="42"/>
      <c r="CH791" s="42"/>
      <c r="CI791" s="42"/>
      <c r="CJ791" s="42"/>
      <c r="CK791" s="42"/>
      <c r="CL791" s="42"/>
      <c r="CM791" s="42"/>
      <c r="CN791" s="42"/>
      <c r="CO791" s="42"/>
      <c r="CP791" s="42"/>
      <c r="CQ791" s="42"/>
      <c r="CR791" s="42"/>
      <c r="CS791" s="42"/>
      <c r="CT791" s="42"/>
      <c r="CU791" s="42"/>
      <c r="CV791" s="42"/>
      <c r="CW791" s="42"/>
      <c r="CX791" s="42"/>
      <c r="CY791" s="42"/>
      <c r="CZ791" s="42"/>
      <c r="DA791" s="42"/>
      <c r="DB791" s="42"/>
      <c r="DC791" s="42"/>
      <c r="DD791" s="42"/>
      <c r="DE791" s="42"/>
      <c r="DF791" s="42"/>
      <c r="DG791" s="42"/>
      <c r="DH791" s="42"/>
      <c r="DI791" s="42"/>
      <c r="DJ791" s="42"/>
      <c r="DK791" s="42"/>
      <c r="DL791" s="42"/>
      <c r="DM791" s="42"/>
      <c r="DN791" s="42"/>
      <c r="DO791" s="42"/>
      <c r="DP791" s="42"/>
      <c r="DQ791" s="42"/>
      <c r="DR791" s="42"/>
      <c r="DS791" s="42"/>
      <c r="DT791" s="42"/>
      <c r="DU791" s="42"/>
      <c r="DV791" s="42"/>
      <c r="DW791" s="42"/>
      <c r="DX791" s="42"/>
      <c r="DY791" s="42"/>
      <c r="DZ791" s="42"/>
      <c r="EA791" s="42"/>
      <c r="EB791" s="42"/>
      <c r="EC791" s="42"/>
      <c r="ED791" s="42"/>
      <c r="EE791" s="42"/>
      <c r="EF791" s="42"/>
      <c r="EG791" s="42"/>
      <c r="EH791" s="42"/>
      <c r="EI791" s="42"/>
      <c r="EJ791" s="42"/>
      <c r="EK791" s="42"/>
      <c r="EL791" s="42"/>
      <c r="EM791" s="42"/>
      <c r="EN791" s="42"/>
      <c r="EO791" s="42"/>
      <c r="EP791" s="42"/>
      <c r="EQ791" s="42"/>
      <c r="ER791" s="42"/>
      <c r="ES791" s="42"/>
      <c r="ET791" s="42"/>
      <c r="EU791" s="42"/>
      <c r="EV791" s="42"/>
      <c r="EW791" s="42"/>
      <c r="EX791" s="42"/>
      <c r="EY791" s="42"/>
      <c r="EZ791" s="42"/>
      <c r="FA791" s="42"/>
      <c r="FB791" s="42"/>
      <c r="FC791" s="42"/>
      <c r="FD791" s="42"/>
      <c r="FE791" s="42"/>
      <c r="FF791" s="42"/>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row>
    <row r="792" spans="1:256" ht="13.8" x14ac:dyDescent="0.3">
      <c r="A792" s="42"/>
      <c r="B792" s="42"/>
      <c r="C792" s="42"/>
      <c r="D792" s="42"/>
      <c r="E792" s="42"/>
      <c r="F792" s="42"/>
      <c r="G792" s="42"/>
      <c r="H792" s="42"/>
      <c r="I792" s="42"/>
      <c r="J792" s="42"/>
      <c r="K792" s="42"/>
      <c r="L792" s="42"/>
      <c r="M792" s="42"/>
      <c r="N792" s="42"/>
      <c r="O792" s="42"/>
      <c r="P792" s="42"/>
      <c r="Q792" s="42"/>
      <c r="R792" s="42"/>
      <c r="S792" s="42"/>
      <c r="T792" s="42"/>
      <c r="U792" s="194"/>
      <c r="V792" s="42"/>
      <c r="W792" s="42"/>
      <c r="X792" s="42"/>
      <c r="Y792" s="42"/>
      <c r="Z792" s="42"/>
      <c r="AA792" s="42"/>
      <c r="AB792" s="195"/>
      <c r="AC792" s="42"/>
      <c r="AD792" s="42"/>
      <c r="AE792" s="195"/>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c r="CG792" s="42"/>
      <c r="CH792" s="42"/>
      <c r="CI792" s="42"/>
      <c r="CJ792" s="42"/>
      <c r="CK792" s="42"/>
      <c r="CL792" s="42"/>
      <c r="CM792" s="42"/>
      <c r="CN792" s="42"/>
      <c r="CO792" s="42"/>
      <c r="CP792" s="42"/>
      <c r="CQ792" s="42"/>
      <c r="CR792" s="42"/>
      <c r="CS792" s="42"/>
      <c r="CT792" s="42"/>
      <c r="CU792" s="42"/>
      <c r="CV792" s="42"/>
      <c r="CW792" s="42"/>
      <c r="CX792" s="42"/>
      <c r="CY792" s="42"/>
      <c r="CZ792" s="42"/>
      <c r="DA792" s="42"/>
      <c r="DB792" s="42"/>
      <c r="DC792" s="42"/>
      <c r="DD792" s="42"/>
      <c r="DE792" s="42"/>
      <c r="DF792" s="42"/>
      <c r="DG792" s="42"/>
      <c r="DH792" s="42"/>
      <c r="DI792" s="42"/>
      <c r="DJ792" s="42"/>
      <c r="DK792" s="42"/>
      <c r="DL792" s="42"/>
      <c r="DM792" s="42"/>
      <c r="DN792" s="42"/>
      <c r="DO792" s="42"/>
      <c r="DP792" s="42"/>
      <c r="DQ792" s="42"/>
      <c r="DR792" s="42"/>
      <c r="DS792" s="42"/>
      <c r="DT792" s="42"/>
      <c r="DU792" s="42"/>
      <c r="DV792" s="42"/>
      <c r="DW792" s="42"/>
      <c r="DX792" s="42"/>
      <c r="DY792" s="42"/>
      <c r="DZ792" s="42"/>
      <c r="EA792" s="42"/>
      <c r="EB792" s="42"/>
      <c r="EC792" s="42"/>
      <c r="ED792" s="42"/>
      <c r="EE792" s="42"/>
      <c r="EF792" s="42"/>
      <c r="EG792" s="42"/>
      <c r="EH792" s="42"/>
      <c r="EI792" s="42"/>
      <c r="EJ792" s="42"/>
      <c r="EK792" s="42"/>
      <c r="EL792" s="42"/>
      <c r="EM792" s="42"/>
      <c r="EN792" s="42"/>
      <c r="EO792" s="42"/>
      <c r="EP792" s="42"/>
      <c r="EQ792" s="42"/>
      <c r="ER792" s="42"/>
      <c r="ES792" s="42"/>
      <c r="ET792" s="42"/>
      <c r="EU792" s="42"/>
      <c r="EV792" s="42"/>
      <c r="EW792" s="42"/>
      <c r="EX792" s="42"/>
      <c r="EY792" s="42"/>
      <c r="EZ792" s="42"/>
      <c r="FA792" s="42"/>
      <c r="FB792" s="42"/>
      <c r="FC792" s="42"/>
      <c r="FD792" s="42"/>
      <c r="FE792" s="42"/>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row>
    <row r="793" spans="1:256" ht="13.8" x14ac:dyDescent="0.3">
      <c r="A793" s="42"/>
      <c r="B793" s="42"/>
      <c r="C793" s="42"/>
      <c r="D793" s="42"/>
      <c r="E793" s="42"/>
      <c r="F793" s="42"/>
      <c r="G793" s="42"/>
      <c r="H793" s="42"/>
      <c r="I793" s="42"/>
      <c r="J793" s="42"/>
      <c r="K793" s="42"/>
      <c r="L793" s="42"/>
      <c r="M793" s="42"/>
      <c r="N793" s="42"/>
      <c r="O793" s="42"/>
      <c r="P793" s="42"/>
      <c r="Q793" s="42"/>
      <c r="R793" s="42"/>
      <c r="S793" s="42"/>
      <c r="T793" s="42"/>
      <c r="U793" s="194"/>
      <c r="V793" s="42"/>
      <c r="W793" s="42"/>
      <c r="X793" s="42"/>
      <c r="Y793" s="42"/>
      <c r="Z793" s="42"/>
      <c r="AA793" s="42"/>
      <c r="AB793" s="195"/>
      <c r="AC793" s="42"/>
      <c r="AD793" s="42"/>
      <c r="AE793" s="195"/>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c r="CG793" s="42"/>
      <c r="CH793" s="42"/>
      <c r="CI793" s="42"/>
      <c r="CJ793" s="42"/>
      <c r="CK793" s="42"/>
      <c r="CL793" s="42"/>
      <c r="CM793" s="42"/>
      <c r="CN793" s="42"/>
      <c r="CO793" s="42"/>
      <c r="CP793" s="42"/>
      <c r="CQ793" s="42"/>
      <c r="CR793" s="42"/>
      <c r="CS793" s="42"/>
      <c r="CT793" s="42"/>
      <c r="CU793" s="42"/>
      <c r="CV793" s="42"/>
      <c r="CW793" s="42"/>
      <c r="CX793" s="42"/>
      <c r="CY793" s="42"/>
      <c r="CZ793" s="42"/>
      <c r="DA793" s="42"/>
      <c r="DB793" s="42"/>
      <c r="DC793" s="42"/>
      <c r="DD793" s="42"/>
      <c r="DE793" s="42"/>
      <c r="DF793" s="42"/>
      <c r="DG793" s="42"/>
      <c r="DH793" s="42"/>
      <c r="DI793" s="42"/>
      <c r="DJ793" s="42"/>
      <c r="DK793" s="42"/>
      <c r="DL793" s="42"/>
      <c r="DM793" s="42"/>
      <c r="DN793" s="42"/>
      <c r="DO793" s="42"/>
      <c r="DP793" s="42"/>
      <c r="DQ793" s="42"/>
      <c r="DR793" s="42"/>
      <c r="DS793" s="42"/>
      <c r="DT793" s="42"/>
      <c r="DU793" s="42"/>
      <c r="DV793" s="42"/>
      <c r="DW793" s="42"/>
      <c r="DX793" s="42"/>
      <c r="DY793" s="42"/>
      <c r="DZ793" s="42"/>
      <c r="EA793" s="42"/>
      <c r="EB793" s="42"/>
      <c r="EC793" s="42"/>
      <c r="ED793" s="42"/>
      <c r="EE793" s="42"/>
      <c r="EF793" s="42"/>
      <c r="EG793" s="42"/>
      <c r="EH793" s="42"/>
      <c r="EI793" s="42"/>
      <c r="EJ793" s="42"/>
      <c r="EK793" s="42"/>
      <c r="EL793" s="42"/>
      <c r="EM793" s="42"/>
      <c r="EN793" s="42"/>
      <c r="EO793" s="42"/>
      <c r="EP793" s="42"/>
      <c r="EQ793" s="42"/>
      <c r="ER793" s="42"/>
      <c r="ES793" s="42"/>
      <c r="ET793" s="42"/>
      <c r="EU793" s="42"/>
      <c r="EV793" s="42"/>
      <c r="EW793" s="42"/>
      <c r="EX793" s="42"/>
      <c r="EY793" s="42"/>
      <c r="EZ793" s="42"/>
      <c r="FA793" s="42"/>
      <c r="FB793" s="42"/>
      <c r="FC793" s="42"/>
      <c r="FD793" s="42"/>
      <c r="FE793" s="42"/>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row>
    <row r="794" spans="1:256" ht="13.8" x14ac:dyDescent="0.3">
      <c r="A794" s="42"/>
      <c r="B794" s="42"/>
      <c r="C794" s="42"/>
      <c r="D794" s="42"/>
      <c r="E794" s="42"/>
      <c r="F794" s="42"/>
      <c r="G794" s="42"/>
      <c r="H794" s="42"/>
      <c r="I794" s="42"/>
      <c r="J794" s="42"/>
      <c r="K794" s="42"/>
      <c r="L794" s="42"/>
      <c r="M794" s="42"/>
      <c r="N794" s="42"/>
      <c r="O794" s="42"/>
      <c r="P794" s="42"/>
      <c r="Q794" s="42"/>
      <c r="R794" s="42"/>
      <c r="S794" s="42"/>
      <c r="T794" s="42"/>
      <c r="U794" s="194"/>
      <c r="V794" s="42"/>
      <c r="W794" s="42"/>
      <c r="X794" s="42"/>
      <c r="Y794" s="42"/>
      <c r="Z794" s="42"/>
      <c r="AA794" s="42"/>
      <c r="AB794" s="195"/>
      <c r="AC794" s="42"/>
      <c r="AD794" s="42"/>
      <c r="AE794" s="195"/>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c r="BM794" s="42"/>
      <c r="BN794" s="42"/>
      <c r="BO794" s="42"/>
      <c r="BP794" s="42"/>
      <c r="BQ794" s="42"/>
      <c r="BR794" s="42"/>
      <c r="BS794" s="42"/>
      <c r="BT794" s="42"/>
      <c r="BU794" s="42"/>
      <c r="BV794" s="42"/>
      <c r="BW794" s="42"/>
      <c r="BX794" s="42"/>
      <c r="BY794" s="42"/>
      <c r="BZ794" s="42"/>
      <c r="CA794" s="42"/>
      <c r="CB794" s="42"/>
      <c r="CC794" s="42"/>
      <c r="CD794" s="42"/>
      <c r="CE794" s="42"/>
      <c r="CF794" s="42"/>
      <c r="CG794" s="42"/>
      <c r="CH794" s="42"/>
      <c r="CI794" s="42"/>
      <c r="CJ794" s="42"/>
      <c r="CK794" s="42"/>
      <c r="CL794" s="42"/>
      <c r="CM794" s="42"/>
      <c r="CN794" s="42"/>
      <c r="CO794" s="42"/>
      <c r="CP794" s="42"/>
      <c r="CQ794" s="42"/>
      <c r="CR794" s="42"/>
      <c r="CS794" s="42"/>
      <c r="CT794" s="42"/>
      <c r="CU794" s="42"/>
      <c r="CV794" s="42"/>
      <c r="CW794" s="42"/>
      <c r="CX794" s="42"/>
      <c r="CY794" s="42"/>
      <c r="CZ794" s="42"/>
      <c r="DA794" s="42"/>
      <c r="DB794" s="42"/>
      <c r="DC794" s="42"/>
      <c r="DD794" s="42"/>
      <c r="DE794" s="42"/>
      <c r="DF794" s="42"/>
      <c r="DG794" s="42"/>
      <c r="DH794" s="42"/>
      <c r="DI794" s="42"/>
      <c r="DJ794" s="42"/>
      <c r="DK794" s="42"/>
      <c r="DL794" s="42"/>
      <c r="DM794" s="42"/>
      <c r="DN794" s="42"/>
      <c r="DO794" s="42"/>
      <c r="DP794" s="42"/>
      <c r="DQ794" s="42"/>
      <c r="DR794" s="42"/>
      <c r="DS794" s="42"/>
      <c r="DT794" s="42"/>
      <c r="DU794" s="42"/>
      <c r="DV794" s="42"/>
      <c r="DW794" s="42"/>
      <c r="DX794" s="42"/>
      <c r="DY794" s="42"/>
      <c r="DZ794" s="42"/>
      <c r="EA794" s="42"/>
      <c r="EB794" s="42"/>
      <c r="EC794" s="42"/>
      <c r="ED794" s="42"/>
      <c r="EE794" s="42"/>
      <c r="EF794" s="42"/>
      <c r="EG794" s="42"/>
      <c r="EH794" s="42"/>
      <c r="EI794" s="42"/>
      <c r="EJ794" s="42"/>
      <c r="EK794" s="42"/>
      <c r="EL794" s="42"/>
      <c r="EM794" s="42"/>
      <c r="EN794" s="42"/>
      <c r="EO794" s="42"/>
      <c r="EP794" s="42"/>
      <c r="EQ794" s="42"/>
      <c r="ER794" s="42"/>
      <c r="ES794" s="42"/>
      <c r="ET794" s="42"/>
      <c r="EU794" s="42"/>
      <c r="EV794" s="42"/>
      <c r="EW794" s="42"/>
      <c r="EX794" s="42"/>
      <c r="EY794" s="42"/>
      <c r="EZ794" s="42"/>
      <c r="FA794" s="42"/>
      <c r="FB794" s="42"/>
      <c r="FC794" s="42"/>
      <c r="FD794" s="42"/>
      <c r="FE794" s="42"/>
      <c r="FF794" s="42"/>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row>
    <row r="795" spans="1:256" ht="13.8" x14ac:dyDescent="0.3">
      <c r="A795" s="42"/>
      <c r="B795" s="42"/>
      <c r="C795" s="42"/>
      <c r="D795" s="42"/>
      <c r="E795" s="42"/>
      <c r="F795" s="42"/>
      <c r="G795" s="42"/>
      <c r="H795" s="42"/>
      <c r="I795" s="42"/>
      <c r="J795" s="42"/>
      <c r="K795" s="42"/>
      <c r="L795" s="42"/>
      <c r="M795" s="42"/>
      <c r="N795" s="42"/>
      <c r="O795" s="42"/>
      <c r="P795" s="42"/>
      <c r="Q795" s="42"/>
      <c r="R795" s="42"/>
      <c r="S795" s="42"/>
      <c r="T795" s="42"/>
      <c r="U795" s="194"/>
      <c r="V795" s="42"/>
      <c r="W795" s="42"/>
      <c r="X795" s="42"/>
      <c r="Y795" s="42"/>
      <c r="Z795" s="42"/>
      <c r="AA795" s="42"/>
      <c r="AB795" s="195"/>
      <c r="AC795" s="42"/>
      <c r="AD795" s="42"/>
      <c r="AE795" s="195"/>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c r="BM795" s="42"/>
      <c r="BN795" s="42"/>
      <c r="BO795" s="42"/>
      <c r="BP795" s="42"/>
      <c r="BQ795" s="42"/>
      <c r="BR795" s="42"/>
      <c r="BS795" s="42"/>
      <c r="BT795" s="42"/>
      <c r="BU795" s="42"/>
      <c r="BV795" s="42"/>
      <c r="BW795" s="42"/>
      <c r="BX795" s="42"/>
      <c r="BY795" s="42"/>
      <c r="BZ795" s="42"/>
      <c r="CA795" s="42"/>
      <c r="CB795" s="42"/>
      <c r="CC795" s="42"/>
      <c r="CD795" s="42"/>
      <c r="CE795" s="42"/>
      <c r="CF795" s="42"/>
      <c r="CG795" s="42"/>
      <c r="CH795" s="42"/>
      <c r="CI795" s="42"/>
      <c r="CJ795" s="42"/>
      <c r="CK795" s="42"/>
      <c r="CL795" s="42"/>
      <c r="CM795" s="42"/>
      <c r="CN795" s="42"/>
      <c r="CO795" s="42"/>
      <c r="CP795" s="42"/>
      <c r="CQ795" s="42"/>
      <c r="CR795" s="42"/>
      <c r="CS795" s="42"/>
      <c r="CT795" s="42"/>
      <c r="CU795" s="42"/>
      <c r="CV795" s="42"/>
      <c r="CW795" s="42"/>
      <c r="CX795" s="42"/>
      <c r="CY795" s="42"/>
      <c r="CZ795" s="42"/>
      <c r="DA795" s="42"/>
      <c r="DB795" s="42"/>
      <c r="DC795" s="42"/>
      <c r="DD795" s="42"/>
      <c r="DE795" s="42"/>
      <c r="DF795" s="42"/>
      <c r="DG795" s="42"/>
      <c r="DH795" s="42"/>
      <c r="DI795" s="42"/>
      <c r="DJ795" s="42"/>
      <c r="DK795" s="42"/>
      <c r="DL795" s="42"/>
      <c r="DM795" s="42"/>
      <c r="DN795" s="42"/>
      <c r="DO795" s="42"/>
      <c r="DP795" s="42"/>
      <c r="DQ795" s="42"/>
      <c r="DR795" s="42"/>
      <c r="DS795" s="42"/>
      <c r="DT795" s="42"/>
      <c r="DU795" s="42"/>
      <c r="DV795" s="42"/>
      <c r="DW795" s="42"/>
      <c r="DX795" s="42"/>
      <c r="DY795" s="42"/>
      <c r="DZ795" s="42"/>
      <c r="EA795" s="42"/>
      <c r="EB795" s="42"/>
      <c r="EC795" s="42"/>
      <c r="ED795" s="42"/>
      <c r="EE795" s="42"/>
      <c r="EF795" s="42"/>
      <c r="EG795" s="42"/>
      <c r="EH795" s="42"/>
      <c r="EI795" s="42"/>
      <c r="EJ795" s="42"/>
      <c r="EK795" s="42"/>
      <c r="EL795" s="42"/>
      <c r="EM795" s="42"/>
      <c r="EN795" s="42"/>
      <c r="EO795" s="42"/>
      <c r="EP795" s="42"/>
      <c r="EQ795" s="42"/>
      <c r="ER795" s="42"/>
      <c r="ES795" s="42"/>
      <c r="ET795" s="42"/>
      <c r="EU795" s="42"/>
      <c r="EV795" s="42"/>
      <c r="EW795" s="42"/>
      <c r="EX795" s="42"/>
      <c r="EY795" s="42"/>
      <c r="EZ795" s="42"/>
      <c r="FA795" s="42"/>
      <c r="FB795" s="42"/>
      <c r="FC795" s="42"/>
      <c r="FD795" s="42"/>
      <c r="FE795" s="42"/>
      <c r="FF795" s="42"/>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row>
    <row r="796" spans="1:256" ht="13.8" x14ac:dyDescent="0.3">
      <c r="A796" s="42"/>
      <c r="B796" s="42"/>
      <c r="C796" s="42"/>
      <c r="D796" s="42"/>
      <c r="E796" s="42"/>
      <c r="F796" s="42"/>
      <c r="G796" s="42"/>
      <c r="H796" s="42"/>
      <c r="I796" s="42"/>
      <c r="J796" s="42"/>
      <c r="K796" s="42"/>
      <c r="L796" s="42"/>
      <c r="M796" s="42"/>
      <c r="N796" s="42"/>
      <c r="O796" s="42"/>
      <c r="P796" s="42"/>
      <c r="Q796" s="42"/>
      <c r="R796" s="42"/>
      <c r="S796" s="42"/>
      <c r="T796" s="42"/>
      <c r="U796" s="194"/>
      <c r="V796" s="42"/>
      <c r="W796" s="42"/>
      <c r="X796" s="42"/>
      <c r="Y796" s="42"/>
      <c r="Z796" s="42"/>
      <c r="AA796" s="42"/>
      <c r="AB796" s="195"/>
      <c r="AC796" s="42"/>
      <c r="AD796" s="42"/>
      <c r="AE796" s="195"/>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c r="BM796" s="42"/>
      <c r="BN796" s="42"/>
      <c r="BO796" s="42"/>
      <c r="BP796" s="42"/>
      <c r="BQ796" s="42"/>
      <c r="BR796" s="42"/>
      <c r="BS796" s="42"/>
      <c r="BT796" s="42"/>
      <c r="BU796" s="42"/>
      <c r="BV796" s="42"/>
      <c r="BW796" s="42"/>
      <c r="BX796" s="42"/>
      <c r="BY796" s="42"/>
      <c r="BZ796" s="42"/>
      <c r="CA796" s="42"/>
      <c r="CB796" s="42"/>
      <c r="CC796" s="42"/>
      <c r="CD796" s="42"/>
      <c r="CE796" s="42"/>
      <c r="CF796" s="42"/>
      <c r="CG796" s="42"/>
      <c r="CH796" s="42"/>
      <c r="CI796" s="42"/>
      <c r="CJ796" s="42"/>
      <c r="CK796" s="42"/>
      <c r="CL796" s="42"/>
      <c r="CM796" s="42"/>
      <c r="CN796" s="42"/>
      <c r="CO796" s="42"/>
      <c r="CP796" s="42"/>
      <c r="CQ796" s="42"/>
      <c r="CR796" s="42"/>
      <c r="CS796" s="42"/>
      <c r="CT796" s="42"/>
      <c r="CU796" s="42"/>
      <c r="CV796" s="42"/>
      <c r="CW796" s="42"/>
      <c r="CX796" s="42"/>
      <c r="CY796" s="42"/>
      <c r="CZ796" s="42"/>
      <c r="DA796" s="42"/>
      <c r="DB796" s="42"/>
      <c r="DC796" s="42"/>
      <c r="DD796" s="42"/>
      <c r="DE796" s="42"/>
      <c r="DF796" s="42"/>
      <c r="DG796" s="42"/>
      <c r="DH796" s="42"/>
      <c r="DI796" s="42"/>
      <c r="DJ796" s="42"/>
      <c r="DK796" s="42"/>
      <c r="DL796" s="42"/>
      <c r="DM796" s="42"/>
      <c r="DN796" s="42"/>
      <c r="DO796" s="42"/>
      <c r="DP796" s="42"/>
      <c r="DQ796" s="42"/>
      <c r="DR796" s="42"/>
      <c r="DS796" s="42"/>
      <c r="DT796" s="42"/>
      <c r="DU796" s="42"/>
      <c r="DV796" s="42"/>
      <c r="DW796" s="42"/>
      <c r="DX796" s="42"/>
      <c r="DY796" s="42"/>
      <c r="DZ796" s="42"/>
      <c r="EA796" s="42"/>
      <c r="EB796" s="42"/>
      <c r="EC796" s="42"/>
      <c r="ED796" s="42"/>
      <c r="EE796" s="42"/>
      <c r="EF796" s="42"/>
      <c r="EG796" s="42"/>
      <c r="EH796" s="42"/>
      <c r="EI796" s="42"/>
      <c r="EJ796" s="42"/>
      <c r="EK796" s="42"/>
      <c r="EL796" s="42"/>
      <c r="EM796" s="42"/>
      <c r="EN796" s="42"/>
      <c r="EO796" s="42"/>
      <c r="EP796" s="42"/>
      <c r="EQ796" s="42"/>
      <c r="ER796" s="42"/>
      <c r="ES796" s="42"/>
      <c r="ET796" s="42"/>
      <c r="EU796" s="42"/>
      <c r="EV796" s="42"/>
      <c r="EW796" s="42"/>
      <c r="EX796" s="42"/>
      <c r="EY796" s="42"/>
      <c r="EZ796" s="42"/>
      <c r="FA796" s="42"/>
      <c r="FB796" s="42"/>
      <c r="FC796" s="42"/>
      <c r="FD796" s="42"/>
      <c r="FE796" s="42"/>
      <c r="FF796" s="42"/>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row>
    <row r="797" spans="1:256" ht="13.8" x14ac:dyDescent="0.3">
      <c r="A797" s="42"/>
      <c r="B797" s="42"/>
      <c r="C797" s="42"/>
      <c r="D797" s="42"/>
      <c r="E797" s="42"/>
      <c r="F797" s="42"/>
      <c r="G797" s="42"/>
      <c r="H797" s="42"/>
      <c r="I797" s="42"/>
      <c r="J797" s="42"/>
      <c r="K797" s="42"/>
      <c r="L797" s="42"/>
      <c r="M797" s="42"/>
      <c r="N797" s="42"/>
      <c r="O797" s="42"/>
      <c r="P797" s="42"/>
      <c r="Q797" s="42"/>
      <c r="R797" s="42"/>
      <c r="S797" s="42"/>
      <c r="T797" s="42"/>
      <c r="U797" s="194"/>
      <c r="V797" s="42"/>
      <c r="W797" s="42"/>
      <c r="X797" s="42"/>
      <c r="Y797" s="42"/>
      <c r="Z797" s="42"/>
      <c r="AA797" s="42"/>
      <c r="AB797" s="195"/>
      <c r="AC797" s="42"/>
      <c r="AD797" s="42"/>
      <c r="AE797" s="195"/>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c r="BM797" s="42"/>
      <c r="BN797" s="42"/>
      <c r="BO797" s="42"/>
      <c r="BP797" s="42"/>
      <c r="BQ797" s="42"/>
      <c r="BR797" s="42"/>
      <c r="BS797" s="42"/>
      <c r="BT797" s="42"/>
      <c r="BU797" s="42"/>
      <c r="BV797" s="42"/>
      <c r="BW797" s="42"/>
      <c r="BX797" s="42"/>
      <c r="BY797" s="42"/>
      <c r="BZ797" s="42"/>
      <c r="CA797" s="42"/>
      <c r="CB797" s="42"/>
      <c r="CC797" s="42"/>
      <c r="CD797" s="42"/>
      <c r="CE797" s="42"/>
      <c r="CF797" s="42"/>
      <c r="CG797" s="42"/>
      <c r="CH797" s="42"/>
      <c r="CI797" s="42"/>
      <c r="CJ797" s="42"/>
      <c r="CK797" s="42"/>
      <c r="CL797" s="42"/>
      <c r="CM797" s="42"/>
      <c r="CN797" s="42"/>
      <c r="CO797" s="42"/>
      <c r="CP797" s="42"/>
      <c r="CQ797" s="42"/>
      <c r="CR797" s="42"/>
      <c r="CS797" s="42"/>
      <c r="CT797" s="42"/>
      <c r="CU797" s="42"/>
      <c r="CV797" s="42"/>
      <c r="CW797" s="42"/>
      <c r="CX797" s="42"/>
      <c r="CY797" s="42"/>
      <c r="CZ797" s="42"/>
      <c r="DA797" s="42"/>
      <c r="DB797" s="42"/>
      <c r="DC797" s="42"/>
      <c r="DD797" s="42"/>
      <c r="DE797" s="42"/>
      <c r="DF797" s="42"/>
      <c r="DG797" s="42"/>
      <c r="DH797" s="42"/>
      <c r="DI797" s="42"/>
      <c r="DJ797" s="42"/>
      <c r="DK797" s="42"/>
      <c r="DL797" s="42"/>
      <c r="DM797" s="42"/>
      <c r="DN797" s="42"/>
      <c r="DO797" s="42"/>
      <c r="DP797" s="42"/>
      <c r="DQ797" s="42"/>
      <c r="DR797" s="42"/>
      <c r="DS797" s="42"/>
      <c r="DT797" s="42"/>
      <c r="DU797" s="42"/>
      <c r="DV797" s="42"/>
      <c r="DW797" s="42"/>
      <c r="DX797" s="42"/>
      <c r="DY797" s="42"/>
      <c r="DZ797" s="42"/>
      <c r="EA797" s="42"/>
      <c r="EB797" s="42"/>
      <c r="EC797" s="42"/>
      <c r="ED797" s="42"/>
      <c r="EE797" s="42"/>
      <c r="EF797" s="42"/>
      <c r="EG797" s="42"/>
      <c r="EH797" s="42"/>
      <c r="EI797" s="42"/>
      <c r="EJ797" s="42"/>
      <c r="EK797" s="42"/>
      <c r="EL797" s="42"/>
      <c r="EM797" s="42"/>
      <c r="EN797" s="42"/>
      <c r="EO797" s="42"/>
      <c r="EP797" s="42"/>
      <c r="EQ797" s="42"/>
      <c r="ER797" s="42"/>
      <c r="ES797" s="42"/>
      <c r="ET797" s="42"/>
      <c r="EU797" s="42"/>
      <c r="EV797" s="42"/>
      <c r="EW797" s="42"/>
      <c r="EX797" s="42"/>
      <c r="EY797" s="42"/>
      <c r="EZ797" s="42"/>
      <c r="FA797" s="42"/>
      <c r="FB797" s="42"/>
      <c r="FC797" s="42"/>
      <c r="FD797" s="42"/>
      <c r="FE797" s="42"/>
      <c r="FF797" s="42"/>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row>
    <row r="798" spans="1:256" ht="13.8" x14ac:dyDescent="0.3">
      <c r="A798" s="42"/>
      <c r="B798" s="42"/>
      <c r="C798" s="42"/>
      <c r="D798" s="42"/>
      <c r="E798" s="42"/>
      <c r="F798" s="42"/>
      <c r="G798" s="42"/>
      <c r="H798" s="42"/>
      <c r="I798" s="42"/>
      <c r="J798" s="42"/>
      <c r="K798" s="42"/>
      <c r="L798" s="42"/>
      <c r="M798" s="42"/>
      <c r="N798" s="42"/>
      <c r="O798" s="42"/>
      <c r="P798" s="42"/>
      <c r="Q798" s="42"/>
      <c r="R798" s="42"/>
      <c r="S798" s="42"/>
      <c r="T798" s="42"/>
      <c r="U798" s="194"/>
      <c r="V798" s="42"/>
      <c r="W798" s="42"/>
      <c r="X798" s="42"/>
      <c r="Y798" s="42"/>
      <c r="Z798" s="42"/>
      <c r="AA798" s="42"/>
      <c r="AB798" s="195"/>
      <c r="AC798" s="42"/>
      <c r="AD798" s="42"/>
      <c r="AE798" s="195"/>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c r="BM798" s="42"/>
      <c r="BN798" s="42"/>
      <c r="BO798" s="42"/>
      <c r="BP798" s="42"/>
      <c r="BQ798" s="42"/>
      <c r="BR798" s="42"/>
      <c r="BS798" s="42"/>
      <c r="BT798" s="42"/>
      <c r="BU798" s="42"/>
      <c r="BV798" s="42"/>
      <c r="BW798" s="42"/>
      <c r="BX798" s="42"/>
      <c r="BY798" s="42"/>
      <c r="BZ798" s="42"/>
      <c r="CA798" s="42"/>
      <c r="CB798" s="42"/>
      <c r="CC798" s="42"/>
      <c r="CD798" s="42"/>
      <c r="CE798" s="42"/>
      <c r="CF798" s="42"/>
      <c r="CG798" s="42"/>
      <c r="CH798" s="42"/>
      <c r="CI798" s="42"/>
      <c r="CJ798" s="42"/>
      <c r="CK798" s="42"/>
      <c r="CL798" s="42"/>
      <c r="CM798" s="42"/>
      <c r="CN798" s="42"/>
      <c r="CO798" s="42"/>
      <c r="CP798" s="42"/>
      <c r="CQ798" s="42"/>
      <c r="CR798" s="42"/>
      <c r="CS798" s="42"/>
      <c r="CT798" s="42"/>
      <c r="CU798" s="42"/>
      <c r="CV798" s="42"/>
      <c r="CW798" s="42"/>
      <c r="CX798" s="42"/>
      <c r="CY798" s="42"/>
      <c r="CZ798" s="42"/>
      <c r="DA798" s="42"/>
      <c r="DB798" s="42"/>
      <c r="DC798" s="42"/>
      <c r="DD798" s="42"/>
      <c r="DE798" s="42"/>
      <c r="DF798" s="42"/>
      <c r="DG798" s="42"/>
      <c r="DH798" s="42"/>
      <c r="DI798" s="42"/>
      <c r="DJ798" s="42"/>
      <c r="DK798" s="42"/>
      <c r="DL798" s="42"/>
      <c r="DM798" s="42"/>
      <c r="DN798" s="42"/>
      <c r="DO798" s="42"/>
      <c r="DP798" s="42"/>
      <c r="DQ798" s="42"/>
      <c r="DR798" s="42"/>
      <c r="DS798" s="42"/>
      <c r="DT798" s="42"/>
      <c r="DU798" s="42"/>
      <c r="DV798" s="42"/>
      <c r="DW798" s="42"/>
      <c r="DX798" s="42"/>
      <c r="DY798" s="42"/>
      <c r="DZ798" s="42"/>
      <c r="EA798" s="42"/>
      <c r="EB798" s="42"/>
      <c r="EC798" s="42"/>
      <c r="ED798" s="42"/>
      <c r="EE798" s="42"/>
      <c r="EF798" s="42"/>
      <c r="EG798" s="42"/>
      <c r="EH798" s="42"/>
      <c r="EI798" s="42"/>
      <c r="EJ798" s="42"/>
      <c r="EK798" s="42"/>
      <c r="EL798" s="42"/>
      <c r="EM798" s="42"/>
      <c r="EN798" s="42"/>
      <c r="EO798" s="42"/>
      <c r="EP798" s="42"/>
      <c r="EQ798" s="42"/>
      <c r="ER798" s="42"/>
      <c r="ES798" s="42"/>
      <c r="ET798" s="42"/>
      <c r="EU798" s="42"/>
      <c r="EV798" s="42"/>
      <c r="EW798" s="42"/>
      <c r="EX798" s="42"/>
      <c r="EY798" s="42"/>
      <c r="EZ798" s="42"/>
      <c r="FA798" s="42"/>
      <c r="FB798" s="42"/>
      <c r="FC798" s="42"/>
      <c r="FD798" s="42"/>
      <c r="FE798" s="42"/>
      <c r="FF798" s="42"/>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row>
    <row r="799" spans="1:256" ht="13.8" x14ac:dyDescent="0.3">
      <c r="A799" s="42"/>
      <c r="B799" s="42"/>
      <c r="C799" s="42"/>
      <c r="D799" s="42"/>
      <c r="E799" s="42"/>
      <c r="F799" s="42"/>
      <c r="G799" s="42"/>
      <c r="H799" s="42"/>
      <c r="I799" s="42"/>
      <c r="J799" s="42"/>
      <c r="K799" s="42"/>
      <c r="L799" s="42"/>
      <c r="M799" s="42"/>
      <c r="N799" s="42"/>
      <c r="O799" s="42"/>
      <c r="P799" s="42"/>
      <c r="Q799" s="42"/>
      <c r="R799" s="42"/>
      <c r="S799" s="42"/>
      <c r="T799" s="42"/>
      <c r="U799" s="194"/>
      <c r="V799" s="42"/>
      <c r="W799" s="42"/>
      <c r="X799" s="42"/>
      <c r="Y799" s="42"/>
      <c r="Z799" s="42"/>
      <c r="AA799" s="42"/>
      <c r="AB799" s="195"/>
      <c r="AC799" s="42"/>
      <c r="AD799" s="42"/>
      <c r="AE799" s="195"/>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c r="BM799" s="42"/>
      <c r="BN799" s="42"/>
      <c r="BO799" s="42"/>
      <c r="BP799" s="42"/>
      <c r="BQ799" s="42"/>
      <c r="BR799" s="42"/>
      <c r="BS799" s="42"/>
      <c r="BT799" s="42"/>
      <c r="BU799" s="42"/>
      <c r="BV799" s="42"/>
      <c r="BW799" s="42"/>
      <c r="BX799" s="42"/>
      <c r="BY799" s="42"/>
      <c r="BZ799" s="42"/>
      <c r="CA799" s="42"/>
      <c r="CB799" s="42"/>
      <c r="CC799" s="42"/>
      <c r="CD799" s="42"/>
      <c r="CE799" s="42"/>
      <c r="CF799" s="42"/>
      <c r="CG799" s="42"/>
      <c r="CH799" s="42"/>
      <c r="CI799" s="42"/>
      <c r="CJ799" s="42"/>
      <c r="CK799" s="42"/>
      <c r="CL799" s="42"/>
      <c r="CM799" s="42"/>
      <c r="CN799" s="42"/>
      <c r="CO799" s="42"/>
      <c r="CP799" s="42"/>
      <c r="CQ799" s="42"/>
      <c r="CR799" s="42"/>
      <c r="CS799" s="42"/>
      <c r="CT799" s="42"/>
      <c r="CU799" s="42"/>
      <c r="CV799" s="42"/>
      <c r="CW799" s="42"/>
      <c r="CX799" s="42"/>
      <c r="CY799" s="42"/>
      <c r="CZ799" s="42"/>
      <c r="DA799" s="42"/>
      <c r="DB799" s="42"/>
      <c r="DC799" s="42"/>
      <c r="DD799" s="42"/>
      <c r="DE799" s="42"/>
      <c r="DF799" s="42"/>
      <c r="DG799" s="42"/>
      <c r="DH799" s="42"/>
      <c r="DI799" s="42"/>
      <c r="DJ799" s="42"/>
      <c r="DK799" s="42"/>
      <c r="DL799" s="42"/>
      <c r="DM799" s="42"/>
      <c r="DN799" s="42"/>
      <c r="DO799" s="42"/>
      <c r="DP799" s="42"/>
      <c r="DQ799" s="42"/>
      <c r="DR799" s="42"/>
      <c r="DS799" s="42"/>
      <c r="DT799" s="42"/>
      <c r="DU799" s="42"/>
      <c r="DV799" s="42"/>
      <c r="DW799" s="42"/>
      <c r="DX799" s="42"/>
      <c r="DY799" s="42"/>
      <c r="DZ799" s="42"/>
      <c r="EA799" s="42"/>
      <c r="EB799" s="42"/>
      <c r="EC799" s="42"/>
      <c r="ED799" s="42"/>
      <c r="EE799" s="42"/>
      <c r="EF799" s="42"/>
      <c r="EG799" s="42"/>
      <c r="EH799" s="42"/>
      <c r="EI799" s="42"/>
      <c r="EJ799" s="42"/>
      <c r="EK799" s="42"/>
      <c r="EL799" s="42"/>
      <c r="EM799" s="42"/>
      <c r="EN799" s="42"/>
      <c r="EO799" s="42"/>
      <c r="EP799" s="42"/>
      <c r="EQ799" s="42"/>
      <c r="ER799" s="42"/>
      <c r="ES799" s="42"/>
      <c r="ET799" s="42"/>
      <c r="EU799" s="42"/>
      <c r="EV799" s="42"/>
      <c r="EW799" s="42"/>
      <c r="EX799" s="42"/>
      <c r="EY799" s="42"/>
      <c r="EZ799" s="42"/>
      <c r="FA799" s="42"/>
      <c r="FB799" s="42"/>
      <c r="FC799" s="42"/>
      <c r="FD799" s="42"/>
      <c r="FE799" s="42"/>
      <c r="FF799" s="42"/>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row>
    <row r="800" spans="1:256" ht="13.8" x14ac:dyDescent="0.3">
      <c r="A800" s="42"/>
      <c r="B800" s="42"/>
      <c r="C800" s="42"/>
      <c r="D800" s="42"/>
      <c r="E800" s="42"/>
      <c r="F800" s="42"/>
      <c r="G800" s="42"/>
      <c r="H800" s="42"/>
      <c r="I800" s="42"/>
      <c r="J800" s="42"/>
      <c r="K800" s="42"/>
      <c r="L800" s="42"/>
      <c r="M800" s="42"/>
      <c r="N800" s="42"/>
      <c r="O800" s="42"/>
      <c r="P800" s="42"/>
      <c r="Q800" s="42"/>
      <c r="R800" s="42"/>
      <c r="S800" s="42"/>
      <c r="T800" s="42"/>
      <c r="U800" s="194"/>
      <c r="V800" s="42"/>
      <c r="W800" s="42"/>
      <c r="X800" s="42"/>
      <c r="Y800" s="42"/>
      <c r="Z800" s="42"/>
      <c r="AA800" s="42"/>
      <c r="AB800" s="195"/>
      <c r="AC800" s="42"/>
      <c r="AD800" s="42"/>
      <c r="AE800" s="195"/>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c r="BM800" s="42"/>
      <c r="BN800" s="42"/>
      <c r="BO800" s="42"/>
      <c r="BP800" s="42"/>
      <c r="BQ800" s="42"/>
      <c r="BR800" s="42"/>
      <c r="BS800" s="42"/>
      <c r="BT800" s="42"/>
      <c r="BU800" s="42"/>
      <c r="BV800" s="42"/>
      <c r="BW800" s="42"/>
      <c r="BX800" s="42"/>
      <c r="BY800" s="42"/>
      <c r="BZ800" s="42"/>
      <c r="CA800" s="42"/>
      <c r="CB800" s="42"/>
      <c r="CC800" s="42"/>
      <c r="CD800" s="42"/>
      <c r="CE800" s="42"/>
      <c r="CF800" s="42"/>
      <c r="CG800" s="42"/>
      <c r="CH800" s="42"/>
      <c r="CI800" s="42"/>
      <c r="CJ800" s="42"/>
      <c r="CK800" s="42"/>
      <c r="CL800" s="42"/>
      <c r="CM800" s="42"/>
      <c r="CN800" s="42"/>
      <c r="CO800" s="42"/>
      <c r="CP800" s="42"/>
      <c r="CQ800" s="42"/>
      <c r="CR800" s="42"/>
      <c r="CS800" s="42"/>
      <c r="CT800" s="42"/>
      <c r="CU800" s="42"/>
      <c r="CV800" s="42"/>
      <c r="CW800" s="42"/>
      <c r="CX800" s="42"/>
      <c r="CY800" s="42"/>
      <c r="CZ800" s="42"/>
      <c r="DA800" s="42"/>
      <c r="DB800" s="42"/>
      <c r="DC800" s="42"/>
      <c r="DD800" s="42"/>
      <c r="DE800" s="42"/>
      <c r="DF800" s="42"/>
      <c r="DG800" s="42"/>
      <c r="DH800" s="42"/>
      <c r="DI800" s="42"/>
      <c r="DJ800" s="42"/>
      <c r="DK800" s="42"/>
      <c r="DL800" s="42"/>
      <c r="DM800" s="42"/>
      <c r="DN800" s="42"/>
      <c r="DO800" s="42"/>
      <c r="DP800" s="42"/>
      <c r="DQ800" s="42"/>
      <c r="DR800" s="42"/>
      <c r="DS800" s="42"/>
      <c r="DT800" s="42"/>
      <c r="DU800" s="42"/>
      <c r="DV800" s="42"/>
      <c r="DW800" s="42"/>
      <c r="DX800" s="42"/>
      <c r="DY800" s="42"/>
      <c r="DZ800" s="42"/>
      <c r="EA800" s="42"/>
      <c r="EB800" s="42"/>
      <c r="EC800" s="42"/>
      <c r="ED800" s="42"/>
      <c r="EE800" s="42"/>
      <c r="EF800" s="42"/>
      <c r="EG800" s="42"/>
      <c r="EH800" s="42"/>
      <c r="EI800" s="42"/>
      <c r="EJ800" s="42"/>
      <c r="EK800" s="42"/>
      <c r="EL800" s="42"/>
      <c r="EM800" s="42"/>
      <c r="EN800" s="42"/>
      <c r="EO800" s="42"/>
      <c r="EP800" s="42"/>
      <c r="EQ800" s="42"/>
      <c r="ER800" s="42"/>
      <c r="ES800" s="42"/>
      <c r="ET800" s="42"/>
      <c r="EU800" s="42"/>
      <c r="EV800" s="42"/>
      <c r="EW800" s="42"/>
      <c r="EX800" s="42"/>
      <c r="EY800" s="42"/>
      <c r="EZ800" s="42"/>
      <c r="FA800" s="42"/>
      <c r="FB800" s="42"/>
      <c r="FC800" s="42"/>
      <c r="FD800" s="42"/>
      <c r="FE800" s="42"/>
      <c r="FF800" s="42"/>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row>
    <row r="801" spans="1:256" ht="13.8" x14ac:dyDescent="0.3">
      <c r="A801" s="42"/>
      <c r="B801" s="42"/>
      <c r="C801" s="42"/>
      <c r="D801" s="42"/>
      <c r="E801" s="42"/>
      <c r="F801" s="42"/>
      <c r="G801" s="42"/>
      <c r="H801" s="42"/>
      <c r="I801" s="42"/>
      <c r="J801" s="42"/>
      <c r="K801" s="42"/>
      <c r="L801" s="42"/>
      <c r="M801" s="42"/>
      <c r="N801" s="42"/>
      <c r="O801" s="42"/>
      <c r="P801" s="42"/>
      <c r="Q801" s="42"/>
      <c r="R801" s="42"/>
      <c r="S801" s="42"/>
      <c r="T801" s="42"/>
      <c r="U801" s="194"/>
      <c r="V801" s="42"/>
      <c r="W801" s="42"/>
      <c r="X801" s="42"/>
      <c r="Y801" s="42"/>
      <c r="Z801" s="42"/>
      <c r="AA801" s="42"/>
      <c r="AB801" s="195"/>
      <c r="AC801" s="42"/>
      <c r="AD801" s="42"/>
      <c r="AE801" s="195"/>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c r="BM801" s="42"/>
      <c r="BN801" s="42"/>
      <c r="BO801" s="42"/>
      <c r="BP801" s="42"/>
      <c r="BQ801" s="42"/>
      <c r="BR801" s="42"/>
      <c r="BS801" s="42"/>
      <c r="BT801" s="42"/>
      <c r="BU801" s="42"/>
      <c r="BV801" s="42"/>
      <c r="BW801" s="42"/>
      <c r="BX801" s="42"/>
      <c r="BY801" s="42"/>
      <c r="BZ801" s="42"/>
      <c r="CA801" s="42"/>
      <c r="CB801" s="42"/>
      <c r="CC801" s="42"/>
      <c r="CD801" s="42"/>
      <c r="CE801" s="42"/>
      <c r="CF801" s="42"/>
      <c r="CG801" s="42"/>
      <c r="CH801" s="42"/>
      <c r="CI801" s="42"/>
      <c r="CJ801" s="42"/>
      <c r="CK801" s="42"/>
      <c r="CL801" s="42"/>
      <c r="CM801" s="42"/>
      <c r="CN801" s="42"/>
      <c r="CO801" s="42"/>
      <c r="CP801" s="42"/>
      <c r="CQ801" s="42"/>
      <c r="CR801" s="42"/>
      <c r="CS801" s="42"/>
      <c r="CT801" s="42"/>
      <c r="CU801" s="42"/>
      <c r="CV801" s="42"/>
      <c r="CW801" s="42"/>
      <c r="CX801" s="42"/>
      <c r="CY801" s="42"/>
      <c r="CZ801" s="42"/>
      <c r="DA801" s="42"/>
      <c r="DB801" s="42"/>
      <c r="DC801" s="42"/>
      <c r="DD801" s="42"/>
      <c r="DE801" s="42"/>
      <c r="DF801" s="42"/>
      <c r="DG801" s="42"/>
      <c r="DH801" s="42"/>
      <c r="DI801" s="42"/>
      <c r="DJ801" s="42"/>
      <c r="DK801" s="42"/>
      <c r="DL801" s="42"/>
      <c r="DM801" s="42"/>
      <c r="DN801" s="42"/>
      <c r="DO801" s="42"/>
      <c r="DP801" s="42"/>
      <c r="DQ801" s="42"/>
      <c r="DR801" s="42"/>
      <c r="DS801" s="42"/>
      <c r="DT801" s="42"/>
      <c r="DU801" s="42"/>
      <c r="DV801" s="42"/>
      <c r="DW801" s="42"/>
      <c r="DX801" s="42"/>
      <c r="DY801" s="42"/>
      <c r="DZ801" s="42"/>
      <c r="EA801" s="42"/>
      <c r="EB801" s="42"/>
      <c r="EC801" s="42"/>
      <c r="ED801" s="42"/>
      <c r="EE801" s="42"/>
      <c r="EF801" s="42"/>
      <c r="EG801" s="42"/>
      <c r="EH801" s="42"/>
      <c r="EI801" s="42"/>
      <c r="EJ801" s="42"/>
      <c r="EK801" s="42"/>
      <c r="EL801" s="42"/>
      <c r="EM801" s="42"/>
      <c r="EN801" s="42"/>
      <c r="EO801" s="42"/>
      <c r="EP801" s="42"/>
      <c r="EQ801" s="42"/>
      <c r="ER801" s="42"/>
      <c r="ES801" s="42"/>
      <c r="ET801" s="42"/>
      <c r="EU801" s="42"/>
      <c r="EV801" s="42"/>
      <c r="EW801" s="42"/>
      <c r="EX801" s="42"/>
      <c r="EY801" s="42"/>
      <c r="EZ801" s="42"/>
      <c r="FA801" s="42"/>
      <c r="FB801" s="42"/>
      <c r="FC801" s="42"/>
      <c r="FD801" s="42"/>
      <c r="FE801" s="42"/>
      <c r="FF801" s="42"/>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row>
    <row r="802" spans="1:256" ht="13.8" x14ac:dyDescent="0.3">
      <c r="A802" s="42"/>
      <c r="B802" s="42"/>
      <c r="C802" s="42"/>
      <c r="D802" s="42"/>
      <c r="E802" s="42"/>
      <c r="F802" s="42"/>
      <c r="G802" s="42"/>
      <c r="H802" s="42"/>
      <c r="I802" s="42"/>
      <c r="J802" s="42"/>
      <c r="K802" s="42"/>
      <c r="L802" s="42"/>
      <c r="M802" s="42"/>
      <c r="N802" s="42"/>
      <c r="O802" s="42"/>
      <c r="P802" s="42"/>
      <c r="Q802" s="42"/>
      <c r="R802" s="42"/>
      <c r="S802" s="42"/>
      <c r="T802" s="42"/>
      <c r="U802" s="194"/>
      <c r="V802" s="42"/>
      <c r="W802" s="42"/>
      <c r="X802" s="42"/>
      <c r="Y802" s="42"/>
      <c r="Z802" s="42"/>
      <c r="AA802" s="42"/>
      <c r="AB802" s="195"/>
      <c r="AC802" s="42"/>
      <c r="AD802" s="42"/>
      <c r="AE802" s="195"/>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c r="BM802" s="42"/>
      <c r="BN802" s="42"/>
      <c r="BO802" s="42"/>
      <c r="BP802" s="42"/>
      <c r="BQ802" s="42"/>
      <c r="BR802" s="42"/>
      <c r="BS802" s="42"/>
      <c r="BT802" s="42"/>
      <c r="BU802" s="42"/>
      <c r="BV802" s="42"/>
      <c r="BW802" s="42"/>
      <c r="BX802" s="42"/>
      <c r="BY802" s="42"/>
      <c r="BZ802" s="42"/>
      <c r="CA802" s="42"/>
      <c r="CB802" s="42"/>
      <c r="CC802" s="42"/>
      <c r="CD802" s="42"/>
      <c r="CE802" s="42"/>
      <c r="CF802" s="42"/>
      <c r="CG802" s="42"/>
      <c r="CH802" s="42"/>
      <c r="CI802" s="42"/>
      <c r="CJ802" s="42"/>
      <c r="CK802" s="42"/>
      <c r="CL802" s="42"/>
      <c r="CM802" s="42"/>
      <c r="CN802" s="42"/>
      <c r="CO802" s="42"/>
      <c r="CP802" s="42"/>
      <c r="CQ802" s="42"/>
      <c r="CR802" s="42"/>
      <c r="CS802" s="42"/>
      <c r="CT802" s="42"/>
      <c r="CU802" s="42"/>
      <c r="CV802" s="42"/>
      <c r="CW802" s="42"/>
      <c r="CX802" s="42"/>
      <c r="CY802" s="42"/>
      <c r="CZ802" s="42"/>
      <c r="DA802" s="42"/>
      <c r="DB802" s="42"/>
      <c r="DC802" s="42"/>
      <c r="DD802" s="42"/>
      <c r="DE802" s="42"/>
      <c r="DF802" s="42"/>
      <c r="DG802" s="42"/>
      <c r="DH802" s="42"/>
      <c r="DI802" s="42"/>
      <c r="DJ802" s="42"/>
      <c r="DK802" s="42"/>
      <c r="DL802" s="42"/>
      <c r="DM802" s="42"/>
      <c r="DN802" s="42"/>
      <c r="DO802" s="42"/>
      <c r="DP802" s="42"/>
      <c r="DQ802" s="42"/>
      <c r="DR802" s="42"/>
      <c r="DS802" s="42"/>
      <c r="DT802" s="42"/>
      <c r="DU802" s="42"/>
      <c r="DV802" s="42"/>
      <c r="DW802" s="42"/>
      <c r="DX802" s="42"/>
      <c r="DY802" s="42"/>
      <c r="DZ802" s="42"/>
      <c r="EA802" s="42"/>
      <c r="EB802" s="42"/>
      <c r="EC802" s="42"/>
      <c r="ED802" s="42"/>
      <c r="EE802" s="42"/>
      <c r="EF802" s="42"/>
      <c r="EG802" s="42"/>
      <c r="EH802" s="42"/>
      <c r="EI802" s="42"/>
      <c r="EJ802" s="42"/>
      <c r="EK802" s="42"/>
      <c r="EL802" s="42"/>
      <c r="EM802" s="42"/>
      <c r="EN802" s="42"/>
      <c r="EO802" s="42"/>
      <c r="EP802" s="42"/>
      <c r="EQ802" s="42"/>
      <c r="ER802" s="42"/>
      <c r="ES802" s="42"/>
      <c r="ET802" s="42"/>
      <c r="EU802" s="42"/>
      <c r="EV802" s="42"/>
      <c r="EW802" s="42"/>
      <c r="EX802" s="42"/>
      <c r="EY802" s="42"/>
      <c r="EZ802" s="42"/>
      <c r="FA802" s="42"/>
      <c r="FB802" s="42"/>
      <c r="FC802" s="42"/>
      <c r="FD802" s="42"/>
      <c r="FE802" s="42"/>
      <c r="FF802" s="42"/>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row>
    <row r="803" spans="1:256" ht="13.8" x14ac:dyDescent="0.3">
      <c r="A803" s="42"/>
      <c r="B803" s="42"/>
      <c r="C803" s="42"/>
      <c r="D803" s="42"/>
      <c r="E803" s="42"/>
      <c r="F803" s="42"/>
      <c r="G803" s="42"/>
      <c r="H803" s="42"/>
      <c r="I803" s="42"/>
      <c r="J803" s="42"/>
      <c r="K803" s="42"/>
      <c r="L803" s="42"/>
      <c r="M803" s="42"/>
      <c r="N803" s="42"/>
      <c r="O803" s="42"/>
      <c r="P803" s="42"/>
      <c r="Q803" s="42"/>
      <c r="R803" s="42"/>
      <c r="S803" s="42"/>
      <c r="T803" s="42"/>
      <c r="U803" s="194"/>
      <c r="V803" s="42"/>
      <c r="W803" s="42"/>
      <c r="X803" s="42"/>
      <c r="Y803" s="42"/>
      <c r="Z803" s="42"/>
      <c r="AA803" s="42"/>
      <c r="AB803" s="195"/>
      <c r="AC803" s="42"/>
      <c r="AD803" s="42"/>
      <c r="AE803" s="195"/>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c r="BM803" s="42"/>
      <c r="BN803" s="42"/>
      <c r="BO803" s="42"/>
      <c r="BP803" s="42"/>
      <c r="BQ803" s="42"/>
      <c r="BR803" s="42"/>
      <c r="BS803" s="42"/>
      <c r="BT803" s="42"/>
      <c r="BU803" s="42"/>
      <c r="BV803" s="42"/>
      <c r="BW803" s="42"/>
      <c r="BX803" s="42"/>
      <c r="BY803" s="42"/>
      <c r="BZ803" s="42"/>
      <c r="CA803" s="42"/>
      <c r="CB803" s="42"/>
      <c r="CC803" s="42"/>
      <c r="CD803" s="42"/>
      <c r="CE803" s="42"/>
      <c r="CF803" s="42"/>
      <c r="CG803" s="42"/>
      <c r="CH803" s="42"/>
      <c r="CI803" s="42"/>
      <c r="CJ803" s="42"/>
      <c r="CK803" s="42"/>
      <c r="CL803" s="42"/>
      <c r="CM803" s="42"/>
      <c r="CN803" s="42"/>
      <c r="CO803" s="42"/>
      <c r="CP803" s="42"/>
      <c r="CQ803" s="42"/>
      <c r="CR803" s="42"/>
      <c r="CS803" s="42"/>
      <c r="CT803" s="42"/>
      <c r="CU803" s="42"/>
      <c r="CV803" s="42"/>
      <c r="CW803" s="42"/>
      <c r="CX803" s="42"/>
      <c r="CY803" s="42"/>
      <c r="CZ803" s="42"/>
      <c r="DA803" s="42"/>
      <c r="DB803" s="42"/>
      <c r="DC803" s="42"/>
      <c r="DD803" s="42"/>
      <c r="DE803" s="42"/>
      <c r="DF803" s="42"/>
      <c r="DG803" s="42"/>
      <c r="DH803" s="42"/>
      <c r="DI803" s="42"/>
      <c r="DJ803" s="42"/>
      <c r="DK803" s="42"/>
      <c r="DL803" s="42"/>
      <c r="DM803" s="42"/>
      <c r="DN803" s="42"/>
      <c r="DO803" s="42"/>
      <c r="DP803" s="42"/>
      <c r="DQ803" s="42"/>
      <c r="DR803" s="42"/>
      <c r="DS803" s="42"/>
      <c r="DT803" s="42"/>
      <c r="DU803" s="42"/>
      <c r="DV803" s="42"/>
      <c r="DW803" s="42"/>
      <c r="DX803" s="42"/>
      <c r="DY803" s="42"/>
      <c r="DZ803" s="42"/>
      <c r="EA803" s="42"/>
      <c r="EB803" s="42"/>
      <c r="EC803" s="42"/>
      <c r="ED803" s="42"/>
      <c r="EE803" s="42"/>
      <c r="EF803" s="42"/>
      <c r="EG803" s="42"/>
      <c r="EH803" s="42"/>
      <c r="EI803" s="42"/>
      <c r="EJ803" s="42"/>
      <c r="EK803" s="42"/>
      <c r="EL803" s="42"/>
      <c r="EM803" s="42"/>
      <c r="EN803" s="42"/>
      <c r="EO803" s="42"/>
      <c r="EP803" s="42"/>
      <c r="EQ803" s="42"/>
      <c r="ER803" s="42"/>
      <c r="ES803" s="42"/>
      <c r="ET803" s="42"/>
      <c r="EU803" s="42"/>
      <c r="EV803" s="42"/>
      <c r="EW803" s="42"/>
      <c r="EX803" s="42"/>
      <c r="EY803" s="42"/>
      <c r="EZ803" s="42"/>
      <c r="FA803" s="42"/>
      <c r="FB803" s="42"/>
      <c r="FC803" s="42"/>
      <c r="FD803" s="42"/>
      <c r="FE803" s="42"/>
      <c r="FF803" s="42"/>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row>
    <row r="804" spans="1:256" ht="13.8" x14ac:dyDescent="0.3">
      <c r="A804" s="42"/>
      <c r="B804" s="42"/>
      <c r="C804" s="42"/>
      <c r="D804" s="42"/>
      <c r="E804" s="42"/>
      <c r="F804" s="42"/>
      <c r="G804" s="42"/>
      <c r="H804" s="42"/>
      <c r="I804" s="42"/>
      <c r="J804" s="42"/>
      <c r="K804" s="42"/>
      <c r="L804" s="42"/>
      <c r="M804" s="42"/>
      <c r="N804" s="42"/>
      <c r="O804" s="42"/>
      <c r="P804" s="42"/>
      <c r="Q804" s="42"/>
      <c r="R804" s="42"/>
      <c r="S804" s="42"/>
      <c r="T804" s="42"/>
      <c r="U804" s="194"/>
      <c r="V804" s="42"/>
      <c r="W804" s="42"/>
      <c r="X804" s="42"/>
      <c r="Y804" s="42"/>
      <c r="Z804" s="42"/>
      <c r="AA804" s="42"/>
      <c r="AB804" s="195"/>
      <c r="AC804" s="42"/>
      <c r="AD804" s="42"/>
      <c r="AE804" s="195"/>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c r="BM804" s="42"/>
      <c r="BN804" s="42"/>
      <c r="BO804" s="42"/>
      <c r="BP804" s="42"/>
      <c r="BQ804" s="42"/>
      <c r="BR804" s="42"/>
      <c r="BS804" s="42"/>
      <c r="BT804" s="42"/>
      <c r="BU804" s="42"/>
      <c r="BV804" s="42"/>
      <c r="BW804" s="42"/>
      <c r="BX804" s="42"/>
      <c r="BY804" s="42"/>
      <c r="BZ804" s="42"/>
      <c r="CA804" s="42"/>
      <c r="CB804" s="42"/>
      <c r="CC804" s="42"/>
      <c r="CD804" s="42"/>
      <c r="CE804" s="42"/>
      <c r="CF804" s="42"/>
      <c r="CG804" s="42"/>
      <c r="CH804" s="42"/>
      <c r="CI804" s="42"/>
      <c r="CJ804" s="42"/>
      <c r="CK804" s="42"/>
      <c r="CL804" s="42"/>
      <c r="CM804" s="42"/>
      <c r="CN804" s="42"/>
      <c r="CO804" s="42"/>
      <c r="CP804" s="42"/>
      <c r="CQ804" s="42"/>
      <c r="CR804" s="42"/>
      <c r="CS804" s="42"/>
      <c r="CT804" s="42"/>
      <c r="CU804" s="42"/>
      <c r="CV804" s="42"/>
      <c r="CW804" s="42"/>
      <c r="CX804" s="42"/>
      <c r="CY804" s="42"/>
      <c r="CZ804" s="42"/>
      <c r="DA804" s="42"/>
      <c r="DB804" s="42"/>
      <c r="DC804" s="42"/>
      <c r="DD804" s="42"/>
      <c r="DE804" s="42"/>
      <c r="DF804" s="42"/>
      <c r="DG804" s="42"/>
      <c r="DH804" s="42"/>
      <c r="DI804" s="42"/>
      <c r="DJ804" s="42"/>
      <c r="DK804" s="42"/>
      <c r="DL804" s="42"/>
      <c r="DM804" s="42"/>
      <c r="DN804" s="42"/>
      <c r="DO804" s="42"/>
      <c r="DP804" s="42"/>
      <c r="DQ804" s="42"/>
      <c r="DR804" s="42"/>
      <c r="DS804" s="42"/>
      <c r="DT804" s="42"/>
      <c r="DU804" s="42"/>
      <c r="DV804" s="42"/>
      <c r="DW804" s="42"/>
      <c r="DX804" s="42"/>
      <c r="DY804" s="42"/>
      <c r="DZ804" s="42"/>
      <c r="EA804" s="42"/>
      <c r="EB804" s="42"/>
      <c r="EC804" s="42"/>
      <c r="ED804" s="42"/>
      <c r="EE804" s="42"/>
      <c r="EF804" s="42"/>
      <c r="EG804" s="42"/>
      <c r="EH804" s="42"/>
      <c r="EI804" s="42"/>
      <c r="EJ804" s="42"/>
      <c r="EK804" s="42"/>
      <c r="EL804" s="42"/>
      <c r="EM804" s="42"/>
      <c r="EN804" s="42"/>
      <c r="EO804" s="42"/>
      <c r="EP804" s="42"/>
      <c r="EQ804" s="42"/>
      <c r="ER804" s="42"/>
      <c r="ES804" s="42"/>
      <c r="ET804" s="42"/>
      <c r="EU804" s="42"/>
      <c r="EV804" s="42"/>
      <c r="EW804" s="42"/>
      <c r="EX804" s="42"/>
      <c r="EY804" s="42"/>
      <c r="EZ804" s="42"/>
      <c r="FA804" s="42"/>
      <c r="FB804" s="42"/>
      <c r="FC804" s="42"/>
      <c r="FD804" s="42"/>
      <c r="FE804" s="42"/>
      <c r="FF804" s="42"/>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row>
    <row r="805" spans="1:256" ht="13.8" x14ac:dyDescent="0.3">
      <c r="A805" s="42"/>
      <c r="B805" s="42"/>
      <c r="C805" s="42"/>
      <c r="D805" s="42"/>
      <c r="E805" s="42"/>
      <c r="F805" s="42"/>
      <c r="G805" s="42"/>
      <c r="H805" s="42"/>
      <c r="I805" s="42"/>
      <c r="J805" s="42"/>
      <c r="K805" s="42"/>
      <c r="L805" s="42"/>
      <c r="M805" s="42"/>
      <c r="N805" s="42"/>
      <c r="O805" s="42"/>
      <c r="P805" s="42"/>
      <c r="Q805" s="42"/>
      <c r="R805" s="42"/>
      <c r="S805" s="42"/>
      <c r="T805" s="42"/>
      <c r="U805" s="194"/>
      <c r="V805" s="42"/>
      <c r="W805" s="42"/>
      <c r="X805" s="42"/>
      <c r="Y805" s="42"/>
      <c r="Z805" s="42"/>
      <c r="AA805" s="42"/>
      <c r="AB805" s="195"/>
      <c r="AC805" s="42"/>
      <c r="AD805" s="42"/>
      <c r="AE805" s="195"/>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c r="BM805" s="42"/>
      <c r="BN805" s="42"/>
      <c r="BO805" s="42"/>
      <c r="BP805" s="42"/>
      <c r="BQ805" s="42"/>
      <c r="BR805" s="42"/>
      <c r="BS805" s="42"/>
      <c r="BT805" s="42"/>
      <c r="BU805" s="42"/>
      <c r="BV805" s="42"/>
      <c r="BW805" s="42"/>
      <c r="BX805" s="42"/>
      <c r="BY805" s="42"/>
      <c r="BZ805" s="42"/>
      <c r="CA805" s="42"/>
      <c r="CB805" s="42"/>
      <c r="CC805" s="42"/>
      <c r="CD805" s="42"/>
      <c r="CE805" s="42"/>
      <c r="CF805" s="42"/>
      <c r="CG805" s="42"/>
      <c r="CH805" s="42"/>
      <c r="CI805" s="42"/>
      <c r="CJ805" s="42"/>
      <c r="CK805" s="42"/>
      <c r="CL805" s="42"/>
      <c r="CM805" s="42"/>
      <c r="CN805" s="42"/>
      <c r="CO805" s="42"/>
      <c r="CP805" s="42"/>
      <c r="CQ805" s="42"/>
      <c r="CR805" s="42"/>
      <c r="CS805" s="42"/>
      <c r="CT805" s="42"/>
      <c r="CU805" s="42"/>
      <c r="CV805" s="42"/>
      <c r="CW805" s="42"/>
      <c r="CX805" s="42"/>
      <c r="CY805" s="42"/>
      <c r="CZ805" s="42"/>
      <c r="DA805" s="42"/>
      <c r="DB805" s="42"/>
      <c r="DC805" s="42"/>
      <c r="DD805" s="42"/>
      <c r="DE805" s="42"/>
      <c r="DF805" s="42"/>
      <c r="DG805" s="42"/>
      <c r="DH805" s="42"/>
      <c r="DI805" s="42"/>
      <c r="DJ805" s="42"/>
      <c r="DK805" s="42"/>
      <c r="DL805" s="42"/>
      <c r="DM805" s="42"/>
      <c r="DN805" s="42"/>
      <c r="DO805" s="42"/>
      <c r="DP805" s="42"/>
      <c r="DQ805" s="42"/>
      <c r="DR805" s="42"/>
      <c r="DS805" s="42"/>
      <c r="DT805" s="42"/>
      <c r="DU805" s="42"/>
      <c r="DV805" s="42"/>
      <c r="DW805" s="42"/>
      <c r="DX805" s="42"/>
      <c r="DY805" s="42"/>
      <c r="DZ805" s="42"/>
      <c r="EA805" s="42"/>
      <c r="EB805" s="42"/>
      <c r="EC805" s="42"/>
      <c r="ED805" s="42"/>
      <c r="EE805" s="42"/>
      <c r="EF805" s="42"/>
      <c r="EG805" s="42"/>
      <c r="EH805" s="42"/>
      <c r="EI805" s="42"/>
      <c r="EJ805" s="42"/>
      <c r="EK805" s="42"/>
      <c r="EL805" s="42"/>
      <c r="EM805" s="42"/>
      <c r="EN805" s="42"/>
      <c r="EO805" s="42"/>
      <c r="EP805" s="42"/>
      <c r="EQ805" s="42"/>
      <c r="ER805" s="42"/>
      <c r="ES805" s="42"/>
      <c r="ET805" s="42"/>
      <c r="EU805" s="42"/>
      <c r="EV805" s="42"/>
      <c r="EW805" s="42"/>
      <c r="EX805" s="42"/>
      <c r="EY805" s="42"/>
      <c r="EZ805" s="42"/>
      <c r="FA805" s="42"/>
      <c r="FB805" s="42"/>
      <c r="FC805" s="42"/>
      <c r="FD805" s="42"/>
      <c r="FE805" s="42"/>
      <c r="FF805" s="42"/>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row>
    <row r="806" spans="1:256" ht="13.8" x14ac:dyDescent="0.3">
      <c r="A806" s="42"/>
      <c r="B806" s="42"/>
      <c r="C806" s="42"/>
      <c r="D806" s="42"/>
      <c r="E806" s="42"/>
      <c r="F806" s="42"/>
      <c r="G806" s="42"/>
      <c r="H806" s="42"/>
      <c r="I806" s="42"/>
      <c r="J806" s="42"/>
      <c r="K806" s="42"/>
      <c r="L806" s="42"/>
      <c r="M806" s="42"/>
      <c r="N806" s="42"/>
      <c r="O806" s="42"/>
      <c r="P806" s="42"/>
      <c r="Q806" s="42"/>
      <c r="R806" s="42"/>
      <c r="S806" s="42"/>
      <c r="T806" s="42"/>
      <c r="U806" s="194"/>
      <c r="V806" s="42"/>
      <c r="W806" s="42"/>
      <c r="X806" s="42"/>
      <c r="Y806" s="42"/>
      <c r="Z806" s="42"/>
      <c r="AA806" s="42"/>
      <c r="AB806" s="195"/>
      <c r="AC806" s="42"/>
      <c r="AD806" s="42"/>
      <c r="AE806" s="195"/>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c r="BM806" s="42"/>
      <c r="BN806" s="42"/>
      <c r="BO806" s="42"/>
      <c r="BP806" s="42"/>
      <c r="BQ806" s="42"/>
      <c r="BR806" s="42"/>
      <c r="BS806" s="42"/>
      <c r="BT806" s="42"/>
      <c r="BU806" s="42"/>
      <c r="BV806" s="42"/>
      <c r="BW806" s="42"/>
      <c r="BX806" s="42"/>
      <c r="BY806" s="42"/>
      <c r="BZ806" s="42"/>
      <c r="CA806" s="42"/>
      <c r="CB806" s="42"/>
      <c r="CC806" s="42"/>
      <c r="CD806" s="42"/>
      <c r="CE806" s="42"/>
      <c r="CF806" s="42"/>
      <c r="CG806" s="42"/>
      <c r="CH806" s="42"/>
      <c r="CI806" s="42"/>
      <c r="CJ806" s="42"/>
      <c r="CK806" s="42"/>
      <c r="CL806" s="42"/>
      <c r="CM806" s="42"/>
      <c r="CN806" s="42"/>
      <c r="CO806" s="42"/>
      <c r="CP806" s="42"/>
      <c r="CQ806" s="42"/>
      <c r="CR806" s="42"/>
      <c r="CS806" s="42"/>
      <c r="CT806" s="42"/>
      <c r="CU806" s="42"/>
      <c r="CV806" s="42"/>
      <c r="CW806" s="42"/>
      <c r="CX806" s="42"/>
      <c r="CY806" s="42"/>
      <c r="CZ806" s="42"/>
      <c r="DA806" s="42"/>
      <c r="DB806" s="42"/>
      <c r="DC806" s="42"/>
      <c r="DD806" s="42"/>
      <c r="DE806" s="42"/>
      <c r="DF806" s="42"/>
      <c r="DG806" s="42"/>
      <c r="DH806" s="42"/>
      <c r="DI806" s="42"/>
      <c r="DJ806" s="42"/>
      <c r="DK806" s="42"/>
      <c r="DL806" s="42"/>
      <c r="DM806" s="42"/>
      <c r="DN806" s="42"/>
      <c r="DO806" s="42"/>
      <c r="DP806" s="42"/>
      <c r="DQ806" s="42"/>
      <c r="DR806" s="42"/>
      <c r="DS806" s="42"/>
      <c r="DT806" s="42"/>
      <c r="DU806" s="42"/>
      <c r="DV806" s="42"/>
      <c r="DW806" s="42"/>
      <c r="DX806" s="42"/>
      <c r="DY806" s="42"/>
      <c r="DZ806" s="42"/>
      <c r="EA806" s="42"/>
      <c r="EB806" s="42"/>
      <c r="EC806" s="42"/>
      <c r="ED806" s="42"/>
      <c r="EE806" s="42"/>
      <c r="EF806" s="42"/>
      <c r="EG806" s="42"/>
      <c r="EH806" s="42"/>
      <c r="EI806" s="42"/>
      <c r="EJ806" s="42"/>
      <c r="EK806" s="42"/>
      <c r="EL806" s="42"/>
      <c r="EM806" s="42"/>
      <c r="EN806" s="42"/>
      <c r="EO806" s="42"/>
      <c r="EP806" s="42"/>
      <c r="EQ806" s="42"/>
      <c r="ER806" s="42"/>
      <c r="ES806" s="42"/>
      <c r="ET806" s="42"/>
      <c r="EU806" s="42"/>
      <c r="EV806" s="42"/>
      <c r="EW806" s="42"/>
      <c r="EX806" s="42"/>
      <c r="EY806" s="42"/>
      <c r="EZ806" s="42"/>
      <c r="FA806" s="42"/>
      <c r="FB806" s="42"/>
      <c r="FC806" s="42"/>
      <c r="FD806" s="42"/>
      <c r="FE806" s="42"/>
      <c r="FF806" s="42"/>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row>
    <row r="807" spans="1:256" ht="13.8" x14ac:dyDescent="0.3">
      <c r="A807" s="42"/>
      <c r="B807" s="42"/>
      <c r="C807" s="42"/>
      <c r="D807" s="42"/>
      <c r="E807" s="42"/>
      <c r="F807" s="42"/>
      <c r="G807" s="42"/>
      <c r="H807" s="42"/>
      <c r="I807" s="42"/>
      <c r="J807" s="42"/>
      <c r="K807" s="42"/>
      <c r="L807" s="42"/>
      <c r="M807" s="42"/>
      <c r="N807" s="42"/>
      <c r="O807" s="42"/>
      <c r="P807" s="42"/>
      <c r="Q807" s="42"/>
      <c r="R807" s="42"/>
      <c r="S807" s="42"/>
      <c r="T807" s="42"/>
      <c r="U807" s="194"/>
      <c r="V807" s="42"/>
      <c r="W807" s="42"/>
      <c r="X807" s="42"/>
      <c r="Y807" s="42"/>
      <c r="Z807" s="42"/>
      <c r="AA807" s="42"/>
      <c r="AB807" s="195"/>
      <c r="AC807" s="42"/>
      <c r="AD807" s="42"/>
      <c r="AE807" s="195"/>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c r="BM807" s="42"/>
      <c r="BN807" s="42"/>
      <c r="BO807" s="42"/>
      <c r="BP807" s="42"/>
      <c r="BQ807" s="42"/>
      <c r="BR807" s="42"/>
      <c r="BS807" s="42"/>
      <c r="BT807" s="42"/>
      <c r="BU807" s="42"/>
      <c r="BV807" s="42"/>
      <c r="BW807" s="42"/>
      <c r="BX807" s="42"/>
      <c r="BY807" s="42"/>
      <c r="BZ807" s="42"/>
      <c r="CA807" s="42"/>
      <c r="CB807" s="42"/>
      <c r="CC807" s="42"/>
      <c r="CD807" s="42"/>
      <c r="CE807" s="42"/>
      <c r="CF807" s="42"/>
      <c r="CG807" s="42"/>
      <c r="CH807" s="42"/>
      <c r="CI807" s="42"/>
      <c r="CJ807" s="42"/>
      <c r="CK807" s="42"/>
      <c r="CL807" s="42"/>
      <c r="CM807" s="42"/>
      <c r="CN807" s="42"/>
      <c r="CO807" s="42"/>
      <c r="CP807" s="42"/>
      <c r="CQ807" s="42"/>
      <c r="CR807" s="42"/>
      <c r="CS807" s="42"/>
      <c r="CT807" s="42"/>
      <c r="CU807" s="42"/>
      <c r="CV807" s="42"/>
      <c r="CW807" s="42"/>
      <c r="CX807" s="42"/>
      <c r="CY807" s="42"/>
      <c r="CZ807" s="42"/>
      <c r="DA807" s="42"/>
      <c r="DB807" s="42"/>
      <c r="DC807" s="42"/>
      <c r="DD807" s="42"/>
      <c r="DE807" s="42"/>
      <c r="DF807" s="42"/>
      <c r="DG807" s="42"/>
      <c r="DH807" s="42"/>
      <c r="DI807" s="42"/>
      <c r="DJ807" s="42"/>
      <c r="DK807" s="42"/>
      <c r="DL807" s="42"/>
      <c r="DM807" s="42"/>
      <c r="DN807" s="42"/>
      <c r="DO807" s="42"/>
      <c r="DP807" s="42"/>
      <c r="DQ807" s="42"/>
      <c r="DR807" s="42"/>
      <c r="DS807" s="42"/>
      <c r="DT807" s="42"/>
      <c r="DU807" s="42"/>
      <c r="DV807" s="42"/>
      <c r="DW807" s="42"/>
      <c r="DX807" s="42"/>
      <c r="DY807" s="42"/>
      <c r="DZ807" s="42"/>
      <c r="EA807" s="42"/>
      <c r="EB807" s="42"/>
      <c r="EC807" s="42"/>
      <c r="ED807" s="42"/>
      <c r="EE807" s="42"/>
      <c r="EF807" s="42"/>
      <c r="EG807" s="42"/>
      <c r="EH807" s="42"/>
      <c r="EI807" s="42"/>
      <c r="EJ807" s="42"/>
      <c r="EK807" s="42"/>
      <c r="EL807" s="42"/>
      <c r="EM807" s="42"/>
      <c r="EN807" s="42"/>
      <c r="EO807" s="42"/>
      <c r="EP807" s="42"/>
      <c r="EQ807" s="42"/>
      <c r="ER807" s="42"/>
      <c r="ES807" s="42"/>
      <c r="ET807" s="42"/>
      <c r="EU807" s="42"/>
      <c r="EV807" s="42"/>
      <c r="EW807" s="42"/>
      <c r="EX807" s="42"/>
      <c r="EY807" s="42"/>
      <c r="EZ807" s="42"/>
      <c r="FA807" s="42"/>
      <c r="FB807" s="42"/>
      <c r="FC807" s="42"/>
      <c r="FD807" s="42"/>
      <c r="FE807" s="42"/>
      <c r="FF807" s="42"/>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row>
    <row r="808" spans="1:256" ht="13.8" x14ac:dyDescent="0.3">
      <c r="A808" s="42"/>
      <c r="B808" s="42"/>
      <c r="C808" s="42"/>
      <c r="D808" s="42"/>
      <c r="E808" s="42"/>
      <c r="F808" s="42"/>
      <c r="G808" s="42"/>
      <c r="H808" s="42"/>
      <c r="I808" s="42"/>
      <c r="J808" s="42"/>
      <c r="K808" s="42"/>
      <c r="L808" s="42"/>
      <c r="M808" s="42"/>
      <c r="N808" s="42"/>
      <c r="O808" s="42"/>
      <c r="P808" s="42"/>
      <c r="Q808" s="42"/>
      <c r="R808" s="42"/>
      <c r="S808" s="42"/>
      <c r="T808" s="42"/>
      <c r="U808" s="194"/>
      <c r="V808" s="42"/>
      <c r="W808" s="42"/>
      <c r="X808" s="42"/>
      <c r="Y808" s="42"/>
      <c r="Z808" s="42"/>
      <c r="AA808" s="42"/>
      <c r="AB808" s="195"/>
      <c r="AC808" s="42"/>
      <c r="AD808" s="42"/>
      <c r="AE808" s="195"/>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c r="BM808" s="42"/>
      <c r="BN808" s="42"/>
      <c r="BO808" s="42"/>
      <c r="BP808" s="42"/>
      <c r="BQ808" s="42"/>
      <c r="BR808" s="42"/>
      <c r="BS808" s="42"/>
      <c r="BT808" s="42"/>
      <c r="BU808" s="42"/>
      <c r="BV808" s="42"/>
      <c r="BW808" s="42"/>
      <c r="BX808" s="42"/>
      <c r="BY808" s="42"/>
      <c r="BZ808" s="42"/>
      <c r="CA808" s="42"/>
      <c r="CB808" s="42"/>
      <c r="CC808" s="42"/>
      <c r="CD808" s="42"/>
      <c r="CE808" s="42"/>
      <c r="CF808" s="42"/>
      <c r="CG808" s="42"/>
      <c r="CH808" s="42"/>
      <c r="CI808" s="42"/>
      <c r="CJ808" s="42"/>
      <c r="CK808" s="42"/>
      <c r="CL808" s="42"/>
      <c r="CM808" s="42"/>
      <c r="CN808" s="42"/>
      <c r="CO808" s="42"/>
      <c r="CP808" s="42"/>
      <c r="CQ808" s="42"/>
      <c r="CR808" s="42"/>
      <c r="CS808" s="42"/>
      <c r="CT808" s="42"/>
      <c r="CU808" s="42"/>
      <c r="CV808" s="42"/>
      <c r="CW808" s="42"/>
      <c r="CX808" s="42"/>
      <c r="CY808" s="42"/>
      <c r="CZ808" s="42"/>
      <c r="DA808" s="42"/>
      <c r="DB808" s="42"/>
      <c r="DC808" s="42"/>
      <c r="DD808" s="42"/>
      <c r="DE808" s="42"/>
      <c r="DF808" s="42"/>
      <c r="DG808" s="42"/>
      <c r="DH808" s="42"/>
      <c r="DI808" s="42"/>
      <c r="DJ808" s="42"/>
      <c r="DK808" s="42"/>
      <c r="DL808" s="42"/>
      <c r="DM808" s="42"/>
      <c r="DN808" s="42"/>
      <c r="DO808" s="42"/>
      <c r="DP808" s="42"/>
      <c r="DQ808" s="42"/>
      <c r="DR808" s="42"/>
      <c r="DS808" s="42"/>
      <c r="DT808" s="42"/>
      <c r="DU808" s="42"/>
      <c r="DV808" s="42"/>
      <c r="DW808" s="42"/>
      <c r="DX808" s="42"/>
      <c r="DY808" s="42"/>
      <c r="DZ808" s="42"/>
      <c r="EA808" s="42"/>
      <c r="EB808" s="42"/>
      <c r="EC808" s="42"/>
      <c r="ED808" s="42"/>
      <c r="EE808" s="42"/>
      <c r="EF808" s="42"/>
      <c r="EG808" s="42"/>
      <c r="EH808" s="42"/>
      <c r="EI808" s="42"/>
      <c r="EJ808" s="42"/>
      <c r="EK808" s="42"/>
      <c r="EL808" s="42"/>
      <c r="EM808" s="42"/>
      <c r="EN808" s="42"/>
      <c r="EO808" s="42"/>
      <c r="EP808" s="42"/>
      <c r="EQ808" s="42"/>
      <c r="ER808" s="42"/>
      <c r="ES808" s="42"/>
      <c r="ET808" s="42"/>
      <c r="EU808" s="42"/>
      <c r="EV808" s="42"/>
      <c r="EW808" s="42"/>
      <c r="EX808" s="42"/>
      <c r="EY808" s="42"/>
      <c r="EZ808" s="42"/>
      <c r="FA808" s="42"/>
      <c r="FB808" s="42"/>
      <c r="FC808" s="42"/>
      <c r="FD808" s="42"/>
      <c r="FE808" s="42"/>
      <c r="FF808" s="42"/>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row>
    <row r="809" spans="1:256" ht="13.8" x14ac:dyDescent="0.3">
      <c r="A809" s="42"/>
      <c r="B809" s="42"/>
      <c r="C809" s="42"/>
      <c r="D809" s="42"/>
      <c r="E809" s="42"/>
      <c r="F809" s="42"/>
      <c r="G809" s="42"/>
      <c r="H809" s="42"/>
      <c r="I809" s="42"/>
      <c r="J809" s="42"/>
      <c r="K809" s="42"/>
      <c r="L809" s="42"/>
      <c r="M809" s="42"/>
      <c r="N809" s="42"/>
      <c r="O809" s="42"/>
      <c r="P809" s="42"/>
      <c r="Q809" s="42"/>
      <c r="R809" s="42"/>
      <c r="S809" s="42"/>
      <c r="T809" s="42"/>
      <c r="U809" s="194"/>
      <c r="V809" s="42"/>
      <c r="W809" s="42"/>
      <c r="X809" s="42"/>
      <c r="Y809" s="42"/>
      <c r="Z809" s="42"/>
      <c r="AA809" s="42"/>
      <c r="AB809" s="195"/>
      <c r="AC809" s="42"/>
      <c r="AD809" s="42"/>
      <c r="AE809" s="195"/>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c r="BM809" s="42"/>
      <c r="BN809" s="42"/>
      <c r="BO809" s="42"/>
      <c r="BP809" s="42"/>
      <c r="BQ809" s="42"/>
      <c r="BR809" s="42"/>
      <c r="BS809" s="42"/>
      <c r="BT809" s="42"/>
      <c r="BU809" s="42"/>
      <c r="BV809" s="42"/>
      <c r="BW809" s="42"/>
      <c r="BX809" s="42"/>
      <c r="BY809" s="42"/>
      <c r="BZ809" s="42"/>
      <c r="CA809" s="42"/>
      <c r="CB809" s="42"/>
      <c r="CC809" s="42"/>
      <c r="CD809" s="42"/>
      <c r="CE809" s="42"/>
      <c r="CF809" s="42"/>
      <c r="CG809" s="42"/>
      <c r="CH809" s="42"/>
      <c r="CI809" s="42"/>
      <c r="CJ809" s="42"/>
      <c r="CK809" s="42"/>
      <c r="CL809" s="42"/>
      <c r="CM809" s="42"/>
      <c r="CN809" s="42"/>
      <c r="CO809" s="42"/>
      <c r="CP809" s="42"/>
      <c r="CQ809" s="42"/>
      <c r="CR809" s="42"/>
      <c r="CS809" s="42"/>
      <c r="CT809" s="42"/>
      <c r="CU809" s="42"/>
      <c r="CV809" s="42"/>
      <c r="CW809" s="42"/>
      <c r="CX809" s="42"/>
      <c r="CY809" s="42"/>
      <c r="CZ809" s="42"/>
      <c r="DA809" s="42"/>
      <c r="DB809" s="42"/>
      <c r="DC809" s="42"/>
      <c r="DD809" s="42"/>
      <c r="DE809" s="42"/>
      <c r="DF809" s="42"/>
      <c r="DG809" s="42"/>
      <c r="DH809" s="42"/>
      <c r="DI809" s="42"/>
      <c r="DJ809" s="42"/>
      <c r="DK809" s="42"/>
      <c r="DL809" s="42"/>
      <c r="DM809" s="42"/>
      <c r="DN809" s="42"/>
      <c r="DO809" s="42"/>
      <c r="DP809" s="42"/>
      <c r="DQ809" s="42"/>
      <c r="DR809" s="42"/>
      <c r="DS809" s="42"/>
      <c r="DT809" s="42"/>
      <c r="DU809" s="42"/>
      <c r="DV809" s="42"/>
      <c r="DW809" s="42"/>
      <c r="DX809" s="42"/>
      <c r="DY809" s="42"/>
      <c r="DZ809" s="42"/>
      <c r="EA809" s="42"/>
      <c r="EB809" s="42"/>
      <c r="EC809" s="42"/>
      <c r="ED809" s="42"/>
      <c r="EE809" s="42"/>
      <c r="EF809" s="42"/>
      <c r="EG809" s="42"/>
      <c r="EH809" s="42"/>
      <c r="EI809" s="42"/>
      <c r="EJ809" s="42"/>
      <c r="EK809" s="42"/>
      <c r="EL809" s="42"/>
      <c r="EM809" s="42"/>
      <c r="EN809" s="42"/>
      <c r="EO809" s="42"/>
      <c r="EP809" s="42"/>
      <c r="EQ809" s="42"/>
      <c r="ER809" s="42"/>
      <c r="ES809" s="42"/>
      <c r="ET809" s="42"/>
      <c r="EU809" s="42"/>
      <c r="EV809" s="42"/>
      <c r="EW809" s="42"/>
      <c r="EX809" s="42"/>
      <c r="EY809" s="42"/>
      <c r="EZ809" s="42"/>
      <c r="FA809" s="42"/>
      <c r="FB809" s="42"/>
      <c r="FC809" s="42"/>
      <c r="FD809" s="42"/>
      <c r="FE809" s="42"/>
      <c r="FF809" s="42"/>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row>
    <row r="810" spans="1:256" ht="13.8" x14ac:dyDescent="0.3">
      <c r="A810" s="42"/>
      <c r="B810" s="42"/>
      <c r="C810" s="42"/>
      <c r="D810" s="42"/>
      <c r="E810" s="42"/>
      <c r="F810" s="42"/>
      <c r="G810" s="42"/>
      <c r="H810" s="42"/>
      <c r="I810" s="42"/>
      <c r="J810" s="42"/>
      <c r="K810" s="42"/>
      <c r="L810" s="42"/>
      <c r="M810" s="42"/>
      <c r="N810" s="42"/>
      <c r="O810" s="42"/>
      <c r="P810" s="42"/>
      <c r="Q810" s="42"/>
      <c r="R810" s="42"/>
      <c r="S810" s="42"/>
      <c r="T810" s="42"/>
      <c r="U810" s="194"/>
      <c r="V810" s="42"/>
      <c r="W810" s="42"/>
      <c r="X810" s="42"/>
      <c r="Y810" s="42"/>
      <c r="Z810" s="42"/>
      <c r="AA810" s="42"/>
      <c r="AB810" s="195"/>
      <c r="AC810" s="42"/>
      <c r="AD810" s="42"/>
      <c r="AE810" s="195"/>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c r="BM810" s="42"/>
      <c r="BN810" s="42"/>
      <c r="BO810" s="42"/>
      <c r="BP810" s="42"/>
      <c r="BQ810" s="42"/>
      <c r="BR810" s="42"/>
      <c r="BS810" s="42"/>
      <c r="BT810" s="42"/>
      <c r="BU810" s="42"/>
      <c r="BV810" s="42"/>
      <c r="BW810" s="42"/>
      <c r="BX810" s="42"/>
      <c r="BY810" s="42"/>
      <c r="BZ810" s="42"/>
      <c r="CA810" s="42"/>
      <c r="CB810" s="42"/>
      <c r="CC810" s="42"/>
      <c r="CD810" s="42"/>
      <c r="CE810" s="42"/>
      <c r="CF810" s="42"/>
      <c r="CG810" s="42"/>
      <c r="CH810" s="42"/>
      <c r="CI810" s="42"/>
      <c r="CJ810" s="42"/>
      <c r="CK810" s="42"/>
      <c r="CL810" s="42"/>
      <c r="CM810" s="42"/>
      <c r="CN810" s="42"/>
      <c r="CO810" s="42"/>
      <c r="CP810" s="42"/>
      <c r="CQ810" s="42"/>
      <c r="CR810" s="42"/>
      <c r="CS810" s="42"/>
      <c r="CT810" s="42"/>
      <c r="CU810" s="42"/>
      <c r="CV810" s="42"/>
      <c r="CW810" s="42"/>
      <c r="CX810" s="42"/>
      <c r="CY810" s="42"/>
      <c r="CZ810" s="42"/>
      <c r="DA810" s="42"/>
      <c r="DB810" s="42"/>
      <c r="DC810" s="42"/>
      <c r="DD810" s="42"/>
      <c r="DE810" s="42"/>
      <c r="DF810" s="42"/>
      <c r="DG810" s="42"/>
      <c r="DH810" s="42"/>
      <c r="DI810" s="42"/>
      <c r="DJ810" s="42"/>
      <c r="DK810" s="42"/>
      <c r="DL810" s="42"/>
      <c r="DM810" s="42"/>
      <c r="DN810" s="42"/>
      <c r="DO810" s="42"/>
      <c r="DP810" s="42"/>
      <c r="DQ810" s="42"/>
      <c r="DR810" s="42"/>
      <c r="DS810" s="42"/>
      <c r="DT810" s="42"/>
      <c r="DU810" s="42"/>
      <c r="DV810" s="42"/>
      <c r="DW810" s="42"/>
      <c r="DX810" s="42"/>
      <c r="DY810" s="42"/>
      <c r="DZ810" s="42"/>
      <c r="EA810" s="42"/>
      <c r="EB810" s="42"/>
      <c r="EC810" s="42"/>
      <c r="ED810" s="42"/>
      <c r="EE810" s="42"/>
      <c r="EF810" s="42"/>
      <c r="EG810" s="42"/>
      <c r="EH810" s="42"/>
      <c r="EI810" s="42"/>
      <c r="EJ810" s="42"/>
      <c r="EK810" s="42"/>
      <c r="EL810" s="42"/>
      <c r="EM810" s="42"/>
      <c r="EN810" s="42"/>
      <c r="EO810" s="42"/>
      <c r="EP810" s="42"/>
      <c r="EQ810" s="42"/>
      <c r="ER810" s="42"/>
      <c r="ES810" s="42"/>
      <c r="ET810" s="42"/>
      <c r="EU810" s="42"/>
      <c r="EV810" s="42"/>
      <c r="EW810" s="42"/>
      <c r="EX810" s="42"/>
      <c r="EY810" s="42"/>
      <c r="EZ810" s="42"/>
      <c r="FA810" s="42"/>
      <c r="FB810" s="42"/>
      <c r="FC810" s="42"/>
      <c r="FD810" s="42"/>
      <c r="FE810" s="42"/>
      <c r="FF810" s="42"/>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row>
    <row r="811" spans="1:256" ht="13.8" x14ac:dyDescent="0.3">
      <c r="A811" s="42"/>
      <c r="B811" s="42"/>
      <c r="C811" s="42"/>
      <c r="D811" s="42"/>
      <c r="E811" s="42"/>
      <c r="F811" s="42"/>
      <c r="G811" s="42"/>
      <c r="H811" s="42"/>
      <c r="I811" s="42"/>
      <c r="J811" s="42"/>
      <c r="K811" s="42"/>
      <c r="L811" s="42"/>
      <c r="M811" s="42"/>
      <c r="N811" s="42"/>
      <c r="O811" s="42"/>
      <c r="P811" s="42"/>
      <c r="Q811" s="42"/>
      <c r="R811" s="42"/>
      <c r="S811" s="42"/>
      <c r="T811" s="42"/>
      <c r="U811" s="194"/>
      <c r="V811" s="42"/>
      <c r="W811" s="42"/>
      <c r="X811" s="42"/>
      <c r="Y811" s="42"/>
      <c r="Z811" s="42"/>
      <c r="AA811" s="42"/>
      <c r="AB811" s="195"/>
      <c r="AC811" s="42"/>
      <c r="AD811" s="42"/>
      <c r="AE811" s="195"/>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c r="BM811" s="42"/>
      <c r="BN811" s="42"/>
      <c r="BO811" s="42"/>
      <c r="BP811" s="42"/>
      <c r="BQ811" s="42"/>
      <c r="BR811" s="42"/>
      <c r="BS811" s="42"/>
      <c r="BT811" s="42"/>
      <c r="BU811" s="42"/>
      <c r="BV811" s="42"/>
      <c r="BW811" s="42"/>
      <c r="BX811" s="42"/>
      <c r="BY811" s="42"/>
      <c r="BZ811" s="42"/>
      <c r="CA811" s="42"/>
      <c r="CB811" s="42"/>
      <c r="CC811" s="42"/>
      <c r="CD811" s="42"/>
      <c r="CE811" s="42"/>
      <c r="CF811" s="42"/>
      <c r="CG811" s="42"/>
      <c r="CH811" s="42"/>
      <c r="CI811" s="42"/>
      <c r="CJ811" s="42"/>
      <c r="CK811" s="42"/>
      <c r="CL811" s="42"/>
      <c r="CM811" s="42"/>
      <c r="CN811" s="42"/>
      <c r="CO811" s="42"/>
      <c r="CP811" s="42"/>
      <c r="CQ811" s="42"/>
      <c r="CR811" s="42"/>
      <c r="CS811" s="42"/>
      <c r="CT811" s="42"/>
      <c r="CU811" s="42"/>
      <c r="CV811" s="42"/>
      <c r="CW811" s="42"/>
      <c r="CX811" s="42"/>
      <c r="CY811" s="42"/>
      <c r="CZ811" s="42"/>
      <c r="DA811" s="42"/>
      <c r="DB811" s="42"/>
      <c r="DC811" s="42"/>
      <c r="DD811" s="42"/>
      <c r="DE811" s="42"/>
      <c r="DF811" s="42"/>
      <c r="DG811" s="42"/>
      <c r="DH811" s="42"/>
      <c r="DI811" s="42"/>
      <c r="DJ811" s="42"/>
      <c r="DK811" s="42"/>
      <c r="DL811" s="42"/>
      <c r="DM811" s="42"/>
      <c r="DN811" s="42"/>
      <c r="DO811" s="42"/>
      <c r="DP811" s="42"/>
      <c r="DQ811" s="42"/>
      <c r="DR811" s="42"/>
      <c r="DS811" s="42"/>
      <c r="DT811" s="42"/>
      <c r="DU811" s="42"/>
      <c r="DV811" s="42"/>
      <c r="DW811" s="42"/>
      <c r="DX811" s="42"/>
      <c r="DY811" s="42"/>
      <c r="DZ811" s="42"/>
      <c r="EA811" s="42"/>
      <c r="EB811" s="42"/>
      <c r="EC811" s="42"/>
      <c r="ED811" s="42"/>
      <c r="EE811" s="42"/>
      <c r="EF811" s="42"/>
      <c r="EG811" s="42"/>
      <c r="EH811" s="42"/>
      <c r="EI811" s="42"/>
      <c r="EJ811" s="42"/>
      <c r="EK811" s="42"/>
      <c r="EL811" s="42"/>
      <c r="EM811" s="42"/>
      <c r="EN811" s="42"/>
      <c r="EO811" s="42"/>
      <c r="EP811" s="42"/>
      <c r="EQ811" s="42"/>
      <c r="ER811" s="42"/>
      <c r="ES811" s="42"/>
      <c r="ET811" s="42"/>
      <c r="EU811" s="42"/>
      <c r="EV811" s="42"/>
      <c r="EW811" s="42"/>
      <c r="EX811" s="42"/>
      <c r="EY811" s="42"/>
      <c r="EZ811" s="42"/>
      <c r="FA811" s="42"/>
      <c r="FB811" s="42"/>
      <c r="FC811" s="42"/>
      <c r="FD811" s="42"/>
      <c r="FE811" s="42"/>
      <c r="FF811" s="42"/>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row>
    <row r="812" spans="1:256" ht="13.8" x14ac:dyDescent="0.3">
      <c r="A812" s="42"/>
      <c r="B812" s="42"/>
      <c r="C812" s="42"/>
      <c r="D812" s="42"/>
      <c r="E812" s="42"/>
      <c r="F812" s="42"/>
      <c r="G812" s="42"/>
      <c r="H812" s="42"/>
      <c r="I812" s="42"/>
      <c r="J812" s="42"/>
      <c r="K812" s="42"/>
      <c r="L812" s="42"/>
      <c r="M812" s="42"/>
      <c r="N812" s="42"/>
      <c r="O812" s="42"/>
      <c r="P812" s="42"/>
      <c r="Q812" s="42"/>
      <c r="R812" s="42"/>
      <c r="S812" s="42"/>
      <c r="T812" s="42"/>
      <c r="U812" s="194"/>
      <c r="V812" s="42"/>
      <c r="W812" s="42"/>
      <c r="X812" s="42"/>
      <c r="Y812" s="42"/>
      <c r="Z812" s="42"/>
      <c r="AA812" s="42"/>
      <c r="AB812" s="195"/>
      <c r="AC812" s="42"/>
      <c r="AD812" s="42"/>
      <c r="AE812" s="195"/>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c r="BM812" s="42"/>
      <c r="BN812" s="42"/>
      <c r="BO812" s="42"/>
      <c r="BP812" s="42"/>
      <c r="BQ812" s="42"/>
      <c r="BR812" s="42"/>
      <c r="BS812" s="42"/>
      <c r="BT812" s="42"/>
      <c r="BU812" s="42"/>
      <c r="BV812" s="42"/>
      <c r="BW812" s="42"/>
      <c r="BX812" s="42"/>
      <c r="BY812" s="42"/>
      <c r="BZ812" s="42"/>
      <c r="CA812" s="42"/>
      <c r="CB812" s="42"/>
      <c r="CC812" s="42"/>
      <c r="CD812" s="42"/>
      <c r="CE812" s="42"/>
      <c r="CF812" s="42"/>
      <c r="CG812" s="42"/>
      <c r="CH812" s="42"/>
      <c r="CI812" s="42"/>
      <c r="CJ812" s="42"/>
      <c r="CK812" s="42"/>
      <c r="CL812" s="42"/>
      <c r="CM812" s="42"/>
      <c r="CN812" s="42"/>
      <c r="CO812" s="42"/>
      <c r="CP812" s="42"/>
      <c r="CQ812" s="42"/>
      <c r="CR812" s="42"/>
      <c r="CS812" s="42"/>
      <c r="CT812" s="42"/>
      <c r="CU812" s="42"/>
      <c r="CV812" s="42"/>
      <c r="CW812" s="42"/>
      <c r="CX812" s="42"/>
      <c r="CY812" s="42"/>
      <c r="CZ812" s="42"/>
      <c r="DA812" s="42"/>
      <c r="DB812" s="42"/>
      <c r="DC812" s="42"/>
      <c r="DD812" s="42"/>
      <c r="DE812" s="42"/>
      <c r="DF812" s="42"/>
      <c r="DG812" s="42"/>
      <c r="DH812" s="42"/>
      <c r="DI812" s="42"/>
      <c r="DJ812" s="42"/>
      <c r="DK812" s="42"/>
      <c r="DL812" s="42"/>
      <c r="DM812" s="42"/>
      <c r="DN812" s="42"/>
      <c r="DO812" s="42"/>
      <c r="DP812" s="42"/>
      <c r="DQ812" s="42"/>
      <c r="DR812" s="42"/>
      <c r="DS812" s="42"/>
      <c r="DT812" s="42"/>
      <c r="DU812" s="42"/>
      <c r="DV812" s="42"/>
      <c r="DW812" s="42"/>
      <c r="DX812" s="42"/>
      <c r="DY812" s="42"/>
      <c r="DZ812" s="42"/>
      <c r="EA812" s="42"/>
      <c r="EB812" s="42"/>
      <c r="EC812" s="42"/>
      <c r="ED812" s="42"/>
      <c r="EE812" s="42"/>
      <c r="EF812" s="42"/>
      <c r="EG812" s="42"/>
      <c r="EH812" s="42"/>
      <c r="EI812" s="42"/>
      <c r="EJ812" s="42"/>
      <c r="EK812" s="42"/>
      <c r="EL812" s="42"/>
      <c r="EM812" s="42"/>
      <c r="EN812" s="42"/>
      <c r="EO812" s="42"/>
      <c r="EP812" s="42"/>
      <c r="EQ812" s="42"/>
      <c r="ER812" s="42"/>
      <c r="ES812" s="42"/>
      <c r="ET812" s="42"/>
      <c r="EU812" s="42"/>
      <c r="EV812" s="42"/>
      <c r="EW812" s="42"/>
      <c r="EX812" s="42"/>
      <c r="EY812" s="42"/>
      <c r="EZ812" s="42"/>
      <c r="FA812" s="42"/>
      <c r="FB812" s="42"/>
      <c r="FC812" s="42"/>
      <c r="FD812" s="42"/>
      <c r="FE812" s="42"/>
      <c r="FF812" s="42"/>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row>
    <row r="813" spans="1:256" ht="13.8" x14ac:dyDescent="0.3">
      <c r="A813" s="42"/>
      <c r="B813" s="42"/>
      <c r="C813" s="42"/>
      <c r="D813" s="42"/>
      <c r="E813" s="42"/>
      <c r="F813" s="42"/>
      <c r="G813" s="42"/>
      <c r="H813" s="42"/>
      <c r="I813" s="42"/>
      <c r="J813" s="42"/>
      <c r="K813" s="42"/>
      <c r="L813" s="42"/>
      <c r="M813" s="42"/>
      <c r="N813" s="42"/>
      <c r="O813" s="42"/>
      <c r="P813" s="42"/>
      <c r="Q813" s="42"/>
      <c r="R813" s="42"/>
      <c r="S813" s="42"/>
      <c r="T813" s="42"/>
      <c r="U813" s="194"/>
      <c r="V813" s="42"/>
      <c r="W813" s="42"/>
      <c r="X813" s="42"/>
      <c r="Y813" s="42"/>
      <c r="Z813" s="42"/>
      <c r="AA813" s="42"/>
      <c r="AB813" s="195"/>
      <c r="AC813" s="42"/>
      <c r="AD813" s="42"/>
      <c r="AE813" s="195"/>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c r="BM813" s="42"/>
      <c r="BN813" s="42"/>
      <c r="BO813" s="42"/>
      <c r="BP813" s="42"/>
      <c r="BQ813" s="42"/>
      <c r="BR813" s="42"/>
      <c r="BS813" s="42"/>
      <c r="BT813" s="42"/>
      <c r="BU813" s="42"/>
      <c r="BV813" s="42"/>
      <c r="BW813" s="42"/>
      <c r="BX813" s="42"/>
      <c r="BY813" s="42"/>
      <c r="BZ813" s="42"/>
      <c r="CA813" s="42"/>
      <c r="CB813" s="42"/>
      <c r="CC813" s="42"/>
      <c r="CD813" s="42"/>
      <c r="CE813" s="42"/>
      <c r="CF813" s="42"/>
      <c r="CG813" s="42"/>
      <c r="CH813" s="42"/>
      <c r="CI813" s="42"/>
      <c r="CJ813" s="42"/>
      <c r="CK813" s="42"/>
      <c r="CL813" s="42"/>
      <c r="CM813" s="42"/>
      <c r="CN813" s="42"/>
      <c r="CO813" s="42"/>
      <c r="CP813" s="42"/>
      <c r="CQ813" s="42"/>
      <c r="CR813" s="42"/>
      <c r="CS813" s="42"/>
      <c r="CT813" s="42"/>
      <c r="CU813" s="42"/>
      <c r="CV813" s="42"/>
      <c r="CW813" s="42"/>
      <c r="CX813" s="42"/>
      <c r="CY813" s="42"/>
      <c r="CZ813" s="42"/>
      <c r="DA813" s="42"/>
      <c r="DB813" s="42"/>
      <c r="DC813" s="42"/>
      <c r="DD813" s="42"/>
      <c r="DE813" s="42"/>
      <c r="DF813" s="42"/>
      <c r="DG813" s="42"/>
      <c r="DH813" s="42"/>
      <c r="DI813" s="42"/>
      <c r="DJ813" s="42"/>
      <c r="DK813" s="42"/>
      <c r="DL813" s="42"/>
      <c r="DM813" s="42"/>
      <c r="DN813" s="42"/>
      <c r="DO813" s="42"/>
      <c r="DP813" s="42"/>
      <c r="DQ813" s="42"/>
      <c r="DR813" s="42"/>
      <c r="DS813" s="42"/>
      <c r="DT813" s="42"/>
      <c r="DU813" s="42"/>
      <c r="DV813" s="42"/>
      <c r="DW813" s="42"/>
      <c r="DX813" s="42"/>
      <c r="DY813" s="42"/>
      <c r="DZ813" s="42"/>
      <c r="EA813" s="42"/>
      <c r="EB813" s="42"/>
      <c r="EC813" s="42"/>
      <c r="ED813" s="42"/>
      <c r="EE813" s="42"/>
      <c r="EF813" s="42"/>
      <c r="EG813" s="42"/>
      <c r="EH813" s="42"/>
      <c r="EI813" s="42"/>
      <c r="EJ813" s="42"/>
      <c r="EK813" s="42"/>
      <c r="EL813" s="42"/>
      <c r="EM813" s="42"/>
      <c r="EN813" s="42"/>
      <c r="EO813" s="42"/>
      <c r="EP813" s="42"/>
      <c r="EQ813" s="42"/>
      <c r="ER813" s="42"/>
      <c r="ES813" s="42"/>
      <c r="ET813" s="42"/>
      <c r="EU813" s="42"/>
      <c r="EV813" s="42"/>
      <c r="EW813" s="42"/>
      <c r="EX813" s="42"/>
      <c r="EY813" s="42"/>
      <c r="EZ813" s="42"/>
      <c r="FA813" s="42"/>
      <c r="FB813" s="42"/>
      <c r="FC813" s="42"/>
      <c r="FD813" s="42"/>
      <c r="FE813" s="42"/>
      <c r="FF813" s="42"/>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row>
    <row r="814" spans="1:256" ht="13.8" x14ac:dyDescent="0.3">
      <c r="A814" s="42"/>
      <c r="B814" s="42"/>
      <c r="C814" s="42"/>
      <c r="D814" s="42"/>
      <c r="E814" s="42"/>
      <c r="F814" s="42"/>
      <c r="G814" s="42"/>
      <c r="H814" s="42"/>
      <c r="I814" s="42"/>
      <c r="J814" s="42"/>
      <c r="K814" s="42"/>
      <c r="L814" s="42"/>
      <c r="M814" s="42"/>
      <c r="N814" s="42"/>
      <c r="O814" s="42"/>
      <c r="P814" s="42"/>
      <c r="Q814" s="42"/>
      <c r="R814" s="42"/>
      <c r="S814" s="42"/>
      <c r="T814" s="42"/>
      <c r="U814" s="194"/>
      <c r="V814" s="42"/>
      <c r="W814" s="42"/>
      <c r="X814" s="42"/>
      <c r="Y814" s="42"/>
      <c r="Z814" s="42"/>
      <c r="AA814" s="42"/>
      <c r="AB814" s="195"/>
      <c r="AC814" s="42"/>
      <c r="AD814" s="42"/>
      <c r="AE814" s="195"/>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c r="BM814" s="42"/>
      <c r="BN814" s="42"/>
      <c r="BO814" s="42"/>
      <c r="BP814" s="42"/>
      <c r="BQ814" s="42"/>
      <c r="BR814" s="42"/>
      <c r="BS814" s="42"/>
      <c r="BT814" s="42"/>
      <c r="BU814" s="42"/>
      <c r="BV814" s="42"/>
      <c r="BW814" s="42"/>
      <c r="BX814" s="42"/>
      <c r="BY814" s="42"/>
      <c r="BZ814" s="42"/>
      <c r="CA814" s="42"/>
      <c r="CB814" s="42"/>
      <c r="CC814" s="42"/>
      <c r="CD814" s="42"/>
      <c r="CE814" s="42"/>
      <c r="CF814" s="42"/>
      <c r="CG814" s="42"/>
      <c r="CH814" s="42"/>
      <c r="CI814" s="42"/>
      <c r="CJ814" s="42"/>
      <c r="CK814" s="42"/>
      <c r="CL814" s="42"/>
      <c r="CM814" s="42"/>
      <c r="CN814" s="42"/>
      <c r="CO814" s="42"/>
      <c r="CP814" s="42"/>
      <c r="CQ814" s="42"/>
      <c r="CR814" s="42"/>
      <c r="CS814" s="42"/>
      <c r="CT814" s="42"/>
      <c r="CU814" s="42"/>
      <c r="CV814" s="42"/>
      <c r="CW814" s="42"/>
      <c r="CX814" s="42"/>
      <c r="CY814" s="42"/>
      <c r="CZ814" s="42"/>
      <c r="DA814" s="42"/>
      <c r="DB814" s="42"/>
      <c r="DC814" s="42"/>
      <c r="DD814" s="42"/>
      <c r="DE814" s="42"/>
      <c r="DF814" s="42"/>
      <c r="DG814" s="42"/>
      <c r="DH814" s="42"/>
      <c r="DI814" s="42"/>
      <c r="DJ814" s="42"/>
      <c r="DK814" s="42"/>
      <c r="DL814" s="42"/>
      <c r="DM814" s="42"/>
      <c r="DN814" s="42"/>
      <c r="DO814" s="42"/>
      <c r="DP814" s="42"/>
      <c r="DQ814" s="42"/>
      <c r="DR814" s="42"/>
      <c r="DS814" s="42"/>
      <c r="DT814" s="42"/>
      <c r="DU814" s="42"/>
      <c r="DV814" s="42"/>
      <c r="DW814" s="42"/>
      <c r="DX814" s="42"/>
      <c r="DY814" s="42"/>
      <c r="DZ814" s="42"/>
      <c r="EA814" s="42"/>
      <c r="EB814" s="42"/>
      <c r="EC814" s="42"/>
      <c r="ED814" s="42"/>
      <c r="EE814" s="42"/>
      <c r="EF814" s="42"/>
      <c r="EG814" s="42"/>
      <c r="EH814" s="42"/>
      <c r="EI814" s="42"/>
      <c r="EJ814" s="42"/>
      <c r="EK814" s="42"/>
      <c r="EL814" s="42"/>
      <c r="EM814" s="42"/>
      <c r="EN814" s="42"/>
      <c r="EO814" s="42"/>
      <c r="EP814" s="42"/>
      <c r="EQ814" s="42"/>
      <c r="ER814" s="42"/>
      <c r="ES814" s="42"/>
      <c r="ET814" s="42"/>
      <c r="EU814" s="42"/>
      <c r="EV814" s="42"/>
      <c r="EW814" s="42"/>
      <c r="EX814" s="42"/>
      <c r="EY814" s="42"/>
      <c r="EZ814" s="42"/>
      <c r="FA814" s="42"/>
      <c r="FB814" s="42"/>
      <c r="FC814" s="42"/>
      <c r="FD814" s="42"/>
      <c r="FE814" s="42"/>
      <c r="FF814" s="42"/>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row>
    <row r="815" spans="1:256" ht="13.8" x14ac:dyDescent="0.3">
      <c r="A815" s="42"/>
      <c r="B815" s="42"/>
      <c r="C815" s="42"/>
      <c r="D815" s="42"/>
      <c r="E815" s="42"/>
      <c r="F815" s="42"/>
      <c r="G815" s="42"/>
      <c r="H815" s="42"/>
      <c r="I815" s="42"/>
      <c r="J815" s="42"/>
      <c r="K815" s="42"/>
      <c r="L815" s="42"/>
      <c r="M815" s="42"/>
      <c r="N815" s="42"/>
      <c r="O815" s="42"/>
      <c r="P815" s="42"/>
      <c r="Q815" s="42"/>
      <c r="R815" s="42"/>
      <c r="S815" s="42"/>
      <c r="T815" s="42"/>
      <c r="U815" s="194"/>
      <c r="V815" s="42"/>
      <c r="W815" s="42"/>
      <c r="X815" s="42"/>
      <c r="Y815" s="42"/>
      <c r="Z815" s="42"/>
      <c r="AA815" s="42"/>
      <c r="AB815" s="195"/>
      <c r="AC815" s="42"/>
      <c r="AD815" s="42"/>
      <c r="AE815" s="195"/>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c r="BM815" s="42"/>
      <c r="BN815" s="42"/>
      <c r="BO815" s="42"/>
      <c r="BP815" s="42"/>
      <c r="BQ815" s="42"/>
      <c r="BR815" s="42"/>
      <c r="BS815" s="42"/>
      <c r="BT815" s="42"/>
      <c r="BU815" s="42"/>
      <c r="BV815" s="42"/>
      <c r="BW815" s="42"/>
      <c r="BX815" s="42"/>
      <c r="BY815" s="42"/>
      <c r="BZ815" s="42"/>
      <c r="CA815" s="42"/>
      <c r="CB815" s="42"/>
      <c r="CC815" s="42"/>
      <c r="CD815" s="42"/>
      <c r="CE815" s="42"/>
      <c r="CF815" s="42"/>
      <c r="CG815" s="42"/>
      <c r="CH815" s="42"/>
      <c r="CI815" s="42"/>
      <c r="CJ815" s="42"/>
      <c r="CK815" s="42"/>
      <c r="CL815" s="42"/>
      <c r="CM815" s="42"/>
      <c r="CN815" s="42"/>
      <c r="CO815" s="42"/>
      <c r="CP815" s="42"/>
      <c r="CQ815" s="42"/>
      <c r="CR815" s="42"/>
      <c r="CS815" s="42"/>
      <c r="CT815" s="42"/>
      <c r="CU815" s="42"/>
      <c r="CV815" s="42"/>
      <c r="CW815" s="42"/>
      <c r="CX815" s="42"/>
      <c r="CY815" s="42"/>
      <c r="CZ815" s="42"/>
      <c r="DA815" s="42"/>
      <c r="DB815" s="42"/>
      <c r="DC815" s="42"/>
      <c r="DD815" s="42"/>
      <c r="DE815" s="42"/>
      <c r="DF815" s="42"/>
      <c r="DG815" s="42"/>
      <c r="DH815" s="42"/>
      <c r="DI815" s="42"/>
      <c r="DJ815" s="42"/>
      <c r="DK815" s="42"/>
      <c r="DL815" s="42"/>
      <c r="DM815" s="42"/>
      <c r="DN815" s="42"/>
      <c r="DO815" s="42"/>
      <c r="DP815" s="42"/>
      <c r="DQ815" s="42"/>
      <c r="DR815" s="42"/>
      <c r="DS815" s="42"/>
      <c r="DT815" s="42"/>
      <c r="DU815" s="42"/>
      <c r="DV815" s="42"/>
      <c r="DW815" s="42"/>
      <c r="DX815" s="42"/>
      <c r="DY815" s="42"/>
      <c r="DZ815" s="42"/>
      <c r="EA815" s="42"/>
      <c r="EB815" s="42"/>
      <c r="EC815" s="42"/>
      <c r="ED815" s="42"/>
      <c r="EE815" s="42"/>
      <c r="EF815" s="42"/>
      <c r="EG815" s="42"/>
      <c r="EH815" s="42"/>
      <c r="EI815" s="42"/>
      <c r="EJ815" s="42"/>
      <c r="EK815" s="42"/>
      <c r="EL815" s="42"/>
      <c r="EM815" s="42"/>
      <c r="EN815" s="42"/>
      <c r="EO815" s="42"/>
      <c r="EP815" s="42"/>
      <c r="EQ815" s="42"/>
      <c r="ER815" s="42"/>
      <c r="ES815" s="42"/>
      <c r="ET815" s="42"/>
      <c r="EU815" s="42"/>
      <c r="EV815" s="42"/>
      <c r="EW815" s="42"/>
      <c r="EX815" s="42"/>
      <c r="EY815" s="42"/>
      <c r="EZ815" s="42"/>
      <c r="FA815" s="42"/>
      <c r="FB815" s="42"/>
      <c r="FC815" s="42"/>
      <c r="FD815" s="42"/>
      <c r="FE815" s="42"/>
      <c r="FF815" s="42"/>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row>
    <row r="816" spans="1:256" ht="13.8" x14ac:dyDescent="0.3">
      <c r="A816" s="42"/>
      <c r="B816" s="42"/>
      <c r="C816" s="42"/>
      <c r="D816" s="42"/>
      <c r="E816" s="42"/>
      <c r="F816" s="42"/>
      <c r="G816" s="42"/>
      <c r="H816" s="42"/>
      <c r="I816" s="42"/>
      <c r="J816" s="42"/>
      <c r="K816" s="42"/>
      <c r="L816" s="42"/>
      <c r="M816" s="42"/>
      <c r="N816" s="42"/>
      <c r="O816" s="42"/>
      <c r="P816" s="42"/>
      <c r="Q816" s="42"/>
      <c r="R816" s="42"/>
      <c r="S816" s="42"/>
      <c r="T816" s="42"/>
      <c r="U816" s="194"/>
      <c r="V816" s="42"/>
      <c r="W816" s="42"/>
      <c r="X816" s="42"/>
      <c r="Y816" s="42"/>
      <c r="Z816" s="42"/>
      <c r="AA816" s="42"/>
      <c r="AB816" s="195"/>
      <c r="AC816" s="42"/>
      <c r="AD816" s="42"/>
      <c r="AE816" s="195"/>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c r="BM816" s="42"/>
      <c r="BN816" s="42"/>
      <c r="BO816" s="42"/>
      <c r="BP816" s="42"/>
      <c r="BQ816" s="42"/>
      <c r="BR816" s="42"/>
      <c r="BS816" s="42"/>
      <c r="BT816" s="42"/>
      <c r="BU816" s="42"/>
      <c r="BV816" s="42"/>
      <c r="BW816" s="42"/>
      <c r="BX816" s="42"/>
      <c r="BY816" s="42"/>
      <c r="BZ816" s="42"/>
      <c r="CA816" s="42"/>
      <c r="CB816" s="42"/>
      <c r="CC816" s="42"/>
      <c r="CD816" s="42"/>
      <c r="CE816" s="42"/>
      <c r="CF816" s="42"/>
      <c r="CG816" s="42"/>
      <c r="CH816" s="42"/>
      <c r="CI816" s="42"/>
      <c r="CJ816" s="42"/>
      <c r="CK816" s="42"/>
      <c r="CL816" s="42"/>
      <c r="CM816" s="42"/>
      <c r="CN816" s="42"/>
      <c r="CO816" s="42"/>
      <c r="CP816" s="42"/>
      <c r="CQ816" s="42"/>
      <c r="CR816" s="42"/>
      <c r="CS816" s="42"/>
      <c r="CT816" s="42"/>
      <c r="CU816" s="42"/>
      <c r="CV816" s="42"/>
      <c r="CW816" s="42"/>
      <c r="CX816" s="42"/>
      <c r="CY816" s="42"/>
      <c r="CZ816" s="42"/>
      <c r="DA816" s="42"/>
      <c r="DB816" s="42"/>
      <c r="DC816" s="42"/>
      <c r="DD816" s="42"/>
      <c r="DE816" s="42"/>
      <c r="DF816" s="42"/>
      <c r="DG816" s="42"/>
      <c r="DH816" s="42"/>
      <c r="DI816" s="42"/>
      <c r="DJ816" s="42"/>
      <c r="DK816" s="42"/>
      <c r="DL816" s="42"/>
      <c r="DM816" s="42"/>
      <c r="DN816" s="42"/>
      <c r="DO816" s="42"/>
      <c r="DP816" s="42"/>
      <c r="DQ816" s="42"/>
      <c r="DR816" s="42"/>
      <c r="DS816" s="42"/>
      <c r="DT816" s="42"/>
      <c r="DU816" s="42"/>
      <c r="DV816" s="42"/>
      <c r="DW816" s="42"/>
      <c r="DX816" s="42"/>
      <c r="DY816" s="42"/>
      <c r="DZ816" s="42"/>
      <c r="EA816" s="42"/>
      <c r="EB816" s="42"/>
      <c r="EC816" s="42"/>
      <c r="ED816" s="42"/>
      <c r="EE816" s="42"/>
      <c r="EF816" s="42"/>
      <c r="EG816" s="42"/>
      <c r="EH816" s="42"/>
      <c r="EI816" s="42"/>
      <c r="EJ816" s="42"/>
      <c r="EK816" s="42"/>
      <c r="EL816" s="42"/>
      <c r="EM816" s="42"/>
      <c r="EN816" s="42"/>
      <c r="EO816" s="42"/>
      <c r="EP816" s="42"/>
      <c r="EQ816" s="42"/>
      <c r="ER816" s="42"/>
      <c r="ES816" s="42"/>
      <c r="ET816" s="42"/>
      <c r="EU816" s="42"/>
      <c r="EV816" s="42"/>
      <c r="EW816" s="42"/>
      <c r="EX816" s="42"/>
      <c r="EY816" s="42"/>
      <c r="EZ816" s="42"/>
      <c r="FA816" s="42"/>
      <c r="FB816" s="42"/>
      <c r="FC816" s="42"/>
      <c r="FD816" s="42"/>
      <c r="FE816" s="42"/>
      <c r="FF816" s="42"/>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row>
    <row r="817" spans="1:256" ht="13.8" x14ac:dyDescent="0.3">
      <c r="A817" s="42"/>
      <c r="B817" s="42"/>
      <c r="C817" s="42"/>
      <c r="D817" s="42"/>
      <c r="E817" s="42"/>
      <c r="F817" s="42"/>
      <c r="G817" s="42"/>
      <c r="H817" s="42"/>
      <c r="I817" s="42"/>
      <c r="J817" s="42"/>
      <c r="K817" s="42"/>
      <c r="L817" s="42"/>
      <c r="M817" s="42"/>
      <c r="N817" s="42"/>
      <c r="O817" s="42"/>
      <c r="P817" s="42"/>
      <c r="Q817" s="42"/>
      <c r="R817" s="42"/>
      <c r="S817" s="42"/>
      <c r="T817" s="42"/>
      <c r="U817" s="194"/>
      <c r="V817" s="42"/>
      <c r="W817" s="42"/>
      <c r="X817" s="42"/>
      <c r="Y817" s="42"/>
      <c r="Z817" s="42"/>
      <c r="AA817" s="42"/>
      <c r="AB817" s="195"/>
      <c r="AC817" s="42"/>
      <c r="AD817" s="42"/>
      <c r="AE817" s="195"/>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c r="BM817" s="42"/>
      <c r="BN817" s="42"/>
      <c r="BO817" s="42"/>
      <c r="BP817" s="42"/>
      <c r="BQ817" s="42"/>
      <c r="BR817" s="42"/>
      <c r="BS817" s="42"/>
      <c r="BT817" s="42"/>
      <c r="BU817" s="42"/>
      <c r="BV817" s="42"/>
      <c r="BW817" s="42"/>
      <c r="BX817" s="42"/>
      <c r="BY817" s="42"/>
      <c r="BZ817" s="42"/>
      <c r="CA817" s="42"/>
      <c r="CB817" s="42"/>
      <c r="CC817" s="42"/>
      <c r="CD817" s="42"/>
      <c r="CE817" s="42"/>
      <c r="CF817" s="42"/>
      <c r="CG817" s="42"/>
      <c r="CH817" s="42"/>
      <c r="CI817" s="42"/>
      <c r="CJ817" s="42"/>
      <c r="CK817" s="42"/>
      <c r="CL817" s="42"/>
      <c r="CM817" s="42"/>
      <c r="CN817" s="42"/>
      <c r="CO817" s="42"/>
      <c r="CP817" s="42"/>
      <c r="CQ817" s="42"/>
      <c r="CR817" s="42"/>
      <c r="CS817" s="42"/>
      <c r="CT817" s="42"/>
      <c r="CU817" s="42"/>
      <c r="CV817" s="42"/>
      <c r="CW817" s="42"/>
      <c r="CX817" s="42"/>
      <c r="CY817" s="42"/>
      <c r="CZ817" s="42"/>
      <c r="DA817" s="42"/>
      <c r="DB817" s="42"/>
      <c r="DC817" s="42"/>
      <c r="DD817" s="42"/>
      <c r="DE817" s="42"/>
      <c r="DF817" s="42"/>
      <c r="DG817" s="42"/>
      <c r="DH817" s="42"/>
      <c r="DI817" s="42"/>
      <c r="DJ817" s="42"/>
      <c r="DK817" s="42"/>
      <c r="DL817" s="42"/>
      <c r="DM817" s="42"/>
      <c r="DN817" s="42"/>
      <c r="DO817" s="42"/>
      <c r="DP817" s="42"/>
      <c r="DQ817" s="42"/>
      <c r="DR817" s="42"/>
      <c r="DS817" s="42"/>
      <c r="DT817" s="42"/>
      <c r="DU817" s="42"/>
      <c r="DV817" s="42"/>
      <c r="DW817" s="42"/>
      <c r="DX817" s="42"/>
      <c r="DY817" s="42"/>
      <c r="DZ817" s="42"/>
      <c r="EA817" s="42"/>
      <c r="EB817" s="42"/>
      <c r="EC817" s="42"/>
      <c r="ED817" s="42"/>
      <c r="EE817" s="42"/>
      <c r="EF817" s="42"/>
      <c r="EG817" s="42"/>
      <c r="EH817" s="42"/>
      <c r="EI817" s="42"/>
      <c r="EJ817" s="42"/>
      <c r="EK817" s="42"/>
      <c r="EL817" s="42"/>
      <c r="EM817" s="42"/>
      <c r="EN817" s="42"/>
      <c r="EO817" s="42"/>
      <c r="EP817" s="42"/>
      <c r="EQ817" s="42"/>
      <c r="ER817" s="42"/>
      <c r="ES817" s="42"/>
      <c r="ET817" s="42"/>
      <c r="EU817" s="42"/>
      <c r="EV817" s="42"/>
      <c r="EW817" s="42"/>
      <c r="EX817" s="42"/>
      <c r="EY817" s="42"/>
      <c r="EZ817" s="42"/>
      <c r="FA817" s="42"/>
      <c r="FB817" s="42"/>
      <c r="FC817" s="42"/>
      <c r="FD817" s="42"/>
      <c r="FE817" s="42"/>
      <c r="FF817" s="42"/>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row>
    <row r="818" spans="1:256" ht="13.8" x14ac:dyDescent="0.3">
      <c r="A818" s="42"/>
      <c r="B818" s="42"/>
      <c r="C818" s="42"/>
      <c r="D818" s="42"/>
      <c r="E818" s="42"/>
      <c r="F818" s="42"/>
      <c r="G818" s="42"/>
      <c r="H818" s="42"/>
      <c r="I818" s="42"/>
      <c r="J818" s="42"/>
      <c r="K818" s="42"/>
      <c r="L818" s="42"/>
      <c r="M818" s="42"/>
      <c r="N818" s="42"/>
      <c r="O818" s="42"/>
      <c r="P818" s="42"/>
      <c r="Q818" s="42"/>
      <c r="R818" s="42"/>
      <c r="S818" s="42"/>
      <c r="T818" s="42"/>
      <c r="U818" s="194"/>
      <c r="V818" s="42"/>
      <c r="W818" s="42"/>
      <c r="X818" s="42"/>
      <c r="Y818" s="42"/>
      <c r="Z818" s="42"/>
      <c r="AA818" s="42"/>
      <c r="AB818" s="195"/>
      <c r="AC818" s="42"/>
      <c r="AD818" s="42"/>
      <c r="AE818" s="195"/>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c r="BM818" s="42"/>
      <c r="BN818" s="42"/>
      <c r="BO818" s="42"/>
      <c r="BP818" s="42"/>
      <c r="BQ818" s="42"/>
      <c r="BR818" s="42"/>
      <c r="BS818" s="42"/>
      <c r="BT818" s="42"/>
      <c r="BU818" s="42"/>
      <c r="BV818" s="42"/>
      <c r="BW818" s="42"/>
      <c r="BX818" s="42"/>
      <c r="BY818" s="42"/>
      <c r="BZ818" s="42"/>
      <c r="CA818" s="42"/>
      <c r="CB818" s="42"/>
      <c r="CC818" s="42"/>
      <c r="CD818" s="42"/>
      <c r="CE818" s="42"/>
      <c r="CF818" s="42"/>
      <c r="CG818" s="42"/>
      <c r="CH818" s="42"/>
      <c r="CI818" s="42"/>
      <c r="CJ818" s="42"/>
      <c r="CK818" s="42"/>
      <c r="CL818" s="42"/>
      <c r="CM818" s="42"/>
      <c r="CN818" s="42"/>
      <c r="CO818" s="42"/>
      <c r="CP818" s="42"/>
      <c r="CQ818" s="42"/>
      <c r="CR818" s="42"/>
      <c r="CS818" s="42"/>
      <c r="CT818" s="42"/>
      <c r="CU818" s="42"/>
      <c r="CV818" s="42"/>
      <c r="CW818" s="42"/>
      <c r="CX818" s="42"/>
      <c r="CY818" s="42"/>
      <c r="CZ818" s="42"/>
      <c r="DA818" s="42"/>
      <c r="DB818" s="42"/>
      <c r="DC818" s="42"/>
      <c r="DD818" s="42"/>
      <c r="DE818" s="42"/>
      <c r="DF818" s="42"/>
      <c r="DG818" s="42"/>
      <c r="DH818" s="42"/>
      <c r="DI818" s="42"/>
      <c r="DJ818" s="42"/>
      <c r="DK818" s="42"/>
      <c r="DL818" s="42"/>
      <c r="DM818" s="42"/>
      <c r="DN818" s="42"/>
      <c r="DO818" s="42"/>
      <c r="DP818" s="42"/>
      <c r="DQ818" s="42"/>
      <c r="DR818" s="42"/>
      <c r="DS818" s="42"/>
      <c r="DT818" s="42"/>
      <c r="DU818" s="42"/>
      <c r="DV818" s="42"/>
      <c r="DW818" s="42"/>
      <c r="DX818" s="42"/>
      <c r="DY818" s="42"/>
      <c r="DZ818" s="42"/>
      <c r="EA818" s="42"/>
      <c r="EB818" s="42"/>
      <c r="EC818" s="42"/>
      <c r="ED818" s="42"/>
      <c r="EE818" s="42"/>
      <c r="EF818" s="42"/>
      <c r="EG818" s="42"/>
      <c r="EH818" s="42"/>
      <c r="EI818" s="42"/>
      <c r="EJ818" s="42"/>
      <c r="EK818" s="42"/>
      <c r="EL818" s="42"/>
      <c r="EM818" s="42"/>
      <c r="EN818" s="42"/>
      <c r="EO818" s="42"/>
      <c r="EP818" s="42"/>
      <c r="EQ818" s="42"/>
      <c r="ER818" s="42"/>
      <c r="ES818" s="42"/>
      <c r="ET818" s="42"/>
      <c r="EU818" s="42"/>
      <c r="EV818" s="42"/>
      <c r="EW818" s="42"/>
      <c r="EX818" s="42"/>
      <c r="EY818" s="42"/>
      <c r="EZ818" s="42"/>
      <c r="FA818" s="42"/>
      <c r="FB818" s="42"/>
      <c r="FC818" s="42"/>
      <c r="FD818" s="42"/>
      <c r="FE818" s="42"/>
      <c r="FF818" s="42"/>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row>
    <row r="819" spans="1:256" ht="13.8" x14ac:dyDescent="0.3">
      <c r="A819" s="42"/>
      <c r="B819" s="42"/>
      <c r="C819" s="42"/>
      <c r="D819" s="42"/>
      <c r="E819" s="42"/>
      <c r="F819" s="42"/>
      <c r="G819" s="42"/>
      <c r="H819" s="42"/>
      <c r="I819" s="42"/>
      <c r="J819" s="42"/>
      <c r="K819" s="42"/>
      <c r="L819" s="42"/>
      <c r="M819" s="42"/>
      <c r="N819" s="42"/>
      <c r="O819" s="42"/>
      <c r="P819" s="42"/>
      <c r="Q819" s="42"/>
      <c r="R819" s="42"/>
      <c r="S819" s="42"/>
      <c r="T819" s="42"/>
      <c r="U819" s="194"/>
      <c r="V819" s="42"/>
      <c r="W819" s="42"/>
      <c r="X819" s="42"/>
      <c r="Y819" s="42"/>
      <c r="Z819" s="42"/>
      <c r="AA819" s="42"/>
      <c r="AB819" s="195"/>
      <c r="AC819" s="42"/>
      <c r="AD819" s="42"/>
      <c r="AE819" s="195"/>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c r="BM819" s="42"/>
      <c r="BN819" s="42"/>
      <c r="BO819" s="42"/>
      <c r="BP819" s="42"/>
      <c r="BQ819" s="42"/>
      <c r="BR819" s="42"/>
      <c r="BS819" s="42"/>
      <c r="BT819" s="42"/>
      <c r="BU819" s="42"/>
      <c r="BV819" s="42"/>
      <c r="BW819" s="42"/>
      <c r="BX819" s="42"/>
      <c r="BY819" s="42"/>
      <c r="BZ819" s="42"/>
      <c r="CA819" s="42"/>
      <c r="CB819" s="42"/>
      <c r="CC819" s="42"/>
      <c r="CD819" s="42"/>
      <c r="CE819" s="42"/>
      <c r="CF819" s="42"/>
      <c r="CG819" s="42"/>
      <c r="CH819" s="42"/>
      <c r="CI819" s="42"/>
      <c r="CJ819" s="42"/>
      <c r="CK819" s="42"/>
      <c r="CL819" s="42"/>
      <c r="CM819" s="42"/>
      <c r="CN819" s="42"/>
      <c r="CO819" s="42"/>
      <c r="CP819" s="42"/>
      <c r="CQ819" s="42"/>
      <c r="CR819" s="42"/>
      <c r="CS819" s="42"/>
      <c r="CT819" s="42"/>
      <c r="CU819" s="42"/>
      <c r="CV819" s="42"/>
      <c r="CW819" s="42"/>
      <c r="CX819" s="42"/>
      <c r="CY819" s="42"/>
      <c r="CZ819" s="42"/>
      <c r="DA819" s="42"/>
      <c r="DB819" s="42"/>
      <c r="DC819" s="42"/>
      <c r="DD819" s="42"/>
      <c r="DE819" s="42"/>
      <c r="DF819" s="42"/>
      <c r="DG819" s="42"/>
      <c r="DH819" s="42"/>
      <c r="DI819" s="42"/>
      <c r="DJ819" s="42"/>
      <c r="DK819" s="42"/>
      <c r="DL819" s="42"/>
      <c r="DM819" s="42"/>
      <c r="DN819" s="42"/>
      <c r="DO819" s="42"/>
      <c r="DP819" s="42"/>
      <c r="DQ819" s="42"/>
      <c r="DR819" s="42"/>
      <c r="DS819" s="42"/>
      <c r="DT819" s="42"/>
      <c r="DU819" s="42"/>
      <c r="DV819" s="42"/>
      <c r="DW819" s="42"/>
      <c r="DX819" s="42"/>
      <c r="DY819" s="42"/>
      <c r="DZ819" s="42"/>
      <c r="EA819" s="42"/>
      <c r="EB819" s="42"/>
      <c r="EC819" s="42"/>
      <c r="ED819" s="42"/>
      <c r="EE819" s="42"/>
      <c r="EF819" s="42"/>
      <c r="EG819" s="42"/>
      <c r="EH819" s="42"/>
      <c r="EI819" s="42"/>
      <c r="EJ819" s="42"/>
      <c r="EK819" s="42"/>
      <c r="EL819" s="42"/>
      <c r="EM819" s="42"/>
      <c r="EN819" s="42"/>
      <c r="EO819" s="42"/>
      <c r="EP819" s="42"/>
      <c r="EQ819" s="42"/>
      <c r="ER819" s="42"/>
      <c r="ES819" s="42"/>
      <c r="ET819" s="42"/>
      <c r="EU819" s="42"/>
      <c r="EV819" s="42"/>
      <c r="EW819" s="42"/>
      <c r="EX819" s="42"/>
      <c r="EY819" s="42"/>
      <c r="EZ819" s="42"/>
      <c r="FA819" s="42"/>
      <c r="FB819" s="42"/>
      <c r="FC819" s="42"/>
      <c r="FD819" s="42"/>
      <c r="FE819" s="42"/>
      <c r="FF819" s="42"/>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row>
    <row r="820" spans="1:256" ht="13.8" x14ac:dyDescent="0.3">
      <c r="A820" s="42"/>
      <c r="B820" s="42"/>
      <c r="C820" s="42"/>
      <c r="D820" s="42"/>
      <c r="E820" s="42"/>
      <c r="F820" s="42"/>
      <c r="G820" s="42"/>
      <c r="H820" s="42"/>
      <c r="I820" s="42"/>
      <c r="J820" s="42"/>
      <c r="K820" s="42"/>
      <c r="L820" s="42"/>
      <c r="M820" s="42"/>
      <c r="N820" s="42"/>
      <c r="O820" s="42"/>
      <c r="P820" s="42"/>
      <c r="Q820" s="42"/>
      <c r="R820" s="42"/>
      <c r="S820" s="42"/>
      <c r="T820" s="42"/>
      <c r="U820" s="194"/>
      <c r="V820" s="42"/>
      <c r="W820" s="42"/>
      <c r="X820" s="42"/>
      <c r="Y820" s="42"/>
      <c r="Z820" s="42"/>
      <c r="AA820" s="42"/>
      <c r="AB820" s="195"/>
      <c r="AC820" s="42"/>
      <c r="AD820" s="42"/>
      <c r="AE820" s="195"/>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c r="BM820" s="42"/>
      <c r="BN820" s="42"/>
      <c r="BO820" s="42"/>
      <c r="BP820" s="42"/>
      <c r="BQ820" s="42"/>
      <c r="BR820" s="42"/>
      <c r="BS820" s="42"/>
      <c r="BT820" s="42"/>
      <c r="BU820" s="42"/>
      <c r="BV820" s="42"/>
      <c r="BW820" s="42"/>
      <c r="BX820" s="42"/>
      <c r="BY820" s="42"/>
      <c r="BZ820" s="42"/>
      <c r="CA820" s="42"/>
      <c r="CB820" s="42"/>
      <c r="CC820" s="42"/>
      <c r="CD820" s="42"/>
      <c r="CE820" s="42"/>
      <c r="CF820" s="42"/>
      <c r="CG820" s="42"/>
      <c r="CH820" s="42"/>
      <c r="CI820" s="42"/>
      <c r="CJ820" s="42"/>
      <c r="CK820" s="42"/>
      <c r="CL820" s="42"/>
      <c r="CM820" s="42"/>
      <c r="CN820" s="42"/>
      <c r="CO820" s="42"/>
      <c r="CP820" s="42"/>
      <c r="CQ820" s="42"/>
      <c r="CR820" s="42"/>
      <c r="CS820" s="42"/>
      <c r="CT820" s="42"/>
      <c r="CU820" s="42"/>
      <c r="CV820" s="42"/>
      <c r="CW820" s="42"/>
      <c r="CX820" s="42"/>
      <c r="CY820" s="42"/>
      <c r="CZ820" s="42"/>
      <c r="DA820" s="42"/>
      <c r="DB820" s="42"/>
      <c r="DC820" s="42"/>
      <c r="DD820" s="42"/>
      <c r="DE820" s="42"/>
      <c r="DF820" s="42"/>
      <c r="DG820" s="42"/>
      <c r="DH820" s="42"/>
      <c r="DI820" s="42"/>
      <c r="DJ820" s="42"/>
      <c r="DK820" s="42"/>
      <c r="DL820" s="42"/>
      <c r="DM820" s="42"/>
      <c r="DN820" s="42"/>
      <c r="DO820" s="42"/>
      <c r="DP820" s="42"/>
      <c r="DQ820" s="42"/>
      <c r="DR820" s="42"/>
      <c r="DS820" s="42"/>
      <c r="DT820" s="42"/>
      <c r="DU820" s="42"/>
      <c r="DV820" s="42"/>
      <c r="DW820" s="42"/>
      <c r="DX820" s="42"/>
      <c r="DY820" s="42"/>
      <c r="DZ820" s="42"/>
      <c r="EA820" s="42"/>
      <c r="EB820" s="42"/>
      <c r="EC820" s="42"/>
      <c r="ED820" s="42"/>
      <c r="EE820" s="42"/>
      <c r="EF820" s="42"/>
      <c r="EG820" s="42"/>
      <c r="EH820" s="42"/>
      <c r="EI820" s="42"/>
      <c r="EJ820" s="42"/>
      <c r="EK820" s="42"/>
      <c r="EL820" s="42"/>
      <c r="EM820" s="42"/>
      <c r="EN820" s="42"/>
      <c r="EO820" s="42"/>
      <c r="EP820" s="42"/>
      <c r="EQ820" s="42"/>
      <c r="ER820" s="42"/>
      <c r="ES820" s="42"/>
      <c r="ET820" s="42"/>
      <c r="EU820" s="42"/>
      <c r="EV820" s="42"/>
      <c r="EW820" s="42"/>
      <c r="EX820" s="42"/>
      <c r="EY820" s="42"/>
      <c r="EZ820" s="42"/>
      <c r="FA820" s="42"/>
      <c r="FB820" s="42"/>
      <c r="FC820" s="42"/>
      <c r="FD820" s="42"/>
      <c r="FE820" s="42"/>
      <c r="FF820" s="42"/>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row>
    <row r="821" spans="1:256" ht="13.8" x14ac:dyDescent="0.3">
      <c r="A821" s="42"/>
      <c r="B821" s="42"/>
      <c r="C821" s="42"/>
      <c r="D821" s="42"/>
      <c r="E821" s="42"/>
      <c r="F821" s="42"/>
      <c r="G821" s="42"/>
      <c r="H821" s="42"/>
      <c r="I821" s="42"/>
      <c r="J821" s="42"/>
      <c r="K821" s="42"/>
      <c r="L821" s="42"/>
      <c r="M821" s="42"/>
      <c r="N821" s="42"/>
      <c r="O821" s="42"/>
      <c r="P821" s="42"/>
      <c r="Q821" s="42"/>
      <c r="R821" s="42"/>
      <c r="S821" s="42"/>
      <c r="T821" s="42"/>
      <c r="U821" s="194"/>
      <c r="V821" s="42"/>
      <c r="W821" s="42"/>
      <c r="X821" s="42"/>
      <c r="Y821" s="42"/>
      <c r="Z821" s="42"/>
      <c r="AA821" s="42"/>
      <c r="AB821" s="195"/>
      <c r="AC821" s="42"/>
      <c r="AD821" s="42"/>
      <c r="AE821" s="195"/>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c r="BM821" s="42"/>
      <c r="BN821" s="42"/>
      <c r="BO821" s="42"/>
      <c r="BP821" s="42"/>
      <c r="BQ821" s="42"/>
      <c r="BR821" s="42"/>
      <c r="BS821" s="42"/>
      <c r="BT821" s="42"/>
      <c r="BU821" s="42"/>
      <c r="BV821" s="42"/>
      <c r="BW821" s="42"/>
      <c r="BX821" s="42"/>
      <c r="BY821" s="42"/>
      <c r="BZ821" s="42"/>
      <c r="CA821" s="42"/>
      <c r="CB821" s="42"/>
      <c r="CC821" s="42"/>
      <c r="CD821" s="42"/>
      <c r="CE821" s="42"/>
      <c r="CF821" s="42"/>
      <c r="CG821" s="42"/>
      <c r="CH821" s="42"/>
      <c r="CI821" s="42"/>
      <c r="CJ821" s="42"/>
      <c r="CK821" s="42"/>
      <c r="CL821" s="42"/>
      <c r="CM821" s="42"/>
      <c r="CN821" s="42"/>
      <c r="CO821" s="42"/>
      <c r="CP821" s="42"/>
      <c r="CQ821" s="42"/>
      <c r="CR821" s="42"/>
      <c r="CS821" s="42"/>
      <c r="CT821" s="42"/>
      <c r="CU821" s="42"/>
      <c r="CV821" s="42"/>
      <c r="CW821" s="42"/>
      <c r="CX821" s="42"/>
      <c r="CY821" s="42"/>
      <c r="CZ821" s="42"/>
      <c r="DA821" s="42"/>
      <c r="DB821" s="42"/>
      <c r="DC821" s="42"/>
      <c r="DD821" s="42"/>
      <c r="DE821" s="42"/>
      <c r="DF821" s="42"/>
      <c r="DG821" s="42"/>
      <c r="DH821" s="42"/>
      <c r="DI821" s="42"/>
      <c r="DJ821" s="42"/>
      <c r="DK821" s="42"/>
      <c r="DL821" s="42"/>
      <c r="DM821" s="42"/>
      <c r="DN821" s="42"/>
      <c r="DO821" s="42"/>
      <c r="DP821" s="42"/>
      <c r="DQ821" s="42"/>
      <c r="DR821" s="42"/>
      <c r="DS821" s="42"/>
      <c r="DT821" s="42"/>
      <c r="DU821" s="42"/>
      <c r="DV821" s="42"/>
      <c r="DW821" s="42"/>
      <c r="DX821" s="42"/>
      <c r="DY821" s="42"/>
      <c r="DZ821" s="42"/>
      <c r="EA821" s="42"/>
      <c r="EB821" s="42"/>
      <c r="EC821" s="42"/>
      <c r="ED821" s="42"/>
      <c r="EE821" s="42"/>
      <c r="EF821" s="42"/>
      <c r="EG821" s="42"/>
      <c r="EH821" s="42"/>
      <c r="EI821" s="42"/>
      <c r="EJ821" s="42"/>
      <c r="EK821" s="42"/>
      <c r="EL821" s="42"/>
      <c r="EM821" s="42"/>
      <c r="EN821" s="42"/>
      <c r="EO821" s="42"/>
      <c r="EP821" s="42"/>
      <c r="EQ821" s="42"/>
      <c r="ER821" s="42"/>
      <c r="ES821" s="42"/>
      <c r="ET821" s="42"/>
      <c r="EU821" s="42"/>
      <c r="EV821" s="42"/>
      <c r="EW821" s="42"/>
      <c r="EX821" s="42"/>
      <c r="EY821" s="42"/>
      <c r="EZ821" s="42"/>
      <c r="FA821" s="42"/>
      <c r="FB821" s="42"/>
      <c r="FC821" s="42"/>
      <c r="FD821" s="42"/>
      <c r="FE821" s="42"/>
      <c r="FF821" s="42"/>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row>
    <row r="822" spans="1:256" ht="13.8" x14ac:dyDescent="0.3">
      <c r="A822" s="42"/>
      <c r="B822" s="42"/>
      <c r="C822" s="42"/>
      <c r="D822" s="42"/>
      <c r="E822" s="42"/>
      <c r="F822" s="42"/>
      <c r="G822" s="42"/>
      <c r="H822" s="42"/>
      <c r="I822" s="42"/>
      <c r="J822" s="42"/>
      <c r="K822" s="42"/>
      <c r="L822" s="42"/>
      <c r="M822" s="42"/>
      <c r="N822" s="42"/>
      <c r="O822" s="42"/>
      <c r="P822" s="42"/>
      <c r="Q822" s="42"/>
      <c r="R822" s="42"/>
      <c r="S822" s="42"/>
      <c r="T822" s="42"/>
      <c r="U822" s="194"/>
      <c r="V822" s="42"/>
      <c r="W822" s="42"/>
      <c r="X822" s="42"/>
      <c r="Y822" s="42"/>
      <c r="Z822" s="42"/>
      <c r="AA822" s="42"/>
      <c r="AB822" s="195"/>
      <c r="AC822" s="42"/>
      <c r="AD822" s="42"/>
      <c r="AE822" s="195"/>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c r="BM822" s="42"/>
      <c r="BN822" s="42"/>
      <c r="BO822" s="42"/>
      <c r="BP822" s="42"/>
      <c r="BQ822" s="42"/>
      <c r="BR822" s="42"/>
      <c r="BS822" s="42"/>
      <c r="BT822" s="42"/>
      <c r="BU822" s="42"/>
      <c r="BV822" s="42"/>
      <c r="BW822" s="42"/>
      <c r="BX822" s="42"/>
      <c r="BY822" s="42"/>
      <c r="BZ822" s="42"/>
      <c r="CA822" s="42"/>
      <c r="CB822" s="42"/>
      <c r="CC822" s="42"/>
      <c r="CD822" s="42"/>
      <c r="CE822" s="42"/>
      <c r="CF822" s="42"/>
      <c r="CG822" s="42"/>
      <c r="CH822" s="42"/>
      <c r="CI822" s="42"/>
      <c r="CJ822" s="42"/>
      <c r="CK822" s="42"/>
      <c r="CL822" s="42"/>
      <c r="CM822" s="42"/>
      <c r="CN822" s="42"/>
      <c r="CO822" s="42"/>
      <c r="CP822" s="42"/>
      <c r="CQ822" s="42"/>
      <c r="CR822" s="42"/>
      <c r="CS822" s="42"/>
      <c r="CT822" s="42"/>
      <c r="CU822" s="42"/>
      <c r="CV822" s="42"/>
      <c r="CW822" s="42"/>
      <c r="CX822" s="42"/>
      <c r="CY822" s="42"/>
      <c r="CZ822" s="42"/>
      <c r="DA822" s="42"/>
      <c r="DB822" s="42"/>
      <c r="DC822" s="42"/>
      <c r="DD822" s="42"/>
      <c r="DE822" s="42"/>
      <c r="DF822" s="42"/>
      <c r="DG822" s="42"/>
      <c r="DH822" s="42"/>
      <c r="DI822" s="42"/>
      <c r="DJ822" s="42"/>
      <c r="DK822" s="42"/>
      <c r="DL822" s="42"/>
      <c r="DM822" s="42"/>
      <c r="DN822" s="42"/>
      <c r="DO822" s="42"/>
      <c r="DP822" s="42"/>
      <c r="DQ822" s="42"/>
      <c r="DR822" s="42"/>
      <c r="DS822" s="42"/>
      <c r="DT822" s="42"/>
      <c r="DU822" s="42"/>
      <c r="DV822" s="42"/>
      <c r="DW822" s="42"/>
      <c r="DX822" s="42"/>
      <c r="DY822" s="42"/>
      <c r="DZ822" s="42"/>
      <c r="EA822" s="42"/>
      <c r="EB822" s="42"/>
      <c r="EC822" s="42"/>
      <c r="ED822" s="42"/>
      <c r="EE822" s="42"/>
      <c r="EF822" s="42"/>
      <c r="EG822" s="42"/>
      <c r="EH822" s="42"/>
      <c r="EI822" s="42"/>
      <c r="EJ822" s="42"/>
      <c r="EK822" s="42"/>
      <c r="EL822" s="42"/>
      <c r="EM822" s="42"/>
      <c r="EN822" s="42"/>
      <c r="EO822" s="42"/>
      <c r="EP822" s="42"/>
      <c r="EQ822" s="42"/>
      <c r="ER822" s="42"/>
      <c r="ES822" s="42"/>
      <c r="ET822" s="42"/>
      <c r="EU822" s="42"/>
      <c r="EV822" s="42"/>
      <c r="EW822" s="42"/>
      <c r="EX822" s="42"/>
      <c r="EY822" s="42"/>
      <c r="EZ822" s="42"/>
      <c r="FA822" s="42"/>
      <c r="FB822" s="42"/>
      <c r="FC822" s="42"/>
      <c r="FD822" s="42"/>
      <c r="FE822" s="42"/>
      <c r="FF822" s="42"/>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row>
    <row r="823" spans="1:256" ht="13.8" x14ac:dyDescent="0.3">
      <c r="A823" s="42"/>
      <c r="B823" s="42"/>
      <c r="C823" s="42"/>
      <c r="D823" s="42"/>
      <c r="E823" s="42"/>
      <c r="F823" s="42"/>
      <c r="G823" s="42"/>
      <c r="H823" s="42"/>
      <c r="I823" s="42"/>
      <c r="J823" s="42"/>
      <c r="K823" s="42"/>
      <c r="L823" s="42"/>
      <c r="M823" s="42"/>
      <c r="N823" s="42"/>
      <c r="O823" s="42"/>
      <c r="P823" s="42"/>
      <c r="Q823" s="42"/>
      <c r="R823" s="42"/>
      <c r="S823" s="42"/>
      <c r="T823" s="42"/>
      <c r="U823" s="194"/>
      <c r="V823" s="42"/>
      <c r="W823" s="42"/>
      <c r="X823" s="42"/>
      <c r="Y823" s="42"/>
      <c r="Z823" s="42"/>
      <c r="AA823" s="42"/>
      <c r="AB823" s="195"/>
      <c r="AC823" s="42"/>
      <c r="AD823" s="42"/>
      <c r="AE823" s="195"/>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c r="BM823" s="42"/>
      <c r="BN823" s="42"/>
      <c r="BO823" s="42"/>
      <c r="BP823" s="42"/>
      <c r="BQ823" s="42"/>
      <c r="BR823" s="42"/>
      <c r="BS823" s="42"/>
      <c r="BT823" s="42"/>
      <c r="BU823" s="42"/>
      <c r="BV823" s="42"/>
      <c r="BW823" s="42"/>
      <c r="BX823" s="42"/>
      <c r="BY823" s="42"/>
      <c r="BZ823" s="42"/>
      <c r="CA823" s="42"/>
      <c r="CB823" s="42"/>
      <c r="CC823" s="42"/>
      <c r="CD823" s="42"/>
      <c r="CE823" s="42"/>
      <c r="CF823" s="42"/>
      <c r="CG823" s="42"/>
      <c r="CH823" s="42"/>
      <c r="CI823" s="42"/>
      <c r="CJ823" s="42"/>
      <c r="CK823" s="42"/>
      <c r="CL823" s="42"/>
      <c r="CM823" s="42"/>
      <c r="CN823" s="42"/>
      <c r="CO823" s="42"/>
      <c r="CP823" s="42"/>
      <c r="CQ823" s="42"/>
      <c r="CR823" s="42"/>
      <c r="CS823" s="42"/>
      <c r="CT823" s="42"/>
      <c r="CU823" s="42"/>
      <c r="CV823" s="42"/>
      <c r="CW823" s="42"/>
      <c r="CX823" s="42"/>
      <c r="CY823" s="42"/>
      <c r="CZ823" s="42"/>
      <c r="DA823" s="42"/>
      <c r="DB823" s="42"/>
      <c r="DC823" s="42"/>
      <c r="DD823" s="42"/>
      <c r="DE823" s="42"/>
      <c r="DF823" s="42"/>
      <c r="DG823" s="42"/>
      <c r="DH823" s="42"/>
      <c r="DI823" s="42"/>
      <c r="DJ823" s="42"/>
      <c r="DK823" s="42"/>
      <c r="DL823" s="42"/>
      <c r="DM823" s="42"/>
      <c r="DN823" s="42"/>
      <c r="DO823" s="42"/>
      <c r="DP823" s="42"/>
      <c r="DQ823" s="42"/>
      <c r="DR823" s="42"/>
      <c r="DS823" s="42"/>
      <c r="DT823" s="42"/>
      <c r="DU823" s="42"/>
      <c r="DV823" s="42"/>
      <c r="DW823" s="42"/>
      <c r="DX823" s="42"/>
      <c r="DY823" s="42"/>
      <c r="DZ823" s="42"/>
      <c r="EA823" s="42"/>
      <c r="EB823" s="42"/>
      <c r="EC823" s="42"/>
      <c r="ED823" s="42"/>
      <c r="EE823" s="42"/>
      <c r="EF823" s="42"/>
      <c r="EG823" s="42"/>
      <c r="EH823" s="42"/>
      <c r="EI823" s="42"/>
      <c r="EJ823" s="42"/>
      <c r="EK823" s="42"/>
      <c r="EL823" s="42"/>
      <c r="EM823" s="42"/>
      <c r="EN823" s="42"/>
      <c r="EO823" s="42"/>
      <c r="EP823" s="42"/>
      <c r="EQ823" s="42"/>
      <c r="ER823" s="42"/>
      <c r="ES823" s="42"/>
      <c r="ET823" s="42"/>
      <c r="EU823" s="42"/>
      <c r="EV823" s="42"/>
      <c r="EW823" s="42"/>
      <c r="EX823" s="42"/>
      <c r="EY823" s="42"/>
      <c r="EZ823" s="42"/>
      <c r="FA823" s="42"/>
      <c r="FB823" s="42"/>
      <c r="FC823" s="42"/>
      <c r="FD823" s="42"/>
      <c r="FE823" s="42"/>
      <c r="FF823" s="42"/>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row>
    <row r="824" spans="1:256" ht="13.8" x14ac:dyDescent="0.3">
      <c r="A824" s="42"/>
      <c r="B824" s="42"/>
      <c r="C824" s="42"/>
      <c r="D824" s="42"/>
      <c r="E824" s="42"/>
      <c r="F824" s="42"/>
      <c r="G824" s="42"/>
      <c r="H824" s="42"/>
      <c r="I824" s="42"/>
      <c r="J824" s="42"/>
      <c r="K824" s="42"/>
      <c r="L824" s="42"/>
      <c r="M824" s="42"/>
      <c r="N824" s="42"/>
      <c r="O824" s="42"/>
      <c r="P824" s="42"/>
      <c r="Q824" s="42"/>
      <c r="R824" s="42"/>
      <c r="S824" s="42"/>
      <c r="T824" s="42"/>
      <c r="U824" s="194"/>
      <c r="V824" s="42"/>
      <c r="W824" s="42"/>
      <c r="X824" s="42"/>
      <c r="Y824" s="42"/>
      <c r="Z824" s="42"/>
      <c r="AA824" s="42"/>
      <c r="AB824" s="195"/>
      <c r="AC824" s="42"/>
      <c r="AD824" s="42"/>
      <c r="AE824" s="195"/>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c r="BM824" s="42"/>
      <c r="BN824" s="42"/>
      <c r="BO824" s="42"/>
      <c r="BP824" s="42"/>
      <c r="BQ824" s="42"/>
      <c r="BR824" s="42"/>
      <c r="BS824" s="42"/>
      <c r="BT824" s="42"/>
      <c r="BU824" s="42"/>
      <c r="BV824" s="42"/>
      <c r="BW824" s="42"/>
      <c r="BX824" s="42"/>
      <c r="BY824" s="42"/>
      <c r="BZ824" s="42"/>
      <c r="CA824" s="42"/>
      <c r="CB824" s="42"/>
      <c r="CC824" s="42"/>
      <c r="CD824" s="42"/>
      <c r="CE824" s="42"/>
      <c r="CF824" s="42"/>
      <c r="CG824" s="42"/>
      <c r="CH824" s="42"/>
      <c r="CI824" s="42"/>
      <c r="CJ824" s="42"/>
      <c r="CK824" s="42"/>
      <c r="CL824" s="42"/>
      <c r="CM824" s="42"/>
      <c r="CN824" s="42"/>
      <c r="CO824" s="42"/>
      <c r="CP824" s="42"/>
      <c r="CQ824" s="42"/>
      <c r="CR824" s="42"/>
      <c r="CS824" s="42"/>
      <c r="CT824" s="42"/>
      <c r="CU824" s="42"/>
      <c r="CV824" s="42"/>
      <c r="CW824" s="42"/>
      <c r="CX824" s="42"/>
      <c r="CY824" s="42"/>
      <c r="CZ824" s="42"/>
      <c r="DA824" s="42"/>
      <c r="DB824" s="42"/>
      <c r="DC824" s="42"/>
      <c r="DD824" s="42"/>
      <c r="DE824" s="42"/>
      <c r="DF824" s="42"/>
      <c r="DG824" s="42"/>
      <c r="DH824" s="42"/>
      <c r="DI824" s="42"/>
      <c r="DJ824" s="42"/>
      <c r="DK824" s="42"/>
      <c r="DL824" s="42"/>
      <c r="DM824" s="42"/>
      <c r="DN824" s="42"/>
      <c r="DO824" s="42"/>
      <c r="DP824" s="42"/>
      <c r="DQ824" s="42"/>
      <c r="DR824" s="42"/>
      <c r="DS824" s="42"/>
      <c r="DT824" s="42"/>
      <c r="DU824" s="42"/>
      <c r="DV824" s="42"/>
      <c r="DW824" s="42"/>
      <c r="DX824" s="42"/>
      <c r="DY824" s="42"/>
      <c r="DZ824" s="42"/>
      <c r="EA824" s="42"/>
      <c r="EB824" s="42"/>
      <c r="EC824" s="42"/>
      <c r="ED824" s="42"/>
      <c r="EE824" s="42"/>
      <c r="EF824" s="42"/>
      <c r="EG824" s="42"/>
      <c r="EH824" s="42"/>
      <c r="EI824" s="42"/>
      <c r="EJ824" s="42"/>
      <c r="EK824" s="42"/>
      <c r="EL824" s="42"/>
      <c r="EM824" s="42"/>
      <c r="EN824" s="42"/>
      <c r="EO824" s="42"/>
      <c r="EP824" s="42"/>
      <c r="EQ824" s="42"/>
      <c r="ER824" s="42"/>
      <c r="ES824" s="42"/>
      <c r="ET824" s="42"/>
      <c r="EU824" s="42"/>
      <c r="EV824" s="42"/>
      <c r="EW824" s="42"/>
      <c r="EX824" s="42"/>
      <c r="EY824" s="42"/>
      <c r="EZ824" s="42"/>
      <c r="FA824" s="42"/>
      <c r="FB824" s="42"/>
      <c r="FC824" s="42"/>
      <c r="FD824" s="42"/>
      <c r="FE824" s="42"/>
      <c r="FF824" s="42"/>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row>
    <row r="825" spans="1:256" ht="13.8" x14ac:dyDescent="0.3">
      <c r="A825" s="42"/>
      <c r="B825" s="42"/>
      <c r="C825" s="42"/>
      <c r="D825" s="42"/>
      <c r="E825" s="42"/>
      <c r="F825" s="42"/>
      <c r="G825" s="42"/>
      <c r="H825" s="42"/>
      <c r="I825" s="42"/>
      <c r="J825" s="42"/>
      <c r="K825" s="42"/>
      <c r="L825" s="42"/>
      <c r="M825" s="42"/>
      <c r="N825" s="42"/>
      <c r="O825" s="42"/>
      <c r="P825" s="42"/>
      <c r="Q825" s="42"/>
      <c r="R825" s="42"/>
      <c r="S825" s="42"/>
      <c r="T825" s="42"/>
      <c r="U825" s="194"/>
      <c r="V825" s="42"/>
      <c r="W825" s="42"/>
      <c r="X825" s="42"/>
      <c r="Y825" s="42"/>
      <c r="Z825" s="42"/>
      <c r="AA825" s="42"/>
      <c r="AB825" s="195"/>
      <c r="AC825" s="42"/>
      <c r="AD825" s="42"/>
      <c r="AE825" s="195"/>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c r="BM825" s="42"/>
      <c r="BN825" s="42"/>
      <c r="BO825" s="42"/>
      <c r="BP825" s="42"/>
      <c r="BQ825" s="42"/>
      <c r="BR825" s="42"/>
      <c r="BS825" s="42"/>
      <c r="BT825" s="42"/>
      <c r="BU825" s="42"/>
      <c r="BV825" s="42"/>
      <c r="BW825" s="42"/>
      <c r="BX825" s="42"/>
      <c r="BY825" s="42"/>
      <c r="BZ825" s="42"/>
      <c r="CA825" s="42"/>
      <c r="CB825" s="42"/>
      <c r="CC825" s="42"/>
      <c r="CD825" s="42"/>
      <c r="CE825" s="42"/>
      <c r="CF825" s="42"/>
      <c r="CG825" s="42"/>
      <c r="CH825" s="42"/>
      <c r="CI825" s="42"/>
      <c r="CJ825" s="42"/>
      <c r="CK825" s="42"/>
      <c r="CL825" s="42"/>
      <c r="CM825" s="42"/>
      <c r="CN825" s="42"/>
      <c r="CO825" s="42"/>
      <c r="CP825" s="42"/>
      <c r="CQ825" s="42"/>
      <c r="CR825" s="42"/>
      <c r="CS825" s="42"/>
      <c r="CT825" s="42"/>
      <c r="CU825" s="42"/>
      <c r="CV825" s="42"/>
      <c r="CW825" s="42"/>
      <c r="CX825" s="42"/>
      <c r="CY825" s="42"/>
      <c r="CZ825" s="42"/>
      <c r="DA825" s="42"/>
      <c r="DB825" s="42"/>
      <c r="DC825" s="42"/>
      <c r="DD825" s="42"/>
      <c r="DE825" s="42"/>
      <c r="DF825" s="42"/>
      <c r="DG825" s="42"/>
      <c r="DH825" s="42"/>
      <c r="DI825" s="42"/>
      <c r="DJ825" s="42"/>
      <c r="DK825" s="42"/>
      <c r="DL825" s="42"/>
      <c r="DM825" s="42"/>
      <c r="DN825" s="42"/>
      <c r="DO825" s="42"/>
      <c r="DP825" s="42"/>
      <c r="DQ825" s="42"/>
      <c r="DR825" s="42"/>
      <c r="DS825" s="42"/>
      <c r="DT825" s="42"/>
      <c r="DU825" s="42"/>
      <c r="DV825" s="42"/>
      <c r="DW825" s="42"/>
      <c r="DX825" s="42"/>
      <c r="DY825" s="42"/>
      <c r="DZ825" s="42"/>
      <c r="EA825" s="42"/>
      <c r="EB825" s="42"/>
      <c r="EC825" s="42"/>
      <c r="ED825" s="42"/>
      <c r="EE825" s="42"/>
      <c r="EF825" s="42"/>
      <c r="EG825" s="42"/>
      <c r="EH825" s="42"/>
      <c r="EI825" s="42"/>
      <c r="EJ825" s="42"/>
      <c r="EK825" s="42"/>
      <c r="EL825" s="42"/>
      <c r="EM825" s="42"/>
      <c r="EN825" s="42"/>
      <c r="EO825" s="42"/>
      <c r="EP825" s="42"/>
      <c r="EQ825" s="42"/>
      <c r="ER825" s="42"/>
      <c r="ES825" s="42"/>
      <c r="ET825" s="42"/>
      <c r="EU825" s="42"/>
      <c r="EV825" s="42"/>
      <c r="EW825" s="42"/>
      <c r="EX825" s="42"/>
      <c r="EY825" s="42"/>
      <c r="EZ825" s="42"/>
      <c r="FA825" s="42"/>
      <c r="FB825" s="42"/>
      <c r="FC825" s="42"/>
      <c r="FD825" s="42"/>
      <c r="FE825" s="42"/>
      <c r="FF825" s="42"/>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row>
    <row r="826" spans="1:256" ht="13.8" x14ac:dyDescent="0.3">
      <c r="A826" s="42"/>
      <c r="B826" s="42"/>
      <c r="C826" s="42"/>
      <c r="D826" s="42"/>
      <c r="E826" s="42"/>
      <c r="F826" s="42"/>
      <c r="G826" s="42"/>
      <c r="H826" s="42"/>
      <c r="I826" s="42"/>
      <c r="J826" s="42"/>
      <c r="K826" s="42"/>
      <c r="L826" s="42"/>
      <c r="M826" s="42"/>
      <c r="N826" s="42"/>
      <c r="O826" s="42"/>
      <c r="P826" s="42"/>
      <c r="Q826" s="42"/>
      <c r="R826" s="42"/>
      <c r="S826" s="42"/>
      <c r="T826" s="42"/>
      <c r="U826" s="194"/>
      <c r="V826" s="42"/>
      <c r="W826" s="42"/>
      <c r="X826" s="42"/>
      <c r="Y826" s="42"/>
      <c r="Z826" s="42"/>
      <c r="AA826" s="42"/>
      <c r="AB826" s="195"/>
      <c r="AC826" s="42"/>
      <c r="AD826" s="42"/>
      <c r="AE826" s="195"/>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c r="BM826" s="42"/>
      <c r="BN826" s="42"/>
      <c r="BO826" s="42"/>
      <c r="BP826" s="42"/>
      <c r="BQ826" s="42"/>
      <c r="BR826" s="42"/>
      <c r="BS826" s="42"/>
      <c r="BT826" s="42"/>
      <c r="BU826" s="42"/>
      <c r="BV826" s="42"/>
      <c r="BW826" s="42"/>
      <c r="BX826" s="42"/>
      <c r="BY826" s="42"/>
      <c r="BZ826" s="42"/>
      <c r="CA826" s="42"/>
      <c r="CB826" s="42"/>
      <c r="CC826" s="42"/>
      <c r="CD826" s="42"/>
      <c r="CE826" s="42"/>
      <c r="CF826" s="42"/>
      <c r="CG826" s="42"/>
      <c r="CH826" s="42"/>
      <c r="CI826" s="42"/>
      <c r="CJ826" s="42"/>
      <c r="CK826" s="42"/>
      <c r="CL826" s="42"/>
      <c r="CM826" s="42"/>
      <c r="CN826" s="42"/>
      <c r="CO826" s="42"/>
      <c r="CP826" s="42"/>
      <c r="CQ826" s="42"/>
      <c r="CR826" s="42"/>
      <c r="CS826" s="42"/>
      <c r="CT826" s="42"/>
      <c r="CU826" s="42"/>
      <c r="CV826" s="42"/>
      <c r="CW826" s="42"/>
      <c r="CX826" s="42"/>
      <c r="CY826" s="42"/>
      <c r="CZ826" s="42"/>
      <c r="DA826" s="42"/>
      <c r="DB826" s="42"/>
      <c r="DC826" s="42"/>
      <c r="DD826" s="42"/>
      <c r="DE826" s="42"/>
      <c r="DF826" s="42"/>
      <c r="DG826" s="42"/>
      <c r="DH826" s="42"/>
      <c r="DI826" s="42"/>
      <c r="DJ826" s="42"/>
      <c r="DK826" s="42"/>
      <c r="DL826" s="42"/>
      <c r="DM826" s="42"/>
      <c r="DN826" s="42"/>
      <c r="DO826" s="42"/>
      <c r="DP826" s="42"/>
      <c r="DQ826" s="42"/>
      <c r="DR826" s="42"/>
      <c r="DS826" s="42"/>
      <c r="DT826" s="42"/>
      <c r="DU826" s="42"/>
      <c r="DV826" s="42"/>
      <c r="DW826" s="42"/>
      <c r="DX826" s="42"/>
      <c r="DY826" s="42"/>
      <c r="DZ826" s="42"/>
      <c r="EA826" s="42"/>
      <c r="EB826" s="42"/>
      <c r="EC826" s="42"/>
      <c r="ED826" s="42"/>
      <c r="EE826" s="42"/>
      <c r="EF826" s="42"/>
      <c r="EG826" s="42"/>
      <c r="EH826" s="42"/>
      <c r="EI826" s="42"/>
      <c r="EJ826" s="42"/>
      <c r="EK826" s="42"/>
      <c r="EL826" s="42"/>
      <c r="EM826" s="42"/>
      <c r="EN826" s="42"/>
      <c r="EO826" s="42"/>
      <c r="EP826" s="42"/>
      <c r="EQ826" s="42"/>
      <c r="ER826" s="42"/>
      <c r="ES826" s="42"/>
      <c r="ET826" s="42"/>
      <c r="EU826" s="42"/>
      <c r="EV826" s="42"/>
      <c r="EW826" s="42"/>
      <c r="EX826" s="42"/>
      <c r="EY826" s="42"/>
      <c r="EZ826" s="42"/>
      <c r="FA826" s="42"/>
      <c r="FB826" s="42"/>
      <c r="FC826" s="42"/>
      <c r="FD826" s="42"/>
      <c r="FE826" s="42"/>
      <c r="FF826" s="42"/>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row>
    <row r="827" spans="1:256" ht="13.8" x14ac:dyDescent="0.3">
      <c r="A827" s="42"/>
      <c r="B827" s="42"/>
      <c r="C827" s="42"/>
      <c r="D827" s="42"/>
      <c r="E827" s="42"/>
      <c r="F827" s="42"/>
      <c r="G827" s="42"/>
      <c r="H827" s="42"/>
      <c r="I827" s="42"/>
      <c r="J827" s="42"/>
      <c r="K827" s="42"/>
      <c r="L827" s="42"/>
      <c r="M827" s="42"/>
      <c r="N827" s="42"/>
      <c r="O827" s="42"/>
      <c r="P827" s="42"/>
      <c r="Q827" s="42"/>
      <c r="R827" s="42"/>
      <c r="S827" s="42"/>
      <c r="T827" s="42"/>
      <c r="U827" s="194"/>
      <c r="V827" s="42"/>
      <c r="W827" s="42"/>
      <c r="X827" s="42"/>
      <c r="Y827" s="42"/>
      <c r="Z827" s="42"/>
      <c r="AA827" s="42"/>
      <c r="AB827" s="195"/>
      <c r="AC827" s="42"/>
      <c r="AD827" s="42"/>
      <c r="AE827" s="195"/>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c r="BM827" s="42"/>
      <c r="BN827" s="42"/>
      <c r="BO827" s="42"/>
      <c r="BP827" s="42"/>
      <c r="BQ827" s="42"/>
      <c r="BR827" s="42"/>
      <c r="BS827" s="42"/>
      <c r="BT827" s="42"/>
      <c r="BU827" s="42"/>
      <c r="BV827" s="42"/>
      <c r="BW827" s="42"/>
      <c r="BX827" s="42"/>
      <c r="BY827" s="42"/>
      <c r="BZ827" s="42"/>
      <c r="CA827" s="42"/>
      <c r="CB827" s="42"/>
      <c r="CC827" s="42"/>
      <c r="CD827" s="42"/>
      <c r="CE827" s="42"/>
      <c r="CF827" s="42"/>
      <c r="CG827" s="42"/>
      <c r="CH827" s="42"/>
      <c r="CI827" s="42"/>
      <c r="CJ827" s="42"/>
      <c r="CK827" s="42"/>
      <c r="CL827" s="42"/>
      <c r="CM827" s="42"/>
      <c r="CN827" s="42"/>
      <c r="CO827" s="42"/>
      <c r="CP827" s="42"/>
      <c r="CQ827" s="42"/>
      <c r="CR827" s="42"/>
      <c r="CS827" s="42"/>
      <c r="CT827" s="42"/>
      <c r="CU827" s="42"/>
      <c r="CV827" s="42"/>
      <c r="CW827" s="42"/>
      <c r="CX827" s="42"/>
      <c r="CY827" s="42"/>
      <c r="CZ827" s="42"/>
      <c r="DA827" s="42"/>
      <c r="DB827" s="42"/>
      <c r="DC827" s="42"/>
      <c r="DD827" s="42"/>
      <c r="DE827" s="42"/>
      <c r="DF827" s="42"/>
      <c r="DG827" s="42"/>
      <c r="DH827" s="42"/>
      <c r="DI827" s="42"/>
      <c r="DJ827" s="42"/>
      <c r="DK827" s="42"/>
      <c r="DL827" s="42"/>
      <c r="DM827" s="42"/>
      <c r="DN827" s="42"/>
      <c r="DO827" s="42"/>
      <c r="DP827" s="42"/>
      <c r="DQ827" s="42"/>
      <c r="DR827" s="42"/>
      <c r="DS827" s="42"/>
      <c r="DT827" s="42"/>
      <c r="DU827" s="42"/>
      <c r="DV827" s="42"/>
      <c r="DW827" s="42"/>
      <c r="DX827" s="42"/>
      <c r="DY827" s="42"/>
      <c r="DZ827" s="42"/>
      <c r="EA827" s="42"/>
      <c r="EB827" s="42"/>
      <c r="EC827" s="42"/>
      <c r="ED827" s="42"/>
      <c r="EE827" s="42"/>
      <c r="EF827" s="42"/>
      <c r="EG827" s="42"/>
      <c r="EH827" s="42"/>
      <c r="EI827" s="42"/>
      <c r="EJ827" s="42"/>
      <c r="EK827" s="42"/>
      <c r="EL827" s="42"/>
      <c r="EM827" s="42"/>
      <c r="EN827" s="42"/>
      <c r="EO827" s="42"/>
      <c r="EP827" s="42"/>
      <c r="EQ827" s="42"/>
      <c r="ER827" s="42"/>
      <c r="ES827" s="42"/>
      <c r="ET827" s="42"/>
      <c r="EU827" s="42"/>
      <c r="EV827" s="42"/>
      <c r="EW827" s="42"/>
      <c r="EX827" s="42"/>
      <c r="EY827" s="42"/>
      <c r="EZ827" s="42"/>
      <c r="FA827" s="42"/>
      <c r="FB827" s="42"/>
      <c r="FC827" s="42"/>
      <c r="FD827" s="42"/>
      <c r="FE827" s="42"/>
      <c r="FF827" s="42"/>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row>
    <row r="828" spans="1:256" ht="13.8" x14ac:dyDescent="0.3">
      <c r="A828" s="42"/>
      <c r="B828" s="42"/>
      <c r="C828" s="42"/>
      <c r="D828" s="42"/>
      <c r="E828" s="42"/>
      <c r="F828" s="42"/>
      <c r="G828" s="42"/>
      <c r="H828" s="42"/>
      <c r="I828" s="42"/>
      <c r="J828" s="42"/>
      <c r="K828" s="42"/>
      <c r="L828" s="42"/>
      <c r="M828" s="42"/>
      <c r="N828" s="42"/>
      <c r="O828" s="42"/>
      <c r="P828" s="42"/>
      <c r="Q828" s="42"/>
      <c r="R828" s="42"/>
      <c r="S828" s="42"/>
      <c r="T828" s="42"/>
      <c r="U828" s="194"/>
      <c r="V828" s="42"/>
      <c r="W828" s="42"/>
      <c r="X828" s="42"/>
      <c r="Y828" s="42"/>
      <c r="Z828" s="42"/>
      <c r="AA828" s="42"/>
      <c r="AB828" s="195"/>
      <c r="AC828" s="42"/>
      <c r="AD828" s="42"/>
      <c r="AE828" s="195"/>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c r="BM828" s="42"/>
      <c r="BN828" s="42"/>
      <c r="BO828" s="42"/>
      <c r="BP828" s="42"/>
      <c r="BQ828" s="42"/>
      <c r="BR828" s="42"/>
      <c r="BS828" s="42"/>
      <c r="BT828" s="42"/>
      <c r="BU828" s="42"/>
      <c r="BV828" s="42"/>
      <c r="BW828" s="42"/>
      <c r="BX828" s="42"/>
      <c r="BY828" s="42"/>
      <c r="BZ828" s="42"/>
      <c r="CA828" s="42"/>
      <c r="CB828" s="42"/>
      <c r="CC828" s="42"/>
      <c r="CD828" s="42"/>
      <c r="CE828" s="42"/>
      <c r="CF828" s="42"/>
      <c r="CG828" s="42"/>
      <c r="CH828" s="42"/>
      <c r="CI828" s="42"/>
      <c r="CJ828" s="42"/>
      <c r="CK828" s="42"/>
      <c r="CL828" s="42"/>
      <c r="CM828" s="42"/>
      <c r="CN828" s="42"/>
      <c r="CO828" s="42"/>
      <c r="CP828" s="42"/>
      <c r="CQ828" s="42"/>
      <c r="CR828" s="42"/>
      <c r="CS828" s="42"/>
      <c r="CT828" s="42"/>
      <c r="CU828" s="42"/>
      <c r="CV828" s="42"/>
      <c r="CW828" s="42"/>
      <c r="CX828" s="42"/>
      <c r="CY828" s="42"/>
      <c r="CZ828" s="42"/>
      <c r="DA828" s="42"/>
      <c r="DB828" s="42"/>
      <c r="DC828" s="42"/>
      <c r="DD828" s="42"/>
      <c r="DE828" s="42"/>
      <c r="DF828" s="42"/>
      <c r="DG828" s="42"/>
      <c r="DH828" s="42"/>
      <c r="DI828" s="42"/>
      <c r="DJ828" s="42"/>
      <c r="DK828" s="42"/>
      <c r="DL828" s="42"/>
      <c r="DM828" s="42"/>
      <c r="DN828" s="42"/>
      <c r="DO828" s="42"/>
      <c r="DP828" s="42"/>
      <c r="DQ828" s="42"/>
      <c r="DR828" s="42"/>
      <c r="DS828" s="42"/>
      <c r="DT828" s="42"/>
      <c r="DU828" s="42"/>
      <c r="DV828" s="42"/>
      <c r="DW828" s="42"/>
      <c r="DX828" s="42"/>
      <c r="DY828" s="42"/>
      <c r="DZ828" s="42"/>
      <c r="EA828" s="42"/>
      <c r="EB828" s="42"/>
      <c r="EC828" s="42"/>
      <c r="ED828" s="42"/>
      <c r="EE828" s="42"/>
      <c r="EF828" s="42"/>
      <c r="EG828" s="42"/>
      <c r="EH828" s="42"/>
      <c r="EI828" s="42"/>
      <c r="EJ828" s="42"/>
      <c r="EK828" s="42"/>
      <c r="EL828" s="42"/>
      <c r="EM828" s="42"/>
      <c r="EN828" s="42"/>
      <c r="EO828" s="42"/>
      <c r="EP828" s="42"/>
      <c r="EQ828" s="42"/>
      <c r="ER828" s="42"/>
      <c r="ES828" s="42"/>
      <c r="ET828" s="42"/>
      <c r="EU828" s="42"/>
      <c r="EV828" s="42"/>
      <c r="EW828" s="42"/>
      <c r="EX828" s="42"/>
      <c r="EY828" s="42"/>
      <c r="EZ828" s="42"/>
      <c r="FA828" s="42"/>
      <c r="FB828" s="42"/>
      <c r="FC828" s="42"/>
      <c r="FD828" s="42"/>
      <c r="FE828" s="42"/>
      <c r="FF828" s="42"/>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row>
    <row r="829" spans="1:256" ht="13.8" x14ac:dyDescent="0.3">
      <c r="A829" s="42"/>
      <c r="B829" s="42"/>
      <c r="C829" s="42"/>
      <c r="D829" s="42"/>
      <c r="E829" s="42"/>
      <c r="F829" s="42"/>
      <c r="G829" s="42"/>
      <c r="H829" s="42"/>
      <c r="I829" s="42"/>
      <c r="J829" s="42"/>
      <c r="K829" s="42"/>
      <c r="L829" s="42"/>
      <c r="M829" s="42"/>
      <c r="N829" s="42"/>
      <c r="O829" s="42"/>
      <c r="P829" s="42"/>
      <c r="Q829" s="42"/>
      <c r="R829" s="42"/>
      <c r="S829" s="42"/>
      <c r="T829" s="42"/>
      <c r="U829" s="194"/>
      <c r="V829" s="42"/>
      <c r="W829" s="42"/>
      <c r="X829" s="42"/>
      <c r="Y829" s="42"/>
      <c r="Z829" s="42"/>
      <c r="AA829" s="42"/>
      <c r="AB829" s="195"/>
      <c r="AC829" s="42"/>
      <c r="AD829" s="42"/>
      <c r="AE829" s="195"/>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c r="BM829" s="42"/>
      <c r="BN829" s="42"/>
      <c r="BO829" s="42"/>
      <c r="BP829" s="42"/>
      <c r="BQ829" s="42"/>
      <c r="BR829" s="42"/>
      <c r="BS829" s="42"/>
      <c r="BT829" s="42"/>
      <c r="BU829" s="42"/>
      <c r="BV829" s="42"/>
      <c r="BW829" s="42"/>
      <c r="BX829" s="42"/>
      <c r="BY829" s="42"/>
      <c r="BZ829" s="42"/>
      <c r="CA829" s="42"/>
      <c r="CB829" s="42"/>
      <c r="CC829" s="42"/>
      <c r="CD829" s="42"/>
      <c r="CE829" s="42"/>
      <c r="CF829" s="42"/>
      <c r="CG829" s="42"/>
      <c r="CH829" s="42"/>
      <c r="CI829" s="42"/>
      <c r="CJ829" s="42"/>
      <c r="CK829" s="42"/>
      <c r="CL829" s="42"/>
      <c r="CM829" s="42"/>
      <c r="CN829" s="42"/>
      <c r="CO829" s="42"/>
      <c r="CP829" s="42"/>
      <c r="CQ829" s="42"/>
      <c r="CR829" s="42"/>
      <c r="CS829" s="42"/>
      <c r="CT829" s="42"/>
      <c r="CU829" s="42"/>
      <c r="CV829" s="42"/>
      <c r="CW829" s="42"/>
      <c r="CX829" s="42"/>
      <c r="CY829" s="42"/>
      <c r="CZ829" s="42"/>
      <c r="DA829" s="42"/>
      <c r="DB829" s="42"/>
      <c r="DC829" s="42"/>
      <c r="DD829" s="42"/>
      <c r="DE829" s="42"/>
      <c r="DF829" s="42"/>
      <c r="DG829" s="42"/>
      <c r="DH829" s="42"/>
      <c r="DI829" s="42"/>
      <c r="DJ829" s="42"/>
      <c r="DK829" s="42"/>
      <c r="DL829" s="42"/>
      <c r="DM829" s="42"/>
      <c r="DN829" s="42"/>
      <c r="DO829" s="42"/>
      <c r="DP829" s="42"/>
      <c r="DQ829" s="42"/>
      <c r="DR829" s="42"/>
      <c r="DS829" s="42"/>
      <c r="DT829" s="42"/>
      <c r="DU829" s="42"/>
      <c r="DV829" s="42"/>
      <c r="DW829" s="42"/>
      <c r="DX829" s="42"/>
      <c r="DY829" s="42"/>
      <c r="DZ829" s="42"/>
      <c r="EA829" s="42"/>
      <c r="EB829" s="42"/>
      <c r="EC829" s="42"/>
      <c r="ED829" s="42"/>
      <c r="EE829" s="42"/>
      <c r="EF829" s="42"/>
      <c r="EG829" s="42"/>
      <c r="EH829" s="42"/>
      <c r="EI829" s="42"/>
      <c r="EJ829" s="42"/>
      <c r="EK829" s="42"/>
      <c r="EL829" s="42"/>
      <c r="EM829" s="42"/>
      <c r="EN829" s="42"/>
      <c r="EO829" s="42"/>
      <c r="EP829" s="42"/>
      <c r="EQ829" s="42"/>
      <c r="ER829" s="42"/>
      <c r="ES829" s="42"/>
      <c r="ET829" s="42"/>
      <c r="EU829" s="42"/>
      <c r="EV829" s="42"/>
      <c r="EW829" s="42"/>
      <c r="EX829" s="42"/>
      <c r="EY829" s="42"/>
      <c r="EZ829" s="42"/>
      <c r="FA829" s="42"/>
      <c r="FB829" s="42"/>
      <c r="FC829" s="42"/>
      <c r="FD829" s="42"/>
      <c r="FE829" s="42"/>
      <c r="FF829" s="42"/>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row>
    <row r="830" spans="1:256" ht="13.8" x14ac:dyDescent="0.3">
      <c r="A830" s="42"/>
      <c r="B830" s="42"/>
      <c r="C830" s="42"/>
      <c r="D830" s="42"/>
      <c r="E830" s="42"/>
      <c r="F830" s="42"/>
      <c r="G830" s="42"/>
      <c r="H830" s="42"/>
      <c r="I830" s="42"/>
      <c r="J830" s="42"/>
      <c r="K830" s="42"/>
      <c r="L830" s="42"/>
      <c r="M830" s="42"/>
      <c r="N830" s="42"/>
      <c r="O830" s="42"/>
      <c r="P830" s="42"/>
      <c r="Q830" s="42"/>
      <c r="R830" s="42"/>
      <c r="S830" s="42"/>
      <c r="T830" s="42"/>
      <c r="U830" s="194"/>
      <c r="V830" s="42"/>
      <c r="W830" s="42"/>
      <c r="X830" s="42"/>
      <c r="Y830" s="42"/>
      <c r="Z830" s="42"/>
      <c r="AA830" s="42"/>
      <c r="AB830" s="195"/>
      <c r="AC830" s="42"/>
      <c r="AD830" s="42"/>
      <c r="AE830" s="195"/>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c r="BM830" s="42"/>
      <c r="BN830" s="42"/>
      <c r="BO830" s="42"/>
      <c r="BP830" s="42"/>
      <c r="BQ830" s="42"/>
      <c r="BR830" s="42"/>
      <c r="BS830" s="42"/>
      <c r="BT830" s="42"/>
      <c r="BU830" s="42"/>
      <c r="BV830" s="42"/>
      <c r="BW830" s="42"/>
      <c r="BX830" s="42"/>
      <c r="BY830" s="42"/>
      <c r="BZ830" s="42"/>
      <c r="CA830" s="42"/>
      <c r="CB830" s="42"/>
      <c r="CC830" s="42"/>
      <c r="CD830" s="42"/>
      <c r="CE830" s="42"/>
      <c r="CF830" s="42"/>
      <c r="CG830" s="42"/>
      <c r="CH830" s="42"/>
      <c r="CI830" s="42"/>
      <c r="CJ830" s="42"/>
      <c r="CK830" s="42"/>
      <c r="CL830" s="42"/>
      <c r="CM830" s="42"/>
      <c r="CN830" s="42"/>
      <c r="CO830" s="42"/>
      <c r="CP830" s="42"/>
      <c r="CQ830" s="42"/>
      <c r="CR830" s="42"/>
      <c r="CS830" s="42"/>
      <c r="CT830" s="42"/>
      <c r="CU830" s="42"/>
      <c r="CV830" s="42"/>
      <c r="CW830" s="42"/>
      <c r="CX830" s="42"/>
      <c r="CY830" s="42"/>
      <c r="CZ830" s="42"/>
      <c r="DA830" s="42"/>
      <c r="DB830" s="42"/>
      <c r="DC830" s="42"/>
      <c r="DD830" s="42"/>
      <c r="DE830" s="42"/>
      <c r="DF830" s="42"/>
      <c r="DG830" s="42"/>
      <c r="DH830" s="42"/>
      <c r="DI830" s="42"/>
      <c r="DJ830" s="42"/>
      <c r="DK830" s="42"/>
      <c r="DL830" s="42"/>
      <c r="DM830" s="42"/>
      <c r="DN830" s="42"/>
      <c r="DO830" s="42"/>
      <c r="DP830" s="42"/>
      <c r="DQ830" s="42"/>
      <c r="DR830" s="42"/>
      <c r="DS830" s="42"/>
      <c r="DT830" s="42"/>
      <c r="DU830" s="42"/>
      <c r="DV830" s="42"/>
      <c r="DW830" s="42"/>
      <c r="DX830" s="42"/>
      <c r="DY830" s="42"/>
      <c r="DZ830" s="42"/>
      <c r="EA830" s="42"/>
      <c r="EB830" s="42"/>
      <c r="EC830" s="42"/>
      <c r="ED830" s="42"/>
      <c r="EE830" s="42"/>
      <c r="EF830" s="42"/>
      <c r="EG830" s="42"/>
      <c r="EH830" s="42"/>
      <c r="EI830" s="42"/>
      <c r="EJ830" s="42"/>
      <c r="EK830" s="42"/>
      <c r="EL830" s="42"/>
      <c r="EM830" s="42"/>
      <c r="EN830" s="42"/>
      <c r="EO830" s="42"/>
      <c r="EP830" s="42"/>
      <c r="EQ830" s="42"/>
      <c r="ER830" s="42"/>
      <c r="ES830" s="42"/>
      <c r="ET830" s="42"/>
      <c r="EU830" s="42"/>
      <c r="EV830" s="42"/>
      <c r="EW830" s="42"/>
      <c r="EX830" s="42"/>
      <c r="EY830" s="42"/>
      <c r="EZ830" s="42"/>
      <c r="FA830" s="42"/>
      <c r="FB830" s="42"/>
      <c r="FC830" s="42"/>
      <c r="FD830" s="42"/>
      <c r="FE830" s="42"/>
      <c r="FF830" s="42"/>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row>
    <row r="831" spans="1:256" ht="13.8" x14ac:dyDescent="0.3">
      <c r="A831" s="42"/>
      <c r="B831" s="42"/>
      <c r="C831" s="42"/>
      <c r="D831" s="42"/>
      <c r="E831" s="42"/>
      <c r="F831" s="42"/>
      <c r="G831" s="42"/>
      <c r="H831" s="42"/>
      <c r="I831" s="42"/>
      <c r="J831" s="42"/>
      <c r="K831" s="42"/>
      <c r="L831" s="42"/>
      <c r="M831" s="42"/>
      <c r="N831" s="42"/>
      <c r="O831" s="42"/>
      <c r="P831" s="42"/>
      <c r="Q831" s="42"/>
      <c r="R831" s="42"/>
      <c r="S831" s="42"/>
      <c r="T831" s="42"/>
      <c r="U831" s="194"/>
      <c r="V831" s="42"/>
      <c r="W831" s="42"/>
      <c r="X831" s="42"/>
      <c r="Y831" s="42"/>
      <c r="Z831" s="42"/>
      <c r="AA831" s="42"/>
      <c r="AB831" s="195"/>
      <c r="AC831" s="42"/>
      <c r="AD831" s="42"/>
      <c r="AE831" s="195"/>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c r="BM831" s="42"/>
      <c r="BN831" s="42"/>
      <c r="BO831" s="42"/>
      <c r="BP831" s="42"/>
      <c r="BQ831" s="42"/>
      <c r="BR831" s="42"/>
      <c r="BS831" s="42"/>
      <c r="BT831" s="42"/>
      <c r="BU831" s="42"/>
      <c r="BV831" s="42"/>
      <c r="BW831" s="42"/>
      <c r="BX831" s="42"/>
      <c r="BY831" s="42"/>
      <c r="BZ831" s="42"/>
      <c r="CA831" s="42"/>
      <c r="CB831" s="42"/>
      <c r="CC831" s="42"/>
      <c r="CD831" s="42"/>
      <c r="CE831" s="42"/>
      <c r="CF831" s="42"/>
      <c r="CG831" s="42"/>
      <c r="CH831" s="42"/>
      <c r="CI831" s="42"/>
      <c r="CJ831" s="42"/>
      <c r="CK831" s="42"/>
      <c r="CL831" s="42"/>
      <c r="CM831" s="42"/>
      <c r="CN831" s="42"/>
      <c r="CO831" s="42"/>
      <c r="CP831" s="42"/>
      <c r="CQ831" s="42"/>
      <c r="CR831" s="42"/>
      <c r="CS831" s="42"/>
      <c r="CT831" s="42"/>
      <c r="CU831" s="42"/>
      <c r="CV831" s="42"/>
      <c r="CW831" s="42"/>
      <c r="CX831" s="42"/>
      <c r="CY831" s="42"/>
      <c r="CZ831" s="42"/>
      <c r="DA831" s="42"/>
      <c r="DB831" s="42"/>
      <c r="DC831" s="42"/>
      <c r="DD831" s="42"/>
      <c r="DE831" s="42"/>
      <c r="DF831" s="42"/>
      <c r="DG831" s="42"/>
      <c r="DH831" s="42"/>
      <c r="DI831" s="42"/>
      <c r="DJ831" s="42"/>
      <c r="DK831" s="42"/>
      <c r="DL831" s="42"/>
      <c r="DM831" s="42"/>
      <c r="DN831" s="42"/>
      <c r="DO831" s="42"/>
      <c r="DP831" s="42"/>
      <c r="DQ831" s="42"/>
      <c r="DR831" s="42"/>
      <c r="DS831" s="42"/>
      <c r="DT831" s="42"/>
      <c r="DU831" s="42"/>
      <c r="DV831" s="42"/>
      <c r="DW831" s="42"/>
      <c r="DX831" s="42"/>
      <c r="DY831" s="42"/>
      <c r="DZ831" s="42"/>
      <c r="EA831" s="42"/>
      <c r="EB831" s="42"/>
      <c r="EC831" s="42"/>
      <c r="ED831" s="42"/>
      <c r="EE831" s="42"/>
      <c r="EF831" s="42"/>
      <c r="EG831" s="42"/>
      <c r="EH831" s="42"/>
      <c r="EI831" s="42"/>
      <c r="EJ831" s="42"/>
      <c r="EK831" s="42"/>
      <c r="EL831" s="42"/>
      <c r="EM831" s="42"/>
      <c r="EN831" s="42"/>
      <c r="EO831" s="42"/>
      <c r="EP831" s="42"/>
      <c r="EQ831" s="42"/>
      <c r="ER831" s="42"/>
      <c r="ES831" s="42"/>
      <c r="ET831" s="42"/>
      <c r="EU831" s="42"/>
      <c r="EV831" s="42"/>
      <c r="EW831" s="42"/>
      <c r="EX831" s="42"/>
      <c r="EY831" s="42"/>
      <c r="EZ831" s="42"/>
      <c r="FA831" s="42"/>
      <c r="FB831" s="42"/>
      <c r="FC831" s="42"/>
      <c r="FD831" s="42"/>
      <c r="FE831" s="42"/>
      <c r="FF831" s="42"/>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row>
    <row r="832" spans="1:256" ht="13.8" x14ac:dyDescent="0.3">
      <c r="A832" s="42"/>
      <c r="B832" s="42"/>
      <c r="C832" s="42"/>
      <c r="D832" s="42"/>
      <c r="E832" s="42"/>
      <c r="F832" s="42"/>
      <c r="G832" s="42"/>
      <c r="H832" s="42"/>
      <c r="I832" s="42"/>
      <c r="J832" s="42"/>
      <c r="K832" s="42"/>
      <c r="L832" s="42"/>
      <c r="M832" s="42"/>
      <c r="N832" s="42"/>
      <c r="O832" s="42"/>
      <c r="P832" s="42"/>
      <c r="Q832" s="42"/>
      <c r="R832" s="42"/>
      <c r="S832" s="42"/>
      <c r="T832" s="42"/>
      <c r="U832" s="194"/>
      <c r="V832" s="42"/>
      <c r="W832" s="42"/>
      <c r="X832" s="42"/>
      <c r="Y832" s="42"/>
      <c r="Z832" s="42"/>
      <c r="AA832" s="42"/>
      <c r="AB832" s="195"/>
      <c r="AC832" s="42"/>
      <c r="AD832" s="42"/>
      <c r="AE832" s="195"/>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c r="BM832" s="42"/>
      <c r="BN832" s="42"/>
      <c r="BO832" s="42"/>
      <c r="BP832" s="42"/>
      <c r="BQ832" s="42"/>
      <c r="BR832" s="42"/>
      <c r="BS832" s="42"/>
      <c r="BT832" s="42"/>
      <c r="BU832" s="42"/>
      <c r="BV832" s="42"/>
      <c r="BW832" s="42"/>
      <c r="BX832" s="42"/>
      <c r="BY832" s="42"/>
      <c r="BZ832" s="42"/>
      <c r="CA832" s="42"/>
      <c r="CB832" s="42"/>
      <c r="CC832" s="42"/>
      <c r="CD832" s="42"/>
      <c r="CE832" s="42"/>
      <c r="CF832" s="42"/>
      <c r="CG832" s="42"/>
      <c r="CH832" s="42"/>
      <c r="CI832" s="42"/>
      <c r="CJ832" s="42"/>
      <c r="CK832" s="42"/>
      <c r="CL832" s="42"/>
      <c r="CM832" s="42"/>
      <c r="CN832" s="42"/>
      <c r="CO832" s="42"/>
      <c r="CP832" s="42"/>
      <c r="CQ832" s="42"/>
      <c r="CR832" s="42"/>
      <c r="CS832" s="42"/>
      <c r="CT832" s="42"/>
      <c r="CU832" s="42"/>
      <c r="CV832" s="42"/>
      <c r="CW832" s="42"/>
      <c r="CX832" s="42"/>
      <c r="CY832" s="42"/>
      <c r="CZ832" s="42"/>
      <c r="DA832" s="42"/>
      <c r="DB832" s="42"/>
      <c r="DC832" s="42"/>
      <c r="DD832" s="42"/>
      <c r="DE832" s="42"/>
      <c r="DF832" s="42"/>
      <c r="DG832" s="42"/>
      <c r="DH832" s="42"/>
      <c r="DI832" s="42"/>
      <c r="DJ832" s="42"/>
      <c r="DK832" s="42"/>
      <c r="DL832" s="42"/>
      <c r="DM832" s="42"/>
      <c r="DN832" s="42"/>
      <c r="DO832" s="42"/>
      <c r="DP832" s="42"/>
      <c r="DQ832" s="42"/>
      <c r="DR832" s="42"/>
      <c r="DS832" s="42"/>
      <c r="DT832" s="42"/>
      <c r="DU832" s="42"/>
      <c r="DV832" s="42"/>
      <c r="DW832" s="42"/>
      <c r="DX832" s="42"/>
      <c r="DY832" s="42"/>
      <c r="DZ832" s="42"/>
      <c r="EA832" s="42"/>
      <c r="EB832" s="42"/>
      <c r="EC832" s="42"/>
      <c r="ED832" s="42"/>
      <c r="EE832" s="42"/>
      <c r="EF832" s="42"/>
      <c r="EG832" s="42"/>
      <c r="EH832" s="42"/>
      <c r="EI832" s="42"/>
      <c r="EJ832" s="42"/>
      <c r="EK832" s="42"/>
      <c r="EL832" s="42"/>
      <c r="EM832" s="42"/>
      <c r="EN832" s="42"/>
      <c r="EO832" s="42"/>
      <c r="EP832" s="42"/>
      <c r="EQ832" s="42"/>
      <c r="ER832" s="42"/>
      <c r="ES832" s="42"/>
      <c r="ET832" s="42"/>
      <c r="EU832" s="42"/>
      <c r="EV832" s="42"/>
      <c r="EW832" s="42"/>
      <c r="EX832" s="42"/>
      <c r="EY832" s="42"/>
      <c r="EZ832" s="42"/>
      <c r="FA832" s="42"/>
      <c r="FB832" s="42"/>
      <c r="FC832" s="42"/>
      <c r="FD832" s="42"/>
      <c r="FE832" s="42"/>
      <c r="FF832" s="42"/>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row>
    <row r="833" spans="1:256" ht="13.8" x14ac:dyDescent="0.3">
      <c r="A833" s="42"/>
      <c r="B833" s="42"/>
      <c r="C833" s="42"/>
      <c r="D833" s="42"/>
      <c r="E833" s="42"/>
      <c r="F833" s="42"/>
      <c r="G833" s="42"/>
      <c r="H833" s="42"/>
      <c r="I833" s="42"/>
      <c r="J833" s="42"/>
      <c r="K833" s="42"/>
      <c r="L833" s="42"/>
      <c r="M833" s="42"/>
      <c r="N833" s="42"/>
      <c r="O833" s="42"/>
      <c r="P833" s="42"/>
      <c r="Q833" s="42"/>
      <c r="R833" s="42"/>
      <c r="S833" s="42"/>
      <c r="T833" s="42"/>
      <c r="U833" s="194"/>
      <c r="V833" s="42"/>
      <c r="W833" s="42"/>
      <c r="X833" s="42"/>
      <c r="Y833" s="42"/>
      <c r="Z833" s="42"/>
      <c r="AA833" s="42"/>
      <c r="AB833" s="195"/>
      <c r="AC833" s="42"/>
      <c r="AD833" s="42"/>
      <c r="AE833" s="195"/>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c r="BM833" s="42"/>
      <c r="BN833" s="42"/>
      <c r="BO833" s="42"/>
      <c r="BP833" s="42"/>
      <c r="BQ833" s="42"/>
      <c r="BR833" s="42"/>
      <c r="BS833" s="42"/>
      <c r="BT833" s="42"/>
      <c r="BU833" s="42"/>
      <c r="BV833" s="42"/>
      <c r="BW833" s="42"/>
      <c r="BX833" s="42"/>
      <c r="BY833" s="42"/>
      <c r="BZ833" s="42"/>
      <c r="CA833" s="42"/>
      <c r="CB833" s="42"/>
      <c r="CC833" s="42"/>
      <c r="CD833" s="42"/>
      <c r="CE833" s="42"/>
      <c r="CF833" s="42"/>
      <c r="CG833" s="42"/>
      <c r="CH833" s="42"/>
      <c r="CI833" s="42"/>
      <c r="CJ833" s="42"/>
      <c r="CK833" s="42"/>
      <c r="CL833" s="42"/>
      <c r="CM833" s="42"/>
      <c r="CN833" s="42"/>
      <c r="CO833" s="42"/>
      <c r="CP833" s="42"/>
      <c r="CQ833" s="42"/>
      <c r="CR833" s="42"/>
      <c r="CS833" s="42"/>
      <c r="CT833" s="42"/>
      <c r="CU833" s="42"/>
      <c r="CV833" s="42"/>
      <c r="CW833" s="42"/>
      <c r="CX833" s="42"/>
      <c r="CY833" s="42"/>
      <c r="CZ833" s="42"/>
      <c r="DA833" s="42"/>
      <c r="DB833" s="42"/>
      <c r="DC833" s="42"/>
      <c r="DD833" s="42"/>
      <c r="DE833" s="42"/>
      <c r="DF833" s="42"/>
      <c r="DG833" s="42"/>
      <c r="DH833" s="42"/>
      <c r="DI833" s="42"/>
      <c r="DJ833" s="42"/>
      <c r="DK833" s="42"/>
      <c r="DL833" s="42"/>
      <c r="DM833" s="42"/>
      <c r="DN833" s="42"/>
      <c r="DO833" s="42"/>
      <c r="DP833" s="42"/>
      <c r="DQ833" s="42"/>
      <c r="DR833" s="42"/>
      <c r="DS833" s="42"/>
      <c r="DT833" s="42"/>
      <c r="DU833" s="42"/>
      <c r="DV833" s="42"/>
      <c r="DW833" s="42"/>
      <c r="DX833" s="42"/>
      <c r="DY833" s="42"/>
      <c r="DZ833" s="42"/>
      <c r="EA833" s="42"/>
      <c r="EB833" s="42"/>
      <c r="EC833" s="42"/>
      <c r="ED833" s="42"/>
      <c r="EE833" s="42"/>
      <c r="EF833" s="42"/>
      <c r="EG833" s="42"/>
      <c r="EH833" s="42"/>
      <c r="EI833" s="42"/>
      <c r="EJ833" s="42"/>
      <c r="EK833" s="42"/>
      <c r="EL833" s="42"/>
      <c r="EM833" s="42"/>
      <c r="EN833" s="42"/>
      <c r="EO833" s="42"/>
      <c r="EP833" s="42"/>
      <c r="EQ833" s="42"/>
      <c r="ER833" s="42"/>
      <c r="ES833" s="42"/>
      <c r="ET833" s="42"/>
      <c r="EU833" s="42"/>
      <c r="EV833" s="42"/>
      <c r="EW833" s="42"/>
      <c r="EX833" s="42"/>
      <c r="EY833" s="42"/>
      <c r="EZ833" s="42"/>
      <c r="FA833" s="42"/>
      <c r="FB833" s="42"/>
      <c r="FC833" s="42"/>
      <c r="FD833" s="42"/>
      <c r="FE833" s="42"/>
      <c r="FF833" s="42"/>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row>
    <row r="834" spans="1:256" ht="13.8" x14ac:dyDescent="0.3">
      <c r="A834" s="42"/>
      <c r="B834" s="42"/>
      <c r="C834" s="42"/>
      <c r="D834" s="42"/>
      <c r="E834" s="42"/>
      <c r="F834" s="42"/>
      <c r="G834" s="42"/>
      <c r="H834" s="42"/>
      <c r="I834" s="42"/>
      <c r="J834" s="42"/>
      <c r="K834" s="42"/>
      <c r="L834" s="42"/>
      <c r="M834" s="42"/>
      <c r="N834" s="42"/>
      <c r="O834" s="42"/>
      <c r="P834" s="42"/>
      <c r="Q834" s="42"/>
      <c r="R834" s="42"/>
      <c r="S834" s="42"/>
      <c r="T834" s="42"/>
      <c r="U834" s="194"/>
      <c r="V834" s="42"/>
      <c r="W834" s="42"/>
      <c r="X834" s="42"/>
      <c r="Y834" s="42"/>
      <c r="Z834" s="42"/>
      <c r="AA834" s="42"/>
      <c r="AB834" s="195"/>
      <c r="AC834" s="42"/>
      <c r="AD834" s="42"/>
      <c r="AE834" s="195"/>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c r="BM834" s="42"/>
      <c r="BN834" s="42"/>
      <c r="BO834" s="42"/>
      <c r="BP834" s="42"/>
      <c r="BQ834" s="42"/>
      <c r="BR834" s="42"/>
      <c r="BS834" s="42"/>
      <c r="BT834" s="42"/>
      <c r="BU834" s="42"/>
      <c r="BV834" s="42"/>
      <c r="BW834" s="42"/>
      <c r="BX834" s="42"/>
      <c r="BY834" s="42"/>
      <c r="BZ834" s="42"/>
      <c r="CA834" s="42"/>
      <c r="CB834" s="42"/>
      <c r="CC834" s="42"/>
      <c r="CD834" s="42"/>
      <c r="CE834" s="42"/>
      <c r="CF834" s="42"/>
      <c r="CG834" s="42"/>
      <c r="CH834" s="42"/>
      <c r="CI834" s="42"/>
      <c r="CJ834" s="42"/>
      <c r="CK834" s="42"/>
      <c r="CL834" s="42"/>
      <c r="CM834" s="42"/>
      <c r="CN834" s="42"/>
      <c r="CO834" s="42"/>
      <c r="CP834" s="42"/>
      <c r="CQ834" s="42"/>
      <c r="CR834" s="42"/>
      <c r="CS834" s="42"/>
      <c r="CT834" s="42"/>
      <c r="CU834" s="42"/>
      <c r="CV834" s="42"/>
      <c r="CW834" s="42"/>
      <c r="CX834" s="42"/>
      <c r="CY834" s="42"/>
      <c r="CZ834" s="42"/>
      <c r="DA834" s="42"/>
      <c r="DB834" s="42"/>
      <c r="DC834" s="42"/>
      <c r="DD834" s="42"/>
      <c r="DE834" s="42"/>
      <c r="DF834" s="42"/>
      <c r="DG834" s="42"/>
      <c r="DH834" s="42"/>
      <c r="DI834" s="42"/>
      <c r="DJ834" s="42"/>
      <c r="DK834" s="42"/>
      <c r="DL834" s="42"/>
      <c r="DM834" s="42"/>
      <c r="DN834" s="42"/>
      <c r="DO834" s="42"/>
      <c r="DP834" s="42"/>
      <c r="DQ834" s="42"/>
      <c r="DR834" s="42"/>
      <c r="DS834" s="42"/>
      <c r="DT834" s="42"/>
      <c r="DU834" s="42"/>
      <c r="DV834" s="42"/>
      <c r="DW834" s="42"/>
      <c r="DX834" s="42"/>
      <c r="DY834" s="42"/>
      <c r="DZ834" s="42"/>
      <c r="EA834" s="42"/>
      <c r="EB834" s="42"/>
      <c r="EC834" s="42"/>
      <c r="ED834" s="42"/>
      <c r="EE834" s="42"/>
      <c r="EF834" s="42"/>
      <c r="EG834" s="42"/>
      <c r="EH834" s="42"/>
      <c r="EI834" s="42"/>
      <c r="EJ834" s="42"/>
      <c r="EK834" s="42"/>
      <c r="EL834" s="42"/>
      <c r="EM834" s="42"/>
      <c r="EN834" s="42"/>
      <c r="EO834" s="42"/>
      <c r="EP834" s="42"/>
      <c r="EQ834" s="42"/>
      <c r="ER834" s="42"/>
      <c r="ES834" s="42"/>
      <c r="ET834" s="42"/>
      <c r="EU834" s="42"/>
      <c r="EV834" s="42"/>
      <c r="EW834" s="42"/>
      <c r="EX834" s="42"/>
      <c r="EY834" s="42"/>
      <c r="EZ834" s="42"/>
      <c r="FA834" s="42"/>
      <c r="FB834" s="42"/>
      <c r="FC834" s="42"/>
      <c r="FD834" s="42"/>
      <c r="FE834" s="42"/>
      <c r="FF834" s="42"/>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row>
    <row r="835" spans="1:256" ht="13.8" x14ac:dyDescent="0.3">
      <c r="A835" s="42"/>
      <c r="B835" s="42"/>
      <c r="C835" s="42"/>
      <c r="D835" s="42"/>
      <c r="E835" s="42"/>
      <c r="F835" s="42"/>
      <c r="G835" s="42"/>
      <c r="H835" s="42"/>
      <c r="I835" s="42"/>
      <c r="J835" s="42"/>
      <c r="K835" s="42"/>
      <c r="L835" s="42"/>
      <c r="M835" s="42"/>
      <c r="N835" s="42"/>
      <c r="O835" s="42"/>
      <c r="P835" s="42"/>
      <c r="Q835" s="42"/>
      <c r="R835" s="42"/>
      <c r="S835" s="42"/>
      <c r="T835" s="42"/>
      <c r="U835" s="194"/>
      <c r="V835" s="42"/>
      <c r="W835" s="42"/>
      <c r="X835" s="42"/>
      <c r="Y835" s="42"/>
      <c r="Z835" s="42"/>
      <c r="AA835" s="42"/>
      <c r="AB835" s="195"/>
      <c r="AC835" s="42"/>
      <c r="AD835" s="42"/>
      <c r="AE835" s="195"/>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c r="BM835" s="42"/>
      <c r="BN835" s="42"/>
      <c r="BO835" s="42"/>
      <c r="BP835" s="42"/>
      <c r="BQ835" s="42"/>
      <c r="BR835" s="42"/>
      <c r="BS835" s="42"/>
      <c r="BT835" s="42"/>
      <c r="BU835" s="42"/>
      <c r="BV835" s="42"/>
      <c r="BW835" s="42"/>
      <c r="BX835" s="42"/>
      <c r="BY835" s="42"/>
      <c r="BZ835" s="42"/>
      <c r="CA835" s="42"/>
      <c r="CB835" s="42"/>
      <c r="CC835" s="42"/>
      <c r="CD835" s="42"/>
      <c r="CE835" s="42"/>
      <c r="CF835" s="42"/>
      <c r="CG835" s="42"/>
      <c r="CH835" s="42"/>
      <c r="CI835" s="42"/>
      <c r="CJ835" s="42"/>
      <c r="CK835" s="42"/>
      <c r="CL835" s="42"/>
      <c r="CM835" s="42"/>
      <c r="CN835" s="42"/>
      <c r="CO835" s="42"/>
      <c r="CP835" s="42"/>
      <c r="CQ835" s="42"/>
      <c r="CR835" s="42"/>
      <c r="CS835" s="42"/>
      <c r="CT835" s="42"/>
      <c r="CU835" s="42"/>
      <c r="CV835" s="42"/>
      <c r="CW835" s="42"/>
      <c r="CX835" s="42"/>
      <c r="CY835" s="42"/>
      <c r="CZ835" s="42"/>
      <c r="DA835" s="42"/>
      <c r="DB835" s="42"/>
      <c r="DC835" s="42"/>
      <c r="DD835" s="42"/>
      <c r="DE835" s="42"/>
      <c r="DF835" s="42"/>
      <c r="DG835" s="42"/>
      <c r="DH835" s="42"/>
      <c r="DI835" s="42"/>
      <c r="DJ835" s="42"/>
      <c r="DK835" s="42"/>
      <c r="DL835" s="42"/>
      <c r="DM835" s="42"/>
      <c r="DN835" s="42"/>
      <c r="DO835" s="42"/>
      <c r="DP835" s="42"/>
      <c r="DQ835" s="42"/>
      <c r="DR835" s="42"/>
      <c r="DS835" s="42"/>
      <c r="DT835" s="42"/>
      <c r="DU835" s="42"/>
      <c r="DV835" s="42"/>
      <c r="DW835" s="42"/>
      <c r="DX835" s="42"/>
      <c r="DY835" s="42"/>
      <c r="DZ835" s="42"/>
      <c r="EA835" s="42"/>
      <c r="EB835" s="42"/>
      <c r="EC835" s="42"/>
      <c r="ED835" s="42"/>
      <c r="EE835" s="42"/>
      <c r="EF835" s="42"/>
      <c r="EG835" s="42"/>
      <c r="EH835" s="42"/>
      <c r="EI835" s="42"/>
      <c r="EJ835" s="42"/>
      <c r="EK835" s="42"/>
      <c r="EL835" s="42"/>
      <c r="EM835" s="42"/>
      <c r="EN835" s="42"/>
      <c r="EO835" s="42"/>
      <c r="EP835" s="42"/>
      <c r="EQ835" s="42"/>
      <c r="ER835" s="42"/>
      <c r="ES835" s="42"/>
      <c r="ET835" s="42"/>
      <c r="EU835" s="42"/>
      <c r="EV835" s="42"/>
      <c r="EW835" s="42"/>
      <c r="EX835" s="42"/>
      <c r="EY835" s="42"/>
      <c r="EZ835" s="42"/>
      <c r="FA835" s="42"/>
      <c r="FB835" s="42"/>
      <c r="FC835" s="42"/>
      <c r="FD835" s="42"/>
      <c r="FE835" s="42"/>
      <c r="FF835" s="42"/>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row>
    <row r="836" spans="1:256" ht="13.8" x14ac:dyDescent="0.3">
      <c r="A836" s="42"/>
      <c r="B836" s="42"/>
      <c r="C836" s="42"/>
      <c r="D836" s="42"/>
      <c r="E836" s="42"/>
      <c r="F836" s="42"/>
      <c r="G836" s="42"/>
      <c r="H836" s="42"/>
      <c r="I836" s="42"/>
      <c r="J836" s="42"/>
      <c r="K836" s="42"/>
      <c r="L836" s="42"/>
      <c r="M836" s="42"/>
      <c r="N836" s="42"/>
      <c r="O836" s="42"/>
      <c r="P836" s="42"/>
      <c r="Q836" s="42"/>
      <c r="R836" s="42"/>
      <c r="S836" s="42"/>
      <c r="T836" s="42"/>
      <c r="U836" s="194"/>
      <c r="V836" s="42"/>
      <c r="W836" s="42"/>
      <c r="X836" s="42"/>
      <c r="Y836" s="42"/>
      <c r="Z836" s="42"/>
      <c r="AA836" s="42"/>
      <c r="AB836" s="195"/>
      <c r="AC836" s="42"/>
      <c r="AD836" s="42"/>
      <c r="AE836" s="195"/>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c r="BM836" s="42"/>
      <c r="BN836" s="42"/>
      <c r="BO836" s="42"/>
      <c r="BP836" s="42"/>
      <c r="BQ836" s="42"/>
      <c r="BR836" s="42"/>
      <c r="BS836" s="42"/>
      <c r="BT836" s="42"/>
      <c r="BU836" s="42"/>
      <c r="BV836" s="42"/>
      <c r="BW836" s="42"/>
      <c r="BX836" s="42"/>
      <c r="BY836" s="42"/>
      <c r="BZ836" s="42"/>
      <c r="CA836" s="42"/>
      <c r="CB836" s="42"/>
      <c r="CC836" s="42"/>
      <c r="CD836" s="42"/>
      <c r="CE836" s="42"/>
      <c r="CF836" s="42"/>
      <c r="CG836" s="42"/>
      <c r="CH836" s="42"/>
      <c r="CI836" s="42"/>
      <c r="CJ836" s="42"/>
      <c r="CK836" s="42"/>
      <c r="CL836" s="42"/>
      <c r="CM836" s="42"/>
      <c r="CN836" s="42"/>
      <c r="CO836" s="42"/>
      <c r="CP836" s="42"/>
      <c r="CQ836" s="42"/>
      <c r="CR836" s="42"/>
      <c r="CS836" s="42"/>
      <c r="CT836" s="42"/>
      <c r="CU836" s="42"/>
      <c r="CV836" s="42"/>
      <c r="CW836" s="42"/>
      <c r="CX836" s="42"/>
      <c r="CY836" s="42"/>
      <c r="CZ836" s="42"/>
      <c r="DA836" s="42"/>
      <c r="DB836" s="42"/>
      <c r="DC836" s="42"/>
      <c r="DD836" s="42"/>
      <c r="DE836" s="42"/>
      <c r="DF836" s="42"/>
      <c r="DG836" s="42"/>
      <c r="DH836" s="42"/>
      <c r="DI836" s="42"/>
      <c r="DJ836" s="42"/>
      <c r="DK836" s="42"/>
      <c r="DL836" s="42"/>
      <c r="DM836" s="42"/>
      <c r="DN836" s="42"/>
      <c r="DO836" s="42"/>
      <c r="DP836" s="42"/>
      <c r="DQ836" s="42"/>
      <c r="DR836" s="42"/>
      <c r="DS836" s="42"/>
      <c r="DT836" s="42"/>
      <c r="DU836" s="42"/>
      <c r="DV836" s="42"/>
      <c r="DW836" s="42"/>
      <c r="DX836" s="42"/>
      <c r="DY836" s="42"/>
      <c r="DZ836" s="42"/>
      <c r="EA836" s="42"/>
      <c r="EB836" s="42"/>
      <c r="EC836" s="42"/>
      <c r="ED836" s="42"/>
      <c r="EE836" s="42"/>
      <c r="EF836" s="42"/>
      <c r="EG836" s="42"/>
      <c r="EH836" s="42"/>
      <c r="EI836" s="42"/>
      <c r="EJ836" s="42"/>
      <c r="EK836" s="42"/>
      <c r="EL836" s="42"/>
      <c r="EM836" s="42"/>
      <c r="EN836" s="42"/>
      <c r="EO836" s="42"/>
      <c r="EP836" s="42"/>
      <c r="EQ836" s="42"/>
      <c r="ER836" s="42"/>
      <c r="ES836" s="42"/>
      <c r="ET836" s="42"/>
      <c r="EU836" s="42"/>
      <c r="EV836" s="42"/>
      <c r="EW836" s="42"/>
      <c r="EX836" s="42"/>
      <c r="EY836" s="42"/>
      <c r="EZ836" s="42"/>
      <c r="FA836" s="42"/>
      <c r="FB836" s="42"/>
      <c r="FC836" s="42"/>
      <c r="FD836" s="42"/>
      <c r="FE836" s="42"/>
      <c r="FF836" s="42"/>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row>
    <row r="837" spans="1:256" ht="13.8" x14ac:dyDescent="0.3">
      <c r="A837" s="42"/>
      <c r="B837" s="42"/>
      <c r="C837" s="42"/>
      <c r="D837" s="42"/>
      <c r="E837" s="42"/>
      <c r="F837" s="42"/>
      <c r="G837" s="42"/>
      <c r="H837" s="42"/>
      <c r="I837" s="42"/>
      <c r="J837" s="42"/>
      <c r="K837" s="42"/>
      <c r="L837" s="42"/>
      <c r="M837" s="42"/>
      <c r="N837" s="42"/>
      <c r="O837" s="42"/>
      <c r="P837" s="42"/>
      <c r="Q837" s="42"/>
      <c r="R837" s="42"/>
      <c r="S837" s="42"/>
      <c r="T837" s="42"/>
      <c r="U837" s="194"/>
      <c r="V837" s="42"/>
      <c r="W837" s="42"/>
      <c r="X837" s="42"/>
      <c r="Y837" s="42"/>
      <c r="Z837" s="42"/>
      <c r="AA837" s="42"/>
      <c r="AB837" s="195"/>
      <c r="AC837" s="42"/>
      <c r="AD837" s="42"/>
      <c r="AE837" s="195"/>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c r="BM837" s="42"/>
      <c r="BN837" s="42"/>
      <c r="BO837" s="42"/>
      <c r="BP837" s="42"/>
      <c r="BQ837" s="42"/>
      <c r="BR837" s="42"/>
      <c r="BS837" s="42"/>
      <c r="BT837" s="42"/>
      <c r="BU837" s="42"/>
      <c r="BV837" s="42"/>
      <c r="BW837" s="42"/>
      <c r="BX837" s="42"/>
      <c r="BY837" s="42"/>
      <c r="BZ837" s="42"/>
      <c r="CA837" s="42"/>
      <c r="CB837" s="42"/>
      <c r="CC837" s="42"/>
      <c r="CD837" s="42"/>
      <c r="CE837" s="42"/>
      <c r="CF837" s="42"/>
      <c r="CG837" s="42"/>
      <c r="CH837" s="42"/>
      <c r="CI837" s="42"/>
      <c r="CJ837" s="42"/>
      <c r="CK837" s="42"/>
      <c r="CL837" s="42"/>
      <c r="CM837" s="42"/>
      <c r="CN837" s="42"/>
      <c r="CO837" s="42"/>
      <c r="CP837" s="42"/>
      <c r="CQ837" s="42"/>
      <c r="CR837" s="42"/>
      <c r="CS837" s="42"/>
      <c r="CT837" s="42"/>
      <c r="CU837" s="42"/>
      <c r="CV837" s="42"/>
      <c r="CW837" s="42"/>
      <c r="CX837" s="42"/>
      <c r="CY837" s="42"/>
      <c r="CZ837" s="42"/>
      <c r="DA837" s="42"/>
      <c r="DB837" s="42"/>
      <c r="DC837" s="42"/>
      <c r="DD837" s="42"/>
      <c r="DE837" s="42"/>
      <c r="DF837" s="42"/>
      <c r="DG837" s="42"/>
      <c r="DH837" s="42"/>
      <c r="DI837" s="42"/>
      <c r="DJ837" s="42"/>
      <c r="DK837" s="42"/>
      <c r="DL837" s="42"/>
      <c r="DM837" s="42"/>
      <c r="DN837" s="42"/>
      <c r="DO837" s="42"/>
      <c r="DP837" s="42"/>
      <c r="DQ837" s="42"/>
      <c r="DR837" s="42"/>
      <c r="DS837" s="42"/>
      <c r="DT837" s="42"/>
      <c r="DU837" s="42"/>
      <c r="DV837" s="42"/>
      <c r="DW837" s="42"/>
      <c r="DX837" s="42"/>
      <c r="DY837" s="42"/>
      <c r="DZ837" s="42"/>
      <c r="EA837" s="42"/>
      <c r="EB837" s="42"/>
      <c r="EC837" s="42"/>
      <c r="ED837" s="42"/>
      <c r="EE837" s="42"/>
      <c r="EF837" s="42"/>
      <c r="EG837" s="42"/>
      <c r="EH837" s="42"/>
      <c r="EI837" s="42"/>
      <c r="EJ837" s="42"/>
      <c r="EK837" s="42"/>
      <c r="EL837" s="42"/>
      <c r="EM837" s="42"/>
      <c r="EN837" s="42"/>
      <c r="EO837" s="42"/>
      <c r="EP837" s="42"/>
      <c r="EQ837" s="42"/>
      <c r="ER837" s="42"/>
      <c r="ES837" s="42"/>
      <c r="ET837" s="42"/>
      <c r="EU837" s="42"/>
      <c r="EV837" s="42"/>
      <c r="EW837" s="42"/>
      <c r="EX837" s="42"/>
      <c r="EY837" s="42"/>
      <c r="EZ837" s="42"/>
      <c r="FA837" s="42"/>
      <c r="FB837" s="42"/>
      <c r="FC837" s="42"/>
      <c r="FD837" s="42"/>
      <c r="FE837" s="42"/>
      <c r="FF837" s="42"/>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row>
    <row r="838" spans="1:256" ht="13.8" x14ac:dyDescent="0.3">
      <c r="A838" s="42"/>
      <c r="B838" s="42"/>
      <c r="C838" s="42"/>
      <c r="D838" s="42"/>
      <c r="E838" s="42"/>
      <c r="F838" s="42"/>
      <c r="G838" s="42"/>
      <c r="H838" s="42"/>
      <c r="I838" s="42"/>
      <c r="J838" s="42"/>
      <c r="K838" s="42"/>
      <c r="L838" s="42"/>
      <c r="M838" s="42"/>
      <c r="N838" s="42"/>
      <c r="O838" s="42"/>
      <c r="P838" s="42"/>
      <c r="Q838" s="42"/>
      <c r="R838" s="42"/>
      <c r="S838" s="42"/>
      <c r="T838" s="42"/>
      <c r="U838" s="194"/>
      <c r="V838" s="42"/>
      <c r="W838" s="42"/>
      <c r="X838" s="42"/>
      <c r="Y838" s="42"/>
      <c r="Z838" s="42"/>
      <c r="AA838" s="42"/>
      <c r="AB838" s="195"/>
      <c r="AC838" s="42"/>
      <c r="AD838" s="42"/>
      <c r="AE838" s="195"/>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c r="BM838" s="42"/>
      <c r="BN838" s="42"/>
      <c r="BO838" s="42"/>
      <c r="BP838" s="42"/>
      <c r="BQ838" s="42"/>
      <c r="BR838" s="42"/>
      <c r="BS838" s="42"/>
      <c r="BT838" s="42"/>
      <c r="BU838" s="42"/>
      <c r="BV838" s="42"/>
      <c r="BW838" s="42"/>
      <c r="BX838" s="42"/>
      <c r="BY838" s="42"/>
      <c r="BZ838" s="42"/>
      <c r="CA838" s="42"/>
      <c r="CB838" s="42"/>
      <c r="CC838" s="42"/>
      <c r="CD838" s="42"/>
      <c r="CE838" s="42"/>
      <c r="CF838" s="42"/>
      <c r="CG838" s="42"/>
      <c r="CH838" s="42"/>
      <c r="CI838" s="42"/>
      <c r="CJ838" s="42"/>
      <c r="CK838" s="42"/>
      <c r="CL838" s="42"/>
      <c r="CM838" s="42"/>
      <c r="CN838" s="42"/>
      <c r="CO838" s="42"/>
      <c r="CP838" s="42"/>
      <c r="CQ838" s="42"/>
      <c r="CR838" s="42"/>
      <c r="CS838" s="42"/>
      <c r="CT838" s="42"/>
      <c r="CU838" s="42"/>
      <c r="CV838" s="42"/>
      <c r="CW838" s="42"/>
      <c r="CX838" s="42"/>
      <c r="CY838" s="42"/>
      <c r="CZ838" s="42"/>
      <c r="DA838" s="42"/>
      <c r="DB838" s="42"/>
      <c r="DC838" s="42"/>
      <c r="DD838" s="42"/>
      <c r="DE838" s="42"/>
      <c r="DF838" s="42"/>
      <c r="DG838" s="42"/>
      <c r="DH838" s="42"/>
      <c r="DI838" s="42"/>
      <c r="DJ838" s="42"/>
      <c r="DK838" s="42"/>
      <c r="DL838" s="42"/>
      <c r="DM838" s="42"/>
      <c r="DN838" s="42"/>
      <c r="DO838" s="42"/>
      <c r="DP838" s="42"/>
      <c r="DQ838" s="42"/>
      <c r="DR838" s="42"/>
      <c r="DS838" s="42"/>
      <c r="DT838" s="42"/>
      <c r="DU838" s="42"/>
      <c r="DV838" s="42"/>
      <c r="DW838" s="42"/>
      <c r="DX838" s="42"/>
      <c r="DY838" s="42"/>
      <c r="DZ838" s="42"/>
      <c r="EA838" s="42"/>
      <c r="EB838" s="42"/>
      <c r="EC838" s="42"/>
      <c r="ED838" s="42"/>
      <c r="EE838" s="42"/>
      <c r="EF838" s="42"/>
      <c r="EG838" s="42"/>
      <c r="EH838" s="42"/>
      <c r="EI838" s="42"/>
      <c r="EJ838" s="42"/>
      <c r="EK838" s="42"/>
      <c r="EL838" s="42"/>
      <c r="EM838" s="42"/>
      <c r="EN838" s="42"/>
      <c r="EO838" s="42"/>
      <c r="EP838" s="42"/>
      <c r="EQ838" s="42"/>
      <c r="ER838" s="42"/>
      <c r="ES838" s="42"/>
      <c r="ET838" s="42"/>
      <c r="EU838" s="42"/>
      <c r="EV838" s="42"/>
      <c r="EW838" s="42"/>
      <c r="EX838" s="42"/>
      <c r="EY838" s="42"/>
      <c r="EZ838" s="42"/>
      <c r="FA838" s="42"/>
      <c r="FB838" s="42"/>
      <c r="FC838" s="42"/>
      <c r="FD838" s="42"/>
      <c r="FE838" s="42"/>
      <c r="FF838" s="42"/>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row>
    <row r="839" spans="1:256" ht="13.8" x14ac:dyDescent="0.3">
      <c r="A839" s="42"/>
      <c r="B839" s="42"/>
      <c r="C839" s="42"/>
      <c r="D839" s="42"/>
      <c r="E839" s="42"/>
      <c r="F839" s="42"/>
      <c r="G839" s="42"/>
      <c r="H839" s="42"/>
      <c r="I839" s="42"/>
      <c r="J839" s="42"/>
      <c r="K839" s="42"/>
      <c r="L839" s="42"/>
      <c r="M839" s="42"/>
      <c r="N839" s="42"/>
      <c r="O839" s="42"/>
      <c r="P839" s="42"/>
      <c r="Q839" s="42"/>
      <c r="R839" s="42"/>
      <c r="S839" s="42"/>
      <c r="T839" s="42"/>
      <c r="U839" s="194"/>
      <c r="V839" s="42"/>
      <c r="W839" s="42"/>
      <c r="X839" s="42"/>
      <c r="Y839" s="42"/>
      <c r="Z839" s="42"/>
      <c r="AA839" s="42"/>
      <c r="AB839" s="195"/>
      <c r="AC839" s="42"/>
      <c r="AD839" s="42"/>
      <c r="AE839" s="195"/>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c r="CG839" s="42"/>
      <c r="CH839" s="42"/>
      <c r="CI839" s="42"/>
      <c r="CJ839" s="42"/>
      <c r="CK839" s="42"/>
      <c r="CL839" s="42"/>
      <c r="CM839" s="42"/>
      <c r="CN839" s="42"/>
      <c r="CO839" s="42"/>
      <c r="CP839" s="42"/>
      <c r="CQ839" s="42"/>
      <c r="CR839" s="42"/>
      <c r="CS839" s="42"/>
      <c r="CT839" s="42"/>
      <c r="CU839" s="42"/>
      <c r="CV839" s="42"/>
      <c r="CW839" s="42"/>
      <c r="CX839" s="42"/>
      <c r="CY839" s="42"/>
      <c r="CZ839" s="42"/>
      <c r="DA839" s="42"/>
      <c r="DB839" s="42"/>
      <c r="DC839" s="42"/>
      <c r="DD839" s="42"/>
      <c r="DE839" s="42"/>
      <c r="DF839" s="42"/>
      <c r="DG839" s="42"/>
      <c r="DH839" s="42"/>
      <c r="DI839" s="42"/>
      <c r="DJ839" s="42"/>
      <c r="DK839" s="42"/>
      <c r="DL839" s="42"/>
      <c r="DM839" s="42"/>
      <c r="DN839" s="42"/>
      <c r="DO839" s="42"/>
      <c r="DP839" s="42"/>
      <c r="DQ839" s="42"/>
      <c r="DR839" s="42"/>
      <c r="DS839" s="42"/>
      <c r="DT839" s="42"/>
      <c r="DU839" s="42"/>
      <c r="DV839" s="42"/>
      <c r="DW839" s="42"/>
      <c r="DX839" s="42"/>
      <c r="DY839" s="42"/>
      <c r="DZ839" s="42"/>
      <c r="EA839" s="42"/>
      <c r="EB839" s="42"/>
      <c r="EC839" s="42"/>
      <c r="ED839" s="42"/>
      <c r="EE839" s="42"/>
      <c r="EF839" s="42"/>
      <c r="EG839" s="42"/>
      <c r="EH839" s="42"/>
      <c r="EI839" s="42"/>
      <c r="EJ839" s="42"/>
      <c r="EK839" s="42"/>
      <c r="EL839" s="42"/>
      <c r="EM839" s="42"/>
      <c r="EN839" s="42"/>
      <c r="EO839" s="42"/>
      <c r="EP839" s="42"/>
      <c r="EQ839" s="42"/>
      <c r="ER839" s="42"/>
      <c r="ES839" s="42"/>
      <c r="ET839" s="42"/>
      <c r="EU839" s="42"/>
      <c r="EV839" s="42"/>
      <c r="EW839" s="42"/>
      <c r="EX839" s="42"/>
      <c r="EY839" s="42"/>
      <c r="EZ839" s="42"/>
      <c r="FA839" s="42"/>
      <c r="FB839" s="42"/>
      <c r="FC839" s="42"/>
      <c r="FD839" s="42"/>
      <c r="FE839" s="42"/>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row>
    <row r="840" spans="1:256" ht="13.8" x14ac:dyDescent="0.3">
      <c r="A840" s="42"/>
      <c r="B840" s="42"/>
      <c r="C840" s="42"/>
      <c r="D840" s="42"/>
      <c r="E840" s="42"/>
      <c r="F840" s="42"/>
      <c r="G840" s="42"/>
      <c r="H840" s="42"/>
      <c r="I840" s="42"/>
      <c r="J840" s="42"/>
      <c r="K840" s="42"/>
      <c r="L840" s="42"/>
      <c r="M840" s="42"/>
      <c r="N840" s="42"/>
      <c r="O840" s="42"/>
      <c r="P840" s="42"/>
      <c r="Q840" s="42"/>
      <c r="R840" s="42"/>
      <c r="S840" s="42"/>
      <c r="T840" s="42"/>
      <c r="U840" s="194"/>
      <c r="V840" s="42"/>
      <c r="W840" s="42"/>
      <c r="X840" s="42"/>
      <c r="Y840" s="42"/>
      <c r="Z840" s="42"/>
      <c r="AA840" s="42"/>
      <c r="AB840" s="195"/>
      <c r="AC840" s="42"/>
      <c r="AD840" s="42"/>
      <c r="AE840" s="195"/>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c r="BM840" s="42"/>
      <c r="BN840" s="42"/>
      <c r="BO840" s="42"/>
      <c r="BP840" s="42"/>
      <c r="BQ840" s="42"/>
      <c r="BR840" s="42"/>
      <c r="BS840" s="42"/>
      <c r="BT840" s="42"/>
      <c r="BU840" s="42"/>
      <c r="BV840" s="42"/>
      <c r="BW840" s="42"/>
      <c r="BX840" s="42"/>
      <c r="BY840" s="42"/>
      <c r="BZ840" s="42"/>
      <c r="CA840" s="42"/>
      <c r="CB840" s="42"/>
      <c r="CC840" s="42"/>
      <c r="CD840" s="42"/>
      <c r="CE840" s="42"/>
      <c r="CF840" s="42"/>
      <c r="CG840" s="42"/>
      <c r="CH840" s="42"/>
      <c r="CI840" s="42"/>
      <c r="CJ840" s="42"/>
      <c r="CK840" s="42"/>
      <c r="CL840" s="42"/>
      <c r="CM840" s="42"/>
      <c r="CN840" s="42"/>
      <c r="CO840" s="42"/>
      <c r="CP840" s="42"/>
      <c r="CQ840" s="42"/>
      <c r="CR840" s="42"/>
      <c r="CS840" s="42"/>
      <c r="CT840" s="42"/>
      <c r="CU840" s="42"/>
      <c r="CV840" s="42"/>
      <c r="CW840" s="42"/>
      <c r="CX840" s="42"/>
      <c r="CY840" s="42"/>
      <c r="CZ840" s="42"/>
      <c r="DA840" s="42"/>
      <c r="DB840" s="42"/>
      <c r="DC840" s="42"/>
      <c r="DD840" s="42"/>
      <c r="DE840" s="42"/>
      <c r="DF840" s="42"/>
      <c r="DG840" s="42"/>
      <c r="DH840" s="42"/>
      <c r="DI840" s="42"/>
      <c r="DJ840" s="42"/>
      <c r="DK840" s="42"/>
      <c r="DL840" s="42"/>
      <c r="DM840" s="42"/>
      <c r="DN840" s="42"/>
      <c r="DO840" s="42"/>
      <c r="DP840" s="42"/>
      <c r="DQ840" s="42"/>
      <c r="DR840" s="42"/>
      <c r="DS840" s="42"/>
      <c r="DT840" s="42"/>
      <c r="DU840" s="42"/>
      <c r="DV840" s="42"/>
      <c r="DW840" s="42"/>
      <c r="DX840" s="42"/>
      <c r="DY840" s="42"/>
      <c r="DZ840" s="42"/>
      <c r="EA840" s="42"/>
      <c r="EB840" s="42"/>
      <c r="EC840" s="42"/>
      <c r="ED840" s="42"/>
      <c r="EE840" s="42"/>
      <c r="EF840" s="42"/>
      <c r="EG840" s="42"/>
      <c r="EH840" s="42"/>
      <c r="EI840" s="42"/>
      <c r="EJ840" s="42"/>
      <c r="EK840" s="42"/>
      <c r="EL840" s="42"/>
      <c r="EM840" s="42"/>
      <c r="EN840" s="42"/>
      <c r="EO840" s="42"/>
      <c r="EP840" s="42"/>
      <c r="EQ840" s="42"/>
      <c r="ER840" s="42"/>
      <c r="ES840" s="42"/>
      <c r="ET840" s="42"/>
      <c r="EU840" s="42"/>
      <c r="EV840" s="42"/>
      <c r="EW840" s="42"/>
      <c r="EX840" s="42"/>
      <c r="EY840" s="42"/>
      <c r="EZ840" s="42"/>
      <c r="FA840" s="42"/>
      <c r="FB840" s="42"/>
      <c r="FC840" s="42"/>
      <c r="FD840" s="42"/>
      <c r="FE840" s="42"/>
      <c r="FF840" s="42"/>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row>
    <row r="841" spans="1:256" ht="13.8" x14ac:dyDescent="0.3">
      <c r="A841" s="42"/>
      <c r="B841" s="42"/>
      <c r="C841" s="42"/>
      <c r="D841" s="42"/>
      <c r="E841" s="42"/>
      <c r="F841" s="42"/>
      <c r="G841" s="42"/>
      <c r="H841" s="42"/>
      <c r="I841" s="42"/>
      <c r="J841" s="42"/>
      <c r="K841" s="42"/>
      <c r="L841" s="42"/>
      <c r="M841" s="42"/>
      <c r="N841" s="42"/>
      <c r="O841" s="42"/>
      <c r="P841" s="42"/>
      <c r="Q841" s="42"/>
      <c r="R841" s="42"/>
      <c r="S841" s="42"/>
      <c r="T841" s="42"/>
      <c r="U841" s="194"/>
      <c r="V841" s="42"/>
      <c r="W841" s="42"/>
      <c r="X841" s="42"/>
      <c r="Y841" s="42"/>
      <c r="Z841" s="42"/>
      <c r="AA841" s="42"/>
      <c r="AB841" s="195"/>
      <c r="AC841" s="42"/>
      <c r="AD841" s="42"/>
      <c r="AE841" s="195"/>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c r="BM841" s="42"/>
      <c r="BN841" s="42"/>
      <c r="BO841" s="42"/>
      <c r="BP841" s="42"/>
      <c r="BQ841" s="42"/>
      <c r="BR841" s="42"/>
      <c r="BS841" s="42"/>
      <c r="BT841" s="42"/>
      <c r="BU841" s="42"/>
      <c r="BV841" s="42"/>
      <c r="BW841" s="42"/>
      <c r="BX841" s="42"/>
      <c r="BY841" s="42"/>
      <c r="BZ841" s="42"/>
      <c r="CA841" s="42"/>
      <c r="CB841" s="42"/>
      <c r="CC841" s="42"/>
      <c r="CD841" s="42"/>
      <c r="CE841" s="42"/>
      <c r="CF841" s="42"/>
      <c r="CG841" s="42"/>
      <c r="CH841" s="42"/>
      <c r="CI841" s="42"/>
      <c r="CJ841" s="42"/>
      <c r="CK841" s="42"/>
      <c r="CL841" s="42"/>
      <c r="CM841" s="42"/>
      <c r="CN841" s="42"/>
      <c r="CO841" s="42"/>
      <c r="CP841" s="42"/>
      <c r="CQ841" s="42"/>
      <c r="CR841" s="42"/>
      <c r="CS841" s="42"/>
      <c r="CT841" s="42"/>
      <c r="CU841" s="42"/>
      <c r="CV841" s="42"/>
      <c r="CW841" s="42"/>
      <c r="CX841" s="42"/>
      <c r="CY841" s="42"/>
      <c r="CZ841" s="42"/>
      <c r="DA841" s="42"/>
      <c r="DB841" s="42"/>
      <c r="DC841" s="42"/>
      <c r="DD841" s="42"/>
      <c r="DE841" s="42"/>
      <c r="DF841" s="42"/>
      <c r="DG841" s="42"/>
      <c r="DH841" s="42"/>
      <c r="DI841" s="42"/>
      <c r="DJ841" s="42"/>
      <c r="DK841" s="42"/>
      <c r="DL841" s="42"/>
      <c r="DM841" s="42"/>
      <c r="DN841" s="42"/>
      <c r="DO841" s="42"/>
      <c r="DP841" s="42"/>
      <c r="DQ841" s="42"/>
      <c r="DR841" s="42"/>
      <c r="DS841" s="42"/>
      <c r="DT841" s="42"/>
      <c r="DU841" s="42"/>
      <c r="DV841" s="42"/>
      <c r="DW841" s="42"/>
      <c r="DX841" s="42"/>
      <c r="DY841" s="42"/>
      <c r="DZ841" s="42"/>
      <c r="EA841" s="42"/>
      <c r="EB841" s="42"/>
      <c r="EC841" s="42"/>
      <c r="ED841" s="42"/>
      <c r="EE841" s="42"/>
      <c r="EF841" s="42"/>
      <c r="EG841" s="42"/>
      <c r="EH841" s="42"/>
      <c r="EI841" s="42"/>
      <c r="EJ841" s="42"/>
      <c r="EK841" s="42"/>
      <c r="EL841" s="42"/>
      <c r="EM841" s="42"/>
      <c r="EN841" s="42"/>
      <c r="EO841" s="42"/>
      <c r="EP841" s="42"/>
      <c r="EQ841" s="42"/>
      <c r="ER841" s="42"/>
      <c r="ES841" s="42"/>
      <c r="ET841" s="42"/>
      <c r="EU841" s="42"/>
      <c r="EV841" s="42"/>
      <c r="EW841" s="42"/>
      <c r="EX841" s="42"/>
      <c r="EY841" s="42"/>
      <c r="EZ841" s="42"/>
      <c r="FA841" s="42"/>
      <c r="FB841" s="42"/>
      <c r="FC841" s="42"/>
      <c r="FD841" s="42"/>
      <c r="FE841" s="42"/>
      <c r="FF841" s="42"/>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row>
    <row r="842" spans="1:256" ht="13.8" x14ac:dyDescent="0.3">
      <c r="A842" s="42"/>
      <c r="B842" s="42"/>
      <c r="C842" s="42"/>
      <c r="D842" s="42"/>
      <c r="E842" s="42"/>
      <c r="F842" s="42"/>
      <c r="G842" s="42"/>
      <c r="H842" s="42"/>
      <c r="I842" s="42"/>
      <c r="J842" s="42"/>
      <c r="K842" s="42"/>
      <c r="L842" s="42"/>
      <c r="M842" s="42"/>
      <c r="N842" s="42"/>
      <c r="O842" s="42"/>
      <c r="P842" s="42"/>
      <c r="Q842" s="42"/>
      <c r="R842" s="42"/>
      <c r="S842" s="42"/>
      <c r="T842" s="42"/>
      <c r="U842" s="194"/>
      <c r="V842" s="42"/>
      <c r="W842" s="42"/>
      <c r="X842" s="42"/>
      <c r="Y842" s="42"/>
      <c r="Z842" s="42"/>
      <c r="AA842" s="42"/>
      <c r="AB842" s="195"/>
      <c r="AC842" s="42"/>
      <c r="AD842" s="42"/>
      <c r="AE842" s="195"/>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c r="BM842" s="42"/>
      <c r="BN842" s="42"/>
      <c r="BO842" s="42"/>
      <c r="BP842" s="42"/>
      <c r="BQ842" s="42"/>
      <c r="BR842" s="42"/>
      <c r="BS842" s="42"/>
      <c r="BT842" s="42"/>
      <c r="BU842" s="42"/>
      <c r="BV842" s="42"/>
      <c r="BW842" s="42"/>
      <c r="BX842" s="42"/>
      <c r="BY842" s="42"/>
      <c r="BZ842" s="42"/>
      <c r="CA842" s="42"/>
      <c r="CB842" s="42"/>
      <c r="CC842" s="42"/>
      <c r="CD842" s="42"/>
      <c r="CE842" s="42"/>
      <c r="CF842" s="42"/>
      <c r="CG842" s="42"/>
      <c r="CH842" s="42"/>
      <c r="CI842" s="42"/>
      <c r="CJ842" s="42"/>
      <c r="CK842" s="42"/>
      <c r="CL842" s="42"/>
      <c r="CM842" s="42"/>
      <c r="CN842" s="42"/>
      <c r="CO842" s="42"/>
      <c r="CP842" s="42"/>
      <c r="CQ842" s="42"/>
      <c r="CR842" s="42"/>
      <c r="CS842" s="42"/>
      <c r="CT842" s="42"/>
      <c r="CU842" s="42"/>
      <c r="CV842" s="42"/>
      <c r="CW842" s="42"/>
      <c r="CX842" s="42"/>
      <c r="CY842" s="42"/>
      <c r="CZ842" s="42"/>
      <c r="DA842" s="42"/>
      <c r="DB842" s="42"/>
      <c r="DC842" s="42"/>
      <c r="DD842" s="42"/>
      <c r="DE842" s="42"/>
      <c r="DF842" s="42"/>
      <c r="DG842" s="42"/>
      <c r="DH842" s="42"/>
      <c r="DI842" s="42"/>
      <c r="DJ842" s="42"/>
      <c r="DK842" s="42"/>
      <c r="DL842" s="42"/>
      <c r="DM842" s="42"/>
      <c r="DN842" s="42"/>
      <c r="DO842" s="42"/>
      <c r="DP842" s="42"/>
      <c r="DQ842" s="42"/>
      <c r="DR842" s="42"/>
      <c r="DS842" s="42"/>
      <c r="DT842" s="42"/>
      <c r="DU842" s="42"/>
      <c r="DV842" s="42"/>
      <c r="DW842" s="42"/>
      <c r="DX842" s="42"/>
      <c r="DY842" s="42"/>
      <c r="DZ842" s="42"/>
      <c r="EA842" s="42"/>
      <c r="EB842" s="42"/>
      <c r="EC842" s="42"/>
      <c r="ED842" s="42"/>
      <c r="EE842" s="42"/>
      <c r="EF842" s="42"/>
      <c r="EG842" s="42"/>
      <c r="EH842" s="42"/>
      <c r="EI842" s="42"/>
      <c r="EJ842" s="42"/>
      <c r="EK842" s="42"/>
      <c r="EL842" s="42"/>
      <c r="EM842" s="42"/>
      <c r="EN842" s="42"/>
      <c r="EO842" s="42"/>
      <c r="EP842" s="42"/>
      <c r="EQ842" s="42"/>
      <c r="ER842" s="42"/>
      <c r="ES842" s="42"/>
      <c r="ET842" s="42"/>
      <c r="EU842" s="42"/>
      <c r="EV842" s="42"/>
      <c r="EW842" s="42"/>
      <c r="EX842" s="42"/>
      <c r="EY842" s="42"/>
      <c r="EZ842" s="42"/>
      <c r="FA842" s="42"/>
      <c r="FB842" s="42"/>
      <c r="FC842" s="42"/>
      <c r="FD842" s="42"/>
      <c r="FE842" s="42"/>
      <c r="FF842" s="42"/>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row>
    <row r="843" spans="1:256" ht="13.8" x14ac:dyDescent="0.3">
      <c r="A843" s="42"/>
      <c r="B843" s="42"/>
      <c r="C843" s="42"/>
      <c r="D843" s="42"/>
      <c r="E843" s="42"/>
      <c r="F843" s="42"/>
      <c r="G843" s="42"/>
      <c r="H843" s="42"/>
      <c r="I843" s="42"/>
      <c r="J843" s="42"/>
      <c r="K843" s="42"/>
      <c r="L843" s="42"/>
      <c r="M843" s="42"/>
      <c r="N843" s="42"/>
      <c r="O843" s="42"/>
      <c r="P843" s="42"/>
      <c r="Q843" s="42"/>
      <c r="R843" s="42"/>
      <c r="S843" s="42"/>
      <c r="T843" s="42"/>
      <c r="U843" s="194"/>
      <c r="V843" s="42"/>
      <c r="W843" s="42"/>
      <c r="X843" s="42"/>
      <c r="Y843" s="42"/>
      <c r="Z843" s="42"/>
      <c r="AA843" s="42"/>
      <c r="AB843" s="195"/>
      <c r="AC843" s="42"/>
      <c r="AD843" s="42"/>
      <c r="AE843" s="195"/>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c r="BM843" s="42"/>
      <c r="BN843" s="42"/>
      <c r="BO843" s="42"/>
      <c r="BP843" s="42"/>
      <c r="BQ843" s="42"/>
      <c r="BR843" s="42"/>
      <c r="BS843" s="42"/>
      <c r="BT843" s="42"/>
      <c r="BU843" s="42"/>
      <c r="BV843" s="42"/>
      <c r="BW843" s="42"/>
      <c r="BX843" s="42"/>
      <c r="BY843" s="42"/>
      <c r="BZ843" s="42"/>
      <c r="CA843" s="42"/>
      <c r="CB843" s="42"/>
      <c r="CC843" s="42"/>
      <c r="CD843" s="42"/>
      <c r="CE843" s="42"/>
      <c r="CF843" s="42"/>
      <c r="CG843" s="42"/>
      <c r="CH843" s="42"/>
      <c r="CI843" s="42"/>
      <c r="CJ843" s="42"/>
      <c r="CK843" s="42"/>
      <c r="CL843" s="42"/>
      <c r="CM843" s="42"/>
      <c r="CN843" s="42"/>
      <c r="CO843" s="42"/>
      <c r="CP843" s="42"/>
      <c r="CQ843" s="42"/>
      <c r="CR843" s="42"/>
      <c r="CS843" s="42"/>
      <c r="CT843" s="42"/>
      <c r="CU843" s="42"/>
      <c r="CV843" s="42"/>
      <c r="CW843" s="42"/>
      <c r="CX843" s="42"/>
      <c r="CY843" s="42"/>
      <c r="CZ843" s="42"/>
      <c r="DA843" s="42"/>
      <c r="DB843" s="42"/>
      <c r="DC843" s="42"/>
      <c r="DD843" s="42"/>
      <c r="DE843" s="42"/>
      <c r="DF843" s="42"/>
      <c r="DG843" s="42"/>
      <c r="DH843" s="42"/>
      <c r="DI843" s="42"/>
      <c r="DJ843" s="42"/>
      <c r="DK843" s="42"/>
      <c r="DL843" s="42"/>
      <c r="DM843" s="42"/>
      <c r="DN843" s="42"/>
      <c r="DO843" s="42"/>
      <c r="DP843" s="42"/>
      <c r="DQ843" s="42"/>
      <c r="DR843" s="42"/>
      <c r="DS843" s="42"/>
      <c r="DT843" s="42"/>
      <c r="DU843" s="42"/>
      <c r="DV843" s="42"/>
      <c r="DW843" s="42"/>
      <c r="DX843" s="42"/>
      <c r="DY843" s="42"/>
      <c r="DZ843" s="42"/>
      <c r="EA843" s="42"/>
      <c r="EB843" s="42"/>
      <c r="EC843" s="42"/>
      <c r="ED843" s="42"/>
      <c r="EE843" s="42"/>
      <c r="EF843" s="42"/>
      <c r="EG843" s="42"/>
      <c r="EH843" s="42"/>
      <c r="EI843" s="42"/>
      <c r="EJ843" s="42"/>
      <c r="EK843" s="42"/>
      <c r="EL843" s="42"/>
      <c r="EM843" s="42"/>
      <c r="EN843" s="42"/>
      <c r="EO843" s="42"/>
      <c r="EP843" s="42"/>
      <c r="EQ843" s="42"/>
      <c r="ER843" s="42"/>
      <c r="ES843" s="42"/>
      <c r="ET843" s="42"/>
      <c r="EU843" s="42"/>
      <c r="EV843" s="42"/>
      <c r="EW843" s="42"/>
      <c r="EX843" s="42"/>
      <c r="EY843" s="42"/>
      <c r="EZ843" s="42"/>
      <c r="FA843" s="42"/>
      <c r="FB843" s="42"/>
      <c r="FC843" s="42"/>
      <c r="FD843" s="42"/>
      <c r="FE843" s="42"/>
      <c r="FF843" s="42"/>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row>
    <row r="844" spans="1:256" ht="13.8" x14ac:dyDescent="0.3">
      <c r="A844" s="42"/>
      <c r="B844" s="42"/>
      <c r="C844" s="42"/>
      <c r="D844" s="42"/>
      <c r="E844" s="42"/>
      <c r="F844" s="42"/>
      <c r="G844" s="42"/>
      <c r="H844" s="42"/>
      <c r="I844" s="42"/>
      <c r="J844" s="42"/>
      <c r="K844" s="42"/>
      <c r="L844" s="42"/>
      <c r="M844" s="42"/>
      <c r="N844" s="42"/>
      <c r="O844" s="42"/>
      <c r="P844" s="42"/>
      <c r="Q844" s="42"/>
      <c r="R844" s="42"/>
      <c r="S844" s="42"/>
      <c r="T844" s="42"/>
      <c r="U844" s="194"/>
      <c r="V844" s="42"/>
      <c r="W844" s="42"/>
      <c r="X844" s="42"/>
      <c r="Y844" s="42"/>
      <c r="Z844" s="42"/>
      <c r="AA844" s="42"/>
      <c r="AB844" s="195"/>
      <c r="AC844" s="42"/>
      <c r="AD844" s="42"/>
      <c r="AE844" s="195"/>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c r="BM844" s="42"/>
      <c r="BN844" s="42"/>
      <c r="BO844" s="42"/>
      <c r="BP844" s="42"/>
      <c r="BQ844" s="42"/>
      <c r="BR844" s="42"/>
      <c r="BS844" s="42"/>
      <c r="BT844" s="42"/>
      <c r="BU844" s="42"/>
      <c r="BV844" s="42"/>
      <c r="BW844" s="42"/>
      <c r="BX844" s="42"/>
      <c r="BY844" s="42"/>
      <c r="BZ844" s="42"/>
      <c r="CA844" s="42"/>
      <c r="CB844" s="42"/>
      <c r="CC844" s="42"/>
      <c r="CD844" s="42"/>
      <c r="CE844" s="42"/>
      <c r="CF844" s="42"/>
      <c r="CG844" s="42"/>
      <c r="CH844" s="42"/>
      <c r="CI844" s="42"/>
      <c r="CJ844" s="42"/>
      <c r="CK844" s="42"/>
      <c r="CL844" s="42"/>
      <c r="CM844" s="42"/>
      <c r="CN844" s="42"/>
      <c r="CO844" s="42"/>
      <c r="CP844" s="42"/>
      <c r="CQ844" s="42"/>
      <c r="CR844" s="42"/>
      <c r="CS844" s="42"/>
      <c r="CT844" s="42"/>
      <c r="CU844" s="42"/>
      <c r="CV844" s="42"/>
      <c r="CW844" s="42"/>
      <c r="CX844" s="42"/>
      <c r="CY844" s="42"/>
      <c r="CZ844" s="42"/>
      <c r="DA844" s="42"/>
      <c r="DB844" s="42"/>
      <c r="DC844" s="42"/>
      <c r="DD844" s="42"/>
      <c r="DE844" s="42"/>
      <c r="DF844" s="42"/>
      <c r="DG844" s="42"/>
      <c r="DH844" s="42"/>
      <c r="DI844" s="42"/>
      <c r="DJ844" s="42"/>
      <c r="DK844" s="42"/>
      <c r="DL844" s="42"/>
      <c r="DM844" s="42"/>
      <c r="DN844" s="42"/>
      <c r="DO844" s="42"/>
      <c r="DP844" s="42"/>
      <c r="DQ844" s="42"/>
      <c r="DR844" s="42"/>
      <c r="DS844" s="42"/>
      <c r="DT844" s="42"/>
      <c r="DU844" s="42"/>
      <c r="DV844" s="42"/>
      <c r="DW844" s="42"/>
      <c r="DX844" s="42"/>
      <c r="DY844" s="42"/>
      <c r="DZ844" s="42"/>
      <c r="EA844" s="42"/>
      <c r="EB844" s="42"/>
      <c r="EC844" s="42"/>
      <c r="ED844" s="42"/>
      <c r="EE844" s="42"/>
      <c r="EF844" s="42"/>
      <c r="EG844" s="42"/>
      <c r="EH844" s="42"/>
      <c r="EI844" s="42"/>
      <c r="EJ844" s="42"/>
      <c r="EK844" s="42"/>
      <c r="EL844" s="42"/>
      <c r="EM844" s="42"/>
      <c r="EN844" s="42"/>
      <c r="EO844" s="42"/>
      <c r="EP844" s="42"/>
      <c r="EQ844" s="42"/>
      <c r="ER844" s="42"/>
      <c r="ES844" s="42"/>
      <c r="ET844" s="42"/>
      <c r="EU844" s="42"/>
      <c r="EV844" s="42"/>
      <c r="EW844" s="42"/>
      <c r="EX844" s="42"/>
      <c r="EY844" s="42"/>
      <c r="EZ844" s="42"/>
      <c r="FA844" s="42"/>
      <c r="FB844" s="42"/>
      <c r="FC844" s="42"/>
      <c r="FD844" s="42"/>
      <c r="FE844" s="42"/>
      <c r="FF844" s="42"/>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row>
    <row r="845" spans="1:256" ht="13.8" x14ac:dyDescent="0.3">
      <c r="A845" s="42"/>
      <c r="B845" s="42"/>
      <c r="C845" s="42"/>
      <c r="D845" s="42"/>
      <c r="E845" s="42"/>
      <c r="F845" s="42"/>
      <c r="G845" s="42"/>
      <c r="H845" s="42"/>
      <c r="I845" s="42"/>
      <c r="J845" s="42"/>
      <c r="K845" s="42"/>
      <c r="L845" s="42"/>
      <c r="M845" s="42"/>
      <c r="N845" s="42"/>
      <c r="O845" s="42"/>
      <c r="P845" s="42"/>
      <c r="Q845" s="42"/>
      <c r="R845" s="42"/>
      <c r="S845" s="42"/>
      <c r="T845" s="42"/>
      <c r="U845" s="194"/>
      <c r="V845" s="42"/>
      <c r="W845" s="42"/>
      <c r="X845" s="42"/>
      <c r="Y845" s="42"/>
      <c r="Z845" s="42"/>
      <c r="AA845" s="42"/>
      <c r="AB845" s="195"/>
      <c r="AC845" s="42"/>
      <c r="AD845" s="42"/>
      <c r="AE845" s="195"/>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c r="BM845" s="42"/>
      <c r="BN845" s="42"/>
      <c r="BO845" s="42"/>
      <c r="BP845" s="42"/>
      <c r="BQ845" s="42"/>
      <c r="BR845" s="42"/>
      <c r="BS845" s="42"/>
      <c r="BT845" s="42"/>
      <c r="BU845" s="42"/>
      <c r="BV845" s="42"/>
      <c r="BW845" s="42"/>
      <c r="BX845" s="42"/>
      <c r="BY845" s="42"/>
      <c r="BZ845" s="42"/>
      <c r="CA845" s="42"/>
      <c r="CB845" s="42"/>
      <c r="CC845" s="42"/>
      <c r="CD845" s="42"/>
      <c r="CE845" s="42"/>
      <c r="CF845" s="42"/>
      <c r="CG845" s="42"/>
      <c r="CH845" s="42"/>
      <c r="CI845" s="42"/>
      <c r="CJ845" s="42"/>
      <c r="CK845" s="42"/>
      <c r="CL845" s="42"/>
      <c r="CM845" s="42"/>
      <c r="CN845" s="42"/>
      <c r="CO845" s="42"/>
      <c r="CP845" s="42"/>
      <c r="CQ845" s="42"/>
      <c r="CR845" s="42"/>
      <c r="CS845" s="42"/>
      <c r="CT845" s="42"/>
      <c r="CU845" s="42"/>
      <c r="CV845" s="42"/>
      <c r="CW845" s="42"/>
      <c r="CX845" s="42"/>
      <c r="CY845" s="42"/>
      <c r="CZ845" s="42"/>
      <c r="DA845" s="42"/>
      <c r="DB845" s="42"/>
      <c r="DC845" s="42"/>
      <c r="DD845" s="42"/>
      <c r="DE845" s="42"/>
      <c r="DF845" s="42"/>
      <c r="DG845" s="42"/>
      <c r="DH845" s="42"/>
      <c r="DI845" s="42"/>
      <c r="DJ845" s="42"/>
      <c r="DK845" s="42"/>
      <c r="DL845" s="42"/>
      <c r="DM845" s="42"/>
      <c r="DN845" s="42"/>
      <c r="DO845" s="42"/>
      <c r="DP845" s="42"/>
      <c r="DQ845" s="42"/>
      <c r="DR845" s="42"/>
      <c r="DS845" s="42"/>
      <c r="DT845" s="42"/>
      <c r="DU845" s="42"/>
      <c r="DV845" s="42"/>
      <c r="DW845" s="42"/>
      <c r="DX845" s="42"/>
      <c r="DY845" s="42"/>
      <c r="DZ845" s="42"/>
      <c r="EA845" s="42"/>
      <c r="EB845" s="42"/>
      <c r="EC845" s="42"/>
      <c r="ED845" s="42"/>
      <c r="EE845" s="42"/>
      <c r="EF845" s="42"/>
      <c r="EG845" s="42"/>
      <c r="EH845" s="42"/>
      <c r="EI845" s="42"/>
      <c r="EJ845" s="42"/>
      <c r="EK845" s="42"/>
      <c r="EL845" s="42"/>
      <c r="EM845" s="42"/>
      <c r="EN845" s="42"/>
      <c r="EO845" s="42"/>
      <c r="EP845" s="42"/>
      <c r="EQ845" s="42"/>
      <c r="ER845" s="42"/>
      <c r="ES845" s="42"/>
      <c r="ET845" s="42"/>
      <c r="EU845" s="42"/>
      <c r="EV845" s="42"/>
      <c r="EW845" s="42"/>
      <c r="EX845" s="42"/>
      <c r="EY845" s="42"/>
      <c r="EZ845" s="42"/>
      <c r="FA845" s="42"/>
      <c r="FB845" s="42"/>
      <c r="FC845" s="42"/>
      <c r="FD845" s="42"/>
      <c r="FE845" s="42"/>
      <c r="FF845" s="42"/>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row>
    <row r="846" spans="1:256" ht="13.8" x14ac:dyDescent="0.3">
      <c r="A846" s="42"/>
      <c r="B846" s="42"/>
      <c r="C846" s="42"/>
      <c r="D846" s="42"/>
      <c r="E846" s="42"/>
      <c r="F846" s="42"/>
      <c r="G846" s="42"/>
      <c r="H846" s="42"/>
      <c r="I846" s="42"/>
      <c r="J846" s="42"/>
      <c r="K846" s="42"/>
      <c r="L846" s="42"/>
      <c r="M846" s="42"/>
      <c r="N846" s="42"/>
      <c r="O846" s="42"/>
      <c r="P846" s="42"/>
      <c r="Q846" s="42"/>
      <c r="R846" s="42"/>
      <c r="S846" s="42"/>
      <c r="T846" s="42"/>
      <c r="U846" s="194"/>
      <c r="V846" s="42"/>
      <c r="W846" s="42"/>
      <c r="X846" s="42"/>
      <c r="Y846" s="42"/>
      <c r="Z846" s="42"/>
      <c r="AA846" s="42"/>
      <c r="AB846" s="195"/>
      <c r="AC846" s="42"/>
      <c r="AD846" s="42"/>
      <c r="AE846" s="195"/>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c r="BM846" s="42"/>
      <c r="BN846" s="42"/>
      <c r="BO846" s="42"/>
      <c r="BP846" s="42"/>
      <c r="BQ846" s="42"/>
      <c r="BR846" s="42"/>
      <c r="BS846" s="42"/>
      <c r="BT846" s="42"/>
      <c r="BU846" s="42"/>
      <c r="BV846" s="42"/>
      <c r="BW846" s="42"/>
      <c r="BX846" s="42"/>
      <c r="BY846" s="42"/>
      <c r="BZ846" s="42"/>
      <c r="CA846" s="42"/>
      <c r="CB846" s="42"/>
      <c r="CC846" s="42"/>
      <c r="CD846" s="42"/>
      <c r="CE846" s="42"/>
      <c r="CF846" s="42"/>
      <c r="CG846" s="42"/>
      <c r="CH846" s="42"/>
      <c r="CI846" s="42"/>
      <c r="CJ846" s="42"/>
      <c r="CK846" s="42"/>
      <c r="CL846" s="42"/>
      <c r="CM846" s="42"/>
      <c r="CN846" s="42"/>
      <c r="CO846" s="42"/>
      <c r="CP846" s="42"/>
      <c r="CQ846" s="42"/>
      <c r="CR846" s="42"/>
      <c r="CS846" s="42"/>
      <c r="CT846" s="42"/>
      <c r="CU846" s="42"/>
      <c r="CV846" s="42"/>
      <c r="CW846" s="42"/>
      <c r="CX846" s="42"/>
      <c r="CY846" s="42"/>
      <c r="CZ846" s="42"/>
      <c r="DA846" s="42"/>
      <c r="DB846" s="42"/>
      <c r="DC846" s="42"/>
      <c r="DD846" s="42"/>
      <c r="DE846" s="42"/>
      <c r="DF846" s="42"/>
      <c r="DG846" s="42"/>
      <c r="DH846" s="42"/>
      <c r="DI846" s="42"/>
      <c r="DJ846" s="42"/>
      <c r="DK846" s="42"/>
      <c r="DL846" s="42"/>
      <c r="DM846" s="42"/>
      <c r="DN846" s="42"/>
      <c r="DO846" s="42"/>
      <c r="DP846" s="42"/>
      <c r="DQ846" s="42"/>
      <c r="DR846" s="42"/>
      <c r="DS846" s="42"/>
      <c r="DT846" s="42"/>
      <c r="DU846" s="42"/>
      <c r="DV846" s="42"/>
      <c r="DW846" s="42"/>
      <c r="DX846" s="42"/>
      <c r="DY846" s="42"/>
      <c r="DZ846" s="42"/>
      <c r="EA846" s="42"/>
      <c r="EB846" s="42"/>
      <c r="EC846" s="42"/>
      <c r="ED846" s="42"/>
      <c r="EE846" s="42"/>
      <c r="EF846" s="42"/>
      <c r="EG846" s="42"/>
      <c r="EH846" s="42"/>
      <c r="EI846" s="42"/>
      <c r="EJ846" s="42"/>
      <c r="EK846" s="42"/>
      <c r="EL846" s="42"/>
      <c r="EM846" s="42"/>
      <c r="EN846" s="42"/>
      <c r="EO846" s="42"/>
      <c r="EP846" s="42"/>
      <c r="EQ846" s="42"/>
      <c r="ER846" s="42"/>
      <c r="ES846" s="42"/>
      <c r="ET846" s="42"/>
      <c r="EU846" s="42"/>
      <c r="EV846" s="42"/>
      <c r="EW846" s="42"/>
      <c r="EX846" s="42"/>
      <c r="EY846" s="42"/>
      <c r="EZ846" s="42"/>
      <c r="FA846" s="42"/>
      <c r="FB846" s="42"/>
      <c r="FC846" s="42"/>
      <c r="FD846" s="42"/>
      <c r="FE846" s="42"/>
      <c r="FF846" s="42"/>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row>
    <row r="847" spans="1:256" ht="13.8" x14ac:dyDescent="0.3">
      <c r="A847" s="42"/>
      <c r="B847" s="42"/>
      <c r="C847" s="42"/>
      <c r="D847" s="42"/>
      <c r="E847" s="42"/>
      <c r="F847" s="42"/>
      <c r="G847" s="42"/>
      <c r="H847" s="42"/>
      <c r="I847" s="42"/>
      <c r="J847" s="42"/>
      <c r="K847" s="42"/>
      <c r="L847" s="42"/>
      <c r="M847" s="42"/>
      <c r="N847" s="42"/>
      <c r="O847" s="42"/>
      <c r="P847" s="42"/>
      <c r="Q847" s="42"/>
      <c r="R847" s="42"/>
      <c r="S847" s="42"/>
      <c r="T847" s="42"/>
      <c r="U847" s="194"/>
      <c r="V847" s="42"/>
      <c r="W847" s="42"/>
      <c r="X847" s="42"/>
      <c r="Y847" s="42"/>
      <c r="Z847" s="42"/>
      <c r="AA847" s="42"/>
      <c r="AB847" s="195"/>
      <c r="AC847" s="42"/>
      <c r="AD847" s="42"/>
      <c r="AE847" s="195"/>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c r="BM847" s="42"/>
      <c r="BN847" s="42"/>
      <c r="BO847" s="42"/>
      <c r="BP847" s="42"/>
      <c r="BQ847" s="42"/>
      <c r="BR847" s="42"/>
      <c r="BS847" s="42"/>
      <c r="BT847" s="42"/>
      <c r="BU847" s="42"/>
      <c r="BV847" s="42"/>
      <c r="BW847" s="42"/>
      <c r="BX847" s="42"/>
      <c r="BY847" s="42"/>
      <c r="BZ847" s="42"/>
      <c r="CA847" s="42"/>
      <c r="CB847" s="42"/>
      <c r="CC847" s="42"/>
      <c r="CD847" s="42"/>
      <c r="CE847" s="42"/>
      <c r="CF847" s="42"/>
      <c r="CG847" s="42"/>
      <c r="CH847" s="42"/>
      <c r="CI847" s="42"/>
      <c r="CJ847" s="42"/>
      <c r="CK847" s="42"/>
      <c r="CL847" s="42"/>
      <c r="CM847" s="42"/>
      <c r="CN847" s="42"/>
      <c r="CO847" s="42"/>
      <c r="CP847" s="42"/>
      <c r="CQ847" s="42"/>
      <c r="CR847" s="42"/>
      <c r="CS847" s="42"/>
      <c r="CT847" s="42"/>
      <c r="CU847" s="42"/>
      <c r="CV847" s="42"/>
      <c r="CW847" s="42"/>
      <c r="CX847" s="42"/>
      <c r="CY847" s="42"/>
      <c r="CZ847" s="42"/>
      <c r="DA847" s="42"/>
      <c r="DB847" s="42"/>
      <c r="DC847" s="42"/>
      <c r="DD847" s="42"/>
      <c r="DE847" s="42"/>
      <c r="DF847" s="42"/>
      <c r="DG847" s="42"/>
      <c r="DH847" s="42"/>
      <c r="DI847" s="42"/>
      <c r="DJ847" s="42"/>
      <c r="DK847" s="42"/>
      <c r="DL847" s="42"/>
      <c r="DM847" s="42"/>
      <c r="DN847" s="42"/>
      <c r="DO847" s="42"/>
      <c r="DP847" s="42"/>
      <c r="DQ847" s="42"/>
      <c r="DR847" s="42"/>
      <c r="DS847" s="42"/>
      <c r="DT847" s="42"/>
      <c r="DU847" s="42"/>
      <c r="DV847" s="42"/>
      <c r="DW847" s="42"/>
      <c r="DX847" s="42"/>
      <c r="DY847" s="42"/>
      <c r="DZ847" s="42"/>
      <c r="EA847" s="42"/>
      <c r="EB847" s="42"/>
      <c r="EC847" s="42"/>
      <c r="ED847" s="42"/>
      <c r="EE847" s="42"/>
      <c r="EF847" s="42"/>
      <c r="EG847" s="42"/>
      <c r="EH847" s="42"/>
      <c r="EI847" s="42"/>
      <c r="EJ847" s="42"/>
      <c r="EK847" s="42"/>
      <c r="EL847" s="42"/>
      <c r="EM847" s="42"/>
      <c r="EN847" s="42"/>
      <c r="EO847" s="42"/>
      <c r="EP847" s="42"/>
      <c r="EQ847" s="42"/>
      <c r="ER847" s="42"/>
      <c r="ES847" s="42"/>
      <c r="ET847" s="42"/>
      <c r="EU847" s="42"/>
      <c r="EV847" s="42"/>
      <c r="EW847" s="42"/>
      <c r="EX847" s="42"/>
      <c r="EY847" s="42"/>
      <c r="EZ847" s="42"/>
      <c r="FA847" s="42"/>
      <c r="FB847" s="42"/>
      <c r="FC847" s="42"/>
      <c r="FD847" s="42"/>
      <c r="FE847" s="42"/>
      <c r="FF847" s="42"/>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row>
    <row r="848" spans="1:256" ht="13.8" x14ac:dyDescent="0.3">
      <c r="A848" s="42"/>
      <c r="B848" s="42"/>
      <c r="C848" s="42"/>
      <c r="D848" s="42"/>
      <c r="E848" s="42"/>
      <c r="F848" s="42"/>
      <c r="G848" s="42"/>
      <c r="H848" s="42"/>
      <c r="I848" s="42"/>
      <c r="J848" s="42"/>
      <c r="K848" s="42"/>
      <c r="L848" s="42"/>
      <c r="M848" s="42"/>
      <c r="N848" s="42"/>
      <c r="O848" s="42"/>
      <c r="P848" s="42"/>
      <c r="Q848" s="42"/>
      <c r="R848" s="42"/>
      <c r="S848" s="42"/>
      <c r="T848" s="42"/>
      <c r="U848" s="194"/>
      <c r="V848" s="42"/>
      <c r="W848" s="42"/>
      <c r="X848" s="42"/>
      <c r="Y848" s="42"/>
      <c r="Z848" s="42"/>
      <c r="AA848" s="42"/>
      <c r="AB848" s="195"/>
      <c r="AC848" s="42"/>
      <c r="AD848" s="42"/>
      <c r="AE848" s="195"/>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c r="BM848" s="42"/>
      <c r="BN848" s="42"/>
      <c r="BO848" s="42"/>
      <c r="BP848" s="42"/>
      <c r="BQ848" s="42"/>
      <c r="BR848" s="42"/>
      <c r="BS848" s="42"/>
      <c r="BT848" s="42"/>
      <c r="BU848" s="42"/>
      <c r="BV848" s="42"/>
      <c r="BW848" s="42"/>
      <c r="BX848" s="42"/>
      <c r="BY848" s="42"/>
      <c r="BZ848" s="42"/>
      <c r="CA848" s="42"/>
      <c r="CB848" s="42"/>
      <c r="CC848" s="42"/>
      <c r="CD848" s="42"/>
      <c r="CE848" s="42"/>
      <c r="CF848" s="42"/>
      <c r="CG848" s="42"/>
      <c r="CH848" s="42"/>
      <c r="CI848" s="42"/>
      <c r="CJ848" s="42"/>
      <c r="CK848" s="42"/>
      <c r="CL848" s="42"/>
      <c r="CM848" s="42"/>
      <c r="CN848" s="42"/>
      <c r="CO848" s="42"/>
      <c r="CP848" s="42"/>
      <c r="CQ848" s="42"/>
      <c r="CR848" s="42"/>
      <c r="CS848" s="42"/>
      <c r="CT848" s="42"/>
      <c r="CU848" s="42"/>
      <c r="CV848" s="42"/>
      <c r="CW848" s="42"/>
      <c r="CX848" s="42"/>
      <c r="CY848" s="42"/>
      <c r="CZ848" s="42"/>
      <c r="DA848" s="42"/>
      <c r="DB848" s="42"/>
      <c r="DC848" s="42"/>
      <c r="DD848" s="42"/>
      <c r="DE848" s="42"/>
      <c r="DF848" s="42"/>
      <c r="DG848" s="42"/>
      <c r="DH848" s="42"/>
      <c r="DI848" s="42"/>
      <c r="DJ848" s="42"/>
      <c r="DK848" s="42"/>
      <c r="DL848" s="42"/>
      <c r="DM848" s="42"/>
      <c r="DN848" s="42"/>
      <c r="DO848" s="42"/>
      <c r="DP848" s="42"/>
      <c r="DQ848" s="42"/>
      <c r="DR848" s="42"/>
      <c r="DS848" s="42"/>
      <c r="DT848" s="42"/>
      <c r="DU848" s="42"/>
      <c r="DV848" s="42"/>
      <c r="DW848" s="42"/>
      <c r="DX848" s="42"/>
      <c r="DY848" s="42"/>
      <c r="DZ848" s="42"/>
      <c r="EA848" s="42"/>
      <c r="EB848" s="42"/>
      <c r="EC848" s="42"/>
      <c r="ED848" s="42"/>
      <c r="EE848" s="42"/>
      <c r="EF848" s="42"/>
      <c r="EG848" s="42"/>
      <c r="EH848" s="42"/>
      <c r="EI848" s="42"/>
      <c r="EJ848" s="42"/>
      <c r="EK848" s="42"/>
      <c r="EL848" s="42"/>
      <c r="EM848" s="42"/>
      <c r="EN848" s="42"/>
      <c r="EO848" s="42"/>
      <c r="EP848" s="42"/>
      <c r="EQ848" s="42"/>
      <c r="ER848" s="42"/>
      <c r="ES848" s="42"/>
      <c r="ET848" s="42"/>
      <c r="EU848" s="42"/>
      <c r="EV848" s="42"/>
      <c r="EW848" s="42"/>
      <c r="EX848" s="42"/>
      <c r="EY848" s="42"/>
      <c r="EZ848" s="42"/>
      <c r="FA848" s="42"/>
      <c r="FB848" s="42"/>
      <c r="FC848" s="42"/>
      <c r="FD848" s="42"/>
      <c r="FE848" s="42"/>
      <c r="FF848" s="42"/>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row>
    <row r="849" spans="1:256" ht="13.8" x14ac:dyDescent="0.3">
      <c r="A849" s="42"/>
      <c r="B849" s="42"/>
      <c r="C849" s="42"/>
      <c r="D849" s="42"/>
      <c r="E849" s="42"/>
      <c r="F849" s="42"/>
      <c r="G849" s="42"/>
      <c r="H849" s="42"/>
      <c r="I849" s="42"/>
      <c r="J849" s="42"/>
      <c r="K849" s="42"/>
      <c r="L849" s="42"/>
      <c r="M849" s="42"/>
      <c r="N849" s="42"/>
      <c r="O849" s="42"/>
      <c r="P849" s="42"/>
      <c r="Q849" s="42"/>
      <c r="R849" s="42"/>
      <c r="S849" s="42"/>
      <c r="T849" s="42"/>
      <c r="U849" s="194"/>
      <c r="V849" s="42"/>
      <c r="W849" s="42"/>
      <c r="X849" s="42"/>
      <c r="Y849" s="42"/>
      <c r="Z849" s="42"/>
      <c r="AA849" s="42"/>
      <c r="AB849" s="195"/>
      <c r="AC849" s="42"/>
      <c r="AD849" s="42"/>
      <c r="AE849" s="195"/>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c r="BM849" s="42"/>
      <c r="BN849" s="42"/>
      <c r="BO849" s="42"/>
      <c r="BP849" s="42"/>
      <c r="BQ849" s="42"/>
      <c r="BR849" s="42"/>
      <c r="BS849" s="42"/>
      <c r="BT849" s="42"/>
      <c r="BU849" s="42"/>
      <c r="BV849" s="42"/>
      <c r="BW849" s="42"/>
      <c r="BX849" s="42"/>
      <c r="BY849" s="42"/>
      <c r="BZ849" s="42"/>
      <c r="CA849" s="42"/>
      <c r="CB849" s="42"/>
      <c r="CC849" s="42"/>
      <c r="CD849" s="42"/>
      <c r="CE849" s="42"/>
      <c r="CF849" s="42"/>
      <c r="CG849" s="42"/>
      <c r="CH849" s="42"/>
      <c r="CI849" s="42"/>
      <c r="CJ849" s="42"/>
      <c r="CK849" s="42"/>
      <c r="CL849" s="42"/>
      <c r="CM849" s="42"/>
      <c r="CN849" s="42"/>
      <c r="CO849" s="42"/>
      <c r="CP849" s="42"/>
      <c r="CQ849" s="42"/>
      <c r="CR849" s="42"/>
      <c r="CS849" s="42"/>
      <c r="CT849" s="42"/>
      <c r="CU849" s="42"/>
      <c r="CV849" s="42"/>
      <c r="CW849" s="42"/>
      <c r="CX849" s="42"/>
      <c r="CY849" s="42"/>
      <c r="CZ849" s="42"/>
      <c r="DA849" s="42"/>
      <c r="DB849" s="42"/>
      <c r="DC849" s="42"/>
      <c r="DD849" s="42"/>
      <c r="DE849" s="42"/>
      <c r="DF849" s="42"/>
      <c r="DG849" s="42"/>
      <c r="DH849" s="42"/>
      <c r="DI849" s="42"/>
      <c r="DJ849" s="42"/>
      <c r="DK849" s="42"/>
      <c r="DL849" s="42"/>
      <c r="DM849" s="42"/>
      <c r="DN849" s="42"/>
      <c r="DO849" s="42"/>
      <c r="DP849" s="42"/>
      <c r="DQ849" s="42"/>
      <c r="DR849" s="42"/>
      <c r="DS849" s="42"/>
      <c r="DT849" s="42"/>
      <c r="DU849" s="42"/>
      <c r="DV849" s="42"/>
      <c r="DW849" s="42"/>
      <c r="DX849" s="42"/>
      <c r="DY849" s="42"/>
      <c r="DZ849" s="42"/>
      <c r="EA849" s="42"/>
      <c r="EB849" s="42"/>
      <c r="EC849" s="42"/>
      <c r="ED849" s="42"/>
      <c r="EE849" s="42"/>
      <c r="EF849" s="42"/>
      <c r="EG849" s="42"/>
      <c r="EH849" s="42"/>
      <c r="EI849" s="42"/>
      <c r="EJ849" s="42"/>
      <c r="EK849" s="42"/>
      <c r="EL849" s="42"/>
      <c r="EM849" s="42"/>
      <c r="EN849" s="42"/>
      <c r="EO849" s="42"/>
      <c r="EP849" s="42"/>
      <c r="EQ849" s="42"/>
      <c r="ER849" s="42"/>
      <c r="ES849" s="42"/>
      <c r="ET849" s="42"/>
      <c r="EU849" s="42"/>
      <c r="EV849" s="42"/>
      <c r="EW849" s="42"/>
      <c r="EX849" s="42"/>
      <c r="EY849" s="42"/>
      <c r="EZ849" s="42"/>
      <c r="FA849" s="42"/>
      <c r="FB849" s="42"/>
      <c r="FC849" s="42"/>
      <c r="FD849" s="42"/>
      <c r="FE849" s="42"/>
      <c r="FF849" s="42"/>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row>
    <row r="850" spans="1:256" ht="13.8" x14ac:dyDescent="0.3">
      <c r="A850" s="42"/>
      <c r="B850" s="42"/>
      <c r="C850" s="42"/>
      <c r="D850" s="42"/>
      <c r="E850" s="42"/>
      <c r="F850" s="42"/>
      <c r="G850" s="42"/>
      <c r="H850" s="42"/>
      <c r="I850" s="42"/>
      <c r="J850" s="42"/>
      <c r="K850" s="42"/>
      <c r="L850" s="42"/>
      <c r="M850" s="42"/>
      <c r="N850" s="42"/>
      <c r="O850" s="42"/>
      <c r="P850" s="42"/>
      <c r="Q850" s="42"/>
      <c r="R850" s="42"/>
      <c r="S850" s="42"/>
      <c r="T850" s="42"/>
      <c r="U850" s="194"/>
      <c r="V850" s="42"/>
      <c r="W850" s="42"/>
      <c r="X850" s="42"/>
      <c r="Y850" s="42"/>
      <c r="Z850" s="42"/>
      <c r="AA850" s="42"/>
      <c r="AB850" s="195"/>
      <c r="AC850" s="42"/>
      <c r="AD850" s="42"/>
      <c r="AE850" s="195"/>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c r="BM850" s="42"/>
      <c r="BN850" s="42"/>
      <c r="BO850" s="42"/>
      <c r="BP850" s="42"/>
      <c r="BQ850" s="42"/>
      <c r="BR850" s="42"/>
      <c r="BS850" s="42"/>
      <c r="BT850" s="42"/>
      <c r="BU850" s="42"/>
      <c r="BV850" s="42"/>
      <c r="BW850" s="42"/>
      <c r="BX850" s="42"/>
      <c r="BY850" s="42"/>
      <c r="BZ850" s="42"/>
      <c r="CA850" s="42"/>
      <c r="CB850" s="42"/>
      <c r="CC850" s="42"/>
      <c r="CD850" s="42"/>
      <c r="CE850" s="42"/>
      <c r="CF850" s="42"/>
      <c r="CG850" s="42"/>
      <c r="CH850" s="42"/>
      <c r="CI850" s="42"/>
      <c r="CJ850" s="42"/>
      <c r="CK850" s="42"/>
      <c r="CL850" s="42"/>
      <c r="CM850" s="42"/>
      <c r="CN850" s="42"/>
      <c r="CO850" s="42"/>
      <c r="CP850" s="42"/>
      <c r="CQ850" s="42"/>
      <c r="CR850" s="42"/>
      <c r="CS850" s="42"/>
      <c r="CT850" s="42"/>
      <c r="CU850" s="42"/>
      <c r="CV850" s="42"/>
      <c r="CW850" s="42"/>
      <c r="CX850" s="42"/>
      <c r="CY850" s="42"/>
      <c r="CZ850" s="42"/>
      <c r="DA850" s="42"/>
      <c r="DB850" s="42"/>
      <c r="DC850" s="42"/>
      <c r="DD850" s="42"/>
      <c r="DE850" s="42"/>
      <c r="DF850" s="42"/>
      <c r="DG850" s="42"/>
      <c r="DH850" s="42"/>
      <c r="DI850" s="42"/>
      <c r="DJ850" s="42"/>
      <c r="DK850" s="42"/>
      <c r="DL850" s="42"/>
      <c r="DM850" s="42"/>
      <c r="DN850" s="42"/>
      <c r="DO850" s="42"/>
      <c r="DP850" s="42"/>
      <c r="DQ850" s="42"/>
      <c r="DR850" s="42"/>
      <c r="DS850" s="42"/>
      <c r="DT850" s="42"/>
      <c r="DU850" s="42"/>
      <c r="DV850" s="42"/>
      <c r="DW850" s="42"/>
      <c r="DX850" s="42"/>
      <c r="DY850" s="42"/>
      <c r="DZ850" s="42"/>
      <c r="EA850" s="42"/>
      <c r="EB850" s="42"/>
      <c r="EC850" s="42"/>
      <c r="ED850" s="42"/>
      <c r="EE850" s="42"/>
      <c r="EF850" s="42"/>
      <c r="EG850" s="42"/>
      <c r="EH850" s="42"/>
      <c r="EI850" s="42"/>
      <c r="EJ850" s="42"/>
      <c r="EK850" s="42"/>
      <c r="EL850" s="42"/>
      <c r="EM850" s="42"/>
      <c r="EN850" s="42"/>
      <c r="EO850" s="42"/>
      <c r="EP850" s="42"/>
      <c r="EQ850" s="42"/>
      <c r="ER850" s="42"/>
      <c r="ES850" s="42"/>
      <c r="ET850" s="42"/>
      <c r="EU850" s="42"/>
      <c r="EV850" s="42"/>
      <c r="EW850" s="42"/>
      <c r="EX850" s="42"/>
      <c r="EY850" s="42"/>
      <c r="EZ850" s="42"/>
      <c r="FA850" s="42"/>
      <c r="FB850" s="42"/>
      <c r="FC850" s="42"/>
      <c r="FD850" s="42"/>
      <c r="FE850" s="42"/>
      <c r="FF850" s="42"/>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row>
    <row r="851" spans="1:256" ht="13.8" x14ac:dyDescent="0.3">
      <c r="A851" s="42"/>
      <c r="B851" s="42"/>
      <c r="C851" s="42"/>
      <c r="D851" s="42"/>
      <c r="E851" s="42"/>
      <c r="F851" s="42"/>
      <c r="G851" s="42"/>
      <c r="H851" s="42"/>
      <c r="I851" s="42"/>
      <c r="J851" s="42"/>
      <c r="K851" s="42"/>
      <c r="L851" s="42"/>
      <c r="M851" s="42"/>
      <c r="N851" s="42"/>
      <c r="O851" s="42"/>
      <c r="P851" s="42"/>
      <c r="Q851" s="42"/>
      <c r="R851" s="42"/>
      <c r="S851" s="42"/>
      <c r="T851" s="42"/>
      <c r="U851" s="194"/>
      <c r="V851" s="42"/>
      <c r="W851" s="42"/>
      <c r="X851" s="42"/>
      <c r="Y851" s="42"/>
      <c r="Z851" s="42"/>
      <c r="AA851" s="42"/>
      <c r="AB851" s="195"/>
      <c r="AC851" s="42"/>
      <c r="AD851" s="42"/>
      <c r="AE851" s="195"/>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c r="BM851" s="42"/>
      <c r="BN851" s="42"/>
      <c r="BO851" s="42"/>
      <c r="BP851" s="42"/>
      <c r="BQ851" s="42"/>
      <c r="BR851" s="42"/>
      <c r="BS851" s="42"/>
      <c r="BT851" s="42"/>
      <c r="BU851" s="42"/>
      <c r="BV851" s="42"/>
      <c r="BW851" s="42"/>
      <c r="BX851" s="42"/>
      <c r="BY851" s="42"/>
      <c r="BZ851" s="42"/>
      <c r="CA851" s="42"/>
      <c r="CB851" s="42"/>
      <c r="CC851" s="42"/>
      <c r="CD851" s="42"/>
      <c r="CE851" s="42"/>
      <c r="CF851" s="42"/>
      <c r="CG851" s="42"/>
      <c r="CH851" s="42"/>
      <c r="CI851" s="42"/>
      <c r="CJ851" s="42"/>
      <c r="CK851" s="42"/>
      <c r="CL851" s="42"/>
      <c r="CM851" s="42"/>
      <c r="CN851" s="42"/>
      <c r="CO851" s="42"/>
      <c r="CP851" s="42"/>
      <c r="CQ851" s="42"/>
      <c r="CR851" s="42"/>
      <c r="CS851" s="42"/>
      <c r="CT851" s="42"/>
      <c r="CU851" s="42"/>
      <c r="CV851" s="42"/>
      <c r="CW851" s="42"/>
      <c r="CX851" s="42"/>
      <c r="CY851" s="42"/>
      <c r="CZ851" s="42"/>
      <c r="DA851" s="42"/>
      <c r="DB851" s="42"/>
      <c r="DC851" s="42"/>
      <c r="DD851" s="42"/>
      <c r="DE851" s="42"/>
      <c r="DF851" s="42"/>
      <c r="DG851" s="42"/>
      <c r="DH851" s="42"/>
      <c r="DI851" s="42"/>
      <c r="DJ851" s="42"/>
      <c r="DK851" s="42"/>
      <c r="DL851" s="42"/>
      <c r="DM851" s="42"/>
      <c r="DN851" s="42"/>
      <c r="DO851" s="42"/>
      <c r="DP851" s="42"/>
      <c r="DQ851" s="42"/>
      <c r="DR851" s="42"/>
      <c r="DS851" s="42"/>
      <c r="DT851" s="42"/>
      <c r="DU851" s="42"/>
      <c r="DV851" s="42"/>
      <c r="DW851" s="42"/>
      <c r="DX851" s="42"/>
      <c r="DY851" s="42"/>
      <c r="DZ851" s="42"/>
      <c r="EA851" s="42"/>
      <c r="EB851" s="42"/>
      <c r="EC851" s="42"/>
      <c r="ED851" s="42"/>
      <c r="EE851" s="42"/>
      <c r="EF851" s="42"/>
      <c r="EG851" s="42"/>
      <c r="EH851" s="42"/>
      <c r="EI851" s="42"/>
      <c r="EJ851" s="42"/>
      <c r="EK851" s="42"/>
      <c r="EL851" s="42"/>
      <c r="EM851" s="42"/>
      <c r="EN851" s="42"/>
      <c r="EO851" s="42"/>
      <c r="EP851" s="42"/>
      <c r="EQ851" s="42"/>
      <c r="ER851" s="42"/>
      <c r="ES851" s="42"/>
      <c r="ET851" s="42"/>
      <c r="EU851" s="42"/>
      <c r="EV851" s="42"/>
      <c r="EW851" s="42"/>
      <c r="EX851" s="42"/>
      <c r="EY851" s="42"/>
      <c r="EZ851" s="42"/>
      <c r="FA851" s="42"/>
      <c r="FB851" s="42"/>
      <c r="FC851" s="42"/>
      <c r="FD851" s="42"/>
      <c r="FE851" s="42"/>
      <c r="FF851" s="42"/>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row>
    <row r="852" spans="1:256" ht="13.8" x14ac:dyDescent="0.3">
      <c r="A852" s="42"/>
      <c r="B852" s="42"/>
      <c r="C852" s="42"/>
      <c r="D852" s="42"/>
      <c r="E852" s="42"/>
      <c r="F852" s="42"/>
      <c r="G852" s="42"/>
      <c r="H852" s="42"/>
      <c r="I852" s="42"/>
      <c r="J852" s="42"/>
      <c r="K852" s="42"/>
      <c r="L852" s="42"/>
      <c r="M852" s="42"/>
      <c r="N852" s="42"/>
      <c r="O852" s="42"/>
      <c r="P852" s="42"/>
      <c r="Q852" s="42"/>
      <c r="R852" s="42"/>
      <c r="S852" s="42"/>
      <c r="T852" s="42"/>
      <c r="U852" s="194"/>
      <c r="V852" s="42"/>
      <c r="W852" s="42"/>
      <c r="X852" s="42"/>
      <c r="Y852" s="42"/>
      <c r="Z852" s="42"/>
      <c r="AA852" s="42"/>
      <c r="AB852" s="195"/>
      <c r="AC852" s="42"/>
      <c r="AD852" s="42"/>
      <c r="AE852" s="195"/>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c r="BM852" s="42"/>
      <c r="BN852" s="42"/>
      <c r="BO852" s="42"/>
      <c r="BP852" s="42"/>
      <c r="BQ852" s="42"/>
      <c r="BR852" s="42"/>
      <c r="BS852" s="42"/>
      <c r="BT852" s="42"/>
      <c r="BU852" s="42"/>
      <c r="BV852" s="42"/>
      <c r="BW852" s="42"/>
      <c r="BX852" s="42"/>
      <c r="BY852" s="42"/>
      <c r="BZ852" s="42"/>
      <c r="CA852" s="42"/>
      <c r="CB852" s="42"/>
      <c r="CC852" s="42"/>
      <c r="CD852" s="42"/>
      <c r="CE852" s="42"/>
      <c r="CF852" s="42"/>
      <c r="CG852" s="42"/>
      <c r="CH852" s="42"/>
      <c r="CI852" s="42"/>
      <c r="CJ852" s="42"/>
      <c r="CK852" s="42"/>
      <c r="CL852" s="42"/>
      <c r="CM852" s="42"/>
      <c r="CN852" s="42"/>
      <c r="CO852" s="42"/>
      <c r="CP852" s="42"/>
      <c r="CQ852" s="42"/>
      <c r="CR852" s="42"/>
      <c r="CS852" s="42"/>
      <c r="CT852" s="42"/>
      <c r="CU852" s="42"/>
      <c r="CV852" s="42"/>
      <c r="CW852" s="42"/>
      <c r="CX852" s="42"/>
      <c r="CY852" s="42"/>
      <c r="CZ852" s="42"/>
      <c r="DA852" s="42"/>
      <c r="DB852" s="42"/>
      <c r="DC852" s="42"/>
      <c r="DD852" s="42"/>
      <c r="DE852" s="42"/>
      <c r="DF852" s="42"/>
      <c r="DG852" s="42"/>
      <c r="DH852" s="42"/>
      <c r="DI852" s="42"/>
      <c r="DJ852" s="42"/>
      <c r="DK852" s="42"/>
      <c r="DL852" s="42"/>
      <c r="DM852" s="42"/>
      <c r="DN852" s="42"/>
      <c r="DO852" s="42"/>
      <c r="DP852" s="42"/>
      <c r="DQ852" s="42"/>
      <c r="DR852" s="42"/>
      <c r="DS852" s="42"/>
      <c r="DT852" s="42"/>
      <c r="DU852" s="42"/>
      <c r="DV852" s="42"/>
      <c r="DW852" s="42"/>
      <c r="DX852" s="42"/>
      <c r="DY852" s="42"/>
      <c r="DZ852" s="42"/>
      <c r="EA852" s="42"/>
      <c r="EB852" s="42"/>
      <c r="EC852" s="42"/>
      <c r="ED852" s="42"/>
      <c r="EE852" s="42"/>
      <c r="EF852" s="42"/>
      <c r="EG852" s="42"/>
      <c r="EH852" s="42"/>
      <c r="EI852" s="42"/>
      <c r="EJ852" s="42"/>
      <c r="EK852" s="42"/>
      <c r="EL852" s="42"/>
      <c r="EM852" s="42"/>
      <c r="EN852" s="42"/>
      <c r="EO852" s="42"/>
      <c r="EP852" s="42"/>
      <c r="EQ852" s="42"/>
      <c r="ER852" s="42"/>
      <c r="ES852" s="42"/>
      <c r="ET852" s="42"/>
      <c r="EU852" s="42"/>
      <c r="EV852" s="42"/>
      <c r="EW852" s="42"/>
      <c r="EX852" s="42"/>
      <c r="EY852" s="42"/>
      <c r="EZ852" s="42"/>
      <c r="FA852" s="42"/>
      <c r="FB852" s="42"/>
      <c r="FC852" s="42"/>
      <c r="FD852" s="42"/>
      <c r="FE852" s="42"/>
      <c r="FF852" s="42"/>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row>
    <row r="853" spans="1:256" ht="13.8" x14ac:dyDescent="0.3">
      <c r="A853" s="42"/>
      <c r="B853" s="42"/>
      <c r="C853" s="42"/>
      <c r="D853" s="42"/>
      <c r="E853" s="42"/>
      <c r="F853" s="42"/>
      <c r="G853" s="42"/>
      <c r="H853" s="42"/>
      <c r="I853" s="42"/>
      <c r="J853" s="42"/>
      <c r="K853" s="42"/>
      <c r="L853" s="42"/>
      <c r="M853" s="42"/>
      <c r="N853" s="42"/>
      <c r="O853" s="42"/>
      <c r="P853" s="42"/>
      <c r="Q853" s="42"/>
      <c r="R853" s="42"/>
      <c r="S853" s="42"/>
      <c r="T853" s="42"/>
      <c r="U853" s="194"/>
      <c r="V853" s="42"/>
      <c r="W853" s="42"/>
      <c r="X853" s="42"/>
      <c r="Y853" s="42"/>
      <c r="Z853" s="42"/>
      <c r="AA853" s="42"/>
      <c r="AB853" s="195"/>
      <c r="AC853" s="42"/>
      <c r="AD853" s="42"/>
      <c r="AE853" s="195"/>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c r="BM853" s="42"/>
      <c r="BN853" s="42"/>
      <c r="BO853" s="42"/>
      <c r="BP853" s="42"/>
      <c r="BQ853" s="42"/>
      <c r="BR853" s="42"/>
      <c r="BS853" s="42"/>
      <c r="BT853" s="42"/>
      <c r="BU853" s="42"/>
      <c r="BV853" s="42"/>
      <c r="BW853" s="42"/>
      <c r="BX853" s="42"/>
      <c r="BY853" s="42"/>
      <c r="BZ853" s="42"/>
      <c r="CA853" s="42"/>
      <c r="CB853" s="42"/>
      <c r="CC853" s="42"/>
      <c r="CD853" s="42"/>
      <c r="CE853" s="42"/>
      <c r="CF853" s="42"/>
      <c r="CG853" s="42"/>
      <c r="CH853" s="42"/>
      <c r="CI853" s="42"/>
      <c r="CJ853" s="42"/>
      <c r="CK853" s="42"/>
      <c r="CL853" s="42"/>
      <c r="CM853" s="42"/>
      <c r="CN853" s="42"/>
      <c r="CO853" s="42"/>
      <c r="CP853" s="42"/>
      <c r="CQ853" s="42"/>
      <c r="CR853" s="42"/>
      <c r="CS853" s="42"/>
      <c r="CT853" s="42"/>
      <c r="CU853" s="42"/>
      <c r="CV853" s="42"/>
      <c r="CW853" s="42"/>
      <c r="CX853" s="42"/>
      <c r="CY853" s="42"/>
      <c r="CZ853" s="42"/>
      <c r="DA853" s="42"/>
      <c r="DB853" s="42"/>
      <c r="DC853" s="42"/>
      <c r="DD853" s="42"/>
      <c r="DE853" s="42"/>
      <c r="DF853" s="42"/>
      <c r="DG853" s="42"/>
      <c r="DH853" s="42"/>
      <c r="DI853" s="42"/>
      <c r="DJ853" s="42"/>
      <c r="DK853" s="42"/>
      <c r="DL853" s="42"/>
      <c r="DM853" s="42"/>
      <c r="DN853" s="42"/>
      <c r="DO853" s="42"/>
      <c r="DP853" s="42"/>
      <c r="DQ853" s="42"/>
      <c r="DR853" s="42"/>
      <c r="DS853" s="42"/>
      <c r="DT853" s="42"/>
      <c r="DU853" s="42"/>
      <c r="DV853" s="42"/>
      <c r="DW853" s="42"/>
      <c r="DX853" s="42"/>
      <c r="DY853" s="42"/>
      <c r="DZ853" s="42"/>
      <c r="EA853" s="42"/>
      <c r="EB853" s="42"/>
      <c r="EC853" s="42"/>
      <c r="ED853" s="42"/>
      <c r="EE853" s="42"/>
      <c r="EF853" s="42"/>
      <c r="EG853" s="42"/>
      <c r="EH853" s="42"/>
      <c r="EI853" s="42"/>
      <c r="EJ853" s="42"/>
      <c r="EK853" s="42"/>
      <c r="EL853" s="42"/>
      <c r="EM853" s="42"/>
      <c r="EN853" s="42"/>
      <c r="EO853" s="42"/>
      <c r="EP853" s="42"/>
      <c r="EQ853" s="42"/>
      <c r="ER853" s="42"/>
      <c r="ES853" s="42"/>
      <c r="ET853" s="42"/>
      <c r="EU853" s="42"/>
      <c r="EV853" s="42"/>
      <c r="EW853" s="42"/>
      <c r="EX853" s="42"/>
      <c r="EY853" s="42"/>
      <c r="EZ853" s="42"/>
      <c r="FA853" s="42"/>
      <c r="FB853" s="42"/>
      <c r="FC853" s="42"/>
      <c r="FD853" s="42"/>
      <c r="FE853" s="42"/>
      <c r="FF853" s="42"/>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row>
    <row r="854" spans="1:256" ht="13.8" x14ac:dyDescent="0.3">
      <c r="A854" s="42"/>
      <c r="B854" s="42"/>
      <c r="C854" s="42"/>
      <c r="D854" s="42"/>
      <c r="E854" s="42"/>
      <c r="F854" s="42"/>
      <c r="G854" s="42"/>
      <c r="H854" s="42"/>
      <c r="I854" s="42"/>
      <c r="J854" s="42"/>
      <c r="K854" s="42"/>
      <c r="L854" s="42"/>
      <c r="M854" s="42"/>
      <c r="N854" s="42"/>
      <c r="O854" s="42"/>
      <c r="P854" s="42"/>
      <c r="Q854" s="42"/>
      <c r="R854" s="42"/>
      <c r="S854" s="42"/>
      <c r="T854" s="42"/>
      <c r="U854" s="194"/>
      <c r="V854" s="42"/>
      <c r="W854" s="42"/>
      <c r="X854" s="42"/>
      <c r="Y854" s="42"/>
      <c r="Z854" s="42"/>
      <c r="AA854" s="42"/>
      <c r="AB854" s="195"/>
      <c r="AC854" s="42"/>
      <c r="AD854" s="42"/>
      <c r="AE854" s="195"/>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c r="BM854" s="42"/>
      <c r="BN854" s="42"/>
      <c r="BO854" s="42"/>
      <c r="BP854" s="42"/>
      <c r="BQ854" s="42"/>
      <c r="BR854" s="42"/>
      <c r="BS854" s="42"/>
      <c r="BT854" s="42"/>
      <c r="BU854" s="42"/>
      <c r="BV854" s="42"/>
      <c r="BW854" s="42"/>
      <c r="BX854" s="42"/>
      <c r="BY854" s="42"/>
      <c r="BZ854" s="42"/>
      <c r="CA854" s="42"/>
      <c r="CB854" s="42"/>
      <c r="CC854" s="42"/>
      <c r="CD854" s="42"/>
      <c r="CE854" s="42"/>
      <c r="CF854" s="42"/>
      <c r="CG854" s="42"/>
      <c r="CH854" s="42"/>
      <c r="CI854" s="42"/>
      <c r="CJ854" s="42"/>
      <c r="CK854" s="42"/>
      <c r="CL854" s="42"/>
      <c r="CM854" s="42"/>
      <c r="CN854" s="42"/>
      <c r="CO854" s="42"/>
      <c r="CP854" s="42"/>
      <c r="CQ854" s="42"/>
      <c r="CR854" s="42"/>
      <c r="CS854" s="42"/>
      <c r="CT854" s="42"/>
      <c r="CU854" s="42"/>
      <c r="CV854" s="42"/>
      <c r="CW854" s="42"/>
      <c r="CX854" s="42"/>
      <c r="CY854" s="42"/>
      <c r="CZ854" s="42"/>
      <c r="DA854" s="42"/>
      <c r="DB854" s="42"/>
      <c r="DC854" s="42"/>
      <c r="DD854" s="42"/>
      <c r="DE854" s="42"/>
      <c r="DF854" s="42"/>
      <c r="DG854" s="42"/>
      <c r="DH854" s="42"/>
      <c r="DI854" s="42"/>
      <c r="DJ854" s="42"/>
      <c r="DK854" s="42"/>
      <c r="DL854" s="42"/>
      <c r="DM854" s="42"/>
      <c r="DN854" s="42"/>
      <c r="DO854" s="42"/>
      <c r="DP854" s="42"/>
      <c r="DQ854" s="42"/>
      <c r="DR854" s="42"/>
      <c r="DS854" s="42"/>
      <c r="DT854" s="42"/>
      <c r="DU854" s="42"/>
      <c r="DV854" s="42"/>
      <c r="DW854" s="42"/>
      <c r="DX854" s="42"/>
      <c r="DY854" s="42"/>
      <c r="DZ854" s="42"/>
      <c r="EA854" s="42"/>
      <c r="EB854" s="42"/>
      <c r="EC854" s="42"/>
      <c r="ED854" s="42"/>
      <c r="EE854" s="42"/>
      <c r="EF854" s="42"/>
      <c r="EG854" s="42"/>
      <c r="EH854" s="42"/>
      <c r="EI854" s="42"/>
      <c r="EJ854" s="42"/>
      <c r="EK854" s="42"/>
      <c r="EL854" s="42"/>
      <c r="EM854" s="42"/>
      <c r="EN854" s="42"/>
      <c r="EO854" s="42"/>
      <c r="EP854" s="42"/>
      <c r="EQ854" s="42"/>
      <c r="ER854" s="42"/>
      <c r="ES854" s="42"/>
      <c r="ET854" s="42"/>
      <c r="EU854" s="42"/>
      <c r="EV854" s="42"/>
      <c r="EW854" s="42"/>
      <c r="EX854" s="42"/>
      <c r="EY854" s="42"/>
      <c r="EZ854" s="42"/>
      <c r="FA854" s="42"/>
      <c r="FB854" s="42"/>
      <c r="FC854" s="42"/>
      <c r="FD854" s="42"/>
      <c r="FE854" s="42"/>
      <c r="FF854" s="42"/>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row>
    <row r="855" spans="1:256" ht="13.8" x14ac:dyDescent="0.3">
      <c r="A855" s="42"/>
      <c r="B855" s="42"/>
      <c r="C855" s="42"/>
      <c r="D855" s="42"/>
      <c r="E855" s="42"/>
      <c r="F855" s="42"/>
      <c r="G855" s="42"/>
      <c r="H855" s="42"/>
      <c r="I855" s="42"/>
      <c r="J855" s="42"/>
      <c r="K855" s="42"/>
      <c r="L855" s="42"/>
      <c r="M855" s="42"/>
      <c r="N855" s="42"/>
      <c r="O855" s="42"/>
      <c r="P855" s="42"/>
      <c r="Q855" s="42"/>
      <c r="R855" s="42"/>
      <c r="S855" s="42"/>
      <c r="T855" s="42"/>
      <c r="U855" s="194"/>
      <c r="V855" s="42"/>
      <c r="W855" s="42"/>
      <c r="X855" s="42"/>
      <c r="Y855" s="42"/>
      <c r="Z855" s="42"/>
      <c r="AA855" s="42"/>
      <c r="AB855" s="195"/>
      <c r="AC855" s="42"/>
      <c r="AD855" s="42"/>
      <c r="AE855" s="195"/>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c r="BM855" s="42"/>
      <c r="BN855" s="42"/>
      <c r="BO855" s="42"/>
      <c r="BP855" s="42"/>
      <c r="BQ855" s="42"/>
      <c r="BR855" s="42"/>
      <c r="BS855" s="42"/>
      <c r="BT855" s="42"/>
      <c r="BU855" s="42"/>
      <c r="BV855" s="42"/>
      <c r="BW855" s="42"/>
      <c r="BX855" s="42"/>
      <c r="BY855" s="42"/>
      <c r="BZ855" s="42"/>
      <c r="CA855" s="42"/>
      <c r="CB855" s="42"/>
      <c r="CC855" s="42"/>
      <c r="CD855" s="42"/>
      <c r="CE855" s="42"/>
      <c r="CF855" s="42"/>
      <c r="CG855" s="42"/>
      <c r="CH855" s="42"/>
      <c r="CI855" s="42"/>
      <c r="CJ855" s="42"/>
      <c r="CK855" s="42"/>
      <c r="CL855" s="42"/>
      <c r="CM855" s="42"/>
      <c r="CN855" s="42"/>
      <c r="CO855" s="42"/>
      <c r="CP855" s="42"/>
      <c r="CQ855" s="42"/>
      <c r="CR855" s="42"/>
      <c r="CS855" s="42"/>
      <c r="CT855" s="42"/>
      <c r="CU855" s="42"/>
      <c r="CV855" s="42"/>
      <c r="CW855" s="42"/>
      <c r="CX855" s="42"/>
      <c r="CY855" s="42"/>
      <c r="CZ855" s="42"/>
      <c r="DA855" s="42"/>
      <c r="DB855" s="42"/>
      <c r="DC855" s="42"/>
      <c r="DD855" s="42"/>
      <c r="DE855" s="42"/>
      <c r="DF855" s="42"/>
      <c r="DG855" s="42"/>
      <c r="DH855" s="42"/>
      <c r="DI855" s="42"/>
      <c r="DJ855" s="42"/>
      <c r="DK855" s="42"/>
      <c r="DL855" s="42"/>
      <c r="DM855" s="42"/>
      <c r="DN855" s="42"/>
      <c r="DO855" s="42"/>
      <c r="DP855" s="42"/>
      <c r="DQ855" s="42"/>
      <c r="DR855" s="42"/>
      <c r="DS855" s="42"/>
      <c r="DT855" s="42"/>
      <c r="DU855" s="42"/>
      <c r="DV855" s="42"/>
      <c r="DW855" s="42"/>
      <c r="DX855" s="42"/>
      <c r="DY855" s="42"/>
      <c r="DZ855" s="42"/>
      <c r="EA855" s="42"/>
      <c r="EB855" s="42"/>
      <c r="EC855" s="42"/>
      <c r="ED855" s="42"/>
      <c r="EE855" s="42"/>
      <c r="EF855" s="42"/>
      <c r="EG855" s="42"/>
      <c r="EH855" s="42"/>
      <c r="EI855" s="42"/>
      <c r="EJ855" s="42"/>
      <c r="EK855" s="42"/>
      <c r="EL855" s="42"/>
      <c r="EM855" s="42"/>
      <c r="EN855" s="42"/>
      <c r="EO855" s="42"/>
      <c r="EP855" s="42"/>
      <c r="EQ855" s="42"/>
      <c r="ER855" s="42"/>
      <c r="ES855" s="42"/>
      <c r="ET855" s="42"/>
      <c r="EU855" s="42"/>
      <c r="EV855" s="42"/>
      <c r="EW855" s="42"/>
      <c r="EX855" s="42"/>
      <c r="EY855" s="42"/>
      <c r="EZ855" s="42"/>
      <c r="FA855" s="42"/>
      <c r="FB855" s="42"/>
      <c r="FC855" s="42"/>
      <c r="FD855" s="42"/>
      <c r="FE855" s="42"/>
      <c r="FF855" s="42"/>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row>
    <row r="856" spans="1:256" ht="13.8" x14ac:dyDescent="0.3">
      <c r="A856" s="42"/>
      <c r="B856" s="42"/>
      <c r="C856" s="42"/>
      <c r="D856" s="42"/>
      <c r="E856" s="42"/>
      <c r="F856" s="42"/>
      <c r="G856" s="42"/>
      <c r="H856" s="42"/>
      <c r="I856" s="42"/>
      <c r="J856" s="42"/>
      <c r="K856" s="42"/>
      <c r="L856" s="42"/>
      <c r="M856" s="42"/>
      <c r="N856" s="42"/>
      <c r="O856" s="42"/>
      <c r="P856" s="42"/>
      <c r="Q856" s="42"/>
      <c r="R856" s="42"/>
      <c r="S856" s="42"/>
      <c r="T856" s="42"/>
      <c r="U856" s="194"/>
      <c r="V856" s="42"/>
      <c r="W856" s="42"/>
      <c r="X856" s="42"/>
      <c r="Y856" s="42"/>
      <c r="Z856" s="42"/>
      <c r="AA856" s="42"/>
      <c r="AB856" s="195"/>
      <c r="AC856" s="42"/>
      <c r="AD856" s="42"/>
      <c r="AE856" s="195"/>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c r="BM856" s="42"/>
      <c r="BN856" s="42"/>
      <c r="BO856" s="42"/>
      <c r="BP856" s="42"/>
      <c r="BQ856" s="42"/>
      <c r="BR856" s="42"/>
      <c r="BS856" s="42"/>
      <c r="BT856" s="42"/>
      <c r="BU856" s="42"/>
      <c r="BV856" s="42"/>
      <c r="BW856" s="42"/>
      <c r="BX856" s="42"/>
      <c r="BY856" s="42"/>
      <c r="BZ856" s="42"/>
      <c r="CA856" s="42"/>
      <c r="CB856" s="42"/>
      <c r="CC856" s="42"/>
      <c r="CD856" s="42"/>
      <c r="CE856" s="42"/>
      <c r="CF856" s="42"/>
      <c r="CG856" s="42"/>
      <c r="CH856" s="42"/>
      <c r="CI856" s="42"/>
      <c r="CJ856" s="42"/>
      <c r="CK856" s="42"/>
      <c r="CL856" s="42"/>
      <c r="CM856" s="42"/>
      <c r="CN856" s="42"/>
      <c r="CO856" s="42"/>
      <c r="CP856" s="42"/>
      <c r="CQ856" s="42"/>
      <c r="CR856" s="42"/>
      <c r="CS856" s="42"/>
      <c r="CT856" s="42"/>
      <c r="CU856" s="42"/>
      <c r="CV856" s="42"/>
      <c r="CW856" s="42"/>
      <c r="CX856" s="42"/>
      <c r="CY856" s="42"/>
      <c r="CZ856" s="42"/>
      <c r="DA856" s="42"/>
      <c r="DB856" s="42"/>
      <c r="DC856" s="42"/>
      <c r="DD856" s="42"/>
      <c r="DE856" s="42"/>
      <c r="DF856" s="42"/>
      <c r="DG856" s="42"/>
      <c r="DH856" s="42"/>
      <c r="DI856" s="42"/>
      <c r="DJ856" s="42"/>
      <c r="DK856" s="42"/>
      <c r="DL856" s="42"/>
      <c r="DM856" s="42"/>
      <c r="DN856" s="42"/>
      <c r="DO856" s="42"/>
      <c r="DP856" s="42"/>
      <c r="DQ856" s="42"/>
      <c r="DR856" s="42"/>
      <c r="DS856" s="42"/>
      <c r="DT856" s="42"/>
      <c r="DU856" s="42"/>
      <c r="DV856" s="42"/>
      <c r="DW856" s="42"/>
      <c r="DX856" s="42"/>
      <c r="DY856" s="42"/>
      <c r="DZ856" s="42"/>
      <c r="EA856" s="42"/>
      <c r="EB856" s="42"/>
      <c r="EC856" s="42"/>
      <c r="ED856" s="42"/>
      <c r="EE856" s="42"/>
      <c r="EF856" s="42"/>
      <c r="EG856" s="42"/>
      <c r="EH856" s="42"/>
      <c r="EI856" s="42"/>
      <c r="EJ856" s="42"/>
      <c r="EK856" s="42"/>
      <c r="EL856" s="42"/>
      <c r="EM856" s="42"/>
      <c r="EN856" s="42"/>
      <c r="EO856" s="42"/>
      <c r="EP856" s="42"/>
      <c r="EQ856" s="42"/>
      <c r="ER856" s="42"/>
      <c r="ES856" s="42"/>
      <c r="ET856" s="42"/>
      <c r="EU856" s="42"/>
      <c r="EV856" s="42"/>
      <c r="EW856" s="42"/>
      <c r="EX856" s="42"/>
      <c r="EY856" s="42"/>
      <c r="EZ856" s="42"/>
      <c r="FA856" s="42"/>
      <c r="FB856" s="42"/>
      <c r="FC856" s="42"/>
      <c r="FD856" s="42"/>
      <c r="FE856" s="42"/>
      <c r="FF856" s="42"/>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row>
    <row r="857" spans="1:256" ht="13.8" x14ac:dyDescent="0.3">
      <c r="A857" s="42"/>
      <c r="B857" s="42"/>
      <c r="C857" s="42"/>
      <c r="D857" s="42"/>
      <c r="E857" s="42"/>
      <c r="F857" s="42"/>
      <c r="G857" s="42"/>
      <c r="H857" s="42"/>
      <c r="I857" s="42"/>
      <c r="J857" s="42"/>
      <c r="K857" s="42"/>
      <c r="L857" s="42"/>
      <c r="M857" s="42"/>
      <c r="N857" s="42"/>
      <c r="O857" s="42"/>
      <c r="P857" s="42"/>
      <c r="Q857" s="42"/>
      <c r="R857" s="42"/>
      <c r="S857" s="42"/>
      <c r="T857" s="42"/>
      <c r="U857" s="194"/>
      <c r="V857" s="42"/>
      <c r="W857" s="42"/>
      <c r="X857" s="42"/>
      <c r="Y857" s="42"/>
      <c r="Z857" s="42"/>
      <c r="AA857" s="42"/>
      <c r="AB857" s="195"/>
      <c r="AC857" s="42"/>
      <c r="AD857" s="42"/>
      <c r="AE857" s="195"/>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c r="BM857" s="42"/>
      <c r="BN857" s="42"/>
      <c r="BO857" s="42"/>
      <c r="BP857" s="42"/>
      <c r="BQ857" s="42"/>
      <c r="BR857" s="42"/>
      <c r="BS857" s="42"/>
      <c r="BT857" s="42"/>
      <c r="BU857" s="42"/>
      <c r="BV857" s="42"/>
      <c r="BW857" s="42"/>
      <c r="BX857" s="42"/>
      <c r="BY857" s="42"/>
      <c r="BZ857" s="42"/>
      <c r="CA857" s="42"/>
      <c r="CB857" s="42"/>
      <c r="CC857" s="42"/>
      <c r="CD857" s="42"/>
      <c r="CE857" s="42"/>
      <c r="CF857" s="42"/>
      <c r="CG857" s="42"/>
      <c r="CH857" s="42"/>
      <c r="CI857" s="42"/>
      <c r="CJ857" s="42"/>
      <c r="CK857" s="42"/>
      <c r="CL857" s="42"/>
      <c r="CM857" s="42"/>
      <c r="CN857" s="42"/>
      <c r="CO857" s="42"/>
      <c r="CP857" s="42"/>
      <c r="CQ857" s="42"/>
      <c r="CR857" s="42"/>
      <c r="CS857" s="42"/>
      <c r="CT857" s="42"/>
      <c r="CU857" s="42"/>
      <c r="CV857" s="42"/>
      <c r="CW857" s="42"/>
      <c r="CX857" s="42"/>
      <c r="CY857" s="42"/>
      <c r="CZ857" s="42"/>
      <c r="DA857" s="42"/>
      <c r="DB857" s="42"/>
      <c r="DC857" s="42"/>
      <c r="DD857" s="42"/>
      <c r="DE857" s="42"/>
      <c r="DF857" s="42"/>
      <c r="DG857" s="42"/>
      <c r="DH857" s="42"/>
      <c r="DI857" s="42"/>
      <c r="DJ857" s="42"/>
      <c r="DK857" s="42"/>
      <c r="DL857" s="42"/>
      <c r="DM857" s="42"/>
      <c r="DN857" s="42"/>
      <c r="DO857" s="42"/>
      <c r="DP857" s="42"/>
      <c r="DQ857" s="42"/>
      <c r="DR857" s="42"/>
      <c r="DS857" s="42"/>
      <c r="DT857" s="42"/>
      <c r="DU857" s="42"/>
      <c r="DV857" s="42"/>
      <c r="DW857" s="42"/>
      <c r="DX857" s="42"/>
      <c r="DY857" s="42"/>
      <c r="DZ857" s="42"/>
      <c r="EA857" s="42"/>
      <c r="EB857" s="42"/>
      <c r="EC857" s="42"/>
      <c r="ED857" s="42"/>
      <c r="EE857" s="42"/>
      <c r="EF857" s="42"/>
      <c r="EG857" s="42"/>
      <c r="EH857" s="42"/>
      <c r="EI857" s="42"/>
      <c r="EJ857" s="42"/>
      <c r="EK857" s="42"/>
      <c r="EL857" s="42"/>
      <c r="EM857" s="42"/>
      <c r="EN857" s="42"/>
      <c r="EO857" s="42"/>
      <c r="EP857" s="42"/>
      <c r="EQ857" s="42"/>
      <c r="ER857" s="42"/>
      <c r="ES857" s="42"/>
      <c r="ET857" s="42"/>
      <c r="EU857" s="42"/>
      <c r="EV857" s="42"/>
      <c r="EW857" s="42"/>
      <c r="EX857" s="42"/>
      <c r="EY857" s="42"/>
      <c r="EZ857" s="42"/>
      <c r="FA857" s="42"/>
      <c r="FB857" s="42"/>
      <c r="FC857" s="42"/>
      <c r="FD857" s="42"/>
      <c r="FE857" s="42"/>
      <c r="FF857" s="42"/>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row>
    <row r="858" spans="1:256" ht="13.8" x14ac:dyDescent="0.3">
      <c r="A858" s="42"/>
      <c r="B858" s="42"/>
      <c r="C858" s="42"/>
      <c r="D858" s="42"/>
      <c r="E858" s="42"/>
      <c r="F858" s="42"/>
      <c r="G858" s="42"/>
      <c r="H858" s="42"/>
      <c r="I858" s="42"/>
      <c r="J858" s="42"/>
      <c r="K858" s="42"/>
      <c r="L858" s="42"/>
      <c r="M858" s="42"/>
      <c r="N858" s="42"/>
      <c r="O858" s="42"/>
      <c r="P858" s="42"/>
      <c r="Q858" s="42"/>
      <c r="R858" s="42"/>
      <c r="S858" s="42"/>
      <c r="T858" s="42"/>
      <c r="U858" s="194"/>
      <c r="V858" s="42"/>
      <c r="W858" s="42"/>
      <c r="X858" s="42"/>
      <c r="Y858" s="42"/>
      <c r="Z858" s="42"/>
      <c r="AA858" s="42"/>
      <c r="AB858" s="195"/>
      <c r="AC858" s="42"/>
      <c r="AD858" s="42"/>
      <c r="AE858" s="195"/>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c r="BM858" s="42"/>
      <c r="BN858" s="42"/>
      <c r="BO858" s="42"/>
      <c r="BP858" s="42"/>
      <c r="BQ858" s="42"/>
      <c r="BR858" s="42"/>
      <c r="BS858" s="42"/>
      <c r="BT858" s="42"/>
      <c r="BU858" s="42"/>
      <c r="BV858" s="42"/>
      <c r="BW858" s="42"/>
      <c r="BX858" s="42"/>
      <c r="BY858" s="42"/>
      <c r="BZ858" s="42"/>
      <c r="CA858" s="42"/>
      <c r="CB858" s="42"/>
      <c r="CC858" s="42"/>
      <c r="CD858" s="42"/>
      <c r="CE858" s="42"/>
      <c r="CF858" s="42"/>
      <c r="CG858" s="42"/>
      <c r="CH858" s="42"/>
      <c r="CI858" s="42"/>
      <c r="CJ858" s="42"/>
      <c r="CK858" s="42"/>
      <c r="CL858" s="42"/>
      <c r="CM858" s="42"/>
      <c r="CN858" s="42"/>
      <c r="CO858" s="42"/>
      <c r="CP858" s="42"/>
      <c r="CQ858" s="42"/>
      <c r="CR858" s="42"/>
      <c r="CS858" s="42"/>
      <c r="CT858" s="42"/>
      <c r="CU858" s="42"/>
      <c r="CV858" s="42"/>
      <c r="CW858" s="42"/>
      <c r="CX858" s="42"/>
      <c r="CY858" s="42"/>
      <c r="CZ858" s="42"/>
      <c r="DA858" s="42"/>
      <c r="DB858" s="42"/>
      <c r="DC858" s="42"/>
      <c r="DD858" s="42"/>
      <c r="DE858" s="42"/>
      <c r="DF858" s="42"/>
      <c r="DG858" s="42"/>
      <c r="DH858" s="42"/>
      <c r="DI858" s="42"/>
      <c r="DJ858" s="42"/>
      <c r="DK858" s="42"/>
      <c r="DL858" s="42"/>
      <c r="DM858" s="42"/>
      <c r="DN858" s="42"/>
      <c r="DO858" s="42"/>
      <c r="DP858" s="42"/>
      <c r="DQ858" s="42"/>
      <c r="DR858" s="42"/>
      <c r="DS858" s="42"/>
      <c r="DT858" s="42"/>
      <c r="DU858" s="42"/>
      <c r="DV858" s="42"/>
      <c r="DW858" s="42"/>
      <c r="DX858" s="42"/>
      <c r="DY858" s="42"/>
      <c r="DZ858" s="42"/>
      <c r="EA858" s="42"/>
      <c r="EB858" s="42"/>
      <c r="EC858" s="42"/>
      <c r="ED858" s="42"/>
      <c r="EE858" s="42"/>
      <c r="EF858" s="42"/>
      <c r="EG858" s="42"/>
      <c r="EH858" s="42"/>
      <c r="EI858" s="42"/>
      <c r="EJ858" s="42"/>
      <c r="EK858" s="42"/>
      <c r="EL858" s="42"/>
      <c r="EM858" s="42"/>
      <c r="EN858" s="42"/>
      <c r="EO858" s="42"/>
      <c r="EP858" s="42"/>
      <c r="EQ858" s="42"/>
      <c r="ER858" s="42"/>
      <c r="ES858" s="42"/>
      <c r="ET858" s="42"/>
      <c r="EU858" s="42"/>
      <c r="EV858" s="42"/>
      <c r="EW858" s="42"/>
      <c r="EX858" s="42"/>
      <c r="EY858" s="42"/>
      <c r="EZ858" s="42"/>
      <c r="FA858" s="42"/>
      <c r="FB858" s="42"/>
      <c r="FC858" s="42"/>
      <c r="FD858" s="42"/>
      <c r="FE858" s="42"/>
      <c r="FF858" s="42"/>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row>
    <row r="859" spans="1:256" ht="13.8" x14ac:dyDescent="0.3">
      <c r="A859" s="42"/>
      <c r="B859" s="42"/>
      <c r="C859" s="42"/>
      <c r="D859" s="42"/>
      <c r="E859" s="42"/>
      <c r="F859" s="42"/>
      <c r="G859" s="42"/>
      <c r="H859" s="42"/>
      <c r="I859" s="42"/>
      <c r="J859" s="42"/>
      <c r="K859" s="42"/>
      <c r="L859" s="42"/>
      <c r="M859" s="42"/>
      <c r="N859" s="42"/>
      <c r="O859" s="42"/>
      <c r="P859" s="42"/>
      <c r="Q859" s="42"/>
      <c r="R859" s="42"/>
      <c r="S859" s="42"/>
      <c r="T859" s="42"/>
      <c r="U859" s="194"/>
      <c r="V859" s="42"/>
      <c r="W859" s="42"/>
      <c r="X859" s="42"/>
      <c r="Y859" s="42"/>
      <c r="Z859" s="42"/>
      <c r="AA859" s="42"/>
      <c r="AB859" s="195"/>
      <c r="AC859" s="42"/>
      <c r="AD859" s="42"/>
      <c r="AE859" s="195"/>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c r="BM859" s="42"/>
      <c r="BN859" s="42"/>
      <c r="BO859" s="42"/>
      <c r="BP859" s="42"/>
      <c r="BQ859" s="42"/>
      <c r="BR859" s="42"/>
      <c r="BS859" s="42"/>
      <c r="BT859" s="42"/>
      <c r="BU859" s="42"/>
      <c r="BV859" s="42"/>
      <c r="BW859" s="42"/>
      <c r="BX859" s="42"/>
      <c r="BY859" s="42"/>
      <c r="BZ859" s="42"/>
      <c r="CA859" s="42"/>
      <c r="CB859" s="42"/>
      <c r="CC859" s="42"/>
      <c r="CD859" s="42"/>
      <c r="CE859" s="42"/>
      <c r="CF859" s="42"/>
      <c r="CG859" s="42"/>
      <c r="CH859" s="42"/>
      <c r="CI859" s="42"/>
      <c r="CJ859" s="42"/>
      <c r="CK859" s="42"/>
      <c r="CL859" s="42"/>
      <c r="CM859" s="42"/>
      <c r="CN859" s="42"/>
      <c r="CO859" s="42"/>
      <c r="CP859" s="42"/>
      <c r="CQ859" s="42"/>
      <c r="CR859" s="42"/>
      <c r="CS859" s="42"/>
      <c r="CT859" s="42"/>
      <c r="CU859" s="42"/>
      <c r="CV859" s="42"/>
      <c r="CW859" s="42"/>
      <c r="CX859" s="42"/>
      <c r="CY859" s="42"/>
      <c r="CZ859" s="42"/>
      <c r="DA859" s="42"/>
      <c r="DB859" s="42"/>
      <c r="DC859" s="42"/>
      <c r="DD859" s="42"/>
      <c r="DE859" s="42"/>
      <c r="DF859" s="42"/>
      <c r="DG859" s="42"/>
      <c r="DH859" s="42"/>
      <c r="DI859" s="42"/>
      <c r="DJ859" s="42"/>
      <c r="DK859" s="42"/>
      <c r="DL859" s="42"/>
      <c r="DM859" s="42"/>
      <c r="DN859" s="42"/>
      <c r="DO859" s="42"/>
      <c r="DP859" s="42"/>
      <c r="DQ859" s="42"/>
      <c r="DR859" s="42"/>
      <c r="DS859" s="42"/>
      <c r="DT859" s="42"/>
      <c r="DU859" s="42"/>
      <c r="DV859" s="42"/>
      <c r="DW859" s="42"/>
      <c r="DX859" s="42"/>
      <c r="DY859" s="42"/>
      <c r="DZ859" s="42"/>
      <c r="EA859" s="42"/>
      <c r="EB859" s="42"/>
      <c r="EC859" s="42"/>
      <c r="ED859" s="42"/>
      <c r="EE859" s="42"/>
      <c r="EF859" s="42"/>
      <c r="EG859" s="42"/>
      <c r="EH859" s="42"/>
      <c r="EI859" s="42"/>
      <c r="EJ859" s="42"/>
      <c r="EK859" s="42"/>
      <c r="EL859" s="42"/>
      <c r="EM859" s="42"/>
      <c r="EN859" s="42"/>
      <c r="EO859" s="42"/>
      <c r="EP859" s="42"/>
      <c r="EQ859" s="42"/>
      <c r="ER859" s="42"/>
      <c r="ES859" s="42"/>
      <c r="ET859" s="42"/>
      <c r="EU859" s="42"/>
      <c r="EV859" s="42"/>
      <c r="EW859" s="42"/>
      <c r="EX859" s="42"/>
      <c r="EY859" s="42"/>
      <c r="EZ859" s="42"/>
      <c r="FA859" s="42"/>
      <c r="FB859" s="42"/>
      <c r="FC859" s="42"/>
      <c r="FD859" s="42"/>
      <c r="FE859" s="42"/>
      <c r="FF859" s="42"/>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row>
    <row r="860" spans="1:256" ht="13.8" x14ac:dyDescent="0.3">
      <c r="A860" s="42"/>
      <c r="B860" s="42"/>
      <c r="C860" s="42"/>
      <c r="D860" s="42"/>
      <c r="E860" s="42"/>
      <c r="F860" s="42"/>
      <c r="G860" s="42"/>
      <c r="H860" s="42"/>
      <c r="I860" s="42"/>
      <c r="J860" s="42"/>
      <c r="K860" s="42"/>
      <c r="L860" s="42"/>
      <c r="M860" s="42"/>
      <c r="N860" s="42"/>
      <c r="O860" s="42"/>
      <c r="P860" s="42"/>
      <c r="Q860" s="42"/>
      <c r="R860" s="42"/>
      <c r="S860" s="42"/>
      <c r="T860" s="42"/>
      <c r="U860" s="194"/>
      <c r="V860" s="42"/>
      <c r="W860" s="42"/>
      <c r="X860" s="42"/>
      <c r="Y860" s="42"/>
      <c r="Z860" s="42"/>
      <c r="AA860" s="42"/>
      <c r="AB860" s="195"/>
      <c r="AC860" s="42"/>
      <c r="AD860" s="42"/>
      <c r="AE860" s="195"/>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c r="BM860" s="42"/>
      <c r="BN860" s="42"/>
      <c r="BO860" s="42"/>
      <c r="BP860" s="42"/>
      <c r="BQ860" s="42"/>
      <c r="BR860" s="42"/>
      <c r="BS860" s="42"/>
      <c r="BT860" s="42"/>
      <c r="BU860" s="42"/>
      <c r="BV860" s="42"/>
      <c r="BW860" s="42"/>
      <c r="BX860" s="42"/>
      <c r="BY860" s="42"/>
      <c r="BZ860" s="42"/>
      <c r="CA860" s="42"/>
      <c r="CB860" s="42"/>
      <c r="CC860" s="42"/>
      <c r="CD860" s="42"/>
      <c r="CE860" s="42"/>
      <c r="CF860" s="42"/>
      <c r="CG860" s="42"/>
      <c r="CH860" s="42"/>
      <c r="CI860" s="42"/>
      <c r="CJ860" s="42"/>
      <c r="CK860" s="42"/>
      <c r="CL860" s="42"/>
      <c r="CM860" s="42"/>
      <c r="CN860" s="42"/>
      <c r="CO860" s="42"/>
      <c r="CP860" s="42"/>
      <c r="CQ860" s="42"/>
      <c r="CR860" s="42"/>
      <c r="CS860" s="42"/>
      <c r="CT860" s="42"/>
      <c r="CU860" s="42"/>
      <c r="CV860" s="42"/>
      <c r="CW860" s="42"/>
      <c r="CX860" s="42"/>
      <c r="CY860" s="42"/>
      <c r="CZ860" s="42"/>
      <c r="DA860" s="42"/>
      <c r="DB860" s="42"/>
      <c r="DC860" s="42"/>
      <c r="DD860" s="42"/>
      <c r="DE860" s="42"/>
      <c r="DF860" s="42"/>
      <c r="DG860" s="42"/>
      <c r="DH860" s="42"/>
      <c r="DI860" s="42"/>
      <c r="DJ860" s="42"/>
      <c r="DK860" s="42"/>
      <c r="DL860" s="42"/>
      <c r="DM860" s="42"/>
      <c r="DN860" s="42"/>
      <c r="DO860" s="42"/>
      <c r="DP860" s="42"/>
      <c r="DQ860" s="42"/>
      <c r="DR860" s="42"/>
      <c r="DS860" s="42"/>
      <c r="DT860" s="42"/>
      <c r="DU860" s="42"/>
      <c r="DV860" s="42"/>
      <c r="DW860" s="42"/>
      <c r="DX860" s="42"/>
      <c r="DY860" s="42"/>
      <c r="DZ860" s="42"/>
      <c r="EA860" s="42"/>
      <c r="EB860" s="42"/>
      <c r="EC860" s="42"/>
      <c r="ED860" s="42"/>
      <c r="EE860" s="42"/>
      <c r="EF860" s="42"/>
      <c r="EG860" s="42"/>
      <c r="EH860" s="42"/>
      <c r="EI860" s="42"/>
      <c r="EJ860" s="42"/>
      <c r="EK860" s="42"/>
      <c r="EL860" s="42"/>
      <c r="EM860" s="42"/>
      <c r="EN860" s="42"/>
      <c r="EO860" s="42"/>
      <c r="EP860" s="42"/>
      <c r="EQ860" s="42"/>
      <c r="ER860" s="42"/>
      <c r="ES860" s="42"/>
      <c r="ET860" s="42"/>
      <c r="EU860" s="42"/>
      <c r="EV860" s="42"/>
      <c r="EW860" s="42"/>
      <c r="EX860" s="42"/>
      <c r="EY860" s="42"/>
      <c r="EZ860" s="42"/>
      <c r="FA860" s="42"/>
      <c r="FB860" s="42"/>
      <c r="FC860" s="42"/>
      <c r="FD860" s="42"/>
      <c r="FE860" s="42"/>
      <c r="FF860" s="42"/>
      <c r="FG860" s="42"/>
      <c r="FH860" s="42"/>
      <c r="FI860" s="42"/>
      <c r="FJ860" s="42"/>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row>
    <row r="861" spans="1:256" ht="13.8" x14ac:dyDescent="0.3">
      <c r="A861" s="42"/>
      <c r="B861" s="42"/>
      <c r="C861" s="42"/>
      <c r="D861" s="42"/>
      <c r="E861" s="42"/>
      <c r="F861" s="42"/>
      <c r="G861" s="42"/>
      <c r="H861" s="42"/>
      <c r="I861" s="42"/>
      <c r="J861" s="42"/>
      <c r="K861" s="42"/>
      <c r="L861" s="42"/>
      <c r="M861" s="42"/>
      <c r="N861" s="42"/>
      <c r="O861" s="42"/>
      <c r="P861" s="42"/>
      <c r="Q861" s="42"/>
      <c r="R861" s="42"/>
      <c r="S861" s="42"/>
      <c r="T861" s="42"/>
      <c r="U861" s="194"/>
      <c r="V861" s="42"/>
      <c r="W861" s="42"/>
      <c r="X861" s="42"/>
      <c r="Y861" s="42"/>
      <c r="Z861" s="42"/>
      <c r="AA861" s="42"/>
      <c r="AB861" s="195"/>
      <c r="AC861" s="42"/>
      <c r="AD861" s="42"/>
      <c r="AE861" s="195"/>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c r="BM861" s="42"/>
      <c r="BN861" s="42"/>
      <c r="BO861" s="42"/>
      <c r="BP861" s="42"/>
      <c r="BQ861" s="42"/>
      <c r="BR861" s="42"/>
      <c r="BS861" s="42"/>
      <c r="BT861" s="42"/>
      <c r="BU861" s="42"/>
      <c r="BV861" s="42"/>
      <c r="BW861" s="42"/>
      <c r="BX861" s="42"/>
      <c r="BY861" s="42"/>
      <c r="BZ861" s="42"/>
      <c r="CA861" s="42"/>
      <c r="CB861" s="42"/>
      <c r="CC861" s="42"/>
      <c r="CD861" s="42"/>
      <c r="CE861" s="42"/>
      <c r="CF861" s="42"/>
      <c r="CG861" s="42"/>
      <c r="CH861" s="42"/>
      <c r="CI861" s="42"/>
      <c r="CJ861" s="42"/>
      <c r="CK861" s="42"/>
      <c r="CL861" s="42"/>
      <c r="CM861" s="42"/>
      <c r="CN861" s="42"/>
      <c r="CO861" s="42"/>
      <c r="CP861" s="42"/>
      <c r="CQ861" s="42"/>
      <c r="CR861" s="42"/>
      <c r="CS861" s="42"/>
      <c r="CT861" s="42"/>
      <c r="CU861" s="42"/>
      <c r="CV861" s="42"/>
      <c r="CW861" s="42"/>
      <c r="CX861" s="42"/>
      <c r="CY861" s="42"/>
      <c r="CZ861" s="42"/>
      <c r="DA861" s="42"/>
      <c r="DB861" s="42"/>
      <c r="DC861" s="42"/>
      <c r="DD861" s="42"/>
      <c r="DE861" s="42"/>
      <c r="DF861" s="42"/>
      <c r="DG861" s="42"/>
      <c r="DH861" s="42"/>
      <c r="DI861" s="42"/>
      <c r="DJ861" s="42"/>
      <c r="DK861" s="42"/>
      <c r="DL861" s="42"/>
      <c r="DM861" s="42"/>
      <c r="DN861" s="42"/>
      <c r="DO861" s="42"/>
      <c r="DP861" s="42"/>
      <c r="DQ861" s="42"/>
      <c r="DR861" s="42"/>
      <c r="DS861" s="42"/>
      <c r="DT861" s="42"/>
      <c r="DU861" s="42"/>
      <c r="DV861" s="42"/>
      <c r="DW861" s="42"/>
      <c r="DX861" s="42"/>
      <c r="DY861" s="42"/>
      <c r="DZ861" s="42"/>
      <c r="EA861" s="42"/>
      <c r="EB861" s="42"/>
      <c r="EC861" s="42"/>
      <c r="ED861" s="42"/>
      <c r="EE861" s="42"/>
      <c r="EF861" s="42"/>
      <c r="EG861" s="42"/>
      <c r="EH861" s="42"/>
      <c r="EI861" s="42"/>
      <c r="EJ861" s="42"/>
      <c r="EK861" s="42"/>
      <c r="EL861" s="42"/>
      <c r="EM861" s="42"/>
      <c r="EN861" s="42"/>
      <c r="EO861" s="42"/>
      <c r="EP861" s="42"/>
      <c r="EQ861" s="42"/>
      <c r="ER861" s="42"/>
      <c r="ES861" s="42"/>
      <c r="ET861" s="42"/>
      <c r="EU861" s="42"/>
      <c r="EV861" s="42"/>
      <c r="EW861" s="42"/>
      <c r="EX861" s="42"/>
      <c r="EY861" s="42"/>
      <c r="EZ861" s="42"/>
      <c r="FA861" s="42"/>
      <c r="FB861" s="42"/>
      <c r="FC861" s="42"/>
      <c r="FD861" s="42"/>
      <c r="FE861" s="42"/>
      <c r="FF861" s="42"/>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row>
    <row r="862" spans="1:256" ht="13.8" x14ac:dyDescent="0.3">
      <c r="A862" s="42"/>
      <c r="B862" s="42"/>
      <c r="C862" s="42"/>
      <c r="D862" s="42"/>
      <c r="E862" s="42"/>
      <c r="F862" s="42"/>
      <c r="G862" s="42"/>
      <c r="H862" s="42"/>
      <c r="I862" s="42"/>
      <c r="J862" s="42"/>
      <c r="K862" s="42"/>
      <c r="L862" s="42"/>
      <c r="M862" s="42"/>
      <c r="N862" s="42"/>
      <c r="O862" s="42"/>
      <c r="P862" s="42"/>
      <c r="Q862" s="42"/>
      <c r="R862" s="42"/>
      <c r="S862" s="42"/>
      <c r="T862" s="42"/>
      <c r="U862" s="194"/>
      <c r="V862" s="42"/>
      <c r="W862" s="42"/>
      <c r="X862" s="42"/>
      <c r="Y862" s="42"/>
      <c r="Z862" s="42"/>
      <c r="AA862" s="42"/>
      <c r="AB862" s="195"/>
      <c r="AC862" s="42"/>
      <c r="AD862" s="42"/>
      <c r="AE862" s="195"/>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c r="BM862" s="42"/>
      <c r="BN862" s="42"/>
      <c r="BO862" s="42"/>
      <c r="BP862" s="42"/>
      <c r="BQ862" s="42"/>
      <c r="BR862" s="42"/>
      <c r="BS862" s="42"/>
      <c r="BT862" s="42"/>
      <c r="BU862" s="42"/>
      <c r="BV862" s="42"/>
      <c r="BW862" s="42"/>
      <c r="BX862" s="42"/>
      <c r="BY862" s="42"/>
      <c r="BZ862" s="42"/>
      <c r="CA862" s="42"/>
      <c r="CB862" s="42"/>
      <c r="CC862" s="42"/>
      <c r="CD862" s="42"/>
      <c r="CE862" s="42"/>
      <c r="CF862" s="42"/>
      <c r="CG862" s="42"/>
      <c r="CH862" s="42"/>
      <c r="CI862" s="42"/>
      <c r="CJ862" s="42"/>
      <c r="CK862" s="42"/>
      <c r="CL862" s="42"/>
      <c r="CM862" s="42"/>
      <c r="CN862" s="42"/>
      <c r="CO862" s="42"/>
      <c r="CP862" s="42"/>
      <c r="CQ862" s="42"/>
      <c r="CR862" s="42"/>
      <c r="CS862" s="42"/>
      <c r="CT862" s="42"/>
      <c r="CU862" s="42"/>
      <c r="CV862" s="42"/>
      <c r="CW862" s="42"/>
      <c r="CX862" s="42"/>
      <c r="CY862" s="42"/>
      <c r="CZ862" s="42"/>
      <c r="DA862" s="42"/>
      <c r="DB862" s="42"/>
      <c r="DC862" s="42"/>
      <c r="DD862" s="42"/>
      <c r="DE862" s="42"/>
      <c r="DF862" s="42"/>
      <c r="DG862" s="42"/>
      <c r="DH862" s="42"/>
      <c r="DI862" s="42"/>
      <c r="DJ862" s="42"/>
      <c r="DK862" s="42"/>
      <c r="DL862" s="42"/>
      <c r="DM862" s="42"/>
      <c r="DN862" s="42"/>
      <c r="DO862" s="42"/>
      <c r="DP862" s="42"/>
      <c r="DQ862" s="42"/>
      <c r="DR862" s="42"/>
      <c r="DS862" s="42"/>
      <c r="DT862" s="42"/>
      <c r="DU862" s="42"/>
      <c r="DV862" s="42"/>
      <c r="DW862" s="42"/>
      <c r="DX862" s="42"/>
      <c r="DY862" s="42"/>
      <c r="DZ862" s="42"/>
      <c r="EA862" s="42"/>
      <c r="EB862" s="42"/>
      <c r="EC862" s="42"/>
      <c r="ED862" s="42"/>
      <c r="EE862" s="42"/>
      <c r="EF862" s="42"/>
      <c r="EG862" s="42"/>
      <c r="EH862" s="42"/>
      <c r="EI862" s="42"/>
      <c r="EJ862" s="42"/>
      <c r="EK862" s="42"/>
      <c r="EL862" s="42"/>
      <c r="EM862" s="42"/>
      <c r="EN862" s="42"/>
      <c r="EO862" s="42"/>
      <c r="EP862" s="42"/>
      <c r="EQ862" s="42"/>
      <c r="ER862" s="42"/>
      <c r="ES862" s="42"/>
      <c r="ET862" s="42"/>
      <c r="EU862" s="42"/>
      <c r="EV862" s="42"/>
      <c r="EW862" s="42"/>
      <c r="EX862" s="42"/>
      <c r="EY862" s="42"/>
      <c r="EZ862" s="42"/>
      <c r="FA862" s="42"/>
      <c r="FB862" s="42"/>
      <c r="FC862" s="42"/>
      <c r="FD862" s="42"/>
      <c r="FE862" s="42"/>
      <c r="FF862" s="42"/>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row>
    <row r="863" spans="1:256" ht="13.8" x14ac:dyDescent="0.3">
      <c r="A863" s="42"/>
      <c r="B863" s="42"/>
      <c r="C863" s="42"/>
      <c r="D863" s="42"/>
      <c r="E863" s="42"/>
      <c r="F863" s="42"/>
      <c r="G863" s="42"/>
      <c r="H863" s="42"/>
      <c r="I863" s="42"/>
      <c r="J863" s="42"/>
      <c r="K863" s="42"/>
      <c r="L863" s="42"/>
      <c r="M863" s="42"/>
      <c r="N863" s="42"/>
      <c r="O863" s="42"/>
      <c r="P863" s="42"/>
      <c r="Q863" s="42"/>
      <c r="R863" s="42"/>
      <c r="S863" s="42"/>
      <c r="T863" s="42"/>
      <c r="U863" s="194"/>
      <c r="V863" s="42"/>
      <c r="W863" s="42"/>
      <c r="X863" s="42"/>
      <c r="Y863" s="42"/>
      <c r="Z863" s="42"/>
      <c r="AA863" s="42"/>
      <c r="AB863" s="195"/>
      <c r="AC863" s="42"/>
      <c r="AD863" s="42"/>
      <c r="AE863" s="195"/>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c r="BM863" s="42"/>
      <c r="BN863" s="42"/>
      <c r="BO863" s="42"/>
      <c r="BP863" s="42"/>
      <c r="BQ863" s="42"/>
      <c r="BR863" s="42"/>
      <c r="BS863" s="42"/>
      <c r="BT863" s="42"/>
      <c r="BU863" s="42"/>
      <c r="BV863" s="42"/>
      <c r="BW863" s="42"/>
      <c r="BX863" s="42"/>
      <c r="BY863" s="42"/>
      <c r="BZ863" s="42"/>
      <c r="CA863" s="42"/>
      <c r="CB863" s="42"/>
      <c r="CC863" s="42"/>
      <c r="CD863" s="42"/>
      <c r="CE863" s="42"/>
      <c r="CF863" s="42"/>
      <c r="CG863" s="42"/>
      <c r="CH863" s="42"/>
      <c r="CI863" s="42"/>
      <c r="CJ863" s="42"/>
      <c r="CK863" s="42"/>
      <c r="CL863" s="42"/>
      <c r="CM863" s="42"/>
      <c r="CN863" s="42"/>
      <c r="CO863" s="42"/>
      <c r="CP863" s="42"/>
      <c r="CQ863" s="42"/>
      <c r="CR863" s="42"/>
      <c r="CS863" s="42"/>
      <c r="CT863" s="42"/>
      <c r="CU863" s="42"/>
      <c r="CV863" s="42"/>
      <c r="CW863" s="42"/>
      <c r="CX863" s="42"/>
      <c r="CY863" s="42"/>
      <c r="CZ863" s="42"/>
      <c r="DA863" s="42"/>
      <c r="DB863" s="42"/>
      <c r="DC863" s="42"/>
      <c r="DD863" s="42"/>
      <c r="DE863" s="42"/>
      <c r="DF863" s="42"/>
      <c r="DG863" s="42"/>
      <c r="DH863" s="42"/>
      <c r="DI863" s="42"/>
      <c r="DJ863" s="42"/>
      <c r="DK863" s="42"/>
      <c r="DL863" s="42"/>
      <c r="DM863" s="42"/>
      <c r="DN863" s="42"/>
      <c r="DO863" s="42"/>
      <c r="DP863" s="42"/>
      <c r="DQ863" s="42"/>
      <c r="DR863" s="42"/>
      <c r="DS863" s="42"/>
      <c r="DT863" s="42"/>
      <c r="DU863" s="42"/>
      <c r="DV863" s="42"/>
      <c r="DW863" s="42"/>
      <c r="DX863" s="42"/>
      <c r="DY863" s="42"/>
      <c r="DZ863" s="42"/>
      <c r="EA863" s="42"/>
      <c r="EB863" s="42"/>
      <c r="EC863" s="42"/>
      <c r="ED863" s="42"/>
      <c r="EE863" s="42"/>
      <c r="EF863" s="42"/>
      <c r="EG863" s="42"/>
      <c r="EH863" s="42"/>
      <c r="EI863" s="42"/>
      <c r="EJ863" s="42"/>
      <c r="EK863" s="42"/>
      <c r="EL863" s="42"/>
      <c r="EM863" s="42"/>
      <c r="EN863" s="42"/>
      <c r="EO863" s="42"/>
      <c r="EP863" s="42"/>
      <c r="EQ863" s="42"/>
      <c r="ER863" s="42"/>
      <c r="ES863" s="42"/>
      <c r="ET863" s="42"/>
      <c r="EU863" s="42"/>
      <c r="EV863" s="42"/>
      <c r="EW863" s="42"/>
      <c r="EX863" s="42"/>
      <c r="EY863" s="42"/>
      <c r="EZ863" s="42"/>
      <c r="FA863" s="42"/>
      <c r="FB863" s="42"/>
      <c r="FC863" s="42"/>
      <c r="FD863" s="42"/>
      <c r="FE863" s="42"/>
      <c r="FF863" s="42"/>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row>
    <row r="864" spans="1:256" ht="13.8" x14ac:dyDescent="0.3">
      <c r="A864" s="42"/>
      <c r="B864" s="42"/>
      <c r="C864" s="42"/>
      <c r="D864" s="42"/>
      <c r="E864" s="42"/>
      <c r="F864" s="42"/>
      <c r="G864" s="42"/>
      <c r="H864" s="42"/>
      <c r="I864" s="42"/>
      <c r="J864" s="42"/>
      <c r="K864" s="42"/>
      <c r="L864" s="42"/>
      <c r="M864" s="42"/>
      <c r="N864" s="42"/>
      <c r="O864" s="42"/>
      <c r="P864" s="42"/>
      <c r="Q864" s="42"/>
      <c r="R864" s="42"/>
      <c r="S864" s="42"/>
      <c r="T864" s="42"/>
      <c r="U864" s="194"/>
      <c r="V864" s="42"/>
      <c r="W864" s="42"/>
      <c r="X864" s="42"/>
      <c r="Y864" s="42"/>
      <c r="Z864" s="42"/>
      <c r="AA864" s="42"/>
      <c r="AB864" s="195"/>
      <c r="AC864" s="42"/>
      <c r="AD864" s="42"/>
      <c r="AE864" s="195"/>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W864" s="42"/>
      <c r="BX864" s="42"/>
      <c r="BY864" s="42"/>
      <c r="BZ864" s="42"/>
      <c r="CA864" s="42"/>
      <c r="CB864" s="42"/>
      <c r="CC864" s="42"/>
      <c r="CD864" s="42"/>
      <c r="CE864" s="42"/>
      <c r="CF864" s="42"/>
      <c r="CG864" s="42"/>
      <c r="CH864" s="42"/>
      <c r="CI864" s="42"/>
      <c r="CJ864" s="42"/>
      <c r="CK864" s="42"/>
      <c r="CL864" s="42"/>
      <c r="CM864" s="42"/>
      <c r="CN864" s="42"/>
      <c r="CO864" s="42"/>
      <c r="CP864" s="42"/>
      <c r="CQ864" s="42"/>
      <c r="CR864" s="42"/>
      <c r="CS864" s="42"/>
      <c r="CT864" s="42"/>
      <c r="CU864" s="42"/>
      <c r="CV864" s="42"/>
      <c r="CW864" s="42"/>
      <c r="CX864" s="42"/>
      <c r="CY864" s="42"/>
      <c r="CZ864" s="42"/>
      <c r="DA864" s="42"/>
      <c r="DB864" s="42"/>
      <c r="DC864" s="42"/>
      <c r="DD864" s="42"/>
      <c r="DE864" s="42"/>
      <c r="DF864" s="42"/>
      <c r="DG864" s="42"/>
      <c r="DH864" s="42"/>
      <c r="DI864" s="42"/>
      <c r="DJ864" s="42"/>
      <c r="DK864" s="42"/>
      <c r="DL864" s="42"/>
      <c r="DM864" s="42"/>
      <c r="DN864" s="42"/>
      <c r="DO864" s="42"/>
      <c r="DP864" s="42"/>
      <c r="DQ864" s="42"/>
      <c r="DR864" s="42"/>
      <c r="DS864" s="42"/>
      <c r="DT864" s="42"/>
      <c r="DU864" s="42"/>
      <c r="DV864" s="42"/>
      <c r="DW864" s="42"/>
      <c r="DX864" s="42"/>
      <c r="DY864" s="42"/>
      <c r="DZ864" s="42"/>
      <c r="EA864" s="42"/>
      <c r="EB864" s="42"/>
      <c r="EC864" s="42"/>
      <c r="ED864" s="42"/>
      <c r="EE864" s="42"/>
      <c r="EF864" s="42"/>
      <c r="EG864" s="42"/>
      <c r="EH864" s="42"/>
      <c r="EI864" s="42"/>
      <c r="EJ864" s="42"/>
      <c r="EK864" s="42"/>
      <c r="EL864" s="42"/>
      <c r="EM864" s="42"/>
      <c r="EN864" s="42"/>
      <c r="EO864" s="42"/>
      <c r="EP864" s="42"/>
      <c r="EQ864" s="42"/>
      <c r="ER864" s="42"/>
      <c r="ES864" s="42"/>
      <c r="ET864" s="42"/>
      <c r="EU864" s="42"/>
      <c r="EV864" s="42"/>
      <c r="EW864" s="42"/>
      <c r="EX864" s="42"/>
      <c r="EY864" s="42"/>
      <c r="EZ864" s="42"/>
      <c r="FA864" s="42"/>
      <c r="FB864" s="42"/>
      <c r="FC864" s="42"/>
      <c r="FD864" s="42"/>
      <c r="FE864" s="42"/>
      <c r="FF864" s="42"/>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row>
    <row r="865" spans="1:256" ht="13.8" x14ac:dyDescent="0.3">
      <c r="A865" s="42"/>
      <c r="B865" s="42"/>
      <c r="C865" s="42"/>
      <c r="D865" s="42"/>
      <c r="E865" s="42"/>
      <c r="F865" s="42"/>
      <c r="G865" s="42"/>
      <c r="H865" s="42"/>
      <c r="I865" s="42"/>
      <c r="J865" s="42"/>
      <c r="K865" s="42"/>
      <c r="L865" s="42"/>
      <c r="M865" s="42"/>
      <c r="N865" s="42"/>
      <c r="O865" s="42"/>
      <c r="P865" s="42"/>
      <c r="Q865" s="42"/>
      <c r="R865" s="42"/>
      <c r="S865" s="42"/>
      <c r="T865" s="42"/>
      <c r="U865" s="194"/>
      <c r="V865" s="42"/>
      <c r="W865" s="42"/>
      <c r="X865" s="42"/>
      <c r="Y865" s="42"/>
      <c r="Z865" s="42"/>
      <c r="AA865" s="42"/>
      <c r="AB865" s="195"/>
      <c r="AC865" s="42"/>
      <c r="AD865" s="42"/>
      <c r="AE865" s="195"/>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c r="BM865" s="42"/>
      <c r="BN865" s="42"/>
      <c r="BO865" s="42"/>
      <c r="BP865" s="42"/>
      <c r="BQ865" s="42"/>
      <c r="BR865" s="42"/>
      <c r="BS865" s="42"/>
      <c r="BT865" s="42"/>
      <c r="BU865" s="42"/>
      <c r="BV865" s="42"/>
      <c r="BW865" s="42"/>
      <c r="BX865" s="42"/>
      <c r="BY865" s="42"/>
      <c r="BZ865" s="42"/>
      <c r="CA865" s="42"/>
      <c r="CB865" s="42"/>
      <c r="CC865" s="42"/>
      <c r="CD865" s="42"/>
      <c r="CE865" s="42"/>
      <c r="CF865" s="42"/>
      <c r="CG865" s="42"/>
      <c r="CH865" s="42"/>
      <c r="CI865" s="42"/>
      <c r="CJ865" s="42"/>
      <c r="CK865" s="42"/>
      <c r="CL865" s="42"/>
      <c r="CM865" s="42"/>
      <c r="CN865" s="42"/>
      <c r="CO865" s="42"/>
      <c r="CP865" s="42"/>
      <c r="CQ865" s="42"/>
      <c r="CR865" s="42"/>
      <c r="CS865" s="42"/>
      <c r="CT865" s="42"/>
      <c r="CU865" s="42"/>
      <c r="CV865" s="42"/>
      <c r="CW865" s="42"/>
      <c r="CX865" s="42"/>
      <c r="CY865" s="42"/>
      <c r="CZ865" s="42"/>
      <c r="DA865" s="42"/>
      <c r="DB865" s="42"/>
      <c r="DC865" s="42"/>
      <c r="DD865" s="42"/>
      <c r="DE865" s="42"/>
      <c r="DF865" s="42"/>
      <c r="DG865" s="42"/>
      <c r="DH865" s="42"/>
      <c r="DI865" s="42"/>
      <c r="DJ865" s="42"/>
      <c r="DK865" s="42"/>
      <c r="DL865" s="42"/>
      <c r="DM865" s="42"/>
      <c r="DN865" s="42"/>
      <c r="DO865" s="42"/>
      <c r="DP865" s="42"/>
      <c r="DQ865" s="42"/>
      <c r="DR865" s="42"/>
      <c r="DS865" s="42"/>
      <c r="DT865" s="42"/>
      <c r="DU865" s="42"/>
      <c r="DV865" s="42"/>
      <c r="DW865" s="42"/>
      <c r="DX865" s="42"/>
      <c r="DY865" s="42"/>
      <c r="DZ865" s="42"/>
      <c r="EA865" s="42"/>
      <c r="EB865" s="42"/>
      <c r="EC865" s="42"/>
      <c r="ED865" s="42"/>
      <c r="EE865" s="42"/>
      <c r="EF865" s="42"/>
      <c r="EG865" s="42"/>
      <c r="EH865" s="42"/>
      <c r="EI865" s="42"/>
      <c r="EJ865" s="42"/>
      <c r="EK865" s="42"/>
      <c r="EL865" s="42"/>
      <c r="EM865" s="42"/>
      <c r="EN865" s="42"/>
      <c r="EO865" s="42"/>
      <c r="EP865" s="42"/>
      <c r="EQ865" s="42"/>
      <c r="ER865" s="42"/>
      <c r="ES865" s="42"/>
      <c r="ET865" s="42"/>
      <c r="EU865" s="42"/>
      <c r="EV865" s="42"/>
      <c r="EW865" s="42"/>
      <c r="EX865" s="42"/>
      <c r="EY865" s="42"/>
      <c r="EZ865" s="42"/>
      <c r="FA865" s="42"/>
      <c r="FB865" s="42"/>
      <c r="FC865" s="42"/>
      <c r="FD865" s="42"/>
      <c r="FE865" s="42"/>
      <c r="FF865" s="42"/>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row>
    <row r="866" spans="1:256" ht="13.8" x14ac:dyDescent="0.3">
      <c r="A866" s="42"/>
      <c r="B866" s="42"/>
      <c r="C866" s="42"/>
      <c r="D866" s="42"/>
      <c r="E866" s="42"/>
      <c r="F866" s="42"/>
      <c r="G866" s="42"/>
      <c r="H866" s="42"/>
      <c r="I866" s="42"/>
      <c r="J866" s="42"/>
      <c r="K866" s="42"/>
      <c r="L866" s="42"/>
      <c r="M866" s="42"/>
      <c r="N866" s="42"/>
      <c r="O866" s="42"/>
      <c r="P866" s="42"/>
      <c r="Q866" s="42"/>
      <c r="R866" s="42"/>
      <c r="S866" s="42"/>
      <c r="T866" s="42"/>
      <c r="U866" s="194"/>
      <c r="V866" s="42"/>
      <c r="W866" s="42"/>
      <c r="X866" s="42"/>
      <c r="Y866" s="42"/>
      <c r="Z866" s="42"/>
      <c r="AA866" s="42"/>
      <c r="AB866" s="195"/>
      <c r="AC866" s="42"/>
      <c r="AD866" s="42"/>
      <c r="AE866" s="195"/>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c r="BM866" s="42"/>
      <c r="BN866" s="42"/>
      <c r="BO866" s="42"/>
      <c r="BP866" s="42"/>
      <c r="BQ866" s="42"/>
      <c r="BR866" s="42"/>
      <c r="BS866" s="42"/>
      <c r="BT866" s="42"/>
      <c r="BU866" s="42"/>
      <c r="BV866" s="42"/>
      <c r="BW866" s="42"/>
      <c r="BX866" s="42"/>
      <c r="BY866" s="42"/>
      <c r="BZ866" s="42"/>
      <c r="CA866" s="42"/>
      <c r="CB866" s="42"/>
      <c r="CC866" s="42"/>
      <c r="CD866" s="42"/>
      <c r="CE866" s="42"/>
      <c r="CF866" s="42"/>
      <c r="CG866" s="42"/>
      <c r="CH866" s="42"/>
      <c r="CI866" s="42"/>
      <c r="CJ866" s="42"/>
      <c r="CK866" s="42"/>
      <c r="CL866" s="42"/>
      <c r="CM866" s="42"/>
      <c r="CN866" s="42"/>
      <c r="CO866" s="42"/>
      <c r="CP866" s="42"/>
      <c r="CQ866" s="42"/>
      <c r="CR866" s="42"/>
      <c r="CS866" s="42"/>
      <c r="CT866" s="42"/>
      <c r="CU866" s="42"/>
      <c r="CV866" s="42"/>
      <c r="CW866" s="42"/>
      <c r="CX866" s="42"/>
      <c r="CY866" s="42"/>
      <c r="CZ866" s="42"/>
      <c r="DA866" s="42"/>
      <c r="DB866" s="42"/>
      <c r="DC866" s="42"/>
      <c r="DD866" s="42"/>
      <c r="DE866" s="42"/>
      <c r="DF866" s="42"/>
      <c r="DG866" s="42"/>
      <c r="DH866" s="42"/>
      <c r="DI866" s="42"/>
      <c r="DJ866" s="42"/>
      <c r="DK866" s="42"/>
      <c r="DL866" s="42"/>
      <c r="DM866" s="42"/>
      <c r="DN866" s="42"/>
      <c r="DO866" s="42"/>
      <c r="DP866" s="42"/>
      <c r="DQ866" s="42"/>
      <c r="DR866" s="42"/>
      <c r="DS866" s="42"/>
      <c r="DT866" s="42"/>
      <c r="DU866" s="42"/>
      <c r="DV866" s="42"/>
      <c r="DW866" s="42"/>
      <c r="DX866" s="42"/>
      <c r="DY866" s="42"/>
      <c r="DZ866" s="42"/>
      <c r="EA866" s="42"/>
      <c r="EB866" s="42"/>
      <c r="EC866" s="42"/>
      <c r="ED866" s="42"/>
      <c r="EE866" s="42"/>
      <c r="EF866" s="42"/>
      <c r="EG866" s="42"/>
      <c r="EH866" s="42"/>
      <c r="EI866" s="42"/>
      <c r="EJ866" s="42"/>
      <c r="EK866" s="42"/>
      <c r="EL866" s="42"/>
      <c r="EM866" s="42"/>
      <c r="EN866" s="42"/>
      <c r="EO866" s="42"/>
      <c r="EP866" s="42"/>
      <c r="EQ866" s="42"/>
      <c r="ER866" s="42"/>
      <c r="ES866" s="42"/>
      <c r="ET866" s="42"/>
      <c r="EU866" s="42"/>
      <c r="EV866" s="42"/>
      <c r="EW866" s="42"/>
      <c r="EX866" s="42"/>
      <c r="EY866" s="42"/>
      <c r="EZ866" s="42"/>
      <c r="FA866" s="42"/>
      <c r="FB866" s="42"/>
      <c r="FC866" s="42"/>
      <c r="FD866" s="42"/>
      <c r="FE866" s="42"/>
      <c r="FF866" s="42"/>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row>
    <row r="867" spans="1:256" ht="13.8" x14ac:dyDescent="0.3">
      <c r="A867" s="42"/>
      <c r="B867" s="42"/>
      <c r="C867" s="42"/>
      <c r="D867" s="42"/>
      <c r="E867" s="42"/>
      <c r="F867" s="42"/>
      <c r="G867" s="42"/>
      <c r="H867" s="42"/>
      <c r="I867" s="42"/>
      <c r="J867" s="42"/>
      <c r="K867" s="42"/>
      <c r="L867" s="42"/>
      <c r="M867" s="42"/>
      <c r="N867" s="42"/>
      <c r="O867" s="42"/>
      <c r="P867" s="42"/>
      <c r="Q867" s="42"/>
      <c r="R867" s="42"/>
      <c r="S867" s="42"/>
      <c r="T867" s="42"/>
      <c r="U867" s="194"/>
      <c r="V867" s="42"/>
      <c r="W867" s="42"/>
      <c r="X867" s="42"/>
      <c r="Y867" s="42"/>
      <c r="Z867" s="42"/>
      <c r="AA867" s="42"/>
      <c r="AB867" s="195"/>
      <c r="AC867" s="42"/>
      <c r="AD867" s="42"/>
      <c r="AE867" s="195"/>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c r="BM867" s="42"/>
      <c r="BN867" s="42"/>
      <c r="BO867" s="42"/>
      <c r="BP867" s="42"/>
      <c r="BQ867" s="42"/>
      <c r="BR867" s="42"/>
      <c r="BS867" s="42"/>
      <c r="BT867" s="42"/>
      <c r="BU867" s="42"/>
      <c r="BV867" s="42"/>
      <c r="BW867" s="42"/>
      <c r="BX867" s="42"/>
      <c r="BY867" s="42"/>
      <c r="BZ867" s="42"/>
      <c r="CA867" s="42"/>
      <c r="CB867" s="42"/>
      <c r="CC867" s="42"/>
      <c r="CD867" s="42"/>
      <c r="CE867" s="42"/>
      <c r="CF867" s="42"/>
      <c r="CG867" s="42"/>
      <c r="CH867" s="42"/>
      <c r="CI867" s="42"/>
      <c r="CJ867" s="42"/>
      <c r="CK867" s="42"/>
      <c r="CL867" s="42"/>
      <c r="CM867" s="42"/>
      <c r="CN867" s="42"/>
      <c r="CO867" s="42"/>
      <c r="CP867" s="42"/>
      <c r="CQ867" s="42"/>
      <c r="CR867" s="42"/>
      <c r="CS867" s="42"/>
      <c r="CT867" s="42"/>
      <c r="CU867" s="42"/>
      <c r="CV867" s="42"/>
      <c r="CW867" s="42"/>
      <c r="CX867" s="42"/>
      <c r="CY867" s="42"/>
      <c r="CZ867" s="42"/>
      <c r="DA867" s="42"/>
      <c r="DB867" s="42"/>
      <c r="DC867" s="42"/>
      <c r="DD867" s="42"/>
      <c r="DE867" s="42"/>
      <c r="DF867" s="42"/>
      <c r="DG867" s="42"/>
      <c r="DH867" s="42"/>
      <c r="DI867" s="42"/>
      <c r="DJ867" s="42"/>
      <c r="DK867" s="42"/>
      <c r="DL867" s="42"/>
      <c r="DM867" s="42"/>
      <c r="DN867" s="42"/>
      <c r="DO867" s="42"/>
      <c r="DP867" s="42"/>
      <c r="DQ867" s="42"/>
      <c r="DR867" s="42"/>
      <c r="DS867" s="42"/>
      <c r="DT867" s="42"/>
      <c r="DU867" s="42"/>
      <c r="DV867" s="42"/>
      <c r="DW867" s="42"/>
      <c r="DX867" s="42"/>
      <c r="DY867" s="42"/>
      <c r="DZ867" s="42"/>
      <c r="EA867" s="42"/>
      <c r="EB867" s="42"/>
      <c r="EC867" s="42"/>
      <c r="ED867" s="42"/>
      <c r="EE867" s="42"/>
      <c r="EF867" s="42"/>
      <c r="EG867" s="42"/>
      <c r="EH867" s="42"/>
      <c r="EI867" s="42"/>
      <c r="EJ867" s="42"/>
      <c r="EK867" s="42"/>
      <c r="EL867" s="42"/>
      <c r="EM867" s="42"/>
      <c r="EN867" s="42"/>
      <c r="EO867" s="42"/>
      <c r="EP867" s="42"/>
      <c r="EQ867" s="42"/>
      <c r="ER867" s="42"/>
      <c r="ES867" s="42"/>
      <c r="ET867" s="42"/>
      <c r="EU867" s="42"/>
      <c r="EV867" s="42"/>
      <c r="EW867" s="42"/>
      <c r="EX867" s="42"/>
      <c r="EY867" s="42"/>
      <c r="EZ867" s="42"/>
      <c r="FA867" s="42"/>
      <c r="FB867" s="42"/>
      <c r="FC867" s="42"/>
      <c r="FD867" s="42"/>
      <c r="FE867" s="42"/>
      <c r="FF867" s="42"/>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row>
    <row r="868" spans="1:256" ht="13.8" x14ac:dyDescent="0.3">
      <c r="A868" s="42"/>
      <c r="B868" s="42"/>
      <c r="C868" s="42"/>
      <c r="D868" s="42"/>
      <c r="E868" s="42"/>
      <c r="F868" s="42"/>
      <c r="G868" s="42"/>
      <c r="H868" s="42"/>
      <c r="I868" s="42"/>
      <c r="J868" s="42"/>
      <c r="K868" s="42"/>
      <c r="L868" s="42"/>
      <c r="M868" s="42"/>
      <c r="N868" s="42"/>
      <c r="O868" s="42"/>
      <c r="P868" s="42"/>
      <c r="Q868" s="42"/>
      <c r="R868" s="42"/>
      <c r="S868" s="42"/>
      <c r="T868" s="42"/>
      <c r="U868" s="194"/>
      <c r="V868" s="42"/>
      <c r="W868" s="42"/>
      <c r="X868" s="42"/>
      <c r="Y868" s="42"/>
      <c r="Z868" s="42"/>
      <c r="AA868" s="42"/>
      <c r="AB868" s="195"/>
      <c r="AC868" s="42"/>
      <c r="AD868" s="42"/>
      <c r="AE868" s="195"/>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c r="BM868" s="42"/>
      <c r="BN868" s="42"/>
      <c r="BO868" s="42"/>
      <c r="BP868" s="42"/>
      <c r="BQ868" s="42"/>
      <c r="BR868" s="42"/>
      <c r="BS868" s="42"/>
      <c r="BT868" s="42"/>
      <c r="BU868" s="42"/>
      <c r="BV868" s="42"/>
      <c r="BW868" s="42"/>
      <c r="BX868" s="42"/>
      <c r="BY868" s="42"/>
      <c r="BZ868" s="42"/>
      <c r="CA868" s="42"/>
      <c r="CB868" s="42"/>
      <c r="CC868" s="42"/>
      <c r="CD868" s="42"/>
      <c r="CE868" s="42"/>
      <c r="CF868" s="42"/>
      <c r="CG868" s="42"/>
      <c r="CH868" s="42"/>
      <c r="CI868" s="42"/>
      <c r="CJ868" s="42"/>
      <c r="CK868" s="42"/>
      <c r="CL868" s="42"/>
      <c r="CM868" s="42"/>
      <c r="CN868" s="42"/>
      <c r="CO868" s="42"/>
      <c r="CP868" s="42"/>
      <c r="CQ868" s="42"/>
      <c r="CR868" s="42"/>
      <c r="CS868" s="42"/>
      <c r="CT868" s="42"/>
      <c r="CU868" s="42"/>
      <c r="CV868" s="42"/>
      <c r="CW868" s="42"/>
      <c r="CX868" s="42"/>
      <c r="CY868" s="42"/>
      <c r="CZ868" s="42"/>
      <c r="DA868" s="42"/>
      <c r="DB868" s="42"/>
      <c r="DC868" s="42"/>
      <c r="DD868" s="42"/>
      <c r="DE868" s="42"/>
      <c r="DF868" s="42"/>
      <c r="DG868" s="42"/>
      <c r="DH868" s="42"/>
      <c r="DI868" s="42"/>
      <c r="DJ868" s="42"/>
      <c r="DK868" s="42"/>
      <c r="DL868" s="42"/>
      <c r="DM868" s="42"/>
      <c r="DN868" s="42"/>
      <c r="DO868" s="42"/>
      <c r="DP868" s="42"/>
      <c r="DQ868" s="42"/>
      <c r="DR868" s="42"/>
      <c r="DS868" s="42"/>
      <c r="DT868" s="42"/>
      <c r="DU868" s="42"/>
      <c r="DV868" s="42"/>
      <c r="DW868" s="42"/>
      <c r="DX868" s="42"/>
      <c r="DY868" s="42"/>
      <c r="DZ868" s="42"/>
      <c r="EA868" s="42"/>
      <c r="EB868" s="42"/>
      <c r="EC868" s="42"/>
      <c r="ED868" s="42"/>
      <c r="EE868" s="42"/>
      <c r="EF868" s="42"/>
      <c r="EG868" s="42"/>
      <c r="EH868" s="42"/>
      <c r="EI868" s="42"/>
      <c r="EJ868" s="42"/>
      <c r="EK868" s="42"/>
      <c r="EL868" s="42"/>
      <c r="EM868" s="42"/>
      <c r="EN868" s="42"/>
      <c r="EO868" s="42"/>
      <c r="EP868" s="42"/>
      <c r="EQ868" s="42"/>
      <c r="ER868" s="42"/>
      <c r="ES868" s="42"/>
      <c r="ET868" s="42"/>
      <c r="EU868" s="42"/>
      <c r="EV868" s="42"/>
      <c r="EW868" s="42"/>
      <c r="EX868" s="42"/>
      <c r="EY868" s="42"/>
      <c r="EZ868" s="42"/>
      <c r="FA868" s="42"/>
      <c r="FB868" s="42"/>
      <c r="FC868" s="42"/>
      <c r="FD868" s="42"/>
      <c r="FE868" s="42"/>
      <c r="FF868" s="42"/>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row>
    <row r="869" spans="1:256" ht="13.8" x14ac:dyDescent="0.3">
      <c r="A869" s="42"/>
      <c r="B869" s="42"/>
      <c r="C869" s="42"/>
      <c r="D869" s="42"/>
      <c r="E869" s="42"/>
      <c r="F869" s="42"/>
      <c r="G869" s="42"/>
      <c r="H869" s="42"/>
      <c r="I869" s="42"/>
      <c r="J869" s="42"/>
      <c r="K869" s="42"/>
      <c r="L869" s="42"/>
      <c r="M869" s="42"/>
      <c r="N869" s="42"/>
      <c r="O869" s="42"/>
      <c r="P869" s="42"/>
      <c r="Q869" s="42"/>
      <c r="R869" s="42"/>
      <c r="S869" s="42"/>
      <c r="T869" s="42"/>
      <c r="U869" s="194"/>
      <c r="V869" s="42"/>
      <c r="W869" s="42"/>
      <c r="X869" s="42"/>
      <c r="Y869" s="42"/>
      <c r="Z869" s="42"/>
      <c r="AA869" s="42"/>
      <c r="AB869" s="195"/>
      <c r="AC869" s="42"/>
      <c r="AD869" s="42"/>
      <c r="AE869" s="195"/>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c r="BM869" s="42"/>
      <c r="BN869" s="42"/>
      <c r="BO869" s="42"/>
      <c r="BP869" s="42"/>
      <c r="BQ869" s="42"/>
      <c r="BR869" s="42"/>
      <c r="BS869" s="42"/>
      <c r="BT869" s="42"/>
      <c r="BU869" s="42"/>
      <c r="BV869" s="42"/>
      <c r="BW869" s="42"/>
      <c r="BX869" s="42"/>
      <c r="BY869" s="42"/>
      <c r="BZ869" s="42"/>
      <c r="CA869" s="42"/>
      <c r="CB869" s="42"/>
      <c r="CC869" s="42"/>
      <c r="CD869" s="42"/>
      <c r="CE869" s="42"/>
      <c r="CF869" s="42"/>
      <c r="CG869" s="42"/>
      <c r="CH869" s="42"/>
      <c r="CI869" s="42"/>
      <c r="CJ869" s="42"/>
      <c r="CK869" s="42"/>
      <c r="CL869" s="42"/>
      <c r="CM869" s="42"/>
      <c r="CN869" s="42"/>
      <c r="CO869" s="42"/>
      <c r="CP869" s="42"/>
      <c r="CQ869" s="42"/>
      <c r="CR869" s="42"/>
      <c r="CS869" s="42"/>
      <c r="CT869" s="42"/>
      <c r="CU869" s="42"/>
      <c r="CV869" s="42"/>
      <c r="CW869" s="42"/>
      <c r="CX869" s="42"/>
      <c r="CY869" s="42"/>
      <c r="CZ869" s="42"/>
      <c r="DA869" s="42"/>
      <c r="DB869" s="42"/>
      <c r="DC869" s="42"/>
      <c r="DD869" s="42"/>
      <c r="DE869" s="42"/>
      <c r="DF869" s="42"/>
      <c r="DG869" s="42"/>
      <c r="DH869" s="42"/>
      <c r="DI869" s="42"/>
      <c r="DJ869" s="42"/>
      <c r="DK869" s="42"/>
      <c r="DL869" s="42"/>
      <c r="DM869" s="42"/>
      <c r="DN869" s="42"/>
      <c r="DO869" s="42"/>
      <c r="DP869" s="42"/>
      <c r="DQ869" s="42"/>
      <c r="DR869" s="42"/>
      <c r="DS869" s="42"/>
      <c r="DT869" s="42"/>
      <c r="DU869" s="42"/>
      <c r="DV869" s="42"/>
      <c r="DW869" s="42"/>
      <c r="DX869" s="42"/>
      <c r="DY869" s="42"/>
      <c r="DZ869" s="42"/>
      <c r="EA869" s="42"/>
      <c r="EB869" s="42"/>
      <c r="EC869" s="42"/>
      <c r="ED869" s="42"/>
      <c r="EE869" s="42"/>
      <c r="EF869" s="42"/>
      <c r="EG869" s="42"/>
      <c r="EH869" s="42"/>
      <c r="EI869" s="42"/>
      <c r="EJ869" s="42"/>
      <c r="EK869" s="42"/>
      <c r="EL869" s="42"/>
      <c r="EM869" s="42"/>
      <c r="EN869" s="42"/>
      <c r="EO869" s="42"/>
      <c r="EP869" s="42"/>
      <c r="EQ869" s="42"/>
      <c r="ER869" s="42"/>
      <c r="ES869" s="42"/>
      <c r="ET869" s="42"/>
      <c r="EU869" s="42"/>
      <c r="EV869" s="42"/>
      <c r="EW869" s="42"/>
      <c r="EX869" s="42"/>
      <c r="EY869" s="42"/>
      <c r="EZ869" s="42"/>
      <c r="FA869" s="42"/>
      <c r="FB869" s="42"/>
      <c r="FC869" s="42"/>
      <c r="FD869" s="42"/>
      <c r="FE869" s="42"/>
      <c r="FF869" s="42"/>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row>
    <row r="870" spans="1:256" ht="13.8" x14ac:dyDescent="0.3">
      <c r="A870" s="42"/>
      <c r="B870" s="42"/>
      <c r="C870" s="42"/>
      <c r="D870" s="42"/>
      <c r="E870" s="42"/>
      <c r="F870" s="42"/>
      <c r="G870" s="42"/>
      <c r="H870" s="42"/>
      <c r="I870" s="42"/>
      <c r="J870" s="42"/>
      <c r="K870" s="42"/>
      <c r="L870" s="42"/>
      <c r="M870" s="42"/>
      <c r="N870" s="42"/>
      <c r="O870" s="42"/>
      <c r="P870" s="42"/>
      <c r="Q870" s="42"/>
      <c r="R870" s="42"/>
      <c r="S870" s="42"/>
      <c r="T870" s="42"/>
      <c r="U870" s="194"/>
      <c r="V870" s="42"/>
      <c r="W870" s="42"/>
      <c r="X870" s="42"/>
      <c r="Y870" s="42"/>
      <c r="Z870" s="42"/>
      <c r="AA870" s="42"/>
      <c r="AB870" s="195"/>
      <c r="AC870" s="42"/>
      <c r="AD870" s="42"/>
      <c r="AE870" s="195"/>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c r="BM870" s="42"/>
      <c r="BN870" s="42"/>
      <c r="BO870" s="42"/>
      <c r="BP870" s="42"/>
      <c r="BQ870" s="42"/>
      <c r="BR870" s="42"/>
      <c r="BS870" s="42"/>
      <c r="BT870" s="42"/>
      <c r="BU870" s="42"/>
      <c r="BV870" s="42"/>
      <c r="BW870" s="42"/>
      <c r="BX870" s="42"/>
      <c r="BY870" s="42"/>
      <c r="BZ870" s="42"/>
      <c r="CA870" s="42"/>
      <c r="CB870" s="42"/>
      <c r="CC870" s="42"/>
      <c r="CD870" s="42"/>
      <c r="CE870" s="42"/>
      <c r="CF870" s="42"/>
      <c r="CG870" s="42"/>
      <c r="CH870" s="42"/>
      <c r="CI870" s="42"/>
      <c r="CJ870" s="42"/>
      <c r="CK870" s="42"/>
      <c r="CL870" s="42"/>
      <c r="CM870" s="42"/>
      <c r="CN870" s="42"/>
      <c r="CO870" s="42"/>
      <c r="CP870" s="42"/>
      <c r="CQ870" s="42"/>
      <c r="CR870" s="42"/>
      <c r="CS870" s="42"/>
      <c r="CT870" s="42"/>
      <c r="CU870" s="42"/>
      <c r="CV870" s="42"/>
      <c r="CW870" s="42"/>
      <c r="CX870" s="42"/>
      <c r="CY870" s="42"/>
      <c r="CZ870" s="42"/>
      <c r="DA870" s="42"/>
      <c r="DB870" s="42"/>
      <c r="DC870" s="42"/>
      <c r="DD870" s="42"/>
      <c r="DE870" s="42"/>
      <c r="DF870" s="42"/>
      <c r="DG870" s="42"/>
      <c r="DH870" s="42"/>
      <c r="DI870" s="42"/>
      <c r="DJ870" s="42"/>
      <c r="DK870" s="42"/>
      <c r="DL870" s="42"/>
      <c r="DM870" s="42"/>
      <c r="DN870" s="42"/>
      <c r="DO870" s="42"/>
      <c r="DP870" s="42"/>
      <c r="DQ870" s="42"/>
      <c r="DR870" s="42"/>
      <c r="DS870" s="42"/>
      <c r="DT870" s="42"/>
      <c r="DU870" s="42"/>
      <c r="DV870" s="42"/>
      <c r="DW870" s="42"/>
      <c r="DX870" s="42"/>
      <c r="DY870" s="42"/>
      <c r="DZ870" s="42"/>
      <c r="EA870" s="42"/>
      <c r="EB870" s="42"/>
      <c r="EC870" s="42"/>
      <c r="ED870" s="42"/>
      <c r="EE870" s="42"/>
      <c r="EF870" s="42"/>
      <c r="EG870" s="42"/>
      <c r="EH870" s="42"/>
      <c r="EI870" s="42"/>
      <c r="EJ870" s="42"/>
      <c r="EK870" s="42"/>
      <c r="EL870" s="42"/>
      <c r="EM870" s="42"/>
      <c r="EN870" s="42"/>
      <c r="EO870" s="42"/>
      <c r="EP870" s="42"/>
      <c r="EQ870" s="42"/>
      <c r="ER870" s="42"/>
      <c r="ES870" s="42"/>
      <c r="ET870" s="42"/>
      <c r="EU870" s="42"/>
      <c r="EV870" s="42"/>
      <c r="EW870" s="42"/>
      <c r="EX870" s="42"/>
      <c r="EY870" s="42"/>
      <c r="EZ870" s="42"/>
      <c r="FA870" s="42"/>
      <c r="FB870" s="42"/>
      <c r="FC870" s="42"/>
      <c r="FD870" s="42"/>
      <c r="FE870" s="42"/>
      <c r="FF870" s="42"/>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row>
    <row r="871" spans="1:256" ht="13.8" x14ac:dyDescent="0.3">
      <c r="A871" s="42"/>
      <c r="B871" s="42"/>
      <c r="C871" s="42"/>
      <c r="D871" s="42"/>
      <c r="E871" s="42"/>
      <c r="F871" s="42"/>
      <c r="G871" s="42"/>
      <c r="H871" s="42"/>
      <c r="I871" s="42"/>
      <c r="J871" s="42"/>
      <c r="K871" s="42"/>
      <c r="L871" s="42"/>
      <c r="M871" s="42"/>
      <c r="N871" s="42"/>
      <c r="O871" s="42"/>
      <c r="P871" s="42"/>
      <c r="Q871" s="42"/>
      <c r="R871" s="42"/>
      <c r="S871" s="42"/>
      <c r="T871" s="42"/>
      <c r="U871" s="194"/>
      <c r="V871" s="42"/>
      <c r="W871" s="42"/>
      <c r="X871" s="42"/>
      <c r="Y871" s="42"/>
      <c r="Z871" s="42"/>
      <c r="AA871" s="42"/>
      <c r="AB871" s="195"/>
      <c r="AC871" s="42"/>
      <c r="AD871" s="42"/>
      <c r="AE871" s="195"/>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c r="BM871" s="42"/>
      <c r="BN871" s="42"/>
      <c r="BO871" s="42"/>
      <c r="BP871" s="42"/>
      <c r="BQ871" s="42"/>
      <c r="BR871" s="42"/>
      <c r="BS871" s="42"/>
      <c r="BT871" s="42"/>
      <c r="BU871" s="42"/>
      <c r="BV871" s="42"/>
      <c r="BW871" s="42"/>
      <c r="BX871" s="42"/>
      <c r="BY871" s="42"/>
      <c r="BZ871" s="42"/>
      <c r="CA871" s="42"/>
      <c r="CB871" s="42"/>
      <c r="CC871" s="42"/>
      <c r="CD871" s="42"/>
      <c r="CE871" s="42"/>
      <c r="CF871" s="42"/>
      <c r="CG871" s="42"/>
      <c r="CH871" s="42"/>
      <c r="CI871" s="42"/>
      <c r="CJ871" s="42"/>
      <c r="CK871" s="42"/>
      <c r="CL871" s="42"/>
      <c r="CM871" s="42"/>
      <c r="CN871" s="42"/>
      <c r="CO871" s="42"/>
      <c r="CP871" s="42"/>
      <c r="CQ871" s="42"/>
      <c r="CR871" s="42"/>
      <c r="CS871" s="42"/>
      <c r="CT871" s="42"/>
      <c r="CU871" s="42"/>
      <c r="CV871" s="42"/>
      <c r="CW871" s="42"/>
      <c r="CX871" s="42"/>
      <c r="CY871" s="42"/>
      <c r="CZ871" s="42"/>
      <c r="DA871" s="42"/>
      <c r="DB871" s="42"/>
      <c r="DC871" s="42"/>
      <c r="DD871" s="42"/>
      <c r="DE871" s="42"/>
      <c r="DF871" s="42"/>
      <c r="DG871" s="42"/>
      <c r="DH871" s="42"/>
      <c r="DI871" s="42"/>
      <c r="DJ871" s="42"/>
      <c r="DK871" s="42"/>
      <c r="DL871" s="42"/>
      <c r="DM871" s="42"/>
      <c r="DN871" s="42"/>
      <c r="DO871" s="42"/>
      <c r="DP871" s="42"/>
      <c r="DQ871" s="42"/>
      <c r="DR871" s="42"/>
      <c r="DS871" s="42"/>
      <c r="DT871" s="42"/>
      <c r="DU871" s="42"/>
      <c r="DV871" s="42"/>
      <c r="DW871" s="42"/>
      <c r="DX871" s="42"/>
      <c r="DY871" s="42"/>
      <c r="DZ871" s="42"/>
      <c r="EA871" s="42"/>
      <c r="EB871" s="42"/>
      <c r="EC871" s="42"/>
      <c r="ED871" s="42"/>
      <c r="EE871" s="42"/>
      <c r="EF871" s="42"/>
      <c r="EG871" s="42"/>
      <c r="EH871" s="42"/>
      <c r="EI871" s="42"/>
      <c r="EJ871" s="42"/>
      <c r="EK871" s="42"/>
      <c r="EL871" s="42"/>
      <c r="EM871" s="42"/>
      <c r="EN871" s="42"/>
      <c r="EO871" s="42"/>
      <c r="EP871" s="42"/>
      <c r="EQ871" s="42"/>
      <c r="ER871" s="42"/>
      <c r="ES871" s="42"/>
      <c r="ET871" s="42"/>
      <c r="EU871" s="42"/>
      <c r="EV871" s="42"/>
      <c r="EW871" s="42"/>
      <c r="EX871" s="42"/>
      <c r="EY871" s="42"/>
      <c r="EZ871" s="42"/>
      <c r="FA871" s="42"/>
      <c r="FB871" s="42"/>
      <c r="FC871" s="42"/>
      <c r="FD871" s="42"/>
      <c r="FE871" s="42"/>
      <c r="FF871" s="42"/>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row>
    <row r="872" spans="1:256" ht="13.8" x14ac:dyDescent="0.3">
      <c r="A872" s="42"/>
      <c r="B872" s="42"/>
      <c r="C872" s="42"/>
      <c r="D872" s="42"/>
      <c r="E872" s="42"/>
      <c r="F872" s="42"/>
      <c r="G872" s="42"/>
      <c r="H872" s="42"/>
      <c r="I872" s="42"/>
      <c r="J872" s="42"/>
      <c r="K872" s="42"/>
      <c r="L872" s="42"/>
      <c r="M872" s="42"/>
      <c r="N872" s="42"/>
      <c r="O872" s="42"/>
      <c r="P872" s="42"/>
      <c r="Q872" s="42"/>
      <c r="R872" s="42"/>
      <c r="S872" s="42"/>
      <c r="T872" s="42"/>
      <c r="U872" s="194"/>
      <c r="V872" s="42"/>
      <c r="W872" s="42"/>
      <c r="X872" s="42"/>
      <c r="Y872" s="42"/>
      <c r="Z872" s="42"/>
      <c r="AA872" s="42"/>
      <c r="AB872" s="195"/>
      <c r="AC872" s="42"/>
      <c r="AD872" s="42"/>
      <c r="AE872" s="195"/>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c r="BM872" s="42"/>
      <c r="BN872" s="42"/>
      <c r="BO872" s="42"/>
      <c r="BP872" s="42"/>
      <c r="BQ872" s="42"/>
      <c r="BR872" s="42"/>
      <c r="BS872" s="42"/>
      <c r="BT872" s="42"/>
      <c r="BU872" s="42"/>
      <c r="BV872" s="42"/>
      <c r="BW872" s="42"/>
      <c r="BX872" s="42"/>
      <c r="BY872" s="42"/>
      <c r="BZ872" s="42"/>
      <c r="CA872" s="42"/>
      <c r="CB872" s="42"/>
      <c r="CC872" s="42"/>
      <c r="CD872" s="42"/>
      <c r="CE872" s="42"/>
      <c r="CF872" s="42"/>
      <c r="CG872" s="42"/>
      <c r="CH872" s="42"/>
      <c r="CI872" s="42"/>
      <c r="CJ872" s="42"/>
      <c r="CK872" s="42"/>
      <c r="CL872" s="42"/>
      <c r="CM872" s="42"/>
      <c r="CN872" s="42"/>
      <c r="CO872" s="42"/>
      <c r="CP872" s="42"/>
      <c r="CQ872" s="42"/>
      <c r="CR872" s="42"/>
      <c r="CS872" s="42"/>
      <c r="CT872" s="42"/>
      <c r="CU872" s="42"/>
      <c r="CV872" s="42"/>
      <c r="CW872" s="42"/>
      <c r="CX872" s="42"/>
      <c r="CY872" s="42"/>
      <c r="CZ872" s="42"/>
      <c r="DA872" s="42"/>
      <c r="DB872" s="42"/>
      <c r="DC872" s="42"/>
      <c r="DD872" s="42"/>
      <c r="DE872" s="42"/>
      <c r="DF872" s="42"/>
      <c r="DG872" s="42"/>
      <c r="DH872" s="42"/>
      <c r="DI872" s="42"/>
      <c r="DJ872" s="42"/>
      <c r="DK872" s="42"/>
      <c r="DL872" s="42"/>
      <c r="DM872" s="42"/>
      <c r="DN872" s="42"/>
      <c r="DO872" s="42"/>
      <c r="DP872" s="42"/>
      <c r="DQ872" s="42"/>
      <c r="DR872" s="42"/>
      <c r="DS872" s="42"/>
      <c r="DT872" s="42"/>
      <c r="DU872" s="42"/>
      <c r="DV872" s="42"/>
      <c r="DW872" s="42"/>
      <c r="DX872" s="42"/>
      <c r="DY872" s="42"/>
      <c r="DZ872" s="42"/>
      <c r="EA872" s="42"/>
      <c r="EB872" s="42"/>
      <c r="EC872" s="42"/>
      <c r="ED872" s="42"/>
      <c r="EE872" s="42"/>
      <c r="EF872" s="42"/>
      <c r="EG872" s="42"/>
      <c r="EH872" s="42"/>
      <c r="EI872" s="42"/>
      <c r="EJ872" s="42"/>
      <c r="EK872" s="42"/>
      <c r="EL872" s="42"/>
      <c r="EM872" s="42"/>
      <c r="EN872" s="42"/>
      <c r="EO872" s="42"/>
      <c r="EP872" s="42"/>
      <c r="EQ872" s="42"/>
      <c r="ER872" s="42"/>
      <c r="ES872" s="42"/>
      <c r="ET872" s="42"/>
      <c r="EU872" s="42"/>
      <c r="EV872" s="42"/>
      <c r="EW872" s="42"/>
      <c r="EX872" s="42"/>
      <c r="EY872" s="42"/>
      <c r="EZ872" s="42"/>
      <c r="FA872" s="42"/>
      <c r="FB872" s="42"/>
      <c r="FC872" s="42"/>
      <c r="FD872" s="42"/>
      <c r="FE872" s="42"/>
      <c r="FF872" s="42"/>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row>
    <row r="873" spans="1:256" ht="13.8" x14ac:dyDescent="0.3">
      <c r="A873" s="42"/>
      <c r="B873" s="42"/>
      <c r="C873" s="42"/>
      <c r="D873" s="42"/>
      <c r="E873" s="42"/>
      <c r="F873" s="42"/>
      <c r="G873" s="42"/>
      <c r="H873" s="42"/>
      <c r="I873" s="42"/>
      <c r="J873" s="42"/>
      <c r="K873" s="42"/>
      <c r="L873" s="42"/>
      <c r="M873" s="42"/>
      <c r="N873" s="42"/>
      <c r="O873" s="42"/>
      <c r="P873" s="42"/>
      <c r="Q873" s="42"/>
      <c r="R873" s="42"/>
      <c r="S873" s="42"/>
      <c r="T873" s="42"/>
      <c r="U873" s="194"/>
      <c r="V873" s="42"/>
      <c r="W873" s="42"/>
      <c r="X873" s="42"/>
      <c r="Y873" s="42"/>
      <c r="Z873" s="42"/>
      <c r="AA873" s="42"/>
      <c r="AB873" s="195"/>
      <c r="AC873" s="42"/>
      <c r="AD873" s="42"/>
      <c r="AE873" s="195"/>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c r="BM873" s="42"/>
      <c r="BN873" s="42"/>
      <c r="BO873" s="42"/>
      <c r="BP873" s="42"/>
      <c r="BQ873" s="42"/>
      <c r="BR873" s="42"/>
      <c r="BS873" s="42"/>
      <c r="BT873" s="42"/>
      <c r="BU873" s="42"/>
      <c r="BV873" s="42"/>
      <c r="BW873" s="42"/>
      <c r="BX873" s="42"/>
      <c r="BY873" s="42"/>
      <c r="BZ873" s="42"/>
      <c r="CA873" s="42"/>
      <c r="CB873" s="42"/>
      <c r="CC873" s="42"/>
      <c r="CD873" s="42"/>
      <c r="CE873" s="42"/>
      <c r="CF873" s="42"/>
      <c r="CG873" s="42"/>
      <c r="CH873" s="42"/>
      <c r="CI873" s="42"/>
      <c r="CJ873" s="42"/>
      <c r="CK873" s="42"/>
      <c r="CL873" s="42"/>
      <c r="CM873" s="42"/>
      <c r="CN873" s="42"/>
      <c r="CO873" s="42"/>
      <c r="CP873" s="42"/>
      <c r="CQ873" s="42"/>
      <c r="CR873" s="42"/>
      <c r="CS873" s="42"/>
      <c r="CT873" s="42"/>
      <c r="CU873" s="42"/>
      <c r="CV873" s="42"/>
      <c r="CW873" s="42"/>
      <c r="CX873" s="42"/>
      <c r="CY873" s="42"/>
      <c r="CZ873" s="42"/>
      <c r="DA873" s="42"/>
      <c r="DB873" s="42"/>
      <c r="DC873" s="42"/>
      <c r="DD873" s="42"/>
      <c r="DE873" s="42"/>
      <c r="DF873" s="42"/>
      <c r="DG873" s="42"/>
      <c r="DH873" s="42"/>
      <c r="DI873" s="42"/>
      <c r="DJ873" s="42"/>
      <c r="DK873" s="42"/>
      <c r="DL873" s="42"/>
      <c r="DM873" s="42"/>
      <c r="DN873" s="42"/>
      <c r="DO873" s="42"/>
      <c r="DP873" s="42"/>
      <c r="DQ873" s="42"/>
      <c r="DR873" s="42"/>
      <c r="DS873" s="42"/>
      <c r="DT873" s="42"/>
      <c r="DU873" s="42"/>
      <c r="DV873" s="42"/>
      <c r="DW873" s="42"/>
      <c r="DX873" s="42"/>
      <c r="DY873" s="42"/>
      <c r="DZ873" s="42"/>
      <c r="EA873" s="42"/>
      <c r="EB873" s="42"/>
      <c r="EC873" s="42"/>
      <c r="ED873" s="42"/>
      <c r="EE873" s="42"/>
      <c r="EF873" s="42"/>
      <c r="EG873" s="42"/>
      <c r="EH873" s="42"/>
      <c r="EI873" s="42"/>
      <c r="EJ873" s="42"/>
      <c r="EK873" s="42"/>
      <c r="EL873" s="42"/>
      <c r="EM873" s="42"/>
      <c r="EN873" s="42"/>
      <c r="EO873" s="42"/>
      <c r="EP873" s="42"/>
      <c r="EQ873" s="42"/>
      <c r="ER873" s="42"/>
      <c r="ES873" s="42"/>
      <c r="ET873" s="42"/>
      <c r="EU873" s="42"/>
      <c r="EV873" s="42"/>
      <c r="EW873" s="42"/>
      <c r="EX873" s="42"/>
      <c r="EY873" s="42"/>
      <c r="EZ873" s="42"/>
      <c r="FA873" s="42"/>
      <c r="FB873" s="42"/>
      <c r="FC873" s="42"/>
      <c r="FD873" s="42"/>
      <c r="FE873" s="42"/>
      <c r="FF873" s="42"/>
      <c r="FG873" s="42"/>
      <c r="FH873" s="42"/>
      <c r="FI873" s="42"/>
      <c r="FJ873" s="42"/>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row>
    <row r="874" spans="1:256" ht="13.8" x14ac:dyDescent="0.3">
      <c r="A874" s="42"/>
      <c r="B874" s="42"/>
      <c r="C874" s="42"/>
      <c r="D874" s="42"/>
      <c r="E874" s="42"/>
      <c r="F874" s="42"/>
      <c r="G874" s="42"/>
      <c r="H874" s="42"/>
      <c r="I874" s="42"/>
      <c r="J874" s="42"/>
      <c r="K874" s="42"/>
      <c r="L874" s="42"/>
      <c r="M874" s="42"/>
      <c r="N874" s="42"/>
      <c r="O874" s="42"/>
      <c r="P874" s="42"/>
      <c r="Q874" s="42"/>
      <c r="R874" s="42"/>
      <c r="S874" s="42"/>
      <c r="T874" s="42"/>
      <c r="U874" s="194"/>
      <c r="V874" s="42"/>
      <c r="W874" s="42"/>
      <c r="X874" s="42"/>
      <c r="Y874" s="42"/>
      <c r="Z874" s="42"/>
      <c r="AA874" s="42"/>
      <c r="AB874" s="195"/>
      <c r="AC874" s="42"/>
      <c r="AD874" s="42"/>
      <c r="AE874" s="195"/>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c r="BM874" s="42"/>
      <c r="BN874" s="42"/>
      <c r="BO874" s="42"/>
      <c r="BP874" s="42"/>
      <c r="BQ874" s="42"/>
      <c r="BR874" s="42"/>
      <c r="BS874" s="42"/>
      <c r="BT874" s="42"/>
      <c r="BU874" s="42"/>
      <c r="BV874" s="42"/>
      <c r="BW874" s="42"/>
      <c r="BX874" s="42"/>
      <c r="BY874" s="42"/>
      <c r="BZ874" s="42"/>
      <c r="CA874" s="42"/>
      <c r="CB874" s="42"/>
      <c r="CC874" s="42"/>
      <c r="CD874" s="42"/>
      <c r="CE874" s="42"/>
      <c r="CF874" s="42"/>
      <c r="CG874" s="42"/>
      <c r="CH874" s="42"/>
      <c r="CI874" s="42"/>
      <c r="CJ874" s="42"/>
      <c r="CK874" s="42"/>
      <c r="CL874" s="42"/>
      <c r="CM874" s="42"/>
      <c r="CN874" s="42"/>
      <c r="CO874" s="42"/>
      <c r="CP874" s="42"/>
      <c r="CQ874" s="42"/>
      <c r="CR874" s="42"/>
      <c r="CS874" s="42"/>
      <c r="CT874" s="42"/>
      <c r="CU874" s="42"/>
      <c r="CV874" s="42"/>
      <c r="CW874" s="42"/>
      <c r="CX874" s="42"/>
      <c r="CY874" s="42"/>
      <c r="CZ874" s="42"/>
      <c r="DA874" s="42"/>
      <c r="DB874" s="42"/>
      <c r="DC874" s="42"/>
      <c r="DD874" s="42"/>
      <c r="DE874" s="42"/>
      <c r="DF874" s="42"/>
      <c r="DG874" s="42"/>
      <c r="DH874" s="42"/>
      <c r="DI874" s="42"/>
      <c r="DJ874" s="42"/>
      <c r="DK874" s="42"/>
      <c r="DL874" s="42"/>
      <c r="DM874" s="42"/>
      <c r="DN874" s="42"/>
      <c r="DO874" s="42"/>
      <c r="DP874" s="42"/>
      <c r="DQ874" s="42"/>
      <c r="DR874" s="42"/>
      <c r="DS874" s="42"/>
      <c r="DT874" s="42"/>
      <c r="DU874" s="42"/>
      <c r="DV874" s="42"/>
      <c r="DW874" s="42"/>
      <c r="DX874" s="42"/>
      <c r="DY874" s="42"/>
      <c r="DZ874" s="42"/>
      <c r="EA874" s="42"/>
      <c r="EB874" s="42"/>
      <c r="EC874" s="42"/>
      <c r="ED874" s="42"/>
      <c r="EE874" s="42"/>
      <c r="EF874" s="42"/>
      <c r="EG874" s="42"/>
      <c r="EH874" s="42"/>
      <c r="EI874" s="42"/>
      <c r="EJ874" s="42"/>
      <c r="EK874" s="42"/>
      <c r="EL874" s="42"/>
      <c r="EM874" s="42"/>
      <c r="EN874" s="42"/>
      <c r="EO874" s="42"/>
      <c r="EP874" s="42"/>
      <c r="EQ874" s="42"/>
      <c r="ER874" s="42"/>
      <c r="ES874" s="42"/>
      <c r="ET874" s="42"/>
      <c r="EU874" s="42"/>
      <c r="EV874" s="42"/>
      <c r="EW874" s="42"/>
      <c r="EX874" s="42"/>
      <c r="EY874" s="42"/>
      <c r="EZ874" s="42"/>
      <c r="FA874" s="42"/>
      <c r="FB874" s="42"/>
      <c r="FC874" s="42"/>
      <c r="FD874" s="42"/>
      <c r="FE874" s="42"/>
      <c r="FF874" s="42"/>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row>
    <row r="875" spans="1:256" ht="13.8" x14ac:dyDescent="0.3">
      <c r="A875" s="42"/>
      <c r="B875" s="42"/>
      <c r="C875" s="42"/>
      <c r="D875" s="42"/>
      <c r="E875" s="42"/>
      <c r="F875" s="42"/>
      <c r="G875" s="42"/>
      <c r="H875" s="42"/>
      <c r="I875" s="42"/>
      <c r="J875" s="42"/>
      <c r="K875" s="42"/>
      <c r="L875" s="42"/>
      <c r="M875" s="42"/>
      <c r="N875" s="42"/>
      <c r="O875" s="42"/>
      <c r="P875" s="42"/>
      <c r="Q875" s="42"/>
      <c r="R875" s="42"/>
      <c r="S875" s="42"/>
      <c r="T875" s="42"/>
      <c r="U875" s="194"/>
      <c r="V875" s="42"/>
      <c r="W875" s="42"/>
      <c r="X875" s="42"/>
      <c r="Y875" s="42"/>
      <c r="Z875" s="42"/>
      <c r="AA875" s="42"/>
      <c r="AB875" s="195"/>
      <c r="AC875" s="42"/>
      <c r="AD875" s="42"/>
      <c r="AE875" s="195"/>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W875" s="42"/>
      <c r="BX875" s="42"/>
      <c r="BY875" s="42"/>
      <c r="BZ875" s="42"/>
      <c r="CA875" s="42"/>
      <c r="CB875" s="42"/>
      <c r="CC875" s="42"/>
      <c r="CD875" s="42"/>
      <c r="CE875" s="42"/>
      <c r="CF875" s="42"/>
      <c r="CG875" s="42"/>
      <c r="CH875" s="42"/>
      <c r="CI875" s="42"/>
      <c r="CJ875" s="42"/>
      <c r="CK875" s="42"/>
      <c r="CL875" s="42"/>
      <c r="CM875" s="42"/>
      <c r="CN875" s="42"/>
      <c r="CO875" s="42"/>
      <c r="CP875" s="42"/>
      <c r="CQ875" s="42"/>
      <c r="CR875" s="42"/>
      <c r="CS875" s="42"/>
      <c r="CT875" s="42"/>
      <c r="CU875" s="42"/>
      <c r="CV875" s="42"/>
      <c r="CW875" s="42"/>
      <c r="CX875" s="42"/>
      <c r="CY875" s="42"/>
      <c r="CZ875" s="42"/>
      <c r="DA875" s="42"/>
      <c r="DB875" s="42"/>
      <c r="DC875" s="42"/>
      <c r="DD875" s="42"/>
      <c r="DE875" s="42"/>
      <c r="DF875" s="42"/>
      <c r="DG875" s="42"/>
      <c r="DH875" s="42"/>
      <c r="DI875" s="42"/>
      <c r="DJ875" s="42"/>
      <c r="DK875" s="42"/>
      <c r="DL875" s="42"/>
      <c r="DM875" s="42"/>
      <c r="DN875" s="42"/>
      <c r="DO875" s="42"/>
      <c r="DP875" s="42"/>
      <c r="DQ875" s="42"/>
      <c r="DR875" s="42"/>
      <c r="DS875" s="42"/>
      <c r="DT875" s="42"/>
      <c r="DU875" s="42"/>
      <c r="DV875" s="42"/>
      <c r="DW875" s="42"/>
      <c r="DX875" s="42"/>
      <c r="DY875" s="42"/>
      <c r="DZ875" s="42"/>
      <c r="EA875" s="42"/>
      <c r="EB875" s="42"/>
      <c r="EC875" s="42"/>
      <c r="ED875" s="42"/>
      <c r="EE875" s="42"/>
      <c r="EF875" s="42"/>
      <c r="EG875" s="42"/>
      <c r="EH875" s="42"/>
      <c r="EI875" s="42"/>
      <c r="EJ875" s="42"/>
      <c r="EK875" s="42"/>
      <c r="EL875" s="42"/>
      <c r="EM875" s="42"/>
      <c r="EN875" s="42"/>
      <c r="EO875" s="42"/>
      <c r="EP875" s="42"/>
      <c r="EQ875" s="42"/>
      <c r="ER875" s="42"/>
      <c r="ES875" s="42"/>
      <c r="ET875" s="42"/>
      <c r="EU875" s="42"/>
      <c r="EV875" s="42"/>
      <c r="EW875" s="42"/>
      <c r="EX875" s="42"/>
      <c r="EY875" s="42"/>
      <c r="EZ875" s="42"/>
      <c r="FA875" s="42"/>
      <c r="FB875" s="42"/>
      <c r="FC875" s="42"/>
      <c r="FD875" s="42"/>
      <c r="FE875" s="42"/>
      <c r="FF875" s="42"/>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row>
    <row r="876" spans="1:256" ht="13.8" x14ac:dyDescent="0.3">
      <c r="A876" s="42"/>
      <c r="B876" s="42"/>
      <c r="C876" s="42"/>
      <c r="D876" s="42"/>
      <c r="E876" s="42"/>
      <c r="F876" s="42"/>
      <c r="G876" s="42"/>
      <c r="H876" s="42"/>
      <c r="I876" s="42"/>
      <c r="J876" s="42"/>
      <c r="K876" s="42"/>
      <c r="L876" s="42"/>
      <c r="M876" s="42"/>
      <c r="N876" s="42"/>
      <c r="O876" s="42"/>
      <c r="P876" s="42"/>
      <c r="Q876" s="42"/>
      <c r="R876" s="42"/>
      <c r="S876" s="42"/>
      <c r="T876" s="42"/>
      <c r="U876" s="194"/>
      <c r="V876" s="42"/>
      <c r="W876" s="42"/>
      <c r="X876" s="42"/>
      <c r="Y876" s="42"/>
      <c r="Z876" s="42"/>
      <c r="AA876" s="42"/>
      <c r="AB876" s="195"/>
      <c r="AC876" s="42"/>
      <c r="AD876" s="42"/>
      <c r="AE876" s="195"/>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c r="BM876" s="42"/>
      <c r="BN876" s="42"/>
      <c r="BO876" s="42"/>
      <c r="BP876" s="42"/>
      <c r="BQ876" s="42"/>
      <c r="BR876" s="42"/>
      <c r="BS876" s="42"/>
      <c r="BT876" s="42"/>
      <c r="BU876" s="42"/>
      <c r="BV876" s="42"/>
      <c r="BW876" s="42"/>
      <c r="BX876" s="42"/>
      <c r="BY876" s="42"/>
      <c r="BZ876" s="42"/>
      <c r="CA876" s="42"/>
      <c r="CB876" s="42"/>
      <c r="CC876" s="42"/>
      <c r="CD876" s="42"/>
      <c r="CE876" s="42"/>
      <c r="CF876" s="42"/>
      <c r="CG876" s="42"/>
      <c r="CH876" s="42"/>
      <c r="CI876" s="42"/>
      <c r="CJ876" s="42"/>
      <c r="CK876" s="42"/>
      <c r="CL876" s="42"/>
      <c r="CM876" s="42"/>
      <c r="CN876" s="42"/>
      <c r="CO876" s="42"/>
      <c r="CP876" s="42"/>
      <c r="CQ876" s="42"/>
      <c r="CR876" s="42"/>
      <c r="CS876" s="42"/>
      <c r="CT876" s="42"/>
      <c r="CU876" s="42"/>
      <c r="CV876" s="42"/>
      <c r="CW876" s="42"/>
      <c r="CX876" s="42"/>
      <c r="CY876" s="42"/>
      <c r="CZ876" s="42"/>
      <c r="DA876" s="42"/>
      <c r="DB876" s="42"/>
      <c r="DC876" s="42"/>
      <c r="DD876" s="42"/>
      <c r="DE876" s="42"/>
      <c r="DF876" s="42"/>
      <c r="DG876" s="42"/>
      <c r="DH876" s="42"/>
      <c r="DI876" s="42"/>
      <c r="DJ876" s="42"/>
      <c r="DK876" s="42"/>
      <c r="DL876" s="42"/>
      <c r="DM876" s="42"/>
      <c r="DN876" s="42"/>
      <c r="DO876" s="42"/>
      <c r="DP876" s="42"/>
      <c r="DQ876" s="42"/>
      <c r="DR876" s="42"/>
      <c r="DS876" s="42"/>
      <c r="DT876" s="42"/>
      <c r="DU876" s="42"/>
      <c r="DV876" s="42"/>
      <c r="DW876" s="42"/>
      <c r="DX876" s="42"/>
      <c r="DY876" s="42"/>
      <c r="DZ876" s="42"/>
      <c r="EA876" s="42"/>
      <c r="EB876" s="42"/>
      <c r="EC876" s="42"/>
      <c r="ED876" s="42"/>
      <c r="EE876" s="42"/>
      <c r="EF876" s="42"/>
      <c r="EG876" s="42"/>
      <c r="EH876" s="42"/>
      <c r="EI876" s="42"/>
      <c r="EJ876" s="42"/>
      <c r="EK876" s="42"/>
      <c r="EL876" s="42"/>
      <c r="EM876" s="42"/>
      <c r="EN876" s="42"/>
      <c r="EO876" s="42"/>
      <c r="EP876" s="42"/>
      <c r="EQ876" s="42"/>
      <c r="ER876" s="42"/>
      <c r="ES876" s="42"/>
      <c r="ET876" s="42"/>
      <c r="EU876" s="42"/>
      <c r="EV876" s="42"/>
      <c r="EW876" s="42"/>
      <c r="EX876" s="42"/>
      <c r="EY876" s="42"/>
      <c r="EZ876" s="42"/>
      <c r="FA876" s="42"/>
      <c r="FB876" s="42"/>
      <c r="FC876" s="42"/>
      <c r="FD876" s="42"/>
      <c r="FE876" s="42"/>
      <c r="FF876" s="42"/>
      <c r="FG876" s="42"/>
      <c r="FH876" s="42"/>
      <c r="FI876" s="42"/>
      <c r="FJ876" s="42"/>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row>
    <row r="877" spans="1:256" ht="13.8" x14ac:dyDescent="0.3">
      <c r="A877" s="42"/>
      <c r="B877" s="42"/>
      <c r="C877" s="42"/>
      <c r="D877" s="42"/>
      <c r="E877" s="42"/>
      <c r="F877" s="42"/>
      <c r="G877" s="42"/>
      <c r="H877" s="42"/>
      <c r="I877" s="42"/>
      <c r="J877" s="42"/>
      <c r="K877" s="42"/>
      <c r="L877" s="42"/>
      <c r="M877" s="42"/>
      <c r="N877" s="42"/>
      <c r="O877" s="42"/>
      <c r="P877" s="42"/>
      <c r="Q877" s="42"/>
      <c r="R877" s="42"/>
      <c r="S877" s="42"/>
      <c r="T877" s="42"/>
      <c r="U877" s="194"/>
      <c r="V877" s="42"/>
      <c r="W877" s="42"/>
      <c r="X877" s="42"/>
      <c r="Y877" s="42"/>
      <c r="Z877" s="42"/>
      <c r="AA877" s="42"/>
      <c r="AB877" s="195"/>
      <c r="AC877" s="42"/>
      <c r="AD877" s="42"/>
      <c r="AE877" s="195"/>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W877" s="42"/>
      <c r="BX877" s="42"/>
      <c r="BY877" s="42"/>
      <c r="BZ877" s="42"/>
      <c r="CA877" s="42"/>
      <c r="CB877" s="42"/>
      <c r="CC877" s="42"/>
      <c r="CD877" s="42"/>
      <c r="CE877" s="42"/>
      <c r="CF877" s="42"/>
      <c r="CG877" s="42"/>
      <c r="CH877" s="42"/>
      <c r="CI877" s="42"/>
      <c r="CJ877" s="42"/>
      <c r="CK877" s="42"/>
      <c r="CL877" s="42"/>
      <c r="CM877" s="42"/>
      <c r="CN877" s="42"/>
      <c r="CO877" s="42"/>
      <c r="CP877" s="42"/>
      <c r="CQ877" s="42"/>
      <c r="CR877" s="42"/>
      <c r="CS877" s="42"/>
      <c r="CT877" s="42"/>
      <c r="CU877" s="42"/>
      <c r="CV877" s="42"/>
      <c r="CW877" s="42"/>
      <c r="CX877" s="42"/>
      <c r="CY877" s="42"/>
      <c r="CZ877" s="42"/>
      <c r="DA877" s="42"/>
      <c r="DB877" s="42"/>
      <c r="DC877" s="42"/>
      <c r="DD877" s="42"/>
      <c r="DE877" s="42"/>
      <c r="DF877" s="42"/>
      <c r="DG877" s="42"/>
      <c r="DH877" s="42"/>
      <c r="DI877" s="42"/>
      <c r="DJ877" s="42"/>
      <c r="DK877" s="42"/>
      <c r="DL877" s="42"/>
      <c r="DM877" s="42"/>
      <c r="DN877" s="42"/>
      <c r="DO877" s="42"/>
      <c r="DP877" s="42"/>
      <c r="DQ877" s="42"/>
      <c r="DR877" s="42"/>
      <c r="DS877" s="42"/>
      <c r="DT877" s="42"/>
      <c r="DU877" s="42"/>
      <c r="DV877" s="42"/>
      <c r="DW877" s="42"/>
      <c r="DX877" s="42"/>
      <c r="DY877" s="42"/>
      <c r="DZ877" s="42"/>
      <c r="EA877" s="42"/>
      <c r="EB877" s="42"/>
      <c r="EC877" s="42"/>
      <c r="ED877" s="42"/>
      <c r="EE877" s="42"/>
      <c r="EF877" s="42"/>
      <c r="EG877" s="42"/>
      <c r="EH877" s="42"/>
      <c r="EI877" s="42"/>
      <c r="EJ877" s="42"/>
      <c r="EK877" s="42"/>
      <c r="EL877" s="42"/>
      <c r="EM877" s="42"/>
      <c r="EN877" s="42"/>
      <c r="EO877" s="42"/>
      <c r="EP877" s="42"/>
      <c r="EQ877" s="42"/>
      <c r="ER877" s="42"/>
      <c r="ES877" s="42"/>
      <c r="ET877" s="42"/>
      <c r="EU877" s="42"/>
      <c r="EV877" s="42"/>
      <c r="EW877" s="42"/>
      <c r="EX877" s="42"/>
      <c r="EY877" s="42"/>
      <c r="EZ877" s="42"/>
      <c r="FA877" s="42"/>
      <c r="FB877" s="42"/>
      <c r="FC877" s="42"/>
      <c r="FD877" s="42"/>
      <c r="FE877" s="42"/>
      <c r="FF877" s="42"/>
      <c r="FG877" s="42"/>
      <c r="FH877" s="42"/>
      <c r="FI877" s="42"/>
      <c r="FJ877" s="42"/>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row>
    <row r="878" spans="1:256" ht="13.8" x14ac:dyDescent="0.3">
      <c r="A878" s="42"/>
      <c r="B878" s="42"/>
      <c r="C878" s="42"/>
      <c r="D878" s="42"/>
      <c r="E878" s="42"/>
      <c r="F878" s="42"/>
      <c r="G878" s="42"/>
      <c r="H878" s="42"/>
      <c r="I878" s="42"/>
      <c r="J878" s="42"/>
      <c r="K878" s="42"/>
      <c r="L878" s="42"/>
      <c r="M878" s="42"/>
      <c r="N878" s="42"/>
      <c r="O878" s="42"/>
      <c r="P878" s="42"/>
      <c r="Q878" s="42"/>
      <c r="R878" s="42"/>
      <c r="S878" s="42"/>
      <c r="T878" s="42"/>
      <c r="U878" s="194"/>
      <c r="V878" s="42"/>
      <c r="W878" s="42"/>
      <c r="X878" s="42"/>
      <c r="Y878" s="42"/>
      <c r="Z878" s="42"/>
      <c r="AA878" s="42"/>
      <c r="AB878" s="195"/>
      <c r="AC878" s="42"/>
      <c r="AD878" s="42"/>
      <c r="AE878" s="195"/>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c r="BM878" s="42"/>
      <c r="BN878" s="42"/>
      <c r="BO878" s="42"/>
      <c r="BP878" s="42"/>
      <c r="BQ878" s="42"/>
      <c r="BR878" s="42"/>
      <c r="BS878" s="42"/>
      <c r="BT878" s="42"/>
      <c r="BU878" s="42"/>
      <c r="BV878" s="42"/>
      <c r="BW878" s="42"/>
      <c r="BX878" s="42"/>
      <c r="BY878" s="42"/>
      <c r="BZ878" s="42"/>
      <c r="CA878" s="42"/>
      <c r="CB878" s="42"/>
      <c r="CC878" s="42"/>
      <c r="CD878" s="42"/>
      <c r="CE878" s="42"/>
      <c r="CF878" s="42"/>
      <c r="CG878" s="42"/>
      <c r="CH878" s="42"/>
      <c r="CI878" s="42"/>
      <c r="CJ878" s="42"/>
      <c r="CK878" s="42"/>
      <c r="CL878" s="42"/>
      <c r="CM878" s="42"/>
      <c r="CN878" s="42"/>
      <c r="CO878" s="42"/>
      <c r="CP878" s="42"/>
      <c r="CQ878" s="42"/>
      <c r="CR878" s="42"/>
      <c r="CS878" s="42"/>
      <c r="CT878" s="42"/>
      <c r="CU878" s="42"/>
      <c r="CV878" s="42"/>
      <c r="CW878" s="42"/>
      <c r="CX878" s="42"/>
      <c r="CY878" s="42"/>
      <c r="CZ878" s="42"/>
      <c r="DA878" s="42"/>
      <c r="DB878" s="42"/>
      <c r="DC878" s="42"/>
      <c r="DD878" s="42"/>
      <c r="DE878" s="42"/>
      <c r="DF878" s="42"/>
      <c r="DG878" s="42"/>
      <c r="DH878" s="42"/>
      <c r="DI878" s="42"/>
      <c r="DJ878" s="42"/>
      <c r="DK878" s="42"/>
      <c r="DL878" s="42"/>
      <c r="DM878" s="42"/>
      <c r="DN878" s="42"/>
      <c r="DO878" s="42"/>
      <c r="DP878" s="42"/>
      <c r="DQ878" s="42"/>
      <c r="DR878" s="42"/>
      <c r="DS878" s="42"/>
      <c r="DT878" s="42"/>
      <c r="DU878" s="42"/>
      <c r="DV878" s="42"/>
      <c r="DW878" s="42"/>
      <c r="DX878" s="42"/>
      <c r="DY878" s="42"/>
      <c r="DZ878" s="42"/>
      <c r="EA878" s="42"/>
      <c r="EB878" s="42"/>
      <c r="EC878" s="42"/>
      <c r="ED878" s="42"/>
      <c r="EE878" s="42"/>
      <c r="EF878" s="42"/>
      <c r="EG878" s="42"/>
      <c r="EH878" s="42"/>
      <c r="EI878" s="42"/>
      <c r="EJ878" s="42"/>
      <c r="EK878" s="42"/>
      <c r="EL878" s="42"/>
      <c r="EM878" s="42"/>
      <c r="EN878" s="42"/>
      <c r="EO878" s="42"/>
      <c r="EP878" s="42"/>
      <c r="EQ878" s="42"/>
      <c r="ER878" s="42"/>
      <c r="ES878" s="42"/>
      <c r="ET878" s="42"/>
      <c r="EU878" s="42"/>
      <c r="EV878" s="42"/>
      <c r="EW878" s="42"/>
      <c r="EX878" s="42"/>
      <c r="EY878" s="42"/>
      <c r="EZ878" s="42"/>
      <c r="FA878" s="42"/>
      <c r="FB878" s="42"/>
      <c r="FC878" s="42"/>
      <c r="FD878" s="42"/>
      <c r="FE878" s="42"/>
      <c r="FF878" s="42"/>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row>
    <row r="879" spans="1:256" ht="13.8" x14ac:dyDescent="0.3">
      <c r="A879" s="42"/>
      <c r="B879" s="42"/>
      <c r="C879" s="42"/>
      <c r="D879" s="42"/>
      <c r="E879" s="42"/>
      <c r="F879" s="42"/>
      <c r="G879" s="42"/>
      <c r="H879" s="42"/>
      <c r="I879" s="42"/>
      <c r="J879" s="42"/>
      <c r="K879" s="42"/>
      <c r="L879" s="42"/>
      <c r="M879" s="42"/>
      <c r="N879" s="42"/>
      <c r="O879" s="42"/>
      <c r="P879" s="42"/>
      <c r="Q879" s="42"/>
      <c r="R879" s="42"/>
      <c r="S879" s="42"/>
      <c r="T879" s="42"/>
      <c r="U879" s="194"/>
      <c r="V879" s="42"/>
      <c r="W879" s="42"/>
      <c r="X879" s="42"/>
      <c r="Y879" s="42"/>
      <c r="Z879" s="42"/>
      <c r="AA879" s="42"/>
      <c r="AB879" s="195"/>
      <c r="AC879" s="42"/>
      <c r="AD879" s="42"/>
      <c r="AE879" s="195"/>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c r="BP879" s="42"/>
      <c r="BQ879" s="42"/>
      <c r="BR879" s="42"/>
      <c r="BS879" s="42"/>
      <c r="BT879" s="42"/>
      <c r="BU879" s="42"/>
      <c r="BV879" s="42"/>
      <c r="BW879" s="42"/>
      <c r="BX879" s="42"/>
      <c r="BY879" s="42"/>
      <c r="BZ879" s="42"/>
      <c r="CA879" s="42"/>
      <c r="CB879" s="42"/>
      <c r="CC879" s="42"/>
      <c r="CD879" s="42"/>
      <c r="CE879" s="42"/>
      <c r="CF879" s="42"/>
      <c r="CG879" s="42"/>
      <c r="CH879" s="42"/>
      <c r="CI879" s="42"/>
      <c r="CJ879" s="42"/>
      <c r="CK879" s="42"/>
      <c r="CL879" s="42"/>
      <c r="CM879" s="42"/>
      <c r="CN879" s="42"/>
      <c r="CO879" s="42"/>
      <c r="CP879" s="42"/>
      <c r="CQ879" s="42"/>
      <c r="CR879" s="42"/>
      <c r="CS879" s="42"/>
      <c r="CT879" s="42"/>
      <c r="CU879" s="42"/>
      <c r="CV879" s="42"/>
      <c r="CW879" s="42"/>
      <c r="CX879" s="42"/>
      <c r="CY879" s="42"/>
      <c r="CZ879" s="42"/>
      <c r="DA879" s="42"/>
      <c r="DB879" s="42"/>
      <c r="DC879" s="42"/>
      <c r="DD879" s="42"/>
      <c r="DE879" s="42"/>
      <c r="DF879" s="42"/>
      <c r="DG879" s="42"/>
      <c r="DH879" s="42"/>
      <c r="DI879" s="42"/>
      <c r="DJ879" s="42"/>
      <c r="DK879" s="42"/>
      <c r="DL879" s="42"/>
      <c r="DM879" s="42"/>
      <c r="DN879" s="42"/>
      <c r="DO879" s="42"/>
      <c r="DP879" s="42"/>
      <c r="DQ879" s="42"/>
      <c r="DR879" s="42"/>
      <c r="DS879" s="42"/>
      <c r="DT879" s="42"/>
      <c r="DU879" s="42"/>
      <c r="DV879" s="42"/>
      <c r="DW879" s="42"/>
      <c r="DX879" s="42"/>
      <c r="DY879" s="42"/>
      <c r="DZ879" s="42"/>
      <c r="EA879" s="42"/>
      <c r="EB879" s="42"/>
      <c r="EC879" s="42"/>
      <c r="ED879" s="42"/>
      <c r="EE879" s="42"/>
      <c r="EF879" s="42"/>
      <c r="EG879" s="42"/>
      <c r="EH879" s="42"/>
      <c r="EI879" s="42"/>
      <c r="EJ879" s="42"/>
      <c r="EK879" s="42"/>
      <c r="EL879" s="42"/>
      <c r="EM879" s="42"/>
      <c r="EN879" s="42"/>
      <c r="EO879" s="42"/>
      <c r="EP879" s="42"/>
      <c r="EQ879" s="42"/>
      <c r="ER879" s="42"/>
      <c r="ES879" s="42"/>
      <c r="ET879" s="42"/>
      <c r="EU879" s="42"/>
      <c r="EV879" s="42"/>
      <c r="EW879" s="42"/>
      <c r="EX879" s="42"/>
      <c r="EY879" s="42"/>
      <c r="EZ879" s="42"/>
      <c r="FA879" s="42"/>
      <c r="FB879" s="42"/>
      <c r="FC879" s="42"/>
      <c r="FD879" s="42"/>
      <c r="FE879" s="42"/>
      <c r="FF879" s="42"/>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row>
    <row r="880" spans="1:256" ht="13.8" x14ac:dyDescent="0.3">
      <c r="A880" s="42"/>
      <c r="B880" s="42"/>
      <c r="C880" s="42"/>
      <c r="D880" s="42"/>
      <c r="E880" s="42"/>
      <c r="F880" s="42"/>
      <c r="G880" s="42"/>
      <c r="H880" s="42"/>
      <c r="I880" s="42"/>
      <c r="J880" s="42"/>
      <c r="K880" s="42"/>
      <c r="L880" s="42"/>
      <c r="M880" s="42"/>
      <c r="N880" s="42"/>
      <c r="O880" s="42"/>
      <c r="P880" s="42"/>
      <c r="Q880" s="42"/>
      <c r="R880" s="42"/>
      <c r="S880" s="42"/>
      <c r="T880" s="42"/>
      <c r="U880" s="194"/>
      <c r="V880" s="42"/>
      <c r="W880" s="42"/>
      <c r="X880" s="42"/>
      <c r="Y880" s="42"/>
      <c r="Z880" s="42"/>
      <c r="AA880" s="42"/>
      <c r="AB880" s="195"/>
      <c r="AC880" s="42"/>
      <c r="AD880" s="42"/>
      <c r="AE880" s="195"/>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c r="BM880" s="42"/>
      <c r="BN880" s="42"/>
      <c r="BO880" s="42"/>
      <c r="BP880" s="42"/>
      <c r="BQ880" s="42"/>
      <c r="BR880" s="42"/>
      <c r="BS880" s="42"/>
      <c r="BT880" s="42"/>
      <c r="BU880" s="42"/>
      <c r="BV880" s="42"/>
      <c r="BW880" s="42"/>
      <c r="BX880" s="42"/>
      <c r="BY880" s="42"/>
      <c r="BZ880" s="42"/>
      <c r="CA880" s="42"/>
      <c r="CB880" s="42"/>
      <c r="CC880" s="42"/>
      <c r="CD880" s="42"/>
      <c r="CE880" s="42"/>
      <c r="CF880" s="42"/>
      <c r="CG880" s="42"/>
      <c r="CH880" s="42"/>
      <c r="CI880" s="42"/>
      <c r="CJ880" s="42"/>
      <c r="CK880" s="42"/>
      <c r="CL880" s="42"/>
      <c r="CM880" s="42"/>
      <c r="CN880" s="42"/>
      <c r="CO880" s="42"/>
      <c r="CP880" s="42"/>
      <c r="CQ880" s="42"/>
      <c r="CR880" s="42"/>
      <c r="CS880" s="42"/>
      <c r="CT880" s="42"/>
      <c r="CU880" s="42"/>
      <c r="CV880" s="42"/>
      <c r="CW880" s="42"/>
      <c r="CX880" s="42"/>
      <c r="CY880" s="42"/>
      <c r="CZ880" s="42"/>
      <c r="DA880" s="42"/>
      <c r="DB880" s="42"/>
      <c r="DC880" s="42"/>
      <c r="DD880" s="42"/>
      <c r="DE880" s="42"/>
      <c r="DF880" s="42"/>
      <c r="DG880" s="42"/>
      <c r="DH880" s="42"/>
      <c r="DI880" s="42"/>
      <c r="DJ880" s="42"/>
      <c r="DK880" s="42"/>
      <c r="DL880" s="42"/>
      <c r="DM880" s="42"/>
      <c r="DN880" s="42"/>
      <c r="DO880" s="42"/>
      <c r="DP880" s="42"/>
      <c r="DQ880" s="42"/>
      <c r="DR880" s="42"/>
      <c r="DS880" s="42"/>
      <c r="DT880" s="42"/>
      <c r="DU880" s="42"/>
      <c r="DV880" s="42"/>
      <c r="DW880" s="42"/>
      <c r="DX880" s="42"/>
      <c r="DY880" s="42"/>
      <c r="DZ880" s="42"/>
      <c r="EA880" s="42"/>
      <c r="EB880" s="42"/>
      <c r="EC880" s="42"/>
      <c r="ED880" s="42"/>
      <c r="EE880" s="42"/>
      <c r="EF880" s="42"/>
      <c r="EG880" s="42"/>
      <c r="EH880" s="42"/>
      <c r="EI880" s="42"/>
      <c r="EJ880" s="42"/>
      <c r="EK880" s="42"/>
      <c r="EL880" s="42"/>
      <c r="EM880" s="42"/>
      <c r="EN880" s="42"/>
      <c r="EO880" s="42"/>
      <c r="EP880" s="42"/>
      <c r="EQ880" s="42"/>
      <c r="ER880" s="42"/>
      <c r="ES880" s="42"/>
      <c r="ET880" s="42"/>
      <c r="EU880" s="42"/>
      <c r="EV880" s="42"/>
      <c r="EW880" s="42"/>
      <c r="EX880" s="42"/>
      <c r="EY880" s="42"/>
      <c r="EZ880" s="42"/>
      <c r="FA880" s="42"/>
      <c r="FB880" s="42"/>
      <c r="FC880" s="42"/>
      <c r="FD880" s="42"/>
      <c r="FE880" s="42"/>
      <c r="FF880" s="42"/>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row>
    <row r="881" spans="1:256" ht="13.8" x14ac:dyDescent="0.3">
      <c r="A881" s="42"/>
      <c r="B881" s="42"/>
      <c r="C881" s="42"/>
      <c r="D881" s="42"/>
      <c r="E881" s="42"/>
      <c r="F881" s="42"/>
      <c r="G881" s="42"/>
      <c r="H881" s="42"/>
      <c r="I881" s="42"/>
      <c r="J881" s="42"/>
      <c r="K881" s="42"/>
      <c r="L881" s="42"/>
      <c r="M881" s="42"/>
      <c r="N881" s="42"/>
      <c r="O881" s="42"/>
      <c r="P881" s="42"/>
      <c r="Q881" s="42"/>
      <c r="R881" s="42"/>
      <c r="S881" s="42"/>
      <c r="T881" s="42"/>
      <c r="U881" s="194"/>
      <c r="V881" s="42"/>
      <c r="W881" s="42"/>
      <c r="X881" s="42"/>
      <c r="Y881" s="42"/>
      <c r="Z881" s="42"/>
      <c r="AA881" s="42"/>
      <c r="AB881" s="195"/>
      <c r="AC881" s="42"/>
      <c r="AD881" s="42"/>
      <c r="AE881" s="195"/>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c r="BM881" s="42"/>
      <c r="BN881" s="42"/>
      <c r="BO881" s="42"/>
      <c r="BP881" s="42"/>
      <c r="BQ881" s="42"/>
      <c r="BR881" s="42"/>
      <c r="BS881" s="42"/>
      <c r="BT881" s="42"/>
      <c r="BU881" s="42"/>
      <c r="BV881" s="42"/>
      <c r="BW881" s="42"/>
      <c r="BX881" s="42"/>
      <c r="BY881" s="42"/>
      <c r="BZ881" s="42"/>
      <c r="CA881" s="42"/>
      <c r="CB881" s="42"/>
      <c r="CC881" s="42"/>
      <c r="CD881" s="42"/>
      <c r="CE881" s="42"/>
      <c r="CF881" s="42"/>
      <c r="CG881" s="42"/>
      <c r="CH881" s="42"/>
      <c r="CI881" s="42"/>
      <c r="CJ881" s="42"/>
      <c r="CK881" s="42"/>
      <c r="CL881" s="42"/>
      <c r="CM881" s="42"/>
      <c r="CN881" s="42"/>
      <c r="CO881" s="42"/>
      <c r="CP881" s="42"/>
      <c r="CQ881" s="42"/>
      <c r="CR881" s="42"/>
      <c r="CS881" s="42"/>
      <c r="CT881" s="42"/>
      <c r="CU881" s="42"/>
      <c r="CV881" s="42"/>
      <c r="CW881" s="42"/>
      <c r="CX881" s="42"/>
      <c r="CY881" s="42"/>
      <c r="CZ881" s="42"/>
      <c r="DA881" s="42"/>
      <c r="DB881" s="42"/>
      <c r="DC881" s="42"/>
      <c r="DD881" s="42"/>
      <c r="DE881" s="42"/>
      <c r="DF881" s="42"/>
      <c r="DG881" s="42"/>
      <c r="DH881" s="42"/>
      <c r="DI881" s="42"/>
      <c r="DJ881" s="42"/>
      <c r="DK881" s="42"/>
      <c r="DL881" s="42"/>
      <c r="DM881" s="42"/>
      <c r="DN881" s="42"/>
      <c r="DO881" s="42"/>
      <c r="DP881" s="42"/>
      <c r="DQ881" s="42"/>
      <c r="DR881" s="42"/>
      <c r="DS881" s="42"/>
      <c r="DT881" s="42"/>
      <c r="DU881" s="42"/>
      <c r="DV881" s="42"/>
      <c r="DW881" s="42"/>
      <c r="DX881" s="42"/>
      <c r="DY881" s="42"/>
      <c r="DZ881" s="42"/>
      <c r="EA881" s="42"/>
      <c r="EB881" s="42"/>
      <c r="EC881" s="42"/>
      <c r="ED881" s="42"/>
      <c r="EE881" s="42"/>
      <c r="EF881" s="42"/>
      <c r="EG881" s="42"/>
      <c r="EH881" s="42"/>
      <c r="EI881" s="42"/>
      <c r="EJ881" s="42"/>
      <c r="EK881" s="42"/>
      <c r="EL881" s="42"/>
      <c r="EM881" s="42"/>
      <c r="EN881" s="42"/>
      <c r="EO881" s="42"/>
      <c r="EP881" s="42"/>
      <c r="EQ881" s="42"/>
      <c r="ER881" s="42"/>
      <c r="ES881" s="42"/>
      <c r="ET881" s="42"/>
      <c r="EU881" s="42"/>
      <c r="EV881" s="42"/>
      <c r="EW881" s="42"/>
      <c r="EX881" s="42"/>
      <c r="EY881" s="42"/>
      <c r="EZ881" s="42"/>
      <c r="FA881" s="42"/>
      <c r="FB881" s="42"/>
      <c r="FC881" s="42"/>
      <c r="FD881" s="42"/>
      <c r="FE881" s="42"/>
      <c r="FF881" s="42"/>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row>
    <row r="882" spans="1:256" ht="13.8" x14ac:dyDescent="0.3">
      <c r="A882" s="42"/>
      <c r="B882" s="42"/>
      <c r="C882" s="42"/>
      <c r="D882" s="42"/>
      <c r="E882" s="42"/>
      <c r="F882" s="42"/>
      <c r="G882" s="42"/>
      <c r="H882" s="42"/>
      <c r="I882" s="42"/>
      <c r="J882" s="42"/>
      <c r="K882" s="42"/>
      <c r="L882" s="42"/>
      <c r="M882" s="42"/>
      <c r="N882" s="42"/>
      <c r="O882" s="42"/>
      <c r="P882" s="42"/>
      <c r="Q882" s="42"/>
      <c r="R882" s="42"/>
      <c r="S882" s="42"/>
      <c r="T882" s="42"/>
      <c r="U882" s="194"/>
      <c r="V882" s="42"/>
      <c r="W882" s="42"/>
      <c r="X882" s="42"/>
      <c r="Y882" s="42"/>
      <c r="Z882" s="42"/>
      <c r="AA882" s="42"/>
      <c r="AB882" s="195"/>
      <c r="AC882" s="42"/>
      <c r="AD882" s="42"/>
      <c r="AE882" s="195"/>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c r="BM882" s="42"/>
      <c r="BN882" s="42"/>
      <c r="BO882" s="42"/>
      <c r="BP882" s="42"/>
      <c r="BQ882" s="42"/>
      <c r="BR882" s="42"/>
      <c r="BS882" s="42"/>
      <c r="BT882" s="42"/>
      <c r="BU882" s="42"/>
      <c r="BV882" s="42"/>
      <c r="BW882" s="42"/>
      <c r="BX882" s="42"/>
      <c r="BY882" s="42"/>
      <c r="BZ882" s="42"/>
      <c r="CA882" s="42"/>
      <c r="CB882" s="42"/>
      <c r="CC882" s="42"/>
      <c r="CD882" s="42"/>
      <c r="CE882" s="42"/>
      <c r="CF882" s="42"/>
      <c r="CG882" s="42"/>
      <c r="CH882" s="42"/>
      <c r="CI882" s="42"/>
      <c r="CJ882" s="42"/>
      <c r="CK882" s="42"/>
      <c r="CL882" s="42"/>
      <c r="CM882" s="42"/>
      <c r="CN882" s="42"/>
      <c r="CO882" s="42"/>
      <c r="CP882" s="42"/>
      <c r="CQ882" s="42"/>
      <c r="CR882" s="42"/>
      <c r="CS882" s="42"/>
      <c r="CT882" s="42"/>
      <c r="CU882" s="42"/>
      <c r="CV882" s="42"/>
      <c r="CW882" s="42"/>
      <c r="CX882" s="42"/>
      <c r="CY882" s="42"/>
      <c r="CZ882" s="42"/>
      <c r="DA882" s="42"/>
      <c r="DB882" s="42"/>
      <c r="DC882" s="42"/>
      <c r="DD882" s="42"/>
      <c r="DE882" s="42"/>
      <c r="DF882" s="42"/>
      <c r="DG882" s="42"/>
      <c r="DH882" s="42"/>
      <c r="DI882" s="42"/>
      <c r="DJ882" s="42"/>
      <c r="DK882" s="42"/>
      <c r="DL882" s="42"/>
      <c r="DM882" s="42"/>
      <c r="DN882" s="42"/>
      <c r="DO882" s="42"/>
      <c r="DP882" s="42"/>
      <c r="DQ882" s="42"/>
      <c r="DR882" s="42"/>
      <c r="DS882" s="42"/>
      <c r="DT882" s="42"/>
      <c r="DU882" s="42"/>
      <c r="DV882" s="42"/>
      <c r="DW882" s="42"/>
      <c r="DX882" s="42"/>
      <c r="DY882" s="42"/>
      <c r="DZ882" s="42"/>
      <c r="EA882" s="42"/>
      <c r="EB882" s="42"/>
      <c r="EC882" s="42"/>
      <c r="ED882" s="42"/>
      <c r="EE882" s="42"/>
      <c r="EF882" s="42"/>
      <c r="EG882" s="42"/>
      <c r="EH882" s="42"/>
      <c r="EI882" s="42"/>
      <c r="EJ882" s="42"/>
      <c r="EK882" s="42"/>
      <c r="EL882" s="42"/>
      <c r="EM882" s="42"/>
      <c r="EN882" s="42"/>
      <c r="EO882" s="42"/>
      <c r="EP882" s="42"/>
      <c r="EQ882" s="42"/>
      <c r="ER882" s="42"/>
      <c r="ES882" s="42"/>
      <c r="ET882" s="42"/>
      <c r="EU882" s="42"/>
      <c r="EV882" s="42"/>
      <c r="EW882" s="42"/>
      <c r="EX882" s="42"/>
      <c r="EY882" s="42"/>
      <c r="EZ882" s="42"/>
      <c r="FA882" s="42"/>
      <c r="FB882" s="42"/>
      <c r="FC882" s="42"/>
      <c r="FD882" s="42"/>
      <c r="FE882" s="42"/>
      <c r="FF882" s="42"/>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row>
    <row r="883" spans="1:256" ht="13.8" x14ac:dyDescent="0.3">
      <c r="A883" s="42"/>
      <c r="B883" s="42"/>
      <c r="C883" s="42"/>
      <c r="D883" s="42"/>
      <c r="E883" s="42"/>
      <c r="F883" s="42"/>
      <c r="G883" s="42"/>
      <c r="H883" s="42"/>
      <c r="I883" s="42"/>
      <c r="J883" s="42"/>
      <c r="K883" s="42"/>
      <c r="L883" s="42"/>
      <c r="M883" s="42"/>
      <c r="N883" s="42"/>
      <c r="O883" s="42"/>
      <c r="P883" s="42"/>
      <c r="Q883" s="42"/>
      <c r="R883" s="42"/>
      <c r="S883" s="42"/>
      <c r="T883" s="42"/>
      <c r="U883" s="194"/>
      <c r="V883" s="42"/>
      <c r="W883" s="42"/>
      <c r="X883" s="42"/>
      <c r="Y883" s="42"/>
      <c r="Z883" s="42"/>
      <c r="AA883" s="42"/>
      <c r="AB883" s="195"/>
      <c r="AC883" s="42"/>
      <c r="AD883" s="42"/>
      <c r="AE883" s="195"/>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c r="BM883" s="42"/>
      <c r="BN883" s="42"/>
      <c r="BO883" s="42"/>
      <c r="BP883" s="42"/>
      <c r="BQ883" s="42"/>
      <c r="BR883" s="42"/>
      <c r="BS883" s="42"/>
      <c r="BT883" s="42"/>
      <c r="BU883" s="42"/>
      <c r="BV883" s="42"/>
      <c r="BW883" s="42"/>
      <c r="BX883" s="42"/>
      <c r="BY883" s="42"/>
      <c r="BZ883" s="42"/>
      <c r="CA883" s="42"/>
      <c r="CB883" s="42"/>
      <c r="CC883" s="42"/>
      <c r="CD883" s="42"/>
      <c r="CE883" s="42"/>
      <c r="CF883" s="42"/>
      <c r="CG883" s="42"/>
      <c r="CH883" s="42"/>
      <c r="CI883" s="42"/>
      <c r="CJ883" s="42"/>
      <c r="CK883" s="42"/>
      <c r="CL883" s="42"/>
      <c r="CM883" s="42"/>
      <c r="CN883" s="42"/>
      <c r="CO883" s="42"/>
      <c r="CP883" s="42"/>
      <c r="CQ883" s="42"/>
      <c r="CR883" s="42"/>
      <c r="CS883" s="42"/>
      <c r="CT883" s="42"/>
      <c r="CU883" s="42"/>
      <c r="CV883" s="42"/>
      <c r="CW883" s="42"/>
      <c r="CX883" s="42"/>
      <c r="CY883" s="42"/>
      <c r="CZ883" s="42"/>
      <c r="DA883" s="42"/>
      <c r="DB883" s="42"/>
      <c r="DC883" s="42"/>
      <c r="DD883" s="42"/>
      <c r="DE883" s="42"/>
      <c r="DF883" s="42"/>
      <c r="DG883" s="42"/>
      <c r="DH883" s="42"/>
      <c r="DI883" s="42"/>
      <c r="DJ883" s="42"/>
      <c r="DK883" s="42"/>
      <c r="DL883" s="42"/>
      <c r="DM883" s="42"/>
      <c r="DN883" s="42"/>
      <c r="DO883" s="42"/>
      <c r="DP883" s="42"/>
      <c r="DQ883" s="42"/>
      <c r="DR883" s="42"/>
      <c r="DS883" s="42"/>
      <c r="DT883" s="42"/>
      <c r="DU883" s="42"/>
      <c r="DV883" s="42"/>
      <c r="DW883" s="42"/>
      <c r="DX883" s="42"/>
      <c r="DY883" s="42"/>
      <c r="DZ883" s="42"/>
      <c r="EA883" s="42"/>
      <c r="EB883" s="42"/>
      <c r="EC883" s="42"/>
      <c r="ED883" s="42"/>
      <c r="EE883" s="42"/>
      <c r="EF883" s="42"/>
      <c r="EG883" s="42"/>
      <c r="EH883" s="42"/>
      <c r="EI883" s="42"/>
      <c r="EJ883" s="42"/>
      <c r="EK883" s="42"/>
      <c r="EL883" s="42"/>
      <c r="EM883" s="42"/>
      <c r="EN883" s="42"/>
      <c r="EO883" s="42"/>
      <c r="EP883" s="42"/>
      <c r="EQ883" s="42"/>
      <c r="ER883" s="42"/>
      <c r="ES883" s="42"/>
      <c r="ET883" s="42"/>
      <c r="EU883" s="42"/>
      <c r="EV883" s="42"/>
      <c r="EW883" s="42"/>
      <c r="EX883" s="42"/>
      <c r="EY883" s="42"/>
      <c r="EZ883" s="42"/>
      <c r="FA883" s="42"/>
      <c r="FB883" s="42"/>
      <c r="FC883" s="42"/>
      <c r="FD883" s="42"/>
      <c r="FE883" s="42"/>
      <c r="FF883" s="42"/>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row>
    <row r="884" spans="1:256" ht="13.8" x14ac:dyDescent="0.3">
      <c r="A884" s="42"/>
      <c r="B884" s="42"/>
      <c r="C884" s="42"/>
      <c r="D884" s="42"/>
      <c r="E884" s="42"/>
      <c r="F884" s="42"/>
      <c r="G884" s="42"/>
      <c r="H884" s="42"/>
      <c r="I884" s="42"/>
      <c r="J884" s="42"/>
      <c r="K884" s="42"/>
      <c r="L884" s="42"/>
      <c r="M884" s="42"/>
      <c r="N884" s="42"/>
      <c r="O884" s="42"/>
      <c r="P884" s="42"/>
      <c r="Q884" s="42"/>
      <c r="R884" s="42"/>
      <c r="S884" s="42"/>
      <c r="T884" s="42"/>
      <c r="U884" s="194"/>
      <c r="V884" s="42"/>
      <c r="W884" s="42"/>
      <c r="X884" s="42"/>
      <c r="Y884" s="42"/>
      <c r="Z884" s="42"/>
      <c r="AA884" s="42"/>
      <c r="AB884" s="195"/>
      <c r="AC884" s="42"/>
      <c r="AD884" s="42"/>
      <c r="AE884" s="195"/>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c r="BM884" s="42"/>
      <c r="BN884" s="42"/>
      <c r="BO884" s="42"/>
      <c r="BP884" s="42"/>
      <c r="BQ884" s="42"/>
      <c r="BR884" s="42"/>
      <c r="BS884" s="42"/>
      <c r="BT884" s="42"/>
      <c r="BU884" s="42"/>
      <c r="BV884" s="42"/>
      <c r="BW884" s="42"/>
      <c r="BX884" s="42"/>
      <c r="BY884" s="42"/>
      <c r="BZ884" s="42"/>
      <c r="CA884" s="42"/>
      <c r="CB884" s="42"/>
      <c r="CC884" s="42"/>
      <c r="CD884" s="42"/>
      <c r="CE884" s="42"/>
      <c r="CF884" s="42"/>
      <c r="CG884" s="42"/>
      <c r="CH884" s="42"/>
      <c r="CI884" s="42"/>
      <c r="CJ884" s="42"/>
      <c r="CK884" s="42"/>
      <c r="CL884" s="42"/>
      <c r="CM884" s="42"/>
      <c r="CN884" s="42"/>
      <c r="CO884" s="42"/>
      <c r="CP884" s="42"/>
      <c r="CQ884" s="42"/>
      <c r="CR884" s="42"/>
      <c r="CS884" s="42"/>
      <c r="CT884" s="42"/>
      <c r="CU884" s="42"/>
      <c r="CV884" s="42"/>
      <c r="CW884" s="42"/>
      <c r="CX884" s="42"/>
      <c r="CY884" s="42"/>
      <c r="CZ884" s="42"/>
      <c r="DA884" s="42"/>
      <c r="DB884" s="42"/>
      <c r="DC884" s="42"/>
      <c r="DD884" s="42"/>
      <c r="DE884" s="42"/>
      <c r="DF884" s="42"/>
      <c r="DG884" s="42"/>
      <c r="DH884" s="42"/>
      <c r="DI884" s="42"/>
      <c r="DJ884" s="42"/>
      <c r="DK884" s="42"/>
      <c r="DL884" s="42"/>
      <c r="DM884" s="42"/>
      <c r="DN884" s="42"/>
      <c r="DO884" s="42"/>
      <c r="DP884" s="42"/>
      <c r="DQ884" s="42"/>
      <c r="DR884" s="42"/>
      <c r="DS884" s="42"/>
      <c r="DT884" s="42"/>
      <c r="DU884" s="42"/>
      <c r="DV884" s="42"/>
      <c r="DW884" s="42"/>
      <c r="DX884" s="42"/>
      <c r="DY884" s="42"/>
      <c r="DZ884" s="42"/>
      <c r="EA884" s="42"/>
      <c r="EB884" s="42"/>
      <c r="EC884" s="42"/>
      <c r="ED884" s="42"/>
      <c r="EE884" s="42"/>
      <c r="EF884" s="42"/>
      <c r="EG884" s="42"/>
      <c r="EH884" s="42"/>
      <c r="EI884" s="42"/>
      <c r="EJ884" s="42"/>
      <c r="EK884" s="42"/>
      <c r="EL884" s="42"/>
      <c r="EM884" s="42"/>
      <c r="EN884" s="42"/>
      <c r="EO884" s="42"/>
      <c r="EP884" s="42"/>
      <c r="EQ884" s="42"/>
      <c r="ER884" s="42"/>
      <c r="ES884" s="42"/>
      <c r="ET884" s="42"/>
      <c r="EU884" s="42"/>
      <c r="EV884" s="42"/>
      <c r="EW884" s="42"/>
      <c r="EX884" s="42"/>
      <c r="EY884" s="42"/>
      <c r="EZ884" s="42"/>
      <c r="FA884" s="42"/>
      <c r="FB884" s="42"/>
      <c r="FC884" s="42"/>
      <c r="FD884" s="42"/>
      <c r="FE884" s="42"/>
      <c r="FF884" s="42"/>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row>
    <row r="885" spans="1:256" ht="13.8" x14ac:dyDescent="0.3">
      <c r="A885" s="42"/>
      <c r="B885" s="42"/>
      <c r="C885" s="42"/>
      <c r="D885" s="42"/>
      <c r="E885" s="42"/>
      <c r="F885" s="42"/>
      <c r="G885" s="42"/>
      <c r="H885" s="42"/>
      <c r="I885" s="42"/>
      <c r="J885" s="42"/>
      <c r="K885" s="42"/>
      <c r="L885" s="42"/>
      <c r="M885" s="42"/>
      <c r="N885" s="42"/>
      <c r="O885" s="42"/>
      <c r="P885" s="42"/>
      <c r="Q885" s="42"/>
      <c r="R885" s="42"/>
      <c r="S885" s="42"/>
      <c r="T885" s="42"/>
      <c r="U885" s="194"/>
      <c r="V885" s="42"/>
      <c r="W885" s="42"/>
      <c r="X885" s="42"/>
      <c r="Y885" s="42"/>
      <c r="Z885" s="42"/>
      <c r="AA885" s="42"/>
      <c r="AB885" s="195"/>
      <c r="AC885" s="42"/>
      <c r="AD885" s="42"/>
      <c r="AE885" s="195"/>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c r="BM885" s="42"/>
      <c r="BN885" s="42"/>
      <c r="BO885" s="42"/>
      <c r="BP885" s="42"/>
      <c r="BQ885" s="42"/>
      <c r="BR885" s="42"/>
      <c r="BS885" s="42"/>
      <c r="BT885" s="42"/>
      <c r="BU885" s="42"/>
      <c r="BV885" s="42"/>
      <c r="BW885" s="42"/>
      <c r="BX885" s="42"/>
      <c r="BY885" s="42"/>
      <c r="BZ885" s="42"/>
      <c r="CA885" s="42"/>
      <c r="CB885" s="42"/>
      <c r="CC885" s="42"/>
      <c r="CD885" s="42"/>
      <c r="CE885" s="42"/>
      <c r="CF885" s="42"/>
      <c r="CG885" s="42"/>
      <c r="CH885" s="42"/>
      <c r="CI885" s="42"/>
      <c r="CJ885" s="42"/>
      <c r="CK885" s="42"/>
      <c r="CL885" s="42"/>
      <c r="CM885" s="42"/>
      <c r="CN885" s="42"/>
      <c r="CO885" s="42"/>
      <c r="CP885" s="42"/>
      <c r="CQ885" s="42"/>
      <c r="CR885" s="42"/>
      <c r="CS885" s="42"/>
      <c r="CT885" s="42"/>
      <c r="CU885" s="42"/>
      <c r="CV885" s="42"/>
      <c r="CW885" s="42"/>
      <c r="CX885" s="42"/>
      <c r="CY885" s="42"/>
      <c r="CZ885" s="42"/>
      <c r="DA885" s="42"/>
      <c r="DB885" s="42"/>
      <c r="DC885" s="42"/>
      <c r="DD885" s="42"/>
      <c r="DE885" s="42"/>
      <c r="DF885" s="42"/>
      <c r="DG885" s="42"/>
      <c r="DH885" s="42"/>
      <c r="DI885" s="42"/>
      <c r="DJ885" s="42"/>
      <c r="DK885" s="42"/>
      <c r="DL885" s="42"/>
      <c r="DM885" s="42"/>
      <c r="DN885" s="42"/>
      <c r="DO885" s="42"/>
      <c r="DP885" s="42"/>
      <c r="DQ885" s="42"/>
      <c r="DR885" s="42"/>
      <c r="DS885" s="42"/>
      <c r="DT885" s="42"/>
      <c r="DU885" s="42"/>
      <c r="DV885" s="42"/>
      <c r="DW885" s="42"/>
      <c r="DX885" s="42"/>
      <c r="DY885" s="42"/>
      <c r="DZ885" s="42"/>
      <c r="EA885" s="42"/>
      <c r="EB885" s="42"/>
      <c r="EC885" s="42"/>
      <c r="ED885" s="42"/>
      <c r="EE885" s="42"/>
      <c r="EF885" s="42"/>
      <c r="EG885" s="42"/>
      <c r="EH885" s="42"/>
      <c r="EI885" s="42"/>
      <c r="EJ885" s="42"/>
      <c r="EK885" s="42"/>
      <c r="EL885" s="42"/>
      <c r="EM885" s="42"/>
      <c r="EN885" s="42"/>
      <c r="EO885" s="42"/>
      <c r="EP885" s="42"/>
      <c r="EQ885" s="42"/>
      <c r="ER885" s="42"/>
      <c r="ES885" s="42"/>
      <c r="ET885" s="42"/>
      <c r="EU885" s="42"/>
      <c r="EV885" s="42"/>
      <c r="EW885" s="42"/>
      <c r="EX885" s="42"/>
      <c r="EY885" s="42"/>
      <c r="EZ885" s="42"/>
      <c r="FA885" s="42"/>
      <c r="FB885" s="42"/>
      <c r="FC885" s="42"/>
      <c r="FD885" s="42"/>
      <c r="FE885" s="42"/>
      <c r="FF885" s="42"/>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row>
    <row r="886" spans="1:256" ht="13.8" x14ac:dyDescent="0.3">
      <c r="A886" s="42"/>
      <c r="B886" s="42"/>
      <c r="C886" s="42"/>
      <c r="D886" s="42"/>
      <c r="E886" s="42"/>
      <c r="F886" s="42"/>
      <c r="G886" s="42"/>
      <c r="H886" s="42"/>
      <c r="I886" s="42"/>
      <c r="J886" s="42"/>
      <c r="K886" s="42"/>
      <c r="L886" s="42"/>
      <c r="M886" s="42"/>
      <c r="N886" s="42"/>
      <c r="O886" s="42"/>
      <c r="P886" s="42"/>
      <c r="Q886" s="42"/>
      <c r="R886" s="42"/>
      <c r="S886" s="42"/>
      <c r="T886" s="42"/>
      <c r="U886" s="194"/>
      <c r="V886" s="42"/>
      <c r="W886" s="42"/>
      <c r="X886" s="42"/>
      <c r="Y886" s="42"/>
      <c r="Z886" s="42"/>
      <c r="AA886" s="42"/>
      <c r="AB886" s="195"/>
      <c r="AC886" s="42"/>
      <c r="AD886" s="42"/>
      <c r="AE886" s="195"/>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c r="BM886" s="42"/>
      <c r="BN886" s="42"/>
      <c r="BO886" s="42"/>
      <c r="BP886" s="42"/>
      <c r="BQ886" s="42"/>
      <c r="BR886" s="42"/>
      <c r="BS886" s="42"/>
      <c r="BT886" s="42"/>
      <c r="BU886" s="42"/>
      <c r="BV886" s="42"/>
      <c r="BW886" s="42"/>
      <c r="BX886" s="42"/>
      <c r="BY886" s="42"/>
      <c r="BZ886" s="42"/>
      <c r="CA886" s="42"/>
      <c r="CB886" s="42"/>
      <c r="CC886" s="42"/>
      <c r="CD886" s="42"/>
      <c r="CE886" s="42"/>
      <c r="CF886" s="42"/>
      <c r="CG886" s="42"/>
      <c r="CH886" s="42"/>
      <c r="CI886" s="42"/>
      <c r="CJ886" s="42"/>
      <c r="CK886" s="42"/>
      <c r="CL886" s="42"/>
      <c r="CM886" s="42"/>
      <c r="CN886" s="42"/>
      <c r="CO886" s="42"/>
      <c r="CP886" s="42"/>
      <c r="CQ886" s="42"/>
      <c r="CR886" s="42"/>
      <c r="CS886" s="42"/>
      <c r="CT886" s="42"/>
      <c r="CU886" s="42"/>
      <c r="CV886" s="42"/>
      <c r="CW886" s="42"/>
      <c r="CX886" s="42"/>
      <c r="CY886" s="42"/>
      <c r="CZ886" s="42"/>
      <c r="DA886" s="42"/>
      <c r="DB886" s="42"/>
      <c r="DC886" s="42"/>
      <c r="DD886" s="42"/>
      <c r="DE886" s="42"/>
      <c r="DF886" s="42"/>
      <c r="DG886" s="42"/>
      <c r="DH886" s="42"/>
      <c r="DI886" s="42"/>
      <c r="DJ886" s="42"/>
      <c r="DK886" s="42"/>
      <c r="DL886" s="42"/>
      <c r="DM886" s="42"/>
      <c r="DN886" s="42"/>
      <c r="DO886" s="42"/>
      <c r="DP886" s="42"/>
      <c r="DQ886" s="42"/>
      <c r="DR886" s="42"/>
      <c r="DS886" s="42"/>
      <c r="DT886" s="42"/>
      <c r="DU886" s="42"/>
      <c r="DV886" s="42"/>
      <c r="DW886" s="42"/>
      <c r="DX886" s="42"/>
      <c r="DY886" s="42"/>
      <c r="DZ886" s="42"/>
      <c r="EA886" s="42"/>
      <c r="EB886" s="42"/>
      <c r="EC886" s="42"/>
      <c r="ED886" s="42"/>
      <c r="EE886" s="42"/>
      <c r="EF886" s="42"/>
      <c r="EG886" s="42"/>
      <c r="EH886" s="42"/>
      <c r="EI886" s="42"/>
      <c r="EJ886" s="42"/>
      <c r="EK886" s="42"/>
      <c r="EL886" s="42"/>
      <c r="EM886" s="42"/>
      <c r="EN886" s="42"/>
      <c r="EO886" s="42"/>
      <c r="EP886" s="42"/>
      <c r="EQ886" s="42"/>
      <c r="ER886" s="42"/>
      <c r="ES886" s="42"/>
      <c r="ET886" s="42"/>
      <c r="EU886" s="42"/>
      <c r="EV886" s="42"/>
      <c r="EW886" s="42"/>
      <c r="EX886" s="42"/>
      <c r="EY886" s="42"/>
      <c r="EZ886" s="42"/>
      <c r="FA886" s="42"/>
      <c r="FB886" s="42"/>
      <c r="FC886" s="42"/>
      <c r="FD886" s="42"/>
      <c r="FE886" s="42"/>
      <c r="FF886" s="42"/>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row>
    <row r="887" spans="1:256" ht="13.8" x14ac:dyDescent="0.3">
      <c r="A887" s="42"/>
      <c r="B887" s="42"/>
      <c r="C887" s="42"/>
      <c r="D887" s="42"/>
      <c r="E887" s="42"/>
      <c r="F887" s="42"/>
      <c r="G887" s="42"/>
      <c r="H887" s="42"/>
      <c r="I887" s="42"/>
      <c r="J887" s="42"/>
      <c r="K887" s="42"/>
      <c r="L887" s="42"/>
      <c r="M887" s="42"/>
      <c r="N887" s="42"/>
      <c r="O887" s="42"/>
      <c r="P887" s="42"/>
      <c r="Q887" s="42"/>
      <c r="R887" s="42"/>
      <c r="S887" s="42"/>
      <c r="T887" s="42"/>
      <c r="U887" s="194"/>
      <c r="V887" s="42"/>
      <c r="W887" s="42"/>
      <c r="X887" s="42"/>
      <c r="Y887" s="42"/>
      <c r="Z887" s="42"/>
      <c r="AA887" s="42"/>
      <c r="AB887" s="195"/>
      <c r="AC887" s="42"/>
      <c r="AD887" s="42"/>
      <c r="AE887" s="195"/>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c r="BM887" s="42"/>
      <c r="BN887" s="42"/>
      <c r="BO887" s="42"/>
      <c r="BP887" s="42"/>
      <c r="BQ887" s="42"/>
      <c r="BR887" s="42"/>
      <c r="BS887" s="42"/>
      <c r="BT887" s="42"/>
      <c r="BU887" s="42"/>
      <c r="BV887" s="42"/>
      <c r="BW887" s="42"/>
      <c r="BX887" s="42"/>
      <c r="BY887" s="42"/>
      <c r="BZ887" s="42"/>
      <c r="CA887" s="42"/>
      <c r="CB887" s="42"/>
      <c r="CC887" s="42"/>
      <c r="CD887" s="42"/>
      <c r="CE887" s="42"/>
      <c r="CF887" s="42"/>
      <c r="CG887" s="42"/>
      <c r="CH887" s="42"/>
      <c r="CI887" s="42"/>
      <c r="CJ887" s="42"/>
      <c r="CK887" s="42"/>
      <c r="CL887" s="42"/>
      <c r="CM887" s="42"/>
      <c r="CN887" s="42"/>
      <c r="CO887" s="42"/>
      <c r="CP887" s="42"/>
      <c r="CQ887" s="42"/>
      <c r="CR887" s="42"/>
      <c r="CS887" s="42"/>
      <c r="CT887" s="42"/>
      <c r="CU887" s="42"/>
      <c r="CV887" s="42"/>
      <c r="CW887" s="42"/>
      <c r="CX887" s="42"/>
      <c r="CY887" s="42"/>
      <c r="CZ887" s="42"/>
      <c r="DA887" s="42"/>
      <c r="DB887" s="42"/>
      <c r="DC887" s="42"/>
      <c r="DD887" s="42"/>
      <c r="DE887" s="42"/>
      <c r="DF887" s="42"/>
      <c r="DG887" s="42"/>
      <c r="DH887" s="42"/>
      <c r="DI887" s="42"/>
      <c r="DJ887" s="42"/>
      <c r="DK887" s="42"/>
      <c r="DL887" s="42"/>
      <c r="DM887" s="42"/>
      <c r="DN887" s="42"/>
      <c r="DO887" s="42"/>
      <c r="DP887" s="42"/>
      <c r="DQ887" s="42"/>
      <c r="DR887" s="42"/>
      <c r="DS887" s="42"/>
      <c r="DT887" s="42"/>
      <c r="DU887" s="42"/>
      <c r="DV887" s="42"/>
      <c r="DW887" s="42"/>
      <c r="DX887" s="42"/>
      <c r="DY887" s="42"/>
      <c r="DZ887" s="42"/>
      <c r="EA887" s="42"/>
      <c r="EB887" s="42"/>
      <c r="EC887" s="42"/>
      <c r="ED887" s="42"/>
      <c r="EE887" s="42"/>
      <c r="EF887" s="42"/>
      <c r="EG887" s="42"/>
      <c r="EH887" s="42"/>
      <c r="EI887" s="42"/>
      <c r="EJ887" s="42"/>
      <c r="EK887" s="42"/>
      <c r="EL887" s="42"/>
      <c r="EM887" s="42"/>
      <c r="EN887" s="42"/>
      <c r="EO887" s="42"/>
      <c r="EP887" s="42"/>
      <c r="EQ887" s="42"/>
      <c r="ER887" s="42"/>
      <c r="ES887" s="42"/>
      <c r="ET887" s="42"/>
      <c r="EU887" s="42"/>
      <c r="EV887" s="42"/>
      <c r="EW887" s="42"/>
      <c r="EX887" s="42"/>
      <c r="EY887" s="42"/>
      <c r="EZ887" s="42"/>
      <c r="FA887" s="42"/>
      <c r="FB887" s="42"/>
      <c r="FC887" s="42"/>
      <c r="FD887" s="42"/>
      <c r="FE887" s="42"/>
      <c r="FF887" s="42"/>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row>
    <row r="888" spans="1:256" ht="13.8" x14ac:dyDescent="0.3">
      <c r="A888" s="42"/>
      <c r="B888" s="42"/>
      <c r="C888" s="42"/>
      <c r="D888" s="42"/>
      <c r="E888" s="42"/>
      <c r="F888" s="42"/>
      <c r="G888" s="42"/>
      <c r="H888" s="42"/>
      <c r="I888" s="42"/>
      <c r="J888" s="42"/>
      <c r="K888" s="42"/>
      <c r="L888" s="42"/>
      <c r="M888" s="42"/>
      <c r="N888" s="42"/>
      <c r="O888" s="42"/>
      <c r="P888" s="42"/>
      <c r="Q888" s="42"/>
      <c r="R888" s="42"/>
      <c r="S888" s="42"/>
      <c r="T888" s="42"/>
      <c r="U888" s="194"/>
      <c r="V888" s="42"/>
      <c r="W888" s="42"/>
      <c r="X888" s="42"/>
      <c r="Y888" s="42"/>
      <c r="Z888" s="42"/>
      <c r="AA888" s="42"/>
      <c r="AB888" s="195"/>
      <c r="AC888" s="42"/>
      <c r="AD888" s="42"/>
      <c r="AE888" s="195"/>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c r="BM888" s="42"/>
      <c r="BN888" s="42"/>
      <c r="BO888" s="42"/>
      <c r="BP888" s="42"/>
      <c r="BQ888" s="42"/>
      <c r="BR888" s="42"/>
      <c r="BS888" s="42"/>
      <c r="BT888" s="42"/>
      <c r="BU888" s="42"/>
      <c r="BV888" s="42"/>
      <c r="BW888" s="42"/>
      <c r="BX888" s="42"/>
      <c r="BY888" s="42"/>
      <c r="BZ888" s="42"/>
      <c r="CA888" s="42"/>
      <c r="CB888" s="42"/>
      <c r="CC888" s="42"/>
      <c r="CD888" s="42"/>
      <c r="CE888" s="42"/>
      <c r="CF888" s="42"/>
      <c r="CG888" s="42"/>
      <c r="CH888" s="42"/>
      <c r="CI888" s="42"/>
      <c r="CJ888" s="42"/>
      <c r="CK888" s="42"/>
      <c r="CL888" s="42"/>
      <c r="CM888" s="42"/>
      <c r="CN888" s="42"/>
      <c r="CO888" s="42"/>
      <c r="CP888" s="42"/>
      <c r="CQ888" s="42"/>
      <c r="CR888" s="42"/>
      <c r="CS888" s="42"/>
      <c r="CT888" s="42"/>
      <c r="CU888" s="42"/>
      <c r="CV888" s="42"/>
      <c r="CW888" s="42"/>
      <c r="CX888" s="42"/>
      <c r="CY888" s="42"/>
      <c r="CZ888" s="42"/>
      <c r="DA888" s="42"/>
      <c r="DB888" s="42"/>
      <c r="DC888" s="42"/>
      <c r="DD888" s="42"/>
      <c r="DE888" s="42"/>
      <c r="DF888" s="42"/>
      <c r="DG888" s="42"/>
      <c r="DH888" s="42"/>
      <c r="DI888" s="42"/>
      <c r="DJ888" s="42"/>
      <c r="DK888" s="42"/>
      <c r="DL888" s="42"/>
      <c r="DM888" s="42"/>
      <c r="DN888" s="42"/>
      <c r="DO888" s="42"/>
      <c r="DP888" s="42"/>
      <c r="DQ888" s="42"/>
      <c r="DR888" s="42"/>
      <c r="DS888" s="42"/>
      <c r="DT888" s="42"/>
      <c r="DU888" s="42"/>
      <c r="DV888" s="42"/>
      <c r="DW888" s="42"/>
      <c r="DX888" s="42"/>
      <c r="DY888" s="42"/>
      <c r="DZ888" s="42"/>
      <c r="EA888" s="42"/>
      <c r="EB888" s="42"/>
      <c r="EC888" s="42"/>
      <c r="ED888" s="42"/>
      <c r="EE888" s="42"/>
      <c r="EF888" s="42"/>
      <c r="EG888" s="42"/>
      <c r="EH888" s="42"/>
      <c r="EI888" s="42"/>
      <c r="EJ888" s="42"/>
      <c r="EK888" s="42"/>
      <c r="EL888" s="42"/>
      <c r="EM888" s="42"/>
      <c r="EN888" s="42"/>
      <c r="EO888" s="42"/>
      <c r="EP888" s="42"/>
      <c r="EQ888" s="42"/>
      <c r="ER888" s="42"/>
      <c r="ES888" s="42"/>
      <c r="ET888" s="42"/>
      <c r="EU888" s="42"/>
      <c r="EV888" s="42"/>
      <c r="EW888" s="42"/>
      <c r="EX888" s="42"/>
      <c r="EY888" s="42"/>
      <c r="EZ888" s="42"/>
      <c r="FA888" s="42"/>
      <c r="FB888" s="42"/>
      <c r="FC888" s="42"/>
      <c r="FD888" s="42"/>
      <c r="FE888" s="42"/>
      <c r="FF888" s="42"/>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row>
    <row r="889" spans="1:256" ht="13.8" x14ac:dyDescent="0.3">
      <c r="A889" s="42"/>
      <c r="B889" s="42"/>
      <c r="C889" s="42"/>
      <c r="D889" s="42"/>
      <c r="E889" s="42"/>
      <c r="F889" s="42"/>
      <c r="G889" s="42"/>
      <c r="H889" s="42"/>
      <c r="I889" s="42"/>
      <c r="J889" s="42"/>
      <c r="K889" s="42"/>
      <c r="L889" s="42"/>
      <c r="M889" s="42"/>
      <c r="N889" s="42"/>
      <c r="O889" s="42"/>
      <c r="P889" s="42"/>
      <c r="Q889" s="42"/>
      <c r="R889" s="42"/>
      <c r="S889" s="42"/>
      <c r="T889" s="42"/>
      <c r="U889" s="194"/>
      <c r="V889" s="42"/>
      <c r="W889" s="42"/>
      <c r="X889" s="42"/>
      <c r="Y889" s="42"/>
      <c r="Z889" s="42"/>
      <c r="AA889" s="42"/>
      <c r="AB889" s="195"/>
      <c r="AC889" s="42"/>
      <c r="AD889" s="42"/>
      <c r="AE889" s="195"/>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c r="BM889" s="42"/>
      <c r="BN889" s="42"/>
      <c r="BO889" s="42"/>
      <c r="BP889" s="42"/>
      <c r="BQ889" s="42"/>
      <c r="BR889" s="42"/>
      <c r="BS889" s="42"/>
      <c r="BT889" s="42"/>
      <c r="BU889" s="42"/>
      <c r="BV889" s="42"/>
      <c r="BW889" s="42"/>
      <c r="BX889" s="42"/>
      <c r="BY889" s="42"/>
      <c r="BZ889" s="42"/>
      <c r="CA889" s="42"/>
      <c r="CB889" s="42"/>
      <c r="CC889" s="42"/>
      <c r="CD889" s="42"/>
      <c r="CE889" s="42"/>
      <c r="CF889" s="42"/>
      <c r="CG889" s="42"/>
      <c r="CH889" s="42"/>
      <c r="CI889" s="42"/>
      <c r="CJ889" s="42"/>
      <c r="CK889" s="42"/>
      <c r="CL889" s="42"/>
      <c r="CM889" s="42"/>
      <c r="CN889" s="42"/>
      <c r="CO889" s="42"/>
      <c r="CP889" s="42"/>
      <c r="CQ889" s="42"/>
      <c r="CR889" s="42"/>
      <c r="CS889" s="42"/>
      <c r="CT889" s="42"/>
      <c r="CU889" s="42"/>
      <c r="CV889" s="42"/>
      <c r="CW889" s="42"/>
      <c r="CX889" s="42"/>
      <c r="CY889" s="42"/>
      <c r="CZ889" s="42"/>
      <c r="DA889" s="42"/>
      <c r="DB889" s="42"/>
      <c r="DC889" s="42"/>
      <c r="DD889" s="42"/>
      <c r="DE889" s="42"/>
      <c r="DF889" s="42"/>
      <c r="DG889" s="42"/>
      <c r="DH889" s="42"/>
      <c r="DI889" s="42"/>
      <c r="DJ889" s="42"/>
      <c r="DK889" s="42"/>
      <c r="DL889" s="42"/>
      <c r="DM889" s="42"/>
      <c r="DN889" s="42"/>
      <c r="DO889" s="42"/>
      <c r="DP889" s="42"/>
      <c r="DQ889" s="42"/>
      <c r="DR889" s="42"/>
      <c r="DS889" s="42"/>
      <c r="DT889" s="42"/>
      <c r="DU889" s="42"/>
      <c r="DV889" s="42"/>
      <c r="DW889" s="42"/>
      <c r="DX889" s="42"/>
      <c r="DY889" s="42"/>
      <c r="DZ889" s="42"/>
      <c r="EA889" s="42"/>
      <c r="EB889" s="42"/>
      <c r="EC889" s="42"/>
      <c r="ED889" s="42"/>
      <c r="EE889" s="42"/>
      <c r="EF889" s="42"/>
      <c r="EG889" s="42"/>
      <c r="EH889" s="42"/>
      <c r="EI889" s="42"/>
      <c r="EJ889" s="42"/>
      <c r="EK889" s="42"/>
      <c r="EL889" s="42"/>
      <c r="EM889" s="42"/>
      <c r="EN889" s="42"/>
      <c r="EO889" s="42"/>
      <c r="EP889" s="42"/>
      <c r="EQ889" s="42"/>
      <c r="ER889" s="42"/>
      <c r="ES889" s="42"/>
      <c r="ET889" s="42"/>
      <c r="EU889" s="42"/>
      <c r="EV889" s="42"/>
      <c r="EW889" s="42"/>
      <c r="EX889" s="42"/>
      <c r="EY889" s="42"/>
      <c r="EZ889" s="42"/>
      <c r="FA889" s="42"/>
      <c r="FB889" s="42"/>
      <c r="FC889" s="42"/>
      <c r="FD889" s="42"/>
      <c r="FE889" s="42"/>
      <c r="FF889" s="42"/>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row>
    <row r="890" spans="1:256" ht="13.8" x14ac:dyDescent="0.3">
      <c r="A890" s="42"/>
      <c r="B890" s="42"/>
      <c r="C890" s="42"/>
      <c r="D890" s="42"/>
      <c r="E890" s="42"/>
      <c r="F890" s="42"/>
      <c r="G890" s="42"/>
      <c r="H890" s="42"/>
      <c r="I890" s="42"/>
      <c r="J890" s="42"/>
      <c r="K890" s="42"/>
      <c r="L890" s="42"/>
      <c r="M890" s="42"/>
      <c r="N890" s="42"/>
      <c r="O890" s="42"/>
      <c r="P890" s="42"/>
      <c r="Q890" s="42"/>
      <c r="R890" s="42"/>
      <c r="S890" s="42"/>
      <c r="T890" s="42"/>
      <c r="U890" s="194"/>
      <c r="V890" s="42"/>
      <c r="W890" s="42"/>
      <c r="X890" s="42"/>
      <c r="Y890" s="42"/>
      <c r="Z890" s="42"/>
      <c r="AA890" s="42"/>
      <c r="AB890" s="195"/>
      <c r="AC890" s="42"/>
      <c r="AD890" s="42"/>
      <c r="AE890" s="195"/>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c r="BM890" s="42"/>
      <c r="BN890" s="42"/>
      <c r="BO890" s="42"/>
      <c r="BP890" s="42"/>
      <c r="BQ890" s="42"/>
      <c r="BR890" s="42"/>
      <c r="BS890" s="42"/>
      <c r="BT890" s="42"/>
      <c r="BU890" s="42"/>
      <c r="BV890" s="42"/>
      <c r="BW890" s="42"/>
      <c r="BX890" s="42"/>
      <c r="BY890" s="42"/>
      <c r="BZ890" s="42"/>
      <c r="CA890" s="42"/>
      <c r="CB890" s="42"/>
      <c r="CC890" s="42"/>
      <c r="CD890" s="42"/>
      <c r="CE890" s="42"/>
      <c r="CF890" s="42"/>
      <c r="CG890" s="42"/>
      <c r="CH890" s="42"/>
      <c r="CI890" s="42"/>
      <c r="CJ890" s="42"/>
      <c r="CK890" s="42"/>
      <c r="CL890" s="42"/>
      <c r="CM890" s="42"/>
      <c r="CN890" s="42"/>
      <c r="CO890" s="42"/>
      <c r="CP890" s="42"/>
      <c r="CQ890" s="42"/>
      <c r="CR890" s="42"/>
      <c r="CS890" s="42"/>
      <c r="CT890" s="42"/>
      <c r="CU890" s="42"/>
      <c r="CV890" s="42"/>
      <c r="CW890" s="42"/>
      <c r="CX890" s="42"/>
      <c r="CY890" s="42"/>
      <c r="CZ890" s="42"/>
      <c r="DA890" s="42"/>
      <c r="DB890" s="42"/>
      <c r="DC890" s="42"/>
      <c r="DD890" s="42"/>
      <c r="DE890" s="42"/>
      <c r="DF890" s="42"/>
      <c r="DG890" s="42"/>
      <c r="DH890" s="42"/>
      <c r="DI890" s="42"/>
      <c r="DJ890" s="42"/>
      <c r="DK890" s="42"/>
      <c r="DL890" s="42"/>
      <c r="DM890" s="42"/>
      <c r="DN890" s="42"/>
      <c r="DO890" s="42"/>
      <c r="DP890" s="42"/>
      <c r="DQ890" s="42"/>
      <c r="DR890" s="42"/>
      <c r="DS890" s="42"/>
      <c r="DT890" s="42"/>
      <c r="DU890" s="42"/>
      <c r="DV890" s="42"/>
      <c r="DW890" s="42"/>
      <c r="DX890" s="42"/>
      <c r="DY890" s="42"/>
      <c r="DZ890" s="42"/>
      <c r="EA890" s="42"/>
      <c r="EB890" s="42"/>
      <c r="EC890" s="42"/>
      <c r="ED890" s="42"/>
      <c r="EE890" s="42"/>
      <c r="EF890" s="42"/>
      <c r="EG890" s="42"/>
      <c r="EH890" s="42"/>
      <c r="EI890" s="42"/>
      <c r="EJ890" s="42"/>
      <c r="EK890" s="42"/>
      <c r="EL890" s="42"/>
      <c r="EM890" s="42"/>
      <c r="EN890" s="42"/>
      <c r="EO890" s="42"/>
      <c r="EP890" s="42"/>
      <c r="EQ890" s="42"/>
      <c r="ER890" s="42"/>
      <c r="ES890" s="42"/>
      <c r="ET890" s="42"/>
      <c r="EU890" s="42"/>
      <c r="EV890" s="42"/>
      <c r="EW890" s="42"/>
      <c r="EX890" s="42"/>
      <c r="EY890" s="42"/>
      <c r="EZ890" s="42"/>
      <c r="FA890" s="42"/>
      <c r="FB890" s="42"/>
      <c r="FC890" s="42"/>
      <c r="FD890" s="42"/>
      <c r="FE890" s="42"/>
      <c r="FF890" s="42"/>
      <c r="FG890" s="42"/>
      <c r="FH890" s="42"/>
      <c r="FI890" s="42"/>
      <c r="FJ890" s="42"/>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row>
    <row r="891" spans="1:256" ht="13.8" x14ac:dyDescent="0.3">
      <c r="A891" s="42"/>
      <c r="B891" s="42"/>
      <c r="C891" s="42"/>
      <c r="D891" s="42"/>
      <c r="E891" s="42"/>
      <c r="F891" s="42"/>
      <c r="G891" s="42"/>
      <c r="H891" s="42"/>
      <c r="I891" s="42"/>
      <c r="J891" s="42"/>
      <c r="K891" s="42"/>
      <c r="L891" s="42"/>
      <c r="M891" s="42"/>
      <c r="N891" s="42"/>
      <c r="O891" s="42"/>
      <c r="P891" s="42"/>
      <c r="Q891" s="42"/>
      <c r="R891" s="42"/>
      <c r="S891" s="42"/>
      <c r="T891" s="42"/>
      <c r="U891" s="194"/>
      <c r="V891" s="42"/>
      <c r="W891" s="42"/>
      <c r="X891" s="42"/>
      <c r="Y891" s="42"/>
      <c r="Z891" s="42"/>
      <c r="AA891" s="42"/>
      <c r="AB891" s="195"/>
      <c r="AC891" s="42"/>
      <c r="AD891" s="42"/>
      <c r="AE891" s="195"/>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c r="BM891" s="42"/>
      <c r="BN891" s="42"/>
      <c r="BO891" s="42"/>
      <c r="BP891" s="42"/>
      <c r="BQ891" s="42"/>
      <c r="BR891" s="42"/>
      <c r="BS891" s="42"/>
      <c r="BT891" s="42"/>
      <c r="BU891" s="42"/>
      <c r="BV891" s="42"/>
      <c r="BW891" s="42"/>
      <c r="BX891" s="42"/>
      <c r="BY891" s="42"/>
      <c r="BZ891" s="42"/>
      <c r="CA891" s="42"/>
      <c r="CB891" s="42"/>
      <c r="CC891" s="42"/>
      <c r="CD891" s="42"/>
      <c r="CE891" s="42"/>
      <c r="CF891" s="42"/>
      <c r="CG891" s="42"/>
      <c r="CH891" s="42"/>
      <c r="CI891" s="42"/>
      <c r="CJ891" s="42"/>
      <c r="CK891" s="42"/>
      <c r="CL891" s="42"/>
      <c r="CM891" s="42"/>
      <c r="CN891" s="42"/>
      <c r="CO891" s="42"/>
      <c r="CP891" s="42"/>
      <c r="CQ891" s="42"/>
      <c r="CR891" s="42"/>
      <c r="CS891" s="42"/>
      <c r="CT891" s="42"/>
      <c r="CU891" s="42"/>
      <c r="CV891" s="42"/>
      <c r="CW891" s="42"/>
      <c r="CX891" s="42"/>
      <c r="CY891" s="42"/>
      <c r="CZ891" s="42"/>
      <c r="DA891" s="42"/>
      <c r="DB891" s="42"/>
      <c r="DC891" s="42"/>
      <c r="DD891" s="42"/>
      <c r="DE891" s="42"/>
      <c r="DF891" s="42"/>
      <c r="DG891" s="42"/>
      <c r="DH891" s="42"/>
      <c r="DI891" s="42"/>
      <c r="DJ891" s="42"/>
      <c r="DK891" s="42"/>
      <c r="DL891" s="42"/>
      <c r="DM891" s="42"/>
      <c r="DN891" s="42"/>
      <c r="DO891" s="42"/>
      <c r="DP891" s="42"/>
      <c r="DQ891" s="42"/>
      <c r="DR891" s="42"/>
      <c r="DS891" s="42"/>
      <c r="DT891" s="42"/>
      <c r="DU891" s="42"/>
      <c r="DV891" s="42"/>
      <c r="DW891" s="42"/>
      <c r="DX891" s="42"/>
      <c r="DY891" s="42"/>
      <c r="DZ891" s="42"/>
      <c r="EA891" s="42"/>
      <c r="EB891" s="42"/>
      <c r="EC891" s="42"/>
      <c r="ED891" s="42"/>
      <c r="EE891" s="42"/>
      <c r="EF891" s="42"/>
      <c r="EG891" s="42"/>
      <c r="EH891" s="42"/>
      <c r="EI891" s="42"/>
      <c r="EJ891" s="42"/>
      <c r="EK891" s="42"/>
      <c r="EL891" s="42"/>
      <c r="EM891" s="42"/>
      <c r="EN891" s="42"/>
      <c r="EO891" s="42"/>
      <c r="EP891" s="42"/>
      <c r="EQ891" s="42"/>
      <c r="ER891" s="42"/>
      <c r="ES891" s="42"/>
      <c r="ET891" s="42"/>
      <c r="EU891" s="42"/>
      <c r="EV891" s="42"/>
      <c r="EW891" s="42"/>
      <c r="EX891" s="42"/>
      <c r="EY891" s="42"/>
      <c r="EZ891" s="42"/>
      <c r="FA891" s="42"/>
      <c r="FB891" s="42"/>
      <c r="FC891" s="42"/>
      <c r="FD891" s="42"/>
      <c r="FE891" s="42"/>
      <c r="FF891" s="42"/>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row>
    <row r="892" spans="1:256" ht="13.8" x14ac:dyDescent="0.3">
      <c r="A892" s="42"/>
      <c r="B892" s="42"/>
      <c r="C892" s="42"/>
      <c r="D892" s="42"/>
      <c r="E892" s="42"/>
      <c r="F892" s="42"/>
      <c r="G892" s="42"/>
      <c r="H892" s="42"/>
      <c r="I892" s="42"/>
      <c r="J892" s="42"/>
      <c r="K892" s="42"/>
      <c r="L892" s="42"/>
      <c r="M892" s="42"/>
      <c r="N892" s="42"/>
      <c r="O892" s="42"/>
      <c r="P892" s="42"/>
      <c r="Q892" s="42"/>
      <c r="R892" s="42"/>
      <c r="S892" s="42"/>
      <c r="T892" s="42"/>
      <c r="U892" s="194"/>
      <c r="V892" s="42"/>
      <c r="W892" s="42"/>
      <c r="X892" s="42"/>
      <c r="Y892" s="42"/>
      <c r="Z892" s="42"/>
      <c r="AA892" s="42"/>
      <c r="AB892" s="195"/>
      <c r="AC892" s="42"/>
      <c r="AD892" s="42"/>
      <c r="AE892" s="195"/>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c r="BM892" s="42"/>
      <c r="BN892" s="42"/>
      <c r="BO892" s="42"/>
      <c r="BP892" s="42"/>
      <c r="BQ892" s="42"/>
      <c r="BR892" s="42"/>
      <c r="BS892" s="42"/>
      <c r="BT892" s="42"/>
      <c r="BU892" s="42"/>
      <c r="BV892" s="42"/>
      <c r="BW892" s="42"/>
      <c r="BX892" s="42"/>
      <c r="BY892" s="42"/>
      <c r="BZ892" s="42"/>
      <c r="CA892" s="42"/>
      <c r="CB892" s="42"/>
      <c r="CC892" s="42"/>
      <c r="CD892" s="42"/>
      <c r="CE892" s="42"/>
      <c r="CF892" s="42"/>
      <c r="CG892" s="42"/>
      <c r="CH892" s="42"/>
      <c r="CI892" s="42"/>
      <c r="CJ892" s="42"/>
      <c r="CK892" s="42"/>
      <c r="CL892" s="42"/>
      <c r="CM892" s="42"/>
      <c r="CN892" s="42"/>
      <c r="CO892" s="42"/>
      <c r="CP892" s="42"/>
      <c r="CQ892" s="42"/>
      <c r="CR892" s="42"/>
      <c r="CS892" s="42"/>
      <c r="CT892" s="42"/>
      <c r="CU892" s="42"/>
      <c r="CV892" s="42"/>
      <c r="CW892" s="42"/>
      <c r="CX892" s="42"/>
      <c r="CY892" s="42"/>
      <c r="CZ892" s="42"/>
      <c r="DA892" s="42"/>
      <c r="DB892" s="42"/>
      <c r="DC892" s="42"/>
      <c r="DD892" s="42"/>
      <c r="DE892" s="42"/>
      <c r="DF892" s="42"/>
      <c r="DG892" s="42"/>
      <c r="DH892" s="42"/>
      <c r="DI892" s="42"/>
      <c r="DJ892" s="42"/>
      <c r="DK892" s="42"/>
      <c r="DL892" s="42"/>
      <c r="DM892" s="42"/>
      <c r="DN892" s="42"/>
      <c r="DO892" s="42"/>
      <c r="DP892" s="42"/>
      <c r="DQ892" s="42"/>
      <c r="DR892" s="42"/>
      <c r="DS892" s="42"/>
      <c r="DT892" s="42"/>
      <c r="DU892" s="42"/>
      <c r="DV892" s="42"/>
      <c r="DW892" s="42"/>
      <c r="DX892" s="42"/>
      <c r="DY892" s="42"/>
      <c r="DZ892" s="42"/>
      <c r="EA892" s="42"/>
      <c r="EB892" s="42"/>
      <c r="EC892" s="42"/>
      <c r="ED892" s="42"/>
      <c r="EE892" s="42"/>
      <c r="EF892" s="42"/>
      <c r="EG892" s="42"/>
      <c r="EH892" s="42"/>
      <c r="EI892" s="42"/>
      <c r="EJ892" s="42"/>
      <c r="EK892" s="42"/>
      <c r="EL892" s="42"/>
      <c r="EM892" s="42"/>
      <c r="EN892" s="42"/>
      <c r="EO892" s="42"/>
      <c r="EP892" s="42"/>
      <c r="EQ892" s="42"/>
      <c r="ER892" s="42"/>
      <c r="ES892" s="42"/>
      <c r="ET892" s="42"/>
      <c r="EU892" s="42"/>
      <c r="EV892" s="42"/>
      <c r="EW892" s="42"/>
      <c r="EX892" s="42"/>
      <c r="EY892" s="42"/>
      <c r="EZ892" s="42"/>
      <c r="FA892" s="42"/>
      <c r="FB892" s="42"/>
      <c r="FC892" s="42"/>
      <c r="FD892" s="42"/>
      <c r="FE892" s="42"/>
      <c r="FF892" s="42"/>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row>
    <row r="893" spans="1:256" ht="13.8" x14ac:dyDescent="0.3">
      <c r="A893" s="42"/>
      <c r="B893" s="42"/>
      <c r="C893" s="42"/>
      <c r="D893" s="42"/>
      <c r="E893" s="42"/>
      <c r="F893" s="42"/>
      <c r="G893" s="42"/>
      <c r="H893" s="42"/>
      <c r="I893" s="42"/>
      <c r="J893" s="42"/>
      <c r="K893" s="42"/>
      <c r="L893" s="42"/>
      <c r="M893" s="42"/>
      <c r="N893" s="42"/>
      <c r="O893" s="42"/>
      <c r="P893" s="42"/>
      <c r="Q893" s="42"/>
      <c r="R893" s="42"/>
      <c r="S893" s="42"/>
      <c r="T893" s="42"/>
      <c r="U893" s="194"/>
      <c r="V893" s="42"/>
      <c r="W893" s="42"/>
      <c r="X893" s="42"/>
      <c r="Y893" s="42"/>
      <c r="Z893" s="42"/>
      <c r="AA893" s="42"/>
      <c r="AB893" s="195"/>
      <c r="AC893" s="42"/>
      <c r="AD893" s="42"/>
      <c r="AE893" s="195"/>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c r="BM893" s="42"/>
      <c r="BN893" s="42"/>
      <c r="BO893" s="42"/>
      <c r="BP893" s="42"/>
      <c r="BQ893" s="42"/>
      <c r="BR893" s="42"/>
      <c r="BS893" s="42"/>
      <c r="BT893" s="42"/>
      <c r="BU893" s="42"/>
      <c r="BV893" s="42"/>
      <c r="BW893" s="42"/>
      <c r="BX893" s="42"/>
      <c r="BY893" s="42"/>
      <c r="BZ893" s="42"/>
      <c r="CA893" s="42"/>
      <c r="CB893" s="42"/>
      <c r="CC893" s="42"/>
      <c r="CD893" s="42"/>
      <c r="CE893" s="42"/>
      <c r="CF893" s="42"/>
      <c r="CG893" s="42"/>
      <c r="CH893" s="42"/>
      <c r="CI893" s="42"/>
      <c r="CJ893" s="42"/>
      <c r="CK893" s="42"/>
      <c r="CL893" s="42"/>
      <c r="CM893" s="42"/>
      <c r="CN893" s="42"/>
      <c r="CO893" s="42"/>
      <c r="CP893" s="42"/>
      <c r="CQ893" s="42"/>
      <c r="CR893" s="42"/>
      <c r="CS893" s="42"/>
      <c r="CT893" s="42"/>
      <c r="CU893" s="42"/>
      <c r="CV893" s="42"/>
      <c r="CW893" s="42"/>
      <c r="CX893" s="42"/>
      <c r="CY893" s="42"/>
      <c r="CZ893" s="42"/>
      <c r="DA893" s="42"/>
      <c r="DB893" s="42"/>
      <c r="DC893" s="42"/>
      <c r="DD893" s="42"/>
      <c r="DE893" s="42"/>
      <c r="DF893" s="42"/>
      <c r="DG893" s="42"/>
      <c r="DH893" s="42"/>
      <c r="DI893" s="42"/>
      <c r="DJ893" s="42"/>
      <c r="DK893" s="42"/>
      <c r="DL893" s="42"/>
      <c r="DM893" s="42"/>
      <c r="DN893" s="42"/>
      <c r="DO893" s="42"/>
      <c r="DP893" s="42"/>
      <c r="DQ893" s="42"/>
      <c r="DR893" s="42"/>
      <c r="DS893" s="42"/>
      <c r="DT893" s="42"/>
      <c r="DU893" s="42"/>
      <c r="DV893" s="42"/>
      <c r="DW893" s="42"/>
      <c r="DX893" s="42"/>
      <c r="DY893" s="42"/>
      <c r="DZ893" s="42"/>
      <c r="EA893" s="42"/>
      <c r="EB893" s="42"/>
      <c r="EC893" s="42"/>
      <c r="ED893" s="42"/>
      <c r="EE893" s="42"/>
      <c r="EF893" s="42"/>
      <c r="EG893" s="42"/>
      <c r="EH893" s="42"/>
      <c r="EI893" s="42"/>
      <c r="EJ893" s="42"/>
      <c r="EK893" s="42"/>
      <c r="EL893" s="42"/>
      <c r="EM893" s="42"/>
      <c r="EN893" s="42"/>
      <c r="EO893" s="42"/>
      <c r="EP893" s="42"/>
      <c r="EQ893" s="42"/>
      <c r="ER893" s="42"/>
      <c r="ES893" s="42"/>
      <c r="ET893" s="42"/>
      <c r="EU893" s="42"/>
      <c r="EV893" s="42"/>
      <c r="EW893" s="42"/>
      <c r="EX893" s="42"/>
      <c r="EY893" s="42"/>
      <c r="EZ893" s="42"/>
      <c r="FA893" s="42"/>
      <c r="FB893" s="42"/>
      <c r="FC893" s="42"/>
      <c r="FD893" s="42"/>
      <c r="FE893" s="42"/>
      <c r="FF893" s="42"/>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row>
    <row r="894" spans="1:256" ht="13.8" x14ac:dyDescent="0.3">
      <c r="A894" s="42"/>
      <c r="B894" s="42"/>
      <c r="C894" s="42"/>
      <c r="D894" s="42"/>
      <c r="E894" s="42"/>
      <c r="F894" s="42"/>
      <c r="G894" s="42"/>
      <c r="H894" s="42"/>
      <c r="I894" s="42"/>
      <c r="J894" s="42"/>
      <c r="K894" s="42"/>
      <c r="L894" s="42"/>
      <c r="M894" s="42"/>
      <c r="N894" s="42"/>
      <c r="O894" s="42"/>
      <c r="P894" s="42"/>
      <c r="Q894" s="42"/>
      <c r="R894" s="42"/>
      <c r="S894" s="42"/>
      <c r="T894" s="42"/>
      <c r="U894" s="194"/>
      <c r="V894" s="42"/>
      <c r="W894" s="42"/>
      <c r="X894" s="42"/>
      <c r="Y894" s="42"/>
      <c r="Z894" s="42"/>
      <c r="AA894" s="42"/>
      <c r="AB894" s="195"/>
      <c r="AC894" s="42"/>
      <c r="AD894" s="42"/>
      <c r="AE894" s="195"/>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c r="BM894" s="42"/>
      <c r="BN894" s="42"/>
      <c r="BO894" s="42"/>
      <c r="BP894" s="42"/>
      <c r="BQ894" s="42"/>
      <c r="BR894" s="42"/>
      <c r="BS894" s="42"/>
      <c r="BT894" s="42"/>
      <c r="BU894" s="42"/>
      <c r="BV894" s="42"/>
      <c r="BW894" s="42"/>
      <c r="BX894" s="42"/>
      <c r="BY894" s="42"/>
      <c r="BZ894" s="42"/>
      <c r="CA894" s="42"/>
      <c r="CB894" s="42"/>
      <c r="CC894" s="42"/>
      <c r="CD894" s="42"/>
      <c r="CE894" s="42"/>
      <c r="CF894" s="42"/>
      <c r="CG894" s="42"/>
      <c r="CH894" s="42"/>
      <c r="CI894" s="42"/>
      <c r="CJ894" s="42"/>
      <c r="CK894" s="42"/>
      <c r="CL894" s="42"/>
      <c r="CM894" s="42"/>
      <c r="CN894" s="42"/>
      <c r="CO894" s="42"/>
      <c r="CP894" s="42"/>
      <c r="CQ894" s="42"/>
      <c r="CR894" s="42"/>
      <c r="CS894" s="42"/>
      <c r="CT894" s="42"/>
      <c r="CU894" s="42"/>
      <c r="CV894" s="42"/>
      <c r="CW894" s="42"/>
      <c r="CX894" s="42"/>
      <c r="CY894" s="42"/>
      <c r="CZ894" s="42"/>
      <c r="DA894" s="42"/>
      <c r="DB894" s="42"/>
      <c r="DC894" s="42"/>
      <c r="DD894" s="42"/>
      <c r="DE894" s="42"/>
      <c r="DF894" s="42"/>
      <c r="DG894" s="42"/>
      <c r="DH894" s="42"/>
      <c r="DI894" s="42"/>
      <c r="DJ894" s="42"/>
      <c r="DK894" s="42"/>
      <c r="DL894" s="42"/>
      <c r="DM894" s="42"/>
      <c r="DN894" s="42"/>
      <c r="DO894" s="42"/>
      <c r="DP894" s="42"/>
      <c r="DQ894" s="42"/>
      <c r="DR894" s="42"/>
      <c r="DS894" s="42"/>
      <c r="DT894" s="42"/>
      <c r="DU894" s="42"/>
      <c r="DV894" s="42"/>
      <c r="DW894" s="42"/>
      <c r="DX894" s="42"/>
      <c r="DY894" s="42"/>
      <c r="DZ894" s="42"/>
      <c r="EA894" s="42"/>
      <c r="EB894" s="42"/>
      <c r="EC894" s="42"/>
      <c r="ED894" s="42"/>
      <c r="EE894" s="42"/>
      <c r="EF894" s="42"/>
      <c r="EG894" s="42"/>
      <c r="EH894" s="42"/>
      <c r="EI894" s="42"/>
      <c r="EJ894" s="42"/>
      <c r="EK894" s="42"/>
      <c r="EL894" s="42"/>
      <c r="EM894" s="42"/>
      <c r="EN894" s="42"/>
      <c r="EO894" s="42"/>
      <c r="EP894" s="42"/>
      <c r="EQ894" s="42"/>
      <c r="ER894" s="42"/>
      <c r="ES894" s="42"/>
      <c r="ET894" s="42"/>
      <c r="EU894" s="42"/>
      <c r="EV894" s="42"/>
      <c r="EW894" s="42"/>
      <c r="EX894" s="42"/>
      <c r="EY894" s="42"/>
      <c r="EZ894" s="42"/>
      <c r="FA894" s="42"/>
      <c r="FB894" s="42"/>
      <c r="FC894" s="42"/>
      <c r="FD894" s="42"/>
      <c r="FE894" s="42"/>
      <c r="FF894" s="42"/>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row>
    <row r="895" spans="1:256" ht="13.8" x14ac:dyDescent="0.3">
      <c r="A895" s="42"/>
      <c r="B895" s="42"/>
      <c r="C895" s="42"/>
      <c r="D895" s="42"/>
      <c r="E895" s="42"/>
      <c r="F895" s="42"/>
      <c r="G895" s="42"/>
      <c r="H895" s="42"/>
      <c r="I895" s="42"/>
      <c r="J895" s="42"/>
      <c r="K895" s="42"/>
      <c r="L895" s="42"/>
      <c r="M895" s="42"/>
      <c r="N895" s="42"/>
      <c r="O895" s="42"/>
      <c r="P895" s="42"/>
      <c r="Q895" s="42"/>
      <c r="R895" s="42"/>
      <c r="S895" s="42"/>
      <c r="T895" s="42"/>
      <c r="U895" s="194"/>
      <c r="V895" s="42"/>
      <c r="W895" s="42"/>
      <c r="X895" s="42"/>
      <c r="Y895" s="42"/>
      <c r="Z895" s="42"/>
      <c r="AA895" s="42"/>
      <c r="AB895" s="195"/>
      <c r="AC895" s="42"/>
      <c r="AD895" s="42"/>
      <c r="AE895" s="195"/>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c r="BM895" s="42"/>
      <c r="BN895" s="42"/>
      <c r="BO895" s="42"/>
      <c r="BP895" s="42"/>
      <c r="BQ895" s="42"/>
      <c r="BR895" s="42"/>
      <c r="BS895" s="42"/>
      <c r="BT895" s="42"/>
      <c r="BU895" s="42"/>
      <c r="BV895" s="42"/>
      <c r="BW895" s="42"/>
      <c r="BX895" s="42"/>
      <c r="BY895" s="42"/>
      <c r="BZ895" s="42"/>
      <c r="CA895" s="42"/>
      <c r="CB895" s="42"/>
      <c r="CC895" s="42"/>
      <c r="CD895" s="42"/>
      <c r="CE895" s="42"/>
      <c r="CF895" s="42"/>
      <c r="CG895" s="42"/>
      <c r="CH895" s="42"/>
      <c r="CI895" s="42"/>
      <c r="CJ895" s="42"/>
      <c r="CK895" s="42"/>
      <c r="CL895" s="42"/>
      <c r="CM895" s="42"/>
      <c r="CN895" s="42"/>
      <c r="CO895" s="42"/>
      <c r="CP895" s="42"/>
      <c r="CQ895" s="42"/>
      <c r="CR895" s="42"/>
      <c r="CS895" s="42"/>
      <c r="CT895" s="42"/>
      <c r="CU895" s="42"/>
      <c r="CV895" s="42"/>
      <c r="CW895" s="42"/>
      <c r="CX895" s="42"/>
      <c r="CY895" s="42"/>
      <c r="CZ895" s="42"/>
      <c r="DA895" s="42"/>
      <c r="DB895" s="42"/>
      <c r="DC895" s="42"/>
      <c r="DD895" s="42"/>
      <c r="DE895" s="42"/>
      <c r="DF895" s="42"/>
      <c r="DG895" s="42"/>
      <c r="DH895" s="42"/>
      <c r="DI895" s="42"/>
      <c r="DJ895" s="42"/>
      <c r="DK895" s="42"/>
      <c r="DL895" s="42"/>
      <c r="DM895" s="42"/>
      <c r="DN895" s="42"/>
      <c r="DO895" s="42"/>
      <c r="DP895" s="42"/>
      <c r="DQ895" s="42"/>
      <c r="DR895" s="42"/>
      <c r="DS895" s="42"/>
      <c r="DT895" s="42"/>
      <c r="DU895" s="42"/>
      <c r="DV895" s="42"/>
      <c r="DW895" s="42"/>
      <c r="DX895" s="42"/>
      <c r="DY895" s="42"/>
      <c r="DZ895" s="42"/>
      <c r="EA895" s="42"/>
      <c r="EB895" s="42"/>
      <c r="EC895" s="42"/>
      <c r="ED895" s="42"/>
      <c r="EE895" s="42"/>
      <c r="EF895" s="42"/>
      <c r="EG895" s="42"/>
      <c r="EH895" s="42"/>
      <c r="EI895" s="42"/>
      <c r="EJ895" s="42"/>
      <c r="EK895" s="42"/>
      <c r="EL895" s="42"/>
      <c r="EM895" s="42"/>
      <c r="EN895" s="42"/>
      <c r="EO895" s="42"/>
      <c r="EP895" s="42"/>
      <c r="EQ895" s="42"/>
      <c r="ER895" s="42"/>
      <c r="ES895" s="42"/>
      <c r="ET895" s="42"/>
      <c r="EU895" s="42"/>
      <c r="EV895" s="42"/>
      <c r="EW895" s="42"/>
      <c r="EX895" s="42"/>
      <c r="EY895" s="42"/>
      <c r="EZ895" s="42"/>
      <c r="FA895" s="42"/>
      <c r="FB895" s="42"/>
      <c r="FC895" s="42"/>
      <c r="FD895" s="42"/>
      <c r="FE895" s="42"/>
      <c r="FF895" s="42"/>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row>
    <row r="896" spans="1:256" ht="13.8" x14ac:dyDescent="0.3">
      <c r="A896" s="42"/>
      <c r="B896" s="42"/>
      <c r="C896" s="42"/>
      <c r="D896" s="42"/>
      <c r="E896" s="42"/>
      <c r="F896" s="42"/>
      <c r="G896" s="42"/>
      <c r="H896" s="42"/>
      <c r="I896" s="42"/>
      <c r="J896" s="42"/>
      <c r="K896" s="42"/>
      <c r="L896" s="42"/>
      <c r="M896" s="42"/>
      <c r="N896" s="42"/>
      <c r="O896" s="42"/>
      <c r="P896" s="42"/>
      <c r="Q896" s="42"/>
      <c r="R896" s="42"/>
      <c r="S896" s="42"/>
      <c r="T896" s="42"/>
      <c r="U896" s="194"/>
      <c r="V896" s="42"/>
      <c r="W896" s="42"/>
      <c r="X896" s="42"/>
      <c r="Y896" s="42"/>
      <c r="Z896" s="42"/>
      <c r="AA896" s="42"/>
      <c r="AB896" s="195"/>
      <c r="AC896" s="42"/>
      <c r="AD896" s="42"/>
      <c r="AE896" s="195"/>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c r="BM896" s="42"/>
      <c r="BN896" s="42"/>
      <c r="BO896" s="42"/>
      <c r="BP896" s="42"/>
      <c r="BQ896" s="42"/>
      <c r="BR896" s="42"/>
      <c r="BS896" s="42"/>
      <c r="BT896" s="42"/>
      <c r="BU896" s="42"/>
      <c r="BV896" s="42"/>
      <c r="BW896" s="42"/>
      <c r="BX896" s="42"/>
      <c r="BY896" s="42"/>
      <c r="BZ896" s="42"/>
      <c r="CA896" s="42"/>
      <c r="CB896" s="42"/>
      <c r="CC896" s="42"/>
      <c r="CD896" s="42"/>
      <c r="CE896" s="42"/>
      <c r="CF896" s="42"/>
      <c r="CG896" s="42"/>
      <c r="CH896" s="42"/>
      <c r="CI896" s="42"/>
      <c r="CJ896" s="42"/>
      <c r="CK896" s="42"/>
      <c r="CL896" s="42"/>
      <c r="CM896" s="42"/>
      <c r="CN896" s="42"/>
      <c r="CO896" s="42"/>
      <c r="CP896" s="42"/>
      <c r="CQ896" s="42"/>
      <c r="CR896" s="42"/>
      <c r="CS896" s="42"/>
      <c r="CT896" s="42"/>
      <c r="CU896" s="42"/>
      <c r="CV896" s="42"/>
      <c r="CW896" s="42"/>
      <c r="CX896" s="42"/>
      <c r="CY896" s="42"/>
      <c r="CZ896" s="42"/>
      <c r="DA896" s="42"/>
      <c r="DB896" s="42"/>
      <c r="DC896" s="42"/>
      <c r="DD896" s="42"/>
      <c r="DE896" s="42"/>
      <c r="DF896" s="42"/>
      <c r="DG896" s="42"/>
      <c r="DH896" s="42"/>
      <c r="DI896" s="42"/>
      <c r="DJ896" s="42"/>
      <c r="DK896" s="42"/>
      <c r="DL896" s="42"/>
      <c r="DM896" s="42"/>
      <c r="DN896" s="42"/>
      <c r="DO896" s="42"/>
      <c r="DP896" s="42"/>
      <c r="DQ896" s="42"/>
      <c r="DR896" s="42"/>
      <c r="DS896" s="42"/>
      <c r="DT896" s="42"/>
      <c r="DU896" s="42"/>
      <c r="DV896" s="42"/>
      <c r="DW896" s="42"/>
      <c r="DX896" s="42"/>
      <c r="DY896" s="42"/>
      <c r="DZ896" s="42"/>
      <c r="EA896" s="42"/>
      <c r="EB896" s="42"/>
      <c r="EC896" s="42"/>
      <c r="ED896" s="42"/>
      <c r="EE896" s="42"/>
      <c r="EF896" s="42"/>
      <c r="EG896" s="42"/>
      <c r="EH896" s="42"/>
      <c r="EI896" s="42"/>
      <c r="EJ896" s="42"/>
      <c r="EK896" s="42"/>
      <c r="EL896" s="42"/>
      <c r="EM896" s="42"/>
      <c r="EN896" s="42"/>
      <c r="EO896" s="42"/>
      <c r="EP896" s="42"/>
      <c r="EQ896" s="42"/>
      <c r="ER896" s="42"/>
      <c r="ES896" s="42"/>
      <c r="ET896" s="42"/>
      <c r="EU896" s="42"/>
      <c r="EV896" s="42"/>
      <c r="EW896" s="42"/>
      <c r="EX896" s="42"/>
      <c r="EY896" s="42"/>
      <c r="EZ896" s="42"/>
      <c r="FA896" s="42"/>
      <c r="FB896" s="42"/>
      <c r="FC896" s="42"/>
      <c r="FD896" s="42"/>
      <c r="FE896" s="42"/>
      <c r="FF896" s="42"/>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row>
    <row r="897" spans="1:256" ht="13.8" x14ac:dyDescent="0.3">
      <c r="A897" s="42"/>
      <c r="B897" s="42"/>
      <c r="C897" s="42"/>
      <c r="D897" s="42"/>
      <c r="E897" s="42"/>
      <c r="F897" s="42"/>
      <c r="G897" s="42"/>
      <c r="H897" s="42"/>
      <c r="I897" s="42"/>
      <c r="J897" s="42"/>
      <c r="K897" s="42"/>
      <c r="L897" s="42"/>
      <c r="M897" s="42"/>
      <c r="N897" s="42"/>
      <c r="O897" s="42"/>
      <c r="P897" s="42"/>
      <c r="Q897" s="42"/>
      <c r="R897" s="42"/>
      <c r="S897" s="42"/>
      <c r="T897" s="42"/>
      <c r="U897" s="194"/>
      <c r="V897" s="42"/>
      <c r="W897" s="42"/>
      <c r="X897" s="42"/>
      <c r="Y897" s="42"/>
      <c r="Z897" s="42"/>
      <c r="AA897" s="42"/>
      <c r="AB897" s="195"/>
      <c r="AC897" s="42"/>
      <c r="AD897" s="42"/>
      <c r="AE897" s="195"/>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c r="BM897" s="42"/>
      <c r="BN897" s="42"/>
      <c r="BO897" s="42"/>
      <c r="BP897" s="42"/>
      <c r="BQ897" s="42"/>
      <c r="BR897" s="42"/>
      <c r="BS897" s="42"/>
      <c r="BT897" s="42"/>
      <c r="BU897" s="42"/>
      <c r="BV897" s="42"/>
      <c r="BW897" s="42"/>
      <c r="BX897" s="42"/>
      <c r="BY897" s="42"/>
      <c r="BZ897" s="42"/>
      <c r="CA897" s="42"/>
      <c r="CB897" s="42"/>
      <c r="CC897" s="42"/>
      <c r="CD897" s="42"/>
      <c r="CE897" s="42"/>
      <c r="CF897" s="42"/>
      <c r="CG897" s="42"/>
      <c r="CH897" s="42"/>
      <c r="CI897" s="42"/>
      <c r="CJ897" s="42"/>
      <c r="CK897" s="42"/>
      <c r="CL897" s="42"/>
      <c r="CM897" s="42"/>
      <c r="CN897" s="42"/>
      <c r="CO897" s="42"/>
      <c r="CP897" s="42"/>
      <c r="CQ897" s="42"/>
      <c r="CR897" s="42"/>
      <c r="CS897" s="42"/>
      <c r="CT897" s="42"/>
      <c r="CU897" s="42"/>
      <c r="CV897" s="42"/>
      <c r="CW897" s="42"/>
      <c r="CX897" s="42"/>
      <c r="CY897" s="42"/>
      <c r="CZ897" s="42"/>
      <c r="DA897" s="42"/>
      <c r="DB897" s="42"/>
      <c r="DC897" s="42"/>
      <c r="DD897" s="42"/>
      <c r="DE897" s="42"/>
      <c r="DF897" s="42"/>
      <c r="DG897" s="42"/>
      <c r="DH897" s="42"/>
      <c r="DI897" s="42"/>
      <c r="DJ897" s="42"/>
      <c r="DK897" s="42"/>
      <c r="DL897" s="42"/>
      <c r="DM897" s="42"/>
      <c r="DN897" s="42"/>
      <c r="DO897" s="42"/>
      <c r="DP897" s="42"/>
      <c r="DQ897" s="42"/>
      <c r="DR897" s="42"/>
      <c r="DS897" s="42"/>
      <c r="DT897" s="42"/>
      <c r="DU897" s="42"/>
      <c r="DV897" s="42"/>
      <c r="DW897" s="42"/>
      <c r="DX897" s="42"/>
      <c r="DY897" s="42"/>
      <c r="DZ897" s="42"/>
      <c r="EA897" s="42"/>
      <c r="EB897" s="42"/>
      <c r="EC897" s="42"/>
      <c r="ED897" s="42"/>
      <c r="EE897" s="42"/>
      <c r="EF897" s="42"/>
      <c r="EG897" s="42"/>
      <c r="EH897" s="42"/>
      <c r="EI897" s="42"/>
      <c r="EJ897" s="42"/>
      <c r="EK897" s="42"/>
      <c r="EL897" s="42"/>
      <c r="EM897" s="42"/>
      <c r="EN897" s="42"/>
      <c r="EO897" s="42"/>
      <c r="EP897" s="42"/>
      <c r="EQ897" s="42"/>
      <c r="ER897" s="42"/>
      <c r="ES897" s="42"/>
      <c r="ET897" s="42"/>
      <c r="EU897" s="42"/>
      <c r="EV897" s="42"/>
      <c r="EW897" s="42"/>
      <c r="EX897" s="42"/>
      <c r="EY897" s="42"/>
      <c r="EZ897" s="42"/>
      <c r="FA897" s="42"/>
      <c r="FB897" s="42"/>
      <c r="FC897" s="42"/>
      <c r="FD897" s="42"/>
      <c r="FE897" s="42"/>
      <c r="FF897" s="42"/>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row>
    <row r="898" spans="1:256" ht="13.8" x14ac:dyDescent="0.3">
      <c r="A898" s="42"/>
      <c r="B898" s="42"/>
      <c r="C898" s="42"/>
      <c r="D898" s="42"/>
      <c r="E898" s="42"/>
      <c r="F898" s="42"/>
      <c r="G898" s="42"/>
      <c r="H898" s="42"/>
      <c r="I898" s="42"/>
      <c r="J898" s="42"/>
      <c r="K898" s="42"/>
      <c r="L898" s="42"/>
      <c r="M898" s="42"/>
      <c r="N898" s="42"/>
      <c r="O898" s="42"/>
      <c r="P898" s="42"/>
      <c r="Q898" s="42"/>
      <c r="R898" s="42"/>
      <c r="S898" s="42"/>
      <c r="T898" s="42"/>
      <c r="U898" s="194"/>
      <c r="V898" s="42"/>
      <c r="W898" s="42"/>
      <c r="X898" s="42"/>
      <c r="Y898" s="42"/>
      <c r="Z898" s="42"/>
      <c r="AA898" s="42"/>
      <c r="AB898" s="195"/>
      <c r="AC898" s="42"/>
      <c r="AD898" s="42"/>
      <c r="AE898" s="195"/>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c r="BM898" s="42"/>
      <c r="BN898" s="42"/>
      <c r="BO898" s="42"/>
      <c r="BP898" s="42"/>
      <c r="BQ898" s="42"/>
      <c r="BR898" s="42"/>
      <c r="BS898" s="42"/>
      <c r="BT898" s="42"/>
      <c r="BU898" s="42"/>
      <c r="BV898" s="42"/>
      <c r="BW898" s="42"/>
      <c r="BX898" s="42"/>
      <c r="BY898" s="42"/>
      <c r="BZ898" s="42"/>
      <c r="CA898" s="42"/>
      <c r="CB898" s="42"/>
      <c r="CC898" s="42"/>
      <c r="CD898" s="42"/>
      <c r="CE898" s="42"/>
      <c r="CF898" s="42"/>
      <c r="CG898" s="42"/>
      <c r="CH898" s="42"/>
      <c r="CI898" s="42"/>
      <c r="CJ898" s="42"/>
      <c r="CK898" s="42"/>
      <c r="CL898" s="42"/>
      <c r="CM898" s="42"/>
      <c r="CN898" s="42"/>
      <c r="CO898" s="42"/>
      <c r="CP898" s="42"/>
      <c r="CQ898" s="42"/>
      <c r="CR898" s="42"/>
      <c r="CS898" s="42"/>
      <c r="CT898" s="42"/>
      <c r="CU898" s="42"/>
      <c r="CV898" s="42"/>
      <c r="CW898" s="42"/>
      <c r="CX898" s="42"/>
      <c r="CY898" s="42"/>
      <c r="CZ898" s="42"/>
      <c r="DA898" s="42"/>
      <c r="DB898" s="42"/>
      <c r="DC898" s="42"/>
      <c r="DD898" s="42"/>
      <c r="DE898" s="42"/>
      <c r="DF898" s="42"/>
      <c r="DG898" s="42"/>
      <c r="DH898" s="42"/>
      <c r="DI898" s="42"/>
      <c r="DJ898" s="42"/>
      <c r="DK898" s="42"/>
      <c r="DL898" s="42"/>
      <c r="DM898" s="42"/>
      <c r="DN898" s="42"/>
      <c r="DO898" s="42"/>
      <c r="DP898" s="42"/>
      <c r="DQ898" s="42"/>
      <c r="DR898" s="42"/>
      <c r="DS898" s="42"/>
      <c r="DT898" s="42"/>
      <c r="DU898" s="42"/>
      <c r="DV898" s="42"/>
      <c r="DW898" s="42"/>
      <c r="DX898" s="42"/>
      <c r="DY898" s="42"/>
      <c r="DZ898" s="42"/>
      <c r="EA898" s="42"/>
      <c r="EB898" s="42"/>
      <c r="EC898" s="42"/>
      <c r="ED898" s="42"/>
      <c r="EE898" s="42"/>
      <c r="EF898" s="42"/>
      <c r="EG898" s="42"/>
      <c r="EH898" s="42"/>
      <c r="EI898" s="42"/>
      <c r="EJ898" s="42"/>
      <c r="EK898" s="42"/>
      <c r="EL898" s="42"/>
      <c r="EM898" s="42"/>
      <c r="EN898" s="42"/>
      <c r="EO898" s="42"/>
      <c r="EP898" s="42"/>
      <c r="EQ898" s="42"/>
      <c r="ER898" s="42"/>
      <c r="ES898" s="42"/>
      <c r="ET898" s="42"/>
      <c r="EU898" s="42"/>
      <c r="EV898" s="42"/>
      <c r="EW898" s="42"/>
      <c r="EX898" s="42"/>
      <c r="EY898" s="42"/>
      <c r="EZ898" s="42"/>
      <c r="FA898" s="42"/>
      <c r="FB898" s="42"/>
      <c r="FC898" s="42"/>
      <c r="FD898" s="42"/>
      <c r="FE898" s="42"/>
      <c r="FF898" s="42"/>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row>
    <row r="899" spans="1:256" ht="13.8" x14ac:dyDescent="0.3">
      <c r="A899" s="42"/>
      <c r="B899" s="42"/>
      <c r="C899" s="42"/>
      <c r="D899" s="42"/>
      <c r="E899" s="42"/>
      <c r="F899" s="42"/>
      <c r="G899" s="42"/>
      <c r="H899" s="42"/>
      <c r="I899" s="42"/>
      <c r="J899" s="42"/>
      <c r="K899" s="42"/>
      <c r="L899" s="42"/>
      <c r="M899" s="42"/>
      <c r="N899" s="42"/>
      <c r="O899" s="42"/>
      <c r="P899" s="42"/>
      <c r="Q899" s="42"/>
      <c r="R899" s="42"/>
      <c r="S899" s="42"/>
      <c r="T899" s="42"/>
      <c r="U899" s="194"/>
      <c r="V899" s="42"/>
      <c r="W899" s="42"/>
      <c r="X899" s="42"/>
      <c r="Y899" s="42"/>
      <c r="Z899" s="42"/>
      <c r="AA899" s="42"/>
      <c r="AB899" s="195"/>
      <c r="AC899" s="42"/>
      <c r="AD899" s="42"/>
      <c r="AE899" s="195"/>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c r="BM899" s="42"/>
      <c r="BN899" s="42"/>
      <c r="BO899" s="42"/>
      <c r="BP899" s="42"/>
      <c r="BQ899" s="42"/>
      <c r="BR899" s="42"/>
      <c r="BS899" s="42"/>
      <c r="BT899" s="42"/>
      <c r="BU899" s="42"/>
      <c r="BV899" s="42"/>
      <c r="BW899" s="42"/>
      <c r="BX899" s="42"/>
      <c r="BY899" s="42"/>
      <c r="BZ899" s="42"/>
      <c r="CA899" s="42"/>
      <c r="CB899" s="42"/>
      <c r="CC899" s="42"/>
      <c r="CD899" s="42"/>
      <c r="CE899" s="42"/>
      <c r="CF899" s="42"/>
      <c r="CG899" s="42"/>
      <c r="CH899" s="42"/>
      <c r="CI899" s="42"/>
      <c r="CJ899" s="42"/>
      <c r="CK899" s="42"/>
      <c r="CL899" s="42"/>
      <c r="CM899" s="42"/>
      <c r="CN899" s="42"/>
      <c r="CO899" s="42"/>
      <c r="CP899" s="42"/>
      <c r="CQ899" s="42"/>
      <c r="CR899" s="42"/>
      <c r="CS899" s="42"/>
      <c r="CT899" s="42"/>
      <c r="CU899" s="42"/>
      <c r="CV899" s="42"/>
      <c r="CW899" s="42"/>
      <c r="CX899" s="42"/>
      <c r="CY899" s="42"/>
      <c r="CZ899" s="42"/>
      <c r="DA899" s="42"/>
      <c r="DB899" s="42"/>
      <c r="DC899" s="42"/>
      <c r="DD899" s="42"/>
      <c r="DE899" s="42"/>
      <c r="DF899" s="42"/>
      <c r="DG899" s="42"/>
      <c r="DH899" s="42"/>
      <c r="DI899" s="42"/>
      <c r="DJ899" s="42"/>
      <c r="DK899" s="42"/>
      <c r="DL899" s="42"/>
      <c r="DM899" s="42"/>
      <c r="DN899" s="42"/>
      <c r="DO899" s="42"/>
      <c r="DP899" s="42"/>
      <c r="DQ899" s="42"/>
      <c r="DR899" s="42"/>
      <c r="DS899" s="42"/>
      <c r="DT899" s="42"/>
      <c r="DU899" s="42"/>
      <c r="DV899" s="42"/>
      <c r="DW899" s="42"/>
      <c r="DX899" s="42"/>
      <c r="DY899" s="42"/>
      <c r="DZ899" s="42"/>
      <c r="EA899" s="42"/>
      <c r="EB899" s="42"/>
      <c r="EC899" s="42"/>
      <c r="ED899" s="42"/>
      <c r="EE899" s="42"/>
      <c r="EF899" s="42"/>
      <c r="EG899" s="42"/>
      <c r="EH899" s="42"/>
      <c r="EI899" s="42"/>
      <c r="EJ899" s="42"/>
      <c r="EK899" s="42"/>
      <c r="EL899" s="42"/>
      <c r="EM899" s="42"/>
      <c r="EN899" s="42"/>
      <c r="EO899" s="42"/>
      <c r="EP899" s="42"/>
      <c r="EQ899" s="42"/>
      <c r="ER899" s="42"/>
      <c r="ES899" s="42"/>
      <c r="ET899" s="42"/>
      <c r="EU899" s="42"/>
      <c r="EV899" s="42"/>
      <c r="EW899" s="42"/>
      <c r="EX899" s="42"/>
      <c r="EY899" s="42"/>
      <c r="EZ899" s="42"/>
      <c r="FA899" s="42"/>
      <c r="FB899" s="42"/>
      <c r="FC899" s="42"/>
      <c r="FD899" s="42"/>
      <c r="FE899" s="42"/>
      <c r="FF899" s="42"/>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row>
    <row r="900" spans="1:256" ht="13.8" x14ac:dyDescent="0.3">
      <c r="A900" s="42"/>
      <c r="B900" s="42"/>
      <c r="C900" s="42"/>
      <c r="D900" s="42"/>
      <c r="E900" s="42"/>
      <c r="F900" s="42"/>
      <c r="G900" s="42"/>
      <c r="H900" s="42"/>
      <c r="I900" s="42"/>
      <c r="J900" s="42"/>
      <c r="K900" s="42"/>
      <c r="L900" s="42"/>
      <c r="M900" s="42"/>
      <c r="N900" s="42"/>
      <c r="O900" s="42"/>
      <c r="P900" s="42"/>
      <c r="Q900" s="42"/>
      <c r="R900" s="42"/>
      <c r="S900" s="42"/>
      <c r="T900" s="42"/>
      <c r="U900" s="194"/>
      <c r="V900" s="42"/>
      <c r="W900" s="42"/>
      <c r="X900" s="42"/>
      <c r="Y900" s="42"/>
      <c r="Z900" s="42"/>
      <c r="AA900" s="42"/>
      <c r="AB900" s="195"/>
      <c r="AC900" s="42"/>
      <c r="AD900" s="42"/>
      <c r="AE900" s="195"/>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c r="BM900" s="42"/>
      <c r="BN900" s="42"/>
      <c r="BO900" s="42"/>
      <c r="BP900" s="42"/>
      <c r="BQ900" s="42"/>
      <c r="BR900" s="42"/>
      <c r="BS900" s="42"/>
      <c r="BT900" s="42"/>
      <c r="BU900" s="42"/>
      <c r="BV900" s="42"/>
      <c r="BW900" s="42"/>
      <c r="BX900" s="42"/>
      <c r="BY900" s="42"/>
      <c r="BZ900" s="42"/>
      <c r="CA900" s="42"/>
      <c r="CB900" s="42"/>
      <c r="CC900" s="42"/>
      <c r="CD900" s="42"/>
      <c r="CE900" s="42"/>
      <c r="CF900" s="42"/>
      <c r="CG900" s="42"/>
      <c r="CH900" s="42"/>
      <c r="CI900" s="42"/>
      <c r="CJ900" s="42"/>
      <c r="CK900" s="42"/>
      <c r="CL900" s="42"/>
      <c r="CM900" s="42"/>
      <c r="CN900" s="42"/>
      <c r="CO900" s="42"/>
      <c r="CP900" s="42"/>
      <c r="CQ900" s="42"/>
      <c r="CR900" s="42"/>
      <c r="CS900" s="42"/>
      <c r="CT900" s="42"/>
      <c r="CU900" s="42"/>
      <c r="CV900" s="42"/>
      <c r="CW900" s="42"/>
      <c r="CX900" s="42"/>
      <c r="CY900" s="42"/>
      <c r="CZ900" s="42"/>
      <c r="DA900" s="42"/>
      <c r="DB900" s="42"/>
      <c r="DC900" s="42"/>
      <c r="DD900" s="42"/>
      <c r="DE900" s="42"/>
      <c r="DF900" s="42"/>
      <c r="DG900" s="42"/>
      <c r="DH900" s="42"/>
      <c r="DI900" s="42"/>
      <c r="DJ900" s="42"/>
      <c r="DK900" s="42"/>
      <c r="DL900" s="42"/>
      <c r="DM900" s="42"/>
      <c r="DN900" s="42"/>
      <c r="DO900" s="42"/>
      <c r="DP900" s="42"/>
      <c r="DQ900" s="42"/>
      <c r="DR900" s="42"/>
      <c r="DS900" s="42"/>
      <c r="DT900" s="42"/>
      <c r="DU900" s="42"/>
      <c r="DV900" s="42"/>
      <c r="DW900" s="42"/>
      <c r="DX900" s="42"/>
      <c r="DY900" s="42"/>
      <c r="DZ900" s="42"/>
      <c r="EA900" s="42"/>
      <c r="EB900" s="42"/>
      <c r="EC900" s="42"/>
      <c r="ED900" s="42"/>
      <c r="EE900" s="42"/>
      <c r="EF900" s="42"/>
      <c r="EG900" s="42"/>
      <c r="EH900" s="42"/>
      <c r="EI900" s="42"/>
      <c r="EJ900" s="42"/>
      <c r="EK900" s="42"/>
      <c r="EL900" s="42"/>
      <c r="EM900" s="42"/>
      <c r="EN900" s="42"/>
      <c r="EO900" s="42"/>
      <c r="EP900" s="42"/>
      <c r="EQ900" s="42"/>
      <c r="ER900" s="42"/>
      <c r="ES900" s="42"/>
      <c r="ET900" s="42"/>
      <c r="EU900" s="42"/>
      <c r="EV900" s="42"/>
      <c r="EW900" s="42"/>
      <c r="EX900" s="42"/>
      <c r="EY900" s="42"/>
      <c r="EZ900" s="42"/>
      <c r="FA900" s="42"/>
      <c r="FB900" s="42"/>
      <c r="FC900" s="42"/>
      <c r="FD900" s="42"/>
      <c r="FE900" s="42"/>
      <c r="FF900" s="42"/>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row>
    <row r="901" spans="1:256" ht="13.8" x14ac:dyDescent="0.3">
      <c r="A901" s="42"/>
      <c r="B901" s="42"/>
      <c r="C901" s="42"/>
      <c r="D901" s="42"/>
      <c r="E901" s="42"/>
      <c r="F901" s="42"/>
      <c r="G901" s="42"/>
      <c r="H901" s="42"/>
      <c r="I901" s="42"/>
      <c r="J901" s="42"/>
      <c r="K901" s="42"/>
      <c r="L901" s="42"/>
      <c r="M901" s="42"/>
      <c r="N901" s="42"/>
      <c r="O901" s="42"/>
      <c r="P901" s="42"/>
      <c r="Q901" s="42"/>
      <c r="R901" s="42"/>
      <c r="S901" s="42"/>
      <c r="T901" s="42"/>
      <c r="U901" s="194"/>
      <c r="V901" s="42"/>
      <c r="W901" s="42"/>
      <c r="X901" s="42"/>
      <c r="Y901" s="42"/>
      <c r="Z901" s="42"/>
      <c r="AA901" s="42"/>
      <c r="AB901" s="195"/>
      <c r="AC901" s="42"/>
      <c r="AD901" s="42"/>
      <c r="AE901" s="195"/>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c r="BM901" s="42"/>
      <c r="BN901" s="42"/>
      <c r="BO901" s="42"/>
      <c r="BP901" s="42"/>
      <c r="BQ901" s="42"/>
      <c r="BR901" s="42"/>
      <c r="BS901" s="42"/>
      <c r="BT901" s="42"/>
      <c r="BU901" s="42"/>
      <c r="BV901" s="42"/>
      <c r="BW901" s="42"/>
      <c r="BX901" s="42"/>
      <c r="BY901" s="42"/>
      <c r="BZ901" s="42"/>
      <c r="CA901" s="42"/>
      <c r="CB901" s="42"/>
      <c r="CC901" s="42"/>
      <c r="CD901" s="42"/>
      <c r="CE901" s="42"/>
      <c r="CF901" s="42"/>
      <c r="CG901" s="42"/>
      <c r="CH901" s="42"/>
      <c r="CI901" s="42"/>
      <c r="CJ901" s="42"/>
      <c r="CK901" s="42"/>
      <c r="CL901" s="42"/>
      <c r="CM901" s="42"/>
      <c r="CN901" s="42"/>
      <c r="CO901" s="42"/>
      <c r="CP901" s="42"/>
      <c r="CQ901" s="42"/>
      <c r="CR901" s="42"/>
      <c r="CS901" s="42"/>
      <c r="CT901" s="42"/>
      <c r="CU901" s="42"/>
      <c r="CV901" s="42"/>
      <c r="CW901" s="42"/>
      <c r="CX901" s="42"/>
      <c r="CY901" s="42"/>
      <c r="CZ901" s="42"/>
      <c r="DA901" s="42"/>
      <c r="DB901" s="42"/>
      <c r="DC901" s="42"/>
      <c r="DD901" s="42"/>
      <c r="DE901" s="42"/>
      <c r="DF901" s="42"/>
      <c r="DG901" s="42"/>
      <c r="DH901" s="42"/>
      <c r="DI901" s="42"/>
      <c r="DJ901" s="42"/>
      <c r="DK901" s="42"/>
      <c r="DL901" s="42"/>
      <c r="DM901" s="42"/>
      <c r="DN901" s="42"/>
      <c r="DO901" s="42"/>
      <c r="DP901" s="42"/>
      <c r="DQ901" s="42"/>
      <c r="DR901" s="42"/>
      <c r="DS901" s="42"/>
      <c r="DT901" s="42"/>
      <c r="DU901" s="42"/>
      <c r="DV901" s="42"/>
      <c r="DW901" s="42"/>
      <c r="DX901" s="42"/>
      <c r="DY901" s="42"/>
      <c r="DZ901" s="42"/>
      <c r="EA901" s="42"/>
      <c r="EB901" s="42"/>
      <c r="EC901" s="42"/>
      <c r="ED901" s="42"/>
      <c r="EE901" s="42"/>
      <c r="EF901" s="42"/>
      <c r="EG901" s="42"/>
      <c r="EH901" s="42"/>
      <c r="EI901" s="42"/>
      <c r="EJ901" s="42"/>
      <c r="EK901" s="42"/>
      <c r="EL901" s="42"/>
      <c r="EM901" s="42"/>
      <c r="EN901" s="42"/>
      <c r="EO901" s="42"/>
      <c r="EP901" s="42"/>
      <c r="EQ901" s="42"/>
      <c r="ER901" s="42"/>
      <c r="ES901" s="42"/>
      <c r="ET901" s="42"/>
      <c r="EU901" s="42"/>
      <c r="EV901" s="42"/>
      <c r="EW901" s="42"/>
      <c r="EX901" s="42"/>
      <c r="EY901" s="42"/>
      <c r="EZ901" s="42"/>
      <c r="FA901" s="42"/>
      <c r="FB901" s="42"/>
      <c r="FC901" s="42"/>
      <c r="FD901" s="42"/>
      <c r="FE901" s="42"/>
      <c r="FF901" s="42"/>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row>
    <row r="902" spans="1:256" ht="13.8" x14ac:dyDescent="0.3">
      <c r="A902" s="42"/>
      <c r="B902" s="42"/>
      <c r="C902" s="42"/>
      <c r="D902" s="42"/>
      <c r="E902" s="42"/>
      <c r="F902" s="42"/>
      <c r="G902" s="42"/>
      <c r="H902" s="42"/>
      <c r="I902" s="42"/>
      <c r="J902" s="42"/>
      <c r="K902" s="42"/>
      <c r="L902" s="42"/>
      <c r="M902" s="42"/>
      <c r="N902" s="42"/>
      <c r="O902" s="42"/>
      <c r="P902" s="42"/>
      <c r="Q902" s="42"/>
      <c r="R902" s="42"/>
      <c r="S902" s="42"/>
      <c r="T902" s="42"/>
      <c r="U902" s="194"/>
      <c r="V902" s="42"/>
      <c r="W902" s="42"/>
      <c r="X902" s="42"/>
      <c r="Y902" s="42"/>
      <c r="Z902" s="42"/>
      <c r="AA902" s="42"/>
      <c r="AB902" s="195"/>
      <c r="AC902" s="42"/>
      <c r="AD902" s="42"/>
      <c r="AE902" s="195"/>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c r="BM902" s="42"/>
      <c r="BN902" s="42"/>
      <c r="BO902" s="42"/>
      <c r="BP902" s="42"/>
      <c r="BQ902" s="42"/>
      <c r="BR902" s="42"/>
      <c r="BS902" s="42"/>
      <c r="BT902" s="42"/>
      <c r="BU902" s="42"/>
      <c r="BV902" s="42"/>
      <c r="BW902" s="42"/>
      <c r="BX902" s="42"/>
      <c r="BY902" s="42"/>
      <c r="BZ902" s="42"/>
      <c r="CA902" s="42"/>
      <c r="CB902" s="42"/>
      <c r="CC902" s="42"/>
      <c r="CD902" s="42"/>
      <c r="CE902" s="42"/>
      <c r="CF902" s="42"/>
      <c r="CG902" s="42"/>
      <c r="CH902" s="42"/>
      <c r="CI902" s="42"/>
      <c r="CJ902" s="42"/>
      <c r="CK902" s="42"/>
      <c r="CL902" s="42"/>
      <c r="CM902" s="42"/>
      <c r="CN902" s="42"/>
      <c r="CO902" s="42"/>
      <c r="CP902" s="42"/>
      <c r="CQ902" s="42"/>
      <c r="CR902" s="42"/>
      <c r="CS902" s="42"/>
      <c r="CT902" s="42"/>
      <c r="CU902" s="42"/>
      <c r="CV902" s="42"/>
      <c r="CW902" s="42"/>
      <c r="CX902" s="42"/>
      <c r="CY902" s="42"/>
      <c r="CZ902" s="42"/>
      <c r="DA902" s="42"/>
      <c r="DB902" s="42"/>
      <c r="DC902" s="42"/>
      <c r="DD902" s="42"/>
      <c r="DE902" s="42"/>
      <c r="DF902" s="42"/>
      <c r="DG902" s="42"/>
      <c r="DH902" s="42"/>
      <c r="DI902" s="42"/>
      <c r="DJ902" s="42"/>
      <c r="DK902" s="42"/>
      <c r="DL902" s="42"/>
      <c r="DM902" s="42"/>
      <c r="DN902" s="42"/>
      <c r="DO902" s="42"/>
      <c r="DP902" s="42"/>
      <c r="DQ902" s="42"/>
      <c r="DR902" s="42"/>
      <c r="DS902" s="42"/>
      <c r="DT902" s="42"/>
      <c r="DU902" s="42"/>
      <c r="DV902" s="42"/>
      <c r="DW902" s="42"/>
      <c r="DX902" s="42"/>
      <c r="DY902" s="42"/>
      <c r="DZ902" s="42"/>
      <c r="EA902" s="42"/>
      <c r="EB902" s="42"/>
      <c r="EC902" s="42"/>
      <c r="ED902" s="42"/>
      <c r="EE902" s="42"/>
      <c r="EF902" s="42"/>
      <c r="EG902" s="42"/>
      <c r="EH902" s="42"/>
      <c r="EI902" s="42"/>
      <c r="EJ902" s="42"/>
      <c r="EK902" s="42"/>
      <c r="EL902" s="42"/>
      <c r="EM902" s="42"/>
      <c r="EN902" s="42"/>
      <c r="EO902" s="42"/>
      <c r="EP902" s="42"/>
      <c r="EQ902" s="42"/>
      <c r="ER902" s="42"/>
      <c r="ES902" s="42"/>
      <c r="ET902" s="42"/>
      <c r="EU902" s="42"/>
      <c r="EV902" s="42"/>
      <c r="EW902" s="42"/>
      <c r="EX902" s="42"/>
      <c r="EY902" s="42"/>
      <c r="EZ902" s="42"/>
      <c r="FA902" s="42"/>
      <c r="FB902" s="42"/>
      <c r="FC902" s="42"/>
      <c r="FD902" s="42"/>
      <c r="FE902" s="42"/>
      <c r="FF902" s="42"/>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row>
    <row r="903" spans="1:256" ht="13.8" x14ac:dyDescent="0.3">
      <c r="A903" s="42"/>
      <c r="B903" s="42"/>
      <c r="C903" s="42"/>
      <c r="D903" s="42"/>
      <c r="E903" s="42"/>
      <c r="F903" s="42"/>
      <c r="G903" s="42"/>
      <c r="H903" s="42"/>
      <c r="I903" s="42"/>
      <c r="J903" s="42"/>
      <c r="K903" s="42"/>
      <c r="L903" s="42"/>
      <c r="M903" s="42"/>
      <c r="N903" s="42"/>
      <c r="O903" s="42"/>
      <c r="P903" s="42"/>
      <c r="Q903" s="42"/>
      <c r="R903" s="42"/>
      <c r="S903" s="42"/>
      <c r="T903" s="42"/>
      <c r="U903" s="194"/>
      <c r="V903" s="42"/>
      <c r="W903" s="42"/>
      <c r="X903" s="42"/>
      <c r="Y903" s="42"/>
      <c r="Z903" s="42"/>
      <c r="AA903" s="42"/>
      <c r="AB903" s="195"/>
      <c r="AC903" s="42"/>
      <c r="AD903" s="42"/>
      <c r="AE903" s="195"/>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c r="BM903" s="42"/>
      <c r="BN903" s="42"/>
      <c r="BO903" s="42"/>
      <c r="BP903" s="42"/>
      <c r="BQ903" s="42"/>
      <c r="BR903" s="42"/>
      <c r="BS903" s="42"/>
      <c r="BT903" s="42"/>
      <c r="BU903" s="42"/>
      <c r="BV903" s="42"/>
      <c r="BW903" s="42"/>
      <c r="BX903" s="42"/>
      <c r="BY903" s="42"/>
      <c r="BZ903" s="42"/>
      <c r="CA903" s="42"/>
      <c r="CB903" s="42"/>
      <c r="CC903" s="42"/>
      <c r="CD903" s="42"/>
      <c r="CE903" s="42"/>
      <c r="CF903" s="42"/>
      <c r="CG903" s="42"/>
      <c r="CH903" s="42"/>
      <c r="CI903" s="42"/>
      <c r="CJ903" s="42"/>
      <c r="CK903" s="42"/>
      <c r="CL903" s="42"/>
      <c r="CM903" s="42"/>
      <c r="CN903" s="42"/>
      <c r="CO903" s="42"/>
      <c r="CP903" s="42"/>
      <c r="CQ903" s="42"/>
      <c r="CR903" s="42"/>
      <c r="CS903" s="42"/>
      <c r="CT903" s="42"/>
      <c r="CU903" s="42"/>
      <c r="CV903" s="42"/>
      <c r="CW903" s="42"/>
      <c r="CX903" s="42"/>
      <c r="CY903" s="42"/>
      <c r="CZ903" s="42"/>
      <c r="DA903" s="42"/>
      <c r="DB903" s="42"/>
      <c r="DC903" s="42"/>
      <c r="DD903" s="42"/>
      <c r="DE903" s="42"/>
      <c r="DF903" s="42"/>
      <c r="DG903" s="42"/>
      <c r="DH903" s="42"/>
      <c r="DI903" s="42"/>
      <c r="DJ903" s="42"/>
      <c r="DK903" s="42"/>
      <c r="DL903" s="42"/>
      <c r="DM903" s="42"/>
      <c r="DN903" s="42"/>
      <c r="DO903" s="42"/>
      <c r="DP903" s="42"/>
      <c r="DQ903" s="42"/>
      <c r="DR903" s="42"/>
      <c r="DS903" s="42"/>
      <c r="DT903" s="42"/>
      <c r="DU903" s="42"/>
      <c r="DV903" s="42"/>
      <c r="DW903" s="42"/>
      <c r="DX903" s="42"/>
      <c r="DY903" s="42"/>
      <c r="DZ903" s="42"/>
      <c r="EA903" s="42"/>
      <c r="EB903" s="42"/>
      <c r="EC903" s="42"/>
      <c r="ED903" s="42"/>
      <c r="EE903" s="42"/>
      <c r="EF903" s="42"/>
      <c r="EG903" s="42"/>
      <c r="EH903" s="42"/>
      <c r="EI903" s="42"/>
      <c r="EJ903" s="42"/>
      <c r="EK903" s="42"/>
      <c r="EL903" s="42"/>
      <c r="EM903" s="42"/>
      <c r="EN903" s="42"/>
      <c r="EO903" s="42"/>
      <c r="EP903" s="42"/>
      <c r="EQ903" s="42"/>
      <c r="ER903" s="42"/>
      <c r="ES903" s="42"/>
      <c r="ET903" s="42"/>
      <c r="EU903" s="42"/>
      <c r="EV903" s="42"/>
      <c r="EW903" s="42"/>
      <c r="EX903" s="42"/>
      <c r="EY903" s="42"/>
      <c r="EZ903" s="42"/>
      <c r="FA903" s="42"/>
      <c r="FB903" s="42"/>
      <c r="FC903" s="42"/>
      <c r="FD903" s="42"/>
      <c r="FE903" s="42"/>
      <c r="FF903" s="42"/>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row>
    <row r="904" spans="1:256" ht="13.8" x14ac:dyDescent="0.3">
      <c r="A904" s="42"/>
      <c r="B904" s="42"/>
      <c r="C904" s="42"/>
      <c r="D904" s="42"/>
      <c r="E904" s="42"/>
      <c r="F904" s="42"/>
      <c r="G904" s="42"/>
      <c r="H904" s="42"/>
      <c r="I904" s="42"/>
      <c r="J904" s="42"/>
      <c r="K904" s="42"/>
      <c r="L904" s="42"/>
      <c r="M904" s="42"/>
      <c r="N904" s="42"/>
      <c r="O904" s="42"/>
      <c r="P904" s="42"/>
      <c r="Q904" s="42"/>
      <c r="R904" s="42"/>
      <c r="S904" s="42"/>
      <c r="T904" s="42"/>
      <c r="U904" s="194"/>
      <c r="V904" s="42"/>
      <c r="W904" s="42"/>
      <c r="X904" s="42"/>
      <c r="Y904" s="42"/>
      <c r="Z904" s="42"/>
      <c r="AA904" s="42"/>
      <c r="AB904" s="195"/>
      <c r="AC904" s="42"/>
      <c r="AD904" s="42"/>
      <c r="AE904" s="195"/>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c r="BM904" s="42"/>
      <c r="BN904" s="42"/>
      <c r="BO904" s="42"/>
      <c r="BP904" s="42"/>
      <c r="BQ904" s="42"/>
      <c r="BR904" s="42"/>
      <c r="BS904" s="42"/>
      <c r="BT904" s="42"/>
      <c r="BU904" s="42"/>
      <c r="BV904" s="42"/>
      <c r="BW904" s="42"/>
      <c r="BX904" s="42"/>
      <c r="BY904" s="42"/>
      <c r="BZ904" s="42"/>
      <c r="CA904" s="42"/>
      <c r="CB904" s="42"/>
      <c r="CC904" s="42"/>
      <c r="CD904" s="42"/>
      <c r="CE904" s="42"/>
      <c r="CF904" s="42"/>
      <c r="CG904" s="42"/>
      <c r="CH904" s="42"/>
      <c r="CI904" s="42"/>
      <c r="CJ904" s="42"/>
      <c r="CK904" s="42"/>
      <c r="CL904" s="42"/>
      <c r="CM904" s="42"/>
      <c r="CN904" s="42"/>
      <c r="CO904" s="42"/>
      <c r="CP904" s="42"/>
      <c r="CQ904" s="42"/>
      <c r="CR904" s="42"/>
      <c r="CS904" s="42"/>
      <c r="CT904" s="42"/>
      <c r="CU904" s="42"/>
      <c r="CV904" s="42"/>
      <c r="CW904" s="42"/>
      <c r="CX904" s="42"/>
      <c r="CY904" s="42"/>
      <c r="CZ904" s="42"/>
      <c r="DA904" s="42"/>
      <c r="DB904" s="42"/>
      <c r="DC904" s="42"/>
      <c r="DD904" s="42"/>
      <c r="DE904" s="42"/>
      <c r="DF904" s="42"/>
      <c r="DG904" s="42"/>
      <c r="DH904" s="42"/>
      <c r="DI904" s="42"/>
      <c r="DJ904" s="42"/>
      <c r="DK904" s="42"/>
      <c r="DL904" s="42"/>
      <c r="DM904" s="42"/>
      <c r="DN904" s="42"/>
      <c r="DO904" s="42"/>
      <c r="DP904" s="42"/>
      <c r="DQ904" s="42"/>
      <c r="DR904" s="42"/>
      <c r="DS904" s="42"/>
      <c r="DT904" s="42"/>
      <c r="DU904" s="42"/>
      <c r="DV904" s="42"/>
      <c r="DW904" s="42"/>
      <c r="DX904" s="42"/>
      <c r="DY904" s="42"/>
      <c r="DZ904" s="42"/>
      <c r="EA904" s="42"/>
      <c r="EB904" s="42"/>
      <c r="EC904" s="42"/>
      <c r="ED904" s="42"/>
      <c r="EE904" s="42"/>
      <c r="EF904" s="42"/>
      <c r="EG904" s="42"/>
      <c r="EH904" s="42"/>
      <c r="EI904" s="42"/>
      <c r="EJ904" s="42"/>
      <c r="EK904" s="42"/>
      <c r="EL904" s="42"/>
      <c r="EM904" s="42"/>
      <c r="EN904" s="42"/>
      <c r="EO904" s="42"/>
      <c r="EP904" s="42"/>
      <c r="EQ904" s="42"/>
      <c r="ER904" s="42"/>
      <c r="ES904" s="42"/>
      <c r="ET904" s="42"/>
      <c r="EU904" s="42"/>
      <c r="EV904" s="42"/>
      <c r="EW904" s="42"/>
      <c r="EX904" s="42"/>
      <c r="EY904" s="42"/>
      <c r="EZ904" s="42"/>
      <c r="FA904" s="42"/>
      <c r="FB904" s="42"/>
      <c r="FC904" s="42"/>
      <c r="FD904" s="42"/>
      <c r="FE904" s="42"/>
      <c r="FF904" s="42"/>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row>
    <row r="905" spans="1:256" ht="13.8" x14ac:dyDescent="0.3">
      <c r="A905" s="42"/>
      <c r="B905" s="42"/>
      <c r="C905" s="42"/>
      <c r="D905" s="42"/>
      <c r="E905" s="42"/>
      <c r="F905" s="42"/>
      <c r="G905" s="42"/>
      <c r="H905" s="42"/>
      <c r="I905" s="42"/>
      <c r="J905" s="42"/>
      <c r="K905" s="42"/>
      <c r="L905" s="42"/>
      <c r="M905" s="42"/>
      <c r="N905" s="42"/>
      <c r="O905" s="42"/>
      <c r="P905" s="42"/>
      <c r="Q905" s="42"/>
      <c r="R905" s="42"/>
      <c r="S905" s="42"/>
      <c r="T905" s="42"/>
      <c r="U905" s="194"/>
      <c r="V905" s="42"/>
      <c r="W905" s="42"/>
      <c r="X905" s="42"/>
      <c r="Y905" s="42"/>
      <c r="Z905" s="42"/>
      <c r="AA905" s="42"/>
      <c r="AB905" s="195"/>
      <c r="AC905" s="42"/>
      <c r="AD905" s="42"/>
      <c r="AE905" s="195"/>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c r="BM905" s="42"/>
      <c r="BN905" s="42"/>
      <c r="BO905" s="42"/>
      <c r="BP905" s="42"/>
      <c r="BQ905" s="42"/>
      <c r="BR905" s="42"/>
      <c r="BS905" s="42"/>
      <c r="BT905" s="42"/>
      <c r="BU905" s="42"/>
      <c r="BV905" s="42"/>
      <c r="BW905" s="42"/>
      <c r="BX905" s="42"/>
      <c r="BY905" s="42"/>
      <c r="BZ905" s="42"/>
      <c r="CA905" s="42"/>
      <c r="CB905" s="42"/>
      <c r="CC905" s="42"/>
      <c r="CD905" s="42"/>
      <c r="CE905" s="42"/>
      <c r="CF905" s="42"/>
      <c r="CG905" s="42"/>
      <c r="CH905" s="42"/>
      <c r="CI905" s="42"/>
      <c r="CJ905" s="42"/>
      <c r="CK905" s="42"/>
      <c r="CL905" s="42"/>
      <c r="CM905" s="42"/>
      <c r="CN905" s="42"/>
      <c r="CO905" s="42"/>
      <c r="CP905" s="42"/>
      <c r="CQ905" s="42"/>
      <c r="CR905" s="42"/>
      <c r="CS905" s="42"/>
      <c r="CT905" s="42"/>
      <c r="CU905" s="42"/>
      <c r="CV905" s="42"/>
      <c r="CW905" s="42"/>
      <c r="CX905" s="42"/>
      <c r="CY905" s="42"/>
      <c r="CZ905" s="42"/>
      <c r="DA905" s="42"/>
      <c r="DB905" s="42"/>
      <c r="DC905" s="42"/>
      <c r="DD905" s="42"/>
      <c r="DE905" s="42"/>
      <c r="DF905" s="42"/>
      <c r="DG905" s="42"/>
      <c r="DH905" s="42"/>
      <c r="DI905" s="42"/>
      <c r="DJ905" s="42"/>
      <c r="DK905" s="42"/>
      <c r="DL905" s="42"/>
      <c r="DM905" s="42"/>
      <c r="DN905" s="42"/>
      <c r="DO905" s="42"/>
      <c r="DP905" s="42"/>
      <c r="DQ905" s="42"/>
      <c r="DR905" s="42"/>
      <c r="DS905" s="42"/>
      <c r="DT905" s="42"/>
      <c r="DU905" s="42"/>
      <c r="DV905" s="42"/>
      <c r="DW905" s="42"/>
      <c r="DX905" s="42"/>
      <c r="DY905" s="42"/>
      <c r="DZ905" s="42"/>
      <c r="EA905" s="42"/>
      <c r="EB905" s="42"/>
      <c r="EC905" s="42"/>
      <c r="ED905" s="42"/>
      <c r="EE905" s="42"/>
      <c r="EF905" s="42"/>
      <c r="EG905" s="42"/>
      <c r="EH905" s="42"/>
      <c r="EI905" s="42"/>
      <c r="EJ905" s="42"/>
      <c r="EK905" s="42"/>
      <c r="EL905" s="42"/>
      <c r="EM905" s="42"/>
      <c r="EN905" s="42"/>
      <c r="EO905" s="42"/>
      <c r="EP905" s="42"/>
      <c r="EQ905" s="42"/>
      <c r="ER905" s="42"/>
      <c r="ES905" s="42"/>
      <c r="ET905" s="42"/>
      <c r="EU905" s="42"/>
      <c r="EV905" s="42"/>
      <c r="EW905" s="42"/>
      <c r="EX905" s="42"/>
      <c r="EY905" s="42"/>
      <c r="EZ905" s="42"/>
      <c r="FA905" s="42"/>
      <c r="FB905" s="42"/>
      <c r="FC905" s="42"/>
      <c r="FD905" s="42"/>
      <c r="FE905" s="42"/>
      <c r="FF905" s="42"/>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row>
    <row r="906" spans="1:256" ht="13.8" x14ac:dyDescent="0.3">
      <c r="A906" s="42"/>
      <c r="B906" s="42"/>
      <c r="C906" s="42"/>
      <c r="D906" s="42"/>
      <c r="E906" s="42"/>
      <c r="F906" s="42"/>
      <c r="G906" s="42"/>
      <c r="H906" s="42"/>
      <c r="I906" s="42"/>
      <c r="J906" s="42"/>
      <c r="K906" s="42"/>
      <c r="L906" s="42"/>
      <c r="M906" s="42"/>
      <c r="N906" s="42"/>
      <c r="O906" s="42"/>
      <c r="P906" s="42"/>
      <c r="Q906" s="42"/>
      <c r="R906" s="42"/>
      <c r="S906" s="42"/>
      <c r="T906" s="42"/>
      <c r="U906" s="194"/>
      <c r="V906" s="42"/>
      <c r="W906" s="42"/>
      <c r="X906" s="42"/>
      <c r="Y906" s="42"/>
      <c r="Z906" s="42"/>
      <c r="AA906" s="42"/>
      <c r="AB906" s="195"/>
      <c r="AC906" s="42"/>
      <c r="AD906" s="42"/>
      <c r="AE906" s="195"/>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c r="BM906" s="42"/>
      <c r="BN906" s="42"/>
      <c r="BO906" s="42"/>
      <c r="BP906" s="42"/>
      <c r="BQ906" s="42"/>
      <c r="BR906" s="42"/>
      <c r="BS906" s="42"/>
      <c r="BT906" s="42"/>
      <c r="BU906" s="42"/>
      <c r="BV906" s="42"/>
      <c r="BW906" s="42"/>
      <c r="BX906" s="42"/>
      <c r="BY906" s="42"/>
      <c r="BZ906" s="42"/>
      <c r="CA906" s="42"/>
      <c r="CB906" s="42"/>
      <c r="CC906" s="42"/>
      <c r="CD906" s="42"/>
      <c r="CE906" s="42"/>
      <c r="CF906" s="42"/>
      <c r="CG906" s="42"/>
      <c r="CH906" s="42"/>
      <c r="CI906" s="42"/>
      <c r="CJ906" s="42"/>
      <c r="CK906" s="42"/>
      <c r="CL906" s="42"/>
      <c r="CM906" s="42"/>
      <c r="CN906" s="42"/>
      <c r="CO906" s="42"/>
      <c r="CP906" s="42"/>
      <c r="CQ906" s="42"/>
      <c r="CR906" s="42"/>
      <c r="CS906" s="42"/>
      <c r="CT906" s="42"/>
      <c r="CU906" s="42"/>
      <c r="CV906" s="42"/>
      <c r="CW906" s="42"/>
      <c r="CX906" s="42"/>
      <c r="CY906" s="42"/>
      <c r="CZ906" s="42"/>
      <c r="DA906" s="42"/>
      <c r="DB906" s="42"/>
      <c r="DC906" s="42"/>
      <c r="DD906" s="42"/>
      <c r="DE906" s="42"/>
      <c r="DF906" s="42"/>
      <c r="DG906" s="42"/>
      <c r="DH906" s="42"/>
      <c r="DI906" s="42"/>
      <c r="DJ906" s="42"/>
      <c r="DK906" s="42"/>
      <c r="DL906" s="42"/>
      <c r="DM906" s="42"/>
      <c r="DN906" s="42"/>
      <c r="DO906" s="42"/>
      <c r="DP906" s="42"/>
      <c r="DQ906" s="42"/>
      <c r="DR906" s="42"/>
      <c r="DS906" s="42"/>
      <c r="DT906" s="42"/>
      <c r="DU906" s="42"/>
      <c r="DV906" s="42"/>
      <c r="DW906" s="42"/>
      <c r="DX906" s="42"/>
      <c r="DY906" s="42"/>
      <c r="DZ906" s="42"/>
      <c r="EA906" s="42"/>
      <c r="EB906" s="42"/>
      <c r="EC906" s="42"/>
      <c r="ED906" s="42"/>
      <c r="EE906" s="42"/>
      <c r="EF906" s="42"/>
      <c r="EG906" s="42"/>
      <c r="EH906" s="42"/>
      <c r="EI906" s="42"/>
      <c r="EJ906" s="42"/>
      <c r="EK906" s="42"/>
      <c r="EL906" s="42"/>
      <c r="EM906" s="42"/>
      <c r="EN906" s="42"/>
      <c r="EO906" s="42"/>
      <c r="EP906" s="42"/>
      <c r="EQ906" s="42"/>
      <c r="ER906" s="42"/>
      <c r="ES906" s="42"/>
      <c r="ET906" s="42"/>
      <c r="EU906" s="42"/>
      <c r="EV906" s="42"/>
      <c r="EW906" s="42"/>
      <c r="EX906" s="42"/>
      <c r="EY906" s="42"/>
      <c r="EZ906" s="42"/>
      <c r="FA906" s="42"/>
      <c r="FB906" s="42"/>
      <c r="FC906" s="42"/>
      <c r="FD906" s="42"/>
      <c r="FE906" s="42"/>
      <c r="FF906" s="42"/>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row>
    <row r="907" spans="1:256" ht="13.8" x14ac:dyDescent="0.3">
      <c r="A907" s="42"/>
      <c r="B907" s="42"/>
      <c r="C907" s="42"/>
      <c r="D907" s="42"/>
      <c r="E907" s="42"/>
      <c r="F907" s="42"/>
      <c r="G907" s="42"/>
      <c r="H907" s="42"/>
      <c r="I907" s="42"/>
      <c r="J907" s="42"/>
      <c r="K907" s="42"/>
      <c r="L907" s="42"/>
      <c r="M907" s="42"/>
      <c r="N907" s="42"/>
      <c r="O907" s="42"/>
      <c r="P907" s="42"/>
      <c r="Q907" s="42"/>
      <c r="R907" s="42"/>
      <c r="S907" s="42"/>
      <c r="T907" s="42"/>
      <c r="U907" s="194"/>
      <c r="V907" s="42"/>
      <c r="W907" s="42"/>
      <c r="X907" s="42"/>
      <c r="Y907" s="42"/>
      <c r="Z907" s="42"/>
      <c r="AA907" s="42"/>
      <c r="AB907" s="195"/>
      <c r="AC907" s="42"/>
      <c r="AD907" s="42"/>
      <c r="AE907" s="195"/>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c r="BM907" s="42"/>
      <c r="BN907" s="42"/>
      <c r="BO907" s="42"/>
      <c r="BP907" s="42"/>
      <c r="BQ907" s="42"/>
      <c r="BR907" s="42"/>
      <c r="BS907" s="42"/>
      <c r="BT907" s="42"/>
      <c r="BU907" s="42"/>
      <c r="BV907" s="42"/>
      <c r="BW907" s="42"/>
      <c r="BX907" s="42"/>
      <c r="BY907" s="42"/>
      <c r="BZ907" s="42"/>
      <c r="CA907" s="42"/>
      <c r="CB907" s="42"/>
      <c r="CC907" s="42"/>
      <c r="CD907" s="42"/>
      <c r="CE907" s="42"/>
      <c r="CF907" s="42"/>
      <c r="CG907" s="42"/>
      <c r="CH907" s="42"/>
      <c r="CI907" s="42"/>
      <c r="CJ907" s="42"/>
      <c r="CK907" s="42"/>
      <c r="CL907" s="42"/>
      <c r="CM907" s="42"/>
      <c r="CN907" s="42"/>
      <c r="CO907" s="42"/>
      <c r="CP907" s="42"/>
      <c r="CQ907" s="42"/>
      <c r="CR907" s="42"/>
      <c r="CS907" s="42"/>
      <c r="CT907" s="42"/>
      <c r="CU907" s="42"/>
      <c r="CV907" s="42"/>
      <c r="CW907" s="42"/>
      <c r="CX907" s="42"/>
      <c r="CY907" s="42"/>
      <c r="CZ907" s="42"/>
      <c r="DA907" s="42"/>
      <c r="DB907" s="42"/>
      <c r="DC907" s="42"/>
      <c r="DD907" s="42"/>
      <c r="DE907" s="42"/>
      <c r="DF907" s="42"/>
      <c r="DG907" s="42"/>
      <c r="DH907" s="42"/>
      <c r="DI907" s="42"/>
      <c r="DJ907" s="42"/>
      <c r="DK907" s="42"/>
      <c r="DL907" s="42"/>
      <c r="DM907" s="42"/>
      <c r="DN907" s="42"/>
      <c r="DO907" s="42"/>
      <c r="DP907" s="42"/>
      <c r="DQ907" s="42"/>
      <c r="DR907" s="42"/>
      <c r="DS907" s="42"/>
      <c r="DT907" s="42"/>
      <c r="DU907" s="42"/>
      <c r="DV907" s="42"/>
      <c r="DW907" s="42"/>
      <c r="DX907" s="42"/>
      <c r="DY907" s="42"/>
      <c r="DZ907" s="42"/>
      <c r="EA907" s="42"/>
      <c r="EB907" s="42"/>
      <c r="EC907" s="42"/>
      <c r="ED907" s="42"/>
      <c r="EE907" s="42"/>
      <c r="EF907" s="42"/>
      <c r="EG907" s="42"/>
      <c r="EH907" s="42"/>
      <c r="EI907" s="42"/>
      <c r="EJ907" s="42"/>
      <c r="EK907" s="42"/>
      <c r="EL907" s="42"/>
      <c r="EM907" s="42"/>
      <c r="EN907" s="42"/>
      <c r="EO907" s="42"/>
      <c r="EP907" s="42"/>
      <c r="EQ907" s="42"/>
      <c r="ER907" s="42"/>
      <c r="ES907" s="42"/>
      <c r="ET907" s="42"/>
      <c r="EU907" s="42"/>
      <c r="EV907" s="42"/>
      <c r="EW907" s="42"/>
      <c r="EX907" s="42"/>
      <c r="EY907" s="42"/>
      <c r="EZ907" s="42"/>
      <c r="FA907" s="42"/>
      <c r="FB907" s="42"/>
      <c r="FC907" s="42"/>
      <c r="FD907" s="42"/>
      <c r="FE907" s="42"/>
      <c r="FF907" s="42"/>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row>
    <row r="908" spans="1:256" ht="13.8" x14ac:dyDescent="0.3">
      <c r="A908" s="42"/>
      <c r="B908" s="42"/>
      <c r="C908" s="42"/>
      <c r="D908" s="42"/>
      <c r="E908" s="42"/>
      <c r="F908" s="42"/>
      <c r="G908" s="42"/>
      <c r="H908" s="42"/>
      <c r="I908" s="42"/>
      <c r="J908" s="42"/>
      <c r="K908" s="42"/>
      <c r="L908" s="42"/>
      <c r="M908" s="42"/>
      <c r="N908" s="42"/>
      <c r="O908" s="42"/>
      <c r="P908" s="42"/>
      <c r="Q908" s="42"/>
      <c r="R908" s="42"/>
      <c r="S908" s="42"/>
      <c r="T908" s="42"/>
      <c r="U908" s="194"/>
      <c r="V908" s="42"/>
      <c r="W908" s="42"/>
      <c r="X908" s="42"/>
      <c r="Y908" s="42"/>
      <c r="Z908" s="42"/>
      <c r="AA908" s="42"/>
      <c r="AB908" s="195"/>
      <c r="AC908" s="42"/>
      <c r="AD908" s="42"/>
      <c r="AE908" s="195"/>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c r="BM908" s="42"/>
      <c r="BN908" s="42"/>
      <c r="BO908" s="42"/>
      <c r="BP908" s="42"/>
      <c r="BQ908" s="42"/>
      <c r="BR908" s="42"/>
      <c r="BS908" s="42"/>
      <c r="BT908" s="42"/>
      <c r="BU908" s="42"/>
      <c r="BV908" s="42"/>
      <c r="BW908" s="42"/>
      <c r="BX908" s="42"/>
      <c r="BY908" s="42"/>
      <c r="BZ908" s="42"/>
      <c r="CA908" s="42"/>
      <c r="CB908" s="42"/>
      <c r="CC908" s="42"/>
      <c r="CD908" s="42"/>
      <c r="CE908" s="42"/>
      <c r="CF908" s="42"/>
      <c r="CG908" s="42"/>
      <c r="CH908" s="42"/>
      <c r="CI908" s="42"/>
      <c r="CJ908" s="42"/>
      <c r="CK908" s="42"/>
      <c r="CL908" s="42"/>
      <c r="CM908" s="42"/>
      <c r="CN908" s="42"/>
      <c r="CO908" s="42"/>
      <c r="CP908" s="42"/>
      <c r="CQ908" s="42"/>
      <c r="CR908" s="42"/>
      <c r="CS908" s="42"/>
      <c r="CT908" s="42"/>
      <c r="CU908" s="42"/>
      <c r="CV908" s="42"/>
      <c r="CW908" s="42"/>
      <c r="CX908" s="42"/>
      <c r="CY908" s="42"/>
      <c r="CZ908" s="42"/>
      <c r="DA908" s="42"/>
      <c r="DB908" s="42"/>
      <c r="DC908" s="42"/>
      <c r="DD908" s="42"/>
      <c r="DE908" s="42"/>
      <c r="DF908" s="42"/>
      <c r="DG908" s="42"/>
      <c r="DH908" s="42"/>
      <c r="DI908" s="42"/>
      <c r="DJ908" s="42"/>
      <c r="DK908" s="42"/>
      <c r="DL908" s="42"/>
      <c r="DM908" s="42"/>
      <c r="DN908" s="42"/>
      <c r="DO908" s="42"/>
      <c r="DP908" s="42"/>
      <c r="DQ908" s="42"/>
      <c r="DR908" s="42"/>
      <c r="DS908" s="42"/>
      <c r="DT908" s="42"/>
      <c r="DU908" s="42"/>
      <c r="DV908" s="42"/>
      <c r="DW908" s="42"/>
      <c r="DX908" s="42"/>
      <c r="DY908" s="42"/>
      <c r="DZ908" s="42"/>
      <c r="EA908" s="42"/>
      <c r="EB908" s="42"/>
      <c r="EC908" s="42"/>
      <c r="ED908" s="42"/>
      <c r="EE908" s="42"/>
      <c r="EF908" s="42"/>
      <c r="EG908" s="42"/>
      <c r="EH908" s="42"/>
      <c r="EI908" s="42"/>
      <c r="EJ908" s="42"/>
      <c r="EK908" s="42"/>
      <c r="EL908" s="42"/>
      <c r="EM908" s="42"/>
      <c r="EN908" s="42"/>
      <c r="EO908" s="42"/>
      <c r="EP908" s="42"/>
      <c r="EQ908" s="42"/>
      <c r="ER908" s="42"/>
      <c r="ES908" s="42"/>
      <c r="ET908" s="42"/>
      <c r="EU908" s="42"/>
      <c r="EV908" s="42"/>
      <c r="EW908" s="42"/>
      <c r="EX908" s="42"/>
      <c r="EY908" s="42"/>
      <c r="EZ908" s="42"/>
      <c r="FA908" s="42"/>
      <c r="FB908" s="42"/>
      <c r="FC908" s="42"/>
      <c r="FD908" s="42"/>
      <c r="FE908" s="42"/>
      <c r="FF908" s="42"/>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row>
    <row r="909" spans="1:256" ht="13.8" x14ac:dyDescent="0.3">
      <c r="A909" s="42"/>
      <c r="B909" s="42"/>
      <c r="C909" s="42"/>
      <c r="D909" s="42"/>
      <c r="E909" s="42"/>
      <c r="F909" s="42"/>
      <c r="G909" s="42"/>
      <c r="H909" s="42"/>
      <c r="I909" s="42"/>
      <c r="J909" s="42"/>
      <c r="K909" s="42"/>
      <c r="L909" s="42"/>
      <c r="M909" s="42"/>
      <c r="N909" s="42"/>
      <c r="O909" s="42"/>
      <c r="P909" s="42"/>
      <c r="Q909" s="42"/>
      <c r="R909" s="42"/>
      <c r="S909" s="42"/>
      <c r="T909" s="42"/>
      <c r="U909" s="194"/>
      <c r="V909" s="42"/>
      <c r="W909" s="42"/>
      <c r="X909" s="42"/>
      <c r="Y909" s="42"/>
      <c r="Z909" s="42"/>
      <c r="AA909" s="42"/>
      <c r="AB909" s="195"/>
      <c r="AC909" s="42"/>
      <c r="AD909" s="42"/>
      <c r="AE909" s="195"/>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c r="BM909" s="42"/>
      <c r="BN909" s="42"/>
      <c r="BO909" s="42"/>
      <c r="BP909" s="42"/>
      <c r="BQ909" s="42"/>
      <c r="BR909" s="42"/>
      <c r="BS909" s="42"/>
      <c r="BT909" s="42"/>
      <c r="BU909" s="42"/>
      <c r="BV909" s="42"/>
      <c r="BW909" s="42"/>
      <c r="BX909" s="42"/>
      <c r="BY909" s="42"/>
      <c r="BZ909" s="42"/>
      <c r="CA909" s="42"/>
      <c r="CB909" s="42"/>
      <c r="CC909" s="42"/>
      <c r="CD909" s="42"/>
      <c r="CE909" s="42"/>
      <c r="CF909" s="42"/>
      <c r="CG909" s="42"/>
      <c r="CH909" s="42"/>
      <c r="CI909" s="42"/>
      <c r="CJ909" s="42"/>
      <c r="CK909" s="42"/>
      <c r="CL909" s="42"/>
      <c r="CM909" s="42"/>
      <c r="CN909" s="42"/>
      <c r="CO909" s="42"/>
      <c r="CP909" s="42"/>
      <c r="CQ909" s="42"/>
      <c r="CR909" s="42"/>
      <c r="CS909" s="42"/>
      <c r="CT909" s="42"/>
      <c r="CU909" s="42"/>
      <c r="CV909" s="42"/>
      <c r="CW909" s="42"/>
      <c r="CX909" s="42"/>
      <c r="CY909" s="42"/>
      <c r="CZ909" s="42"/>
      <c r="DA909" s="42"/>
      <c r="DB909" s="42"/>
      <c r="DC909" s="42"/>
      <c r="DD909" s="42"/>
      <c r="DE909" s="42"/>
      <c r="DF909" s="42"/>
      <c r="DG909" s="42"/>
      <c r="DH909" s="42"/>
      <c r="DI909" s="42"/>
      <c r="DJ909" s="42"/>
      <c r="DK909" s="42"/>
      <c r="DL909" s="42"/>
      <c r="DM909" s="42"/>
      <c r="DN909" s="42"/>
      <c r="DO909" s="42"/>
      <c r="DP909" s="42"/>
      <c r="DQ909" s="42"/>
      <c r="DR909" s="42"/>
      <c r="DS909" s="42"/>
      <c r="DT909" s="42"/>
      <c r="DU909" s="42"/>
      <c r="DV909" s="42"/>
      <c r="DW909" s="42"/>
      <c r="DX909" s="42"/>
      <c r="DY909" s="42"/>
      <c r="DZ909" s="42"/>
      <c r="EA909" s="42"/>
      <c r="EB909" s="42"/>
      <c r="EC909" s="42"/>
      <c r="ED909" s="42"/>
      <c r="EE909" s="42"/>
      <c r="EF909" s="42"/>
      <c r="EG909" s="42"/>
      <c r="EH909" s="42"/>
      <c r="EI909" s="42"/>
      <c r="EJ909" s="42"/>
      <c r="EK909" s="42"/>
      <c r="EL909" s="42"/>
      <c r="EM909" s="42"/>
      <c r="EN909" s="42"/>
      <c r="EO909" s="42"/>
      <c r="EP909" s="42"/>
      <c r="EQ909" s="42"/>
      <c r="ER909" s="42"/>
      <c r="ES909" s="42"/>
      <c r="ET909" s="42"/>
      <c r="EU909" s="42"/>
      <c r="EV909" s="42"/>
      <c r="EW909" s="42"/>
      <c r="EX909" s="42"/>
      <c r="EY909" s="42"/>
      <c r="EZ909" s="42"/>
      <c r="FA909" s="42"/>
      <c r="FB909" s="42"/>
      <c r="FC909" s="42"/>
      <c r="FD909" s="42"/>
      <c r="FE909" s="42"/>
      <c r="FF909" s="42"/>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row>
  </sheetData>
  <customSheetViews>
    <customSheetView guid="{0FB4F1E0-A14B-48E7-A54C-AA86F88BCB74}" filter="1" showAutoFilter="1">
      <pageMargins left="0.7" right="0.7" top="0.75" bottom="0.75" header="0.3" footer="0.3"/>
      <autoFilter ref="A1:GX46" xr:uid="{F755377D-C334-402E-BEB0-671CF20E08CA}"/>
    </customSheetView>
    <customSheetView guid="{2C63ACF2-CB3E-41B5-912C-A661677AA16C}" filter="1" showAutoFilter="1">
      <pageMargins left="0.7" right="0.7" top="0.75" bottom="0.75" header="0.3" footer="0.3"/>
      <autoFilter ref="A1:HD46" xr:uid="{1C4FD894-BD9D-432B-B6AC-408EC74C472A}"/>
    </customSheetView>
    <customSheetView guid="{25A76D96-52B1-40EC-8748-39136AC78C3F}" filter="1" showAutoFilter="1">
      <pageMargins left="0.7" right="0.7" top="0.75" bottom="0.75" header="0.3" footer="0.3"/>
      <autoFilter ref="A1:IB46" xr:uid="{547CA27F-F1BB-44C4-AC24-6C9DB12B3DB6}"/>
    </customSheetView>
    <customSheetView guid="{C7086DA6-B781-41AB-A250-3D0A3E3C0D63}" filter="1" showAutoFilter="1">
      <pageMargins left="0.7" right="0.7" top="0.75" bottom="0.75" header="0.3" footer="0.3"/>
      <autoFilter ref="A1:HP46" xr:uid="{E26A5785-A7C9-427B-BDA8-51298FB3E180}"/>
    </customSheetView>
    <customSheetView guid="{1B3A2916-8B8F-4E18-85DE-9E4A608C8873}" filter="1" showAutoFilter="1">
      <pageMargins left="0.7" right="0.7" top="0.75" bottom="0.75" header="0.3" footer="0.3"/>
      <autoFilter ref="A1:IK46" xr:uid="{7016D053-B473-439C-9352-82DF39DD3CBA}"/>
    </customSheetView>
    <customSheetView guid="{4D4360CB-D166-4D12-AD74-FF1F91A86A7B}" filter="1" showAutoFilter="1">
      <pageMargins left="0.7" right="0.7" top="0.75" bottom="0.75" header="0.3" footer="0.3"/>
      <autoFilter ref="A1:HJ46" xr:uid="{4ABE4B96-AE71-4F13-84A3-C6C808C44FE7}"/>
    </customSheetView>
    <customSheetView guid="{72C7ED7B-2D20-4764-B38A-4930F1C85279}" filter="1" showAutoFilter="1">
      <pageMargins left="0.7" right="0.7" top="0.75" bottom="0.75" header="0.3" footer="0.3"/>
      <autoFilter ref="A1:HV46" xr:uid="{C5ABACE8-A214-4BD2-B968-60FCB2E0F57C}"/>
    </customSheetView>
    <customSheetView guid="{277B0670-E5D2-4B01-9C06-BEBBE06C7A28}" filter="1" showAutoFilter="1">
      <pageMargins left="0.7" right="0.7" top="0.75" bottom="0.75" header="0.3" footer="0.3"/>
      <autoFilter ref="A1:HM46" xr:uid="{159F204E-015B-46C2-9F3C-B8E707A8C107}"/>
    </customSheetView>
    <customSheetView guid="{08986CF3-CB90-4E16-83B9-47A2080D6A71}" filter="1" showAutoFilter="1">
      <pageMargins left="0.7" right="0.7" top="0.75" bottom="0.75" header="0.3" footer="0.3"/>
      <autoFilter ref="A1:HY46" xr:uid="{D991900C-A95B-4570-A95E-D1C242BF1670}"/>
    </customSheetView>
    <customSheetView guid="{CFF98D2D-257A-421D-AE70-D910519A14E6}" filter="1" showAutoFilter="1">
      <pageMargins left="0.7" right="0.7" top="0.75" bottom="0.75" header="0.3" footer="0.3"/>
      <autoFilter ref="A1:HY46" xr:uid="{82BA3327-6D34-4B15-BD48-D035515CDAF4}"/>
    </customSheetView>
    <customSheetView guid="{92394D3C-6B43-4925-A1B9-8A9CCCACFF32}" filter="1" showAutoFilter="1">
      <pageMargins left="0.7" right="0.7" top="0.75" bottom="0.75" header="0.3" footer="0.3"/>
      <autoFilter ref="A1:CE46" xr:uid="{03E8B117-8FBD-49B2-B764-9BFE9E5FFB8E}"/>
    </customSheetView>
    <customSheetView guid="{1653CE0C-5394-4633-8A08-76C6C61D0EB0}" filter="1" showAutoFilter="1">
      <pageMargins left="0.7" right="0.7" top="0.75" bottom="0.75" header="0.3" footer="0.3"/>
      <autoFilter ref="A1:CE46" xr:uid="{1061923F-02C9-4CD4-810F-3036AF806D11}"/>
    </customSheetView>
    <customSheetView guid="{A73EA648-CC7C-4E44-9E3D-DE3A88BFC5FF}" filter="1" showAutoFilter="1">
      <pageMargins left="0.7" right="0.7" top="0.75" bottom="0.75" header="0.3" footer="0.3"/>
      <autoFilter ref="A1:CK46" xr:uid="{A5671397-45DE-4832-8E54-4E759DBC5203}"/>
    </customSheetView>
    <customSheetView guid="{2D770047-2B53-47B5-859A-3B5CE695EED6}" filter="1" showAutoFilter="1">
      <pageMargins left="0.7" right="0.7" top="0.75" bottom="0.75" header="0.3" footer="0.3"/>
      <autoFilter ref="A1:CK46" xr:uid="{E9B94D06-CE2E-42AD-A9AE-63EBD4D4F7B6}"/>
    </customSheetView>
    <customSheetView guid="{5841691C-ECB4-4F7D-B81C-1E1A35B8A4B0}" filter="1" showAutoFilter="1">
      <pageMargins left="0.7" right="0.7" top="0.75" bottom="0.75" header="0.3" footer="0.3"/>
      <autoFilter ref="A1:CQ46" xr:uid="{AD0A0B62-EC43-4E1D-9618-C28B370E8D11}"/>
    </customSheetView>
    <customSheetView guid="{74229A4C-8848-4E66-B361-DD202DED8E5F}" filter="1" showAutoFilter="1">
      <pageMargins left="0.7" right="0.7" top="0.75" bottom="0.75" header="0.3" footer="0.3"/>
      <autoFilter ref="A1:BM46" xr:uid="{583392CE-B3A6-4ADB-B98B-EED75756F494}"/>
    </customSheetView>
    <customSheetView guid="{8EE2156B-F979-4629-8DB4-124ABDF0B678}" filter="1" showAutoFilter="1">
      <pageMargins left="0.7" right="0.7" top="0.75" bottom="0.75" header="0.3" footer="0.3"/>
      <autoFilter ref="BT3:BT46" xr:uid="{95D57ED1-BD73-4A8C-BC9E-F7FB71495C75}"/>
    </customSheetView>
    <customSheetView guid="{1401D7C2-085D-4E54-9BF6-4FAA80CA1147}" filter="1" showAutoFilter="1">
      <pageMargins left="0.7" right="0.7" top="0.75" bottom="0.75" header="0.3" footer="0.3"/>
      <autoFilter ref="J12" xr:uid="{55EF2B49-BEBA-4C8F-8C4D-E4D6BB6E2790}"/>
    </customSheetView>
    <customSheetView guid="{9CED777C-6CDC-4A46-9A67-6C34EA604F54}" filter="1" showAutoFilter="1">
      <pageMargins left="0.7" right="0.7" top="0.75" bottom="0.75" header="0.3" footer="0.3"/>
      <autoFilter ref="J12" xr:uid="{A55A63D4-0386-47F9-955F-2B3CA4339713}"/>
    </customSheetView>
    <customSheetView guid="{7E24D468-DF16-41D4-964C-28B2A1C6CB41}" filter="1" showAutoFilter="1">
      <pageMargins left="0.7" right="0.7" top="0.75" bottom="0.75" header="0.3" footer="0.3"/>
      <autoFilter ref="J12" xr:uid="{AFB8F2F8-030C-486B-8C01-5639A429FC78}"/>
    </customSheetView>
    <customSheetView guid="{E3CD1556-FB71-480D-8D33-FA7824537920}" filter="1" showAutoFilter="1">
      <pageMargins left="0.7" right="0.7" top="0.75" bottom="0.75" header="0.3" footer="0.3"/>
      <autoFilter ref="J12" xr:uid="{34C1F320-8632-42E2-99B5-F62756CAAB03}"/>
    </customSheetView>
    <customSheetView guid="{FE83F856-2373-494A-84BD-E9E79A2A1C90}" filter="1" showAutoFilter="1">
      <pageMargins left="0.7" right="0.7" top="0.75" bottom="0.75" header="0.3" footer="0.3"/>
      <autoFilter ref="J12" xr:uid="{130C2654-8873-4E80-A473-472B47D250D3}"/>
    </customSheetView>
    <customSheetView guid="{F8BC058F-B652-49D7-BDC6-F7D3149A91E6}" filter="1" showAutoFilter="1">
      <pageMargins left="0.7" right="0.7" top="0.75" bottom="0.75" header="0.3" footer="0.3"/>
      <autoFilter ref="A1:AX46" xr:uid="{298B2066-B217-46E5-9207-6843147B1969}">
        <filterColumn colId="2">
          <filters>
            <filter val="Kepulauan Seribu"/>
          </filters>
        </filterColumn>
      </autoFilter>
    </customSheetView>
    <customSheetView guid="{2D4710FC-897B-4DC6-8A8F-A24DD29B7ABE}" filter="1" showAutoFilter="1">
      <pageMargins left="0.7" right="0.7" top="0.75" bottom="0.75" header="0.3" footer="0.3"/>
      <autoFilter ref="A1:AX46" xr:uid="{3F20A036-1754-414C-A9D4-2B94E68096AE}"/>
    </customSheetView>
    <customSheetView guid="{3B7A29F3-FE7C-4DEF-9D68-4844C80E86B2}" filter="1" showAutoFilter="1">
      <pageMargins left="0.7" right="0.7" top="0.75" bottom="0.75" header="0.3" footer="0.3"/>
      <autoFilter ref="A1:AX46" xr:uid="{E303BFE0-DFDA-47C8-A818-B388707CAE69}">
        <filterColumn colId="2">
          <filters>
            <filter val="Jakarta Barat"/>
          </filters>
        </filterColumn>
      </autoFilter>
    </customSheetView>
    <customSheetView guid="{9D9D1104-3A09-4D38-BA8E-447F35F56DEE}" filter="1" showAutoFilter="1">
      <pageMargins left="0.7" right="0.7" top="0.75" bottom="0.75" header="0.3" footer="0.3"/>
      <autoFilter ref="A1:AX46" xr:uid="{E7205D4D-EF0E-418C-A3A5-965FD2FE3C8E}">
        <filterColumn colId="2">
          <filters>
            <filter val="Kepulauan Seribu"/>
          </filters>
        </filterColumn>
      </autoFilter>
    </customSheetView>
    <customSheetView guid="{BCF8C26E-16D7-461D-B25A-A7B96132586C}" filter="1" showAutoFilter="1">
      <pageMargins left="0.7" right="0.7" top="0.75" bottom="0.75" header="0.3" footer="0.3"/>
      <autoFilter ref="A1:CW46" xr:uid="{21994236-74EF-49A2-8576-D251DF33EDA8}"/>
    </customSheetView>
    <customSheetView guid="{ED26FE2B-4CF1-4588-9345-815C6A3BE2B7}" filter="1" showAutoFilter="1">
      <pageMargins left="0.7" right="0.7" top="0.75" bottom="0.75" header="0.3" footer="0.3"/>
      <autoFilter ref="A1:DI46" xr:uid="{9393E9C2-0507-4D1B-9F6A-3DBD57549BE4}"/>
    </customSheetView>
    <customSheetView guid="{6DCCA54E-101C-4F01-9370-2BA677AC4127}" filter="1" showAutoFilter="1">
      <pageMargins left="0.7" right="0.7" top="0.75" bottom="0.75" header="0.3" footer="0.3"/>
      <autoFilter ref="A1:DO46" xr:uid="{612CA129-58DA-4158-B58C-70A7BEA9D024}"/>
    </customSheetView>
    <customSheetView guid="{82E82A01-E167-4433-920E-69F55D673C93}" filter="1" showAutoFilter="1">
      <pageMargins left="0.7" right="0.7" top="0.75" bottom="0.75" header="0.3" footer="0.3"/>
      <autoFilter ref="A1:ES46" xr:uid="{9E5C0115-80A6-46EE-B1F7-7576165E0533}"/>
    </customSheetView>
    <customSheetView guid="{129D7826-857E-4362-8A95-453A519FB2AD}" filter="1" showAutoFilter="1">
      <pageMargins left="0.7" right="0.7" top="0.75" bottom="0.75" header="0.3" footer="0.3"/>
      <autoFilter ref="A1:ES46" xr:uid="{DF5E78B4-9970-4D85-AF8A-593C156371C9}"/>
    </customSheetView>
    <customSheetView guid="{32A7637D-DDA1-415B-9669-74C4FF01C9CA}" filter="1" showAutoFilter="1">
      <pageMargins left="0.7" right="0.7" top="0.75" bottom="0.75" header="0.3" footer="0.3"/>
      <autoFilter ref="A1:ES46" xr:uid="{58868ED7-9939-4E7A-9AF6-618BCA6965A6}"/>
    </customSheetView>
    <customSheetView guid="{3B6883D8-F13B-4E46-AA9D-E61ED11716EF}" filter="1" showAutoFilter="1">
      <pageMargins left="0.7" right="0.7" top="0.75" bottom="0.75" header="0.3" footer="0.3"/>
      <autoFilter ref="A1:DF46" xr:uid="{5A6B94B1-22D0-4A3C-A630-E57306AF62AF}"/>
    </customSheetView>
    <customSheetView guid="{902095C8-FCAD-4D48-B325-33BBD273A6ED}" filter="1" showAutoFilter="1">
      <pageMargins left="0.7" right="0.7" top="0.75" bottom="0.75" header="0.3" footer="0.3"/>
      <autoFilter ref="A1:EV46" xr:uid="{1435276B-9E9A-40DE-BBC2-A58A2EA8B857}"/>
    </customSheetView>
    <customSheetView guid="{C865DFFD-A2F1-4F30-B318-42A2113FA8D5}" filter="1" showAutoFilter="1">
      <pageMargins left="0.7" right="0.7" top="0.75" bottom="0.75" header="0.3" footer="0.3"/>
      <autoFilter ref="A1:CZ46" xr:uid="{E04E2E9E-7074-438B-9BF3-561EA31CCCEE}"/>
    </customSheetView>
    <customSheetView guid="{02DED7C3-D288-42ED-97E6-AEC0AA6349A2}" filter="1" showAutoFilter="1">
      <pageMargins left="0.7" right="0.7" top="0.75" bottom="0.75" header="0.3" footer="0.3"/>
      <autoFilter ref="A1:BD46" xr:uid="{25B953A3-203E-4C5D-BB0C-EF92E4D3261F}"/>
    </customSheetView>
    <customSheetView guid="{CEB9E376-88CE-4053-A2ED-C13C0D1FCFDE}" filter="1" showAutoFilter="1">
      <pageMargins left="0.7" right="0.7" top="0.75" bottom="0.75" header="0.3" footer="0.3"/>
      <autoFilter ref="A1:BD46" xr:uid="{488C2D43-2635-4826-AD80-7FF103E5F2E4}"/>
    </customSheetView>
    <customSheetView guid="{AD9D77DF-C347-471E-ADAC-C0C7C3AD6A57}" filter="1" showAutoFilter="1">
      <pageMargins left="0.7" right="0.7" top="0.75" bottom="0.75" header="0.3" footer="0.3"/>
      <autoFilter ref="AU3:AU46" xr:uid="{17232D31-B450-43DF-9543-A0D14CCD93D5}"/>
    </customSheetView>
    <customSheetView guid="{67DAC65E-3006-4D9B-82B1-40367D6F95E4}" filter="1" showAutoFilter="1">
      <pageMargins left="0.7" right="0.7" top="0.75" bottom="0.75" header="0.3" footer="0.3"/>
      <autoFilter ref="AU3:AU46" xr:uid="{18ED07DB-2232-43FA-A1C6-454A797528A7}"/>
    </customSheetView>
    <customSheetView guid="{8BDC8A37-AB2E-4BC3-A2DC-958244635F38}" filter="1" showAutoFilter="1">
      <pageMargins left="0.7" right="0.7" top="0.75" bottom="0.75" header="0.3" footer="0.3"/>
      <autoFilter ref="AU3:AU46" xr:uid="{BE523E46-7708-4934-B021-A927F33B104A}"/>
    </customSheetView>
    <customSheetView guid="{13BDB258-F11B-4CC6-BFDC-FC3E0FB11CB3}" filter="1" showAutoFilter="1">
      <pageMargins left="0.7" right="0.7" top="0.75" bottom="0.75" header="0.3" footer="0.3"/>
      <autoFilter ref="C1:C909" xr:uid="{75A21CE9-454A-4EBC-BA6B-2BDD7A20CA7E}"/>
    </customSheetView>
    <customSheetView guid="{CF739B01-29BF-4D8A-B865-5E9A1C845B09}" filter="1" showAutoFilter="1">
      <pageMargins left="0.7" right="0.7" top="0.75" bottom="0.75" header="0.3" footer="0.3"/>
      <autoFilter ref="A2:AO46" xr:uid="{CB74B64D-2CBD-4B07-812C-83CE60B1EAA3}">
        <filterColumn colId="2">
          <filters>
            <filter val="Kepulauan Seribu"/>
          </filters>
        </filterColumn>
        <sortState xmlns:xlrd2="http://schemas.microsoft.com/office/spreadsheetml/2017/richdata2" ref="A2:AO46">
          <sortCondition ref="B2:B46"/>
        </sortState>
      </autoFilter>
    </customSheetView>
    <customSheetView guid="{40E3D437-398B-487D-B59C-6996D861582A}" filter="1" showAutoFilter="1">
      <pageMargins left="0.7" right="0.7" top="0.75" bottom="0.75" header="0.3" footer="0.3"/>
      <autoFilter ref="A1:CB46" xr:uid="{9EFA427F-C3E8-46C9-BBFE-FFF450F9F73C}"/>
    </customSheetView>
    <customSheetView guid="{1C84FD7A-F3F2-4926-92BA-3C62991DD82B}" filter="1" showAutoFilter="1">
      <pageMargins left="0.7" right="0.7" top="0.75" bottom="0.75" header="0.3" footer="0.3"/>
      <autoFilter ref="AV12" xr:uid="{865C30C0-7EC6-452B-99BF-D42FCA42DD55}"/>
    </customSheetView>
    <customSheetView guid="{8E4C71AB-4005-426E-A1B5-BECDD9723299}" filter="1" showAutoFilter="1">
      <pageMargins left="0.7" right="0.7" top="0.75" bottom="0.75" header="0.3" footer="0.3"/>
      <autoFilter ref="A1:FE47" xr:uid="{88EF077D-F311-4919-8051-315156BFCF98}"/>
    </customSheetView>
    <customSheetView guid="{A7552801-A8C6-458B-BCE0-EA1878D944F6}" filter="1" showAutoFilter="1">
      <pageMargins left="0.7" right="0.7" top="0.75" bottom="0.75" header="0.3" footer="0.3"/>
      <autoFilter ref="A1:GC46" xr:uid="{4AFBFB34-EDE8-430B-B91F-6F92C28211E1}"/>
    </customSheetView>
    <customSheetView guid="{4CDADE31-F6D5-4D7C-ACF0-5133C26EF30C}" filter="1" showAutoFilter="1">
      <pageMargins left="0.7" right="0.7" top="0.75" bottom="0.75" header="0.3" footer="0.3"/>
      <autoFilter ref="A1:GI46" xr:uid="{8B4F1AED-715A-41A8-98BD-2C74FA57DBD8}"/>
    </customSheetView>
    <customSheetView guid="{4066FB57-667E-4820-A903-A573C64BA5EB}" filter="1" showAutoFilter="1">
      <pageMargins left="0.7" right="0.7" top="0.75" bottom="0.75" header="0.3" footer="0.3"/>
      <autoFilter ref="A1:GI46" xr:uid="{7377B5A0-9C4A-4DD8-BF12-84B3C86079B7}"/>
    </customSheetView>
    <customSheetView guid="{48748C1D-2E83-44D7-B04D-E7DC40A435EF}" filter="1" showAutoFilter="1">
      <pageMargins left="0.7" right="0.7" top="0.75" bottom="0.75" header="0.3" footer="0.3"/>
      <autoFilter ref="A1:GR46" xr:uid="{705DC172-C833-4365-B46F-36D16793D6D6}"/>
    </customSheetView>
    <customSheetView guid="{1D3A4E67-714D-47EA-A6E0-2DC9F4FBEC4E}" filter="1" showAutoFilter="1">
      <pageMargins left="0.7" right="0.7" top="0.75" bottom="0.75" header="0.3" footer="0.3"/>
      <autoFilter ref="A1:EJ46" xr:uid="{1D8CA365-E170-49ED-B8C5-2E1BF593B36F}"/>
    </customSheetView>
    <customSheetView guid="{C73488EE-DFF3-40C0-9DAF-FF862899203F}" filter="1" showAutoFilter="1">
      <pageMargins left="0.7" right="0.7" top="0.75" bottom="0.75" header="0.3" footer="0.3"/>
      <autoFilter ref="A1:EJ46" xr:uid="{DB5CA6FC-58CE-441D-8F90-4BA3086A79D3}"/>
    </customSheetView>
    <customSheetView guid="{9017B621-C8FF-48C0-8DA9-358754724B80}" filter="1" showAutoFilter="1">
      <pageMargins left="0.7" right="0.7" top="0.75" bottom="0.75" header="0.3" footer="0.3"/>
      <autoFilter ref="A1:EJ46" xr:uid="{0F79EDEE-13B4-4497-8E64-472852B45D72}"/>
    </customSheetView>
    <customSheetView guid="{91418433-C1B7-4041-BCC2-368775701D7E}" filter="1" showAutoFilter="1">
      <pageMargins left="0.7" right="0.7" top="0.75" bottom="0.75" header="0.3" footer="0.3"/>
      <autoFilter ref="J5" xr:uid="{59231EE1-DF10-461F-AD71-D5E2292ABE10}"/>
    </customSheetView>
    <customSheetView guid="{1A775F9D-5345-4B10-A373-0FE547F11229}" filter="1" showAutoFilter="1">
      <pageMargins left="0.7" right="0.7" top="0.75" bottom="0.75" header="0.3" footer="0.3"/>
      <autoFilter ref="A1:FH46" xr:uid="{33ECF3CE-3FD9-4CDE-A321-EFBD3E17B0CC}"/>
    </customSheetView>
    <customSheetView guid="{75FF4ECD-49D8-471A-AB3D-84A443717501}" filter="1" showAutoFilter="1">
      <pageMargins left="0.7" right="0.7" top="0.75" bottom="0.75" header="0.3" footer="0.3"/>
      <autoFilter ref="A1:HS46" xr:uid="{5D963B50-0347-402C-829F-8B722B88EC3F}"/>
    </customSheetView>
    <customSheetView guid="{B197E880-BB85-42F3-B5D5-E7458C6D1AD7}" filter="1" showAutoFilter="1">
      <pageMargins left="0.7" right="0.7" top="0.75" bottom="0.75" header="0.3" footer="0.3"/>
      <autoFilter ref="A1:HG46" xr:uid="{AF55D710-DD9E-440B-A780-8AB5DDE003F2}"/>
    </customSheetView>
    <customSheetView guid="{6782B8DA-728E-4920-9F1B-BFC83AB94171}" filter="1" showAutoFilter="1">
      <pageMargins left="0.7" right="0.7" top="0.75" bottom="0.75" header="0.3" footer="0.3"/>
      <autoFilter ref="A1:GO46" xr:uid="{3891AC6A-C63E-4CAF-8505-C310BEE20E71}"/>
    </customSheetView>
    <customSheetView guid="{9D8F4405-7C5B-4A06-A890-221CDE5E9F9A}" filter="1" showAutoFilter="1">
      <pageMargins left="0.7" right="0.7" top="0.75" bottom="0.75" header="0.3" footer="0.3"/>
      <autoFilter ref="A1:IE46" xr:uid="{FD7993AF-DDC1-419F-9B11-0045028A7C48}"/>
    </customSheetView>
    <customSheetView guid="{7E3553DE-73F2-4DCC-A254-3357BE83043F}" filter="1" showAutoFilter="1">
      <pageMargins left="0.7" right="0.7" top="0.75" bottom="0.75" header="0.3" footer="0.3"/>
      <autoFilter ref="A1:IH46" xr:uid="{7BB989E8-5C8F-42F0-A297-EF5A24C7CE36}"/>
    </customSheetView>
    <customSheetView guid="{7ACF27DA-8817-47F5-B844-E15665860813}" filter="1" showAutoFilter="1">
      <pageMargins left="0.7" right="0.7" top="0.75" bottom="0.75" header="0.3" footer="0.3"/>
      <autoFilter ref="A1:IN46" xr:uid="{8ABF559B-1E37-4E01-8FD3-E5A633DA9607}"/>
    </customSheetView>
    <customSheetView guid="{91B08F99-216D-4856-A656-8C8B2E45C3E1}" filter="1" showAutoFilter="1">
      <pageMargins left="0.7" right="0.7" top="0.75" bottom="0.75" header="0.3" footer="0.3"/>
      <autoFilter ref="A1:IN46" xr:uid="{B32DDDD7-9831-43B3-9CB8-A0BBD9DE37C0}"/>
    </customSheetView>
    <customSheetView guid="{D05A9C30-1594-4124-9C6F-152DC7FC6BA1}" filter="1" showAutoFilter="1">
      <pageMargins left="0.7" right="0.7" top="0.75" bottom="0.75" header="0.3" footer="0.3"/>
      <autoFilter ref="A1:EM46" xr:uid="{4F195C10-710E-4914-A62B-8C80D71DA03A}"/>
    </customSheetView>
    <customSheetView guid="{E703B642-8E38-4CF6-9B1B-158B49A610BA}" filter="1" showAutoFilter="1">
      <pageMargins left="0.7" right="0.7" top="0.75" bottom="0.75" header="0.3" footer="0.3"/>
      <autoFilter ref="A1:FK46" xr:uid="{4B2D00C4-6881-4A84-AFD6-2CBDEA2805E4}"/>
    </customSheetView>
    <customSheetView guid="{64ABD64E-DBE2-4923-B538-5F36357B1294}" filter="1" showAutoFilter="1">
      <pageMargins left="0.7" right="0.7" top="0.75" bottom="0.75" header="0.3" footer="0.3"/>
      <autoFilter ref="A2:T46" xr:uid="{8B3EF1B5-7447-4C05-A1A9-3EE488229390}">
        <sortState xmlns:xlrd2="http://schemas.microsoft.com/office/spreadsheetml/2017/richdata2" ref="A2:T46">
          <sortCondition ref="B2:B46"/>
          <sortCondition ref="C2:C46"/>
        </sortState>
      </autoFilter>
    </customSheetView>
    <customSheetView guid="{61E1C12E-F545-4520-8531-14ED612F4289}" filter="1" showAutoFilter="1">
      <pageMargins left="0.7" right="0.7" top="0.75" bottom="0.75" header="0.3" footer="0.3"/>
      <autoFilter ref="A1:BS46" xr:uid="{FDB4A95A-D50B-4885-B9DC-2E0FEB8371E0}"/>
    </customSheetView>
    <customSheetView guid="{744C2544-C5FB-498D-B8BE-E4C5F3A81830}" filter="1" showAutoFilter="1">
      <pageMargins left="0.7" right="0.7" top="0.75" bottom="0.75" header="0.3" footer="0.3"/>
      <autoFilter ref="A1:BS46" xr:uid="{C1DF58B7-60FC-4175-A8C7-61FEF637973A}"/>
    </customSheetView>
    <customSheetView guid="{19A37948-1CFC-47D9-87C2-E2DC2DE49B05}" filter="1" showAutoFilter="1">
      <pageMargins left="0.7" right="0.7" top="0.75" bottom="0.75" header="0.3" footer="0.3"/>
      <autoFilter ref="A1:Z46" xr:uid="{2C3649FC-A13F-4874-9963-57C9C8ED0BE2}"/>
    </customSheetView>
    <customSheetView guid="{692B6C40-6CAD-4C16-9549-460FF4B4DFED}" filter="1" showAutoFilter="1">
      <pageMargins left="0.7" right="0.7" top="0.75" bottom="0.75" header="0.3" footer="0.3"/>
      <autoFilter ref="A1:Z46" xr:uid="{CD1DAC14-3194-4E0B-B8BE-E28DF95FCA4F}"/>
    </customSheetView>
    <customSheetView guid="{F7F9ED2E-69E3-4538-AEBE-2FB40FE1FBC3}" filter="1" showAutoFilter="1">
      <pageMargins left="0.7" right="0.7" top="0.75" bottom="0.75" header="0.3" footer="0.3"/>
      <autoFilter ref="O3:O46" xr:uid="{06632A08-F455-4CBD-BB1A-46F05CDBEA0B}"/>
    </customSheetView>
    <customSheetView guid="{F4F4AB36-21C8-46BE-B841-28827667E4BD}" filter="1" showAutoFilter="1">
      <pageMargins left="0.7" right="0.7" top="0.75" bottom="0.75" header="0.3" footer="0.3"/>
      <autoFilter ref="O3:O46" xr:uid="{6483FD27-A91C-4921-9D78-B55604993E8F}"/>
    </customSheetView>
    <customSheetView guid="{B20986D9-F4A0-4866-BDBD-2C8D584B019B}" filter="1" showAutoFilter="1">
      <pageMargins left="0.7" right="0.7" top="0.75" bottom="0.75" header="0.3" footer="0.3"/>
      <autoFilter ref="A1:BJ46" xr:uid="{158B5421-5665-4A0E-83B2-DEC0802E59B4}"/>
    </customSheetView>
    <customSheetView guid="{B686A446-DBB8-4B8D-9B73-B85FC1318D16}" filter="1" showAutoFilter="1">
      <pageMargins left="0.7" right="0.7" top="0.75" bottom="0.75" header="0.3" footer="0.3"/>
      <autoFilter ref="A1:BJ46" xr:uid="{620977F6-4C15-4D5B-9B8C-25AB9BE2998E}"/>
    </customSheetView>
    <customSheetView guid="{8697D240-617A-4303-B518-0A60453DD0BA}" filter="1" showAutoFilter="1">
      <pageMargins left="0.7" right="0.7" top="0.75" bottom="0.75" header="0.3" footer="0.3"/>
      <autoFilter ref="A2:AJ46" xr:uid="{249934A6-248F-4DBD-B293-2FA3A9DBBC89}">
        <sortState xmlns:xlrd2="http://schemas.microsoft.com/office/spreadsheetml/2017/richdata2" ref="A2:AJ46">
          <sortCondition ref="B2:B46"/>
        </sortState>
      </autoFilter>
    </customSheetView>
    <customSheetView guid="{491003A0-1635-4F3D-AFE8-A0D4BC5B2C6F}" filter="1" showAutoFilter="1">
      <pageMargins left="0.7" right="0.7" top="0.75" bottom="0.75" header="0.3" footer="0.3"/>
      <autoFilter ref="A1:BV46" xr:uid="{0B0E7468-45C1-48C3-A22E-2D04F9574A2A}"/>
    </customSheetView>
    <customSheetView guid="{9089B0D1-76E1-4906-8F00-FBAF85AB6B68}" filter="1" showAutoFilter="1">
      <pageMargins left="0.7" right="0.7" top="0.75" bottom="0.75" header="0.3" footer="0.3"/>
      <autoFilter ref="A1:BV46" xr:uid="{38C4C33F-B9BE-4F99-9FAA-85248AD4C6BF}"/>
    </customSheetView>
    <customSheetView guid="{318474EC-1DFE-438A-92E5-C565F8A56368}" filter="1" showAutoFilter="1">
      <pageMargins left="0.7" right="0.7" top="0.75" bottom="0.75" header="0.3" footer="0.3"/>
      <autoFilter ref="A1:BV46" xr:uid="{0A184F22-8948-4562-BC9D-32076F6850D9}"/>
    </customSheetView>
    <customSheetView guid="{96C8671C-C666-4DC6-9514-0B5488158933}" filter="1" showAutoFilter="1">
      <pageMargins left="0.7" right="0.7" top="0.75" bottom="0.75" header="0.3" footer="0.3"/>
      <autoFilter ref="A1:DC46" xr:uid="{93B86FDF-8D35-4F41-AF86-DCDE7B846CB5}"/>
    </customSheetView>
    <customSheetView guid="{3C502C0F-1AA8-4CC9-AFC7-1E188C793102}" filter="1" showAutoFilter="1">
      <pageMargins left="0.7" right="0.7" top="0.75" bottom="0.75" header="0.3" footer="0.3"/>
      <autoFilter ref="A1:FZ46" xr:uid="{6C4EE564-678E-4D0A-AE1B-E98EBEC4E4AC}"/>
    </customSheetView>
    <customSheetView guid="{81CE9938-D3E4-45C5-9B84-1660E90CC8C2}" filter="1" showAutoFilter="1">
      <pageMargins left="0.7" right="0.7" top="0.75" bottom="0.75" header="0.3" footer="0.3"/>
      <autoFilter ref="A1:EG46" xr:uid="{28BE96E3-D7DD-4367-BAA3-8CC994FCEB83}"/>
    </customSheetView>
    <customSheetView guid="{CC97CA64-F79F-4450-A3AA-7FE2986362A9}" filter="1" showAutoFilter="1">
      <pageMargins left="0.7" right="0.7" top="0.75" bottom="0.75" header="0.3" footer="0.3"/>
      <autoFilter ref="A1:GL46" xr:uid="{A60F6BB1-E6BB-4A71-96EB-41E2CEF879F9}"/>
    </customSheetView>
    <customSheetView guid="{77F2C9BD-D661-4BCE-B73C-CB429C4B4B99}" filter="1" showAutoFilter="1">
      <pageMargins left="0.7" right="0.7" top="0.75" bottom="0.75" header="0.3" footer="0.3"/>
      <autoFilter ref="A1:FB46" xr:uid="{C46235CA-84E8-4C07-9391-258ACDF38ED7}"/>
    </customSheetView>
    <customSheetView guid="{952B179B-9792-4160-9D46-4FAF8162597D}" filter="1" showAutoFilter="1">
      <pageMargins left="0.7" right="0.7" top="0.75" bottom="0.75" header="0.3" footer="0.3"/>
      <autoFilter ref="A1:FW46" xr:uid="{F160598F-C640-45D4-B960-8532A3A32197}"/>
    </customSheetView>
    <customSheetView guid="{716F2223-E4AA-43D3-8F22-66801EB3EA32}" filter="1" showAutoFilter="1">
      <pageMargins left="0.7" right="0.7" top="0.75" bottom="0.75" header="0.3" footer="0.3"/>
      <autoFilter ref="A1:CN46" xr:uid="{A222F025-D768-4A1A-AD41-9766A30D0289}"/>
    </customSheetView>
    <customSheetView guid="{51BDF3D7-3135-4594-AFBF-61735B14EEC2}" filter="1" showAutoFilter="1">
      <pageMargins left="0.7" right="0.7" top="0.75" bottom="0.75" header="0.3" footer="0.3"/>
      <autoFilter ref="A1:DX46" xr:uid="{535AEBBE-66A3-4331-A589-DAE58EF1E344}"/>
    </customSheetView>
    <customSheetView guid="{52B351AD-3F43-480F-B770-31F768E34A16}" filter="1" showAutoFilter="1">
      <pageMargins left="0.7" right="0.7" top="0.75" bottom="0.75" header="0.3" footer="0.3"/>
      <autoFilter ref="A1:HA46" xr:uid="{7C65D222-7316-4A89-9CD9-F27998AE1E17}"/>
    </customSheetView>
    <customSheetView guid="{B1954814-91B9-4F47-88F3-6EE43757CAB2}" filter="1" showAutoFilter="1">
      <pageMargins left="0.7" right="0.7" top="0.75" bottom="0.75" header="0.3" footer="0.3"/>
      <autoFilter ref="BB3:BB46" xr:uid="{38BF9ED3-B4A2-4502-86BA-AA9ED4C3FD56}"/>
    </customSheetView>
    <customSheetView guid="{B85B4828-23F3-4AD6-89CD-7FB8FBC1A2DA}" filter="1" showAutoFilter="1">
      <pageMargins left="0.7" right="0.7" top="0.75" bottom="0.75" header="0.3" footer="0.3"/>
      <autoFilter ref="BB3:BB46" xr:uid="{55170B97-FD25-4D61-9EE2-0FA3315584C0}"/>
    </customSheetView>
    <customSheetView guid="{ADF96328-03A0-4D46-A6CB-42B5371D6BB5}" filter="1" showAutoFilter="1">
      <pageMargins left="0.7" right="0.7" top="0.75" bottom="0.75" header="0.3" footer="0.3"/>
      <autoFilter ref="A1:AI46" xr:uid="{E4521979-B8E2-41CE-A98E-ED863B731EF5}"/>
    </customSheetView>
    <customSheetView guid="{6FE2B26E-194D-40FD-9B5B-FFB7D17E01A0}" filter="1" showAutoFilter="1">
      <pageMargins left="0.7" right="0.7" top="0.75" bottom="0.75" header="0.3" footer="0.3"/>
      <autoFilter ref="A1:AI46" xr:uid="{85D3760B-C82E-4CE2-8B43-FA56E36F5F6B}">
        <filterColumn colId="2">
          <filters>
            <filter val="Kepulauan Seribu"/>
          </filters>
        </filterColumn>
      </autoFilter>
    </customSheetView>
    <customSheetView guid="{D1C9FABF-DBFE-49C6-BC94-389F017C4A16}" filter="1" showAutoFilter="1">
      <pageMargins left="0.7" right="0.7" top="0.75" bottom="0.75" header="0.3" footer="0.3"/>
      <autoFilter ref="A1:DU46" xr:uid="{2D257E3A-6ED9-4CF1-B766-827EDAAAA5DC}"/>
    </customSheetView>
    <customSheetView guid="{C6B31D65-1B6A-4841-BE9C-FE6E61E8EA95}" filter="1" showAutoFilter="1">
      <pageMargins left="0.7" right="0.7" top="0.75" bottom="0.75" header="0.3" footer="0.3"/>
      <autoFilter ref="A1:DU46" xr:uid="{9633A3E2-8620-403C-8FE9-80A0218776E5}"/>
    </customSheetView>
    <customSheetView guid="{5F70E172-316C-44C1-A518-0438FFA08FD3}" filter="1" showAutoFilter="1">
      <pageMargins left="0.7" right="0.7" top="0.75" bottom="0.75" header="0.3" footer="0.3"/>
      <autoFilter ref="A1:DL46" xr:uid="{1850DAD1-0213-47F3-9164-9926206D2C27}"/>
    </customSheetView>
    <customSheetView guid="{127F791D-2ECB-4D8F-B404-3A39C628CD87}" filter="1" showAutoFilter="1">
      <pageMargins left="0.7" right="0.7" top="0.75" bottom="0.75" header="0.3" footer="0.3"/>
      <autoFilter ref="A1:DR46" xr:uid="{20448CCC-8920-4FB4-ABFB-F8CF9281AD71}"/>
    </customSheetView>
    <customSheetView guid="{32C6C37A-DE20-47A8-9A58-1BFB34D22D5E}" filter="1" showAutoFilter="1">
      <pageMargins left="0.7" right="0.7" top="0.75" bottom="0.75" header="0.3" footer="0.3"/>
      <autoFilter ref="A1:GU46" xr:uid="{7A6E9479-FDE7-4DF6-B8DE-3CE6569B036B}"/>
    </customSheetView>
    <customSheetView guid="{A629EAA0-EC84-468A-B510-C175F133C777}" filter="1" showAutoFilter="1">
      <pageMargins left="0.7" right="0.7" top="0.75" bottom="0.75" header="0.3" footer="0.3"/>
      <autoFilter ref="A1:FN46" xr:uid="{086EC207-34F9-44D0-97B7-4E3A8DC55C74}"/>
    </customSheetView>
    <customSheetView guid="{66CBDA55-9F0B-45E6-B3A5-CCABACFA51D3}" filter="1" showAutoFilter="1">
      <pageMargins left="0.7" right="0.7" top="0.75" bottom="0.75" header="0.3" footer="0.3"/>
      <autoFilter ref="J10" xr:uid="{7C0C0CB2-76C8-4CAC-921A-6D791BE81F3F}"/>
    </customSheetView>
    <customSheetView guid="{715991D4-BC94-4F37-ADA8-C0DCA9CFDA22}" filter="1" showAutoFilter="1">
      <pageMargins left="0.7" right="0.7" top="0.75" bottom="0.75" header="0.3" footer="0.3"/>
      <autoFilter ref="C1:W46" xr:uid="{D905D4E4-6005-492E-B78F-C8B02ABD720B}"/>
    </customSheetView>
    <customSheetView guid="{43D6D94B-9B99-47B5-A7C3-F6DEE3B63FE4}" filter="1" showAutoFilter="1">
      <pageMargins left="0.7" right="0.7" top="0.75" bottom="0.75" header="0.3" footer="0.3"/>
      <autoFilter ref="BO11" xr:uid="{D02EFB13-77E1-401D-A599-4F591B153669}"/>
    </customSheetView>
    <customSheetView guid="{00C237F5-F3CC-48E1-A3A4-C8F3DF834E3F}" filter="1" showAutoFilter="1">
      <pageMargins left="0.7" right="0.7" top="0.75" bottom="0.75" header="0.3" footer="0.3"/>
      <autoFilter ref="BO11" xr:uid="{BC83B166-9418-4771-9A41-3D4D9DC24F9A}"/>
    </customSheetView>
    <customSheetView guid="{8005D9E6-56B6-4A20-B24B-E51A72BC5D93}" filter="1" showAutoFilter="1">
      <pageMargins left="0.7" right="0.7" top="0.75" bottom="0.75" header="0.3" footer="0.3"/>
      <autoFilter ref="BO11" xr:uid="{BD2FC94E-B7D2-420C-B3A3-C8A04E3787AE}"/>
    </customSheetView>
    <customSheetView guid="{616C9644-7BF6-464E-864E-CF9C7C4E8B7B}" filter="1" showAutoFilter="1">
      <pageMargins left="0.7" right="0.7" top="0.75" bottom="0.75" header="0.3" footer="0.3"/>
      <autoFilter ref="BO11" xr:uid="{869E978D-8821-42B9-BCDB-11F1BF665FF7}"/>
    </customSheetView>
    <customSheetView guid="{19F411A4-E16E-4724-B67F-43F012517E5D}" filter="1" showAutoFilter="1">
      <pageMargins left="0.7" right="0.7" top="0.75" bottom="0.75" header="0.3" footer="0.3"/>
      <autoFilter ref="BO11" xr:uid="{62AE67A6-6B7C-4209-B5A1-99C00F7A4705}"/>
    </customSheetView>
    <customSheetView guid="{2A0F7540-5265-4761-950E-E1166E49E782}" filter="1" showAutoFilter="1">
      <pageMargins left="0.7" right="0.7" top="0.75" bottom="0.75" header="0.3" footer="0.3"/>
      <autoFilter ref="K19" xr:uid="{79080914-2FA0-44BA-8BE7-82093FC7B1C8}"/>
    </customSheetView>
    <customSheetView guid="{4AB1324C-506D-4766-8A9A-B006604816DF}" filter="1" showAutoFilter="1">
      <pageMargins left="0.7" right="0.7" top="0.75" bottom="0.75" header="0.3" footer="0.3"/>
      <autoFilter ref="K19" xr:uid="{908E29BF-F83B-425E-BCB1-BF932E099708}"/>
    </customSheetView>
    <customSheetView guid="{2F422AC6-450C-47F1-AE34-2AD2F0CF99A6}" filter="1" showAutoFilter="1">
      <pageMargins left="0.7" right="0.7" top="0.75" bottom="0.75" header="0.3" footer="0.3"/>
      <autoFilter ref="A1:BY46" xr:uid="{7BC30E67-AF88-45C6-A0D8-5144C6E301FF}"/>
    </customSheetView>
    <customSheetView guid="{5F40B028-0BE2-4821-9336-5669A5E885C5}" filter="1" showAutoFilter="1">
      <pageMargins left="0.7" right="0.7" top="0.75" bottom="0.75" header="0.3" footer="0.3"/>
      <autoFilter ref="A1:BY46" xr:uid="{3EB8DFA8-B2B5-42A4-8037-FFF5DFBE7711}"/>
    </customSheetView>
    <customSheetView guid="{A4272730-DA5C-4248-89B8-D2D2B8AB70A1}" filter="1" showAutoFilter="1">
      <pageMargins left="0.7" right="0.7" top="0.75" bottom="0.75" header="0.3" footer="0.3"/>
      <autoFilter ref="A1:BY46" xr:uid="{0ED3650A-09B8-4F4B-ACCC-9F6E7E8C1E96}"/>
    </customSheetView>
    <customSheetView guid="{453E0314-F563-4D2A-8118-821835F7BED4}" filter="1" showAutoFilter="1">
      <pageMargins left="0.7" right="0.7" top="0.75" bottom="0.75" header="0.3" footer="0.3"/>
      <autoFilter ref="A1:BY46" xr:uid="{746A31B1-6058-4E19-871D-6E269736521E}"/>
    </customSheetView>
    <customSheetView guid="{8020C7D8-5803-4A35-99A2-D5CC254530F6}" filter="1" showAutoFilter="1">
      <pageMargins left="0.7" right="0.7" top="0.75" bottom="0.75" header="0.3" footer="0.3"/>
      <autoFilter ref="A1:AO46" xr:uid="{A4407355-A741-4470-AD3D-EE4D6FC7C967}">
        <filterColumn colId="2">
          <filters>
            <filter val="Kepulauan Seribu"/>
          </filters>
        </filterColumn>
      </autoFilter>
    </customSheetView>
    <customSheetView guid="{20482FED-91E5-446A-A852-B8D73D03880D}" filter="1" showAutoFilter="1">
      <pageMargins left="0.7" right="0.7" top="0.75" bottom="0.75" header="0.3" footer="0.3"/>
      <autoFilter ref="A1:AO46" xr:uid="{3F5FFA25-6FBC-4DBC-B140-374018BABE48}"/>
    </customSheetView>
    <customSheetView guid="{29092CAF-8A68-4B16-85EA-BB6B24B3A04F}" filter="1" showAutoFilter="1">
      <pageMargins left="0.7" right="0.7" top="0.75" bottom="0.75" header="0.3" footer="0.3"/>
      <autoFilter ref="BP12" xr:uid="{DFD2AC82-BACB-4883-8777-82596D312057}"/>
    </customSheetView>
    <customSheetView guid="{56BD578C-40BA-4044-9C43-DCDE78C7E350}" filter="1" showAutoFilter="1">
      <pageMargins left="0.7" right="0.7" top="0.75" bottom="0.75" header="0.3" footer="0.3"/>
      <autoFilter ref="BP12" xr:uid="{43C477FC-EA04-42F0-81F7-A3AB68577630}"/>
    </customSheetView>
    <customSheetView guid="{B18FEB3A-C64D-481D-8A1D-BBF9538E088F}" filter="1" showAutoFilter="1">
      <pageMargins left="0.7" right="0.7" top="0.75" bottom="0.75" header="0.3" footer="0.3"/>
      <autoFilter ref="BP12" xr:uid="{A37A9745-7F33-499E-99F5-3190D80F58EC}"/>
    </customSheetView>
    <customSheetView guid="{3CA94127-0FC1-42EF-8CB2-C154827529A1}" filter="1" showAutoFilter="1">
      <pageMargins left="0.7" right="0.7" top="0.75" bottom="0.75" header="0.3" footer="0.3"/>
      <autoFilter ref="BP12" xr:uid="{C8F437A0-C444-432C-A829-D06DC20B4F55}"/>
    </customSheetView>
    <customSheetView guid="{DD1E4880-A714-46F1-9EA5-BD5D0CA13355}" filter="1" showAutoFilter="1">
      <pageMargins left="0.7" right="0.7" top="0.75" bottom="0.75" header="0.3" footer="0.3"/>
      <autoFilter ref="BP12" xr:uid="{63EDC107-8142-4B81-9894-D39EFD98824E}"/>
    </customSheetView>
    <customSheetView guid="{C835A174-9D12-4E25-956F-E244C739405B}" filter="1" showAutoFilter="1">
      <pageMargins left="0.7" right="0.7" top="0.75" bottom="0.75" header="0.3" footer="0.3"/>
      <autoFilter ref="BP12" xr:uid="{C4F8A1AE-F025-46C9-9410-AE10DE0E6608}"/>
    </customSheetView>
    <customSheetView guid="{C0115176-FA44-435D-94DD-252C5C18DC2F}" filter="1" showAutoFilter="1">
      <pageMargins left="0.7" right="0.7" top="0.75" bottom="0.75" header="0.3" footer="0.3"/>
      <autoFilter ref="BP12" xr:uid="{6BD09372-EC2B-4F86-828F-5DBC2F810BCB}"/>
    </customSheetView>
    <customSheetView guid="{1C8B6568-FB02-45DB-A382-A1A02BACFC9C}" filter="1" showAutoFilter="1">
      <pageMargins left="0.7" right="0.7" top="0.75" bottom="0.75" header="0.3" footer="0.3"/>
      <autoFilter ref="A1:CT46" xr:uid="{510118D9-9742-4E4B-BF4C-A889E377FDC9}"/>
    </customSheetView>
    <customSheetView guid="{2B87DE61-F291-43D2-A0C5-A940D99F8AA6}" filter="1" showAutoFilter="1">
      <pageMargins left="0.7" right="0.7" top="0.75" bottom="0.75" header="0.3" footer="0.3"/>
      <autoFilter ref="A1:ED46" xr:uid="{D800D51A-F26E-4E5B-A941-C3D202A6C682}"/>
    </customSheetView>
    <customSheetView guid="{97D40C87-7D14-4A2E-82BF-89C50BA9F160}" filter="1" showAutoFilter="1">
      <pageMargins left="0.7" right="0.7" top="0.75" bottom="0.75" header="0.3" footer="0.3"/>
      <autoFilter ref="A1:CH46" xr:uid="{55D858E8-6523-40A5-BBAA-EB54D3E74416}"/>
    </customSheetView>
    <customSheetView guid="{4CF78C0A-F126-4A78-8F2A-0DB30A15E205}" filter="1" showAutoFilter="1">
      <pageMargins left="0.7" right="0.7" top="0.75" bottom="0.75" header="0.3" footer="0.3"/>
      <autoFilter ref="A1:CH46" xr:uid="{DEE45B8B-1EE3-40C5-BCC4-83B75B31C842}"/>
    </customSheetView>
    <customSheetView guid="{296C8782-600B-472A-929A-A7689C6F3A4C}" filter="1" showAutoFilter="1">
      <pageMargins left="0.7" right="0.7" top="0.75" bottom="0.75" header="0.3" footer="0.3"/>
      <autoFilter ref="A1:BP46" xr:uid="{CA761BF1-D06F-404D-AB3D-B3FD9F5485A7}"/>
    </customSheetView>
    <customSheetView guid="{4F1A6E12-F5BC-4904-865A-59FFE9E20A21}" filter="1" showAutoFilter="1">
      <pageMargins left="0.7" right="0.7" top="0.75" bottom="0.75" header="0.3" footer="0.3"/>
      <autoFilter ref="A1:AF46" xr:uid="{22EF2F63-A4DB-4BA0-B156-6CF2567B281A}"/>
    </customSheetView>
    <customSheetView guid="{802A00BC-96E1-4E84-839C-240D9C4193DD}" filter="1" showAutoFilter="1">
      <pageMargins left="0.7" right="0.7" top="0.75" bottom="0.75" header="0.3" footer="0.3"/>
      <autoFilter ref="A1:EP46" xr:uid="{87D5BD67-E64A-4776-BB14-2D6E212B8E0B}"/>
    </customSheetView>
    <customSheetView guid="{66DE35CD-8627-4A19-9487-DB0961AA1DE4}" filter="1" showAutoFilter="1">
      <pageMargins left="0.7" right="0.7" top="0.75" bottom="0.75" header="0.3" footer="0.3"/>
      <autoFilter ref="A1:EY46" xr:uid="{C612741F-982A-4DF4-A747-7F1B4FD4E87F}"/>
    </customSheetView>
    <customSheetView guid="{BCFBE4F5-1BE2-41D4-8804-462E6F8F2BB5}" filter="1" showAutoFilter="1">
      <pageMargins left="0.7" right="0.7" top="0.75" bottom="0.75" header="0.3" footer="0.3"/>
      <autoFilter ref="A1:EA46" xr:uid="{72DA2A93-BB13-4FF8-AC93-952CC3F52245}"/>
    </customSheetView>
    <customSheetView guid="{126227C9-DF69-4F48-BE89-4082141BCF6D}" filter="1" showAutoFilter="1">
      <pageMargins left="0.7" right="0.7" top="0.75" bottom="0.75" header="0.3" footer="0.3"/>
      <autoFilter ref="A1:GF46" xr:uid="{0AA454F9-BD2C-446F-99DD-21EC3902445B}"/>
    </customSheetView>
  </customSheetViews>
  <mergeCells count="81">
    <mergeCell ref="EK1:EM1"/>
    <mergeCell ref="EN1:EP1"/>
    <mergeCell ref="EQ1:ES1"/>
    <mergeCell ref="ET1:EV1"/>
    <mergeCell ref="DV1:DX1"/>
    <mergeCell ref="DY1:EA1"/>
    <mergeCell ref="EB1:ED1"/>
    <mergeCell ref="EE1:EG1"/>
    <mergeCell ref="EH1:EJ1"/>
    <mergeCell ref="DG1:DI1"/>
    <mergeCell ref="DJ1:DL1"/>
    <mergeCell ref="DM1:DO1"/>
    <mergeCell ref="DP1:DR1"/>
    <mergeCell ref="DS1:DU1"/>
    <mergeCell ref="CR1:CT1"/>
    <mergeCell ref="CU1:CW1"/>
    <mergeCell ref="CX1:CZ1"/>
    <mergeCell ref="DA1:DC1"/>
    <mergeCell ref="DD1:DF1"/>
    <mergeCell ref="CC1:CE1"/>
    <mergeCell ref="CF1:CH1"/>
    <mergeCell ref="CI1:CK1"/>
    <mergeCell ref="CL1:CN1"/>
    <mergeCell ref="CO1:CQ1"/>
    <mergeCell ref="BN1:BP1"/>
    <mergeCell ref="BQ1:BS1"/>
    <mergeCell ref="BT1:BV1"/>
    <mergeCell ref="BW1:BY1"/>
    <mergeCell ref="BZ1:CB1"/>
    <mergeCell ref="AY1:BA1"/>
    <mergeCell ref="BB1:BD1"/>
    <mergeCell ref="BE1:BG1"/>
    <mergeCell ref="BH1:BJ1"/>
    <mergeCell ref="BK1:BM1"/>
    <mergeCell ref="AJ1:AL1"/>
    <mergeCell ref="AM1:AO1"/>
    <mergeCell ref="AP1:AR1"/>
    <mergeCell ref="AS1:AU1"/>
    <mergeCell ref="AV1:AX1"/>
    <mergeCell ref="U1:W1"/>
    <mergeCell ref="X1:Z1"/>
    <mergeCell ref="AA1:AC1"/>
    <mergeCell ref="AD1:AF1"/>
    <mergeCell ref="AG1:AI1"/>
    <mergeCell ref="F1:H1"/>
    <mergeCell ref="I1:K1"/>
    <mergeCell ref="L1:N1"/>
    <mergeCell ref="O1:Q1"/>
    <mergeCell ref="R1:T1"/>
    <mergeCell ref="HE1:HG1"/>
    <mergeCell ref="IC1:IE1"/>
    <mergeCell ref="IF1:IH1"/>
    <mergeCell ref="II1:IK1"/>
    <mergeCell ref="IL1:IN1"/>
    <mergeCell ref="HH1:HJ1"/>
    <mergeCell ref="HK1:HM1"/>
    <mergeCell ref="HN1:HP1"/>
    <mergeCell ref="HQ1:HS1"/>
    <mergeCell ref="HT1:HV1"/>
    <mergeCell ref="HW1:HY1"/>
    <mergeCell ref="HZ1:IB1"/>
    <mergeCell ref="GP1:GR1"/>
    <mergeCell ref="GS1:GU1"/>
    <mergeCell ref="GV1:GX1"/>
    <mergeCell ref="GY1:HA1"/>
    <mergeCell ref="HB1:HD1"/>
    <mergeCell ref="GA1:GC1"/>
    <mergeCell ref="GD1:GF1"/>
    <mergeCell ref="GG1:GI1"/>
    <mergeCell ref="GJ1:GL1"/>
    <mergeCell ref="GM1:GO1"/>
    <mergeCell ref="FL1:FN1"/>
    <mergeCell ref="FO1:FQ1"/>
    <mergeCell ref="FR1:FT1"/>
    <mergeCell ref="FU1:FW1"/>
    <mergeCell ref="FX1:FZ1"/>
    <mergeCell ref="EW1:EY1"/>
    <mergeCell ref="EZ1:FB1"/>
    <mergeCell ref="FC1:FE1"/>
    <mergeCell ref="FF1:FH1"/>
    <mergeCell ref="FI1:FK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outlinePr summaryBelow="0" summaryRight="0"/>
  </sheetPr>
  <dimension ref="A1:W1002"/>
  <sheetViews>
    <sheetView workbookViewId="0">
      <pane ySplit="1" topLeftCell="A2" activePane="bottomLeft" state="frozen"/>
      <selection pane="bottomLeft" activeCell="B3" sqref="B3"/>
    </sheetView>
  </sheetViews>
  <sheetFormatPr defaultColWidth="14.44140625" defaultRowHeight="15.75" customHeight="1" x14ac:dyDescent="0.25"/>
  <cols>
    <col min="2" max="2" width="20.109375" customWidth="1"/>
    <col min="3" max="3" width="21" customWidth="1"/>
  </cols>
  <sheetData>
    <row r="1" spans="1:23" x14ac:dyDescent="0.25">
      <c r="A1" s="196" t="s">
        <v>0</v>
      </c>
      <c r="B1" s="196" t="s">
        <v>452</v>
      </c>
      <c r="C1" s="196" t="s">
        <v>454</v>
      </c>
      <c r="D1" s="197" t="s">
        <v>453</v>
      </c>
      <c r="E1" s="198"/>
      <c r="F1" s="198"/>
      <c r="G1" s="198"/>
      <c r="H1" s="198"/>
      <c r="I1" s="198"/>
      <c r="J1" s="198"/>
      <c r="K1" s="198"/>
      <c r="L1" s="198"/>
      <c r="M1" s="198"/>
      <c r="N1" s="198"/>
      <c r="O1" s="198"/>
      <c r="P1" s="198"/>
      <c r="Q1" s="198"/>
      <c r="R1" s="198"/>
      <c r="S1" s="198"/>
      <c r="T1" s="198"/>
      <c r="U1" s="198"/>
      <c r="V1" s="198"/>
      <c r="W1" s="198"/>
    </row>
    <row r="2" spans="1:23" x14ac:dyDescent="0.25">
      <c r="A2" s="199">
        <v>44358</v>
      </c>
      <c r="B2" s="30">
        <v>2819926</v>
      </c>
      <c r="C2" s="30">
        <v>1855812</v>
      </c>
      <c r="D2" s="200" t="s">
        <v>506</v>
      </c>
    </row>
    <row r="3" spans="1:23" x14ac:dyDescent="0.25">
      <c r="A3" s="201">
        <v>44359</v>
      </c>
      <c r="B3" s="30">
        <v>19281</v>
      </c>
      <c r="C3" s="30">
        <v>1173</v>
      </c>
    </row>
    <row r="4" spans="1:23" x14ac:dyDescent="0.25">
      <c r="A4" s="201">
        <v>44360</v>
      </c>
      <c r="B4" s="30">
        <v>198</v>
      </c>
      <c r="C4" s="30">
        <v>29</v>
      </c>
    </row>
    <row r="5" spans="1:23" x14ac:dyDescent="0.25">
      <c r="A5" s="201">
        <v>44361</v>
      </c>
      <c r="B5" s="30">
        <v>79491</v>
      </c>
      <c r="C5" s="30">
        <v>3691</v>
      </c>
    </row>
    <row r="6" spans="1:23" x14ac:dyDescent="0.25">
      <c r="A6" s="201">
        <v>44362</v>
      </c>
      <c r="B6" s="30">
        <v>81545</v>
      </c>
      <c r="C6" s="30">
        <v>3385</v>
      </c>
    </row>
    <row r="7" spans="1:23" x14ac:dyDescent="0.25">
      <c r="A7" s="201">
        <v>44363</v>
      </c>
      <c r="B7" s="30">
        <v>92210</v>
      </c>
      <c r="C7" s="30">
        <v>3436</v>
      </c>
    </row>
    <row r="8" spans="1:23" x14ac:dyDescent="0.25">
      <c r="A8" s="201">
        <v>44364</v>
      </c>
      <c r="B8" s="30">
        <v>93650</v>
      </c>
      <c r="C8" s="30">
        <v>3636</v>
      </c>
    </row>
    <row r="9" spans="1:23" x14ac:dyDescent="0.25">
      <c r="A9" s="201">
        <v>44365</v>
      </c>
      <c r="B9" s="30">
        <v>110177</v>
      </c>
      <c r="C9" s="30">
        <v>3178</v>
      </c>
    </row>
    <row r="10" spans="1:23" x14ac:dyDescent="0.25">
      <c r="A10" s="201">
        <v>44366</v>
      </c>
      <c r="B10" s="30">
        <v>40149</v>
      </c>
      <c r="C10" s="30">
        <v>322</v>
      </c>
    </row>
    <row r="11" spans="1:23" x14ac:dyDescent="0.25">
      <c r="A11" s="201">
        <v>44367</v>
      </c>
      <c r="B11" s="30">
        <v>14701</v>
      </c>
      <c r="C11" s="30">
        <v>90</v>
      </c>
    </row>
    <row r="12" spans="1:23" x14ac:dyDescent="0.25">
      <c r="A12" s="201">
        <v>44368</v>
      </c>
      <c r="B12" s="30">
        <v>109783</v>
      </c>
      <c r="C12" s="30">
        <v>2063</v>
      </c>
    </row>
    <row r="13" spans="1:23" x14ac:dyDescent="0.25">
      <c r="A13" s="201">
        <v>44369</v>
      </c>
      <c r="B13" s="30">
        <v>75171</v>
      </c>
      <c r="C13" s="30">
        <v>2440</v>
      </c>
    </row>
    <row r="14" spans="1:23" x14ac:dyDescent="0.25">
      <c r="A14" s="201">
        <v>44370</v>
      </c>
      <c r="B14" s="30">
        <v>156482</v>
      </c>
      <c r="C14" s="30">
        <v>2468</v>
      </c>
    </row>
    <row r="15" spans="1:23" x14ac:dyDescent="0.25">
      <c r="A15" s="201">
        <v>44371</v>
      </c>
      <c r="B15" s="30">
        <v>126843</v>
      </c>
      <c r="C15" s="30">
        <v>2455</v>
      </c>
    </row>
    <row r="16" spans="1:23" x14ac:dyDescent="0.25">
      <c r="A16" s="201">
        <v>44372</v>
      </c>
      <c r="B16" s="30">
        <v>129228</v>
      </c>
      <c r="C16" s="30">
        <v>2264</v>
      </c>
    </row>
    <row r="17" spans="1:3" x14ac:dyDescent="0.25">
      <c r="A17" s="201">
        <v>44373</v>
      </c>
      <c r="B17" s="30">
        <v>56926</v>
      </c>
      <c r="C17" s="30">
        <v>742</v>
      </c>
    </row>
    <row r="18" spans="1:3" x14ac:dyDescent="0.25">
      <c r="A18" s="201">
        <v>44374</v>
      </c>
      <c r="B18" s="30">
        <v>20517</v>
      </c>
      <c r="C18" s="30">
        <v>88</v>
      </c>
    </row>
    <row r="19" spans="1:3" x14ac:dyDescent="0.25">
      <c r="A19" s="201">
        <v>44375</v>
      </c>
      <c r="B19" s="30">
        <v>121706</v>
      </c>
      <c r="C19" s="30">
        <v>2973</v>
      </c>
    </row>
    <row r="20" spans="1:3" x14ac:dyDescent="0.25">
      <c r="A20" s="201">
        <v>44376</v>
      </c>
      <c r="B20" s="30">
        <v>129802</v>
      </c>
      <c r="C20" s="30">
        <v>1236</v>
      </c>
    </row>
    <row r="21" spans="1:3" x14ac:dyDescent="0.25">
      <c r="A21" s="201">
        <v>44377</v>
      </c>
      <c r="B21" s="30">
        <v>128620</v>
      </c>
      <c r="C21" s="30">
        <v>2064</v>
      </c>
    </row>
    <row r="22" spans="1:3" x14ac:dyDescent="0.25">
      <c r="A22" s="201">
        <v>44378</v>
      </c>
      <c r="B22" s="30">
        <v>102322</v>
      </c>
      <c r="C22" s="30">
        <v>1942</v>
      </c>
    </row>
    <row r="23" spans="1:3" x14ac:dyDescent="0.25">
      <c r="A23" s="201">
        <v>44379</v>
      </c>
      <c r="B23" s="30">
        <v>74157</v>
      </c>
      <c r="C23" s="30">
        <v>1239</v>
      </c>
    </row>
    <row r="24" spans="1:3" x14ac:dyDescent="0.25">
      <c r="A24" s="201">
        <v>44380</v>
      </c>
      <c r="B24" s="30">
        <v>121176</v>
      </c>
      <c r="C24" s="202">
        <v>1898.0229999999999</v>
      </c>
    </row>
    <row r="25" spans="1:3" x14ac:dyDescent="0.25">
      <c r="A25" s="201">
        <v>44381</v>
      </c>
      <c r="B25" s="30">
        <v>24669</v>
      </c>
      <c r="C25" s="30">
        <v>135</v>
      </c>
    </row>
    <row r="26" spans="1:3" x14ac:dyDescent="0.25">
      <c r="A26" s="201">
        <v>44382</v>
      </c>
      <c r="B26" s="30">
        <v>80282</v>
      </c>
      <c r="C26" s="30">
        <v>122510</v>
      </c>
    </row>
    <row r="27" spans="1:3" x14ac:dyDescent="0.25">
      <c r="A27" s="201">
        <v>44383</v>
      </c>
      <c r="B27" s="30">
        <v>160288</v>
      </c>
      <c r="C27" s="30">
        <v>3608</v>
      </c>
    </row>
    <row r="28" spans="1:3" x14ac:dyDescent="0.25">
      <c r="A28" s="201">
        <v>44384</v>
      </c>
      <c r="B28" s="30">
        <v>87866</v>
      </c>
      <c r="C28" s="30">
        <v>1423</v>
      </c>
    </row>
    <row r="29" spans="1:3" x14ac:dyDescent="0.25">
      <c r="A29" s="201">
        <v>44385</v>
      </c>
      <c r="B29" s="30">
        <v>121040</v>
      </c>
      <c r="C29" s="30">
        <v>3796</v>
      </c>
    </row>
    <row r="30" spans="1:3" x14ac:dyDescent="0.25">
      <c r="A30" s="201">
        <v>44386</v>
      </c>
      <c r="B30" s="30">
        <v>50257</v>
      </c>
      <c r="C30" s="30">
        <v>1124</v>
      </c>
    </row>
    <row r="31" spans="1:3" x14ac:dyDescent="0.25">
      <c r="A31" s="201">
        <v>44387</v>
      </c>
      <c r="B31" s="30">
        <v>14810</v>
      </c>
      <c r="C31" s="30">
        <v>435</v>
      </c>
    </row>
    <row r="32" spans="1:3" x14ac:dyDescent="0.25">
      <c r="A32" s="201">
        <v>44388</v>
      </c>
      <c r="B32" s="30">
        <v>23927</v>
      </c>
      <c r="C32" s="30">
        <v>199</v>
      </c>
    </row>
    <row r="33" spans="1:3" x14ac:dyDescent="0.25">
      <c r="A33" s="201">
        <v>44389</v>
      </c>
      <c r="B33" s="30">
        <v>61797</v>
      </c>
      <c r="C33" s="30">
        <v>868</v>
      </c>
    </row>
    <row r="34" spans="1:3" x14ac:dyDescent="0.25">
      <c r="A34" s="201">
        <v>44390</v>
      </c>
      <c r="B34" s="30">
        <v>293767</v>
      </c>
      <c r="C34" s="30">
        <v>9324</v>
      </c>
    </row>
    <row r="35" spans="1:3" x14ac:dyDescent="0.25">
      <c r="A35" s="201">
        <v>44391</v>
      </c>
      <c r="B35" s="30">
        <v>110759</v>
      </c>
      <c r="C35" s="30">
        <v>3474</v>
      </c>
    </row>
    <row r="36" spans="1:3" x14ac:dyDescent="0.25">
      <c r="A36" s="201">
        <v>44392</v>
      </c>
      <c r="B36" s="30">
        <v>125316</v>
      </c>
      <c r="C36" s="30">
        <v>3168</v>
      </c>
    </row>
    <row r="37" spans="1:3" x14ac:dyDescent="0.25">
      <c r="A37" s="201">
        <v>44393</v>
      </c>
      <c r="B37" s="30">
        <v>127120</v>
      </c>
      <c r="C37" s="30">
        <v>3734</v>
      </c>
    </row>
    <row r="38" spans="1:3" x14ac:dyDescent="0.25">
      <c r="A38" s="201">
        <v>44394</v>
      </c>
      <c r="B38" s="30">
        <v>66309</v>
      </c>
      <c r="C38" s="30">
        <v>3636</v>
      </c>
    </row>
    <row r="39" spans="1:3" x14ac:dyDescent="0.25">
      <c r="A39" s="201">
        <v>44395</v>
      </c>
      <c r="B39" s="30">
        <v>43114</v>
      </c>
      <c r="C39" s="30">
        <v>2154</v>
      </c>
    </row>
    <row r="40" spans="1:3" x14ac:dyDescent="0.25">
      <c r="A40" s="201">
        <v>44396</v>
      </c>
      <c r="B40" s="30">
        <v>79866</v>
      </c>
      <c r="C40" s="30">
        <v>14543</v>
      </c>
    </row>
    <row r="41" spans="1:3" x14ac:dyDescent="0.25">
      <c r="A41" s="201">
        <v>44397</v>
      </c>
      <c r="B41" s="30">
        <v>4794</v>
      </c>
      <c r="C41" s="30">
        <v>282</v>
      </c>
    </row>
    <row r="42" spans="1:3" x14ac:dyDescent="0.25">
      <c r="A42" s="201">
        <v>44398</v>
      </c>
      <c r="B42" s="30">
        <v>72982</v>
      </c>
      <c r="C42" s="30">
        <v>39094</v>
      </c>
    </row>
    <row r="43" spans="1:3" x14ac:dyDescent="0.25">
      <c r="A43" s="201">
        <v>44399</v>
      </c>
      <c r="B43" s="30">
        <v>82062</v>
      </c>
      <c r="C43" s="30">
        <v>52320</v>
      </c>
    </row>
    <row r="44" spans="1:3" x14ac:dyDescent="0.25">
      <c r="A44" s="201">
        <v>44400</v>
      </c>
      <c r="B44" s="30">
        <v>79315</v>
      </c>
      <c r="C44" s="30">
        <v>62948</v>
      </c>
    </row>
    <row r="45" spans="1:3" x14ac:dyDescent="0.25">
      <c r="A45" s="201">
        <v>44401</v>
      </c>
      <c r="B45" s="30">
        <v>49995</v>
      </c>
      <c r="C45" s="30">
        <v>27747</v>
      </c>
    </row>
    <row r="46" spans="1:3" x14ac:dyDescent="0.25">
      <c r="A46" s="201">
        <v>44402</v>
      </c>
      <c r="B46" s="30">
        <v>34948</v>
      </c>
      <c r="C46" s="30">
        <v>16293</v>
      </c>
    </row>
    <row r="47" spans="1:3" x14ac:dyDescent="0.25">
      <c r="A47" s="201">
        <v>44403</v>
      </c>
      <c r="B47" s="30">
        <v>76411</v>
      </c>
      <c r="C47" s="30">
        <v>80680</v>
      </c>
    </row>
    <row r="48" spans="1:3" x14ac:dyDescent="0.25">
      <c r="A48" s="201">
        <v>44404</v>
      </c>
      <c r="B48" s="30">
        <v>79658</v>
      </c>
      <c r="C48" s="30">
        <v>85440</v>
      </c>
    </row>
    <row r="49" spans="1:3" x14ac:dyDescent="0.25">
      <c r="A49" s="201">
        <v>44405</v>
      </c>
      <c r="B49" s="30">
        <v>87911</v>
      </c>
      <c r="C49" s="30">
        <v>109547</v>
      </c>
    </row>
    <row r="50" spans="1:3" x14ac:dyDescent="0.25">
      <c r="A50" s="201">
        <v>44406</v>
      </c>
      <c r="B50" s="30">
        <v>93038</v>
      </c>
      <c r="C50" s="30">
        <v>115374</v>
      </c>
    </row>
    <row r="51" spans="1:3" x14ac:dyDescent="0.25">
      <c r="A51" s="201">
        <v>44407</v>
      </c>
      <c r="B51" s="30">
        <v>86851</v>
      </c>
      <c r="C51" s="30">
        <v>120853</v>
      </c>
    </row>
    <row r="52" spans="1:3" x14ac:dyDescent="0.25">
      <c r="A52" s="201">
        <v>44408</v>
      </c>
      <c r="B52" s="30">
        <v>78021</v>
      </c>
      <c r="C52" s="30">
        <v>45853</v>
      </c>
    </row>
    <row r="53" spans="1:3" x14ac:dyDescent="0.25">
      <c r="A53" s="201">
        <v>44409</v>
      </c>
      <c r="B53" s="30">
        <v>63494</v>
      </c>
      <c r="C53" s="30">
        <v>27123</v>
      </c>
    </row>
    <row r="54" spans="1:3" x14ac:dyDescent="0.25">
      <c r="A54" s="201">
        <v>44410</v>
      </c>
      <c r="B54" s="30">
        <v>132402</v>
      </c>
      <c r="C54" s="30">
        <v>114037</v>
      </c>
    </row>
    <row r="55" spans="1:3" x14ac:dyDescent="0.25">
      <c r="A55" s="201">
        <v>44411</v>
      </c>
      <c r="B55" s="30">
        <v>99805</v>
      </c>
      <c r="C55" s="30">
        <v>108179</v>
      </c>
    </row>
    <row r="56" spans="1:3" x14ac:dyDescent="0.25">
      <c r="A56" s="201">
        <v>44412</v>
      </c>
      <c r="B56" s="30">
        <v>20479</v>
      </c>
      <c r="C56" s="30">
        <v>74027</v>
      </c>
    </row>
    <row r="57" spans="1:3" x14ac:dyDescent="0.25">
      <c r="A57" s="201">
        <v>44413</v>
      </c>
      <c r="B57" s="30">
        <v>53992</v>
      </c>
      <c r="C57" s="30">
        <v>18756</v>
      </c>
    </row>
    <row r="58" spans="1:3" x14ac:dyDescent="0.25">
      <c r="A58" s="201">
        <v>44414</v>
      </c>
      <c r="B58" s="30">
        <v>118785</v>
      </c>
      <c r="C58" s="30">
        <v>82412</v>
      </c>
    </row>
    <row r="59" spans="1:3" x14ac:dyDescent="0.25">
      <c r="A59" s="201">
        <v>44415</v>
      </c>
      <c r="B59" s="30">
        <v>208447</v>
      </c>
      <c r="C59" s="30">
        <v>227024</v>
      </c>
    </row>
    <row r="60" spans="1:3" x14ac:dyDescent="0.25">
      <c r="A60" s="201">
        <v>44416</v>
      </c>
      <c r="B60" s="30">
        <v>164541</v>
      </c>
      <c r="C60" s="30">
        <v>115868</v>
      </c>
    </row>
    <row r="61" spans="1:3" x14ac:dyDescent="0.25">
      <c r="A61" s="201">
        <v>44417</v>
      </c>
      <c r="B61" s="30">
        <v>117523</v>
      </c>
      <c r="C61" s="30">
        <v>108292</v>
      </c>
    </row>
    <row r="62" spans="1:3" x14ac:dyDescent="0.25">
      <c r="A62" s="201">
        <v>44418</v>
      </c>
      <c r="B62" s="30">
        <v>85612</v>
      </c>
      <c r="C62" s="30">
        <v>88403</v>
      </c>
    </row>
    <row r="63" spans="1:3" x14ac:dyDescent="0.25">
      <c r="A63" s="201">
        <v>44419</v>
      </c>
      <c r="B63" s="30">
        <v>46298</v>
      </c>
      <c r="C63" s="30">
        <v>31439</v>
      </c>
    </row>
    <row r="64" spans="1:3" x14ac:dyDescent="0.25">
      <c r="A64" s="201">
        <v>44420</v>
      </c>
      <c r="B64" s="30">
        <v>82036</v>
      </c>
      <c r="C64" s="30">
        <v>145321</v>
      </c>
    </row>
    <row r="65" spans="1:3" x14ac:dyDescent="0.25">
      <c r="A65" s="201">
        <v>44421</v>
      </c>
      <c r="B65" s="30">
        <v>83464</v>
      </c>
      <c r="C65" s="30">
        <v>132652</v>
      </c>
    </row>
    <row r="66" spans="1:3" x14ac:dyDescent="0.25">
      <c r="A66" s="201">
        <v>44422</v>
      </c>
      <c r="B66" s="30">
        <v>63300</v>
      </c>
      <c r="C66" s="30">
        <v>63485</v>
      </c>
    </row>
    <row r="67" spans="1:3" x14ac:dyDescent="0.25">
      <c r="A67" s="201">
        <v>44423</v>
      </c>
      <c r="B67" s="30">
        <v>50650</v>
      </c>
      <c r="C67" s="30">
        <v>39330</v>
      </c>
    </row>
    <row r="68" spans="1:3" x14ac:dyDescent="0.25">
      <c r="A68" s="201">
        <v>44424</v>
      </c>
      <c r="B68" s="30">
        <v>77686</v>
      </c>
      <c r="C68" s="30">
        <v>94486</v>
      </c>
    </row>
    <row r="69" spans="1:3" x14ac:dyDescent="0.25">
      <c r="A69" s="201">
        <v>44425</v>
      </c>
      <c r="B69" s="30">
        <v>38930</v>
      </c>
      <c r="C69" s="30">
        <v>11117</v>
      </c>
    </row>
    <row r="70" spans="1:3" x14ac:dyDescent="0.25">
      <c r="A70" s="201">
        <v>44426</v>
      </c>
      <c r="B70" s="30">
        <v>45024</v>
      </c>
      <c r="C70" s="30">
        <v>86316</v>
      </c>
    </row>
    <row r="71" spans="1:3" x14ac:dyDescent="0.25">
      <c r="A71" s="201">
        <v>44427</v>
      </c>
      <c r="B71" s="30">
        <v>39934</v>
      </c>
      <c r="C71" s="30">
        <v>86494</v>
      </c>
    </row>
    <row r="72" spans="1:3" x14ac:dyDescent="0.25">
      <c r="A72" s="201">
        <v>44428</v>
      </c>
      <c r="B72" s="30">
        <v>32842</v>
      </c>
      <c r="C72" s="30">
        <v>63986</v>
      </c>
    </row>
    <row r="73" spans="1:3" x14ac:dyDescent="0.25">
      <c r="A73" s="201">
        <v>44429</v>
      </c>
      <c r="B73" s="30">
        <v>29095</v>
      </c>
      <c r="C73" s="30">
        <v>63053</v>
      </c>
    </row>
    <row r="74" spans="1:3" x14ac:dyDescent="0.25">
      <c r="A74" s="201">
        <v>44430</v>
      </c>
      <c r="B74" s="203">
        <v>11910</v>
      </c>
      <c r="C74" s="203">
        <v>26052</v>
      </c>
    </row>
    <row r="75" spans="1:3" x14ac:dyDescent="0.25">
      <c r="A75" s="201">
        <v>44431</v>
      </c>
      <c r="B75" s="203">
        <v>41958</v>
      </c>
      <c r="C75" s="203">
        <v>72603</v>
      </c>
    </row>
    <row r="76" spans="1:3" x14ac:dyDescent="0.25">
      <c r="A76" s="201">
        <v>44432</v>
      </c>
      <c r="B76" s="203">
        <v>45245</v>
      </c>
      <c r="C76" s="203">
        <v>76025</v>
      </c>
    </row>
    <row r="77" spans="1:3" x14ac:dyDescent="0.25">
      <c r="A77" s="201">
        <v>44433</v>
      </c>
      <c r="B77" s="203">
        <v>44805</v>
      </c>
      <c r="C77" s="203">
        <v>84896</v>
      </c>
    </row>
    <row r="78" spans="1:3" x14ac:dyDescent="0.25">
      <c r="A78" s="201">
        <v>44434</v>
      </c>
      <c r="B78" s="203">
        <v>41027</v>
      </c>
      <c r="C78" s="203">
        <v>92856</v>
      </c>
    </row>
    <row r="79" spans="1:3" x14ac:dyDescent="0.25">
      <c r="A79" s="201">
        <v>44435</v>
      </c>
      <c r="B79" s="203">
        <v>61615</v>
      </c>
      <c r="C79" s="203">
        <v>138355</v>
      </c>
    </row>
    <row r="80" spans="1:3" x14ac:dyDescent="0.25">
      <c r="A80" s="201">
        <v>44436</v>
      </c>
      <c r="B80" s="203">
        <v>6705</v>
      </c>
      <c r="C80" s="203">
        <v>14545</v>
      </c>
    </row>
    <row r="81" spans="1:3" x14ac:dyDescent="0.25">
      <c r="A81" s="204">
        <v>44437</v>
      </c>
      <c r="B81" s="205">
        <v>612</v>
      </c>
      <c r="C81" s="205">
        <v>395</v>
      </c>
    </row>
    <row r="82" spans="1:3" x14ac:dyDescent="0.25">
      <c r="A82" s="206"/>
      <c r="B82" s="207"/>
      <c r="C82" s="207"/>
    </row>
    <row r="83" spans="1:3" x14ac:dyDescent="0.25">
      <c r="A83" s="30"/>
      <c r="B83" s="208"/>
      <c r="C83" s="208"/>
    </row>
    <row r="84" spans="1:3" x14ac:dyDescent="0.25">
      <c r="A84" s="30"/>
      <c r="B84" s="208"/>
      <c r="C84" s="208"/>
    </row>
    <row r="85" spans="1:3" x14ac:dyDescent="0.25">
      <c r="A85" s="30"/>
      <c r="B85" s="208"/>
      <c r="C85" s="208"/>
    </row>
    <row r="86" spans="1:3" x14ac:dyDescent="0.25">
      <c r="A86" s="30"/>
      <c r="B86" s="208"/>
      <c r="C86" s="208"/>
    </row>
    <row r="87" spans="1:3" x14ac:dyDescent="0.25">
      <c r="A87" s="30"/>
      <c r="B87" s="208"/>
      <c r="C87" s="208"/>
    </row>
    <row r="88" spans="1:3" x14ac:dyDescent="0.25">
      <c r="A88" s="30"/>
      <c r="B88" s="208"/>
      <c r="C88" s="208"/>
    </row>
    <row r="89" spans="1:3" x14ac:dyDescent="0.25">
      <c r="A89" s="30"/>
      <c r="B89" s="208"/>
      <c r="C89" s="208"/>
    </row>
    <row r="90" spans="1:3" x14ac:dyDescent="0.25">
      <c r="A90" s="30"/>
      <c r="B90" s="208"/>
      <c r="C90" s="208"/>
    </row>
    <row r="91" spans="1:3" x14ac:dyDescent="0.25">
      <c r="A91" s="30"/>
      <c r="B91" s="208"/>
      <c r="C91" s="208"/>
    </row>
    <row r="92" spans="1:3" x14ac:dyDescent="0.25">
      <c r="A92" s="30"/>
      <c r="B92" s="208"/>
      <c r="C92" s="208"/>
    </row>
    <row r="93" spans="1:3" x14ac:dyDescent="0.25">
      <c r="A93" s="30"/>
      <c r="B93" s="208"/>
      <c r="C93" s="208"/>
    </row>
    <row r="94" spans="1:3" x14ac:dyDescent="0.25">
      <c r="A94" s="30"/>
      <c r="B94" s="208"/>
      <c r="C94" s="208"/>
    </row>
    <row r="95" spans="1:3" x14ac:dyDescent="0.25">
      <c r="A95" s="30"/>
      <c r="B95" s="208"/>
      <c r="C95" s="208"/>
    </row>
    <row r="96" spans="1:3" x14ac:dyDescent="0.25">
      <c r="A96" s="30"/>
      <c r="B96" s="208"/>
      <c r="C96" s="208"/>
    </row>
    <row r="97" spans="1:3" x14ac:dyDescent="0.25">
      <c r="A97" s="30"/>
      <c r="B97" s="208"/>
      <c r="C97" s="208"/>
    </row>
    <row r="98" spans="1:3" x14ac:dyDescent="0.25">
      <c r="A98" s="30"/>
      <c r="B98" s="208"/>
      <c r="C98" s="208"/>
    </row>
    <row r="99" spans="1:3" x14ac:dyDescent="0.25">
      <c r="A99" s="30"/>
      <c r="B99" s="208"/>
      <c r="C99" s="208"/>
    </row>
    <row r="100" spans="1:3" x14ac:dyDescent="0.25">
      <c r="A100" s="30"/>
      <c r="B100" s="208"/>
      <c r="C100" s="208"/>
    </row>
    <row r="101" spans="1:3" x14ac:dyDescent="0.25">
      <c r="A101" s="30"/>
      <c r="B101" s="208"/>
      <c r="C101" s="208"/>
    </row>
    <row r="102" spans="1:3" x14ac:dyDescent="0.25">
      <c r="A102" s="30"/>
      <c r="B102" s="208"/>
      <c r="C102" s="208"/>
    </row>
    <row r="103" spans="1:3" x14ac:dyDescent="0.25">
      <c r="A103" s="30"/>
      <c r="B103" s="208"/>
      <c r="C103" s="208"/>
    </row>
    <row r="104" spans="1:3" x14ac:dyDescent="0.25">
      <c r="A104" s="30"/>
      <c r="B104" s="208"/>
      <c r="C104" s="208"/>
    </row>
    <row r="105" spans="1:3" x14ac:dyDescent="0.25">
      <c r="A105" s="30"/>
      <c r="B105" s="208"/>
      <c r="C105" s="208"/>
    </row>
    <row r="106" spans="1:3" x14ac:dyDescent="0.25">
      <c r="A106" s="30"/>
      <c r="B106" s="208"/>
      <c r="C106" s="208"/>
    </row>
    <row r="107" spans="1:3" x14ac:dyDescent="0.25">
      <c r="A107" s="30"/>
      <c r="B107" s="208"/>
      <c r="C107" s="208"/>
    </row>
    <row r="108" spans="1:3" x14ac:dyDescent="0.25">
      <c r="A108" s="30"/>
      <c r="B108" s="208"/>
      <c r="C108" s="208"/>
    </row>
    <row r="109" spans="1:3" x14ac:dyDescent="0.25">
      <c r="A109" s="30"/>
      <c r="B109" s="208"/>
      <c r="C109" s="208"/>
    </row>
    <row r="110" spans="1:3" x14ac:dyDescent="0.25">
      <c r="A110" s="30"/>
      <c r="B110" s="208"/>
      <c r="C110" s="208"/>
    </row>
    <row r="111" spans="1:3" x14ac:dyDescent="0.25">
      <c r="A111" s="30"/>
      <c r="B111" s="208"/>
      <c r="C111" s="208"/>
    </row>
    <row r="112" spans="1:3" x14ac:dyDescent="0.25">
      <c r="A112" s="30"/>
      <c r="B112" s="208"/>
      <c r="C112" s="208"/>
    </row>
    <row r="113" spans="1:3" x14ac:dyDescent="0.25">
      <c r="A113" s="30"/>
      <c r="B113" s="208"/>
      <c r="C113" s="208"/>
    </row>
    <row r="114" spans="1:3" x14ac:dyDescent="0.25">
      <c r="A114" s="30"/>
      <c r="B114" s="208"/>
      <c r="C114" s="208"/>
    </row>
    <row r="115" spans="1:3" x14ac:dyDescent="0.25">
      <c r="A115" s="30"/>
      <c r="B115" s="208"/>
      <c r="C115" s="208"/>
    </row>
    <row r="116" spans="1:3" x14ac:dyDescent="0.25">
      <c r="A116" s="30"/>
      <c r="B116" s="208"/>
      <c r="C116" s="208"/>
    </row>
    <row r="117" spans="1:3" x14ac:dyDescent="0.25">
      <c r="A117" s="30"/>
      <c r="B117" s="208"/>
      <c r="C117" s="208"/>
    </row>
    <row r="118" spans="1:3" x14ac:dyDescent="0.25">
      <c r="A118" s="30"/>
      <c r="B118" s="208"/>
      <c r="C118" s="208"/>
    </row>
    <row r="119" spans="1:3" x14ac:dyDescent="0.25">
      <c r="A119" s="30"/>
      <c r="B119" s="208"/>
      <c r="C119" s="208"/>
    </row>
    <row r="120" spans="1:3" x14ac:dyDescent="0.25">
      <c r="A120" s="30"/>
      <c r="B120" s="208"/>
      <c r="C120" s="208"/>
    </row>
    <row r="121" spans="1:3" x14ac:dyDescent="0.25">
      <c r="A121" s="30"/>
      <c r="B121" s="208"/>
      <c r="C121" s="208"/>
    </row>
    <row r="122" spans="1:3" x14ac:dyDescent="0.25">
      <c r="A122" s="30"/>
      <c r="B122" s="208"/>
      <c r="C122" s="208"/>
    </row>
    <row r="123" spans="1:3" x14ac:dyDescent="0.25">
      <c r="A123" s="30"/>
      <c r="B123" s="208"/>
      <c r="C123" s="208"/>
    </row>
    <row r="124" spans="1:3" x14ac:dyDescent="0.25">
      <c r="A124" s="30"/>
      <c r="B124" s="208"/>
      <c r="C124" s="208"/>
    </row>
    <row r="125" spans="1:3" x14ac:dyDescent="0.25">
      <c r="A125" s="30"/>
      <c r="B125" s="208"/>
      <c r="C125" s="208"/>
    </row>
    <row r="126" spans="1:3" x14ac:dyDescent="0.25">
      <c r="A126" s="30"/>
      <c r="B126" s="208"/>
      <c r="C126" s="208"/>
    </row>
    <row r="127" spans="1:3" x14ac:dyDescent="0.25">
      <c r="A127" s="30"/>
      <c r="B127" s="208"/>
      <c r="C127" s="208"/>
    </row>
    <row r="128" spans="1:3" x14ac:dyDescent="0.25">
      <c r="A128" s="30"/>
      <c r="B128" s="208"/>
      <c r="C128" s="208"/>
    </row>
    <row r="129" spans="1:3" x14ac:dyDescent="0.25">
      <c r="A129" s="30"/>
      <c r="B129" s="208"/>
      <c r="C129" s="208"/>
    </row>
    <row r="130" spans="1:3" x14ac:dyDescent="0.25">
      <c r="A130" s="30"/>
      <c r="B130" s="208"/>
      <c r="C130" s="208"/>
    </row>
    <row r="131" spans="1:3" x14ac:dyDescent="0.25">
      <c r="A131" s="30"/>
      <c r="B131" s="208"/>
      <c r="C131" s="208"/>
    </row>
    <row r="132" spans="1:3" x14ac:dyDescent="0.25">
      <c r="A132" s="30"/>
      <c r="B132" s="208"/>
      <c r="C132" s="208"/>
    </row>
    <row r="133" spans="1:3" x14ac:dyDescent="0.25">
      <c r="A133" s="30"/>
      <c r="B133" s="208"/>
      <c r="C133" s="208"/>
    </row>
    <row r="134" spans="1:3" x14ac:dyDescent="0.25">
      <c r="A134" s="30"/>
      <c r="B134" s="208"/>
      <c r="C134" s="208"/>
    </row>
    <row r="135" spans="1:3" x14ac:dyDescent="0.25">
      <c r="A135" s="30"/>
      <c r="B135" s="208"/>
      <c r="C135" s="208"/>
    </row>
    <row r="136" spans="1:3" x14ac:dyDescent="0.25">
      <c r="A136" s="30"/>
      <c r="B136" s="208"/>
      <c r="C136" s="208"/>
    </row>
    <row r="137" spans="1:3" x14ac:dyDescent="0.25">
      <c r="A137" s="30"/>
      <c r="B137" s="208"/>
      <c r="C137" s="208"/>
    </row>
    <row r="138" spans="1:3" x14ac:dyDescent="0.25">
      <c r="A138" s="30"/>
      <c r="B138" s="208"/>
      <c r="C138" s="208"/>
    </row>
    <row r="139" spans="1:3" x14ac:dyDescent="0.25">
      <c r="A139" s="30"/>
      <c r="B139" s="208"/>
      <c r="C139" s="208"/>
    </row>
    <row r="140" spans="1:3" x14ac:dyDescent="0.25">
      <c r="A140" s="30"/>
      <c r="B140" s="208"/>
      <c r="C140" s="208"/>
    </row>
    <row r="141" spans="1:3" x14ac:dyDescent="0.25">
      <c r="A141" s="30"/>
      <c r="B141" s="208"/>
      <c r="C141" s="208"/>
    </row>
    <row r="142" spans="1:3" x14ac:dyDescent="0.25">
      <c r="A142" s="30"/>
      <c r="B142" s="208"/>
      <c r="C142" s="208"/>
    </row>
    <row r="143" spans="1:3" x14ac:dyDescent="0.25">
      <c r="A143" s="30"/>
      <c r="B143" s="208"/>
      <c r="C143" s="208"/>
    </row>
    <row r="144" spans="1:3" x14ac:dyDescent="0.25">
      <c r="A144" s="30"/>
      <c r="B144" s="208"/>
      <c r="C144" s="208"/>
    </row>
    <row r="145" spans="1:3" x14ac:dyDescent="0.25">
      <c r="A145" s="30"/>
      <c r="B145" s="208"/>
      <c r="C145" s="208"/>
    </row>
    <row r="146" spans="1:3" x14ac:dyDescent="0.25">
      <c r="A146" s="30"/>
      <c r="B146" s="208"/>
      <c r="C146" s="208"/>
    </row>
    <row r="147" spans="1:3" x14ac:dyDescent="0.25">
      <c r="A147" s="30"/>
      <c r="B147" s="208"/>
      <c r="C147" s="208"/>
    </row>
    <row r="148" spans="1:3" x14ac:dyDescent="0.25">
      <c r="A148" s="30"/>
      <c r="B148" s="208"/>
      <c r="C148" s="208"/>
    </row>
    <row r="149" spans="1:3" x14ac:dyDescent="0.25">
      <c r="A149" s="30"/>
      <c r="B149" s="208"/>
      <c r="C149" s="208"/>
    </row>
    <row r="150" spans="1:3" x14ac:dyDescent="0.25">
      <c r="A150" s="30"/>
      <c r="B150" s="208"/>
      <c r="C150" s="208"/>
    </row>
    <row r="151" spans="1:3" x14ac:dyDescent="0.25">
      <c r="A151" s="30"/>
      <c r="B151" s="208"/>
      <c r="C151" s="208"/>
    </row>
    <row r="152" spans="1:3" x14ac:dyDescent="0.25">
      <c r="A152" s="30"/>
      <c r="B152" s="208"/>
      <c r="C152" s="208"/>
    </row>
    <row r="153" spans="1:3" x14ac:dyDescent="0.25">
      <c r="A153" s="30"/>
      <c r="B153" s="208"/>
      <c r="C153" s="208"/>
    </row>
    <row r="154" spans="1:3" x14ac:dyDescent="0.25">
      <c r="A154" s="30"/>
      <c r="B154" s="208"/>
      <c r="C154" s="208"/>
    </row>
    <row r="155" spans="1:3" x14ac:dyDescent="0.25">
      <c r="A155" s="30"/>
      <c r="B155" s="208"/>
      <c r="C155" s="208"/>
    </row>
    <row r="156" spans="1:3" x14ac:dyDescent="0.25">
      <c r="A156" s="30"/>
      <c r="B156" s="208"/>
      <c r="C156" s="208"/>
    </row>
    <row r="157" spans="1:3" x14ac:dyDescent="0.25">
      <c r="A157" s="30"/>
      <c r="B157" s="208"/>
      <c r="C157" s="208"/>
    </row>
    <row r="158" spans="1:3" x14ac:dyDescent="0.25">
      <c r="A158" s="30"/>
      <c r="B158" s="208"/>
      <c r="C158" s="208"/>
    </row>
    <row r="159" spans="1:3" x14ac:dyDescent="0.25">
      <c r="A159" s="30"/>
      <c r="B159" s="208"/>
      <c r="C159" s="208"/>
    </row>
    <row r="160" spans="1:3" x14ac:dyDescent="0.25">
      <c r="A160" s="30"/>
      <c r="B160" s="208"/>
      <c r="C160" s="208"/>
    </row>
    <row r="161" spans="1:3" x14ac:dyDescent="0.25">
      <c r="A161" s="30"/>
      <c r="B161" s="208"/>
      <c r="C161" s="208"/>
    </row>
    <row r="162" spans="1:3" x14ac:dyDescent="0.25">
      <c r="A162" s="30"/>
      <c r="B162" s="208"/>
      <c r="C162" s="208"/>
    </row>
    <row r="163" spans="1:3" x14ac:dyDescent="0.25">
      <c r="A163" s="30"/>
      <c r="B163" s="208"/>
      <c r="C163" s="208"/>
    </row>
    <row r="164" spans="1:3" x14ac:dyDescent="0.25">
      <c r="A164" s="30"/>
      <c r="B164" s="208"/>
      <c r="C164" s="208"/>
    </row>
    <row r="165" spans="1:3" x14ac:dyDescent="0.25">
      <c r="A165" s="30"/>
      <c r="B165" s="208"/>
      <c r="C165" s="208"/>
    </row>
    <row r="166" spans="1:3" x14ac:dyDescent="0.25">
      <c r="A166" s="30"/>
      <c r="B166" s="208"/>
      <c r="C166" s="208"/>
    </row>
    <row r="167" spans="1:3" x14ac:dyDescent="0.25">
      <c r="A167" s="30"/>
      <c r="B167" s="208"/>
      <c r="C167" s="208"/>
    </row>
    <row r="168" spans="1:3" x14ac:dyDescent="0.25">
      <c r="A168" s="30"/>
      <c r="B168" s="208"/>
      <c r="C168" s="208"/>
    </row>
    <row r="169" spans="1:3" x14ac:dyDescent="0.25">
      <c r="A169" s="30"/>
      <c r="B169" s="208"/>
      <c r="C169" s="208"/>
    </row>
    <row r="170" spans="1:3" x14ac:dyDescent="0.25">
      <c r="A170" s="30"/>
      <c r="B170" s="208"/>
      <c r="C170" s="208"/>
    </row>
    <row r="171" spans="1:3" x14ac:dyDescent="0.25">
      <c r="A171" s="30"/>
      <c r="B171" s="208"/>
      <c r="C171" s="208"/>
    </row>
    <row r="172" spans="1:3" x14ac:dyDescent="0.25">
      <c r="A172" s="30"/>
      <c r="B172" s="208"/>
      <c r="C172" s="208"/>
    </row>
    <row r="173" spans="1:3" x14ac:dyDescent="0.25">
      <c r="A173" s="30"/>
      <c r="B173" s="208"/>
      <c r="C173" s="208"/>
    </row>
    <row r="174" spans="1:3" x14ac:dyDescent="0.25">
      <c r="A174" s="30"/>
      <c r="B174" s="208"/>
      <c r="C174" s="208"/>
    </row>
    <row r="175" spans="1:3" x14ac:dyDescent="0.25">
      <c r="A175" s="30"/>
      <c r="B175" s="208"/>
      <c r="C175" s="208"/>
    </row>
    <row r="176" spans="1:3" x14ac:dyDescent="0.25">
      <c r="A176" s="30"/>
      <c r="B176" s="208"/>
      <c r="C176" s="208"/>
    </row>
    <row r="177" spans="1:3" x14ac:dyDescent="0.25">
      <c r="A177" s="30"/>
      <c r="B177" s="208"/>
      <c r="C177" s="208"/>
    </row>
    <row r="178" spans="1:3" x14ac:dyDescent="0.25">
      <c r="A178" s="30"/>
      <c r="B178" s="208"/>
      <c r="C178" s="208"/>
    </row>
    <row r="179" spans="1:3" x14ac:dyDescent="0.25">
      <c r="A179" s="30"/>
      <c r="B179" s="208"/>
      <c r="C179" s="208"/>
    </row>
    <row r="180" spans="1:3" x14ac:dyDescent="0.25">
      <c r="A180" s="30"/>
      <c r="B180" s="208"/>
      <c r="C180" s="208"/>
    </row>
    <row r="181" spans="1:3" x14ac:dyDescent="0.25">
      <c r="A181" s="30"/>
      <c r="B181" s="208"/>
      <c r="C181" s="208"/>
    </row>
    <row r="182" spans="1:3" x14ac:dyDescent="0.25">
      <c r="A182" s="30"/>
      <c r="B182" s="208"/>
      <c r="C182" s="208"/>
    </row>
    <row r="183" spans="1:3" x14ac:dyDescent="0.25">
      <c r="A183" s="30"/>
      <c r="B183" s="208"/>
      <c r="C183" s="208"/>
    </row>
    <row r="184" spans="1:3" x14ac:dyDescent="0.25">
      <c r="A184" s="30"/>
      <c r="B184" s="208"/>
      <c r="C184" s="208"/>
    </row>
    <row r="185" spans="1:3" x14ac:dyDescent="0.25">
      <c r="A185" s="30"/>
      <c r="B185" s="208"/>
      <c r="C185" s="208"/>
    </row>
    <row r="186" spans="1:3" x14ac:dyDescent="0.25">
      <c r="A186" s="30"/>
      <c r="B186" s="208"/>
      <c r="C186" s="208"/>
    </row>
    <row r="187" spans="1:3" x14ac:dyDescent="0.25">
      <c r="A187" s="30"/>
      <c r="B187" s="208"/>
      <c r="C187" s="208"/>
    </row>
    <row r="188" spans="1:3" x14ac:dyDescent="0.25">
      <c r="A188" s="30"/>
      <c r="B188" s="208"/>
      <c r="C188" s="208"/>
    </row>
    <row r="189" spans="1:3" x14ac:dyDescent="0.25">
      <c r="A189" s="30"/>
      <c r="B189" s="208"/>
      <c r="C189" s="208"/>
    </row>
    <row r="190" spans="1:3" x14ac:dyDescent="0.25">
      <c r="A190" s="30"/>
      <c r="B190" s="208"/>
      <c r="C190" s="208"/>
    </row>
    <row r="191" spans="1:3" x14ac:dyDescent="0.25">
      <c r="A191" s="30"/>
      <c r="B191" s="208"/>
      <c r="C191" s="208"/>
    </row>
    <row r="192" spans="1:3" x14ac:dyDescent="0.25">
      <c r="A192" s="30"/>
      <c r="B192" s="208"/>
      <c r="C192" s="208"/>
    </row>
    <row r="193" spans="1:3" x14ac:dyDescent="0.25">
      <c r="A193" s="30"/>
      <c r="B193" s="208"/>
      <c r="C193" s="208"/>
    </row>
    <row r="194" spans="1:3" x14ac:dyDescent="0.25">
      <c r="A194" s="30"/>
      <c r="B194" s="208"/>
      <c r="C194" s="208"/>
    </row>
    <row r="195" spans="1:3" x14ac:dyDescent="0.25">
      <c r="A195" s="30"/>
      <c r="B195" s="208"/>
      <c r="C195" s="208"/>
    </row>
    <row r="196" spans="1:3" x14ac:dyDescent="0.25">
      <c r="A196" s="30"/>
      <c r="B196" s="208"/>
      <c r="C196" s="208"/>
    </row>
    <row r="197" spans="1:3" x14ac:dyDescent="0.25">
      <c r="A197" s="30"/>
      <c r="B197" s="208"/>
      <c r="C197" s="208"/>
    </row>
    <row r="198" spans="1:3" x14ac:dyDescent="0.25">
      <c r="A198" s="30"/>
      <c r="B198" s="208"/>
      <c r="C198" s="208"/>
    </row>
    <row r="199" spans="1:3" x14ac:dyDescent="0.25">
      <c r="A199" s="30"/>
      <c r="B199" s="208"/>
      <c r="C199" s="208"/>
    </row>
    <row r="200" spans="1:3" x14ac:dyDescent="0.25">
      <c r="A200" s="30"/>
      <c r="B200" s="208"/>
      <c r="C200" s="208"/>
    </row>
    <row r="201" spans="1:3" x14ac:dyDescent="0.25">
      <c r="A201" s="30"/>
      <c r="B201" s="208"/>
      <c r="C201" s="208"/>
    </row>
    <row r="202" spans="1:3" x14ac:dyDescent="0.25">
      <c r="A202" s="30"/>
      <c r="B202" s="208"/>
      <c r="C202" s="208"/>
    </row>
    <row r="203" spans="1:3" x14ac:dyDescent="0.25">
      <c r="A203" s="30"/>
      <c r="B203" s="208"/>
      <c r="C203" s="208"/>
    </row>
    <row r="204" spans="1:3" x14ac:dyDescent="0.25">
      <c r="A204" s="30"/>
      <c r="B204" s="208"/>
      <c r="C204" s="208"/>
    </row>
    <row r="205" spans="1:3" x14ac:dyDescent="0.25">
      <c r="A205" s="30"/>
      <c r="B205" s="208"/>
      <c r="C205" s="208"/>
    </row>
    <row r="206" spans="1:3" x14ac:dyDescent="0.25">
      <c r="A206" s="30"/>
      <c r="B206" s="208"/>
      <c r="C206" s="208"/>
    </row>
    <row r="207" spans="1:3" x14ac:dyDescent="0.25">
      <c r="A207" s="30"/>
      <c r="B207" s="208"/>
      <c r="C207" s="208"/>
    </row>
    <row r="208" spans="1:3" x14ac:dyDescent="0.25">
      <c r="A208" s="30"/>
      <c r="B208" s="208"/>
      <c r="C208" s="208"/>
    </row>
    <row r="209" spans="1:3" x14ac:dyDescent="0.25">
      <c r="A209" s="30"/>
      <c r="B209" s="208"/>
      <c r="C209" s="208"/>
    </row>
    <row r="210" spans="1:3" x14ac:dyDescent="0.25">
      <c r="A210" s="30"/>
      <c r="B210" s="208"/>
      <c r="C210" s="208"/>
    </row>
    <row r="211" spans="1:3" x14ac:dyDescent="0.25">
      <c r="A211" s="30"/>
      <c r="B211" s="208"/>
      <c r="C211" s="208"/>
    </row>
    <row r="212" spans="1:3" x14ac:dyDescent="0.25">
      <c r="A212" s="30"/>
      <c r="B212" s="208"/>
      <c r="C212" s="208"/>
    </row>
    <row r="213" spans="1:3" x14ac:dyDescent="0.25">
      <c r="A213" s="30"/>
      <c r="B213" s="208"/>
      <c r="C213" s="208"/>
    </row>
    <row r="214" spans="1:3" x14ac:dyDescent="0.25">
      <c r="A214" s="30"/>
      <c r="B214" s="208"/>
      <c r="C214" s="208"/>
    </row>
    <row r="215" spans="1:3" x14ac:dyDescent="0.25">
      <c r="A215" s="30"/>
      <c r="B215" s="208"/>
      <c r="C215" s="208"/>
    </row>
    <row r="216" spans="1:3" x14ac:dyDescent="0.25">
      <c r="A216" s="30"/>
      <c r="B216" s="208"/>
      <c r="C216" s="208"/>
    </row>
    <row r="217" spans="1:3" x14ac:dyDescent="0.25">
      <c r="A217" s="30"/>
      <c r="B217" s="208"/>
      <c r="C217" s="208"/>
    </row>
    <row r="218" spans="1:3" x14ac:dyDescent="0.25">
      <c r="A218" s="30"/>
      <c r="B218" s="208"/>
      <c r="C218" s="208"/>
    </row>
    <row r="219" spans="1:3" x14ac:dyDescent="0.25">
      <c r="A219" s="30"/>
      <c r="B219" s="208"/>
      <c r="C219" s="208"/>
    </row>
    <row r="220" spans="1:3" x14ac:dyDescent="0.25">
      <c r="A220" s="30"/>
      <c r="B220" s="208"/>
      <c r="C220" s="208"/>
    </row>
    <row r="221" spans="1:3" x14ac:dyDescent="0.25">
      <c r="A221" s="30"/>
      <c r="B221" s="208"/>
      <c r="C221" s="208"/>
    </row>
    <row r="222" spans="1:3" x14ac:dyDescent="0.25">
      <c r="A222" s="30"/>
      <c r="B222" s="208"/>
      <c r="C222" s="208"/>
    </row>
    <row r="223" spans="1:3" x14ac:dyDescent="0.25">
      <c r="A223" s="30"/>
      <c r="B223" s="208"/>
      <c r="C223" s="208"/>
    </row>
    <row r="224" spans="1:3" x14ac:dyDescent="0.25">
      <c r="A224" s="30"/>
      <c r="B224" s="208"/>
      <c r="C224" s="208"/>
    </row>
    <row r="225" spans="1:3" x14ac:dyDescent="0.25">
      <c r="A225" s="30"/>
      <c r="B225" s="208"/>
      <c r="C225" s="208"/>
    </row>
    <row r="226" spans="1:3" x14ac:dyDescent="0.25">
      <c r="A226" s="30"/>
      <c r="B226" s="208"/>
      <c r="C226" s="208"/>
    </row>
    <row r="227" spans="1:3" x14ac:dyDescent="0.25">
      <c r="A227" s="30"/>
      <c r="B227" s="208"/>
      <c r="C227" s="208"/>
    </row>
    <row r="228" spans="1:3" x14ac:dyDescent="0.25">
      <c r="A228" s="30"/>
      <c r="B228" s="208"/>
      <c r="C228" s="208"/>
    </row>
    <row r="229" spans="1:3" x14ac:dyDescent="0.25">
      <c r="A229" s="30"/>
      <c r="B229" s="208"/>
      <c r="C229" s="208"/>
    </row>
    <row r="230" spans="1:3" x14ac:dyDescent="0.25">
      <c r="A230" s="30"/>
      <c r="B230" s="208"/>
      <c r="C230" s="208"/>
    </row>
    <row r="231" spans="1:3" x14ac:dyDescent="0.25">
      <c r="A231" s="30"/>
      <c r="B231" s="208"/>
      <c r="C231" s="208"/>
    </row>
    <row r="232" spans="1:3" x14ac:dyDescent="0.25">
      <c r="A232" s="30"/>
      <c r="B232" s="208"/>
      <c r="C232" s="208"/>
    </row>
    <row r="233" spans="1:3" x14ac:dyDescent="0.25">
      <c r="A233" s="30"/>
      <c r="B233" s="208"/>
      <c r="C233" s="208"/>
    </row>
    <row r="234" spans="1:3" x14ac:dyDescent="0.25">
      <c r="A234" s="30"/>
      <c r="B234" s="208"/>
      <c r="C234" s="208"/>
    </row>
    <row r="235" spans="1:3" x14ac:dyDescent="0.25">
      <c r="A235" s="30"/>
      <c r="B235" s="208"/>
      <c r="C235" s="208"/>
    </row>
    <row r="236" spans="1:3" x14ac:dyDescent="0.25">
      <c r="A236" s="30"/>
      <c r="B236" s="208"/>
      <c r="C236" s="208"/>
    </row>
    <row r="237" spans="1:3" x14ac:dyDescent="0.25">
      <c r="A237" s="30"/>
      <c r="B237" s="208"/>
      <c r="C237" s="208"/>
    </row>
    <row r="238" spans="1:3" x14ac:dyDescent="0.25">
      <c r="A238" s="30"/>
      <c r="B238" s="208"/>
      <c r="C238" s="208"/>
    </row>
    <row r="239" spans="1:3" x14ac:dyDescent="0.25">
      <c r="A239" s="30"/>
      <c r="B239" s="208"/>
      <c r="C239" s="208"/>
    </row>
    <row r="240" spans="1:3" x14ac:dyDescent="0.25">
      <c r="A240" s="30"/>
      <c r="B240" s="208"/>
      <c r="C240" s="208"/>
    </row>
    <row r="241" spans="1:3" x14ac:dyDescent="0.25">
      <c r="A241" s="30"/>
      <c r="B241" s="208"/>
      <c r="C241" s="208"/>
    </row>
    <row r="242" spans="1:3" x14ac:dyDescent="0.25">
      <c r="A242" s="30"/>
      <c r="B242" s="208"/>
      <c r="C242" s="208"/>
    </row>
    <row r="243" spans="1:3" x14ac:dyDescent="0.25">
      <c r="A243" s="30"/>
      <c r="B243" s="208"/>
      <c r="C243" s="208"/>
    </row>
    <row r="244" spans="1:3" x14ac:dyDescent="0.25">
      <c r="A244" s="30"/>
      <c r="B244" s="208"/>
      <c r="C244" s="208"/>
    </row>
    <row r="245" spans="1:3" x14ac:dyDescent="0.25">
      <c r="A245" s="30"/>
      <c r="B245" s="208"/>
      <c r="C245" s="208"/>
    </row>
    <row r="246" spans="1:3" x14ac:dyDescent="0.25">
      <c r="A246" s="30"/>
      <c r="B246" s="208"/>
      <c r="C246" s="208"/>
    </row>
    <row r="247" spans="1:3" x14ac:dyDescent="0.25">
      <c r="A247" s="30"/>
      <c r="B247" s="208"/>
      <c r="C247" s="208"/>
    </row>
    <row r="248" spans="1:3" x14ac:dyDescent="0.25">
      <c r="A248" s="30"/>
      <c r="B248" s="208"/>
      <c r="C248" s="208"/>
    </row>
    <row r="249" spans="1:3" x14ac:dyDescent="0.25">
      <c r="A249" s="30"/>
      <c r="B249" s="208"/>
      <c r="C249" s="208"/>
    </row>
    <row r="250" spans="1:3" x14ac:dyDescent="0.25">
      <c r="A250" s="30"/>
      <c r="B250" s="208"/>
      <c r="C250" s="208"/>
    </row>
    <row r="251" spans="1:3" x14ac:dyDescent="0.25">
      <c r="A251" s="30"/>
      <c r="B251" s="208"/>
      <c r="C251" s="208"/>
    </row>
    <row r="252" spans="1:3" x14ac:dyDescent="0.25">
      <c r="A252" s="30"/>
      <c r="B252" s="208"/>
      <c r="C252" s="208"/>
    </row>
    <row r="253" spans="1:3" x14ac:dyDescent="0.25">
      <c r="A253" s="30"/>
      <c r="B253" s="208"/>
      <c r="C253" s="208"/>
    </row>
    <row r="254" spans="1:3" x14ac:dyDescent="0.25">
      <c r="A254" s="30"/>
      <c r="B254" s="208"/>
      <c r="C254" s="208"/>
    </row>
    <row r="255" spans="1:3" x14ac:dyDescent="0.25">
      <c r="A255" s="30"/>
      <c r="B255" s="208"/>
      <c r="C255" s="208"/>
    </row>
    <row r="256" spans="1:3" x14ac:dyDescent="0.25">
      <c r="A256" s="30"/>
      <c r="B256" s="208"/>
      <c r="C256" s="208"/>
    </row>
    <row r="257" spans="1:3" x14ac:dyDescent="0.25">
      <c r="A257" s="30"/>
      <c r="B257" s="208"/>
      <c r="C257" s="208"/>
    </row>
    <row r="258" spans="1:3" x14ac:dyDescent="0.25">
      <c r="A258" s="30"/>
      <c r="B258" s="208"/>
      <c r="C258" s="208"/>
    </row>
    <row r="259" spans="1:3" x14ac:dyDescent="0.25">
      <c r="A259" s="30"/>
      <c r="B259" s="208"/>
      <c r="C259" s="208"/>
    </row>
    <row r="260" spans="1:3" x14ac:dyDescent="0.25">
      <c r="A260" s="30"/>
      <c r="B260" s="208"/>
      <c r="C260" s="208"/>
    </row>
    <row r="261" spans="1:3" x14ac:dyDescent="0.25">
      <c r="A261" s="30"/>
      <c r="B261" s="208"/>
      <c r="C261" s="208"/>
    </row>
    <row r="262" spans="1:3" x14ac:dyDescent="0.25">
      <c r="A262" s="30"/>
      <c r="B262" s="208"/>
      <c r="C262" s="208"/>
    </row>
    <row r="263" spans="1:3" x14ac:dyDescent="0.25">
      <c r="A263" s="30"/>
      <c r="B263" s="208"/>
      <c r="C263" s="208"/>
    </row>
    <row r="264" spans="1:3" x14ac:dyDescent="0.25">
      <c r="A264" s="30"/>
      <c r="B264" s="208"/>
      <c r="C264" s="208"/>
    </row>
    <row r="265" spans="1:3" x14ac:dyDescent="0.25">
      <c r="A265" s="30"/>
      <c r="B265" s="208"/>
      <c r="C265" s="208"/>
    </row>
    <row r="266" spans="1:3" x14ac:dyDescent="0.25">
      <c r="A266" s="30"/>
      <c r="B266" s="208"/>
      <c r="C266" s="208"/>
    </row>
    <row r="267" spans="1:3" x14ac:dyDescent="0.25">
      <c r="A267" s="30"/>
      <c r="B267" s="208"/>
      <c r="C267" s="208"/>
    </row>
    <row r="268" spans="1:3" x14ac:dyDescent="0.25">
      <c r="A268" s="30"/>
      <c r="B268" s="208"/>
      <c r="C268" s="208"/>
    </row>
    <row r="269" spans="1:3" x14ac:dyDescent="0.25">
      <c r="A269" s="30"/>
      <c r="B269" s="208"/>
      <c r="C269" s="208"/>
    </row>
    <row r="270" spans="1:3" x14ac:dyDescent="0.25">
      <c r="A270" s="30"/>
      <c r="B270" s="208"/>
      <c r="C270" s="208"/>
    </row>
    <row r="271" spans="1:3" x14ac:dyDescent="0.25">
      <c r="A271" s="30"/>
      <c r="B271" s="208"/>
      <c r="C271" s="208"/>
    </row>
    <row r="272" spans="1:3" x14ac:dyDescent="0.25">
      <c r="A272" s="30"/>
      <c r="B272" s="208"/>
      <c r="C272" s="208"/>
    </row>
    <row r="273" spans="1:3" x14ac:dyDescent="0.25">
      <c r="A273" s="30"/>
      <c r="B273" s="208"/>
      <c r="C273" s="208"/>
    </row>
    <row r="274" spans="1:3" x14ac:dyDescent="0.25">
      <c r="A274" s="30"/>
      <c r="B274" s="208"/>
      <c r="C274" s="208"/>
    </row>
    <row r="275" spans="1:3" x14ac:dyDescent="0.25">
      <c r="A275" s="30"/>
      <c r="B275" s="208"/>
      <c r="C275" s="208"/>
    </row>
    <row r="276" spans="1:3" x14ac:dyDescent="0.25">
      <c r="A276" s="30"/>
      <c r="B276" s="208"/>
      <c r="C276" s="208"/>
    </row>
    <row r="277" spans="1:3" x14ac:dyDescent="0.25">
      <c r="A277" s="30"/>
      <c r="B277" s="208"/>
      <c r="C277" s="208"/>
    </row>
    <row r="278" spans="1:3" x14ac:dyDescent="0.25">
      <c r="A278" s="30"/>
      <c r="B278" s="208"/>
      <c r="C278" s="208"/>
    </row>
    <row r="279" spans="1:3" x14ac:dyDescent="0.25">
      <c r="A279" s="30"/>
      <c r="B279" s="208"/>
      <c r="C279" s="208"/>
    </row>
    <row r="280" spans="1:3" x14ac:dyDescent="0.25">
      <c r="A280" s="30"/>
      <c r="B280" s="208"/>
      <c r="C280" s="208"/>
    </row>
    <row r="281" spans="1:3" x14ac:dyDescent="0.25">
      <c r="A281" s="30"/>
      <c r="B281" s="208"/>
      <c r="C281" s="208"/>
    </row>
    <row r="282" spans="1:3" x14ac:dyDescent="0.25">
      <c r="A282" s="30"/>
      <c r="B282" s="208"/>
      <c r="C282" s="208"/>
    </row>
    <row r="283" spans="1:3" x14ac:dyDescent="0.25">
      <c r="A283" s="30"/>
      <c r="B283" s="208"/>
      <c r="C283" s="208"/>
    </row>
    <row r="284" spans="1:3" x14ac:dyDescent="0.25">
      <c r="A284" s="30"/>
      <c r="B284" s="208"/>
      <c r="C284" s="208"/>
    </row>
    <row r="285" spans="1:3" x14ac:dyDescent="0.25">
      <c r="A285" s="30"/>
      <c r="B285" s="208"/>
      <c r="C285" s="208"/>
    </row>
    <row r="286" spans="1:3" x14ac:dyDescent="0.25">
      <c r="A286" s="30"/>
      <c r="B286" s="208"/>
      <c r="C286" s="208"/>
    </row>
    <row r="287" spans="1:3" x14ac:dyDescent="0.25">
      <c r="A287" s="30"/>
      <c r="B287" s="208"/>
      <c r="C287" s="208"/>
    </row>
    <row r="288" spans="1:3" x14ac:dyDescent="0.25">
      <c r="A288" s="30"/>
      <c r="B288" s="208"/>
      <c r="C288" s="208"/>
    </row>
    <row r="289" spans="1:3" x14ac:dyDescent="0.25">
      <c r="A289" s="30"/>
      <c r="B289" s="208"/>
      <c r="C289" s="208"/>
    </row>
    <row r="290" spans="1:3" x14ac:dyDescent="0.25">
      <c r="A290" s="30"/>
      <c r="B290" s="208"/>
      <c r="C290" s="208"/>
    </row>
    <row r="291" spans="1:3" x14ac:dyDescent="0.25">
      <c r="A291" s="30"/>
      <c r="B291" s="208"/>
      <c r="C291" s="208"/>
    </row>
    <row r="292" spans="1:3" x14ac:dyDescent="0.25">
      <c r="A292" s="30"/>
      <c r="B292" s="208"/>
      <c r="C292" s="208"/>
    </row>
    <row r="293" spans="1:3" x14ac:dyDescent="0.25">
      <c r="A293" s="30"/>
      <c r="B293" s="208"/>
      <c r="C293" s="208"/>
    </row>
    <row r="294" spans="1:3" x14ac:dyDescent="0.25">
      <c r="A294" s="30"/>
      <c r="B294" s="208"/>
      <c r="C294" s="208"/>
    </row>
    <row r="295" spans="1:3" x14ac:dyDescent="0.25">
      <c r="A295" s="30"/>
      <c r="B295" s="208"/>
      <c r="C295" s="208"/>
    </row>
    <row r="296" spans="1:3" x14ac:dyDescent="0.25">
      <c r="A296" s="30"/>
      <c r="B296" s="208"/>
      <c r="C296" s="208"/>
    </row>
    <row r="297" spans="1:3" x14ac:dyDescent="0.25">
      <c r="A297" s="30"/>
      <c r="B297" s="208"/>
      <c r="C297" s="208"/>
    </row>
    <row r="298" spans="1:3" x14ac:dyDescent="0.25">
      <c r="A298" s="30"/>
      <c r="B298" s="208"/>
      <c r="C298" s="208"/>
    </row>
    <row r="299" spans="1:3" x14ac:dyDescent="0.25">
      <c r="A299" s="30"/>
      <c r="B299" s="208"/>
      <c r="C299" s="208"/>
    </row>
    <row r="300" spans="1:3" x14ac:dyDescent="0.25">
      <c r="A300" s="30"/>
      <c r="B300" s="208"/>
      <c r="C300" s="208"/>
    </row>
    <row r="301" spans="1:3" x14ac:dyDescent="0.25">
      <c r="A301" s="30"/>
      <c r="B301" s="208"/>
      <c r="C301" s="208"/>
    </row>
    <row r="302" spans="1:3" x14ac:dyDescent="0.25">
      <c r="A302" s="30"/>
      <c r="B302" s="208"/>
      <c r="C302" s="208"/>
    </row>
    <row r="303" spans="1:3" x14ac:dyDescent="0.25">
      <c r="A303" s="30"/>
      <c r="B303" s="208"/>
      <c r="C303" s="208"/>
    </row>
    <row r="304" spans="1:3" x14ac:dyDescent="0.25">
      <c r="A304" s="30"/>
      <c r="B304" s="208"/>
      <c r="C304" s="208"/>
    </row>
    <row r="305" spans="1:3" x14ac:dyDescent="0.25">
      <c r="A305" s="30"/>
      <c r="B305" s="208"/>
      <c r="C305" s="208"/>
    </row>
    <row r="306" spans="1:3" x14ac:dyDescent="0.25">
      <c r="A306" s="30"/>
      <c r="B306" s="208"/>
      <c r="C306" s="208"/>
    </row>
    <row r="307" spans="1:3" x14ac:dyDescent="0.25">
      <c r="A307" s="30"/>
      <c r="B307" s="208"/>
      <c r="C307" s="208"/>
    </row>
    <row r="308" spans="1:3" x14ac:dyDescent="0.25">
      <c r="A308" s="30"/>
      <c r="B308" s="208"/>
      <c r="C308" s="208"/>
    </row>
    <row r="309" spans="1:3" x14ac:dyDescent="0.25">
      <c r="A309" s="30"/>
      <c r="B309" s="208"/>
      <c r="C309" s="208"/>
    </row>
    <row r="310" spans="1:3" x14ac:dyDescent="0.25">
      <c r="A310" s="30"/>
      <c r="B310" s="208"/>
      <c r="C310" s="208"/>
    </row>
    <row r="311" spans="1:3" x14ac:dyDescent="0.25">
      <c r="A311" s="30"/>
      <c r="B311" s="208"/>
      <c r="C311" s="208"/>
    </row>
    <row r="312" spans="1:3" x14ac:dyDescent="0.25">
      <c r="A312" s="30"/>
      <c r="B312" s="208"/>
      <c r="C312" s="208"/>
    </row>
    <row r="313" spans="1:3" x14ac:dyDescent="0.25">
      <c r="A313" s="30"/>
      <c r="B313" s="208"/>
      <c r="C313" s="208"/>
    </row>
    <row r="314" spans="1:3" x14ac:dyDescent="0.25">
      <c r="A314" s="30"/>
      <c r="B314" s="208"/>
      <c r="C314" s="208"/>
    </row>
    <row r="315" spans="1:3" x14ac:dyDescent="0.25">
      <c r="A315" s="30"/>
      <c r="B315" s="208"/>
      <c r="C315" s="208"/>
    </row>
    <row r="316" spans="1:3" x14ac:dyDescent="0.25">
      <c r="A316" s="30"/>
      <c r="B316" s="208"/>
      <c r="C316" s="208"/>
    </row>
    <row r="317" spans="1:3" x14ac:dyDescent="0.25">
      <c r="A317" s="30"/>
      <c r="B317" s="208"/>
      <c r="C317" s="208"/>
    </row>
    <row r="318" spans="1:3" x14ac:dyDescent="0.25">
      <c r="A318" s="30"/>
      <c r="B318" s="208"/>
      <c r="C318" s="208"/>
    </row>
    <row r="319" spans="1:3" x14ac:dyDescent="0.25">
      <c r="A319" s="30"/>
      <c r="B319" s="208"/>
      <c r="C319" s="208"/>
    </row>
    <row r="320" spans="1:3" x14ac:dyDescent="0.25">
      <c r="A320" s="30"/>
      <c r="B320" s="208"/>
      <c r="C320" s="208"/>
    </row>
    <row r="321" spans="1:3" x14ac:dyDescent="0.25">
      <c r="A321" s="30"/>
      <c r="B321" s="208"/>
      <c r="C321" s="208"/>
    </row>
    <row r="322" spans="1:3" x14ac:dyDescent="0.25">
      <c r="A322" s="30"/>
      <c r="B322" s="208"/>
      <c r="C322" s="208"/>
    </row>
    <row r="323" spans="1:3" x14ac:dyDescent="0.25">
      <c r="A323" s="30"/>
      <c r="B323" s="208"/>
      <c r="C323" s="208"/>
    </row>
    <row r="324" spans="1:3" x14ac:dyDescent="0.25">
      <c r="A324" s="30"/>
      <c r="B324" s="208"/>
      <c r="C324" s="208"/>
    </row>
    <row r="325" spans="1:3" x14ac:dyDescent="0.25">
      <c r="A325" s="30"/>
      <c r="B325" s="208"/>
      <c r="C325" s="208"/>
    </row>
    <row r="326" spans="1:3" x14ac:dyDescent="0.25">
      <c r="A326" s="30"/>
      <c r="B326" s="208"/>
      <c r="C326" s="208"/>
    </row>
    <row r="327" spans="1:3" x14ac:dyDescent="0.25">
      <c r="A327" s="30"/>
      <c r="B327" s="208"/>
      <c r="C327" s="208"/>
    </row>
    <row r="328" spans="1:3" x14ac:dyDescent="0.25">
      <c r="A328" s="30"/>
      <c r="B328" s="208"/>
      <c r="C328" s="208"/>
    </row>
    <row r="329" spans="1:3" x14ac:dyDescent="0.25">
      <c r="A329" s="30"/>
      <c r="B329" s="208"/>
      <c r="C329" s="208"/>
    </row>
    <row r="330" spans="1:3" x14ac:dyDescent="0.25">
      <c r="A330" s="30"/>
      <c r="B330" s="208"/>
      <c r="C330" s="208"/>
    </row>
    <row r="331" spans="1:3" x14ac:dyDescent="0.25">
      <c r="A331" s="30"/>
      <c r="B331" s="208"/>
      <c r="C331" s="208"/>
    </row>
    <row r="332" spans="1:3" x14ac:dyDescent="0.25">
      <c r="A332" s="30"/>
      <c r="B332" s="208"/>
      <c r="C332" s="208"/>
    </row>
    <row r="333" spans="1:3" x14ac:dyDescent="0.25">
      <c r="A333" s="30"/>
      <c r="B333" s="208"/>
      <c r="C333" s="208"/>
    </row>
    <row r="334" spans="1:3" x14ac:dyDescent="0.25">
      <c r="A334" s="30"/>
      <c r="B334" s="208"/>
      <c r="C334" s="208"/>
    </row>
    <row r="335" spans="1:3" x14ac:dyDescent="0.25">
      <c r="A335" s="30"/>
      <c r="B335" s="208"/>
      <c r="C335" s="208"/>
    </row>
    <row r="336" spans="1:3" x14ac:dyDescent="0.25">
      <c r="A336" s="30"/>
      <c r="B336" s="208"/>
      <c r="C336" s="208"/>
    </row>
    <row r="337" spans="1:3" x14ac:dyDescent="0.25">
      <c r="A337" s="30"/>
      <c r="B337" s="208"/>
      <c r="C337" s="208"/>
    </row>
    <row r="338" spans="1:3" x14ac:dyDescent="0.25">
      <c r="A338" s="30"/>
      <c r="B338" s="208"/>
      <c r="C338" s="208"/>
    </row>
    <row r="339" spans="1:3" x14ac:dyDescent="0.25">
      <c r="A339" s="30"/>
      <c r="B339" s="208"/>
      <c r="C339" s="208"/>
    </row>
    <row r="340" spans="1:3" x14ac:dyDescent="0.25">
      <c r="A340" s="30"/>
      <c r="B340" s="208"/>
      <c r="C340" s="208"/>
    </row>
    <row r="341" spans="1:3" x14ac:dyDescent="0.25">
      <c r="A341" s="30"/>
      <c r="B341" s="208"/>
      <c r="C341" s="208"/>
    </row>
    <row r="342" spans="1:3" x14ac:dyDescent="0.25">
      <c r="A342" s="30"/>
      <c r="B342" s="208"/>
      <c r="C342" s="208"/>
    </row>
    <row r="343" spans="1:3" x14ac:dyDescent="0.25">
      <c r="A343" s="30"/>
      <c r="B343" s="208"/>
      <c r="C343" s="208"/>
    </row>
    <row r="344" spans="1:3" x14ac:dyDescent="0.25">
      <c r="A344" s="30"/>
      <c r="B344" s="208"/>
      <c r="C344" s="208"/>
    </row>
    <row r="345" spans="1:3" x14ac:dyDescent="0.25">
      <c r="A345" s="30"/>
      <c r="B345" s="208"/>
      <c r="C345" s="208"/>
    </row>
    <row r="346" spans="1:3" x14ac:dyDescent="0.25">
      <c r="A346" s="30"/>
      <c r="B346" s="208"/>
      <c r="C346" s="208"/>
    </row>
    <row r="347" spans="1:3" x14ac:dyDescent="0.25">
      <c r="A347" s="30"/>
      <c r="B347" s="208"/>
      <c r="C347" s="208"/>
    </row>
    <row r="348" spans="1:3" x14ac:dyDescent="0.25">
      <c r="A348" s="30"/>
      <c r="B348" s="208"/>
      <c r="C348" s="208"/>
    </row>
    <row r="349" spans="1:3" x14ac:dyDescent="0.25">
      <c r="A349" s="30"/>
      <c r="B349" s="208"/>
      <c r="C349" s="208"/>
    </row>
    <row r="350" spans="1:3" x14ac:dyDescent="0.25">
      <c r="A350" s="30"/>
      <c r="B350" s="208"/>
      <c r="C350" s="208"/>
    </row>
    <row r="351" spans="1:3" x14ac:dyDescent="0.25">
      <c r="A351" s="30"/>
      <c r="B351" s="208"/>
      <c r="C351" s="208"/>
    </row>
    <row r="352" spans="1:3" x14ac:dyDescent="0.25">
      <c r="A352" s="30"/>
      <c r="B352" s="208"/>
      <c r="C352" s="208"/>
    </row>
    <row r="353" spans="1:3" x14ac:dyDescent="0.25">
      <c r="A353" s="30"/>
      <c r="B353" s="208"/>
      <c r="C353" s="208"/>
    </row>
    <row r="354" spans="1:3" x14ac:dyDescent="0.25">
      <c r="A354" s="30"/>
      <c r="B354" s="208"/>
      <c r="C354" s="208"/>
    </row>
    <row r="355" spans="1:3" x14ac:dyDescent="0.25">
      <c r="A355" s="30"/>
      <c r="B355" s="208"/>
      <c r="C355" s="208"/>
    </row>
    <row r="356" spans="1:3" x14ac:dyDescent="0.25">
      <c r="A356" s="30"/>
      <c r="B356" s="208"/>
      <c r="C356" s="208"/>
    </row>
    <row r="357" spans="1:3" x14ac:dyDescent="0.25">
      <c r="A357" s="30"/>
      <c r="B357" s="208"/>
      <c r="C357" s="208"/>
    </row>
    <row r="358" spans="1:3" x14ac:dyDescent="0.25">
      <c r="A358" s="30"/>
      <c r="B358" s="208"/>
      <c r="C358" s="208"/>
    </row>
    <row r="359" spans="1:3" x14ac:dyDescent="0.25">
      <c r="A359" s="30"/>
      <c r="B359" s="208"/>
      <c r="C359" s="208"/>
    </row>
    <row r="360" spans="1:3" x14ac:dyDescent="0.25">
      <c r="A360" s="30"/>
      <c r="B360" s="208"/>
      <c r="C360" s="208"/>
    </row>
    <row r="361" spans="1:3" x14ac:dyDescent="0.25">
      <c r="A361" s="30"/>
      <c r="B361" s="208"/>
      <c r="C361" s="208"/>
    </row>
    <row r="362" spans="1:3" x14ac:dyDescent="0.25">
      <c r="A362" s="30"/>
      <c r="B362" s="208"/>
      <c r="C362" s="208"/>
    </row>
    <row r="363" spans="1:3" x14ac:dyDescent="0.25">
      <c r="A363" s="30"/>
      <c r="B363" s="208"/>
      <c r="C363" s="208"/>
    </row>
    <row r="364" spans="1:3" x14ac:dyDescent="0.25">
      <c r="A364" s="30"/>
      <c r="B364" s="208"/>
      <c r="C364" s="208"/>
    </row>
    <row r="365" spans="1:3" x14ac:dyDescent="0.25">
      <c r="A365" s="30"/>
      <c r="B365" s="208"/>
      <c r="C365" s="208"/>
    </row>
    <row r="366" spans="1:3" x14ac:dyDescent="0.25">
      <c r="A366" s="30"/>
      <c r="B366" s="208"/>
      <c r="C366" s="208"/>
    </row>
    <row r="367" spans="1:3" x14ac:dyDescent="0.25">
      <c r="A367" s="30"/>
      <c r="B367" s="208"/>
      <c r="C367" s="208"/>
    </row>
    <row r="368" spans="1:3" x14ac:dyDescent="0.25">
      <c r="A368" s="30"/>
      <c r="B368" s="208"/>
      <c r="C368" s="208"/>
    </row>
    <row r="369" spans="1:3" x14ac:dyDescent="0.25">
      <c r="A369" s="30"/>
      <c r="B369" s="208"/>
      <c r="C369" s="208"/>
    </row>
    <row r="370" spans="1:3" x14ac:dyDescent="0.25">
      <c r="A370" s="30"/>
      <c r="B370" s="208"/>
      <c r="C370" s="208"/>
    </row>
    <row r="371" spans="1:3" x14ac:dyDescent="0.25">
      <c r="A371" s="30"/>
      <c r="B371" s="208"/>
      <c r="C371" s="208"/>
    </row>
    <row r="372" spans="1:3" x14ac:dyDescent="0.25">
      <c r="A372" s="30"/>
      <c r="B372" s="208"/>
      <c r="C372" s="208"/>
    </row>
    <row r="373" spans="1:3" x14ac:dyDescent="0.25">
      <c r="A373" s="30"/>
      <c r="B373" s="208"/>
      <c r="C373" s="208"/>
    </row>
    <row r="374" spans="1:3" x14ac:dyDescent="0.25">
      <c r="A374" s="30"/>
      <c r="B374" s="208"/>
      <c r="C374" s="208"/>
    </row>
    <row r="375" spans="1:3" x14ac:dyDescent="0.25">
      <c r="A375" s="30"/>
      <c r="B375" s="208"/>
      <c r="C375" s="208"/>
    </row>
    <row r="376" spans="1:3" x14ac:dyDescent="0.25">
      <c r="A376" s="30"/>
      <c r="B376" s="208"/>
      <c r="C376" s="208"/>
    </row>
    <row r="377" spans="1:3" x14ac:dyDescent="0.25">
      <c r="A377" s="30"/>
      <c r="B377" s="208"/>
      <c r="C377" s="208"/>
    </row>
    <row r="378" spans="1:3" x14ac:dyDescent="0.25">
      <c r="A378" s="30"/>
      <c r="B378" s="208"/>
      <c r="C378" s="208"/>
    </row>
    <row r="379" spans="1:3" x14ac:dyDescent="0.25">
      <c r="A379" s="30"/>
      <c r="B379" s="208"/>
      <c r="C379" s="208"/>
    </row>
    <row r="380" spans="1:3" x14ac:dyDescent="0.25">
      <c r="A380" s="30"/>
      <c r="B380" s="208"/>
      <c r="C380" s="208"/>
    </row>
    <row r="381" spans="1:3" x14ac:dyDescent="0.25">
      <c r="A381" s="30"/>
      <c r="B381" s="208"/>
      <c r="C381" s="208"/>
    </row>
    <row r="382" spans="1:3" x14ac:dyDescent="0.25">
      <c r="A382" s="30"/>
      <c r="B382" s="208"/>
      <c r="C382" s="208"/>
    </row>
    <row r="383" spans="1:3" x14ac:dyDescent="0.25">
      <c r="A383" s="30"/>
      <c r="B383" s="208"/>
      <c r="C383" s="208"/>
    </row>
    <row r="384" spans="1:3" x14ac:dyDescent="0.25">
      <c r="A384" s="30"/>
      <c r="B384" s="208"/>
      <c r="C384" s="208"/>
    </row>
    <row r="385" spans="1:3" x14ac:dyDescent="0.25">
      <c r="A385" s="30"/>
      <c r="B385" s="208"/>
      <c r="C385" s="208"/>
    </row>
    <row r="386" spans="1:3" x14ac:dyDescent="0.25">
      <c r="A386" s="30"/>
      <c r="B386" s="208"/>
      <c r="C386" s="208"/>
    </row>
    <row r="387" spans="1:3" x14ac:dyDescent="0.25">
      <c r="A387" s="30"/>
      <c r="B387" s="208"/>
      <c r="C387" s="208"/>
    </row>
    <row r="388" spans="1:3" x14ac:dyDescent="0.25">
      <c r="A388" s="30"/>
      <c r="B388" s="208"/>
      <c r="C388" s="208"/>
    </row>
    <row r="389" spans="1:3" x14ac:dyDescent="0.25">
      <c r="A389" s="30"/>
      <c r="B389" s="208"/>
      <c r="C389" s="208"/>
    </row>
    <row r="390" spans="1:3" x14ac:dyDescent="0.25">
      <c r="A390" s="30"/>
      <c r="B390" s="208"/>
      <c r="C390" s="208"/>
    </row>
    <row r="391" spans="1:3" x14ac:dyDescent="0.25">
      <c r="A391" s="30"/>
      <c r="B391" s="208"/>
      <c r="C391" s="208"/>
    </row>
    <row r="392" spans="1:3" x14ac:dyDescent="0.25">
      <c r="A392" s="30"/>
      <c r="B392" s="208"/>
      <c r="C392" s="208"/>
    </row>
    <row r="393" spans="1:3" x14ac:dyDescent="0.25">
      <c r="A393" s="30"/>
      <c r="B393" s="208"/>
      <c r="C393" s="208"/>
    </row>
    <row r="394" spans="1:3" x14ac:dyDescent="0.25">
      <c r="A394" s="30"/>
      <c r="B394" s="208"/>
      <c r="C394" s="208"/>
    </row>
    <row r="395" spans="1:3" x14ac:dyDescent="0.25">
      <c r="A395" s="30"/>
      <c r="B395" s="208"/>
      <c r="C395" s="208"/>
    </row>
    <row r="396" spans="1:3" x14ac:dyDescent="0.25">
      <c r="A396" s="30"/>
      <c r="B396" s="208"/>
      <c r="C396" s="208"/>
    </row>
    <row r="397" spans="1:3" x14ac:dyDescent="0.25">
      <c r="A397" s="30"/>
      <c r="B397" s="208"/>
      <c r="C397" s="208"/>
    </row>
    <row r="398" spans="1:3" x14ac:dyDescent="0.25">
      <c r="A398" s="30"/>
      <c r="B398" s="208"/>
      <c r="C398" s="208"/>
    </row>
    <row r="399" spans="1:3" x14ac:dyDescent="0.25">
      <c r="A399" s="30"/>
      <c r="B399" s="208"/>
      <c r="C399" s="208"/>
    </row>
    <row r="400" spans="1:3" x14ac:dyDescent="0.25">
      <c r="A400" s="30"/>
      <c r="B400" s="208"/>
      <c r="C400" s="208"/>
    </row>
    <row r="401" spans="1:3" x14ac:dyDescent="0.25">
      <c r="A401" s="30"/>
      <c r="B401" s="208"/>
      <c r="C401" s="208"/>
    </row>
    <row r="402" spans="1:3" x14ac:dyDescent="0.25">
      <c r="A402" s="30"/>
      <c r="B402" s="208"/>
      <c r="C402" s="208"/>
    </row>
    <row r="403" spans="1:3" x14ac:dyDescent="0.25">
      <c r="A403" s="30"/>
      <c r="B403" s="208"/>
      <c r="C403" s="208"/>
    </row>
    <row r="404" spans="1:3" x14ac:dyDescent="0.25">
      <c r="A404" s="30"/>
      <c r="B404" s="208"/>
      <c r="C404" s="208"/>
    </row>
    <row r="405" spans="1:3" x14ac:dyDescent="0.25">
      <c r="A405" s="30"/>
      <c r="B405" s="208"/>
      <c r="C405" s="208"/>
    </row>
    <row r="406" spans="1:3" x14ac:dyDescent="0.25">
      <c r="A406" s="30"/>
      <c r="B406" s="208"/>
      <c r="C406" s="208"/>
    </row>
    <row r="407" spans="1:3" x14ac:dyDescent="0.25">
      <c r="A407" s="30"/>
      <c r="B407" s="208"/>
      <c r="C407" s="208"/>
    </row>
    <row r="408" spans="1:3" x14ac:dyDescent="0.25">
      <c r="A408" s="30"/>
      <c r="B408" s="208"/>
      <c r="C408" s="208"/>
    </row>
    <row r="409" spans="1:3" x14ac:dyDescent="0.25">
      <c r="A409" s="30"/>
      <c r="B409" s="208"/>
      <c r="C409" s="208"/>
    </row>
    <row r="410" spans="1:3" x14ac:dyDescent="0.25">
      <c r="A410" s="30"/>
      <c r="B410" s="208"/>
      <c r="C410" s="208"/>
    </row>
    <row r="411" spans="1:3" x14ac:dyDescent="0.25">
      <c r="A411" s="30"/>
      <c r="B411" s="208"/>
      <c r="C411" s="208"/>
    </row>
    <row r="412" spans="1:3" x14ac:dyDescent="0.25">
      <c r="A412" s="30"/>
      <c r="B412" s="208"/>
      <c r="C412" s="208"/>
    </row>
    <row r="413" spans="1:3" x14ac:dyDescent="0.25">
      <c r="A413" s="30"/>
      <c r="B413" s="208"/>
      <c r="C413" s="208"/>
    </row>
    <row r="414" spans="1:3" x14ac:dyDescent="0.25">
      <c r="A414" s="30"/>
      <c r="B414" s="208"/>
      <c r="C414" s="208"/>
    </row>
    <row r="415" spans="1:3" x14ac:dyDescent="0.25">
      <c r="A415" s="30"/>
      <c r="B415" s="208"/>
      <c r="C415" s="208"/>
    </row>
    <row r="416" spans="1:3" x14ac:dyDescent="0.25">
      <c r="A416" s="30"/>
      <c r="B416" s="208"/>
      <c r="C416" s="208"/>
    </row>
    <row r="417" spans="1:3" x14ac:dyDescent="0.25">
      <c r="A417" s="30"/>
      <c r="B417" s="208"/>
      <c r="C417" s="208"/>
    </row>
    <row r="418" spans="1:3" x14ac:dyDescent="0.25">
      <c r="A418" s="30"/>
      <c r="B418" s="208"/>
      <c r="C418" s="208"/>
    </row>
    <row r="419" spans="1:3" x14ac:dyDescent="0.25">
      <c r="A419" s="30"/>
      <c r="B419" s="208"/>
      <c r="C419" s="208"/>
    </row>
    <row r="420" spans="1:3" x14ac:dyDescent="0.25">
      <c r="A420" s="30"/>
      <c r="B420" s="208"/>
      <c r="C420" s="208"/>
    </row>
    <row r="421" spans="1:3" x14ac:dyDescent="0.25">
      <c r="A421" s="30"/>
      <c r="B421" s="208"/>
      <c r="C421" s="208"/>
    </row>
    <row r="422" spans="1:3" x14ac:dyDescent="0.25">
      <c r="A422" s="30"/>
      <c r="B422" s="208"/>
      <c r="C422" s="208"/>
    </row>
    <row r="423" spans="1:3" x14ac:dyDescent="0.25">
      <c r="A423" s="30"/>
      <c r="B423" s="208"/>
      <c r="C423" s="208"/>
    </row>
    <row r="424" spans="1:3" x14ac:dyDescent="0.25">
      <c r="A424" s="30"/>
      <c r="B424" s="208"/>
      <c r="C424" s="208"/>
    </row>
    <row r="425" spans="1:3" x14ac:dyDescent="0.25">
      <c r="A425" s="30"/>
      <c r="B425" s="208"/>
      <c r="C425" s="208"/>
    </row>
    <row r="426" spans="1:3" x14ac:dyDescent="0.25">
      <c r="A426" s="30"/>
      <c r="B426" s="208"/>
      <c r="C426" s="208"/>
    </row>
    <row r="427" spans="1:3" x14ac:dyDescent="0.25">
      <c r="A427" s="30"/>
      <c r="B427" s="208"/>
      <c r="C427" s="208"/>
    </row>
    <row r="428" spans="1:3" x14ac:dyDescent="0.25">
      <c r="A428" s="30"/>
      <c r="B428" s="208"/>
      <c r="C428" s="208"/>
    </row>
    <row r="429" spans="1:3" x14ac:dyDescent="0.25">
      <c r="A429" s="30"/>
      <c r="B429" s="208"/>
      <c r="C429" s="208"/>
    </row>
    <row r="430" spans="1:3" x14ac:dyDescent="0.25">
      <c r="A430" s="30"/>
      <c r="B430" s="208"/>
      <c r="C430" s="208"/>
    </row>
    <row r="431" spans="1:3" x14ac:dyDescent="0.25">
      <c r="A431" s="30"/>
      <c r="B431" s="208"/>
      <c r="C431" s="208"/>
    </row>
    <row r="432" spans="1:3" x14ac:dyDescent="0.25">
      <c r="A432" s="30"/>
      <c r="B432" s="208"/>
      <c r="C432" s="208"/>
    </row>
    <row r="433" spans="1:3" x14ac:dyDescent="0.25">
      <c r="A433" s="30"/>
      <c r="B433" s="208"/>
      <c r="C433" s="208"/>
    </row>
    <row r="434" spans="1:3" x14ac:dyDescent="0.25">
      <c r="A434" s="30"/>
      <c r="B434" s="208"/>
      <c r="C434" s="208"/>
    </row>
    <row r="435" spans="1:3" x14ac:dyDescent="0.25">
      <c r="A435" s="30"/>
      <c r="B435" s="208"/>
      <c r="C435" s="208"/>
    </row>
    <row r="436" spans="1:3" x14ac:dyDescent="0.25">
      <c r="A436" s="30"/>
      <c r="B436" s="208"/>
      <c r="C436" s="208"/>
    </row>
    <row r="437" spans="1:3" x14ac:dyDescent="0.25">
      <c r="A437" s="30"/>
      <c r="B437" s="208"/>
      <c r="C437" s="208"/>
    </row>
    <row r="438" spans="1:3" x14ac:dyDescent="0.25">
      <c r="A438" s="30"/>
      <c r="B438" s="208"/>
      <c r="C438" s="208"/>
    </row>
    <row r="439" spans="1:3" x14ac:dyDescent="0.25">
      <c r="A439" s="30"/>
      <c r="B439" s="208"/>
      <c r="C439" s="208"/>
    </row>
    <row r="440" spans="1:3" x14ac:dyDescent="0.25">
      <c r="A440" s="30"/>
      <c r="B440" s="208"/>
      <c r="C440" s="208"/>
    </row>
    <row r="441" spans="1:3" x14ac:dyDescent="0.25">
      <c r="A441" s="30"/>
      <c r="B441" s="208"/>
      <c r="C441" s="208"/>
    </row>
    <row r="442" spans="1:3" x14ac:dyDescent="0.25">
      <c r="A442" s="30"/>
      <c r="B442" s="208"/>
      <c r="C442" s="208"/>
    </row>
    <row r="443" spans="1:3" x14ac:dyDescent="0.25">
      <c r="A443" s="30"/>
      <c r="B443" s="208"/>
      <c r="C443" s="208"/>
    </row>
    <row r="444" spans="1:3" x14ac:dyDescent="0.25">
      <c r="A444" s="30"/>
      <c r="B444" s="208"/>
      <c r="C444" s="208"/>
    </row>
    <row r="445" spans="1:3" x14ac:dyDescent="0.25">
      <c r="A445" s="30"/>
      <c r="B445" s="208"/>
      <c r="C445" s="208"/>
    </row>
    <row r="446" spans="1:3" x14ac:dyDescent="0.25">
      <c r="A446" s="30"/>
      <c r="B446" s="208"/>
      <c r="C446" s="208"/>
    </row>
    <row r="447" spans="1:3" x14ac:dyDescent="0.25">
      <c r="A447" s="30"/>
      <c r="B447" s="208"/>
      <c r="C447" s="208"/>
    </row>
    <row r="448" spans="1:3" x14ac:dyDescent="0.25">
      <c r="A448" s="30"/>
      <c r="B448" s="208"/>
      <c r="C448" s="208"/>
    </row>
    <row r="449" spans="1:3" x14ac:dyDescent="0.25">
      <c r="A449" s="30"/>
      <c r="B449" s="208"/>
      <c r="C449" s="208"/>
    </row>
    <row r="450" spans="1:3" x14ac:dyDescent="0.25">
      <c r="A450" s="30"/>
      <c r="B450" s="208"/>
      <c r="C450" s="208"/>
    </row>
    <row r="451" spans="1:3" x14ac:dyDescent="0.25">
      <c r="A451" s="30"/>
      <c r="B451" s="208"/>
      <c r="C451" s="208"/>
    </row>
    <row r="452" spans="1:3" x14ac:dyDescent="0.25">
      <c r="A452" s="30"/>
      <c r="B452" s="208"/>
      <c r="C452" s="208"/>
    </row>
    <row r="453" spans="1:3" x14ac:dyDescent="0.25">
      <c r="A453" s="30"/>
      <c r="B453" s="208"/>
      <c r="C453" s="208"/>
    </row>
    <row r="454" spans="1:3" x14ac:dyDescent="0.25">
      <c r="A454" s="30"/>
      <c r="B454" s="208"/>
      <c r="C454" s="208"/>
    </row>
    <row r="455" spans="1:3" x14ac:dyDescent="0.25">
      <c r="A455" s="30"/>
      <c r="B455" s="208"/>
      <c r="C455" s="208"/>
    </row>
    <row r="456" spans="1:3" x14ac:dyDescent="0.25">
      <c r="A456" s="30"/>
      <c r="B456" s="208"/>
      <c r="C456" s="208"/>
    </row>
    <row r="457" spans="1:3" x14ac:dyDescent="0.25">
      <c r="A457" s="30"/>
      <c r="B457" s="208"/>
      <c r="C457" s="208"/>
    </row>
    <row r="458" spans="1:3" x14ac:dyDescent="0.25">
      <c r="A458" s="30"/>
      <c r="B458" s="208"/>
      <c r="C458" s="208"/>
    </row>
    <row r="459" spans="1:3" x14ac:dyDescent="0.25">
      <c r="A459" s="30"/>
      <c r="B459" s="208"/>
      <c r="C459" s="208"/>
    </row>
    <row r="460" spans="1:3" x14ac:dyDescent="0.25">
      <c r="A460" s="30"/>
      <c r="B460" s="208"/>
      <c r="C460" s="208"/>
    </row>
    <row r="461" spans="1:3" x14ac:dyDescent="0.25">
      <c r="A461" s="30"/>
      <c r="B461" s="208"/>
      <c r="C461" s="208"/>
    </row>
    <row r="462" spans="1:3" x14ac:dyDescent="0.25">
      <c r="A462" s="30"/>
      <c r="B462" s="208"/>
      <c r="C462" s="208"/>
    </row>
    <row r="463" spans="1:3" x14ac:dyDescent="0.25">
      <c r="A463" s="30"/>
      <c r="B463" s="208"/>
      <c r="C463" s="208"/>
    </row>
    <row r="464" spans="1:3" x14ac:dyDescent="0.25">
      <c r="A464" s="30"/>
      <c r="B464" s="208"/>
      <c r="C464" s="208"/>
    </row>
    <row r="465" spans="1:3" x14ac:dyDescent="0.25">
      <c r="A465" s="30"/>
      <c r="B465" s="208"/>
      <c r="C465" s="208"/>
    </row>
    <row r="466" spans="1:3" x14ac:dyDescent="0.25">
      <c r="A466" s="30"/>
      <c r="B466" s="208"/>
      <c r="C466" s="208"/>
    </row>
    <row r="467" spans="1:3" x14ac:dyDescent="0.25">
      <c r="A467" s="30"/>
      <c r="B467" s="208"/>
      <c r="C467" s="208"/>
    </row>
    <row r="468" spans="1:3" x14ac:dyDescent="0.25">
      <c r="A468" s="30"/>
      <c r="B468" s="208"/>
      <c r="C468" s="208"/>
    </row>
    <row r="469" spans="1:3" x14ac:dyDescent="0.25">
      <c r="A469" s="30"/>
      <c r="B469" s="208"/>
      <c r="C469" s="208"/>
    </row>
    <row r="470" spans="1:3" x14ac:dyDescent="0.25">
      <c r="A470" s="30"/>
      <c r="B470" s="208"/>
      <c r="C470" s="208"/>
    </row>
    <row r="471" spans="1:3" x14ac:dyDescent="0.25">
      <c r="A471" s="30"/>
      <c r="B471" s="208"/>
      <c r="C471" s="208"/>
    </row>
    <row r="472" spans="1:3" x14ac:dyDescent="0.25">
      <c r="A472" s="30"/>
      <c r="B472" s="208"/>
      <c r="C472" s="208"/>
    </row>
    <row r="473" spans="1:3" x14ac:dyDescent="0.25">
      <c r="A473" s="30"/>
      <c r="B473" s="208"/>
      <c r="C473" s="208"/>
    </row>
    <row r="474" spans="1:3" x14ac:dyDescent="0.25">
      <c r="A474" s="30"/>
      <c r="B474" s="208"/>
      <c r="C474" s="208"/>
    </row>
    <row r="475" spans="1:3" x14ac:dyDescent="0.25">
      <c r="A475" s="30"/>
      <c r="B475" s="208"/>
      <c r="C475" s="208"/>
    </row>
    <row r="476" spans="1:3" x14ac:dyDescent="0.25">
      <c r="A476" s="30"/>
      <c r="B476" s="208"/>
      <c r="C476" s="208"/>
    </row>
    <row r="477" spans="1:3" x14ac:dyDescent="0.25">
      <c r="A477" s="30"/>
      <c r="B477" s="208"/>
      <c r="C477" s="208"/>
    </row>
    <row r="478" spans="1:3" x14ac:dyDescent="0.25">
      <c r="A478" s="30"/>
      <c r="B478" s="208"/>
      <c r="C478" s="208"/>
    </row>
    <row r="479" spans="1:3" x14ac:dyDescent="0.25">
      <c r="A479" s="30"/>
      <c r="B479" s="208"/>
      <c r="C479" s="208"/>
    </row>
    <row r="480" spans="1:3" x14ac:dyDescent="0.25">
      <c r="A480" s="30"/>
      <c r="B480" s="208"/>
      <c r="C480" s="208"/>
    </row>
    <row r="481" spans="1:3" x14ac:dyDescent="0.25">
      <c r="A481" s="30"/>
      <c r="B481" s="208"/>
      <c r="C481" s="208"/>
    </row>
    <row r="482" spans="1:3" x14ac:dyDescent="0.25">
      <c r="A482" s="30"/>
      <c r="B482" s="208"/>
      <c r="C482" s="208"/>
    </row>
    <row r="483" spans="1:3" x14ac:dyDescent="0.25">
      <c r="A483" s="30"/>
      <c r="B483" s="208"/>
      <c r="C483" s="208"/>
    </row>
    <row r="484" spans="1:3" x14ac:dyDescent="0.25">
      <c r="A484" s="30"/>
      <c r="B484" s="208"/>
      <c r="C484" s="208"/>
    </row>
    <row r="485" spans="1:3" x14ac:dyDescent="0.25">
      <c r="A485" s="30"/>
      <c r="B485" s="208"/>
      <c r="C485" s="208"/>
    </row>
    <row r="486" spans="1:3" x14ac:dyDescent="0.25">
      <c r="A486" s="30"/>
      <c r="B486" s="208"/>
      <c r="C486" s="208"/>
    </row>
    <row r="487" spans="1:3" x14ac:dyDescent="0.25">
      <c r="A487" s="30"/>
      <c r="B487" s="208"/>
      <c r="C487" s="208"/>
    </row>
    <row r="488" spans="1:3" x14ac:dyDescent="0.25">
      <c r="A488" s="30"/>
      <c r="B488" s="208"/>
      <c r="C488" s="208"/>
    </row>
    <row r="489" spans="1:3" x14ac:dyDescent="0.25">
      <c r="A489" s="30"/>
      <c r="B489" s="208"/>
      <c r="C489" s="208"/>
    </row>
    <row r="490" spans="1:3" x14ac:dyDescent="0.25">
      <c r="A490" s="30"/>
      <c r="B490" s="208"/>
      <c r="C490" s="208"/>
    </row>
    <row r="491" spans="1:3" x14ac:dyDescent="0.25">
      <c r="A491" s="30"/>
      <c r="B491" s="208"/>
      <c r="C491" s="208"/>
    </row>
    <row r="492" spans="1:3" x14ac:dyDescent="0.25">
      <c r="A492" s="30"/>
      <c r="B492" s="208"/>
      <c r="C492" s="208"/>
    </row>
    <row r="493" spans="1:3" x14ac:dyDescent="0.25">
      <c r="A493" s="30"/>
      <c r="B493" s="208"/>
      <c r="C493" s="208"/>
    </row>
    <row r="494" spans="1:3" x14ac:dyDescent="0.25">
      <c r="A494" s="30"/>
      <c r="B494" s="208"/>
      <c r="C494" s="208"/>
    </row>
    <row r="495" spans="1:3" x14ac:dyDescent="0.25">
      <c r="A495" s="30"/>
      <c r="B495" s="208"/>
      <c r="C495" s="208"/>
    </row>
    <row r="496" spans="1:3" x14ac:dyDescent="0.25">
      <c r="A496" s="30"/>
      <c r="B496" s="208"/>
      <c r="C496" s="208"/>
    </row>
    <row r="497" spans="1:3" x14ac:dyDescent="0.25">
      <c r="A497" s="30"/>
      <c r="B497" s="208"/>
      <c r="C497" s="208"/>
    </row>
    <row r="498" spans="1:3" x14ac:dyDescent="0.25">
      <c r="A498" s="30"/>
      <c r="B498" s="208"/>
      <c r="C498" s="208"/>
    </row>
    <row r="499" spans="1:3" x14ac:dyDescent="0.25">
      <c r="A499" s="30"/>
      <c r="B499" s="208"/>
      <c r="C499" s="208"/>
    </row>
    <row r="500" spans="1:3" x14ac:dyDescent="0.25">
      <c r="A500" s="30"/>
      <c r="B500" s="208"/>
      <c r="C500" s="208"/>
    </row>
    <row r="501" spans="1:3" x14ac:dyDescent="0.25">
      <c r="A501" s="30"/>
      <c r="B501" s="208"/>
      <c r="C501" s="208"/>
    </row>
    <row r="502" spans="1:3" x14ac:dyDescent="0.25">
      <c r="A502" s="30"/>
      <c r="B502" s="208"/>
      <c r="C502" s="208"/>
    </row>
    <row r="503" spans="1:3" x14ac:dyDescent="0.25">
      <c r="A503" s="30"/>
      <c r="B503" s="208"/>
      <c r="C503" s="208"/>
    </row>
    <row r="504" spans="1:3" x14ac:dyDescent="0.25">
      <c r="A504" s="30"/>
      <c r="B504" s="208"/>
      <c r="C504" s="208"/>
    </row>
    <row r="505" spans="1:3" x14ac:dyDescent="0.25">
      <c r="A505" s="30"/>
      <c r="B505" s="208"/>
      <c r="C505" s="208"/>
    </row>
    <row r="506" spans="1:3" x14ac:dyDescent="0.25">
      <c r="A506" s="30"/>
      <c r="B506" s="208"/>
      <c r="C506" s="208"/>
    </row>
    <row r="507" spans="1:3" x14ac:dyDescent="0.25">
      <c r="A507" s="30"/>
      <c r="B507" s="208"/>
      <c r="C507" s="208"/>
    </row>
    <row r="508" spans="1:3" x14ac:dyDescent="0.25">
      <c r="A508" s="30"/>
      <c r="B508" s="208"/>
      <c r="C508" s="208"/>
    </row>
    <row r="509" spans="1:3" x14ac:dyDescent="0.25">
      <c r="A509" s="30"/>
      <c r="B509" s="208"/>
      <c r="C509" s="208"/>
    </row>
    <row r="510" spans="1:3" x14ac:dyDescent="0.25">
      <c r="A510" s="30"/>
      <c r="B510" s="208"/>
      <c r="C510" s="208"/>
    </row>
    <row r="511" spans="1:3" x14ac:dyDescent="0.25">
      <c r="A511" s="30"/>
      <c r="B511" s="208"/>
      <c r="C511" s="208"/>
    </row>
    <row r="512" spans="1:3" x14ac:dyDescent="0.25">
      <c r="A512" s="30"/>
      <c r="B512" s="208"/>
      <c r="C512" s="208"/>
    </row>
    <row r="513" spans="1:3" x14ac:dyDescent="0.25">
      <c r="A513" s="30"/>
      <c r="B513" s="208"/>
      <c r="C513" s="208"/>
    </row>
    <row r="514" spans="1:3" x14ac:dyDescent="0.25">
      <c r="A514" s="30"/>
      <c r="B514" s="208"/>
      <c r="C514" s="208"/>
    </row>
    <row r="515" spans="1:3" x14ac:dyDescent="0.25">
      <c r="A515" s="30"/>
      <c r="B515" s="208"/>
      <c r="C515" s="208"/>
    </row>
    <row r="516" spans="1:3" x14ac:dyDescent="0.25">
      <c r="A516" s="30"/>
      <c r="B516" s="208"/>
      <c r="C516" s="208"/>
    </row>
    <row r="517" spans="1:3" x14ac:dyDescent="0.25">
      <c r="A517" s="30"/>
      <c r="B517" s="208"/>
      <c r="C517" s="208"/>
    </row>
    <row r="518" spans="1:3" x14ac:dyDescent="0.25">
      <c r="A518" s="30"/>
      <c r="B518" s="208"/>
      <c r="C518" s="208"/>
    </row>
    <row r="519" spans="1:3" x14ac:dyDescent="0.25">
      <c r="A519" s="30"/>
      <c r="B519" s="208"/>
      <c r="C519" s="208"/>
    </row>
    <row r="520" spans="1:3" x14ac:dyDescent="0.25">
      <c r="A520" s="30"/>
      <c r="B520" s="208"/>
      <c r="C520" s="208"/>
    </row>
    <row r="521" spans="1:3" x14ac:dyDescent="0.25">
      <c r="A521" s="30"/>
      <c r="B521" s="208"/>
      <c r="C521" s="208"/>
    </row>
    <row r="522" spans="1:3" x14ac:dyDescent="0.25">
      <c r="A522" s="30"/>
      <c r="B522" s="208"/>
      <c r="C522" s="208"/>
    </row>
    <row r="523" spans="1:3" x14ac:dyDescent="0.25">
      <c r="A523" s="30"/>
      <c r="B523" s="208"/>
      <c r="C523" s="208"/>
    </row>
    <row r="524" spans="1:3" x14ac:dyDescent="0.25">
      <c r="A524" s="30"/>
      <c r="B524" s="208"/>
      <c r="C524" s="208"/>
    </row>
    <row r="525" spans="1:3" x14ac:dyDescent="0.25">
      <c r="A525" s="30"/>
      <c r="B525" s="208"/>
      <c r="C525" s="208"/>
    </row>
    <row r="526" spans="1:3" x14ac:dyDescent="0.25">
      <c r="A526" s="30"/>
      <c r="B526" s="208"/>
      <c r="C526" s="208"/>
    </row>
    <row r="527" spans="1:3" x14ac:dyDescent="0.25">
      <c r="A527" s="30"/>
      <c r="B527" s="208"/>
      <c r="C527" s="208"/>
    </row>
    <row r="528" spans="1:3" x14ac:dyDescent="0.25">
      <c r="A528" s="30"/>
      <c r="B528" s="208"/>
      <c r="C528" s="208"/>
    </row>
    <row r="529" spans="1:3" x14ac:dyDescent="0.25">
      <c r="A529" s="30"/>
      <c r="B529" s="208"/>
      <c r="C529" s="208"/>
    </row>
    <row r="530" spans="1:3" x14ac:dyDescent="0.25">
      <c r="A530" s="30"/>
      <c r="B530" s="208"/>
      <c r="C530" s="208"/>
    </row>
    <row r="531" spans="1:3" x14ac:dyDescent="0.25">
      <c r="A531" s="30"/>
      <c r="B531" s="208"/>
      <c r="C531" s="208"/>
    </row>
    <row r="532" spans="1:3" x14ac:dyDescent="0.25">
      <c r="A532" s="30"/>
      <c r="B532" s="208"/>
      <c r="C532" s="208"/>
    </row>
    <row r="533" spans="1:3" x14ac:dyDescent="0.25">
      <c r="A533" s="30"/>
      <c r="B533" s="208"/>
      <c r="C533" s="208"/>
    </row>
    <row r="534" spans="1:3" x14ac:dyDescent="0.25">
      <c r="A534" s="30"/>
      <c r="B534" s="208"/>
      <c r="C534" s="208"/>
    </row>
    <row r="535" spans="1:3" x14ac:dyDescent="0.25">
      <c r="A535" s="30"/>
      <c r="B535" s="208"/>
      <c r="C535" s="208"/>
    </row>
    <row r="536" spans="1:3" x14ac:dyDescent="0.25">
      <c r="A536" s="30"/>
      <c r="B536" s="208"/>
      <c r="C536" s="208"/>
    </row>
    <row r="537" spans="1:3" x14ac:dyDescent="0.25">
      <c r="A537" s="30"/>
      <c r="B537" s="208"/>
      <c r="C537" s="208"/>
    </row>
    <row r="538" spans="1:3" x14ac:dyDescent="0.25">
      <c r="A538" s="30"/>
      <c r="B538" s="208"/>
      <c r="C538" s="208"/>
    </row>
    <row r="539" spans="1:3" x14ac:dyDescent="0.25">
      <c r="A539" s="30"/>
      <c r="B539" s="208"/>
      <c r="C539" s="208"/>
    </row>
    <row r="540" spans="1:3" x14ac:dyDescent="0.25">
      <c r="A540" s="30"/>
      <c r="B540" s="208"/>
      <c r="C540" s="208"/>
    </row>
    <row r="541" spans="1:3" x14ac:dyDescent="0.25">
      <c r="A541" s="30"/>
      <c r="B541" s="208"/>
      <c r="C541" s="208"/>
    </row>
    <row r="542" spans="1:3" x14ac:dyDescent="0.25">
      <c r="A542" s="30"/>
      <c r="B542" s="208"/>
      <c r="C542" s="208"/>
    </row>
    <row r="543" spans="1:3" x14ac:dyDescent="0.25">
      <c r="A543" s="30"/>
      <c r="B543" s="208"/>
      <c r="C543" s="208"/>
    </row>
    <row r="544" spans="1:3" x14ac:dyDescent="0.25">
      <c r="A544" s="30"/>
      <c r="B544" s="208"/>
      <c r="C544" s="208"/>
    </row>
    <row r="545" spans="1:3" x14ac:dyDescent="0.25">
      <c r="A545" s="30"/>
      <c r="B545" s="208"/>
      <c r="C545" s="208"/>
    </row>
    <row r="546" spans="1:3" x14ac:dyDescent="0.25">
      <c r="A546" s="30"/>
      <c r="B546" s="208"/>
      <c r="C546" s="208"/>
    </row>
    <row r="547" spans="1:3" x14ac:dyDescent="0.25">
      <c r="A547" s="30"/>
      <c r="B547" s="208"/>
      <c r="C547" s="208"/>
    </row>
    <row r="548" spans="1:3" x14ac:dyDescent="0.25">
      <c r="A548" s="30"/>
      <c r="B548" s="208"/>
      <c r="C548" s="208"/>
    </row>
    <row r="549" spans="1:3" x14ac:dyDescent="0.25">
      <c r="A549" s="30"/>
      <c r="B549" s="208"/>
      <c r="C549" s="208"/>
    </row>
    <row r="550" spans="1:3" x14ac:dyDescent="0.25">
      <c r="A550" s="30"/>
      <c r="B550" s="208"/>
      <c r="C550" s="208"/>
    </row>
    <row r="551" spans="1:3" x14ac:dyDescent="0.25">
      <c r="A551" s="30"/>
      <c r="B551" s="208"/>
      <c r="C551" s="208"/>
    </row>
    <row r="552" spans="1:3" x14ac:dyDescent="0.25">
      <c r="A552" s="30"/>
      <c r="B552" s="208"/>
      <c r="C552" s="208"/>
    </row>
    <row r="553" spans="1:3" x14ac:dyDescent="0.25">
      <c r="A553" s="30"/>
      <c r="B553" s="208"/>
      <c r="C553" s="208"/>
    </row>
    <row r="554" spans="1:3" x14ac:dyDescent="0.25">
      <c r="A554" s="30"/>
      <c r="B554" s="208"/>
      <c r="C554" s="208"/>
    </row>
    <row r="555" spans="1:3" x14ac:dyDescent="0.25">
      <c r="A555" s="30"/>
      <c r="B555" s="208"/>
      <c r="C555" s="208"/>
    </row>
    <row r="556" spans="1:3" x14ac:dyDescent="0.25">
      <c r="A556" s="30"/>
      <c r="B556" s="208"/>
      <c r="C556" s="208"/>
    </row>
    <row r="557" spans="1:3" x14ac:dyDescent="0.25">
      <c r="A557" s="30"/>
      <c r="B557" s="208"/>
      <c r="C557" s="208"/>
    </row>
    <row r="558" spans="1:3" x14ac:dyDescent="0.25">
      <c r="A558" s="30"/>
      <c r="B558" s="208"/>
      <c r="C558" s="208"/>
    </row>
    <row r="559" spans="1:3" x14ac:dyDescent="0.25">
      <c r="A559" s="30"/>
      <c r="B559" s="208"/>
      <c r="C559" s="208"/>
    </row>
    <row r="560" spans="1:3" x14ac:dyDescent="0.25">
      <c r="A560" s="30"/>
      <c r="B560" s="208"/>
      <c r="C560" s="208"/>
    </row>
    <row r="561" spans="1:3" x14ac:dyDescent="0.25">
      <c r="A561" s="30"/>
      <c r="B561" s="208"/>
      <c r="C561" s="208"/>
    </row>
    <row r="562" spans="1:3" x14ac:dyDescent="0.25">
      <c r="A562" s="30"/>
      <c r="B562" s="208"/>
      <c r="C562" s="208"/>
    </row>
    <row r="563" spans="1:3" x14ac:dyDescent="0.25">
      <c r="A563" s="30"/>
      <c r="B563" s="208"/>
      <c r="C563" s="208"/>
    </row>
    <row r="564" spans="1:3" x14ac:dyDescent="0.25">
      <c r="A564" s="30"/>
      <c r="B564" s="208"/>
      <c r="C564" s="208"/>
    </row>
    <row r="565" spans="1:3" x14ac:dyDescent="0.25">
      <c r="A565" s="30"/>
      <c r="B565" s="208"/>
      <c r="C565" s="208"/>
    </row>
    <row r="566" spans="1:3" x14ac:dyDescent="0.25">
      <c r="A566" s="30"/>
      <c r="B566" s="208"/>
      <c r="C566" s="208"/>
    </row>
    <row r="567" spans="1:3" x14ac:dyDescent="0.25">
      <c r="A567" s="30"/>
      <c r="B567" s="208"/>
      <c r="C567" s="208"/>
    </row>
    <row r="568" spans="1:3" x14ac:dyDescent="0.25">
      <c r="A568" s="30"/>
      <c r="B568" s="208"/>
      <c r="C568" s="208"/>
    </row>
    <row r="569" spans="1:3" x14ac:dyDescent="0.25">
      <c r="A569" s="30"/>
      <c r="B569" s="208"/>
      <c r="C569" s="208"/>
    </row>
    <row r="570" spans="1:3" x14ac:dyDescent="0.25">
      <c r="A570" s="30"/>
      <c r="B570" s="208"/>
      <c r="C570" s="208"/>
    </row>
    <row r="571" spans="1:3" x14ac:dyDescent="0.25">
      <c r="A571" s="30"/>
      <c r="B571" s="208"/>
      <c r="C571" s="208"/>
    </row>
    <row r="572" spans="1:3" x14ac:dyDescent="0.25">
      <c r="A572" s="30"/>
      <c r="B572" s="208"/>
      <c r="C572" s="208"/>
    </row>
    <row r="573" spans="1:3" x14ac:dyDescent="0.25">
      <c r="A573" s="30"/>
      <c r="B573" s="208"/>
      <c r="C573" s="208"/>
    </row>
    <row r="574" spans="1:3" x14ac:dyDescent="0.25">
      <c r="A574" s="30"/>
      <c r="B574" s="208"/>
      <c r="C574" s="208"/>
    </row>
    <row r="575" spans="1:3" x14ac:dyDescent="0.25">
      <c r="A575" s="30"/>
      <c r="B575" s="208"/>
      <c r="C575" s="208"/>
    </row>
    <row r="576" spans="1:3" x14ac:dyDescent="0.25">
      <c r="A576" s="30"/>
      <c r="B576" s="208"/>
      <c r="C576" s="208"/>
    </row>
    <row r="577" spans="1:3" x14ac:dyDescent="0.25">
      <c r="A577" s="30"/>
      <c r="B577" s="208"/>
      <c r="C577" s="208"/>
    </row>
    <row r="578" spans="1:3" x14ac:dyDescent="0.25">
      <c r="A578" s="30"/>
      <c r="B578" s="208"/>
      <c r="C578" s="208"/>
    </row>
    <row r="579" spans="1:3" x14ac:dyDescent="0.25">
      <c r="A579" s="30"/>
      <c r="B579" s="208"/>
      <c r="C579" s="208"/>
    </row>
    <row r="580" spans="1:3" x14ac:dyDescent="0.25">
      <c r="A580" s="30"/>
      <c r="B580" s="208"/>
      <c r="C580" s="208"/>
    </row>
    <row r="581" spans="1:3" x14ac:dyDescent="0.25">
      <c r="A581" s="30"/>
      <c r="B581" s="208"/>
      <c r="C581" s="208"/>
    </row>
    <row r="582" spans="1:3" x14ac:dyDescent="0.25">
      <c r="A582" s="30"/>
      <c r="B582" s="208"/>
      <c r="C582" s="208"/>
    </row>
    <row r="583" spans="1:3" x14ac:dyDescent="0.25">
      <c r="A583" s="30"/>
      <c r="B583" s="208"/>
      <c r="C583" s="208"/>
    </row>
    <row r="584" spans="1:3" x14ac:dyDescent="0.25">
      <c r="A584" s="30"/>
      <c r="B584" s="208"/>
      <c r="C584" s="208"/>
    </row>
    <row r="585" spans="1:3" x14ac:dyDescent="0.25">
      <c r="A585" s="30"/>
      <c r="B585" s="208"/>
      <c r="C585" s="208"/>
    </row>
    <row r="586" spans="1:3" x14ac:dyDescent="0.25">
      <c r="A586" s="30"/>
      <c r="B586" s="208"/>
      <c r="C586" s="208"/>
    </row>
    <row r="587" spans="1:3" x14ac:dyDescent="0.25">
      <c r="A587" s="30"/>
      <c r="B587" s="208"/>
      <c r="C587" s="208"/>
    </row>
    <row r="588" spans="1:3" x14ac:dyDescent="0.25">
      <c r="A588" s="30"/>
      <c r="B588" s="208"/>
      <c r="C588" s="208"/>
    </row>
    <row r="589" spans="1:3" x14ac:dyDescent="0.25">
      <c r="A589" s="30"/>
      <c r="B589" s="208"/>
      <c r="C589" s="208"/>
    </row>
    <row r="590" spans="1:3" x14ac:dyDescent="0.25">
      <c r="A590" s="30"/>
      <c r="B590" s="208"/>
      <c r="C590" s="208"/>
    </row>
    <row r="591" spans="1:3" x14ac:dyDescent="0.25">
      <c r="A591" s="30"/>
      <c r="B591" s="208"/>
      <c r="C591" s="208"/>
    </row>
    <row r="592" spans="1:3" x14ac:dyDescent="0.25">
      <c r="A592" s="30"/>
      <c r="B592" s="208"/>
      <c r="C592" s="208"/>
    </row>
    <row r="593" spans="1:3" x14ac:dyDescent="0.25">
      <c r="A593" s="30"/>
      <c r="B593" s="208"/>
      <c r="C593" s="208"/>
    </row>
    <row r="594" spans="1:3" x14ac:dyDescent="0.25">
      <c r="A594" s="30"/>
      <c r="B594" s="208"/>
      <c r="C594" s="208"/>
    </row>
    <row r="595" spans="1:3" x14ac:dyDescent="0.25">
      <c r="A595" s="30"/>
      <c r="B595" s="208"/>
      <c r="C595" s="208"/>
    </row>
    <row r="596" spans="1:3" x14ac:dyDescent="0.25">
      <c r="A596" s="30"/>
      <c r="B596" s="208"/>
      <c r="C596" s="208"/>
    </row>
    <row r="597" spans="1:3" x14ac:dyDescent="0.25">
      <c r="A597" s="30"/>
      <c r="B597" s="208"/>
      <c r="C597" s="208"/>
    </row>
    <row r="598" spans="1:3" x14ac:dyDescent="0.25">
      <c r="A598" s="30"/>
      <c r="B598" s="208"/>
      <c r="C598" s="208"/>
    </row>
    <row r="599" spans="1:3" x14ac:dyDescent="0.25">
      <c r="A599" s="30"/>
      <c r="B599" s="208"/>
      <c r="C599" s="208"/>
    </row>
    <row r="600" spans="1:3" x14ac:dyDescent="0.25">
      <c r="A600" s="30"/>
      <c r="B600" s="208"/>
      <c r="C600" s="208"/>
    </row>
    <row r="601" spans="1:3" x14ac:dyDescent="0.25">
      <c r="A601" s="30"/>
      <c r="B601" s="208"/>
      <c r="C601" s="208"/>
    </row>
    <row r="602" spans="1:3" x14ac:dyDescent="0.25">
      <c r="A602" s="30"/>
      <c r="B602" s="208"/>
      <c r="C602" s="208"/>
    </row>
    <row r="603" spans="1:3" x14ac:dyDescent="0.25">
      <c r="A603" s="30"/>
      <c r="B603" s="208"/>
      <c r="C603" s="208"/>
    </row>
    <row r="604" spans="1:3" x14ac:dyDescent="0.25">
      <c r="A604" s="30"/>
      <c r="B604" s="208"/>
      <c r="C604" s="208"/>
    </row>
    <row r="605" spans="1:3" x14ac:dyDescent="0.25">
      <c r="A605" s="30"/>
      <c r="B605" s="208"/>
      <c r="C605" s="208"/>
    </row>
    <row r="606" spans="1:3" x14ac:dyDescent="0.25">
      <c r="A606" s="30"/>
      <c r="B606" s="208"/>
      <c r="C606" s="208"/>
    </row>
    <row r="607" spans="1:3" x14ac:dyDescent="0.25">
      <c r="A607" s="30"/>
      <c r="B607" s="208"/>
      <c r="C607" s="208"/>
    </row>
    <row r="608" spans="1:3" x14ac:dyDescent="0.25">
      <c r="A608" s="30"/>
      <c r="B608" s="208"/>
      <c r="C608" s="208"/>
    </row>
    <row r="609" spans="1:3" x14ac:dyDescent="0.25">
      <c r="A609" s="30"/>
      <c r="B609" s="208"/>
      <c r="C609" s="208"/>
    </row>
    <row r="610" spans="1:3" x14ac:dyDescent="0.25">
      <c r="A610" s="30"/>
      <c r="B610" s="208"/>
      <c r="C610" s="208"/>
    </row>
    <row r="611" spans="1:3" x14ac:dyDescent="0.25">
      <c r="A611" s="30"/>
      <c r="B611" s="208"/>
      <c r="C611" s="208"/>
    </row>
    <row r="612" spans="1:3" x14ac:dyDescent="0.25">
      <c r="A612" s="30"/>
      <c r="B612" s="208"/>
      <c r="C612" s="208"/>
    </row>
    <row r="613" spans="1:3" x14ac:dyDescent="0.25">
      <c r="A613" s="30"/>
      <c r="B613" s="208"/>
      <c r="C613" s="208"/>
    </row>
    <row r="614" spans="1:3" x14ac:dyDescent="0.25">
      <c r="A614" s="30"/>
      <c r="B614" s="208"/>
      <c r="C614" s="208"/>
    </row>
    <row r="615" spans="1:3" x14ac:dyDescent="0.25">
      <c r="A615" s="30"/>
      <c r="B615" s="208"/>
      <c r="C615" s="208"/>
    </row>
    <row r="616" spans="1:3" x14ac:dyDescent="0.25">
      <c r="A616" s="30"/>
      <c r="B616" s="208"/>
      <c r="C616" s="208"/>
    </row>
    <row r="617" spans="1:3" x14ac:dyDescent="0.25">
      <c r="A617" s="30"/>
      <c r="B617" s="208"/>
      <c r="C617" s="208"/>
    </row>
    <row r="618" spans="1:3" x14ac:dyDescent="0.25">
      <c r="A618" s="30"/>
      <c r="B618" s="208"/>
      <c r="C618" s="208"/>
    </row>
    <row r="619" spans="1:3" x14ac:dyDescent="0.25">
      <c r="A619" s="30"/>
      <c r="B619" s="208"/>
      <c r="C619" s="208"/>
    </row>
    <row r="620" spans="1:3" x14ac:dyDescent="0.25">
      <c r="A620" s="30"/>
      <c r="B620" s="208"/>
      <c r="C620" s="208"/>
    </row>
    <row r="621" spans="1:3" x14ac:dyDescent="0.25">
      <c r="A621" s="30"/>
      <c r="B621" s="208"/>
      <c r="C621" s="208"/>
    </row>
    <row r="622" spans="1:3" x14ac:dyDescent="0.25">
      <c r="A622" s="30"/>
      <c r="B622" s="208"/>
      <c r="C622" s="208"/>
    </row>
    <row r="623" spans="1:3" x14ac:dyDescent="0.25">
      <c r="A623" s="30"/>
      <c r="B623" s="208"/>
      <c r="C623" s="208"/>
    </row>
    <row r="624" spans="1:3" x14ac:dyDescent="0.25">
      <c r="A624" s="30"/>
      <c r="B624" s="208"/>
      <c r="C624" s="208"/>
    </row>
    <row r="625" spans="1:3" x14ac:dyDescent="0.25">
      <c r="A625" s="30"/>
      <c r="B625" s="208"/>
      <c r="C625" s="208"/>
    </row>
    <row r="626" spans="1:3" x14ac:dyDescent="0.25">
      <c r="A626" s="30"/>
      <c r="B626" s="208"/>
      <c r="C626" s="208"/>
    </row>
    <row r="627" spans="1:3" x14ac:dyDescent="0.25">
      <c r="A627" s="30"/>
      <c r="B627" s="208"/>
      <c r="C627" s="208"/>
    </row>
    <row r="628" spans="1:3" x14ac:dyDescent="0.25">
      <c r="A628" s="30"/>
      <c r="B628" s="208"/>
      <c r="C628" s="208"/>
    </row>
    <row r="629" spans="1:3" x14ac:dyDescent="0.25">
      <c r="A629" s="30"/>
      <c r="B629" s="208"/>
      <c r="C629" s="208"/>
    </row>
    <row r="630" spans="1:3" x14ac:dyDescent="0.25">
      <c r="A630" s="30"/>
      <c r="B630" s="208"/>
      <c r="C630" s="208"/>
    </row>
    <row r="631" spans="1:3" x14ac:dyDescent="0.25">
      <c r="A631" s="30"/>
      <c r="B631" s="208"/>
      <c r="C631" s="208"/>
    </row>
    <row r="632" spans="1:3" x14ac:dyDescent="0.25">
      <c r="A632" s="30"/>
      <c r="B632" s="208"/>
      <c r="C632" s="208"/>
    </row>
    <row r="633" spans="1:3" x14ac:dyDescent="0.25">
      <c r="A633" s="30"/>
      <c r="B633" s="208"/>
      <c r="C633" s="208"/>
    </row>
    <row r="634" spans="1:3" x14ac:dyDescent="0.25">
      <c r="A634" s="30"/>
      <c r="B634" s="208"/>
      <c r="C634" s="208"/>
    </row>
    <row r="635" spans="1:3" x14ac:dyDescent="0.25">
      <c r="A635" s="30"/>
      <c r="B635" s="208"/>
      <c r="C635" s="208"/>
    </row>
    <row r="636" spans="1:3" x14ac:dyDescent="0.25">
      <c r="A636" s="30"/>
      <c r="B636" s="208"/>
      <c r="C636" s="208"/>
    </row>
    <row r="637" spans="1:3" x14ac:dyDescent="0.25">
      <c r="A637" s="30"/>
      <c r="B637" s="208"/>
      <c r="C637" s="208"/>
    </row>
    <row r="638" spans="1:3" x14ac:dyDescent="0.25">
      <c r="A638" s="30"/>
      <c r="B638" s="208"/>
      <c r="C638" s="208"/>
    </row>
    <row r="639" spans="1:3" x14ac:dyDescent="0.25">
      <c r="A639" s="30"/>
      <c r="B639" s="208"/>
      <c r="C639" s="208"/>
    </row>
    <row r="640" spans="1:3" x14ac:dyDescent="0.25">
      <c r="A640" s="30"/>
      <c r="B640" s="208"/>
      <c r="C640" s="208"/>
    </row>
    <row r="641" spans="1:3" x14ac:dyDescent="0.25">
      <c r="A641" s="30"/>
      <c r="B641" s="208"/>
      <c r="C641" s="208"/>
    </row>
    <row r="642" spans="1:3" x14ac:dyDescent="0.25">
      <c r="A642" s="30"/>
      <c r="B642" s="208"/>
      <c r="C642" s="208"/>
    </row>
    <row r="643" spans="1:3" x14ac:dyDescent="0.25">
      <c r="A643" s="30"/>
      <c r="B643" s="208"/>
      <c r="C643" s="208"/>
    </row>
    <row r="644" spans="1:3" x14ac:dyDescent="0.25">
      <c r="A644" s="30"/>
      <c r="B644" s="208"/>
      <c r="C644" s="208"/>
    </row>
    <row r="645" spans="1:3" x14ac:dyDescent="0.25">
      <c r="A645" s="30"/>
      <c r="B645" s="208"/>
      <c r="C645" s="208"/>
    </row>
    <row r="646" spans="1:3" x14ac:dyDescent="0.25">
      <c r="A646" s="30"/>
      <c r="B646" s="208"/>
      <c r="C646" s="208"/>
    </row>
    <row r="647" spans="1:3" x14ac:dyDescent="0.25">
      <c r="A647" s="30"/>
      <c r="B647" s="208"/>
      <c r="C647" s="208"/>
    </row>
    <row r="648" spans="1:3" x14ac:dyDescent="0.25">
      <c r="A648" s="30"/>
      <c r="B648" s="208"/>
      <c r="C648" s="208"/>
    </row>
    <row r="649" spans="1:3" x14ac:dyDescent="0.25">
      <c r="A649" s="30"/>
      <c r="B649" s="208"/>
      <c r="C649" s="208"/>
    </row>
    <row r="650" spans="1:3" x14ac:dyDescent="0.25">
      <c r="A650" s="30"/>
      <c r="B650" s="208"/>
      <c r="C650" s="208"/>
    </row>
    <row r="651" spans="1:3" x14ac:dyDescent="0.25">
      <c r="A651" s="30"/>
      <c r="B651" s="208"/>
      <c r="C651" s="208"/>
    </row>
    <row r="652" spans="1:3" x14ac:dyDescent="0.25">
      <c r="A652" s="30"/>
      <c r="B652" s="208"/>
      <c r="C652" s="208"/>
    </row>
    <row r="653" spans="1:3" x14ac:dyDescent="0.25">
      <c r="A653" s="30"/>
      <c r="B653" s="208"/>
      <c r="C653" s="208"/>
    </row>
    <row r="654" spans="1:3" x14ac:dyDescent="0.25">
      <c r="A654" s="30"/>
      <c r="B654" s="208"/>
      <c r="C654" s="208"/>
    </row>
    <row r="655" spans="1:3" x14ac:dyDescent="0.25">
      <c r="A655" s="30"/>
      <c r="B655" s="208"/>
      <c r="C655" s="208"/>
    </row>
    <row r="656" spans="1:3" x14ac:dyDescent="0.25">
      <c r="A656" s="30"/>
      <c r="B656" s="208"/>
      <c r="C656" s="208"/>
    </row>
    <row r="657" spans="1:3" x14ac:dyDescent="0.25">
      <c r="A657" s="30"/>
      <c r="B657" s="208"/>
      <c r="C657" s="208"/>
    </row>
    <row r="658" spans="1:3" x14ac:dyDescent="0.25">
      <c r="A658" s="30"/>
      <c r="B658" s="208"/>
      <c r="C658" s="208"/>
    </row>
    <row r="659" spans="1:3" x14ac:dyDescent="0.25">
      <c r="A659" s="30"/>
      <c r="B659" s="208"/>
      <c r="C659" s="208"/>
    </row>
    <row r="660" spans="1:3" x14ac:dyDescent="0.25">
      <c r="A660" s="30"/>
      <c r="B660" s="208"/>
      <c r="C660" s="208"/>
    </row>
    <row r="661" spans="1:3" x14ac:dyDescent="0.25">
      <c r="A661" s="30"/>
      <c r="B661" s="208"/>
      <c r="C661" s="208"/>
    </row>
    <row r="662" spans="1:3" x14ac:dyDescent="0.25">
      <c r="A662" s="30"/>
      <c r="B662" s="208"/>
      <c r="C662" s="208"/>
    </row>
    <row r="663" spans="1:3" x14ac:dyDescent="0.25">
      <c r="A663" s="30"/>
      <c r="B663" s="208"/>
      <c r="C663" s="208"/>
    </row>
    <row r="664" spans="1:3" x14ac:dyDescent="0.25">
      <c r="A664" s="30"/>
      <c r="B664" s="208"/>
      <c r="C664" s="208"/>
    </row>
    <row r="665" spans="1:3" x14ac:dyDescent="0.25">
      <c r="A665" s="30"/>
      <c r="B665" s="208"/>
      <c r="C665" s="208"/>
    </row>
    <row r="666" spans="1:3" x14ac:dyDescent="0.25">
      <c r="A666" s="30"/>
      <c r="B666" s="208"/>
      <c r="C666" s="208"/>
    </row>
    <row r="667" spans="1:3" x14ac:dyDescent="0.25">
      <c r="A667" s="30"/>
      <c r="B667" s="208"/>
      <c r="C667" s="208"/>
    </row>
    <row r="668" spans="1:3" x14ac:dyDescent="0.25">
      <c r="A668" s="30"/>
      <c r="B668" s="208"/>
      <c r="C668" s="208"/>
    </row>
    <row r="669" spans="1:3" x14ac:dyDescent="0.25">
      <c r="A669" s="30"/>
      <c r="B669" s="208"/>
      <c r="C669" s="208"/>
    </row>
    <row r="670" spans="1:3" x14ac:dyDescent="0.25">
      <c r="A670" s="30"/>
      <c r="B670" s="208"/>
      <c r="C670" s="208"/>
    </row>
    <row r="671" spans="1:3" x14ac:dyDescent="0.25">
      <c r="A671" s="30"/>
      <c r="B671" s="208"/>
      <c r="C671" s="208"/>
    </row>
    <row r="672" spans="1:3" x14ac:dyDescent="0.25">
      <c r="A672" s="30"/>
      <c r="B672" s="208"/>
      <c r="C672" s="208"/>
    </row>
    <row r="673" spans="1:3" x14ac:dyDescent="0.25">
      <c r="A673" s="30"/>
      <c r="B673" s="208"/>
      <c r="C673" s="208"/>
    </row>
    <row r="674" spans="1:3" x14ac:dyDescent="0.25">
      <c r="A674" s="30"/>
      <c r="B674" s="208"/>
      <c r="C674" s="208"/>
    </row>
    <row r="675" spans="1:3" x14ac:dyDescent="0.25">
      <c r="A675" s="30"/>
      <c r="B675" s="208"/>
      <c r="C675" s="208"/>
    </row>
    <row r="676" spans="1:3" x14ac:dyDescent="0.25">
      <c r="A676" s="30"/>
      <c r="B676" s="208"/>
      <c r="C676" s="208"/>
    </row>
    <row r="677" spans="1:3" x14ac:dyDescent="0.25">
      <c r="A677" s="30"/>
      <c r="B677" s="208"/>
      <c r="C677" s="208"/>
    </row>
    <row r="678" spans="1:3" x14ac:dyDescent="0.25">
      <c r="A678" s="30"/>
      <c r="B678" s="208"/>
      <c r="C678" s="208"/>
    </row>
    <row r="679" spans="1:3" x14ac:dyDescent="0.25">
      <c r="A679" s="30"/>
      <c r="B679" s="208"/>
      <c r="C679" s="208"/>
    </row>
    <row r="680" spans="1:3" x14ac:dyDescent="0.25">
      <c r="A680" s="30"/>
      <c r="B680" s="208"/>
      <c r="C680" s="208"/>
    </row>
    <row r="681" spans="1:3" x14ac:dyDescent="0.25">
      <c r="A681" s="30"/>
      <c r="B681" s="208"/>
      <c r="C681" s="208"/>
    </row>
    <row r="682" spans="1:3" x14ac:dyDescent="0.25">
      <c r="A682" s="30"/>
      <c r="B682" s="208"/>
      <c r="C682" s="208"/>
    </row>
    <row r="683" spans="1:3" x14ac:dyDescent="0.25">
      <c r="A683" s="30"/>
      <c r="B683" s="208"/>
      <c r="C683" s="208"/>
    </row>
    <row r="684" spans="1:3" x14ac:dyDescent="0.25">
      <c r="A684" s="30"/>
      <c r="B684" s="208"/>
      <c r="C684" s="208"/>
    </row>
    <row r="685" spans="1:3" x14ac:dyDescent="0.25">
      <c r="A685" s="30"/>
      <c r="B685" s="208"/>
      <c r="C685" s="208"/>
    </row>
    <row r="686" spans="1:3" x14ac:dyDescent="0.25">
      <c r="A686" s="30"/>
      <c r="B686" s="208"/>
      <c r="C686" s="208"/>
    </row>
    <row r="687" spans="1:3" x14ac:dyDescent="0.25">
      <c r="A687" s="30"/>
      <c r="B687" s="208"/>
      <c r="C687" s="208"/>
    </row>
    <row r="688" spans="1:3" x14ac:dyDescent="0.25">
      <c r="A688" s="30"/>
      <c r="B688" s="208"/>
      <c r="C688" s="208"/>
    </row>
    <row r="689" spans="1:3" x14ac:dyDescent="0.25">
      <c r="A689" s="30"/>
      <c r="B689" s="208"/>
      <c r="C689" s="208"/>
    </row>
    <row r="690" spans="1:3" x14ac:dyDescent="0.25">
      <c r="A690" s="30"/>
      <c r="B690" s="208"/>
      <c r="C690" s="208"/>
    </row>
    <row r="691" spans="1:3" x14ac:dyDescent="0.25">
      <c r="A691" s="30"/>
      <c r="B691" s="208"/>
      <c r="C691" s="208"/>
    </row>
    <row r="692" spans="1:3" x14ac:dyDescent="0.25">
      <c r="A692" s="30"/>
      <c r="B692" s="208"/>
      <c r="C692" s="208"/>
    </row>
    <row r="693" spans="1:3" x14ac:dyDescent="0.25">
      <c r="A693" s="30"/>
      <c r="B693" s="208"/>
      <c r="C693" s="208"/>
    </row>
    <row r="694" spans="1:3" x14ac:dyDescent="0.25">
      <c r="A694" s="30"/>
      <c r="B694" s="208"/>
      <c r="C694" s="208"/>
    </row>
    <row r="695" spans="1:3" x14ac:dyDescent="0.25">
      <c r="A695" s="30"/>
      <c r="B695" s="208"/>
      <c r="C695" s="208"/>
    </row>
    <row r="696" spans="1:3" x14ac:dyDescent="0.25">
      <c r="A696" s="30"/>
      <c r="B696" s="208"/>
      <c r="C696" s="208"/>
    </row>
    <row r="697" spans="1:3" x14ac:dyDescent="0.25">
      <c r="A697" s="30"/>
      <c r="B697" s="208"/>
      <c r="C697" s="208"/>
    </row>
    <row r="698" spans="1:3" x14ac:dyDescent="0.25">
      <c r="A698" s="30"/>
      <c r="B698" s="208"/>
      <c r="C698" s="208"/>
    </row>
    <row r="699" spans="1:3" x14ac:dyDescent="0.25">
      <c r="A699" s="30"/>
      <c r="B699" s="208"/>
      <c r="C699" s="208"/>
    </row>
    <row r="700" spans="1:3" x14ac:dyDescent="0.25">
      <c r="A700" s="30"/>
      <c r="B700" s="208"/>
      <c r="C700" s="208"/>
    </row>
    <row r="701" spans="1:3" x14ac:dyDescent="0.25">
      <c r="A701" s="30"/>
      <c r="B701" s="208"/>
      <c r="C701" s="208"/>
    </row>
    <row r="702" spans="1:3" x14ac:dyDescent="0.25">
      <c r="A702" s="30"/>
      <c r="B702" s="208"/>
      <c r="C702" s="208"/>
    </row>
    <row r="703" spans="1:3" x14ac:dyDescent="0.25">
      <c r="A703" s="30"/>
      <c r="B703" s="208"/>
      <c r="C703" s="208"/>
    </row>
    <row r="704" spans="1:3" x14ac:dyDescent="0.25">
      <c r="A704" s="30"/>
      <c r="B704" s="208"/>
      <c r="C704" s="208"/>
    </row>
    <row r="705" spans="1:3" x14ac:dyDescent="0.25">
      <c r="A705" s="30"/>
      <c r="B705" s="208"/>
      <c r="C705" s="208"/>
    </row>
    <row r="706" spans="1:3" x14ac:dyDescent="0.25">
      <c r="A706" s="30"/>
      <c r="B706" s="208"/>
      <c r="C706" s="208"/>
    </row>
    <row r="707" spans="1:3" x14ac:dyDescent="0.25">
      <c r="A707" s="30"/>
      <c r="B707" s="208"/>
      <c r="C707" s="208"/>
    </row>
    <row r="708" spans="1:3" x14ac:dyDescent="0.25">
      <c r="A708" s="30"/>
      <c r="B708" s="208"/>
      <c r="C708" s="208"/>
    </row>
    <row r="709" spans="1:3" x14ac:dyDescent="0.25">
      <c r="A709" s="30"/>
      <c r="B709" s="208"/>
      <c r="C709" s="208"/>
    </row>
    <row r="710" spans="1:3" x14ac:dyDescent="0.25">
      <c r="A710" s="30"/>
      <c r="B710" s="208"/>
      <c r="C710" s="208"/>
    </row>
    <row r="711" spans="1:3" x14ac:dyDescent="0.25">
      <c r="A711" s="30"/>
      <c r="B711" s="208"/>
      <c r="C711" s="208"/>
    </row>
    <row r="712" spans="1:3" x14ac:dyDescent="0.25">
      <c r="A712" s="30"/>
      <c r="B712" s="208"/>
      <c r="C712" s="208"/>
    </row>
    <row r="713" spans="1:3" x14ac:dyDescent="0.25">
      <c r="A713" s="30"/>
      <c r="B713" s="208"/>
      <c r="C713" s="208"/>
    </row>
    <row r="714" spans="1:3" x14ac:dyDescent="0.25">
      <c r="A714" s="30"/>
      <c r="B714" s="208"/>
      <c r="C714" s="208"/>
    </row>
    <row r="715" spans="1:3" x14ac:dyDescent="0.25">
      <c r="A715" s="30"/>
      <c r="B715" s="208"/>
      <c r="C715" s="208"/>
    </row>
    <row r="716" spans="1:3" x14ac:dyDescent="0.25">
      <c r="A716" s="30"/>
      <c r="B716" s="208"/>
      <c r="C716" s="208"/>
    </row>
    <row r="717" spans="1:3" x14ac:dyDescent="0.25">
      <c r="A717" s="30"/>
      <c r="B717" s="208"/>
      <c r="C717" s="208"/>
    </row>
    <row r="718" spans="1:3" x14ac:dyDescent="0.25">
      <c r="A718" s="30"/>
      <c r="B718" s="208"/>
      <c r="C718" s="208"/>
    </row>
    <row r="719" spans="1:3" x14ac:dyDescent="0.25">
      <c r="A719" s="30"/>
      <c r="B719" s="208"/>
      <c r="C719" s="208"/>
    </row>
    <row r="720" spans="1:3" x14ac:dyDescent="0.25">
      <c r="A720" s="30"/>
      <c r="B720" s="208"/>
      <c r="C720" s="208"/>
    </row>
    <row r="721" spans="1:3" x14ac:dyDescent="0.25">
      <c r="A721" s="30"/>
      <c r="B721" s="208"/>
      <c r="C721" s="208"/>
    </row>
    <row r="722" spans="1:3" x14ac:dyDescent="0.25">
      <c r="A722" s="30"/>
      <c r="B722" s="208"/>
      <c r="C722" s="208"/>
    </row>
    <row r="723" spans="1:3" x14ac:dyDescent="0.25">
      <c r="A723" s="30"/>
      <c r="B723" s="208"/>
      <c r="C723" s="208"/>
    </row>
    <row r="724" spans="1:3" x14ac:dyDescent="0.25">
      <c r="A724" s="30"/>
      <c r="B724" s="208"/>
      <c r="C724" s="208"/>
    </row>
    <row r="725" spans="1:3" x14ac:dyDescent="0.25">
      <c r="A725" s="30"/>
      <c r="B725" s="208"/>
      <c r="C725" s="208"/>
    </row>
    <row r="726" spans="1:3" x14ac:dyDescent="0.25">
      <c r="A726" s="30"/>
      <c r="B726" s="208"/>
      <c r="C726" s="208"/>
    </row>
    <row r="727" spans="1:3" x14ac:dyDescent="0.25">
      <c r="A727" s="30"/>
      <c r="B727" s="208"/>
      <c r="C727" s="208"/>
    </row>
    <row r="728" spans="1:3" x14ac:dyDescent="0.25">
      <c r="A728" s="30"/>
      <c r="B728" s="208"/>
      <c r="C728" s="208"/>
    </row>
    <row r="729" spans="1:3" x14ac:dyDescent="0.25">
      <c r="A729" s="30"/>
      <c r="B729" s="208"/>
      <c r="C729" s="208"/>
    </row>
    <row r="730" spans="1:3" x14ac:dyDescent="0.25">
      <c r="A730" s="30"/>
      <c r="B730" s="208"/>
      <c r="C730" s="208"/>
    </row>
    <row r="731" spans="1:3" x14ac:dyDescent="0.25">
      <c r="A731" s="30"/>
      <c r="B731" s="208"/>
      <c r="C731" s="208"/>
    </row>
    <row r="732" spans="1:3" x14ac:dyDescent="0.25">
      <c r="A732" s="30"/>
      <c r="B732" s="208"/>
      <c r="C732" s="208"/>
    </row>
    <row r="733" spans="1:3" x14ac:dyDescent="0.25">
      <c r="A733" s="30"/>
      <c r="B733" s="208"/>
      <c r="C733" s="208"/>
    </row>
    <row r="734" spans="1:3" x14ac:dyDescent="0.25">
      <c r="A734" s="30"/>
      <c r="B734" s="208"/>
      <c r="C734" s="208"/>
    </row>
    <row r="735" spans="1:3" x14ac:dyDescent="0.25">
      <c r="A735" s="30"/>
      <c r="B735" s="208"/>
      <c r="C735" s="208"/>
    </row>
    <row r="736" spans="1:3" x14ac:dyDescent="0.25">
      <c r="A736" s="30"/>
      <c r="B736" s="208"/>
      <c r="C736" s="208"/>
    </row>
    <row r="737" spans="1:3" x14ac:dyDescent="0.25">
      <c r="A737" s="30"/>
      <c r="B737" s="208"/>
      <c r="C737" s="208"/>
    </row>
    <row r="738" spans="1:3" x14ac:dyDescent="0.25">
      <c r="A738" s="30"/>
      <c r="B738" s="208"/>
      <c r="C738" s="208"/>
    </row>
    <row r="739" spans="1:3" x14ac:dyDescent="0.25">
      <c r="A739" s="30"/>
      <c r="B739" s="208"/>
      <c r="C739" s="208"/>
    </row>
    <row r="740" spans="1:3" x14ac:dyDescent="0.25">
      <c r="A740" s="30"/>
      <c r="B740" s="208"/>
      <c r="C740" s="208"/>
    </row>
    <row r="741" spans="1:3" x14ac:dyDescent="0.25">
      <c r="A741" s="30"/>
      <c r="B741" s="208"/>
      <c r="C741" s="208"/>
    </row>
    <row r="742" spans="1:3" x14ac:dyDescent="0.25">
      <c r="A742" s="30"/>
      <c r="B742" s="208"/>
      <c r="C742" s="208"/>
    </row>
    <row r="743" spans="1:3" x14ac:dyDescent="0.25">
      <c r="A743" s="30"/>
      <c r="B743" s="208"/>
      <c r="C743" s="208"/>
    </row>
    <row r="744" spans="1:3" x14ac:dyDescent="0.25">
      <c r="A744" s="30"/>
      <c r="B744" s="208"/>
      <c r="C744" s="208"/>
    </row>
    <row r="745" spans="1:3" x14ac:dyDescent="0.25">
      <c r="A745" s="30"/>
      <c r="B745" s="208"/>
      <c r="C745" s="208"/>
    </row>
    <row r="746" spans="1:3" x14ac:dyDescent="0.25">
      <c r="A746" s="30"/>
      <c r="B746" s="208"/>
      <c r="C746" s="208"/>
    </row>
    <row r="747" spans="1:3" x14ac:dyDescent="0.25">
      <c r="A747" s="30"/>
      <c r="B747" s="208"/>
      <c r="C747" s="208"/>
    </row>
    <row r="748" spans="1:3" x14ac:dyDescent="0.25">
      <c r="A748" s="30"/>
      <c r="B748" s="208"/>
      <c r="C748" s="208"/>
    </row>
    <row r="749" spans="1:3" x14ac:dyDescent="0.25">
      <c r="A749" s="30"/>
      <c r="B749" s="208"/>
      <c r="C749" s="208"/>
    </row>
    <row r="750" spans="1:3" x14ac:dyDescent="0.25">
      <c r="A750" s="30"/>
      <c r="B750" s="208"/>
      <c r="C750" s="208"/>
    </row>
    <row r="751" spans="1:3" x14ac:dyDescent="0.25">
      <c r="A751" s="30"/>
      <c r="B751" s="208"/>
      <c r="C751" s="208"/>
    </row>
    <row r="752" spans="1:3" x14ac:dyDescent="0.25">
      <c r="A752" s="30"/>
      <c r="B752" s="208"/>
      <c r="C752" s="208"/>
    </row>
    <row r="753" spans="1:3" x14ac:dyDescent="0.25">
      <c r="A753" s="30"/>
      <c r="B753" s="208"/>
      <c r="C753" s="208"/>
    </row>
    <row r="754" spans="1:3" x14ac:dyDescent="0.25">
      <c r="A754" s="30"/>
      <c r="B754" s="208"/>
      <c r="C754" s="208"/>
    </row>
    <row r="755" spans="1:3" x14ac:dyDescent="0.25">
      <c r="A755" s="30"/>
      <c r="B755" s="208"/>
      <c r="C755" s="208"/>
    </row>
    <row r="756" spans="1:3" x14ac:dyDescent="0.25">
      <c r="A756" s="30"/>
      <c r="B756" s="208"/>
      <c r="C756" s="208"/>
    </row>
    <row r="757" spans="1:3" x14ac:dyDescent="0.25">
      <c r="A757" s="30"/>
      <c r="B757" s="208"/>
      <c r="C757" s="208"/>
    </row>
    <row r="758" spans="1:3" x14ac:dyDescent="0.25">
      <c r="A758" s="30"/>
      <c r="B758" s="208"/>
      <c r="C758" s="208"/>
    </row>
    <row r="759" spans="1:3" x14ac:dyDescent="0.25">
      <c r="A759" s="30"/>
      <c r="B759" s="208"/>
      <c r="C759" s="208"/>
    </row>
    <row r="760" spans="1:3" x14ac:dyDescent="0.25">
      <c r="A760" s="30"/>
      <c r="B760" s="208"/>
      <c r="C760" s="208"/>
    </row>
    <row r="761" spans="1:3" x14ac:dyDescent="0.25">
      <c r="A761" s="30"/>
      <c r="B761" s="208"/>
      <c r="C761" s="208"/>
    </row>
    <row r="762" spans="1:3" x14ac:dyDescent="0.25">
      <c r="A762" s="30"/>
      <c r="B762" s="208"/>
      <c r="C762" s="208"/>
    </row>
    <row r="763" spans="1:3" x14ac:dyDescent="0.25">
      <c r="A763" s="30"/>
      <c r="B763" s="208"/>
      <c r="C763" s="208"/>
    </row>
    <row r="764" spans="1:3" x14ac:dyDescent="0.25">
      <c r="A764" s="30"/>
      <c r="B764" s="208"/>
      <c r="C764" s="208"/>
    </row>
    <row r="765" spans="1:3" x14ac:dyDescent="0.25">
      <c r="A765" s="30"/>
      <c r="B765" s="208"/>
      <c r="C765" s="208"/>
    </row>
    <row r="766" spans="1:3" x14ac:dyDescent="0.25">
      <c r="A766" s="30"/>
      <c r="B766" s="208"/>
      <c r="C766" s="208"/>
    </row>
    <row r="767" spans="1:3" x14ac:dyDescent="0.25">
      <c r="A767" s="30"/>
      <c r="B767" s="208"/>
      <c r="C767" s="208"/>
    </row>
    <row r="768" spans="1:3" x14ac:dyDescent="0.25">
      <c r="A768" s="30"/>
      <c r="B768" s="208"/>
      <c r="C768" s="208"/>
    </row>
    <row r="769" spans="1:3" x14ac:dyDescent="0.25">
      <c r="A769" s="30"/>
      <c r="B769" s="208"/>
      <c r="C769" s="208"/>
    </row>
    <row r="770" spans="1:3" x14ac:dyDescent="0.25">
      <c r="A770" s="30"/>
      <c r="B770" s="208"/>
      <c r="C770" s="208"/>
    </row>
    <row r="771" spans="1:3" x14ac:dyDescent="0.25">
      <c r="A771" s="30"/>
      <c r="B771" s="208"/>
      <c r="C771" s="208"/>
    </row>
    <row r="772" spans="1:3" x14ac:dyDescent="0.25">
      <c r="A772" s="30"/>
      <c r="B772" s="208"/>
      <c r="C772" s="208"/>
    </row>
    <row r="773" spans="1:3" x14ac:dyDescent="0.25">
      <c r="A773" s="30"/>
      <c r="B773" s="208"/>
      <c r="C773" s="208"/>
    </row>
    <row r="774" spans="1:3" x14ac:dyDescent="0.25">
      <c r="A774" s="30"/>
      <c r="B774" s="208"/>
      <c r="C774" s="208"/>
    </row>
    <row r="775" spans="1:3" x14ac:dyDescent="0.25">
      <c r="A775" s="30"/>
      <c r="B775" s="208"/>
      <c r="C775" s="208"/>
    </row>
    <row r="776" spans="1:3" x14ac:dyDescent="0.25">
      <c r="A776" s="30"/>
      <c r="B776" s="208"/>
      <c r="C776" s="208"/>
    </row>
    <row r="777" spans="1:3" x14ac:dyDescent="0.25">
      <c r="A777" s="30"/>
      <c r="B777" s="208"/>
      <c r="C777" s="208"/>
    </row>
    <row r="778" spans="1:3" x14ac:dyDescent="0.25">
      <c r="A778" s="30"/>
      <c r="B778" s="208"/>
      <c r="C778" s="208"/>
    </row>
    <row r="779" spans="1:3" x14ac:dyDescent="0.25">
      <c r="A779" s="30"/>
      <c r="B779" s="208"/>
      <c r="C779" s="208"/>
    </row>
    <row r="780" spans="1:3" x14ac:dyDescent="0.25">
      <c r="A780" s="30"/>
      <c r="B780" s="208"/>
      <c r="C780" s="208"/>
    </row>
    <row r="781" spans="1:3" x14ac:dyDescent="0.25">
      <c r="A781" s="30"/>
      <c r="B781" s="208"/>
      <c r="C781" s="208"/>
    </row>
    <row r="782" spans="1:3" x14ac:dyDescent="0.25">
      <c r="A782" s="30"/>
      <c r="B782" s="208"/>
      <c r="C782" s="208"/>
    </row>
    <row r="783" spans="1:3" x14ac:dyDescent="0.25">
      <c r="A783" s="30"/>
      <c r="B783" s="208"/>
      <c r="C783" s="208"/>
    </row>
    <row r="784" spans="1:3" x14ac:dyDescent="0.25">
      <c r="A784" s="30"/>
      <c r="B784" s="208"/>
      <c r="C784" s="208"/>
    </row>
    <row r="785" spans="1:3" x14ac:dyDescent="0.25">
      <c r="A785" s="30"/>
      <c r="B785" s="208"/>
      <c r="C785" s="208"/>
    </row>
    <row r="786" spans="1:3" x14ac:dyDescent="0.25">
      <c r="A786" s="30"/>
      <c r="B786" s="208"/>
      <c r="C786" s="208"/>
    </row>
    <row r="787" spans="1:3" x14ac:dyDescent="0.25">
      <c r="A787" s="30"/>
      <c r="B787" s="208"/>
      <c r="C787" s="208"/>
    </row>
    <row r="788" spans="1:3" x14ac:dyDescent="0.25">
      <c r="A788" s="30"/>
      <c r="B788" s="208"/>
      <c r="C788" s="208"/>
    </row>
    <row r="789" spans="1:3" x14ac:dyDescent="0.25">
      <c r="A789" s="30"/>
      <c r="B789" s="208"/>
      <c r="C789" s="208"/>
    </row>
    <row r="790" spans="1:3" x14ac:dyDescent="0.25">
      <c r="A790" s="30"/>
      <c r="B790" s="208"/>
      <c r="C790" s="208"/>
    </row>
    <row r="791" spans="1:3" x14ac:dyDescent="0.25">
      <c r="A791" s="30"/>
      <c r="B791" s="208"/>
      <c r="C791" s="208"/>
    </row>
    <row r="792" spans="1:3" x14ac:dyDescent="0.25">
      <c r="A792" s="30"/>
      <c r="B792" s="208"/>
      <c r="C792" s="208"/>
    </row>
    <row r="793" spans="1:3" x14ac:dyDescent="0.25">
      <c r="A793" s="30"/>
      <c r="B793" s="208"/>
      <c r="C793" s="208"/>
    </row>
    <row r="794" spans="1:3" x14ac:dyDescent="0.25">
      <c r="A794" s="30"/>
      <c r="B794" s="208"/>
      <c r="C794" s="208"/>
    </row>
    <row r="795" spans="1:3" x14ac:dyDescent="0.25">
      <c r="A795" s="30"/>
      <c r="B795" s="208"/>
      <c r="C795" s="208"/>
    </row>
    <row r="796" spans="1:3" x14ac:dyDescent="0.25">
      <c r="A796" s="30"/>
      <c r="B796" s="208"/>
      <c r="C796" s="208"/>
    </row>
    <row r="797" spans="1:3" x14ac:dyDescent="0.25">
      <c r="A797" s="30"/>
      <c r="B797" s="208"/>
      <c r="C797" s="208"/>
    </row>
    <row r="798" spans="1:3" x14ac:dyDescent="0.25">
      <c r="A798" s="30"/>
      <c r="B798" s="208"/>
      <c r="C798" s="208"/>
    </row>
    <row r="799" spans="1:3" x14ac:dyDescent="0.25">
      <c r="A799" s="30"/>
      <c r="B799" s="208"/>
      <c r="C799" s="208"/>
    </row>
    <row r="800" spans="1:3" x14ac:dyDescent="0.25">
      <c r="A800" s="30"/>
      <c r="B800" s="208"/>
      <c r="C800" s="208"/>
    </row>
    <row r="801" spans="1:3" x14ac:dyDescent="0.25">
      <c r="A801" s="30"/>
      <c r="B801" s="208"/>
      <c r="C801" s="208"/>
    </row>
    <row r="802" spans="1:3" x14ac:dyDescent="0.25">
      <c r="A802" s="30"/>
      <c r="B802" s="208"/>
      <c r="C802" s="208"/>
    </row>
    <row r="803" spans="1:3" x14ac:dyDescent="0.25">
      <c r="A803" s="30"/>
      <c r="B803" s="208"/>
      <c r="C803" s="208"/>
    </row>
    <row r="804" spans="1:3" x14ac:dyDescent="0.25">
      <c r="A804" s="30"/>
      <c r="B804" s="208"/>
      <c r="C804" s="208"/>
    </row>
    <row r="805" spans="1:3" x14ac:dyDescent="0.25">
      <c r="A805" s="30"/>
      <c r="B805" s="208"/>
      <c r="C805" s="208"/>
    </row>
    <row r="806" spans="1:3" x14ac:dyDescent="0.25">
      <c r="A806" s="30"/>
      <c r="B806" s="208"/>
      <c r="C806" s="208"/>
    </row>
    <row r="807" spans="1:3" x14ac:dyDescent="0.25">
      <c r="A807" s="30"/>
      <c r="B807" s="208"/>
      <c r="C807" s="208"/>
    </row>
    <row r="808" spans="1:3" x14ac:dyDescent="0.25">
      <c r="A808" s="30"/>
      <c r="B808" s="208"/>
      <c r="C808" s="208"/>
    </row>
    <row r="809" spans="1:3" x14ac:dyDescent="0.25">
      <c r="A809" s="30"/>
      <c r="B809" s="208"/>
      <c r="C809" s="208"/>
    </row>
    <row r="810" spans="1:3" x14ac:dyDescent="0.25">
      <c r="A810" s="30"/>
      <c r="B810" s="208"/>
      <c r="C810" s="208"/>
    </row>
    <row r="811" spans="1:3" x14ac:dyDescent="0.25">
      <c r="A811" s="30"/>
      <c r="B811" s="208"/>
      <c r="C811" s="208"/>
    </row>
    <row r="812" spans="1:3" x14ac:dyDescent="0.25">
      <c r="A812" s="30"/>
      <c r="B812" s="208"/>
      <c r="C812" s="208"/>
    </row>
    <row r="813" spans="1:3" x14ac:dyDescent="0.25">
      <c r="A813" s="30"/>
      <c r="B813" s="208"/>
      <c r="C813" s="208"/>
    </row>
    <row r="814" spans="1:3" x14ac:dyDescent="0.25">
      <c r="A814" s="30"/>
      <c r="B814" s="208"/>
      <c r="C814" s="208"/>
    </row>
    <row r="815" spans="1:3" x14ac:dyDescent="0.25">
      <c r="A815" s="30"/>
      <c r="B815" s="208"/>
      <c r="C815" s="208"/>
    </row>
    <row r="816" spans="1:3" x14ac:dyDescent="0.25">
      <c r="A816" s="30"/>
      <c r="B816" s="208"/>
      <c r="C816" s="208"/>
    </row>
    <row r="817" spans="1:3" x14ac:dyDescent="0.25">
      <c r="A817" s="30"/>
      <c r="B817" s="208"/>
      <c r="C817" s="208"/>
    </row>
    <row r="818" spans="1:3" x14ac:dyDescent="0.25">
      <c r="A818" s="30"/>
      <c r="B818" s="208"/>
      <c r="C818" s="208"/>
    </row>
    <row r="819" spans="1:3" x14ac:dyDescent="0.25">
      <c r="A819" s="30"/>
      <c r="B819" s="208"/>
      <c r="C819" s="208"/>
    </row>
    <row r="820" spans="1:3" x14ac:dyDescent="0.25">
      <c r="A820" s="30"/>
      <c r="B820" s="208"/>
      <c r="C820" s="208"/>
    </row>
    <row r="821" spans="1:3" x14ac:dyDescent="0.25">
      <c r="A821" s="30"/>
      <c r="B821" s="208"/>
      <c r="C821" s="208"/>
    </row>
    <row r="822" spans="1:3" x14ac:dyDescent="0.25">
      <c r="A822" s="30"/>
      <c r="B822" s="208"/>
      <c r="C822" s="208"/>
    </row>
    <row r="823" spans="1:3" x14ac:dyDescent="0.25">
      <c r="A823" s="30"/>
      <c r="B823" s="208"/>
      <c r="C823" s="208"/>
    </row>
    <row r="824" spans="1:3" x14ac:dyDescent="0.25">
      <c r="A824" s="30"/>
      <c r="B824" s="208"/>
      <c r="C824" s="208"/>
    </row>
    <row r="825" spans="1:3" x14ac:dyDescent="0.25">
      <c r="A825" s="30"/>
      <c r="B825" s="208"/>
      <c r="C825" s="208"/>
    </row>
    <row r="826" spans="1:3" x14ac:dyDescent="0.25">
      <c r="A826" s="30"/>
      <c r="B826" s="208"/>
      <c r="C826" s="208"/>
    </row>
    <row r="827" spans="1:3" x14ac:dyDescent="0.25">
      <c r="A827" s="30"/>
      <c r="B827" s="208"/>
      <c r="C827" s="208"/>
    </row>
    <row r="828" spans="1:3" x14ac:dyDescent="0.25">
      <c r="A828" s="30"/>
      <c r="B828" s="208"/>
      <c r="C828" s="208"/>
    </row>
    <row r="829" spans="1:3" x14ac:dyDescent="0.25">
      <c r="A829" s="30"/>
      <c r="B829" s="208"/>
      <c r="C829" s="208"/>
    </row>
    <row r="830" spans="1:3" x14ac:dyDescent="0.25">
      <c r="A830" s="30"/>
      <c r="B830" s="208"/>
      <c r="C830" s="208"/>
    </row>
    <row r="831" spans="1:3" x14ac:dyDescent="0.25">
      <c r="A831" s="30"/>
      <c r="B831" s="208"/>
      <c r="C831" s="208"/>
    </row>
    <row r="832" spans="1:3" x14ac:dyDescent="0.25">
      <c r="A832" s="30"/>
      <c r="B832" s="208"/>
      <c r="C832" s="208"/>
    </row>
    <row r="833" spans="1:3" x14ac:dyDescent="0.25">
      <c r="A833" s="30"/>
      <c r="B833" s="208"/>
      <c r="C833" s="208"/>
    </row>
    <row r="834" spans="1:3" x14ac:dyDescent="0.25">
      <c r="A834" s="30"/>
      <c r="B834" s="208"/>
      <c r="C834" s="208"/>
    </row>
    <row r="835" spans="1:3" x14ac:dyDescent="0.25">
      <c r="A835" s="30"/>
      <c r="B835" s="208"/>
      <c r="C835" s="208"/>
    </row>
    <row r="836" spans="1:3" x14ac:dyDescent="0.25">
      <c r="A836" s="30"/>
      <c r="B836" s="208"/>
      <c r="C836" s="208"/>
    </row>
    <row r="837" spans="1:3" x14ac:dyDescent="0.25">
      <c r="A837" s="30"/>
      <c r="B837" s="208"/>
      <c r="C837" s="208"/>
    </row>
    <row r="838" spans="1:3" x14ac:dyDescent="0.25">
      <c r="A838" s="30"/>
      <c r="B838" s="208"/>
      <c r="C838" s="208"/>
    </row>
    <row r="839" spans="1:3" x14ac:dyDescent="0.25">
      <c r="A839" s="30"/>
      <c r="B839" s="208"/>
      <c r="C839" s="208"/>
    </row>
    <row r="840" spans="1:3" x14ac:dyDescent="0.25">
      <c r="A840" s="30"/>
      <c r="B840" s="208"/>
      <c r="C840" s="208"/>
    </row>
    <row r="841" spans="1:3" x14ac:dyDescent="0.25">
      <c r="A841" s="30"/>
      <c r="B841" s="208"/>
      <c r="C841" s="208"/>
    </row>
    <row r="842" spans="1:3" x14ac:dyDescent="0.25">
      <c r="A842" s="30"/>
      <c r="B842" s="208"/>
      <c r="C842" s="208"/>
    </row>
    <row r="843" spans="1:3" x14ac:dyDescent="0.25">
      <c r="A843" s="30"/>
      <c r="B843" s="208"/>
      <c r="C843" s="208"/>
    </row>
    <row r="844" spans="1:3" x14ac:dyDescent="0.25">
      <c r="A844" s="30"/>
      <c r="B844" s="208"/>
      <c r="C844" s="208"/>
    </row>
    <row r="845" spans="1:3" x14ac:dyDescent="0.25">
      <c r="A845" s="30"/>
      <c r="B845" s="208"/>
      <c r="C845" s="208"/>
    </row>
    <row r="846" spans="1:3" x14ac:dyDescent="0.25">
      <c r="A846" s="30"/>
      <c r="B846" s="208"/>
      <c r="C846" s="208"/>
    </row>
    <row r="847" spans="1:3" x14ac:dyDescent="0.25">
      <c r="A847" s="30"/>
      <c r="B847" s="208"/>
      <c r="C847" s="208"/>
    </row>
    <row r="848" spans="1:3" x14ac:dyDescent="0.25">
      <c r="A848" s="30"/>
      <c r="B848" s="208"/>
      <c r="C848" s="208"/>
    </row>
    <row r="849" spans="1:3" x14ac:dyDescent="0.25">
      <c r="A849" s="30"/>
      <c r="B849" s="208"/>
      <c r="C849" s="208"/>
    </row>
    <row r="850" spans="1:3" x14ac:dyDescent="0.25">
      <c r="A850" s="30"/>
      <c r="B850" s="208"/>
      <c r="C850" s="208"/>
    </row>
    <row r="851" spans="1:3" x14ac:dyDescent="0.25">
      <c r="A851" s="30"/>
      <c r="B851" s="208"/>
      <c r="C851" s="208"/>
    </row>
    <row r="852" spans="1:3" x14ac:dyDescent="0.25">
      <c r="A852" s="30"/>
      <c r="B852" s="208"/>
      <c r="C852" s="208"/>
    </row>
    <row r="853" spans="1:3" x14ac:dyDescent="0.25">
      <c r="A853" s="30"/>
      <c r="B853" s="208"/>
      <c r="C853" s="208"/>
    </row>
    <row r="854" spans="1:3" x14ac:dyDescent="0.25">
      <c r="A854" s="30"/>
      <c r="B854" s="208"/>
      <c r="C854" s="208"/>
    </row>
    <row r="855" spans="1:3" x14ac:dyDescent="0.25">
      <c r="A855" s="30"/>
      <c r="B855" s="208"/>
      <c r="C855" s="208"/>
    </row>
    <row r="856" spans="1:3" x14ac:dyDescent="0.25">
      <c r="A856" s="30"/>
      <c r="B856" s="208"/>
      <c r="C856" s="208"/>
    </row>
    <row r="857" spans="1:3" x14ac:dyDescent="0.25">
      <c r="A857" s="30"/>
      <c r="B857" s="208"/>
      <c r="C857" s="208"/>
    </row>
    <row r="858" spans="1:3" x14ac:dyDescent="0.25">
      <c r="A858" s="30"/>
      <c r="B858" s="208"/>
      <c r="C858" s="208"/>
    </row>
    <row r="859" spans="1:3" x14ac:dyDescent="0.25">
      <c r="A859" s="30"/>
      <c r="B859" s="208"/>
      <c r="C859" s="208"/>
    </row>
    <row r="860" spans="1:3" x14ac:dyDescent="0.25">
      <c r="A860" s="30"/>
      <c r="B860" s="208"/>
      <c r="C860" s="208"/>
    </row>
    <row r="861" spans="1:3" x14ac:dyDescent="0.25">
      <c r="A861" s="30"/>
      <c r="B861" s="208"/>
      <c r="C861" s="208"/>
    </row>
    <row r="862" spans="1:3" x14ac:dyDescent="0.25">
      <c r="A862" s="30"/>
      <c r="B862" s="208"/>
      <c r="C862" s="208"/>
    </row>
    <row r="863" spans="1:3" x14ac:dyDescent="0.25">
      <c r="A863" s="30"/>
      <c r="B863" s="208"/>
      <c r="C863" s="208"/>
    </row>
    <row r="864" spans="1:3" x14ac:dyDescent="0.25">
      <c r="A864" s="30"/>
      <c r="B864" s="208"/>
      <c r="C864" s="208"/>
    </row>
    <row r="865" spans="1:3" x14ac:dyDescent="0.25">
      <c r="A865" s="30"/>
      <c r="B865" s="208"/>
      <c r="C865" s="208"/>
    </row>
    <row r="866" spans="1:3" x14ac:dyDescent="0.25">
      <c r="A866" s="30"/>
      <c r="B866" s="208"/>
      <c r="C866" s="208"/>
    </row>
    <row r="867" spans="1:3" x14ac:dyDescent="0.25">
      <c r="A867" s="30"/>
      <c r="B867" s="208"/>
      <c r="C867" s="208"/>
    </row>
    <row r="868" spans="1:3" x14ac:dyDescent="0.25">
      <c r="A868" s="30"/>
      <c r="B868" s="208"/>
      <c r="C868" s="208"/>
    </row>
    <row r="869" spans="1:3" x14ac:dyDescent="0.25">
      <c r="A869" s="30"/>
      <c r="B869" s="208"/>
      <c r="C869" s="208"/>
    </row>
    <row r="870" spans="1:3" x14ac:dyDescent="0.25">
      <c r="A870" s="30"/>
      <c r="B870" s="208"/>
      <c r="C870" s="208"/>
    </row>
    <row r="871" spans="1:3" x14ac:dyDescent="0.25">
      <c r="A871" s="30"/>
      <c r="B871" s="208"/>
      <c r="C871" s="208"/>
    </row>
    <row r="872" spans="1:3" x14ac:dyDescent="0.25">
      <c r="A872" s="30"/>
      <c r="B872" s="208"/>
      <c r="C872" s="208"/>
    </row>
    <row r="873" spans="1:3" x14ac:dyDescent="0.25">
      <c r="A873" s="30"/>
      <c r="B873" s="208"/>
      <c r="C873" s="208"/>
    </row>
    <row r="874" spans="1:3" x14ac:dyDescent="0.25">
      <c r="A874" s="30"/>
      <c r="B874" s="208"/>
      <c r="C874" s="208"/>
    </row>
    <row r="875" spans="1:3" x14ac:dyDescent="0.25">
      <c r="A875" s="30"/>
      <c r="B875" s="208"/>
      <c r="C875" s="208"/>
    </row>
    <row r="876" spans="1:3" x14ac:dyDescent="0.25">
      <c r="A876" s="30"/>
      <c r="B876" s="208"/>
      <c r="C876" s="208"/>
    </row>
    <row r="877" spans="1:3" x14ac:dyDescent="0.25">
      <c r="A877" s="30"/>
      <c r="B877" s="208"/>
      <c r="C877" s="208"/>
    </row>
    <row r="878" spans="1:3" x14ac:dyDescent="0.25">
      <c r="A878" s="30"/>
      <c r="B878" s="208"/>
      <c r="C878" s="208"/>
    </row>
    <row r="879" spans="1:3" x14ac:dyDescent="0.25">
      <c r="A879" s="30"/>
      <c r="B879" s="208"/>
      <c r="C879" s="208"/>
    </row>
    <row r="880" spans="1:3" x14ac:dyDescent="0.25">
      <c r="A880" s="30"/>
      <c r="B880" s="208"/>
      <c r="C880" s="208"/>
    </row>
    <row r="881" spans="1:3" x14ac:dyDescent="0.25">
      <c r="A881" s="30"/>
      <c r="B881" s="208"/>
      <c r="C881" s="208"/>
    </row>
    <row r="882" spans="1:3" x14ac:dyDescent="0.25">
      <c r="A882" s="30"/>
      <c r="B882" s="208"/>
      <c r="C882" s="208"/>
    </row>
    <row r="883" spans="1:3" x14ac:dyDescent="0.25">
      <c r="A883" s="30"/>
      <c r="B883" s="208"/>
      <c r="C883" s="208"/>
    </row>
    <row r="884" spans="1:3" x14ac:dyDescent="0.25">
      <c r="A884" s="30"/>
      <c r="B884" s="208"/>
      <c r="C884" s="208"/>
    </row>
    <row r="885" spans="1:3" x14ac:dyDescent="0.25">
      <c r="A885" s="30"/>
      <c r="B885" s="208"/>
      <c r="C885" s="208"/>
    </row>
    <row r="886" spans="1:3" x14ac:dyDescent="0.25">
      <c r="A886" s="30"/>
      <c r="B886" s="208"/>
      <c r="C886" s="208"/>
    </row>
    <row r="887" spans="1:3" x14ac:dyDescent="0.25">
      <c r="A887" s="30"/>
      <c r="B887" s="208"/>
      <c r="C887" s="208"/>
    </row>
    <row r="888" spans="1:3" x14ac:dyDescent="0.25">
      <c r="A888" s="30"/>
      <c r="B888" s="208"/>
      <c r="C888" s="208"/>
    </row>
    <row r="889" spans="1:3" x14ac:dyDescent="0.25">
      <c r="A889" s="30"/>
      <c r="B889" s="208"/>
      <c r="C889" s="208"/>
    </row>
    <row r="890" spans="1:3" x14ac:dyDescent="0.25">
      <c r="A890" s="30"/>
      <c r="B890" s="208"/>
      <c r="C890" s="208"/>
    </row>
    <row r="891" spans="1:3" x14ac:dyDescent="0.25">
      <c r="A891" s="30"/>
      <c r="B891" s="208"/>
      <c r="C891" s="208"/>
    </row>
    <row r="892" spans="1:3" x14ac:dyDescent="0.25">
      <c r="A892" s="30"/>
      <c r="B892" s="208"/>
      <c r="C892" s="208"/>
    </row>
    <row r="893" spans="1:3" x14ac:dyDescent="0.25">
      <c r="A893" s="30"/>
      <c r="B893" s="208"/>
      <c r="C893" s="208"/>
    </row>
    <row r="894" spans="1:3" x14ac:dyDescent="0.25">
      <c r="A894" s="30"/>
      <c r="B894" s="208"/>
      <c r="C894" s="208"/>
    </row>
    <row r="895" spans="1:3" x14ac:dyDescent="0.25">
      <c r="A895" s="30"/>
      <c r="B895" s="208"/>
      <c r="C895" s="208"/>
    </row>
    <row r="896" spans="1:3" x14ac:dyDescent="0.25">
      <c r="A896" s="30"/>
      <c r="B896" s="208"/>
      <c r="C896" s="208"/>
    </row>
    <row r="897" spans="1:3" x14ac:dyDescent="0.25">
      <c r="A897" s="30"/>
      <c r="B897" s="208"/>
      <c r="C897" s="208"/>
    </row>
    <row r="898" spans="1:3" x14ac:dyDescent="0.25">
      <c r="A898" s="30"/>
      <c r="B898" s="208"/>
      <c r="C898" s="208"/>
    </row>
    <row r="899" spans="1:3" x14ac:dyDescent="0.25">
      <c r="A899" s="30"/>
      <c r="B899" s="208"/>
      <c r="C899" s="208"/>
    </row>
    <row r="900" spans="1:3" x14ac:dyDescent="0.25">
      <c r="A900" s="30"/>
      <c r="B900" s="208"/>
      <c r="C900" s="208"/>
    </row>
    <row r="901" spans="1:3" x14ac:dyDescent="0.25">
      <c r="A901" s="30"/>
      <c r="B901" s="208"/>
      <c r="C901" s="208"/>
    </row>
    <row r="902" spans="1:3" x14ac:dyDescent="0.25">
      <c r="A902" s="30"/>
      <c r="B902" s="208"/>
      <c r="C902" s="208"/>
    </row>
    <row r="903" spans="1:3" x14ac:dyDescent="0.25">
      <c r="A903" s="30"/>
      <c r="B903" s="208"/>
      <c r="C903" s="208"/>
    </row>
    <row r="904" spans="1:3" x14ac:dyDescent="0.25">
      <c r="A904" s="30"/>
      <c r="B904" s="208"/>
      <c r="C904" s="208"/>
    </row>
    <row r="905" spans="1:3" x14ac:dyDescent="0.25">
      <c r="A905" s="30"/>
      <c r="B905" s="208"/>
      <c r="C905" s="208"/>
    </row>
    <row r="906" spans="1:3" x14ac:dyDescent="0.25">
      <c r="A906" s="30"/>
      <c r="B906" s="208"/>
      <c r="C906" s="208"/>
    </row>
    <row r="907" spans="1:3" x14ac:dyDescent="0.25">
      <c r="A907" s="30"/>
      <c r="B907" s="208"/>
      <c r="C907" s="208"/>
    </row>
    <row r="908" spans="1:3" x14ac:dyDescent="0.25">
      <c r="A908" s="30"/>
      <c r="B908" s="208"/>
      <c r="C908" s="208"/>
    </row>
    <row r="909" spans="1:3" x14ac:dyDescent="0.25">
      <c r="A909" s="30"/>
      <c r="B909" s="208"/>
      <c r="C909" s="208"/>
    </row>
    <row r="910" spans="1:3" x14ac:dyDescent="0.25">
      <c r="A910" s="30"/>
      <c r="B910" s="208"/>
      <c r="C910" s="208"/>
    </row>
    <row r="911" spans="1:3" x14ac:dyDescent="0.25">
      <c r="A911" s="30"/>
      <c r="B911" s="208"/>
      <c r="C911" s="208"/>
    </row>
    <row r="912" spans="1:3" x14ac:dyDescent="0.25">
      <c r="A912" s="30"/>
      <c r="B912" s="208"/>
      <c r="C912" s="208"/>
    </row>
    <row r="913" spans="1:3" x14ac:dyDescent="0.25">
      <c r="A913" s="30"/>
      <c r="B913" s="208"/>
      <c r="C913" s="208"/>
    </row>
    <row r="914" spans="1:3" x14ac:dyDescent="0.25">
      <c r="A914" s="30"/>
      <c r="B914" s="208"/>
      <c r="C914" s="208"/>
    </row>
    <row r="915" spans="1:3" x14ac:dyDescent="0.25">
      <c r="A915" s="30"/>
      <c r="B915" s="208"/>
      <c r="C915" s="208"/>
    </row>
    <row r="916" spans="1:3" x14ac:dyDescent="0.25">
      <c r="A916" s="30"/>
      <c r="B916" s="208"/>
      <c r="C916" s="208"/>
    </row>
    <row r="917" spans="1:3" x14ac:dyDescent="0.25">
      <c r="A917" s="30"/>
      <c r="B917" s="208"/>
      <c r="C917" s="208"/>
    </row>
    <row r="918" spans="1:3" x14ac:dyDescent="0.25">
      <c r="A918" s="30"/>
      <c r="B918" s="208"/>
      <c r="C918" s="208"/>
    </row>
    <row r="919" spans="1:3" x14ac:dyDescent="0.25">
      <c r="A919" s="30"/>
      <c r="B919" s="208"/>
      <c r="C919" s="208"/>
    </row>
    <row r="920" spans="1:3" x14ac:dyDescent="0.25">
      <c r="A920" s="30"/>
      <c r="B920" s="208"/>
      <c r="C920" s="208"/>
    </row>
    <row r="921" spans="1:3" x14ac:dyDescent="0.25">
      <c r="A921" s="30"/>
      <c r="B921" s="208"/>
      <c r="C921" s="208"/>
    </row>
    <row r="922" spans="1:3" x14ac:dyDescent="0.25">
      <c r="A922" s="30"/>
      <c r="B922" s="208"/>
      <c r="C922" s="208"/>
    </row>
    <row r="923" spans="1:3" x14ac:dyDescent="0.25">
      <c r="A923" s="30"/>
      <c r="B923" s="208"/>
      <c r="C923" s="208"/>
    </row>
    <row r="924" spans="1:3" x14ac:dyDescent="0.25">
      <c r="A924" s="30"/>
      <c r="B924" s="208"/>
      <c r="C924" s="208"/>
    </row>
    <row r="925" spans="1:3" x14ac:dyDescent="0.25">
      <c r="A925" s="30"/>
      <c r="B925" s="208"/>
      <c r="C925" s="208"/>
    </row>
    <row r="926" spans="1:3" x14ac:dyDescent="0.25">
      <c r="A926" s="30"/>
      <c r="B926" s="208"/>
      <c r="C926" s="208"/>
    </row>
    <row r="927" spans="1:3" x14ac:dyDescent="0.25">
      <c r="A927" s="30"/>
      <c r="B927" s="208"/>
      <c r="C927" s="208"/>
    </row>
    <row r="928" spans="1:3" x14ac:dyDescent="0.25">
      <c r="A928" s="30"/>
      <c r="B928" s="208"/>
      <c r="C928" s="208"/>
    </row>
    <row r="929" spans="1:3" x14ac:dyDescent="0.25">
      <c r="A929" s="30"/>
      <c r="B929" s="208"/>
      <c r="C929" s="208"/>
    </row>
    <row r="930" spans="1:3" x14ac:dyDescent="0.25">
      <c r="A930" s="30"/>
      <c r="B930" s="208"/>
      <c r="C930" s="208"/>
    </row>
    <row r="931" spans="1:3" x14ac:dyDescent="0.25">
      <c r="A931" s="30"/>
      <c r="B931" s="208"/>
      <c r="C931" s="208"/>
    </row>
    <row r="932" spans="1:3" x14ac:dyDescent="0.25">
      <c r="A932" s="30"/>
      <c r="B932" s="208"/>
      <c r="C932" s="208"/>
    </row>
    <row r="933" spans="1:3" x14ac:dyDescent="0.25">
      <c r="A933" s="30"/>
      <c r="B933" s="208"/>
      <c r="C933" s="208"/>
    </row>
    <row r="934" spans="1:3" x14ac:dyDescent="0.25">
      <c r="A934" s="30"/>
      <c r="B934" s="208"/>
      <c r="C934" s="208"/>
    </row>
    <row r="935" spans="1:3" x14ac:dyDescent="0.25">
      <c r="A935" s="30"/>
      <c r="B935" s="208"/>
      <c r="C935" s="208"/>
    </row>
    <row r="936" spans="1:3" x14ac:dyDescent="0.25">
      <c r="A936" s="30"/>
      <c r="B936" s="208"/>
      <c r="C936" s="208"/>
    </row>
    <row r="937" spans="1:3" x14ac:dyDescent="0.25">
      <c r="A937" s="30"/>
      <c r="B937" s="208"/>
      <c r="C937" s="208"/>
    </row>
    <row r="938" spans="1:3" x14ac:dyDescent="0.25">
      <c r="A938" s="30"/>
      <c r="B938" s="208"/>
      <c r="C938" s="208"/>
    </row>
    <row r="939" spans="1:3" x14ac:dyDescent="0.25">
      <c r="A939" s="30"/>
      <c r="B939" s="208"/>
      <c r="C939" s="208"/>
    </row>
    <row r="940" spans="1:3" x14ac:dyDescent="0.25">
      <c r="A940" s="30"/>
      <c r="B940" s="208"/>
      <c r="C940" s="208"/>
    </row>
    <row r="941" spans="1:3" x14ac:dyDescent="0.25">
      <c r="A941" s="30"/>
      <c r="B941" s="208"/>
      <c r="C941" s="208"/>
    </row>
    <row r="942" spans="1:3" x14ac:dyDescent="0.25">
      <c r="A942" s="30"/>
      <c r="B942" s="208"/>
      <c r="C942" s="208"/>
    </row>
    <row r="943" spans="1:3" x14ac:dyDescent="0.25">
      <c r="A943" s="30"/>
      <c r="B943" s="208"/>
      <c r="C943" s="208"/>
    </row>
    <row r="944" spans="1:3" x14ac:dyDescent="0.25">
      <c r="A944" s="30"/>
      <c r="B944" s="208"/>
      <c r="C944" s="208"/>
    </row>
    <row r="945" spans="1:3" x14ac:dyDescent="0.25">
      <c r="A945" s="30"/>
      <c r="B945" s="208"/>
      <c r="C945" s="208"/>
    </row>
    <row r="946" spans="1:3" x14ac:dyDescent="0.25">
      <c r="A946" s="30"/>
      <c r="B946" s="208"/>
      <c r="C946" s="208"/>
    </row>
    <row r="947" spans="1:3" x14ac:dyDescent="0.25">
      <c r="A947" s="30"/>
      <c r="B947" s="208"/>
      <c r="C947" s="208"/>
    </row>
    <row r="948" spans="1:3" x14ac:dyDescent="0.25">
      <c r="A948" s="30"/>
      <c r="B948" s="208"/>
      <c r="C948" s="208"/>
    </row>
    <row r="949" spans="1:3" x14ac:dyDescent="0.25">
      <c r="A949" s="30"/>
      <c r="B949" s="208"/>
      <c r="C949" s="208"/>
    </row>
    <row r="950" spans="1:3" x14ac:dyDescent="0.25">
      <c r="A950" s="30"/>
      <c r="B950" s="208"/>
      <c r="C950" s="208"/>
    </row>
    <row r="951" spans="1:3" x14ac:dyDescent="0.25">
      <c r="A951" s="30"/>
      <c r="B951" s="208"/>
      <c r="C951" s="208"/>
    </row>
    <row r="952" spans="1:3" x14ac:dyDescent="0.25">
      <c r="A952" s="30"/>
      <c r="B952" s="208"/>
      <c r="C952" s="208"/>
    </row>
    <row r="953" spans="1:3" x14ac:dyDescent="0.25">
      <c r="A953" s="30"/>
      <c r="B953" s="208"/>
      <c r="C953" s="208"/>
    </row>
    <row r="954" spans="1:3" x14ac:dyDescent="0.25">
      <c r="A954" s="30"/>
      <c r="B954" s="208"/>
      <c r="C954" s="208"/>
    </row>
    <row r="955" spans="1:3" x14ac:dyDescent="0.25">
      <c r="A955" s="30"/>
      <c r="B955" s="208"/>
      <c r="C955" s="208"/>
    </row>
    <row r="956" spans="1:3" x14ac:dyDescent="0.25">
      <c r="A956" s="30"/>
      <c r="B956" s="208"/>
      <c r="C956" s="208"/>
    </row>
    <row r="957" spans="1:3" x14ac:dyDescent="0.25">
      <c r="A957" s="30"/>
      <c r="B957" s="208"/>
      <c r="C957" s="208"/>
    </row>
    <row r="958" spans="1:3" x14ac:dyDescent="0.25">
      <c r="A958" s="30"/>
      <c r="B958" s="208"/>
      <c r="C958" s="208"/>
    </row>
    <row r="959" spans="1:3" x14ac:dyDescent="0.25">
      <c r="A959" s="30"/>
      <c r="B959" s="208"/>
      <c r="C959" s="208"/>
    </row>
    <row r="960" spans="1:3" x14ac:dyDescent="0.25">
      <c r="A960" s="30"/>
      <c r="B960" s="208"/>
      <c r="C960" s="208"/>
    </row>
    <row r="961" spans="1:3" x14ac:dyDescent="0.25">
      <c r="A961" s="30"/>
      <c r="B961" s="208"/>
      <c r="C961" s="208"/>
    </row>
    <row r="962" spans="1:3" x14ac:dyDescent="0.25">
      <c r="A962" s="30"/>
      <c r="B962" s="208"/>
      <c r="C962" s="208"/>
    </row>
    <row r="963" spans="1:3" x14ac:dyDescent="0.25">
      <c r="A963" s="30"/>
      <c r="B963" s="208"/>
      <c r="C963" s="208"/>
    </row>
    <row r="964" spans="1:3" x14ac:dyDescent="0.25">
      <c r="A964" s="30"/>
      <c r="B964" s="208"/>
      <c r="C964" s="208"/>
    </row>
    <row r="965" spans="1:3" x14ac:dyDescent="0.25">
      <c r="A965" s="30"/>
      <c r="B965" s="208"/>
      <c r="C965" s="208"/>
    </row>
    <row r="966" spans="1:3" x14ac:dyDescent="0.25">
      <c r="A966" s="30"/>
      <c r="B966" s="208"/>
      <c r="C966" s="208"/>
    </row>
    <row r="967" spans="1:3" x14ac:dyDescent="0.25">
      <c r="A967" s="30"/>
      <c r="B967" s="208"/>
      <c r="C967" s="208"/>
    </row>
    <row r="968" spans="1:3" x14ac:dyDescent="0.25">
      <c r="A968" s="30"/>
      <c r="B968" s="208"/>
      <c r="C968" s="208"/>
    </row>
    <row r="969" spans="1:3" x14ac:dyDescent="0.25">
      <c r="A969" s="30"/>
      <c r="B969" s="208"/>
      <c r="C969" s="208"/>
    </row>
    <row r="970" spans="1:3" x14ac:dyDescent="0.25">
      <c r="A970" s="30"/>
      <c r="B970" s="208"/>
      <c r="C970" s="208"/>
    </row>
    <row r="971" spans="1:3" x14ac:dyDescent="0.25">
      <c r="A971" s="30"/>
      <c r="B971" s="208"/>
      <c r="C971" s="208"/>
    </row>
    <row r="972" spans="1:3" x14ac:dyDescent="0.25">
      <c r="A972" s="30"/>
      <c r="B972" s="208"/>
      <c r="C972" s="208"/>
    </row>
    <row r="973" spans="1:3" x14ac:dyDescent="0.25">
      <c r="A973" s="30"/>
      <c r="B973" s="208"/>
      <c r="C973" s="208"/>
    </row>
    <row r="974" spans="1:3" x14ac:dyDescent="0.25">
      <c r="A974" s="30"/>
      <c r="B974" s="208"/>
      <c r="C974" s="208"/>
    </row>
    <row r="975" spans="1:3" x14ac:dyDescent="0.25">
      <c r="A975" s="30"/>
      <c r="B975" s="208"/>
      <c r="C975" s="208"/>
    </row>
    <row r="976" spans="1:3" x14ac:dyDescent="0.25">
      <c r="A976" s="30"/>
      <c r="B976" s="208"/>
      <c r="C976" s="208"/>
    </row>
    <row r="977" spans="1:3" x14ac:dyDescent="0.25">
      <c r="A977" s="30"/>
      <c r="B977" s="208"/>
      <c r="C977" s="208"/>
    </row>
    <row r="978" spans="1:3" x14ac:dyDescent="0.25">
      <c r="A978" s="30"/>
      <c r="B978" s="208"/>
      <c r="C978" s="208"/>
    </row>
    <row r="979" spans="1:3" x14ac:dyDescent="0.25">
      <c r="A979" s="30"/>
      <c r="B979" s="208"/>
      <c r="C979" s="208"/>
    </row>
    <row r="980" spans="1:3" x14ac:dyDescent="0.25">
      <c r="A980" s="30"/>
      <c r="B980" s="208"/>
      <c r="C980" s="208"/>
    </row>
    <row r="981" spans="1:3" x14ac:dyDescent="0.25">
      <c r="A981" s="30"/>
      <c r="B981" s="208"/>
      <c r="C981" s="208"/>
    </row>
    <row r="982" spans="1:3" x14ac:dyDescent="0.25">
      <c r="A982" s="30"/>
      <c r="B982" s="208"/>
      <c r="C982" s="208"/>
    </row>
    <row r="983" spans="1:3" x14ac:dyDescent="0.25">
      <c r="A983" s="30"/>
      <c r="B983" s="208"/>
      <c r="C983" s="208"/>
    </row>
    <row r="984" spans="1:3" x14ac:dyDescent="0.25">
      <c r="A984" s="30"/>
      <c r="B984" s="208"/>
      <c r="C984" s="208"/>
    </row>
    <row r="985" spans="1:3" x14ac:dyDescent="0.25">
      <c r="A985" s="30"/>
      <c r="B985" s="208"/>
      <c r="C985" s="208"/>
    </row>
    <row r="986" spans="1:3" x14ac:dyDescent="0.25">
      <c r="A986" s="30"/>
      <c r="B986" s="208"/>
      <c r="C986" s="208"/>
    </row>
    <row r="987" spans="1:3" x14ac:dyDescent="0.25">
      <c r="A987" s="30"/>
      <c r="B987" s="208"/>
      <c r="C987" s="208"/>
    </row>
    <row r="988" spans="1:3" x14ac:dyDescent="0.25">
      <c r="A988" s="30"/>
      <c r="B988" s="208"/>
      <c r="C988" s="208"/>
    </row>
    <row r="989" spans="1:3" x14ac:dyDescent="0.25">
      <c r="A989" s="30"/>
      <c r="B989" s="208"/>
      <c r="C989" s="208"/>
    </row>
    <row r="990" spans="1:3" x14ac:dyDescent="0.25">
      <c r="A990" s="30"/>
      <c r="B990" s="208"/>
      <c r="C990" s="208"/>
    </row>
    <row r="991" spans="1:3" x14ac:dyDescent="0.25">
      <c r="A991" s="30"/>
      <c r="B991" s="208"/>
      <c r="C991" s="208"/>
    </row>
    <row r="992" spans="1:3" x14ac:dyDescent="0.25">
      <c r="A992" s="30"/>
      <c r="B992" s="208"/>
      <c r="C992" s="208"/>
    </row>
    <row r="993" spans="1:3" x14ac:dyDescent="0.25">
      <c r="A993" s="30"/>
      <c r="B993" s="208"/>
      <c r="C993" s="208"/>
    </row>
    <row r="994" spans="1:3" x14ac:dyDescent="0.25">
      <c r="A994" s="30"/>
      <c r="B994" s="208"/>
      <c r="C994" s="208"/>
    </row>
    <row r="995" spans="1:3" x14ac:dyDescent="0.25">
      <c r="A995" s="30"/>
      <c r="B995" s="208"/>
      <c r="C995" s="208"/>
    </row>
    <row r="996" spans="1:3" x14ac:dyDescent="0.25">
      <c r="A996" s="30"/>
      <c r="B996" s="208"/>
      <c r="C996" s="208"/>
    </row>
    <row r="997" spans="1:3" x14ac:dyDescent="0.25">
      <c r="A997" s="30"/>
      <c r="B997" s="208"/>
      <c r="C997" s="208"/>
    </row>
    <row r="998" spans="1:3" x14ac:dyDescent="0.25">
      <c r="A998" s="30"/>
      <c r="B998" s="208"/>
      <c r="C998" s="208"/>
    </row>
    <row r="999" spans="1:3" x14ac:dyDescent="0.25">
      <c r="A999" s="30"/>
      <c r="B999" s="208"/>
      <c r="C999" s="208"/>
    </row>
    <row r="1000" spans="1:3" x14ac:dyDescent="0.25">
      <c r="A1000" s="30"/>
      <c r="B1000" s="208"/>
      <c r="C1000" s="208"/>
    </row>
    <row r="1001" spans="1:3" x14ac:dyDescent="0.25">
      <c r="A1001" s="30"/>
      <c r="B1001" s="208"/>
      <c r="C1001" s="208"/>
    </row>
    <row r="1002" spans="1:3" x14ac:dyDescent="0.25">
      <c r="A1002" s="30"/>
      <c r="B1002" s="208"/>
      <c r="C1002" s="20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Jakarta</vt:lpstr>
      <vt:lpstr>Mobility</vt:lpstr>
      <vt:lpstr>Data Indonesia dan Jakarta</vt:lpstr>
      <vt:lpstr>Data Suspek dll (Jakarta)</vt:lpstr>
      <vt:lpstr>RDT Ab</vt:lpstr>
      <vt:lpstr>RDT Ag</vt:lpstr>
      <vt:lpstr>Hasil Lab</vt:lpstr>
      <vt:lpstr>Pemakaman</vt:lpstr>
      <vt:lpstr>Vaksinasi</vt:lpstr>
      <vt:lpstr>Vaksinasi Indonesia</vt:lpstr>
      <vt:lpstr>Vaksinasi Wilayah</vt:lpstr>
      <vt:lpstr>Daily Vaksinasi Wilayah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dc:creator>
  <cp:lastModifiedBy>Bryan</cp:lastModifiedBy>
  <dcterms:created xsi:type="dcterms:W3CDTF">2021-08-31T00:39:05Z</dcterms:created>
  <dcterms:modified xsi:type="dcterms:W3CDTF">2021-09-03T14:36:58Z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958c531f-4f43-496f-bb75-01d372bd0c11</vt:lpwstr>
  </property>
</Properties>
</file>